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workbookPr hidePivotFieldList="1"/>
  <mc:AlternateContent xmlns:mc="http://schemas.openxmlformats.org/markup-compatibility/2006">
    <mc:Choice Requires="x15">
      <x15ac:absPath xmlns:x15ac="http://schemas.microsoft.com/office/spreadsheetml/2010/11/ac" url="C:\Proyectos\DataPulse\data\input\"/>
    </mc:Choice>
  </mc:AlternateContent>
  <xr:revisionPtr revIDLastSave="0" documentId="13_ncr:1_{07FEAA13-7F20-4141-87D8-53FAF10C0ED0}" xr6:coauthVersionLast="47" xr6:coauthVersionMax="47" xr10:uidLastSave="{00000000-0000-0000-0000-000000000000}"/>
  <bookViews>
    <workbookView xWindow="-108" yWindow="-108" windowWidth="23256" windowHeight="12456" tabRatio="715" xr2:uid="{00000000-000D-0000-FFFF-FFFF00000000}"/>
  </bookViews>
  <sheets>
    <sheet name="Control_Servicios" sheetId="11" r:id="rId1"/>
  </sheets>
  <externalReferences>
    <externalReference r:id="rId2"/>
  </externalReferences>
  <definedNames>
    <definedName name="_xlnm._FilterDatabase" localSheetId="0" hidden="1">Control_Servicios!$BM$1:$BO$1114</definedName>
    <definedName name="_xleta.AND" hidden="1" xlm="1">#NAME?</definedName>
    <definedName name="_xleta.N" hidden="1" xlm="1">#NAME?</definedName>
    <definedName name="C_20100035121" localSheetId="0">#REF!</definedName>
    <definedName name="C_20100035121">#REF!</definedName>
    <definedName name="C_20100073723" localSheetId="0">#REF!</definedName>
    <definedName name="C_20100073723">#REF!</definedName>
    <definedName name="C_20100128218">#REF!</definedName>
    <definedName name="C_20100192064" localSheetId="0">#REF!</definedName>
    <definedName name="C_20100192064">#REF!</definedName>
    <definedName name="C_20100199743" localSheetId="0">#REF!</definedName>
    <definedName name="C_20100199743">#REF!</definedName>
    <definedName name="C_20100202396" localSheetId="0">#REF!</definedName>
    <definedName name="C_20100202396">#REF!</definedName>
    <definedName name="C_20100226902" localSheetId="0">#REF!</definedName>
    <definedName name="C_20100226902">#REF!</definedName>
    <definedName name="C_20100227895" localSheetId="0">#REF!</definedName>
    <definedName name="C_20100227895">#REF!</definedName>
    <definedName name="C_20100247730" localSheetId="0">#REF!</definedName>
    <definedName name="C_20100247730">#REF!</definedName>
    <definedName name="C_20100255325" localSheetId="0">#REF!</definedName>
    <definedName name="C_20100255325">#REF!</definedName>
    <definedName name="C_20100814162" localSheetId="0">#REF!</definedName>
    <definedName name="C_20100814162">#REF!</definedName>
    <definedName name="C_20121393736" localSheetId="0">#REF!</definedName>
    <definedName name="C_20121393736">#REF!</definedName>
    <definedName name="C_20131312955" localSheetId="0">#REF!</definedName>
    <definedName name="C_20131312955">#REF!</definedName>
    <definedName name="C_20161541991" localSheetId="0">#REF!</definedName>
    <definedName name="C_20161541991">#REF!</definedName>
    <definedName name="C_20170040938" localSheetId="0">#REF!</definedName>
    <definedName name="C_20170040938">#REF!</definedName>
    <definedName name="C_20438933272" localSheetId="0">#REF!</definedName>
    <definedName name="C_20438933272">#REF!</definedName>
    <definedName name="C_20454054271" localSheetId="0">#REF!</definedName>
    <definedName name="C_20454054271">#REF!</definedName>
    <definedName name="C_20454063423" localSheetId="0">#REF!</definedName>
    <definedName name="C_20454063423">#REF!</definedName>
    <definedName name="C_20454186002" localSheetId="0">#REF!</definedName>
    <definedName name="C_20454186002">#REF!</definedName>
    <definedName name="C_20454332262" localSheetId="0">#REF!</definedName>
    <definedName name="C_20454332262">#REF!</definedName>
    <definedName name="C_20498452940" localSheetId="0">#REF!</definedName>
    <definedName name="C_20498452940">#REF!</definedName>
    <definedName name="C_20517932346" localSheetId="0">#REF!</definedName>
    <definedName name="C_20517932346">#REF!</definedName>
    <definedName name="C_20523573226" localSheetId="0">#REF!</definedName>
    <definedName name="C_20523573226">#REF!</definedName>
    <definedName name="C_20523779193" localSheetId="0">#REF!</definedName>
    <definedName name="C_20523779193">#REF!</definedName>
    <definedName name="C_20538593053" localSheetId="0">#REF!</definedName>
    <definedName name="C_20538593053">#REF!</definedName>
    <definedName name="C_20552332092" localSheetId="0">#REF!</definedName>
    <definedName name="C_20552332092">#REF!</definedName>
    <definedName name="C_20562660896" localSheetId="0">#REF!</definedName>
    <definedName name="C_20562660896">#REF!</definedName>
    <definedName name="C_20564022765" localSheetId="0">#REF!</definedName>
    <definedName name="C_20564022765">#REF!</definedName>
    <definedName name="C_20565347099" localSheetId="0">#REF!</definedName>
    <definedName name="C_20565347099">#REF!</definedName>
    <definedName name="C_20602114091" localSheetId="0">#REF!</definedName>
    <definedName name="C_20602114091">#REF!</definedName>
    <definedName name="CANTIDAD">Control_Servicios!#REF!</definedName>
    <definedName name="CERTIFICADO_GYTRES">Control_Servicios!#REF!</definedName>
    <definedName name="CERTIFICADO_RELLENO">Control_Servicios!#REF!</definedName>
    <definedName name="CLASIFICACION">#REF!</definedName>
    <definedName name="CLIENTE">#REF!</definedName>
    <definedName name="CLIENTE___GENERADOR">Control_Servicios!#REF!</definedName>
    <definedName name="CODIGO">Control_Servicios!#REF!</definedName>
    <definedName name="Codigo_Servicios" localSheetId="0">#REF!</definedName>
    <definedName name="Codigo_Servicios">#REF!</definedName>
    <definedName name="CONDICION_DE_PAGO">Control_Servicios!#REF!</definedName>
    <definedName name="CONDUCTOR">#REF!</definedName>
    <definedName name="DATA_S">DATA[]</definedName>
    <definedName name="DETALLE_DE_SERVICIO">Control_Servicios!#REF!</definedName>
    <definedName name="DIsposicion" localSheetId="0">#REF!</definedName>
    <definedName name="DIsposicion">#REF!</definedName>
    <definedName name="DISPOSICIÓN___TRATAMIENTO">Control_Servicios!#REF!</definedName>
    <definedName name="ESTADO">Control_Servicios!#REF!</definedName>
    <definedName name="ESTADO_CERTIFICADOS">Control_Servicios!#REF!</definedName>
    <definedName name="ESTADO_DE_FACT.">Control_Servicios!#REF!</definedName>
    <definedName name="ESTADO_DE_PAGO">Control_Servicios!#REF!</definedName>
    <definedName name="ESTADO_DE_VALORIZACION">Control_Servicios!#REF!</definedName>
    <definedName name="FECHA_DE_F.S.">Control_Servicios!#REF!</definedName>
    <definedName name="FECHA_DE_FACT.">Control_Servicios!#REF!</definedName>
    <definedName name="FECHA_DE_VAL.">Control_Servicios!#REF!</definedName>
    <definedName name="FECHA_P.E.">Control_Servicios!#REF!</definedName>
    <definedName name="FICHA_DE_SERVICIO">Control_Servicios!#REF!</definedName>
    <definedName name="GENERADOR">#REF!</definedName>
    <definedName name="IGV">Control_Servicios!#REF!</definedName>
    <definedName name="MEDIDA">Control_Servicios!#REF!</definedName>
    <definedName name="MONEDA">Control_Servicios!#REF!</definedName>
    <definedName name="NUMERO_DE_F.">Control_Servicios!#REF!</definedName>
    <definedName name="NUMERO_DE_PROPUESTA_E.">Control_Servicios!#REF!</definedName>
    <definedName name="OPERARIO">[1]PERSONAL!$C$19:$C$41</definedName>
    <definedName name="placa">#REF!</definedName>
    <definedName name="PLANTA___PROYECTO">Control_Servicios!#REF!</definedName>
    <definedName name="_xlnm.Print_Area" localSheetId="0">Control_Servicios!$A$1:$AR$1455</definedName>
    <definedName name="_xlnm.Print_Titles" localSheetId="0">Control_Servicios!$1:$1</definedName>
    <definedName name="RELLENO">Control_Servicios!#REF!</definedName>
    <definedName name="RUC">Control_Servicios!#REF!</definedName>
    <definedName name="SEDE">Control_Servicios!#REF!</definedName>
    <definedName name="SERIE">Control_Servicios!#REF!</definedName>
    <definedName name="SERIE2">Control_Servicios!#REF!</definedName>
    <definedName name="SERVICIO">Control_Servicios!#REF!</definedName>
    <definedName name="servicios">'[1]Lista de Servicios'!$B$4:$C$7</definedName>
    <definedName name="SI.01">#REF!</definedName>
    <definedName name="SI.02">#REF!</definedName>
    <definedName name="SI.03">#REF!</definedName>
    <definedName name="SI.04">#REF!</definedName>
    <definedName name="SI.05">#REF!</definedName>
    <definedName name="SUB_TOTAL">Control_Servicios!#REF!</definedName>
    <definedName name="TOTAL">Control_Servicios!#REF!</definedName>
    <definedName name="unidades">#REF!</definedName>
    <definedName name="VALORIZACIÓN">Control_Servicios!#REF!</definedName>
    <definedName name="VEHICULOS">'[1]UNIDADES VEHICULARES'!$E$3:$G$8</definedName>
    <definedName name="VENCIMIENTO">Control_Servicios!#REF!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1452" i="11" l="1"/>
  <c r="BJ1443" i="11" l="1"/>
  <c r="BI1443" i="11"/>
  <c r="BH1443" i="11"/>
  <c r="BG1443" i="11"/>
  <c r="BJ1437" i="11"/>
  <c r="BI1437" i="11"/>
  <c r="BH1437" i="11"/>
  <c r="BG1437" i="11"/>
  <c r="BJ1436" i="11"/>
  <c r="BI1436" i="11"/>
  <c r="BH1436" i="11"/>
  <c r="BG1436" i="11"/>
  <c r="BJ1394" i="11"/>
  <c r="BI1394" i="11"/>
  <c r="BH1394" i="11"/>
  <c r="BG1394" i="11"/>
  <c r="BJ1373" i="11"/>
  <c r="BI1373" i="11"/>
  <c r="BH1373" i="11"/>
  <c r="BG1373" i="11"/>
  <c r="BJ1371" i="11"/>
  <c r="BI1371" i="11"/>
  <c r="BH1371" i="11"/>
  <c r="BG1371" i="11"/>
  <c r="BG1358" i="11"/>
  <c r="BH1358" i="11"/>
  <c r="BI1358" i="11"/>
  <c r="BJ1358" i="11"/>
  <c r="BL1358" i="11"/>
  <c r="BG1359" i="11"/>
  <c r="BH1359" i="11"/>
  <c r="BI1359" i="11"/>
  <c r="BJ1359" i="11"/>
  <c r="BL1359" i="11"/>
  <c r="BG1360" i="11"/>
  <c r="BH1360" i="11"/>
  <c r="BI1360" i="11"/>
  <c r="BJ1360" i="11"/>
  <c r="BL1360" i="11"/>
  <c r="BG1361" i="11"/>
  <c r="BH1361" i="11"/>
  <c r="BI1361" i="11"/>
  <c r="BJ1361" i="11"/>
  <c r="BL1361" i="11"/>
  <c r="BG1362" i="11"/>
  <c r="BH1362" i="11"/>
  <c r="BI1362" i="11"/>
  <c r="BJ1362" i="11"/>
  <c r="BL1362" i="11"/>
  <c r="BG1363" i="11"/>
  <c r="BH1363" i="11"/>
  <c r="BI1363" i="11"/>
  <c r="BJ1363" i="11"/>
  <c r="BL1363" i="11"/>
  <c r="BG1364" i="11"/>
  <c r="BH1364" i="11"/>
  <c r="BI1364" i="11"/>
  <c r="BJ1364" i="11"/>
  <c r="BL1364" i="11"/>
  <c r="BG1365" i="11"/>
  <c r="BH1365" i="11"/>
  <c r="BI1365" i="11"/>
  <c r="BJ1365" i="11"/>
  <c r="BL1365" i="11"/>
  <c r="BG1366" i="11"/>
  <c r="BH1366" i="11"/>
  <c r="BI1366" i="11"/>
  <c r="BJ1366" i="11"/>
  <c r="BL1366" i="11"/>
  <c r="BG1367" i="11"/>
  <c r="BH1367" i="11"/>
  <c r="BI1367" i="11"/>
  <c r="BJ1367" i="11"/>
  <c r="BL1367" i="11"/>
  <c r="BG1368" i="11"/>
  <c r="BH1368" i="11"/>
  <c r="BI1368" i="11"/>
  <c r="BJ1368" i="11"/>
  <c r="BL1368" i="11"/>
  <c r="BG1369" i="11"/>
  <c r="BH1369" i="11"/>
  <c r="BI1369" i="11"/>
  <c r="BJ1369" i="11"/>
  <c r="BL1369" i="11"/>
  <c r="BG1370" i="11"/>
  <c r="BH1370" i="11"/>
  <c r="BI1370" i="11"/>
  <c r="BJ1370" i="11"/>
  <c r="BL1370" i="11"/>
  <c r="BL1371" i="11"/>
  <c r="BG1372" i="11"/>
  <c r="BH1372" i="11"/>
  <c r="BI1372" i="11"/>
  <c r="BJ1372" i="11"/>
  <c r="BL1372" i="11"/>
  <c r="BL1373" i="11"/>
  <c r="BG1374" i="11"/>
  <c r="BH1374" i="11"/>
  <c r="BI1374" i="11"/>
  <c r="BJ1374" i="11"/>
  <c r="BL1374" i="11"/>
  <c r="BG1375" i="11"/>
  <c r="BH1375" i="11"/>
  <c r="BI1375" i="11"/>
  <c r="BJ1375" i="11"/>
  <c r="BL1375" i="11"/>
  <c r="BG1376" i="11"/>
  <c r="BH1376" i="11"/>
  <c r="BI1376" i="11"/>
  <c r="BJ1376" i="11"/>
  <c r="BL1376" i="11"/>
  <c r="BG1377" i="11"/>
  <c r="BH1377" i="11"/>
  <c r="BI1377" i="11"/>
  <c r="BJ1377" i="11"/>
  <c r="BL1377" i="11"/>
  <c r="BG1378" i="11"/>
  <c r="BH1378" i="11"/>
  <c r="BI1378" i="11"/>
  <c r="BJ1378" i="11"/>
  <c r="BL1378" i="11"/>
  <c r="BG1379" i="11"/>
  <c r="BH1379" i="11"/>
  <c r="BI1379" i="11"/>
  <c r="BJ1379" i="11"/>
  <c r="BL1379" i="11"/>
  <c r="BG1380" i="11"/>
  <c r="BH1380" i="11"/>
  <c r="BI1380" i="11"/>
  <c r="BJ1380" i="11"/>
  <c r="BL1380" i="11"/>
  <c r="BG1381" i="11"/>
  <c r="BH1381" i="11"/>
  <c r="BI1381" i="11"/>
  <c r="BJ1381" i="11"/>
  <c r="BL1381" i="11"/>
  <c r="BG1382" i="11"/>
  <c r="BH1382" i="11"/>
  <c r="BI1382" i="11"/>
  <c r="BJ1382" i="11"/>
  <c r="BL1382" i="11"/>
  <c r="BG1383" i="11"/>
  <c r="BH1383" i="11"/>
  <c r="BI1383" i="11"/>
  <c r="BJ1383" i="11"/>
  <c r="BL1383" i="11"/>
  <c r="BG1384" i="11"/>
  <c r="BH1384" i="11"/>
  <c r="BI1384" i="11"/>
  <c r="BJ1384" i="11"/>
  <c r="BL1384" i="11"/>
  <c r="BG1385" i="11"/>
  <c r="BH1385" i="11"/>
  <c r="BI1385" i="11"/>
  <c r="BJ1385" i="11"/>
  <c r="BL1385" i="11"/>
  <c r="BG1386" i="11"/>
  <c r="BH1386" i="11"/>
  <c r="BI1386" i="11"/>
  <c r="BJ1386" i="11"/>
  <c r="BL1386" i="11"/>
  <c r="BG1387" i="11"/>
  <c r="BH1387" i="11"/>
  <c r="BI1387" i="11"/>
  <c r="BJ1387" i="11"/>
  <c r="BL1387" i="11"/>
  <c r="BG1388" i="11"/>
  <c r="BH1388" i="11"/>
  <c r="BI1388" i="11"/>
  <c r="BJ1388" i="11"/>
  <c r="BL1388" i="11"/>
  <c r="BG1389" i="11"/>
  <c r="BH1389" i="11"/>
  <c r="BI1389" i="11"/>
  <c r="BJ1389" i="11"/>
  <c r="BL1389" i="11"/>
  <c r="BG1390" i="11"/>
  <c r="BH1390" i="11"/>
  <c r="BI1390" i="11"/>
  <c r="BJ1390" i="11"/>
  <c r="BL1390" i="11"/>
  <c r="BG1391" i="11"/>
  <c r="BH1391" i="11"/>
  <c r="BI1391" i="11"/>
  <c r="BJ1391" i="11"/>
  <c r="BL1391" i="11"/>
  <c r="BG1392" i="11"/>
  <c r="BH1392" i="11"/>
  <c r="BI1392" i="11"/>
  <c r="BJ1392" i="11"/>
  <c r="BL1392" i="11"/>
  <c r="BG1393" i="11"/>
  <c r="BH1393" i="11"/>
  <c r="BI1393" i="11"/>
  <c r="BJ1393" i="11"/>
  <c r="BL1393" i="11"/>
  <c r="BL1394" i="11"/>
  <c r="BG1395" i="11"/>
  <c r="BH1395" i="11"/>
  <c r="BI1395" i="11"/>
  <c r="BJ1395" i="11"/>
  <c r="BL1395" i="11"/>
  <c r="BG1396" i="11"/>
  <c r="BH1396" i="11"/>
  <c r="BI1396" i="11"/>
  <c r="BJ1396" i="11"/>
  <c r="BL1396" i="11"/>
  <c r="BG1397" i="11"/>
  <c r="BH1397" i="11"/>
  <c r="BI1397" i="11"/>
  <c r="BJ1397" i="11"/>
  <c r="BL1397" i="11"/>
  <c r="BG1398" i="11"/>
  <c r="BH1398" i="11"/>
  <c r="BI1398" i="11"/>
  <c r="BJ1398" i="11"/>
  <c r="BL1398" i="11"/>
  <c r="BG1399" i="11"/>
  <c r="BH1399" i="11"/>
  <c r="BI1399" i="11"/>
  <c r="BJ1399" i="11"/>
  <c r="BL1399" i="11"/>
  <c r="BG1400" i="11"/>
  <c r="BH1400" i="11"/>
  <c r="BI1400" i="11"/>
  <c r="BJ1400" i="11"/>
  <c r="BL1400" i="11"/>
  <c r="BG1401" i="11"/>
  <c r="BH1401" i="11"/>
  <c r="BI1401" i="11"/>
  <c r="BJ1401" i="11"/>
  <c r="BL1401" i="11"/>
  <c r="BG1402" i="11"/>
  <c r="BH1402" i="11"/>
  <c r="BI1402" i="11"/>
  <c r="BJ1402" i="11"/>
  <c r="BL1402" i="11"/>
  <c r="BG1403" i="11"/>
  <c r="BH1403" i="11"/>
  <c r="BI1403" i="11"/>
  <c r="BJ1403" i="11"/>
  <c r="BL1403" i="11"/>
  <c r="BG1404" i="11"/>
  <c r="BH1404" i="11"/>
  <c r="BI1404" i="11"/>
  <c r="BJ1404" i="11"/>
  <c r="BL1404" i="11"/>
  <c r="BG1405" i="11"/>
  <c r="BH1405" i="11"/>
  <c r="BI1405" i="11"/>
  <c r="BJ1405" i="11"/>
  <c r="BL1405" i="11"/>
  <c r="BG1406" i="11"/>
  <c r="BH1406" i="11"/>
  <c r="BI1406" i="11"/>
  <c r="BJ1406" i="11"/>
  <c r="BL1406" i="11"/>
  <c r="BG1407" i="11"/>
  <c r="BH1407" i="11"/>
  <c r="BI1407" i="11"/>
  <c r="BJ1407" i="11"/>
  <c r="BL1407" i="11"/>
  <c r="BG1408" i="11"/>
  <c r="BH1408" i="11"/>
  <c r="BI1408" i="11"/>
  <c r="BJ1408" i="11"/>
  <c r="BL1408" i="11"/>
  <c r="BG1409" i="11"/>
  <c r="BH1409" i="11"/>
  <c r="BI1409" i="11"/>
  <c r="BJ1409" i="11"/>
  <c r="BL1409" i="11"/>
  <c r="BG1410" i="11"/>
  <c r="BH1410" i="11"/>
  <c r="BI1410" i="11"/>
  <c r="BJ1410" i="11"/>
  <c r="BL1410" i="11"/>
  <c r="BG1411" i="11"/>
  <c r="BH1411" i="11"/>
  <c r="BI1411" i="11"/>
  <c r="BJ1411" i="11"/>
  <c r="BL1411" i="11"/>
  <c r="BG1412" i="11"/>
  <c r="BH1412" i="11"/>
  <c r="BI1412" i="11"/>
  <c r="BJ1412" i="11"/>
  <c r="BL1412" i="11"/>
  <c r="BG1413" i="11"/>
  <c r="BH1413" i="11"/>
  <c r="BI1413" i="11"/>
  <c r="BJ1413" i="11"/>
  <c r="BL1413" i="11"/>
  <c r="BG1414" i="11"/>
  <c r="BH1414" i="11"/>
  <c r="BI1414" i="11"/>
  <c r="BJ1414" i="11"/>
  <c r="BL1414" i="11"/>
  <c r="BG1415" i="11"/>
  <c r="BH1415" i="11"/>
  <c r="BI1415" i="11"/>
  <c r="BJ1415" i="11"/>
  <c r="BL1415" i="11"/>
  <c r="BG1416" i="11"/>
  <c r="BH1416" i="11"/>
  <c r="BI1416" i="11"/>
  <c r="BJ1416" i="11"/>
  <c r="BL1416" i="11"/>
  <c r="BG1417" i="11"/>
  <c r="BH1417" i="11"/>
  <c r="BI1417" i="11"/>
  <c r="BJ1417" i="11"/>
  <c r="BL1417" i="11"/>
  <c r="BG1418" i="11"/>
  <c r="BH1418" i="11"/>
  <c r="BI1418" i="11"/>
  <c r="BJ1418" i="11"/>
  <c r="BL1418" i="11"/>
  <c r="BG1419" i="11"/>
  <c r="BH1419" i="11"/>
  <c r="BI1419" i="11"/>
  <c r="BJ1419" i="11"/>
  <c r="BL1419" i="11"/>
  <c r="BG1420" i="11"/>
  <c r="BH1420" i="11"/>
  <c r="BI1420" i="11"/>
  <c r="BJ1420" i="11"/>
  <c r="BL1420" i="11"/>
  <c r="BG1421" i="11"/>
  <c r="BH1421" i="11"/>
  <c r="BI1421" i="11"/>
  <c r="BJ1421" i="11"/>
  <c r="BL1421" i="11"/>
  <c r="BG1422" i="11"/>
  <c r="BH1422" i="11"/>
  <c r="BI1422" i="11"/>
  <c r="BJ1422" i="11"/>
  <c r="BL1422" i="11"/>
  <c r="BG1423" i="11"/>
  <c r="BH1423" i="11"/>
  <c r="BI1423" i="11"/>
  <c r="BJ1423" i="11"/>
  <c r="BL1423" i="11"/>
  <c r="BG1424" i="11"/>
  <c r="BH1424" i="11"/>
  <c r="BI1424" i="11"/>
  <c r="BJ1424" i="11"/>
  <c r="BL1424" i="11"/>
  <c r="BG1425" i="11"/>
  <c r="BH1425" i="11"/>
  <c r="BI1425" i="11"/>
  <c r="BJ1425" i="11"/>
  <c r="BL1425" i="11"/>
  <c r="BG1426" i="11"/>
  <c r="BH1426" i="11"/>
  <c r="BI1426" i="11"/>
  <c r="BJ1426" i="11"/>
  <c r="BL1426" i="11"/>
  <c r="BG1427" i="11"/>
  <c r="BH1427" i="11"/>
  <c r="BI1427" i="11"/>
  <c r="BJ1427" i="11"/>
  <c r="BL1427" i="11"/>
  <c r="BG1428" i="11"/>
  <c r="BH1428" i="11"/>
  <c r="BI1428" i="11"/>
  <c r="BJ1428" i="11"/>
  <c r="BL1428" i="11"/>
  <c r="BG1429" i="11"/>
  <c r="BH1429" i="11"/>
  <c r="BI1429" i="11"/>
  <c r="BJ1429" i="11"/>
  <c r="BL1429" i="11"/>
  <c r="BG1430" i="11"/>
  <c r="BH1430" i="11"/>
  <c r="BI1430" i="11"/>
  <c r="BJ1430" i="11"/>
  <c r="BL1430" i="11"/>
  <c r="BG1431" i="11"/>
  <c r="BH1431" i="11"/>
  <c r="BI1431" i="11"/>
  <c r="BJ1431" i="11"/>
  <c r="BL1431" i="11"/>
  <c r="BG1432" i="11"/>
  <c r="BH1432" i="11"/>
  <c r="BI1432" i="11"/>
  <c r="BJ1432" i="11"/>
  <c r="BL1432" i="11"/>
  <c r="BG1433" i="11"/>
  <c r="BH1433" i="11"/>
  <c r="BI1433" i="11"/>
  <c r="BJ1433" i="11"/>
  <c r="BL1433" i="11"/>
  <c r="BG1434" i="11"/>
  <c r="BH1434" i="11"/>
  <c r="BI1434" i="11"/>
  <c r="BJ1434" i="11"/>
  <c r="BL1434" i="11"/>
  <c r="BG1435" i="11"/>
  <c r="BH1435" i="11"/>
  <c r="BI1435" i="11"/>
  <c r="BJ1435" i="11"/>
  <c r="BL1435" i="11"/>
  <c r="BL1436" i="11"/>
  <c r="BL1437" i="11"/>
  <c r="BG1438" i="11"/>
  <c r="BH1438" i="11"/>
  <c r="BI1438" i="11"/>
  <c r="BJ1438" i="11"/>
  <c r="BL1438" i="11"/>
  <c r="BG1439" i="11"/>
  <c r="BH1439" i="11"/>
  <c r="BI1439" i="11"/>
  <c r="BJ1439" i="11"/>
  <c r="BL1439" i="11"/>
  <c r="BG1440" i="11"/>
  <c r="BH1440" i="11"/>
  <c r="BI1440" i="11"/>
  <c r="BJ1440" i="11"/>
  <c r="BL1440" i="11"/>
  <c r="BG1441" i="11"/>
  <c r="BH1441" i="11"/>
  <c r="BI1441" i="11"/>
  <c r="BJ1441" i="11"/>
  <c r="BL1441" i="11"/>
  <c r="BG1442" i="11"/>
  <c r="BH1442" i="11"/>
  <c r="BI1442" i="11"/>
  <c r="BJ1442" i="11"/>
  <c r="BL1442" i="11"/>
  <c r="BL1443" i="11"/>
  <c r="BG1444" i="11"/>
  <c r="BH1444" i="11"/>
  <c r="BI1444" i="11"/>
  <c r="BJ1444" i="11"/>
  <c r="BL1444" i="11"/>
  <c r="BG1445" i="11"/>
  <c r="BH1445" i="11"/>
  <c r="BI1445" i="11"/>
  <c r="BJ1445" i="11"/>
  <c r="BL1445" i="11"/>
  <c r="BG1446" i="11"/>
  <c r="BH1446" i="11"/>
  <c r="BI1446" i="11"/>
  <c r="BJ1446" i="11"/>
  <c r="BL1446" i="11"/>
  <c r="BG1447" i="11"/>
  <c r="BH1447" i="11"/>
  <c r="BI1447" i="11"/>
  <c r="BJ1447" i="11"/>
  <c r="BL1447" i="11"/>
  <c r="BG1448" i="11"/>
  <c r="BH1448" i="11"/>
  <c r="BI1448" i="11"/>
  <c r="BJ1448" i="11"/>
  <c r="BL1448" i="11"/>
  <c r="BG1449" i="11"/>
  <c r="BH1449" i="11"/>
  <c r="BI1449" i="11"/>
  <c r="BJ1449" i="11"/>
  <c r="BL1449" i="11"/>
  <c r="BG1450" i="11"/>
  <c r="BH1450" i="11"/>
  <c r="BI1450" i="11"/>
  <c r="BJ1450" i="11"/>
  <c r="BL1450" i="11"/>
  <c r="BG1451" i="11"/>
  <c r="BH1451" i="11"/>
  <c r="BI1451" i="11"/>
  <c r="BJ1451" i="11"/>
  <c r="BL1451" i="11"/>
  <c r="BG1452" i="11"/>
  <c r="BH1452" i="11"/>
  <c r="BI1452" i="11"/>
  <c r="BJ1452" i="11"/>
  <c r="BL1452" i="11"/>
  <c r="BG1453" i="11"/>
  <c r="BH1453" i="11"/>
  <c r="BI1453" i="11"/>
  <c r="BJ1453" i="11"/>
  <c r="BL1453" i="11"/>
  <c r="BG1454" i="11"/>
  <c r="BH1454" i="11"/>
  <c r="BI1454" i="11"/>
  <c r="BJ1454" i="11"/>
  <c r="BL1454" i="11"/>
  <c r="R172" i="11"/>
  <c r="S1449" i="11"/>
  <c r="R1449" i="11"/>
  <c r="S1450" i="11"/>
  <c r="H1449" i="11"/>
  <c r="H1450" i="11"/>
  <c r="T1449" i="11"/>
  <c r="U1449" i="11" s="1"/>
  <c r="V1449" i="11" s="1"/>
  <c r="T1450" i="11"/>
  <c r="U1450" i="11" s="1"/>
  <c r="V1450" i="11" s="1"/>
  <c r="W1449" i="11"/>
  <c r="AF1449" i="11" s="1"/>
  <c r="AR1449" i="11" s="1"/>
  <c r="W1450" i="11"/>
  <c r="AF1450" i="11" s="1"/>
  <c r="AR1450" i="11" s="1"/>
  <c r="AD1449" i="11"/>
  <c r="AD1450" i="11"/>
  <c r="AS1449" i="11"/>
  <c r="AS1450" i="11"/>
  <c r="AT1449" i="11"/>
  <c r="AG1449" i="11" s="1"/>
  <c r="AX1449" i="11" s="1"/>
  <c r="AT1450" i="11"/>
  <c r="AG1450" i="11" s="1"/>
  <c r="AX1450" i="11" s="1"/>
  <c r="AV1449" i="11"/>
  <c r="AY1449" i="11" s="1"/>
  <c r="AV1450" i="11"/>
  <c r="AY1450" i="11" s="1"/>
  <c r="AW1449" i="11"/>
  <c r="AW1450" i="11"/>
  <c r="AZ1449" i="11" l="1"/>
  <c r="BK1430" i="11"/>
  <c r="BN1430" i="11" s="1"/>
  <c r="BK1414" i="11"/>
  <c r="BN1414" i="11" s="1"/>
  <c r="BK1398" i="11"/>
  <c r="BN1398" i="11" s="1"/>
  <c r="BK1382" i="11"/>
  <c r="BN1382" i="11" s="1"/>
  <c r="BK1366" i="11"/>
  <c r="BN1366" i="11" s="1"/>
  <c r="BK1446" i="11"/>
  <c r="BN1446" i="11" s="1"/>
  <c r="BK1438" i="11"/>
  <c r="BN1438" i="11" s="1"/>
  <c r="BK1422" i="11"/>
  <c r="BN1422" i="11" s="1"/>
  <c r="BK1406" i="11"/>
  <c r="BN1406" i="11" s="1"/>
  <c r="BK1390" i="11"/>
  <c r="BN1390" i="11" s="1"/>
  <c r="BK1374" i="11"/>
  <c r="BN1374" i="11" s="1"/>
  <c r="BK1358" i="11"/>
  <c r="BN1358" i="11" s="1"/>
  <c r="BK1436" i="11"/>
  <c r="BK1420" i="11"/>
  <c r="BN1420" i="11" s="1"/>
  <c r="BK1404" i="11"/>
  <c r="BN1404" i="11" s="1"/>
  <c r="BK1388" i="11"/>
  <c r="BN1388" i="11" s="1"/>
  <c r="BK1372" i="11"/>
  <c r="BN1372" i="11" s="1"/>
  <c r="BK1451" i="11"/>
  <c r="BN1451" i="11" s="1"/>
  <c r="BK1444" i="11"/>
  <c r="BN1444" i="11" s="1"/>
  <c r="BK1435" i="11"/>
  <c r="BN1435" i="11" s="1"/>
  <c r="BK1428" i="11"/>
  <c r="BN1428" i="11" s="1"/>
  <c r="BK1419" i="11"/>
  <c r="BN1419" i="11" s="1"/>
  <c r="BK1412" i="11"/>
  <c r="BN1412" i="11" s="1"/>
  <c r="BK1403" i="11"/>
  <c r="BN1403" i="11" s="1"/>
  <c r="BK1396" i="11"/>
  <c r="BN1396" i="11" s="1"/>
  <c r="BK1387" i="11"/>
  <c r="BN1387" i="11" s="1"/>
  <c r="BK1380" i="11"/>
  <c r="BN1380" i="11" s="1"/>
  <c r="BK1371" i="11"/>
  <c r="BK1364" i="11"/>
  <c r="BN1364" i="11" s="1"/>
  <c r="BA1450" i="11"/>
  <c r="BK1411" i="11"/>
  <c r="BN1411" i="11" s="1"/>
  <c r="BK1395" i="11"/>
  <c r="BN1395" i="11" s="1"/>
  <c r="BK1379" i="11"/>
  <c r="BN1379" i="11" s="1"/>
  <c r="BK1363" i="11"/>
  <c r="BN1363" i="11" s="1"/>
  <c r="BA1449" i="11"/>
  <c r="BK1443" i="11"/>
  <c r="BK1427" i="11"/>
  <c r="BN1427" i="11" s="1"/>
  <c r="AE1449" i="11"/>
  <c r="AU1449" i="11" s="1"/>
  <c r="BK1442" i="11"/>
  <c r="BN1442" i="11" s="1"/>
  <c r="BK1434" i="11"/>
  <c r="BN1434" i="11" s="1"/>
  <c r="BK1426" i="11"/>
  <c r="BN1426" i="11" s="1"/>
  <c r="BK1418" i="11"/>
  <c r="BN1418" i="11" s="1"/>
  <c r="BK1410" i="11"/>
  <c r="BN1410" i="11" s="1"/>
  <c r="BK1402" i="11"/>
  <c r="BN1402" i="11" s="1"/>
  <c r="BK1394" i="11"/>
  <c r="BK1386" i="11"/>
  <c r="BN1386" i="11" s="1"/>
  <c r="BK1378" i="11"/>
  <c r="BN1378" i="11" s="1"/>
  <c r="BK1370" i="11"/>
  <c r="BN1370" i="11" s="1"/>
  <c r="BK1362" i="11"/>
  <c r="BN1362" i="11" s="1"/>
  <c r="AE1450" i="11"/>
  <c r="AU1450" i="11" s="1"/>
  <c r="BK1453" i="11"/>
  <c r="BN1453" i="11" s="1"/>
  <c r="BK1445" i="11"/>
  <c r="BN1445" i="11" s="1"/>
  <c r="BK1437" i="11"/>
  <c r="BK1429" i="11"/>
  <c r="BN1429" i="11" s="1"/>
  <c r="BK1421" i="11"/>
  <c r="BN1421" i="11" s="1"/>
  <c r="BK1413" i="11"/>
  <c r="BN1413" i="11" s="1"/>
  <c r="BK1405" i="11"/>
  <c r="BN1405" i="11" s="1"/>
  <c r="BK1397" i="11"/>
  <c r="BN1397" i="11" s="1"/>
  <c r="BK1389" i="11"/>
  <c r="BN1389" i="11" s="1"/>
  <c r="BK1381" i="11"/>
  <c r="BN1381" i="11" s="1"/>
  <c r="BK1373" i="11"/>
  <c r="BK1365" i="11"/>
  <c r="BN1365" i="11" s="1"/>
  <c r="BK1447" i="11"/>
  <c r="AZ1450" i="11"/>
  <c r="BK1441" i="11"/>
  <c r="BN1441" i="11" s="1"/>
  <c r="BK1425" i="11"/>
  <c r="BN1425" i="11" s="1"/>
  <c r="BK1417" i="11"/>
  <c r="BN1417" i="11" s="1"/>
  <c r="BK1409" i="11"/>
  <c r="BN1409" i="11" s="1"/>
  <c r="BK1401" i="11"/>
  <c r="BN1401" i="11" s="1"/>
  <c r="BK1393" i="11"/>
  <c r="BN1393" i="11" s="1"/>
  <c r="BK1385" i="11"/>
  <c r="BN1385" i="11" s="1"/>
  <c r="BK1377" i="11"/>
  <c r="BN1377" i="11" s="1"/>
  <c r="BK1369" i="11"/>
  <c r="BN1369" i="11" s="1"/>
  <c r="BK1361" i="11"/>
  <c r="BN1361" i="11" s="1"/>
  <c r="BK1375" i="11"/>
  <c r="BN1375" i="11" s="1"/>
  <c r="BK1359" i="11"/>
  <c r="BN1359" i="11" s="1"/>
  <c r="BK1433" i="11"/>
  <c r="BN1433" i="11" s="1"/>
  <c r="BK1439" i="11"/>
  <c r="BN1439" i="11" s="1"/>
  <c r="BK1431" i="11"/>
  <c r="BN1431" i="11" s="1"/>
  <c r="BK1415" i="11"/>
  <c r="BN1415" i="11" s="1"/>
  <c r="BK1407" i="11"/>
  <c r="BN1407" i="11" s="1"/>
  <c r="BK1399" i="11"/>
  <c r="BN1399" i="11" s="1"/>
  <c r="BK1383" i="11"/>
  <c r="BN1383" i="11" s="1"/>
  <c r="BK1454" i="11"/>
  <c r="BN1454" i="11" s="1"/>
  <c r="BK1423" i="11"/>
  <c r="BN1423" i="11" s="1"/>
  <c r="BK1391" i="11"/>
  <c r="BN1391" i="11" s="1"/>
  <c r="BK1367" i="11"/>
  <c r="BN1367" i="11" s="1"/>
  <c r="BK1452" i="11"/>
  <c r="BN1452" i="11" s="1"/>
  <c r="BK1448" i="11"/>
  <c r="BN1448" i="11" s="1"/>
  <c r="BK1440" i="11"/>
  <c r="BN1440" i="11" s="1"/>
  <c r="BK1432" i="11"/>
  <c r="BN1432" i="11" s="1"/>
  <c r="BK1424" i="11"/>
  <c r="BN1424" i="11" s="1"/>
  <c r="BK1416" i="11"/>
  <c r="BN1416" i="11" s="1"/>
  <c r="BK1408" i="11"/>
  <c r="BN1408" i="11" s="1"/>
  <c r="BK1400" i="11"/>
  <c r="BN1400" i="11" s="1"/>
  <c r="BK1392" i="11"/>
  <c r="BN1392" i="11" s="1"/>
  <c r="BK1384" i="11"/>
  <c r="BN1384" i="11" s="1"/>
  <c r="BK1376" i="11"/>
  <c r="BN1376" i="11" s="1"/>
  <c r="BK1368" i="11"/>
  <c r="BN1368" i="11" s="1"/>
  <c r="BK1360" i="11"/>
  <c r="BN1360" i="11" s="1"/>
  <c r="BK1450" i="11"/>
  <c r="BN1450" i="11" s="1"/>
  <c r="BK1449" i="11"/>
  <c r="BN1449" i="11" s="1"/>
  <c r="AM1450" i="11"/>
  <c r="AO1450" i="11"/>
  <c r="AO1449" i="11"/>
  <c r="AM1449" i="11"/>
  <c r="AK1450" i="11"/>
  <c r="AK1449" i="11"/>
  <c r="AI1450" i="11"/>
  <c r="AI1449" i="11"/>
  <c r="BB1449" i="11" l="1"/>
  <c r="BB1450" i="11"/>
  <c r="S1446" i="11" l="1"/>
  <c r="S1440" i="11"/>
  <c r="R1448" i="11"/>
  <c r="R1433" i="11"/>
  <c r="T1433" i="11" s="1"/>
  <c r="U1433" i="11" s="1"/>
  <c r="V1433" i="11" s="1"/>
  <c r="S1442" i="11"/>
  <c r="H1433" i="11"/>
  <c r="W1433" i="11"/>
  <c r="AF1433" i="11" s="1"/>
  <c r="AR1433" i="11" s="1"/>
  <c r="AD1433" i="11"/>
  <c r="AS1433" i="11"/>
  <c r="AT1433" i="11"/>
  <c r="AM1433" i="11" s="1"/>
  <c r="AV1433" i="11"/>
  <c r="AY1433" i="11" s="1"/>
  <c r="AW1433" i="11"/>
  <c r="AE1433" i="11" l="1"/>
  <c r="AU1433" i="11" s="1"/>
  <c r="AZ1433" i="11"/>
  <c r="AI1433" i="11"/>
  <c r="AK1433" i="11"/>
  <c r="AG1433" i="11"/>
  <c r="AX1433" i="11" s="1"/>
  <c r="BA1433" i="11" s="1"/>
  <c r="AO1433" i="11"/>
  <c r="R1444" i="11"/>
  <c r="BB1433" i="11" l="1"/>
  <c r="R1429" i="11"/>
  <c r="R1438" i="11"/>
  <c r="R1435" i="11"/>
  <c r="W1442" i="11"/>
  <c r="AF1442" i="11" s="1"/>
  <c r="AR1442" i="11" s="1"/>
  <c r="AD1442" i="11"/>
  <c r="AE1442" i="11"/>
  <c r="W1443" i="11"/>
  <c r="AF1443" i="11" s="1"/>
  <c r="AR1443" i="11" s="1"/>
  <c r="AD1443" i="11"/>
  <c r="AE1443" i="11"/>
  <c r="W1444" i="11"/>
  <c r="AF1444" i="11" s="1"/>
  <c r="AR1444" i="11" s="1"/>
  <c r="AD1444" i="11"/>
  <c r="AE1444" i="11"/>
  <c r="W1445" i="11"/>
  <c r="AF1445" i="11" s="1"/>
  <c r="AR1445" i="11" s="1"/>
  <c r="AD1445" i="11"/>
  <c r="AE1445" i="11"/>
  <c r="W1446" i="11"/>
  <c r="AF1446" i="11" s="1"/>
  <c r="AR1446" i="11" s="1"/>
  <c r="AD1446" i="11"/>
  <c r="AE1446" i="11"/>
  <c r="W1447" i="11"/>
  <c r="AF1447" i="11" s="1"/>
  <c r="AR1447" i="11" s="1"/>
  <c r="AD1447" i="11"/>
  <c r="AE1447" i="11"/>
  <c r="W1448" i="11"/>
  <c r="AF1448" i="11" s="1"/>
  <c r="AR1448" i="11" s="1"/>
  <c r="AD1448" i="11"/>
  <c r="W1451" i="11"/>
  <c r="AF1451" i="11" s="1"/>
  <c r="AR1451" i="11" s="1"/>
  <c r="AD1451" i="11"/>
  <c r="AE1451" i="11"/>
  <c r="W1452" i="11"/>
  <c r="AF1452" i="11" s="1"/>
  <c r="AR1452" i="11" s="1"/>
  <c r="AD1452" i="11"/>
  <c r="AE1452" i="11"/>
  <c r="W1453" i="11"/>
  <c r="AF1453" i="11" s="1"/>
  <c r="AR1453" i="11" s="1"/>
  <c r="AD1453" i="11"/>
  <c r="AE1453" i="11"/>
  <c r="W1454" i="11"/>
  <c r="AF1454" i="11" s="1"/>
  <c r="AR1454" i="11" s="1"/>
  <c r="AD1454" i="11"/>
  <c r="AE1454" i="11"/>
  <c r="T1440" i="11"/>
  <c r="T1442" i="11"/>
  <c r="U1442" i="11" s="1"/>
  <c r="V1442" i="11" s="1"/>
  <c r="T1443" i="11"/>
  <c r="U1443" i="11" s="1"/>
  <c r="V1443" i="11" s="1"/>
  <c r="T1444" i="11"/>
  <c r="U1444" i="11" s="1"/>
  <c r="T1445" i="11"/>
  <c r="U1445" i="11" s="1"/>
  <c r="T1446" i="11"/>
  <c r="U1446" i="11" s="1"/>
  <c r="T1447" i="11"/>
  <c r="U1447" i="11" s="1"/>
  <c r="T1448" i="11"/>
  <c r="U1448" i="11" s="1"/>
  <c r="T1451" i="11"/>
  <c r="U1451" i="11" s="1"/>
  <c r="V1451" i="11" s="1"/>
  <c r="T1452" i="11"/>
  <c r="U1452" i="11" s="1"/>
  <c r="V1452" i="11" s="1"/>
  <c r="T1453" i="11"/>
  <c r="U1453" i="11" s="1"/>
  <c r="V1453" i="11" s="1"/>
  <c r="T1454" i="11"/>
  <c r="U1454" i="11" s="1"/>
  <c r="S1407" i="11"/>
  <c r="S1439" i="11"/>
  <c r="S1441" i="11"/>
  <c r="T1441" i="11" s="1"/>
  <c r="R1428" i="11"/>
  <c r="H1442" i="11"/>
  <c r="H1443" i="11"/>
  <c r="H1444" i="11"/>
  <c r="H1445" i="11"/>
  <c r="H1446" i="11"/>
  <c r="H1447" i="11"/>
  <c r="H1448" i="11"/>
  <c r="H1451" i="11"/>
  <c r="H1452" i="11"/>
  <c r="H1453" i="11"/>
  <c r="H1454" i="11"/>
  <c r="AS1442" i="11"/>
  <c r="AS1443" i="11"/>
  <c r="AS1444" i="11"/>
  <c r="AS1445" i="11"/>
  <c r="AS1446" i="11"/>
  <c r="AS1447" i="11"/>
  <c r="AS1448" i="11"/>
  <c r="AT1442" i="11"/>
  <c r="AM1442" i="11" s="1"/>
  <c r="AT1443" i="11"/>
  <c r="AM1443" i="11" s="1"/>
  <c r="AT1444" i="11"/>
  <c r="AO1444" i="11" s="1"/>
  <c r="AT1445" i="11"/>
  <c r="AI1445" i="11" s="1"/>
  <c r="AT1446" i="11"/>
  <c r="AI1446" i="11" s="1"/>
  <c r="AT1447" i="11"/>
  <c r="AI1447" i="11" s="1"/>
  <c r="AT1448" i="11"/>
  <c r="AI1448" i="11" s="1"/>
  <c r="AV1442" i="11"/>
  <c r="AY1442" i="11" s="1"/>
  <c r="AV1443" i="11"/>
  <c r="AY1443" i="11" s="1"/>
  <c r="AV1444" i="11"/>
  <c r="AY1444" i="11" s="1"/>
  <c r="AV1445" i="11"/>
  <c r="AY1445" i="11" s="1"/>
  <c r="AV1446" i="11"/>
  <c r="AY1446" i="11" s="1"/>
  <c r="AV1447" i="11"/>
  <c r="AY1447" i="11" s="1"/>
  <c r="AV1448" i="11"/>
  <c r="AY1448" i="11" s="1"/>
  <c r="AW1442" i="11"/>
  <c r="AW1443" i="11"/>
  <c r="AW1444" i="11"/>
  <c r="AW1445" i="11"/>
  <c r="AW1446" i="11"/>
  <c r="AW1447" i="11"/>
  <c r="AW1448" i="11"/>
  <c r="AS1451" i="11"/>
  <c r="AS1452" i="11"/>
  <c r="AS1453" i="11"/>
  <c r="AS1454" i="11"/>
  <c r="AT1451" i="11"/>
  <c r="AG1451" i="11" s="1"/>
  <c r="AX1451" i="11" s="1"/>
  <c r="AT1452" i="11"/>
  <c r="AM1452" i="11" s="1"/>
  <c r="AT1453" i="11"/>
  <c r="AO1453" i="11" s="1"/>
  <c r="AT1454" i="11"/>
  <c r="AG1454" i="11" s="1"/>
  <c r="AX1454" i="11" s="1"/>
  <c r="AV1451" i="11"/>
  <c r="AY1451" i="11" s="1"/>
  <c r="AV1452" i="11"/>
  <c r="AY1452" i="11" s="1"/>
  <c r="AV1453" i="11"/>
  <c r="AY1453" i="11" s="1"/>
  <c r="AV1454" i="11"/>
  <c r="AY1454" i="11" s="1"/>
  <c r="AW1451" i="11"/>
  <c r="AW1452" i="11"/>
  <c r="AW1453" i="11"/>
  <c r="AW1454" i="11"/>
  <c r="AE1448" i="11" l="1"/>
  <c r="AU1442" i="11"/>
  <c r="AG1445" i="11"/>
  <c r="AX1445" i="11" s="1"/>
  <c r="BA1445" i="11" s="1"/>
  <c r="BA1454" i="11"/>
  <c r="AZ1443" i="11"/>
  <c r="AG1442" i="11"/>
  <c r="AX1442" i="11" s="1"/>
  <c r="BA1442" i="11" s="1"/>
  <c r="AG1443" i="11"/>
  <c r="AX1443" i="11" s="1"/>
  <c r="BA1443" i="11" s="1"/>
  <c r="AO1443" i="11"/>
  <c r="AO1442" i="11"/>
  <c r="AK1444" i="11"/>
  <c r="AG1444" i="11"/>
  <c r="AX1444" i="11" s="1"/>
  <c r="BA1444" i="11" s="1"/>
  <c r="AU1451" i="11"/>
  <c r="BA1451" i="11"/>
  <c r="AK1443" i="11"/>
  <c r="AZ1453" i="11"/>
  <c r="AZ1452" i="11"/>
  <c r="AI1442" i="11"/>
  <c r="AI1443" i="11"/>
  <c r="AZ1446" i="11"/>
  <c r="AK1454" i="11"/>
  <c r="AZ1445" i="11"/>
  <c r="AG1447" i="11"/>
  <c r="AX1447" i="11" s="1"/>
  <c r="BA1447" i="11" s="1"/>
  <c r="AM1451" i="11"/>
  <c r="AZ1454" i="11"/>
  <c r="AZ1444" i="11"/>
  <c r="AG1446" i="11"/>
  <c r="AX1446" i="11" s="1"/>
  <c r="BA1446" i="11" s="1"/>
  <c r="AG1448" i="11"/>
  <c r="AX1448" i="11" s="1"/>
  <c r="BA1448" i="11" s="1"/>
  <c r="AU1443" i="11"/>
  <c r="AK1448" i="11"/>
  <c r="V1445" i="11"/>
  <c r="AU1445" i="11" s="1"/>
  <c r="V1444" i="11"/>
  <c r="AU1444" i="11" s="1"/>
  <c r="AZ1448" i="11"/>
  <c r="AK1447" i="11"/>
  <c r="AZ1447" i="11"/>
  <c r="V1448" i="11"/>
  <c r="V1447" i="11"/>
  <c r="AU1447" i="11" s="1"/>
  <c r="AM1448" i="11"/>
  <c r="AK1446" i="11"/>
  <c r="AI1444" i="11"/>
  <c r="AK1453" i="11"/>
  <c r="AZ1442" i="11"/>
  <c r="AK1451" i="11"/>
  <c r="AM1447" i="11"/>
  <c r="AK1445" i="11"/>
  <c r="V1446" i="11"/>
  <c r="AU1446" i="11" s="1"/>
  <c r="AI1452" i="11"/>
  <c r="AO1447" i="11"/>
  <c r="AM1445" i="11"/>
  <c r="AO1452" i="11"/>
  <c r="V1454" i="11"/>
  <c r="AU1454" i="11" s="1"/>
  <c r="AO1446" i="11"/>
  <c r="AM1444" i="11"/>
  <c r="AK1442" i="11"/>
  <c r="AK1452" i="11"/>
  <c r="AI1451" i="11"/>
  <c r="AM1446" i="11"/>
  <c r="AO1451" i="11"/>
  <c r="AU1453" i="11"/>
  <c r="AO1445" i="11"/>
  <c r="AO1448" i="11"/>
  <c r="AG1453" i="11"/>
  <c r="AX1453" i="11" s="1"/>
  <c r="BA1453" i="11" s="1"/>
  <c r="AU1452" i="11"/>
  <c r="AZ1451" i="11"/>
  <c r="AI1454" i="11"/>
  <c r="AG1452" i="11"/>
  <c r="AX1452" i="11" s="1"/>
  <c r="BA1452" i="11" s="1"/>
  <c r="AI1453" i="11"/>
  <c r="AO1454" i="11"/>
  <c r="AM1454" i="11"/>
  <c r="AM1453" i="11"/>
  <c r="R1419" i="11"/>
  <c r="R1422" i="11"/>
  <c r="T1422" i="11" s="1"/>
  <c r="R1421" i="11"/>
  <c r="T1421" i="11" s="1"/>
  <c r="R1414" i="11"/>
  <c r="T1414" i="11" s="1"/>
  <c r="U1414" i="11" s="1"/>
  <c r="T1413" i="11"/>
  <c r="H1413" i="11"/>
  <c r="H1414" i="11"/>
  <c r="W1413" i="11"/>
  <c r="AF1413" i="11" s="1"/>
  <c r="AR1413" i="11" s="1"/>
  <c r="W1414" i="11"/>
  <c r="AF1414" i="11" s="1"/>
  <c r="AR1414" i="11" s="1"/>
  <c r="AD1413" i="11"/>
  <c r="AD1414" i="11"/>
  <c r="AE1413" i="11"/>
  <c r="AS1413" i="11"/>
  <c r="AS1414" i="11"/>
  <c r="AT1413" i="11"/>
  <c r="AM1413" i="11" s="1"/>
  <c r="AT1414" i="11"/>
  <c r="AM1414" i="11" s="1"/>
  <c r="AV1413" i="11"/>
  <c r="AY1413" i="11" s="1"/>
  <c r="AV1414" i="11"/>
  <c r="AY1414" i="11" s="1"/>
  <c r="AW1413" i="11"/>
  <c r="AW1414" i="11"/>
  <c r="H1421" i="11"/>
  <c r="H1422" i="11"/>
  <c r="W1421" i="11"/>
  <c r="AF1421" i="11" s="1"/>
  <c r="AR1421" i="11" s="1"/>
  <c r="W1422" i="11"/>
  <c r="AF1422" i="11" s="1"/>
  <c r="AR1422" i="11" s="1"/>
  <c r="AD1421" i="11"/>
  <c r="AD1422" i="11"/>
  <c r="AS1421" i="11"/>
  <c r="AS1422" i="11"/>
  <c r="AT1421" i="11"/>
  <c r="AM1421" i="11" s="1"/>
  <c r="AT1422" i="11"/>
  <c r="AM1422" i="11" s="1"/>
  <c r="AV1421" i="11"/>
  <c r="AY1421" i="11" s="1"/>
  <c r="AV1422" i="11"/>
  <c r="AY1422" i="11" s="1"/>
  <c r="AW1421" i="11"/>
  <c r="AW1422" i="11"/>
  <c r="S1426" i="11"/>
  <c r="S1425" i="11"/>
  <c r="R1432" i="11"/>
  <c r="AF1424" i="11"/>
  <c r="AE1424" i="11"/>
  <c r="AD1424" i="11"/>
  <c r="BB1448" i="11" l="1"/>
  <c r="BB1451" i="11"/>
  <c r="BB1446" i="11"/>
  <c r="BB1452" i="11"/>
  <c r="BB1453" i="11"/>
  <c r="BB1443" i="11"/>
  <c r="BB1447" i="11"/>
  <c r="BB1442" i="11"/>
  <c r="BB1444" i="11"/>
  <c r="BB1454" i="11"/>
  <c r="BB1445" i="11"/>
  <c r="AU1448" i="11"/>
  <c r="U1413" i="11"/>
  <c r="V1413" i="11" s="1"/>
  <c r="AU1413" i="11" s="1"/>
  <c r="AZ1413" i="11"/>
  <c r="U1421" i="11"/>
  <c r="V1421" i="11" s="1"/>
  <c r="U1422" i="11"/>
  <c r="V1422" i="11" s="1"/>
  <c r="AE1414" i="11"/>
  <c r="AE1421" i="11"/>
  <c r="AE1422" i="11"/>
  <c r="AZ1422" i="11"/>
  <c r="AZ1421" i="11"/>
  <c r="V1414" i="11"/>
  <c r="AO1413" i="11"/>
  <c r="AZ1414" i="11"/>
  <c r="AK1414" i="11"/>
  <c r="AO1414" i="11"/>
  <c r="AK1413" i="11"/>
  <c r="AI1413" i="11"/>
  <c r="AG1413" i="11"/>
  <c r="AX1413" i="11" s="1"/>
  <c r="BA1413" i="11" s="1"/>
  <c r="AI1414" i="11"/>
  <c r="AG1414" i="11"/>
  <c r="AX1414" i="11" s="1"/>
  <c r="BA1414" i="11" s="1"/>
  <c r="AI1421" i="11"/>
  <c r="AI1422" i="11"/>
  <c r="AO1422" i="11"/>
  <c r="AG1422" i="11"/>
  <c r="AX1422" i="11" s="1"/>
  <c r="BA1422" i="11" s="1"/>
  <c r="AO1421" i="11"/>
  <c r="AG1421" i="11"/>
  <c r="AX1421" i="11" s="1"/>
  <c r="BA1421" i="11" s="1"/>
  <c r="AK1422" i="11"/>
  <c r="AK1421" i="11"/>
  <c r="AD1355" i="11"/>
  <c r="BB1413" i="11" l="1"/>
  <c r="BB1422" i="11"/>
  <c r="BB1421" i="11"/>
  <c r="BB1414" i="11"/>
  <c r="AU1421" i="11"/>
  <c r="AU1422" i="11"/>
  <c r="AU1414" i="11"/>
  <c r="S1427" i="11"/>
  <c r="T1428" i="11"/>
  <c r="U1428" i="11" s="1"/>
  <c r="V1428" i="11" s="1"/>
  <c r="W1428" i="11"/>
  <c r="AF1428" i="11" s="1"/>
  <c r="AR1428" i="11" s="1"/>
  <c r="AD1428" i="11"/>
  <c r="AE1428" i="11"/>
  <c r="T1429" i="11"/>
  <c r="U1429" i="11" s="1"/>
  <c r="V1429" i="11" s="1"/>
  <c r="W1429" i="11"/>
  <c r="AF1429" i="11" s="1"/>
  <c r="AR1429" i="11" s="1"/>
  <c r="AD1429" i="11"/>
  <c r="AE1429" i="11"/>
  <c r="T1430" i="11"/>
  <c r="U1430" i="11" s="1"/>
  <c r="W1430" i="11"/>
  <c r="AF1430" i="11" s="1"/>
  <c r="AR1430" i="11" s="1"/>
  <c r="AD1430" i="11"/>
  <c r="AE1430" i="11"/>
  <c r="T1431" i="11"/>
  <c r="U1431" i="11" s="1"/>
  <c r="W1431" i="11"/>
  <c r="AF1431" i="11" s="1"/>
  <c r="AR1431" i="11" s="1"/>
  <c r="AD1431" i="11"/>
  <c r="AE1431" i="11"/>
  <c r="T1432" i="11"/>
  <c r="U1432" i="11" s="1"/>
  <c r="W1432" i="11"/>
  <c r="AF1432" i="11" s="1"/>
  <c r="AR1432" i="11" s="1"/>
  <c r="AD1432" i="11"/>
  <c r="W1434" i="11"/>
  <c r="AF1434" i="11" s="1"/>
  <c r="AR1434" i="11" s="1"/>
  <c r="AD1434" i="11"/>
  <c r="AE1434" i="11"/>
  <c r="T1435" i="11"/>
  <c r="U1435" i="11" s="1"/>
  <c r="W1435" i="11"/>
  <c r="AF1435" i="11" s="1"/>
  <c r="AR1435" i="11" s="1"/>
  <c r="AD1435" i="11"/>
  <c r="AE1435" i="11"/>
  <c r="T1436" i="11"/>
  <c r="U1436" i="11" s="1"/>
  <c r="V1436" i="11" s="1"/>
  <c r="W1436" i="11"/>
  <c r="AF1436" i="11" s="1"/>
  <c r="AR1436" i="11" s="1"/>
  <c r="AD1436" i="11"/>
  <c r="AE1436" i="11"/>
  <c r="T1437" i="11"/>
  <c r="U1437" i="11" s="1"/>
  <c r="W1437" i="11"/>
  <c r="AF1437" i="11" s="1"/>
  <c r="AR1437" i="11" s="1"/>
  <c r="AD1437" i="11"/>
  <c r="AE1437" i="11"/>
  <c r="T1438" i="11"/>
  <c r="U1438" i="11" s="1"/>
  <c r="W1438" i="11"/>
  <c r="AF1438" i="11" s="1"/>
  <c r="AR1438" i="11" s="1"/>
  <c r="AD1438" i="11"/>
  <c r="T1439" i="11"/>
  <c r="W1439" i="11"/>
  <c r="AF1439" i="11" s="1"/>
  <c r="AR1439" i="11" s="1"/>
  <c r="AD1439" i="11"/>
  <c r="AE1439" i="11"/>
  <c r="W1440" i="11"/>
  <c r="AF1440" i="11" s="1"/>
  <c r="AR1440" i="11" s="1"/>
  <c r="AD1440" i="11"/>
  <c r="AE1440" i="11"/>
  <c r="U1441" i="11"/>
  <c r="V1441" i="11" s="1"/>
  <c r="W1441" i="11"/>
  <c r="AF1441" i="11" s="1"/>
  <c r="AR1441" i="11" s="1"/>
  <c r="AD1441" i="11"/>
  <c r="AE1441" i="11"/>
  <c r="H1428" i="11"/>
  <c r="H1429" i="11"/>
  <c r="H1430" i="11"/>
  <c r="H1431" i="11"/>
  <c r="H1432" i="11"/>
  <c r="H1434" i="11"/>
  <c r="H1435" i="11"/>
  <c r="H1436" i="11"/>
  <c r="H1437" i="11"/>
  <c r="H1438" i="11"/>
  <c r="H1439" i="11"/>
  <c r="H1440" i="11"/>
  <c r="H1441" i="11"/>
  <c r="AS1428" i="11"/>
  <c r="AS1429" i="11"/>
  <c r="AS1430" i="11"/>
  <c r="AS1431" i="11"/>
  <c r="AS1432" i="11"/>
  <c r="AS1434" i="11"/>
  <c r="AS1435" i="11"/>
  <c r="AS1436" i="11"/>
  <c r="AS1437" i="11"/>
  <c r="AS1438" i="11"/>
  <c r="AS1439" i="11"/>
  <c r="AS1440" i="11"/>
  <c r="AS1441" i="11"/>
  <c r="AT1428" i="11"/>
  <c r="AM1428" i="11" s="1"/>
  <c r="AT1429" i="11"/>
  <c r="AI1429" i="11" s="1"/>
  <c r="AT1430" i="11"/>
  <c r="AT1431" i="11"/>
  <c r="AI1431" i="11" s="1"/>
  <c r="AT1432" i="11"/>
  <c r="AI1432" i="11" s="1"/>
  <c r="AT1434" i="11"/>
  <c r="AI1434" i="11" s="1"/>
  <c r="AT1435" i="11"/>
  <c r="AG1435" i="11" s="1"/>
  <c r="AX1435" i="11" s="1"/>
  <c r="AT1436" i="11"/>
  <c r="AO1436" i="11" s="1"/>
  <c r="AT1437" i="11"/>
  <c r="AM1437" i="11" s="1"/>
  <c r="AT1438" i="11"/>
  <c r="AM1438" i="11" s="1"/>
  <c r="AT1439" i="11"/>
  <c r="AK1439" i="11" s="1"/>
  <c r="AT1440" i="11"/>
  <c r="AK1440" i="11" s="1"/>
  <c r="AT1441" i="11"/>
  <c r="AK1441" i="11" s="1"/>
  <c r="AV1428" i="11"/>
  <c r="AY1428" i="11" s="1"/>
  <c r="AV1429" i="11"/>
  <c r="AY1429" i="11" s="1"/>
  <c r="AV1430" i="11"/>
  <c r="AY1430" i="11" s="1"/>
  <c r="AV1431" i="11"/>
  <c r="AY1431" i="11" s="1"/>
  <c r="AV1432" i="11"/>
  <c r="AY1432" i="11" s="1"/>
  <c r="AV1434" i="11"/>
  <c r="AY1434" i="11" s="1"/>
  <c r="AV1435" i="11"/>
  <c r="AY1435" i="11" s="1"/>
  <c r="AV1436" i="11"/>
  <c r="AY1436" i="11" s="1"/>
  <c r="AV1437" i="11"/>
  <c r="AY1437" i="11" s="1"/>
  <c r="AV1438" i="11"/>
  <c r="AY1438" i="11" s="1"/>
  <c r="AV1439" i="11"/>
  <c r="AY1439" i="11" s="1"/>
  <c r="AV1440" i="11"/>
  <c r="AY1440" i="11" s="1"/>
  <c r="AV1441" i="11"/>
  <c r="AW1428" i="11"/>
  <c r="AW1429" i="11"/>
  <c r="AW1430" i="11"/>
  <c r="AW1431" i="11"/>
  <c r="AW1432" i="11"/>
  <c r="AW1434" i="11"/>
  <c r="AW1435" i="11"/>
  <c r="AW1436" i="11"/>
  <c r="AW1437" i="11"/>
  <c r="AW1438" i="11"/>
  <c r="AW1439" i="11"/>
  <c r="AW1440" i="11"/>
  <c r="AW1441" i="11"/>
  <c r="AE1438" i="11" l="1"/>
  <c r="AE1432" i="11"/>
  <c r="AK1436" i="11"/>
  <c r="AK1435" i="11"/>
  <c r="AZ1437" i="11"/>
  <c r="AK1434" i="11"/>
  <c r="U1439" i="11"/>
  <c r="V1439" i="11" s="1"/>
  <c r="AU1439" i="11" s="1"/>
  <c r="AZ1441" i="11"/>
  <c r="V1431" i="11"/>
  <c r="AU1431" i="11" s="1"/>
  <c r="AZ1438" i="11"/>
  <c r="AI1435" i="11"/>
  <c r="V1437" i="11"/>
  <c r="AU1437" i="11" s="1"/>
  <c r="U1440" i="11"/>
  <c r="V1440" i="11" s="1"/>
  <c r="AU1440" i="11" s="1"/>
  <c r="AG1431" i="11"/>
  <c r="AX1431" i="11" s="1"/>
  <c r="BA1431" i="11" s="1"/>
  <c r="V1430" i="11"/>
  <c r="AU1430" i="11" s="1"/>
  <c r="AZ1430" i="11"/>
  <c r="V1432" i="11"/>
  <c r="AZ1436" i="11"/>
  <c r="AU1434" i="11"/>
  <c r="AZ1434" i="11"/>
  <c r="AZ1432" i="11"/>
  <c r="AZ1429" i="11"/>
  <c r="AZ1428" i="11"/>
  <c r="AU1441" i="11"/>
  <c r="AY1441" i="11"/>
  <c r="BA1435" i="11"/>
  <c r="AK1431" i="11"/>
  <c r="AU1436" i="11"/>
  <c r="V1435" i="11"/>
  <c r="AU1435" i="11" s="1"/>
  <c r="AI1439" i="11"/>
  <c r="AI1438" i="11"/>
  <c r="AI1437" i="11"/>
  <c r="AG1437" i="11"/>
  <c r="AX1437" i="11" s="1"/>
  <c r="BA1437" i="11" s="1"/>
  <c r="AO1437" i="11"/>
  <c r="AK1438" i="11"/>
  <c r="V1438" i="11"/>
  <c r="AO1435" i="11"/>
  <c r="AK1437" i="11"/>
  <c r="AZ1431" i="11"/>
  <c r="AO1431" i="11"/>
  <c r="AO1429" i="11"/>
  <c r="AM1440" i="11"/>
  <c r="AG1440" i="11"/>
  <c r="AX1440" i="11" s="1"/>
  <c r="BA1440" i="11" s="1"/>
  <c r="AM1439" i="11"/>
  <c r="AZ1440" i="11"/>
  <c r="AM1436" i="11"/>
  <c r="AG1438" i="11"/>
  <c r="AX1438" i="11" s="1"/>
  <c r="BA1438" i="11" s="1"/>
  <c r="AU1428" i="11"/>
  <c r="AZ1439" i="11"/>
  <c r="AM1435" i="11"/>
  <c r="AZ1435" i="11"/>
  <c r="AO1434" i="11"/>
  <c r="AO1432" i="11"/>
  <c r="AI1430" i="11"/>
  <c r="AG1441" i="11"/>
  <c r="AX1441" i="11" s="1"/>
  <c r="BA1441" i="11" s="1"/>
  <c r="AO1430" i="11"/>
  <c r="AM1441" i="11"/>
  <c r="AI1428" i="11"/>
  <c r="AG1439" i="11"/>
  <c r="AX1439" i="11" s="1"/>
  <c r="BA1439" i="11" s="1"/>
  <c r="AK1432" i="11"/>
  <c r="AG1436" i="11"/>
  <c r="AX1436" i="11" s="1"/>
  <c r="BA1436" i="11" s="1"/>
  <c r="AO1428" i="11"/>
  <c r="AK1430" i="11"/>
  <c r="AI1441" i="11"/>
  <c r="AK1429" i="11"/>
  <c r="AI1440" i="11"/>
  <c r="AG1434" i="11"/>
  <c r="AX1434" i="11" s="1"/>
  <c r="BA1434" i="11" s="1"/>
  <c r="AK1428" i="11"/>
  <c r="AU1429" i="11"/>
  <c r="AO1441" i="11"/>
  <c r="AM1432" i="11"/>
  <c r="AG1430" i="11"/>
  <c r="AX1430" i="11" s="1"/>
  <c r="BA1430" i="11" s="1"/>
  <c r="AO1438" i="11"/>
  <c r="AM1431" i="11"/>
  <c r="AI1436" i="11"/>
  <c r="AG1429" i="11"/>
  <c r="AX1429" i="11" s="1"/>
  <c r="BA1429" i="11" s="1"/>
  <c r="AG1432" i="11"/>
  <c r="AX1432" i="11" s="1"/>
  <c r="BA1432" i="11" s="1"/>
  <c r="BB1432" i="11" s="1"/>
  <c r="AO1440" i="11"/>
  <c r="AG1428" i="11"/>
  <c r="AX1428" i="11" s="1"/>
  <c r="BA1428" i="11" s="1"/>
  <c r="AM1434" i="11"/>
  <c r="AO1439" i="11"/>
  <c r="AM1430" i="11"/>
  <c r="AM1429" i="11"/>
  <c r="S1396" i="11"/>
  <c r="BB1428" i="11" l="1"/>
  <c r="BB1434" i="11"/>
  <c r="AU1438" i="11"/>
  <c r="BB1440" i="11"/>
  <c r="BB1431" i="11"/>
  <c r="BB1429" i="11"/>
  <c r="BB1438" i="11"/>
  <c r="BB1436" i="11"/>
  <c r="BB1437" i="11"/>
  <c r="BB1435" i="11"/>
  <c r="BB1439" i="11"/>
  <c r="BB1430" i="11"/>
  <c r="BB1441" i="11"/>
  <c r="AU1432" i="11"/>
  <c r="R1417" i="11" l="1"/>
  <c r="R1416" i="11"/>
  <c r="AD1367" i="11"/>
  <c r="AD1349" i="11"/>
  <c r="AD1341" i="11"/>
  <c r="S1415" i="11"/>
  <c r="R1397" i="11" l="1"/>
  <c r="H1290" i="11" l="1"/>
  <c r="S1404" i="11"/>
  <c r="S1403" i="11"/>
  <c r="R1396" i="11"/>
  <c r="R1402" i="11"/>
  <c r="S1398" i="11" l="1"/>
  <c r="T1398" i="11" s="1"/>
  <c r="H1398" i="11"/>
  <c r="W1398" i="11"/>
  <c r="AF1398" i="11" s="1"/>
  <c r="AR1398" i="11" s="1"/>
  <c r="AD1398" i="11"/>
  <c r="AS1398" i="11"/>
  <c r="AT1398" i="11"/>
  <c r="AI1398" i="11" s="1"/>
  <c r="AV1398" i="11"/>
  <c r="AY1398" i="11" s="1"/>
  <c r="AW1398" i="11"/>
  <c r="AE1398" i="11" l="1"/>
  <c r="U1398" i="11"/>
  <c r="V1398" i="11" s="1"/>
  <c r="AZ1398" i="11"/>
  <c r="AM1398" i="11"/>
  <c r="AK1398" i="11"/>
  <c r="AG1398" i="11"/>
  <c r="AX1398" i="11" s="1"/>
  <c r="BA1398" i="11" s="1"/>
  <c r="AO1398" i="11"/>
  <c r="BL1357" i="11"/>
  <c r="BJ1357" i="11"/>
  <c r="BI1357" i="11"/>
  <c r="BH1357" i="11"/>
  <c r="BG1357" i="11"/>
  <c r="R1392" i="11"/>
  <c r="T1392" i="11" s="1"/>
  <c r="U1392" i="11" s="1"/>
  <c r="V1392" i="11" s="1"/>
  <c r="R1387" i="11"/>
  <c r="T1387" i="11" s="1"/>
  <c r="U1387" i="11" s="1"/>
  <c r="V1387" i="11" s="1"/>
  <c r="H1392" i="11"/>
  <c r="W1392" i="11"/>
  <c r="AF1392" i="11" s="1"/>
  <c r="AR1392" i="11" s="1"/>
  <c r="AD1392" i="11"/>
  <c r="AS1392" i="11"/>
  <c r="AT1392" i="11"/>
  <c r="AM1392" i="11" s="1"/>
  <c r="AV1392" i="11"/>
  <c r="AY1392" i="11" s="1"/>
  <c r="AW1392" i="11"/>
  <c r="H1387" i="11"/>
  <c r="W1387" i="11"/>
  <c r="AF1387" i="11" s="1"/>
  <c r="AR1387" i="11" s="1"/>
  <c r="AD1387" i="11"/>
  <c r="AS1387" i="11"/>
  <c r="AT1387" i="11"/>
  <c r="AM1387" i="11" s="1"/>
  <c r="AV1387" i="11"/>
  <c r="AY1387" i="11" s="1"/>
  <c r="AW1387" i="11"/>
  <c r="R1401" i="11"/>
  <c r="T1401" i="11" s="1"/>
  <c r="R1393" i="11"/>
  <c r="S1400" i="11"/>
  <c r="T1400" i="11" s="1"/>
  <c r="U1400" i="11" s="1"/>
  <c r="S1406" i="11"/>
  <c r="T1406" i="11" s="1"/>
  <c r="U1406" i="11" s="1"/>
  <c r="V1406" i="11" s="1"/>
  <c r="T1405" i="11"/>
  <c r="U1405" i="11" s="1"/>
  <c r="R1391" i="11"/>
  <c r="T1397" i="11"/>
  <c r="U1397" i="11" s="1"/>
  <c r="V1397" i="11" s="1"/>
  <c r="W1397" i="11"/>
  <c r="AF1397" i="11" s="1"/>
  <c r="AR1397" i="11" s="1"/>
  <c r="AD1397" i="11"/>
  <c r="AE1397" i="11"/>
  <c r="AS1397" i="11"/>
  <c r="AT1397" i="11"/>
  <c r="AG1397" i="11" s="1"/>
  <c r="AX1397" i="11" s="1"/>
  <c r="AV1397" i="11"/>
  <c r="AY1397" i="11" s="1"/>
  <c r="AW1397" i="11"/>
  <c r="T1399" i="11"/>
  <c r="U1399" i="11" s="1"/>
  <c r="W1399" i="11"/>
  <c r="AF1399" i="11" s="1"/>
  <c r="AR1399" i="11" s="1"/>
  <c r="AD1399" i="11"/>
  <c r="AE1399" i="11"/>
  <c r="AS1399" i="11"/>
  <c r="AT1399" i="11"/>
  <c r="AV1399" i="11"/>
  <c r="AY1399" i="11" s="1"/>
  <c r="AW1399" i="11"/>
  <c r="W1400" i="11"/>
  <c r="AF1400" i="11" s="1"/>
  <c r="AR1400" i="11" s="1"/>
  <c r="AD1400" i="11"/>
  <c r="AE1400" i="11"/>
  <c r="AS1400" i="11"/>
  <c r="AT1400" i="11"/>
  <c r="AG1400" i="11" s="1"/>
  <c r="AX1400" i="11" s="1"/>
  <c r="AV1400" i="11"/>
  <c r="AY1400" i="11" s="1"/>
  <c r="AW1400" i="11"/>
  <c r="W1401" i="11"/>
  <c r="AF1401" i="11" s="1"/>
  <c r="AR1401" i="11" s="1"/>
  <c r="AD1401" i="11"/>
  <c r="AE1401" i="11"/>
  <c r="AS1401" i="11"/>
  <c r="AT1401" i="11"/>
  <c r="AM1401" i="11" s="1"/>
  <c r="AV1401" i="11"/>
  <c r="AY1401" i="11" s="1"/>
  <c r="AW1401" i="11"/>
  <c r="T1402" i="11"/>
  <c r="U1402" i="11" s="1"/>
  <c r="V1402" i="11" s="1"/>
  <c r="W1402" i="11"/>
  <c r="AF1402" i="11" s="1"/>
  <c r="AR1402" i="11" s="1"/>
  <c r="AD1402" i="11"/>
  <c r="AS1402" i="11"/>
  <c r="AT1402" i="11"/>
  <c r="AO1402" i="11" s="1"/>
  <c r="AV1402" i="11"/>
  <c r="AY1402" i="11" s="1"/>
  <c r="AW1402" i="11"/>
  <c r="T1403" i="11"/>
  <c r="U1403" i="11" s="1"/>
  <c r="V1403" i="11" s="1"/>
  <c r="W1403" i="11"/>
  <c r="AF1403" i="11" s="1"/>
  <c r="AR1403" i="11" s="1"/>
  <c r="AD1403" i="11"/>
  <c r="AE1403" i="11"/>
  <c r="AS1403" i="11"/>
  <c r="AT1403" i="11"/>
  <c r="AV1403" i="11"/>
  <c r="AY1403" i="11" s="1"/>
  <c r="AW1403" i="11"/>
  <c r="T1404" i="11"/>
  <c r="U1404" i="11" s="1"/>
  <c r="W1404" i="11"/>
  <c r="AF1404" i="11" s="1"/>
  <c r="AR1404" i="11" s="1"/>
  <c r="AD1404" i="11"/>
  <c r="AE1404" i="11"/>
  <c r="AS1404" i="11"/>
  <c r="AT1404" i="11"/>
  <c r="AG1404" i="11" s="1"/>
  <c r="AX1404" i="11" s="1"/>
  <c r="AV1404" i="11"/>
  <c r="AY1404" i="11" s="1"/>
  <c r="AW1404" i="11"/>
  <c r="W1405" i="11"/>
  <c r="AR1405" i="11" s="1"/>
  <c r="AD1405" i="11"/>
  <c r="AS1405" i="11"/>
  <c r="AT1405" i="11"/>
  <c r="AO1405" i="11" s="1"/>
  <c r="AV1405" i="11"/>
  <c r="AY1405" i="11" s="1"/>
  <c r="AW1405" i="11"/>
  <c r="W1406" i="11"/>
  <c r="AF1406" i="11" s="1"/>
  <c r="AR1406" i="11" s="1"/>
  <c r="AD1406" i="11"/>
  <c r="AS1406" i="11"/>
  <c r="AT1406" i="11"/>
  <c r="AK1406" i="11" s="1"/>
  <c r="AV1406" i="11"/>
  <c r="AY1406" i="11" s="1"/>
  <c r="AW1406" i="11"/>
  <c r="T1407" i="11"/>
  <c r="U1407" i="11" s="1"/>
  <c r="V1407" i="11" s="1"/>
  <c r="W1407" i="11"/>
  <c r="AF1407" i="11" s="1"/>
  <c r="AR1407" i="11" s="1"/>
  <c r="AD1407" i="11"/>
  <c r="AE1407" i="11"/>
  <c r="AS1407" i="11"/>
  <c r="AT1407" i="11"/>
  <c r="AV1407" i="11"/>
  <c r="AY1407" i="11" s="1"/>
  <c r="AW1407" i="11"/>
  <c r="T1408" i="11"/>
  <c r="U1408" i="11" s="1"/>
  <c r="W1408" i="11"/>
  <c r="AF1408" i="11" s="1"/>
  <c r="AR1408" i="11" s="1"/>
  <c r="AD1408" i="11"/>
  <c r="AE1408" i="11"/>
  <c r="AS1408" i="11"/>
  <c r="AT1408" i="11"/>
  <c r="AG1408" i="11" s="1"/>
  <c r="AX1408" i="11" s="1"/>
  <c r="AV1408" i="11"/>
  <c r="AY1408" i="11" s="1"/>
  <c r="AW1408" i="11"/>
  <c r="T1409" i="11"/>
  <c r="U1409" i="11" s="1"/>
  <c r="V1409" i="11" s="1"/>
  <c r="W1409" i="11"/>
  <c r="AF1409" i="11" s="1"/>
  <c r="AR1409" i="11" s="1"/>
  <c r="AD1409" i="11"/>
  <c r="AE1409" i="11"/>
  <c r="AS1409" i="11"/>
  <c r="AT1409" i="11"/>
  <c r="AM1409" i="11" s="1"/>
  <c r="AV1409" i="11"/>
  <c r="AY1409" i="11" s="1"/>
  <c r="AW1409" i="11"/>
  <c r="T1410" i="11"/>
  <c r="U1410" i="11" s="1"/>
  <c r="V1410" i="11" s="1"/>
  <c r="W1410" i="11"/>
  <c r="AF1410" i="11" s="1"/>
  <c r="AR1410" i="11" s="1"/>
  <c r="AD1410" i="11"/>
  <c r="AE1410" i="11"/>
  <c r="AS1410" i="11"/>
  <c r="AT1410" i="11"/>
  <c r="AM1410" i="11" s="1"/>
  <c r="AV1410" i="11"/>
  <c r="AY1410" i="11" s="1"/>
  <c r="AW1410" i="11"/>
  <c r="AF1411" i="11"/>
  <c r="AR1411" i="11" s="1"/>
  <c r="AD1411" i="11"/>
  <c r="AE1411" i="11"/>
  <c r="AS1411" i="11"/>
  <c r="AT1411" i="11"/>
  <c r="AV1411" i="11"/>
  <c r="AY1411" i="11" s="1"/>
  <c r="AW1411" i="11"/>
  <c r="T1412" i="11"/>
  <c r="U1412" i="11" s="1"/>
  <c r="W1412" i="11"/>
  <c r="AF1412" i="11" s="1"/>
  <c r="AR1412" i="11" s="1"/>
  <c r="AD1412" i="11"/>
  <c r="AE1412" i="11"/>
  <c r="AS1412" i="11"/>
  <c r="AT1412" i="11"/>
  <c r="AV1412" i="11"/>
  <c r="AY1412" i="11" s="1"/>
  <c r="AW1412" i="11"/>
  <c r="T1415" i="11"/>
  <c r="U1415" i="11" s="1"/>
  <c r="V1415" i="11" s="1"/>
  <c r="W1415" i="11"/>
  <c r="AF1415" i="11" s="1"/>
  <c r="AR1415" i="11" s="1"/>
  <c r="AD1415" i="11"/>
  <c r="AE1415" i="11"/>
  <c r="AS1415" i="11"/>
  <c r="AT1415" i="11"/>
  <c r="AK1415" i="11" s="1"/>
  <c r="AV1415" i="11"/>
  <c r="AY1415" i="11" s="1"/>
  <c r="AW1415" i="11"/>
  <c r="T1416" i="11"/>
  <c r="U1416" i="11" s="1"/>
  <c r="V1416" i="11" s="1"/>
  <c r="W1416" i="11"/>
  <c r="AF1416" i="11" s="1"/>
  <c r="AR1416" i="11" s="1"/>
  <c r="AD1416" i="11"/>
  <c r="AS1416" i="11"/>
  <c r="AT1416" i="11"/>
  <c r="AM1416" i="11" s="1"/>
  <c r="AV1416" i="11"/>
  <c r="AY1416" i="11" s="1"/>
  <c r="AW1416" i="11"/>
  <c r="T1417" i="11"/>
  <c r="U1417" i="11" s="1"/>
  <c r="W1417" i="11"/>
  <c r="AF1417" i="11" s="1"/>
  <c r="AR1417" i="11" s="1"/>
  <c r="AD1417" i="11"/>
  <c r="AS1417" i="11"/>
  <c r="AT1417" i="11"/>
  <c r="AK1417" i="11" s="1"/>
  <c r="AV1417" i="11"/>
  <c r="AY1417" i="11" s="1"/>
  <c r="AW1417" i="11"/>
  <c r="T1418" i="11"/>
  <c r="U1418" i="11" s="1"/>
  <c r="W1418" i="11"/>
  <c r="AF1418" i="11" s="1"/>
  <c r="AR1418" i="11" s="1"/>
  <c r="AD1418" i="11"/>
  <c r="AE1418" i="11"/>
  <c r="AS1418" i="11"/>
  <c r="AT1418" i="11"/>
  <c r="AG1418" i="11" s="1"/>
  <c r="AX1418" i="11" s="1"/>
  <c r="AV1418" i="11"/>
  <c r="AY1418" i="11" s="1"/>
  <c r="AW1418" i="11"/>
  <c r="T1419" i="11"/>
  <c r="U1419" i="11" s="1"/>
  <c r="V1419" i="11" s="1"/>
  <c r="W1419" i="11"/>
  <c r="AF1419" i="11" s="1"/>
  <c r="AR1419" i="11" s="1"/>
  <c r="AD1419" i="11"/>
  <c r="AE1419" i="11"/>
  <c r="AS1419" i="11"/>
  <c r="AT1419" i="11"/>
  <c r="AO1419" i="11" s="1"/>
  <c r="AV1419" i="11"/>
  <c r="AY1419" i="11" s="1"/>
  <c r="AW1419" i="11"/>
  <c r="T1420" i="11"/>
  <c r="U1420" i="11" s="1"/>
  <c r="V1420" i="11" s="1"/>
  <c r="W1420" i="11"/>
  <c r="AF1420" i="11" s="1"/>
  <c r="AR1420" i="11" s="1"/>
  <c r="AD1420" i="11"/>
  <c r="AE1420" i="11"/>
  <c r="AS1420" i="11"/>
  <c r="AT1420" i="11"/>
  <c r="AG1420" i="11" s="1"/>
  <c r="AX1420" i="11" s="1"/>
  <c r="AV1420" i="11"/>
  <c r="AY1420" i="11" s="1"/>
  <c r="AW1420" i="11"/>
  <c r="T1423" i="11"/>
  <c r="U1423" i="11" s="1"/>
  <c r="V1423" i="11" s="1"/>
  <c r="W1423" i="11"/>
  <c r="AF1423" i="11" s="1"/>
  <c r="AR1423" i="11" s="1"/>
  <c r="AD1423" i="11"/>
  <c r="AE1423" i="11"/>
  <c r="AS1423" i="11"/>
  <c r="AT1423" i="11"/>
  <c r="AG1423" i="11" s="1"/>
  <c r="AX1423" i="11" s="1"/>
  <c r="AV1423" i="11"/>
  <c r="AY1423" i="11" s="1"/>
  <c r="AW1423" i="11"/>
  <c r="AR1424" i="11"/>
  <c r="AS1424" i="11"/>
  <c r="AT1424" i="11"/>
  <c r="AG1424" i="11" s="1"/>
  <c r="AX1424" i="11" s="1"/>
  <c r="AV1424" i="11"/>
  <c r="AY1424" i="11" s="1"/>
  <c r="AW1424" i="11"/>
  <c r="T1425" i="11"/>
  <c r="U1425" i="11" s="1"/>
  <c r="W1425" i="11"/>
  <c r="AF1425" i="11" s="1"/>
  <c r="AR1425" i="11" s="1"/>
  <c r="AD1425" i="11"/>
  <c r="AE1425" i="11"/>
  <c r="AS1425" i="11"/>
  <c r="AT1425" i="11"/>
  <c r="AG1425" i="11" s="1"/>
  <c r="AX1425" i="11" s="1"/>
  <c r="AV1425" i="11"/>
  <c r="AY1425" i="11" s="1"/>
  <c r="AW1425" i="11"/>
  <c r="T1426" i="11"/>
  <c r="U1426" i="11" s="1"/>
  <c r="V1426" i="11" s="1"/>
  <c r="W1426" i="11"/>
  <c r="AF1426" i="11" s="1"/>
  <c r="AR1426" i="11" s="1"/>
  <c r="AD1426" i="11"/>
  <c r="AE1426" i="11"/>
  <c r="AS1426" i="11"/>
  <c r="AT1426" i="11"/>
  <c r="AK1426" i="11" s="1"/>
  <c r="AV1426" i="11"/>
  <c r="AY1426" i="11" s="1"/>
  <c r="AW1426" i="11"/>
  <c r="T1427" i="11"/>
  <c r="U1427" i="11" s="1"/>
  <c r="W1427" i="11"/>
  <c r="AF1427" i="11" s="1"/>
  <c r="AR1427" i="11" s="1"/>
  <c r="AD1427" i="11"/>
  <c r="AE1427" i="11"/>
  <c r="AS1427" i="11"/>
  <c r="AT1427" i="11"/>
  <c r="AG1427" i="11" s="1"/>
  <c r="AX1427" i="11" s="1"/>
  <c r="AV1427" i="11"/>
  <c r="AY1427" i="11" s="1"/>
  <c r="AW1427" i="11"/>
  <c r="H1399" i="11"/>
  <c r="H1400" i="11"/>
  <c r="H1401" i="11"/>
  <c r="H1402" i="11"/>
  <c r="H1403" i="11"/>
  <c r="H1404" i="11"/>
  <c r="H1405" i="11"/>
  <c r="H1406" i="11"/>
  <c r="H1407" i="11"/>
  <c r="H1408" i="11"/>
  <c r="H1409" i="11"/>
  <c r="H1410" i="11"/>
  <c r="H1411" i="11"/>
  <c r="H1412" i="11"/>
  <c r="H1415" i="11"/>
  <c r="H1416" i="11"/>
  <c r="H1417" i="11"/>
  <c r="H1418" i="11"/>
  <c r="H1419" i="11"/>
  <c r="H1420" i="11"/>
  <c r="H1423" i="11"/>
  <c r="H1424" i="11"/>
  <c r="H1425" i="11"/>
  <c r="H1426" i="11"/>
  <c r="H1427" i="11"/>
  <c r="S1388" i="11"/>
  <c r="S1385" i="11"/>
  <c r="S1383" i="11"/>
  <c r="S1382" i="11"/>
  <c r="S1380" i="11"/>
  <c r="S1379" i="11"/>
  <c r="R1376" i="11"/>
  <c r="R1381" i="11"/>
  <c r="R1386" i="11"/>
  <c r="R1384" i="11"/>
  <c r="R1374" i="11"/>
  <c r="W1366" i="11"/>
  <c r="T1366" i="11"/>
  <c r="BB1398" i="11" l="1"/>
  <c r="AE1417" i="11"/>
  <c r="AE1416" i="11"/>
  <c r="AU1416" i="11" s="1"/>
  <c r="AE1402" i="11"/>
  <c r="AU1402" i="11" s="1"/>
  <c r="AU1398" i="11"/>
  <c r="AE1392" i="11"/>
  <c r="AU1392" i="11" s="1"/>
  <c r="AE1387" i="11"/>
  <c r="AU1387" i="11" s="1"/>
  <c r="BK1357" i="11"/>
  <c r="BN1357" i="11" s="1"/>
  <c r="AZ1392" i="11"/>
  <c r="AG1392" i="11"/>
  <c r="AX1392" i="11" s="1"/>
  <c r="BA1392" i="11" s="1"/>
  <c r="AI1392" i="11"/>
  <c r="AK1392" i="11"/>
  <c r="AO1392" i="11"/>
  <c r="AZ1387" i="11"/>
  <c r="AK1387" i="11"/>
  <c r="AI1387" i="11"/>
  <c r="AG1387" i="11"/>
  <c r="AX1387" i="11" s="1"/>
  <c r="BA1387" i="11" s="1"/>
  <c r="AO1387" i="11"/>
  <c r="AZ1401" i="11"/>
  <c r="AZ1399" i="11"/>
  <c r="AZ1402" i="11"/>
  <c r="AZ1423" i="11"/>
  <c r="AZ1400" i="11"/>
  <c r="BA1397" i="11"/>
  <c r="AZ1424" i="11"/>
  <c r="AU1423" i="11"/>
  <c r="AZ1412" i="11"/>
  <c r="AI1409" i="11"/>
  <c r="AZ1415" i="11"/>
  <c r="AZ1425" i="11"/>
  <c r="AG1409" i="11"/>
  <c r="AX1409" i="11" s="1"/>
  <c r="BA1409" i="11" s="1"/>
  <c r="AU1419" i="11"/>
  <c r="AU1420" i="11"/>
  <c r="AZ1417" i="11"/>
  <c r="AU1411" i="11"/>
  <c r="AI1405" i="11"/>
  <c r="AZ1409" i="11"/>
  <c r="AG1405" i="11"/>
  <c r="AX1405" i="11" s="1"/>
  <c r="BA1405" i="11" s="1"/>
  <c r="AU1403" i="11"/>
  <c r="AE1405" i="11"/>
  <c r="AE1406" i="11"/>
  <c r="AU1406" i="11" s="1"/>
  <c r="V1408" i="11"/>
  <c r="AU1408" i="11" s="1"/>
  <c r="AZ1426" i="11"/>
  <c r="AZ1405" i="11"/>
  <c r="AZ1397" i="11"/>
  <c r="V1427" i="11"/>
  <c r="AU1427" i="11" s="1"/>
  <c r="V1417" i="11"/>
  <c r="BA1400" i="11"/>
  <c r="BA1420" i="11"/>
  <c r="V1404" i="11"/>
  <c r="AU1404" i="11" s="1"/>
  <c r="AO1418" i="11"/>
  <c r="AI1417" i="11"/>
  <c r="AO1425" i="11"/>
  <c r="AM1420" i="11"/>
  <c r="AG1417" i="11"/>
  <c r="AX1417" i="11" s="1"/>
  <c r="BA1417" i="11" s="1"/>
  <c r="AG1415" i="11"/>
  <c r="AX1415" i="11" s="1"/>
  <c r="BA1415" i="11" s="1"/>
  <c r="AI1415" i="11"/>
  <c r="BA1427" i="11"/>
  <c r="AI1426" i="11"/>
  <c r="AM1426" i="11"/>
  <c r="AG1426" i="11"/>
  <c r="AX1426" i="11" s="1"/>
  <c r="BA1426" i="11" s="1"/>
  <c r="BA1425" i="11"/>
  <c r="AZ1420" i="11"/>
  <c r="AZ1411" i="11"/>
  <c r="AK1401" i="11"/>
  <c r="BA1418" i="11"/>
  <c r="BA1404" i="11"/>
  <c r="AI1401" i="11"/>
  <c r="AO1400" i="11"/>
  <c r="BA1424" i="11"/>
  <c r="BA1408" i="11"/>
  <c r="AM1405" i="11"/>
  <c r="AG1401" i="11"/>
  <c r="AX1401" i="11" s="1"/>
  <c r="BA1401" i="11" s="1"/>
  <c r="AZ1416" i="11"/>
  <c r="AK1409" i="11"/>
  <c r="AK1405" i="11"/>
  <c r="AI1419" i="11"/>
  <c r="AU1415" i="11"/>
  <c r="AU1407" i="11"/>
  <c r="AG1406" i="11"/>
  <c r="AX1406" i="11" s="1"/>
  <c r="BA1406" i="11" s="1"/>
  <c r="AI1416" i="11"/>
  <c r="AI1410" i="11"/>
  <c r="AG1410" i="11"/>
  <c r="AX1410" i="11" s="1"/>
  <c r="BA1410" i="11" s="1"/>
  <c r="AI1402" i="11"/>
  <c r="V1400" i="11"/>
  <c r="AU1400" i="11" s="1"/>
  <c r="AK1397" i="11"/>
  <c r="AM1419" i="11"/>
  <c r="AO1416" i="11"/>
  <c r="AK1419" i="11"/>
  <c r="AU1424" i="11"/>
  <c r="AK1402" i="11"/>
  <c r="AO1397" i="11"/>
  <c r="AG1419" i="11"/>
  <c r="AX1419" i="11" s="1"/>
  <c r="BA1419" i="11" s="1"/>
  <c r="AU1409" i="11"/>
  <c r="AM1397" i="11"/>
  <c r="AU1426" i="11"/>
  <c r="AZ1427" i="11"/>
  <c r="AO1420" i="11"/>
  <c r="AG1416" i="11"/>
  <c r="AX1416" i="11" s="1"/>
  <c r="BA1416" i="11" s="1"/>
  <c r="AG1402" i="11"/>
  <c r="AX1402" i="11" s="1"/>
  <c r="BA1402" i="11" s="1"/>
  <c r="AI1397" i="11"/>
  <c r="AO1406" i="11"/>
  <c r="AM1406" i="11"/>
  <c r="BA1423" i="11"/>
  <c r="V1412" i="11"/>
  <c r="AU1412" i="11" s="1"/>
  <c r="AK1410" i="11"/>
  <c r="AM1425" i="11"/>
  <c r="AI1420" i="11"/>
  <c r="AZ1419" i="11"/>
  <c r="AI1406" i="11"/>
  <c r="AM1402" i="11"/>
  <c r="V1399" i="11"/>
  <c r="AU1399" i="11" s="1"/>
  <c r="AK1420" i="11"/>
  <c r="AK1425" i="11"/>
  <c r="AO1415" i="11"/>
  <c r="AZ1410" i="11"/>
  <c r="AU1410" i="11"/>
  <c r="AO1409" i="11"/>
  <c r="AO1410" i="11"/>
  <c r="AI1423" i="11"/>
  <c r="AK1416" i="11"/>
  <c r="AO1426" i="11"/>
  <c r="AI1425" i="11"/>
  <c r="AM1415" i="11"/>
  <c r="AZ1408" i="11"/>
  <c r="AZ1406" i="11"/>
  <c r="AO1401" i="11"/>
  <c r="AO1424" i="11"/>
  <c r="AZ1407" i="11"/>
  <c r="AZ1403" i="11"/>
  <c r="AI1400" i="11"/>
  <c r="AM1400" i="11"/>
  <c r="AK1400" i="11"/>
  <c r="V1425" i="11"/>
  <c r="AU1425" i="11" s="1"/>
  <c r="AI1418" i="11"/>
  <c r="AM1418" i="11"/>
  <c r="AK1418" i="11"/>
  <c r="AI1411" i="11"/>
  <c r="AZ1404" i="11"/>
  <c r="AM1407" i="11"/>
  <c r="AO1407" i="11"/>
  <c r="AK1403" i="11"/>
  <c r="AI1412" i="11"/>
  <c r="AK1412" i="11"/>
  <c r="AM1412" i="11"/>
  <c r="AK1411" i="11"/>
  <c r="U1401" i="11"/>
  <c r="V1401" i="11" s="1"/>
  <c r="AK1427" i="11"/>
  <c r="AG1411" i="11"/>
  <c r="AX1411" i="11" s="1"/>
  <c r="BA1411" i="11" s="1"/>
  <c r="AI1408" i="11"/>
  <c r="AK1408" i="11"/>
  <c r="AM1408" i="11"/>
  <c r="AK1407" i="11"/>
  <c r="AM1423" i="11"/>
  <c r="AO1423" i="11"/>
  <c r="AO1412" i="11"/>
  <c r="AI1404" i="11"/>
  <c r="AM1404" i="11"/>
  <c r="AK1404" i="11"/>
  <c r="AG1403" i="11"/>
  <c r="AX1403" i="11" s="1"/>
  <c r="BA1403" i="11" s="1"/>
  <c r="AM1399" i="11"/>
  <c r="AO1399" i="11"/>
  <c r="AI1399" i="11"/>
  <c r="AI1427" i="11"/>
  <c r="AI1407" i="11"/>
  <c r="AK1399" i="11"/>
  <c r="AG1412" i="11"/>
  <c r="AX1412" i="11" s="1"/>
  <c r="BA1412" i="11" s="1"/>
  <c r="AM1411" i="11"/>
  <c r="AO1411" i="11"/>
  <c r="AM1403" i="11"/>
  <c r="AO1403" i="11"/>
  <c r="AI1403" i="11"/>
  <c r="AI1424" i="11"/>
  <c r="AM1424" i="11"/>
  <c r="AK1424" i="11"/>
  <c r="AK1423" i="11"/>
  <c r="V1418" i="11"/>
  <c r="AU1418" i="11" s="1"/>
  <c r="AG1407" i="11"/>
  <c r="AX1407" i="11" s="1"/>
  <c r="BA1407" i="11" s="1"/>
  <c r="AG1399" i="11"/>
  <c r="AX1399" i="11" s="1"/>
  <c r="BA1399" i="11" s="1"/>
  <c r="AU1397" i="11"/>
  <c r="AM1427" i="11"/>
  <c r="AO1427" i="11"/>
  <c r="AZ1418" i="11"/>
  <c r="AM1417" i="11"/>
  <c r="AO1417" i="11"/>
  <c r="AO1408" i="11"/>
  <c r="V1405" i="11"/>
  <c r="AO1404" i="11"/>
  <c r="U1366" i="11"/>
  <c r="V1366" i="11" s="1"/>
  <c r="T1371" i="11"/>
  <c r="T1372" i="11"/>
  <c r="U1372" i="11" s="1"/>
  <c r="V1372" i="11" s="1"/>
  <c r="T1373" i="11"/>
  <c r="U1373" i="11" s="1"/>
  <c r="V1373" i="11" s="1"/>
  <c r="T1374" i="11"/>
  <c r="U1374" i="11" s="1"/>
  <c r="V1374" i="11" s="1"/>
  <c r="T1376" i="11"/>
  <c r="U1376" i="11" s="1"/>
  <c r="V1376" i="11" s="1"/>
  <c r="T1379" i="11"/>
  <c r="U1379" i="11" s="1"/>
  <c r="V1379" i="11" s="1"/>
  <c r="T1380" i="11"/>
  <c r="U1380" i="11" s="1"/>
  <c r="T1381" i="11"/>
  <c r="U1381" i="11" s="1"/>
  <c r="T1382" i="11"/>
  <c r="U1382" i="11" s="1"/>
  <c r="T1383" i="11"/>
  <c r="T1384" i="11"/>
  <c r="T1385" i="11"/>
  <c r="U1385" i="11" s="1"/>
  <c r="T1386" i="11"/>
  <c r="T1388" i="11"/>
  <c r="U1388" i="11" s="1"/>
  <c r="T1389" i="11"/>
  <c r="T1390" i="11"/>
  <c r="U1390" i="11" s="1"/>
  <c r="T1391" i="11"/>
  <c r="U1391" i="11" s="1"/>
  <c r="V1391" i="11" s="1"/>
  <c r="T1393" i="11"/>
  <c r="U1393" i="11" s="1"/>
  <c r="V1393" i="11" s="1"/>
  <c r="T1394" i="11"/>
  <c r="U1394" i="11" s="1"/>
  <c r="T1395" i="11"/>
  <c r="T1396" i="11"/>
  <c r="R1375" i="11"/>
  <c r="T1375" i="11" s="1"/>
  <c r="U1375" i="11" s="1"/>
  <c r="V1375" i="11" s="1"/>
  <c r="R1377" i="11"/>
  <c r="T1377" i="11" s="1"/>
  <c r="U1377" i="11" s="1"/>
  <c r="V1377" i="11" s="1"/>
  <c r="W1372" i="11"/>
  <c r="AF1372" i="11" s="1"/>
  <c r="AR1372" i="11" s="1"/>
  <c r="AD1372" i="11"/>
  <c r="AE1372" i="11"/>
  <c r="W1373" i="11"/>
  <c r="AF1373" i="11" s="1"/>
  <c r="AR1373" i="11" s="1"/>
  <c r="AD1373" i="11"/>
  <c r="AE1373" i="11"/>
  <c r="W1374" i="11"/>
  <c r="AF1374" i="11" s="1"/>
  <c r="AR1374" i="11" s="1"/>
  <c r="AD1374" i="11"/>
  <c r="AE1374" i="11"/>
  <c r="W1375" i="11"/>
  <c r="AF1375" i="11" s="1"/>
  <c r="AR1375" i="11" s="1"/>
  <c r="AD1375" i="11"/>
  <c r="AE1375" i="11"/>
  <c r="W1376" i="11"/>
  <c r="AF1376" i="11" s="1"/>
  <c r="AR1376" i="11" s="1"/>
  <c r="AD1376" i="11"/>
  <c r="W1377" i="11"/>
  <c r="AF1377" i="11" s="1"/>
  <c r="AR1377" i="11" s="1"/>
  <c r="AD1377" i="11"/>
  <c r="AE1377" i="11"/>
  <c r="AF1378" i="11"/>
  <c r="AR1378" i="11" s="1"/>
  <c r="AE1378" i="11"/>
  <c r="W1379" i="11"/>
  <c r="AF1379" i="11" s="1"/>
  <c r="AR1379" i="11" s="1"/>
  <c r="AD1379" i="11"/>
  <c r="AE1379" i="11"/>
  <c r="W1380" i="11"/>
  <c r="AF1380" i="11" s="1"/>
  <c r="AR1380" i="11" s="1"/>
  <c r="AD1380" i="11"/>
  <c r="AE1380" i="11"/>
  <c r="W1381" i="11"/>
  <c r="AF1381" i="11" s="1"/>
  <c r="AR1381" i="11" s="1"/>
  <c r="AD1381" i="11"/>
  <c r="AE1381" i="11"/>
  <c r="W1382" i="11"/>
  <c r="AF1382" i="11" s="1"/>
  <c r="AR1382" i="11" s="1"/>
  <c r="AD1382" i="11"/>
  <c r="AE1382" i="11"/>
  <c r="W1383" i="11"/>
  <c r="AF1383" i="11" s="1"/>
  <c r="AR1383" i="11" s="1"/>
  <c r="AD1383" i="11"/>
  <c r="AE1383" i="11"/>
  <c r="W1384" i="11"/>
  <c r="AF1384" i="11" s="1"/>
  <c r="AR1384" i="11" s="1"/>
  <c r="AD1384" i="11"/>
  <c r="AE1384" i="11"/>
  <c r="W1385" i="11"/>
  <c r="AF1385" i="11" s="1"/>
  <c r="AR1385" i="11" s="1"/>
  <c r="AD1385" i="11"/>
  <c r="AE1385" i="11"/>
  <c r="W1386" i="11"/>
  <c r="AF1386" i="11" s="1"/>
  <c r="AR1386" i="11" s="1"/>
  <c r="AD1386" i="11"/>
  <c r="AE1386" i="11"/>
  <c r="W1388" i="11"/>
  <c r="AF1388" i="11" s="1"/>
  <c r="AR1388" i="11" s="1"/>
  <c r="AD1388" i="11"/>
  <c r="AE1388" i="11"/>
  <c r="W1389" i="11"/>
  <c r="AD1389" i="11"/>
  <c r="AE1389" i="11"/>
  <c r="W1390" i="11"/>
  <c r="AF1390" i="11" s="1"/>
  <c r="AR1390" i="11" s="1"/>
  <c r="AD1390" i="11"/>
  <c r="AE1390" i="11"/>
  <c r="W1391" i="11"/>
  <c r="AF1391" i="11" s="1"/>
  <c r="AR1391" i="11" s="1"/>
  <c r="AD1391" i="11"/>
  <c r="AE1391" i="11"/>
  <c r="W1393" i="11"/>
  <c r="AF1393" i="11" s="1"/>
  <c r="AR1393" i="11" s="1"/>
  <c r="AD1393" i="11"/>
  <c r="AE1393" i="11"/>
  <c r="W1394" i="11"/>
  <c r="AF1394" i="11" s="1"/>
  <c r="AR1394" i="11" s="1"/>
  <c r="AD1394" i="11"/>
  <c r="AE1394" i="11"/>
  <c r="W1395" i="11"/>
  <c r="AD1395" i="11"/>
  <c r="AE1395" i="11"/>
  <c r="AD1396" i="11"/>
  <c r="AE1396" i="11"/>
  <c r="H1372" i="11"/>
  <c r="H1373" i="11"/>
  <c r="H1374" i="11"/>
  <c r="H1375" i="11"/>
  <c r="H1376" i="11"/>
  <c r="H1377" i="11"/>
  <c r="H1378" i="11"/>
  <c r="H1379" i="11"/>
  <c r="H1380" i="11"/>
  <c r="H1381" i="11"/>
  <c r="H1382" i="11"/>
  <c r="H1383" i="11"/>
  <c r="H1384" i="11"/>
  <c r="H1385" i="11"/>
  <c r="H1386" i="11"/>
  <c r="H1388" i="11"/>
  <c r="H1389" i="11"/>
  <c r="H1390" i="11"/>
  <c r="H1391" i="11"/>
  <c r="H1393" i="11"/>
  <c r="H1394" i="11"/>
  <c r="H1395" i="11"/>
  <c r="H1396" i="11"/>
  <c r="H1397" i="11"/>
  <c r="AS1372" i="11"/>
  <c r="AS1373" i="11"/>
  <c r="AS1374" i="11"/>
  <c r="AS1375" i="11"/>
  <c r="AS1376" i="11"/>
  <c r="AS1377" i="11"/>
  <c r="AS1378" i="11"/>
  <c r="AS1379" i="11"/>
  <c r="AS1380" i="11"/>
  <c r="AS1381" i="11"/>
  <c r="AS1382" i="11"/>
  <c r="AS1383" i="11"/>
  <c r="AS1384" i="11"/>
  <c r="AS1385" i="11"/>
  <c r="AS1386" i="11"/>
  <c r="AS1388" i="11"/>
  <c r="AS1389" i="11"/>
  <c r="AS1390" i="11"/>
  <c r="AS1391" i="11"/>
  <c r="AS1393" i="11"/>
  <c r="AS1394" i="11"/>
  <c r="AS1395" i="11"/>
  <c r="AS1396" i="11"/>
  <c r="AT1372" i="11"/>
  <c r="AO1372" i="11" s="1"/>
  <c r="AT1373" i="11"/>
  <c r="AG1373" i="11" s="1"/>
  <c r="AX1373" i="11" s="1"/>
  <c r="AT1374" i="11"/>
  <c r="AO1374" i="11" s="1"/>
  <c r="AT1375" i="11"/>
  <c r="AO1375" i="11" s="1"/>
  <c r="AT1376" i="11"/>
  <c r="AG1376" i="11" s="1"/>
  <c r="AX1376" i="11" s="1"/>
  <c r="AT1377" i="11"/>
  <c r="AM1377" i="11" s="1"/>
  <c r="AT1378" i="11"/>
  <c r="AM1378" i="11" s="1"/>
  <c r="AT1379" i="11"/>
  <c r="AG1379" i="11" s="1"/>
  <c r="AX1379" i="11" s="1"/>
  <c r="AT1380" i="11"/>
  <c r="AG1380" i="11" s="1"/>
  <c r="AX1380" i="11" s="1"/>
  <c r="AT1381" i="11"/>
  <c r="AG1381" i="11" s="1"/>
  <c r="AX1381" i="11" s="1"/>
  <c r="AT1382" i="11"/>
  <c r="AT1383" i="11"/>
  <c r="AT1384" i="11"/>
  <c r="AG1384" i="11" s="1"/>
  <c r="AX1384" i="11" s="1"/>
  <c r="AT1385" i="11"/>
  <c r="AT1386" i="11"/>
  <c r="AT1388" i="11"/>
  <c r="AT1389" i="11"/>
  <c r="AI1389" i="11" s="1"/>
  <c r="AT1390" i="11"/>
  <c r="AG1390" i="11" s="1"/>
  <c r="AX1390" i="11" s="1"/>
  <c r="AT1391" i="11"/>
  <c r="AI1391" i="11" s="1"/>
  <c r="AT1393" i="11"/>
  <c r="AK1393" i="11" s="1"/>
  <c r="AT1394" i="11"/>
  <c r="AG1394" i="11" s="1"/>
  <c r="AX1394" i="11" s="1"/>
  <c r="AT1395" i="11"/>
  <c r="AK1395" i="11" s="1"/>
  <c r="AT1396" i="11"/>
  <c r="AM1396" i="11" s="1"/>
  <c r="AV1372" i="11"/>
  <c r="AY1372" i="11" s="1"/>
  <c r="AV1373" i="11"/>
  <c r="AY1373" i="11" s="1"/>
  <c r="AV1374" i="11"/>
  <c r="AY1374" i="11" s="1"/>
  <c r="AV1375" i="11"/>
  <c r="AY1375" i="11" s="1"/>
  <c r="AV1376" i="11"/>
  <c r="AY1376" i="11" s="1"/>
  <c r="AV1377" i="11"/>
  <c r="AY1377" i="11" s="1"/>
  <c r="AV1378" i="11"/>
  <c r="AY1378" i="11" s="1"/>
  <c r="AV1379" i="11"/>
  <c r="AY1379" i="11" s="1"/>
  <c r="AV1380" i="11"/>
  <c r="AY1380" i="11" s="1"/>
  <c r="AV1381" i="11"/>
  <c r="AY1381" i="11" s="1"/>
  <c r="AV1382" i="11"/>
  <c r="AY1382" i="11" s="1"/>
  <c r="AV1383" i="11"/>
  <c r="AY1383" i="11" s="1"/>
  <c r="AV1384" i="11"/>
  <c r="AY1384" i="11" s="1"/>
  <c r="AV1385" i="11"/>
  <c r="AY1385" i="11" s="1"/>
  <c r="AV1386" i="11"/>
  <c r="AY1386" i="11" s="1"/>
  <c r="AV1388" i="11"/>
  <c r="AY1388" i="11" s="1"/>
  <c r="AV1389" i="11"/>
  <c r="AY1389" i="11" s="1"/>
  <c r="AV1390" i="11"/>
  <c r="AY1390" i="11" s="1"/>
  <c r="AV1391" i="11"/>
  <c r="AY1391" i="11" s="1"/>
  <c r="AV1393" i="11"/>
  <c r="AY1393" i="11" s="1"/>
  <c r="AV1394" i="11"/>
  <c r="AY1394" i="11" s="1"/>
  <c r="AV1395" i="11"/>
  <c r="AY1395" i="11" s="1"/>
  <c r="AV1396" i="11"/>
  <c r="AY1396" i="11" s="1"/>
  <c r="AW1372" i="11"/>
  <c r="AW1373" i="11"/>
  <c r="AW1374" i="11"/>
  <c r="AW1375" i="11"/>
  <c r="AW1376" i="11"/>
  <c r="AW1377" i="11"/>
  <c r="AW1378" i="11"/>
  <c r="AW1379" i="11"/>
  <c r="AW1380" i="11"/>
  <c r="AW1381" i="11"/>
  <c r="AW1382" i="11"/>
  <c r="AW1383" i="11"/>
  <c r="AW1384" i="11"/>
  <c r="AW1385" i="11"/>
  <c r="AW1386" i="11"/>
  <c r="AW1388" i="11"/>
  <c r="AW1389" i="11"/>
  <c r="AW1390" i="11"/>
  <c r="AW1391" i="11"/>
  <c r="AW1393" i="11"/>
  <c r="AW1394" i="11"/>
  <c r="AW1395" i="11"/>
  <c r="AW1396" i="11"/>
  <c r="BB1397" i="11" l="1"/>
  <c r="BB1415" i="11"/>
  <c r="BB1418" i="11"/>
  <c r="BB1427" i="11"/>
  <c r="BB1417" i="11"/>
  <c r="BB1419" i="11"/>
  <c r="BB1411" i="11"/>
  <c r="BB1401" i="11"/>
  <c r="BB1403" i="11"/>
  <c r="BB1420" i="11"/>
  <c r="BB1405" i="11"/>
  <c r="BB1410" i="11"/>
  <c r="BB1387" i="11"/>
  <c r="BB1406" i="11"/>
  <c r="BB1425" i="11"/>
  <c r="BB1408" i="11"/>
  <c r="BB1404" i="11"/>
  <c r="BB1416" i="11"/>
  <c r="BB1426" i="11"/>
  <c r="BB1412" i="11"/>
  <c r="BB1392" i="11"/>
  <c r="BB1424" i="11"/>
  <c r="BB1423" i="11"/>
  <c r="BB1409" i="11"/>
  <c r="BB1402" i="11"/>
  <c r="BB1400" i="11"/>
  <c r="BB1399" i="11"/>
  <c r="BB1407" i="11"/>
  <c r="AU1417" i="11"/>
  <c r="U1389" i="11"/>
  <c r="V1389" i="11" s="1"/>
  <c r="AU1389" i="11" s="1"/>
  <c r="AF1389" i="11"/>
  <c r="AR1389" i="11" s="1"/>
  <c r="U1395" i="11"/>
  <c r="V1395" i="11" s="1"/>
  <c r="AU1395" i="11" s="1"/>
  <c r="AF1395" i="11"/>
  <c r="AR1395" i="11" s="1"/>
  <c r="U1396" i="11"/>
  <c r="V1396" i="11" s="1"/>
  <c r="AU1396" i="11" s="1"/>
  <c r="AF1396" i="11"/>
  <c r="AR1396" i="11" s="1"/>
  <c r="AU1405" i="11"/>
  <c r="AU1401" i="11"/>
  <c r="AE1376" i="11"/>
  <c r="AU1376" i="11" s="1"/>
  <c r="AG1378" i="11"/>
  <c r="AX1378" i="11" s="1"/>
  <c r="BA1378" i="11" s="1"/>
  <c r="AI1378" i="11"/>
  <c r="AZ1376" i="11"/>
  <c r="AK1378" i="11"/>
  <c r="AO1378" i="11"/>
  <c r="V1382" i="11"/>
  <c r="AU1382" i="11" s="1"/>
  <c r="AZ1389" i="11"/>
  <c r="AZ1372" i="11"/>
  <c r="AZ1373" i="11"/>
  <c r="AZ1388" i="11"/>
  <c r="AU1379" i="11"/>
  <c r="AZ1385" i="11"/>
  <c r="BA1384" i="11"/>
  <c r="AZ1383" i="11"/>
  <c r="AK1379" i="11"/>
  <c r="U1386" i="11"/>
  <c r="V1386" i="11" s="1"/>
  <c r="AU1386" i="11" s="1"/>
  <c r="AM1384" i="11"/>
  <c r="AO1389" i="11"/>
  <c r="U1383" i="11"/>
  <c r="V1383" i="11" s="1"/>
  <c r="AU1383" i="11" s="1"/>
  <c r="AK1381" i="11"/>
  <c r="V1381" i="11"/>
  <c r="AU1381" i="11" s="1"/>
  <c r="AZ1394" i="11"/>
  <c r="AZ1375" i="11"/>
  <c r="V1380" i="11"/>
  <c r="AU1380" i="11" s="1"/>
  <c r="V1388" i="11"/>
  <c r="AU1388" i="11" s="1"/>
  <c r="V1385" i="11"/>
  <c r="AU1385" i="11" s="1"/>
  <c r="AZ1393" i="11"/>
  <c r="AM1374" i="11"/>
  <c r="AK1391" i="11"/>
  <c r="V1394" i="11"/>
  <c r="AU1394" i="11" s="1"/>
  <c r="AI1384" i="11"/>
  <c r="AG1375" i="11"/>
  <c r="AX1375" i="11" s="1"/>
  <c r="BA1375" i="11" s="1"/>
  <c r="AG1372" i="11"/>
  <c r="AX1372" i="11" s="1"/>
  <c r="BA1372" i="11" s="1"/>
  <c r="V1390" i="11"/>
  <c r="AU1390" i="11" s="1"/>
  <c r="AZ1382" i="11"/>
  <c r="AZ1381" i="11"/>
  <c r="AZ1379" i="11"/>
  <c r="AZ1396" i="11"/>
  <c r="AZ1378" i="11"/>
  <c r="BA1381" i="11"/>
  <c r="U1384" i="11"/>
  <c r="V1384" i="11" s="1"/>
  <c r="AU1384" i="11" s="1"/>
  <c r="AZ1395" i="11"/>
  <c r="AZ1377" i="11"/>
  <c r="AU1378" i="11"/>
  <c r="AM1372" i="11"/>
  <c r="BA1380" i="11"/>
  <c r="AK1389" i="11"/>
  <c r="AU1393" i="11"/>
  <c r="AU1375" i="11"/>
  <c r="AO1395" i="11"/>
  <c r="AO1393" i="11"/>
  <c r="AO1391" i="11"/>
  <c r="AO1396" i="11"/>
  <c r="BA1390" i="11"/>
  <c r="AO1377" i="11"/>
  <c r="AM1395" i="11"/>
  <c r="AI1375" i="11"/>
  <c r="BA1373" i="11"/>
  <c r="AI1377" i="11"/>
  <c r="AM1393" i="11"/>
  <c r="AI1374" i="11"/>
  <c r="AK1377" i="11"/>
  <c r="AM1391" i="11"/>
  <c r="AI1372" i="11"/>
  <c r="AM1389" i="11"/>
  <c r="AG1377" i="11"/>
  <c r="AX1377" i="11" s="1"/>
  <c r="BA1377" i="11" s="1"/>
  <c r="AI1381" i="11"/>
  <c r="AZ1380" i="11"/>
  <c r="AK1384" i="11"/>
  <c r="AI1379" i="11"/>
  <c r="AG1374" i="11"/>
  <c r="AX1374" i="11" s="1"/>
  <c r="BA1374" i="11" s="1"/>
  <c r="AU1377" i="11"/>
  <c r="BA1379" i="11"/>
  <c r="AO1381" i="11"/>
  <c r="AK1375" i="11"/>
  <c r="AU1372" i="11"/>
  <c r="AZ1391" i="11"/>
  <c r="AZ1374" i="11"/>
  <c r="AO1379" i="11"/>
  <c r="AK1374" i="11"/>
  <c r="AG1396" i="11"/>
  <c r="AX1396" i="11" s="1"/>
  <c r="BA1396" i="11" s="1"/>
  <c r="BA1394" i="11"/>
  <c r="BA1376" i="11"/>
  <c r="AM1375" i="11"/>
  <c r="AK1372" i="11"/>
  <c r="AG1395" i="11"/>
  <c r="AX1395" i="11" s="1"/>
  <c r="BA1395" i="11" s="1"/>
  <c r="AM1381" i="11"/>
  <c r="AO1384" i="11"/>
  <c r="AI1396" i="11"/>
  <c r="AG1391" i="11"/>
  <c r="AX1391" i="11" s="1"/>
  <c r="BA1391" i="11" s="1"/>
  <c r="AZ1390" i="11"/>
  <c r="AI1395" i="11"/>
  <c r="AG1389" i="11"/>
  <c r="AX1389" i="11" s="1"/>
  <c r="BA1389" i="11" s="1"/>
  <c r="AK1396" i="11"/>
  <c r="AI1393" i="11"/>
  <c r="AU1374" i="11"/>
  <c r="AM1379" i="11"/>
  <c r="AU1391" i="11"/>
  <c r="AU1373" i="11"/>
  <c r="AG1393" i="11"/>
  <c r="AX1393" i="11" s="1"/>
  <c r="BA1393" i="11" s="1"/>
  <c r="AZ1386" i="11"/>
  <c r="AZ1384" i="11"/>
  <c r="AO1388" i="11"/>
  <c r="AM1388" i="11"/>
  <c r="AK1388" i="11"/>
  <c r="AI1388" i="11"/>
  <c r="AG1388" i="11"/>
  <c r="AX1388" i="11" s="1"/>
  <c r="BA1388" i="11" s="1"/>
  <c r="AO1386" i="11"/>
  <c r="AM1386" i="11"/>
  <c r="AK1386" i="11"/>
  <c r="AI1386" i="11"/>
  <c r="AG1386" i="11"/>
  <c r="AX1386" i="11" s="1"/>
  <c r="BA1386" i="11" s="1"/>
  <c r="AO1385" i="11"/>
  <c r="AM1385" i="11"/>
  <c r="AK1385" i="11"/>
  <c r="AI1385" i="11"/>
  <c r="AG1385" i="11"/>
  <c r="AX1385" i="11" s="1"/>
  <c r="BA1385" i="11" s="1"/>
  <c r="AO1383" i="11"/>
  <c r="AM1383" i="11"/>
  <c r="AK1383" i="11"/>
  <c r="AI1383" i="11"/>
  <c r="AG1383" i="11"/>
  <c r="AX1383" i="11" s="1"/>
  <c r="BA1383" i="11" s="1"/>
  <c r="AO1382" i="11"/>
  <c r="AM1382" i="11"/>
  <c r="AK1382" i="11"/>
  <c r="AI1382" i="11"/>
  <c r="AG1382" i="11"/>
  <c r="AX1382" i="11" s="1"/>
  <c r="BA1382" i="11" s="1"/>
  <c r="AO1380" i="11"/>
  <c r="AM1380" i="11"/>
  <c r="AK1380" i="11"/>
  <c r="AI1380" i="11"/>
  <c r="AO1394" i="11"/>
  <c r="AO1376" i="11"/>
  <c r="AM1394" i="11"/>
  <c r="AM1376" i="11"/>
  <c r="AK1394" i="11"/>
  <c r="AK1376" i="11"/>
  <c r="AI1394" i="11"/>
  <c r="AI1376" i="11"/>
  <c r="AO1390" i="11"/>
  <c r="AO1373" i="11"/>
  <c r="AM1390" i="11"/>
  <c r="AM1373" i="11"/>
  <c r="AK1390" i="11"/>
  <c r="AK1373" i="11"/>
  <c r="AI1390" i="11"/>
  <c r="AI1373" i="11"/>
  <c r="BB1384" i="11" l="1"/>
  <c r="BB1390" i="11"/>
  <c r="BB1378" i="11"/>
  <c r="BB1375" i="11"/>
  <c r="BB1373" i="11"/>
  <c r="BB1396" i="11"/>
  <c r="BB1394" i="11"/>
  <c r="BB1386" i="11"/>
  <c r="BB1379" i="11"/>
  <c r="BB1393" i="11"/>
  <c r="BB1377" i="11"/>
  <c r="BB1389" i="11"/>
  <c r="BB1391" i="11"/>
  <c r="BB1385" i="11"/>
  <c r="BB1374" i="11"/>
  <c r="BB1383" i="11"/>
  <c r="BB1395" i="11"/>
  <c r="BB1388" i="11"/>
  <c r="BB1380" i="11"/>
  <c r="BB1381" i="11"/>
  <c r="BB1382" i="11"/>
  <c r="BB1376" i="11"/>
  <c r="BB1372" i="11"/>
  <c r="R1369" i="11"/>
  <c r="R1368" i="11"/>
  <c r="R1359" i="11"/>
  <c r="BL1356" i="11" l="1"/>
  <c r="BJ1356" i="11"/>
  <c r="BI1356" i="11"/>
  <c r="BH1356" i="11"/>
  <c r="BG1356" i="11"/>
  <c r="S1357" i="11"/>
  <c r="R1357" i="11"/>
  <c r="S1356" i="11"/>
  <c r="T1356" i="11" s="1"/>
  <c r="U1356" i="11" s="1"/>
  <c r="V1356" i="11" s="1"/>
  <c r="H1356" i="11"/>
  <c r="H1357" i="11"/>
  <c r="W1356" i="11"/>
  <c r="W1357" i="11"/>
  <c r="AF1357" i="11" s="1"/>
  <c r="AR1357" i="11" s="1"/>
  <c r="AD1356" i="11"/>
  <c r="AD1357" i="11"/>
  <c r="AS1356" i="11"/>
  <c r="AS1357" i="11"/>
  <c r="AT1356" i="11"/>
  <c r="AM1356" i="11" s="1"/>
  <c r="AT1357" i="11"/>
  <c r="AG1357" i="11" s="1"/>
  <c r="AX1357" i="11" s="1"/>
  <c r="AV1356" i="11"/>
  <c r="AY1356" i="11" s="1"/>
  <c r="AV1357" i="11"/>
  <c r="AY1357" i="11" s="1"/>
  <c r="AW1356" i="11"/>
  <c r="AW1357" i="11"/>
  <c r="S1364" i="11"/>
  <c r="T1364" i="11" s="1"/>
  <c r="U1364" i="11" s="1"/>
  <c r="V1364" i="11" s="1"/>
  <c r="R1355" i="11"/>
  <c r="T1355" i="11" s="1"/>
  <c r="U1355" i="11" s="1"/>
  <c r="R1354" i="11"/>
  <c r="T1354" i="11" s="1"/>
  <c r="U1354" i="11" s="1"/>
  <c r="V1354" i="11" s="1"/>
  <c r="R1358" i="11"/>
  <c r="T1358" i="11" s="1"/>
  <c r="U1358" i="11" s="1"/>
  <c r="R1362" i="11"/>
  <c r="T1362" i="11" s="1"/>
  <c r="U1362" i="11" s="1"/>
  <c r="V1362" i="11" s="1"/>
  <c r="AD1353" i="11"/>
  <c r="W1353" i="11"/>
  <c r="T1353" i="11"/>
  <c r="W1354" i="11"/>
  <c r="AF1354" i="11" s="1"/>
  <c r="AR1354" i="11" s="1"/>
  <c r="AD1354" i="11"/>
  <c r="AE1354" i="11"/>
  <c r="AS1354" i="11"/>
  <c r="AT1354" i="11"/>
  <c r="AG1354" i="11" s="1"/>
  <c r="AX1354" i="11" s="1"/>
  <c r="AV1354" i="11"/>
  <c r="AY1354" i="11" s="1"/>
  <c r="AW1354" i="11"/>
  <c r="BG1354" i="11"/>
  <c r="BH1354" i="11"/>
  <c r="BI1354" i="11"/>
  <c r="BJ1354" i="11"/>
  <c r="BL1354" i="11"/>
  <c r="W1355" i="11"/>
  <c r="AF1355" i="11" s="1"/>
  <c r="AR1355" i="11" s="1"/>
  <c r="AE1355" i="11"/>
  <c r="AS1355" i="11"/>
  <c r="AT1355" i="11"/>
  <c r="AG1355" i="11" s="1"/>
  <c r="AX1355" i="11" s="1"/>
  <c r="AV1355" i="11"/>
  <c r="AY1355" i="11" s="1"/>
  <c r="AW1355" i="11"/>
  <c r="BG1355" i="11"/>
  <c r="BH1355" i="11"/>
  <c r="BI1355" i="11"/>
  <c r="BJ1355" i="11"/>
  <c r="BL1355" i="11"/>
  <c r="W1358" i="11"/>
  <c r="AF1358" i="11" s="1"/>
  <c r="AR1358" i="11" s="1"/>
  <c r="AD1358" i="11"/>
  <c r="AE1358" i="11"/>
  <c r="AS1358" i="11"/>
  <c r="AT1358" i="11"/>
  <c r="AG1358" i="11" s="1"/>
  <c r="AX1358" i="11" s="1"/>
  <c r="AV1358" i="11"/>
  <c r="AY1358" i="11" s="1"/>
  <c r="AW1358" i="11"/>
  <c r="T1359" i="11"/>
  <c r="U1359" i="11" s="1"/>
  <c r="W1359" i="11"/>
  <c r="AF1359" i="11" s="1"/>
  <c r="AR1359" i="11" s="1"/>
  <c r="AD1359" i="11"/>
  <c r="AE1359" i="11"/>
  <c r="AS1359" i="11"/>
  <c r="AT1359" i="11"/>
  <c r="AO1359" i="11" s="1"/>
  <c r="AV1359" i="11"/>
  <c r="AY1359" i="11" s="1"/>
  <c r="AW1359" i="11"/>
  <c r="T1360" i="11"/>
  <c r="U1360" i="11" s="1"/>
  <c r="V1360" i="11" s="1"/>
  <c r="W1360" i="11"/>
  <c r="AF1360" i="11" s="1"/>
  <c r="AR1360" i="11" s="1"/>
  <c r="AD1360" i="11"/>
  <c r="AE1360" i="11"/>
  <c r="AS1360" i="11"/>
  <c r="AT1360" i="11"/>
  <c r="AG1360" i="11" s="1"/>
  <c r="AX1360" i="11" s="1"/>
  <c r="AV1360" i="11"/>
  <c r="AY1360" i="11" s="1"/>
  <c r="AW1360" i="11"/>
  <c r="T1361" i="11"/>
  <c r="U1361" i="11" s="1"/>
  <c r="W1361" i="11"/>
  <c r="AF1361" i="11" s="1"/>
  <c r="AR1361" i="11" s="1"/>
  <c r="AD1361" i="11"/>
  <c r="AE1361" i="11"/>
  <c r="AS1361" i="11"/>
  <c r="AT1361" i="11"/>
  <c r="AG1361" i="11" s="1"/>
  <c r="AX1361" i="11" s="1"/>
  <c r="AV1361" i="11"/>
  <c r="AY1361" i="11" s="1"/>
  <c r="AW1361" i="11"/>
  <c r="W1362" i="11"/>
  <c r="AF1362" i="11" s="1"/>
  <c r="AR1362" i="11" s="1"/>
  <c r="AD1362" i="11"/>
  <c r="AE1362" i="11"/>
  <c r="AS1362" i="11"/>
  <c r="AT1362" i="11"/>
  <c r="AG1362" i="11" s="1"/>
  <c r="AX1362" i="11" s="1"/>
  <c r="AV1362" i="11"/>
  <c r="AY1362" i="11" s="1"/>
  <c r="AW1362" i="11"/>
  <c r="T1363" i="11"/>
  <c r="U1363" i="11" s="1"/>
  <c r="V1363" i="11" s="1"/>
  <c r="W1363" i="11"/>
  <c r="AF1363" i="11" s="1"/>
  <c r="AR1363" i="11" s="1"/>
  <c r="AD1363" i="11"/>
  <c r="AE1363" i="11"/>
  <c r="AS1363" i="11"/>
  <c r="AT1363" i="11"/>
  <c r="AO1363" i="11" s="1"/>
  <c r="AV1363" i="11"/>
  <c r="AY1363" i="11" s="1"/>
  <c r="AW1363" i="11"/>
  <c r="W1364" i="11"/>
  <c r="AF1364" i="11" s="1"/>
  <c r="AR1364" i="11" s="1"/>
  <c r="AD1364" i="11"/>
  <c r="AE1364" i="11"/>
  <c r="AS1364" i="11"/>
  <c r="AT1364" i="11"/>
  <c r="AM1364" i="11" s="1"/>
  <c r="AV1364" i="11"/>
  <c r="AY1364" i="11" s="1"/>
  <c r="AW1364" i="11"/>
  <c r="AF1365" i="11"/>
  <c r="AR1365" i="11" s="1"/>
  <c r="AE1365" i="11"/>
  <c r="AS1365" i="11"/>
  <c r="AT1365" i="11"/>
  <c r="AI1365" i="11" s="1"/>
  <c r="AV1365" i="11"/>
  <c r="AW1365" i="11"/>
  <c r="AF1366" i="11"/>
  <c r="AR1366" i="11" s="1"/>
  <c r="AD1366" i="11"/>
  <c r="AE1366" i="11"/>
  <c r="AS1366" i="11"/>
  <c r="AT1366" i="11"/>
  <c r="AG1366" i="11" s="1"/>
  <c r="AX1366" i="11" s="1"/>
  <c r="AV1366" i="11"/>
  <c r="AY1366" i="11" s="1"/>
  <c r="AW1366" i="11"/>
  <c r="T1367" i="11"/>
  <c r="U1367" i="11" s="1"/>
  <c r="W1367" i="11"/>
  <c r="AF1367" i="11" s="1"/>
  <c r="AR1367" i="11" s="1"/>
  <c r="AE1367" i="11"/>
  <c r="AS1367" i="11"/>
  <c r="AT1367" i="11"/>
  <c r="AO1367" i="11" s="1"/>
  <c r="AV1367" i="11"/>
  <c r="AY1367" i="11" s="1"/>
  <c r="AW1367" i="11"/>
  <c r="T1368" i="11"/>
  <c r="U1368" i="11" s="1"/>
  <c r="V1368" i="11" s="1"/>
  <c r="W1368" i="11"/>
  <c r="AF1368" i="11" s="1"/>
  <c r="AR1368" i="11" s="1"/>
  <c r="AD1368" i="11"/>
  <c r="AS1368" i="11"/>
  <c r="AT1368" i="11"/>
  <c r="AG1368" i="11" s="1"/>
  <c r="AX1368" i="11" s="1"/>
  <c r="AV1368" i="11"/>
  <c r="AY1368" i="11" s="1"/>
  <c r="AW1368" i="11"/>
  <c r="T1369" i="11"/>
  <c r="U1369" i="11" s="1"/>
  <c r="W1369" i="11"/>
  <c r="AF1369" i="11" s="1"/>
  <c r="AR1369" i="11" s="1"/>
  <c r="AD1369" i="11"/>
  <c r="AS1369" i="11"/>
  <c r="AT1369" i="11"/>
  <c r="AG1369" i="11" s="1"/>
  <c r="AX1369" i="11" s="1"/>
  <c r="AV1369" i="11"/>
  <c r="AY1369" i="11" s="1"/>
  <c r="AW1369" i="11"/>
  <c r="T1370" i="11"/>
  <c r="U1370" i="11" s="1"/>
  <c r="V1370" i="11" s="1"/>
  <c r="W1370" i="11"/>
  <c r="AF1370" i="11" s="1"/>
  <c r="AR1370" i="11" s="1"/>
  <c r="AD1370" i="11"/>
  <c r="AE1370" i="11"/>
  <c r="AS1370" i="11"/>
  <c r="AT1370" i="11"/>
  <c r="AG1370" i="11" s="1"/>
  <c r="AX1370" i="11" s="1"/>
  <c r="AV1370" i="11"/>
  <c r="AY1370" i="11" s="1"/>
  <c r="AW1370" i="11"/>
  <c r="U1371" i="11"/>
  <c r="W1371" i="11"/>
  <c r="AF1371" i="11" s="1"/>
  <c r="AR1371" i="11" s="1"/>
  <c r="AD1371" i="11"/>
  <c r="AE1371" i="11"/>
  <c r="AS1371" i="11"/>
  <c r="AT1371" i="11"/>
  <c r="AG1371" i="11" s="1"/>
  <c r="AX1371" i="11" s="1"/>
  <c r="AV1371" i="11"/>
  <c r="AY1371" i="11" s="1"/>
  <c r="AW1371" i="11"/>
  <c r="H1354" i="11"/>
  <c r="H1355" i="11"/>
  <c r="H1358" i="11"/>
  <c r="H1359" i="11"/>
  <c r="H1360" i="11"/>
  <c r="H1361" i="11"/>
  <c r="H1362" i="11"/>
  <c r="H1363" i="11"/>
  <c r="H1364" i="11"/>
  <c r="H1365" i="11"/>
  <c r="H1366" i="11"/>
  <c r="H1367" i="11"/>
  <c r="H1368" i="11"/>
  <c r="H1369" i="11"/>
  <c r="H1370" i="11"/>
  <c r="H1371" i="11"/>
  <c r="R1331" i="11"/>
  <c r="R1351" i="11"/>
  <c r="AD1065" i="11"/>
  <c r="S1065" i="11"/>
  <c r="S1063" i="11"/>
  <c r="AD1318" i="11"/>
  <c r="BL2" i="11"/>
  <c r="BL3"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L137" i="11"/>
  <c r="BL138" i="11"/>
  <c r="BL139" i="11"/>
  <c r="BL140" i="11"/>
  <c r="BL141" i="11"/>
  <c r="BL142" i="11"/>
  <c r="BL143" i="11"/>
  <c r="BL144" i="11"/>
  <c r="BL145" i="11"/>
  <c r="BL146" i="11"/>
  <c r="BL147" i="11"/>
  <c r="BL148" i="11"/>
  <c r="BL149" i="11"/>
  <c r="BL150" i="11"/>
  <c r="BL151" i="11"/>
  <c r="BL152" i="11"/>
  <c r="BL153" i="11"/>
  <c r="BL154" i="11"/>
  <c r="BL155" i="11"/>
  <c r="BL156" i="11"/>
  <c r="BL157" i="11"/>
  <c r="BL158" i="11"/>
  <c r="BL159" i="11"/>
  <c r="BL160" i="11"/>
  <c r="BL161" i="11"/>
  <c r="BL162" i="11"/>
  <c r="BL163" i="11"/>
  <c r="BL164" i="11"/>
  <c r="BL165" i="11"/>
  <c r="BL166" i="11"/>
  <c r="BL167" i="11"/>
  <c r="BL168" i="11"/>
  <c r="BL169" i="11"/>
  <c r="BL170" i="11"/>
  <c r="BL171" i="11"/>
  <c r="BL172" i="11"/>
  <c r="BL173" i="11"/>
  <c r="BL174" i="11"/>
  <c r="BL175" i="11"/>
  <c r="BL176" i="11"/>
  <c r="BL177" i="11"/>
  <c r="BL178" i="11"/>
  <c r="BL179" i="11"/>
  <c r="BL180" i="11"/>
  <c r="BL181" i="11"/>
  <c r="BL182" i="11"/>
  <c r="BL183" i="11"/>
  <c r="BL184" i="11"/>
  <c r="BL185" i="11"/>
  <c r="BL186" i="11"/>
  <c r="BL187" i="11"/>
  <c r="BL188" i="11"/>
  <c r="BL189" i="11"/>
  <c r="BL190" i="11"/>
  <c r="BL191" i="11"/>
  <c r="BL192" i="11"/>
  <c r="BL193" i="11"/>
  <c r="BL194" i="11"/>
  <c r="BL195" i="11"/>
  <c r="BL196" i="11"/>
  <c r="BL197" i="11"/>
  <c r="BL198" i="11"/>
  <c r="BL199" i="11"/>
  <c r="BL200" i="11"/>
  <c r="BL201" i="11"/>
  <c r="BL202" i="11"/>
  <c r="BL203" i="11"/>
  <c r="BL204" i="11"/>
  <c r="BL205" i="11"/>
  <c r="BL206" i="11"/>
  <c r="BL207" i="11"/>
  <c r="BL208" i="11"/>
  <c r="BL209" i="11"/>
  <c r="BL210" i="11"/>
  <c r="BL211" i="11"/>
  <c r="BL212" i="11"/>
  <c r="BL213" i="11"/>
  <c r="BL214" i="11"/>
  <c r="BL215" i="11"/>
  <c r="BL216" i="11"/>
  <c r="BL217" i="11"/>
  <c r="BL218" i="11"/>
  <c r="BL219" i="11"/>
  <c r="BL220" i="11"/>
  <c r="BL221" i="11"/>
  <c r="BL222" i="11"/>
  <c r="BL223" i="11"/>
  <c r="BL224" i="11"/>
  <c r="BL225" i="11"/>
  <c r="BL226" i="11"/>
  <c r="BL227" i="11"/>
  <c r="BL228" i="11"/>
  <c r="BL229" i="11"/>
  <c r="BL230" i="11"/>
  <c r="BL231" i="11"/>
  <c r="BL232" i="11"/>
  <c r="BL233" i="11"/>
  <c r="BL234" i="11"/>
  <c r="BL235" i="11"/>
  <c r="BL236" i="11"/>
  <c r="BL237" i="11"/>
  <c r="BL238" i="11"/>
  <c r="BL239" i="11"/>
  <c r="BL240" i="11"/>
  <c r="BL241" i="11"/>
  <c r="BL242" i="11"/>
  <c r="BL243" i="11"/>
  <c r="BL244" i="11"/>
  <c r="BL245" i="11"/>
  <c r="BL246" i="11"/>
  <c r="BL247" i="11"/>
  <c r="BL248" i="11"/>
  <c r="BL249" i="11"/>
  <c r="BL250" i="11"/>
  <c r="BL251" i="11"/>
  <c r="BL252" i="11"/>
  <c r="BL253" i="11"/>
  <c r="BL254" i="11"/>
  <c r="BL255" i="11"/>
  <c r="BL256" i="11"/>
  <c r="BL257" i="11"/>
  <c r="BL258" i="11"/>
  <c r="BL259" i="11"/>
  <c r="BL260" i="11"/>
  <c r="BL261" i="11"/>
  <c r="BL262" i="11"/>
  <c r="BL263" i="11"/>
  <c r="BL264" i="11"/>
  <c r="BL265" i="11"/>
  <c r="BL266" i="11"/>
  <c r="BL267" i="11"/>
  <c r="BL268" i="11"/>
  <c r="BL269" i="11"/>
  <c r="BL270" i="11"/>
  <c r="BL271" i="11"/>
  <c r="BL272" i="11"/>
  <c r="BL273" i="11"/>
  <c r="BL274" i="11"/>
  <c r="BL275" i="11"/>
  <c r="BL276" i="11"/>
  <c r="BL277" i="11"/>
  <c r="BL278" i="11"/>
  <c r="BL279" i="11"/>
  <c r="BL280" i="11"/>
  <c r="BL281" i="11"/>
  <c r="BL282" i="11"/>
  <c r="BL283" i="11"/>
  <c r="BL284" i="11"/>
  <c r="BL285" i="11"/>
  <c r="BL286" i="11"/>
  <c r="BL287" i="11"/>
  <c r="BL288" i="11"/>
  <c r="BL289" i="11"/>
  <c r="BL290" i="11"/>
  <c r="BL291" i="11"/>
  <c r="BL292" i="11"/>
  <c r="BL293" i="11"/>
  <c r="BL294" i="11"/>
  <c r="BL295" i="11"/>
  <c r="BL296" i="11"/>
  <c r="BL297" i="11"/>
  <c r="BL298" i="11"/>
  <c r="BL299" i="11"/>
  <c r="BL300" i="11"/>
  <c r="BL301" i="11"/>
  <c r="BL302" i="11"/>
  <c r="BL303" i="11"/>
  <c r="BL304" i="11"/>
  <c r="BL305" i="11"/>
  <c r="BL306" i="11"/>
  <c r="BL307" i="11"/>
  <c r="BL308" i="11"/>
  <c r="BL309" i="11"/>
  <c r="BL310" i="11"/>
  <c r="BL311" i="11"/>
  <c r="BL312" i="11"/>
  <c r="BL313" i="11"/>
  <c r="BL314" i="11"/>
  <c r="BL315" i="11"/>
  <c r="BL316" i="11"/>
  <c r="BL317" i="11"/>
  <c r="BL318" i="11"/>
  <c r="BL319" i="11"/>
  <c r="BL320" i="11"/>
  <c r="BL321" i="11"/>
  <c r="BL322" i="11"/>
  <c r="BL323" i="11"/>
  <c r="BL324" i="11"/>
  <c r="BL325" i="11"/>
  <c r="BL326" i="11"/>
  <c r="BL327" i="11"/>
  <c r="BL328" i="11"/>
  <c r="BL329" i="11"/>
  <c r="BL330" i="11"/>
  <c r="BL331" i="11"/>
  <c r="BL332" i="11"/>
  <c r="BL333" i="11"/>
  <c r="BL334" i="11"/>
  <c r="BL335" i="11"/>
  <c r="BL336" i="11"/>
  <c r="BL337" i="11"/>
  <c r="BL338" i="11"/>
  <c r="BL339" i="11"/>
  <c r="BL340" i="11"/>
  <c r="BL341" i="11"/>
  <c r="BL342" i="11"/>
  <c r="BL343" i="11"/>
  <c r="BL344" i="11"/>
  <c r="BL345" i="11"/>
  <c r="BL346" i="11"/>
  <c r="BL347" i="11"/>
  <c r="BL348" i="11"/>
  <c r="BL349" i="11"/>
  <c r="BL350" i="11"/>
  <c r="BL351" i="11"/>
  <c r="BL352" i="11"/>
  <c r="BL353" i="11"/>
  <c r="BL354" i="11"/>
  <c r="BL355" i="11"/>
  <c r="BL356" i="11"/>
  <c r="BL357" i="11"/>
  <c r="BL358" i="11"/>
  <c r="BL359" i="11"/>
  <c r="BL360" i="11"/>
  <c r="BL361" i="11"/>
  <c r="BL362" i="11"/>
  <c r="BL363" i="11"/>
  <c r="BL364" i="11"/>
  <c r="BL365" i="11"/>
  <c r="BL366" i="11"/>
  <c r="BL367" i="11"/>
  <c r="BL368" i="11"/>
  <c r="BL369" i="11"/>
  <c r="BL370" i="11"/>
  <c r="BL371" i="11"/>
  <c r="BL372" i="11"/>
  <c r="BL373" i="11"/>
  <c r="BL374" i="11"/>
  <c r="BL375" i="11"/>
  <c r="BL376" i="11"/>
  <c r="BL377" i="11"/>
  <c r="BL378" i="11"/>
  <c r="BL379" i="11"/>
  <c r="BL380" i="11"/>
  <c r="BL381" i="11"/>
  <c r="BL382" i="11"/>
  <c r="BL383" i="11"/>
  <c r="BL384" i="11"/>
  <c r="BL385" i="11"/>
  <c r="BL386" i="11"/>
  <c r="BL387" i="11"/>
  <c r="BL388" i="11"/>
  <c r="BL389" i="11"/>
  <c r="BL390" i="11"/>
  <c r="BL391" i="11"/>
  <c r="BL392" i="11"/>
  <c r="BL393" i="11"/>
  <c r="BL394" i="11"/>
  <c r="BL395" i="11"/>
  <c r="BL396" i="11"/>
  <c r="BL397" i="11"/>
  <c r="BL398" i="11"/>
  <c r="BL399" i="11"/>
  <c r="BL400" i="11"/>
  <c r="BL401" i="11"/>
  <c r="BL402" i="11"/>
  <c r="BL403" i="11"/>
  <c r="BL404" i="11"/>
  <c r="BL405" i="11"/>
  <c r="BL406" i="11"/>
  <c r="BL407" i="11"/>
  <c r="BL408" i="11"/>
  <c r="BL409" i="11"/>
  <c r="BL410" i="11"/>
  <c r="BL411" i="11"/>
  <c r="BL412" i="11"/>
  <c r="BL413" i="11"/>
  <c r="BL414" i="11"/>
  <c r="BL415" i="11"/>
  <c r="BL416" i="11"/>
  <c r="BL417" i="11"/>
  <c r="BL418" i="11"/>
  <c r="BL419" i="11"/>
  <c r="BL420" i="11"/>
  <c r="BL421" i="11"/>
  <c r="BL422" i="11"/>
  <c r="BL423" i="11"/>
  <c r="BL424" i="11"/>
  <c r="BL425" i="11"/>
  <c r="BL426" i="11"/>
  <c r="BL427" i="11"/>
  <c r="BL428" i="11"/>
  <c r="BL429" i="11"/>
  <c r="BL430" i="11"/>
  <c r="BL431" i="11"/>
  <c r="BL432" i="11"/>
  <c r="BL433" i="11"/>
  <c r="BL434" i="11"/>
  <c r="BL435" i="11"/>
  <c r="BL436" i="11"/>
  <c r="BL437" i="11"/>
  <c r="BL438" i="11"/>
  <c r="BL439" i="11"/>
  <c r="BL440" i="11"/>
  <c r="BL441" i="11"/>
  <c r="BL442" i="11"/>
  <c r="BL443" i="11"/>
  <c r="BL444" i="11"/>
  <c r="BL445" i="11"/>
  <c r="BL446" i="11"/>
  <c r="BL447" i="11"/>
  <c r="BL448" i="11"/>
  <c r="BL449" i="11"/>
  <c r="BL450" i="11"/>
  <c r="BL451" i="11"/>
  <c r="BL452" i="11"/>
  <c r="BL453" i="11"/>
  <c r="BL454" i="11"/>
  <c r="BL455" i="11"/>
  <c r="BL456" i="11"/>
  <c r="BL457" i="11"/>
  <c r="BL458" i="11"/>
  <c r="BL459" i="11"/>
  <c r="BL460" i="11"/>
  <c r="BL461" i="11"/>
  <c r="BL462" i="11"/>
  <c r="BL463" i="11"/>
  <c r="BL464" i="11"/>
  <c r="BL465" i="11"/>
  <c r="BL466" i="11"/>
  <c r="BL467" i="11"/>
  <c r="BL468" i="11"/>
  <c r="BL469" i="11"/>
  <c r="BL470" i="11"/>
  <c r="BL471" i="11"/>
  <c r="BL472" i="11"/>
  <c r="BL473" i="11"/>
  <c r="BL474" i="11"/>
  <c r="BL475" i="11"/>
  <c r="BL476" i="11"/>
  <c r="BL477" i="11"/>
  <c r="BL478" i="11"/>
  <c r="BL479" i="11"/>
  <c r="BL480" i="11"/>
  <c r="BL481" i="11"/>
  <c r="BL482" i="11"/>
  <c r="BL483" i="11"/>
  <c r="BL484" i="11"/>
  <c r="BL485" i="11"/>
  <c r="BL486" i="11"/>
  <c r="BL487" i="11"/>
  <c r="BL488" i="11"/>
  <c r="BL489" i="11"/>
  <c r="BL490" i="11"/>
  <c r="BL491" i="11"/>
  <c r="BL492" i="11"/>
  <c r="BL493" i="11"/>
  <c r="BL494" i="11"/>
  <c r="BL495" i="11"/>
  <c r="BL496" i="11"/>
  <c r="BL497" i="11"/>
  <c r="BL498" i="11"/>
  <c r="BL499" i="11"/>
  <c r="BL500" i="11"/>
  <c r="BL501" i="11"/>
  <c r="BL502" i="11"/>
  <c r="BL503" i="11"/>
  <c r="BL504" i="11"/>
  <c r="BL505" i="11"/>
  <c r="BL506" i="11"/>
  <c r="BL507" i="11"/>
  <c r="BL508" i="11"/>
  <c r="BL509" i="11"/>
  <c r="BL510" i="11"/>
  <c r="BL511" i="11"/>
  <c r="BL512" i="11"/>
  <c r="BL513" i="11"/>
  <c r="BL514" i="11"/>
  <c r="BL515" i="11"/>
  <c r="BL516" i="11"/>
  <c r="BL517" i="11"/>
  <c r="BL518" i="11"/>
  <c r="BL519" i="11"/>
  <c r="BL520" i="11"/>
  <c r="BL521" i="11"/>
  <c r="BL522" i="11"/>
  <c r="BL523" i="11"/>
  <c r="BL524" i="11"/>
  <c r="BL525" i="11"/>
  <c r="BL526" i="11"/>
  <c r="BL527" i="11"/>
  <c r="BL528" i="11"/>
  <c r="BL529" i="11"/>
  <c r="BL530" i="11"/>
  <c r="BL531" i="11"/>
  <c r="BL532" i="11"/>
  <c r="BL533" i="11"/>
  <c r="BL534" i="11"/>
  <c r="BL535" i="11"/>
  <c r="BL536" i="11"/>
  <c r="BL537" i="11"/>
  <c r="BL538" i="11"/>
  <c r="BL539" i="11"/>
  <c r="BL540" i="11"/>
  <c r="BL541" i="11"/>
  <c r="BL542" i="11"/>
  <c r="BL543" i="11"/>
  <c r="BL544" i="11"/>
  <c r="BL545" i="11"/>
  <c r="BL546" i="11"/>
  <c r="BL547" i="11"/>
  <c r="BL548" i="11"/>
  <c r="BL549" i="11"/>
  <c r="BL550" i="11"/>
  <c r="BL551" i="11"/>
  <c r="BL552" i="11"/>
  <c r="BL553" i="11"/>
  <c r="BL554" i="11"/>
  <c r="BL555" i="11"/>
  <c r="BL556" i="11"/>
  <c r="BL557" i="11"/>
  <c r="BL558" i="11"/>
  <c r="BL559" i="11"/>
  <c r="BL560" i="11"/>
  <c r="BL561" i="11"/>
  <c r="BL562" i="11"/>
  <c r="BL563" i="11"/>
  <c r="BL564" i="11"/>
  <c r="BL565" i="11"/>
  <c r="BL566" i="11"/>
  <c r="BL567" i="11"/>
  <c r="BL568" i="11"/>
  <c r="BL569" i="11"/>
  <c r="BL570" i="11"/>
  <c r="BL571" i="11"/>
  <c r="BL572" i="11"/>
  <c r="BL573" i="11"/>
  <c r="BL574" i="11"/>
  <c r="BL575" i="11"/>
  <c r="BL576" i="11"/>
  <c r="BL577" i="11"/>
  <c r="BL578" i="11"/>
  <c r="BL579" i="11"/>
  <c r="BL580" i="11"/>
  <c r="BL581" i="11"/>
  <c r="BL582" i="11"/>
  <c r="BL583" i="11"/>
  <c r="BL584" i="11"/>
  <c r="BL585" i="11"/>
  <c r="BL586" i="11"/>
  <c r="BL587" i="11"/>
  <c r="BL588" i="11"/>
  <c r="BL589" i="11"/>
  <c r="BL590" i="11"/>
  <c r="BL591" i="11"/>
  <c r="BL592" i="11"/>
  <c r="BL593" i="11"/>
  <c r="BL594" i="11"/>
  <c r="BL595" i="11"/>
  <c r="BL596" i="11"/>
  <c r="BL597" i="11"/>
  <c r="BL598" i="11"/>
  <c r="BL599" i="11"/>
  <c r="BL600" i="11"/>
  <c r="BL601" i="11"/>
  <c r="BL602" i="11"/>
  <c r="BL603" i="11"/>
  <c r="BL604" i="11"/>
  <c r="BL605" i="11"/>
  <c r="BL606" i="11"/>
  <c r="BL607" i="11"/>
  <c r="BL608" i="11"/>
  <c r="BL609" i="11"/>
  <c r="BL610" i="11"/>
  <c r="BL611" i="11"/>
  <c r="BL612" i="11"/>
  <c r="BL613" i="11"/>
  <c r="BL614" i="11"/>
  <c r="BL615" i="11"/>
  <c r="BL616" i="11"/>
  <c r="BL617" i="11"/>
  <c r="BL618" i="11"/>
  <c r="BL619" i="11"/>
  <c r="BL620" i="11"/>
  <c r="BL621" i="11"/>
  <c r="BL622" i="11"/>
  <c r="BL623" i="11"/>
  <c r="BL624" i="11"/>
  <c r="BL625" i="11"/>
  <c r="BL626" i="11"/>
  <c r="BL627" i="11"/>
  <c r="BL628" i="11"/>
  <c r="BL629" i="11"/>
  <c r="BL630" i="11"/>
  <c r="BL631" i="11"/>
  <c r="BL632" i="11"/>
  <c r="BL633" i="11"/>
  <c r="BL634" i="11"/>
  <c r="BL635" i="11"/>
  <c r="BL636" i="11"/>
  <c r="BL637" i="11"/>
  <c r="BL638" i="11"/>
  <c r="BL639" i="11"/>
  <c r="BL640" i="11"/>
  <c r="BL641" i="11"/>
  <c r="BL642" i="11"/>
  <c r="BL643" i="11"/>
  <c r="BL644" i="11"/>
  <c r="BL645" i="11"/>
  <c r="BL646" i="11"/>
  <c r="BL647" i="11"/>
  <c r="BL648" i="11"/>
  <c r="BL649" i="11"/>
  <c r="BL650" i="11"/>
  <c r="BL651" i="11"/>
  <c r="BL652" i="11"/>
  <c r="BL653" i="11"/>
  <c r="BL654" i="11"/>
  <c r="BL655" i="11"/>
  <c r="BL656" i="11"/>
  <c r="BL657" i="11"/>
  <c r="BL658" i="11"/>
  <c r="BL659" i="11"/>
  <c r="BL660" i="11"/>
  <c r="BL661" i="11"/>
  <c r="BL662" i="11"/>
  <c r="BL663" i="11"/>
  <c r="BL664" i="11"/>
  <c r="BL665" i="11"/>
  <c r="BL666" i="11"/>
  <c r="BL667" i="11"/>
  <c r="BL668" i="11"/>
  <c r="BL669" i="11"/>
  <c r="BL670" i="11"/>
  <c r="BL671" i="11"/>
  <c r="BL672" i="11"/>
  <c r="BL673" i="11"/>
  <c r="BL674" i="11"/>
  <c r="BL675" i="11"/>
  <c r="BL676" i="11"/>
  <c r="BL677" i="11"/>
  <c r="BL678" i="11"/>
  <c r="BL679" i="11"/>
  <c r="BL680" i="11"/>
  <c r="BL681" i="11"/>
  <c r="BL682" i="11"/>
  <c r="BL683" i="11"/>
  <c r="BL684" i="11"/>
  <c r="BL685" i="11"/>
  <c r="BL686" i="11"/>
  <c r="BL687" i="11"/>
  <c r="BL688" i="11"/>
  <c r="BL689" i="11"/>
  <c r="BL690" i="11"/>
  <c r="BL691" i="11"/>
  <c r="BL692" i="11"/>
  <c r="BL693" i="11"/>
  <c r="BL694" i="11"/>
  <c r="BL695" i="11"/>
  <c r="BL696" i="11"/>
  <c r="BL697" i="11"/>
  <c r="BL698" i="11"/>
  <c r="BL699" i="11"/>
  <c r="BL700" i="11"/>
  <c r="BL701" i="11"/>
  <c r="BL702" i="11"/>
  <c r="BL703" i="11"/>
  <c r="BL704" i="11"/>
  <c r="BL705" i="11"/>
  <c r="BL706" i="11"/>
  <c r="BL707" i="11"/>
  <c r="BL708" i="11"/>
  <c r="BL709" i="11"/>
  <c r="BL710" i="11"/>
  <c r="BL711" i="11"/>
  <c r="BL712" i="11"/>
  <c r="BL713" i="11"/>
  <c r="BL714" i="11"/>
  <c r="BL715" i="11"/>
  <c r="BL716" i="11"/>
  <c r="BL717" i="11"/>
  <c r="BL718" i="11"/>
  <c r="BL719" i="11"/>
  <c r="BL720" i="11"/>
  <c r="BL721" i="11"/>
  <c r="BL722" i="11"/>
  <c r="BL723" i="11"/>
  <c r="BL724" i="11"/>
  <c r="BL725" i="11"/>
  <c r="BL726" i="11"/>
  <c r="BL727" i="11"/>
  <c r="BL728" i="11"/>
  <c r="BL729" i="11"/>
  <c r="BL730" i="11"/>
  <c r="BL731" i="11"/>
  <c r="BL732" i="11"/>
  <c r="BL733" i="11"/>
  <c r="BL734" i="11"/>
  <c r="BL735" i="11"/>
  <c r="BL736" i="11"/>
  <c r="BL737" i="11"/>
  <c r="BL738" i="11"/>
  <c r="BL739" i="11"/>
  <c r="BL740" i="11"/>
  <c r="BL741" i="11"/>
  <c r="BL742" i="11"/>
  <c r="BL743" i="11"/>
  <c r="BL744" i="11"/>
  <c r="BL745" i="11"/>
  <c r="BL746" i="11"/>
  <c r="BL747" i="11"/>
  <c r="BL748" i="11"/>
  <c r="BL749" i="11"/>
  <c r="BL750" i="11"/>
  <c r="BL751" i="11"/>
  <c r="BL752" i="11"/>
  <c r="BL753" i="11"/>
  <c r="BL754" i="11"/>
  <c r="BL755" i="11"/>
  <c r="BL756" i="11"/>
  <c r="BL757" i="11"/>
  <c r="BL758" i="11"/>
  <c r="BL759" i="11"/>
  <c r="BL760" i="11"/>
  <c r="BL761" i="11"/>
  <c r="BL762" i="11"/>
  <c r="BL763" i="11"/>
  <c r="BL764" i="11"/>
  <c r="BL765" i="11"/>
  <c r="BL766" i="11"/>
  <c r="BL767" i="11"/>
  <c r="BL768" i="11"/>
  <c r="BL769" i="11"/>
  <c r="BL770" i="11"/>
  <c r="BL771" i="11"/>
  <c r="BL772" i="11"/>
  <c r="BL773" i="11"/>
  <c r="BL774" i="11"/>
  <c r="BL775" i="11"/>
  <c r="BL776" i="11"/>
  <c r="BL777" i="11"/>
  <c r="BL778" i="11"/>
  <c r="BL779" i="11"/>
  <c r="BL780" i="11"/>
  <c r="BL781" i="11"/>
  <c r="BL782" i="11"/>
  <c r="BL783" i="11"/>
  <c r="BL784" i="11"/>
  <c r="BL785" i="11"/>
  <c r="BL786" i="11"/>
  <c r="BL787" i="11"/>
  <c r="BL788" i="11"/>
  <c r="BL789" i="11"/>
  <c r="BL790" i="11"/>
  <c r="BL791" i="11"/>
  <c r="BL792" i="11"/>
  <c r="BL793" i="11"/>
  <c r="BL794" i="11"/>
  <c r="BL795" i="11"/>
  <c r="BL796" i="11"/>
  <c r="BL797" i="11"/>
  <c r="BL798" i="11"/>
  <c r="BL799" i="11"/>
  <c r="BL800" i="11"/>
  <c r="BL801" i="11"/>
  <c r="BL802" i="11"/>
  <c r="BL803" i="11"/>
  <c r="BL804" i="11"/>
  <c r="BL805" i="11"/>
  <c r="BL806" i="11"/>
  <c r="BL807" i="11"/>
  <c r="BL808" i="11"/>
  <c r="BL809" i="11"/>
  <c r="BL810" i="11"/>
  <c r="BL811" i="11"/>
  <c r="BL812" i="11"/>
  <c r="BL813" i="11"/>
  <c r="BL814" i="11"/>
  <c r="BL815" i="11"/>
  <c r="BL816" i="11"/>
  <c r="BL817" i="11"/>
  <c r="BL818" i="11"/>
  <c r="BL819" i="11"/>
  <c r="BL820" i="11"/>
  <c r="BL821" i="11"/>
  <c r="BL822" i="11"/>
  <c r="BL823" i="11"/>
  <c r="BL824" i="11"/>
  <c r="BL825" i="11"/>
  <c r="BL826" i="11"/>
  <c r="BL827" i="11"/>
  <c r="BL828" i="11"/>
  <c r="BL829" i="11"/>
  <c r="BL830" i="11"/>
  <c r="BL831" i="11"/>
  <c r="BL832" i="11"/>
  <c r="BL833" i="11"/>
  <c r="BL834" i="11"/>
  <c r="BL835" i="11"/>
  <c r="BL836" i="11"/>
  <c r="BL837" i="11"/>
  <c r="BL838" i="11"/>
  <c r="BL839" i="11"/>
  <c r="BL840" i="11"/>
  <c r="BL841" i="11"/>
  <c r="BL842" i="11"/>
  <c r="BL843" i="11"/>
  <c r="BL844" i="11"/>
  <c r="BL845" i="11"/>
  <c r="BL846" i="11"/>
  <c r="BL847" i="11"/>
  <c r="BL848" i="11"/>
  <c r="BL849" i="11"/>
  <c r="BL850" i="11"/>
  <c r="BL851" i="11"/>
  <c r="BL852" i="11"/>
  <c r="BL853" i="11"/>
  <c r="BL854" i="11"/>
  <c r="BL855" i="11"/>
  <c r="BL856" i="11"/>
  <c r="BL857" i="11"/>
  <c r="BL858" i="11"/>
  <c r="BL859" i="11"/>
  <c r="BL860" i="11"/>
  <c r="BL861" i="11"/>
  <c r="BL862" i="11"/>
  <c r="BL863" i="11"/>
  <c r="BL864" i="11"/>
  <c r="BL865" i="11"/>
  <c r="BL866" i="11"/>
  <c r="BL867" i="11"/>
  <c r="BL868" i="11"/>
  <c r="BL869" i="11"/>
  <c r="BL870" i="11"/>
  <c r="BL871" i="11"/>
  <c r="BL872" i="11"/>
  <c r="BL873" i="11"/>
  <c r="BL874" i="11"/>
  <c r="BL875" i="11"/>
  <c r="BL876" i="11"/>
  <c r="BL877" i="11"/>
  <c r="BL878" i="11"/>
  <c r="BL879" i="11"/>
  <c r="BL880" i="11"/>
  <c r="BL881" i="11"/>
  <c r="BL882" i="11"/>
  <c r="BL883" i="11"/>
  <c r="BL884" i="11"/>
  <c r="BL885" i="11"/>
  <c r="BL886" i="11"/>
  <c r="BL887" i="11"/>
  <c r="BL888" i="11"/>
  <c r="BL889" i="11"/>
  <c r="BL890" i="11"/>
  <c r="BL891" i="11"/>
  <c r="BL892" i="11"/>
  <c r="BL893" i="11"/>
  <c r="BL894" i="11"/>
  <c r="BL895" i="11"/>
  <c r="BL896" i="11"/>
  <c r="BL897" i="11"/>
  <c r="BL898" i="11"/>
  <c r="BL899" i="11"/>
  <c r="BL900" i="11"/>
  <c r="BL901" i="11"/>
  <c r="BL902" i="11"/>
  <c r="BL903" i="11"/>
  <c r="BL904" i="11"/>
  <c r="BL905" i="11"/>
  <c r="BL906" i="11"/>
  <c r="BL907" i="11"/>
  <c r="BL908" i="11"/>
  <c r="BL909" i="11"/>
  <c r="BL910" i="11"/>
  <c r="BL911" i="11"/>
  <c r="BL912" i="11"/>
  <c r="BL913" i="11"/>
  <c r="BL914" i="11"/>
  <c r="BL915" i="11"/>
  <c r="BL916" i="11"/>
  <c r="BL917" i="11"/>
  <c r="BL918" i="11"/>
  <c r="BL919" i="11"/>
  <c r="BL920" i="11"/>
  <c r="BL921" i="11"/>
  <c r="BL922" i="11"/>
  <c r="BL923" i="11"/>
  <c r="BL924" i="11"/>
  <c r="BL925" i="11"/>
  <c r="BL926" i="11"/>
  <c r="BL927" i="11"/>
  <c r="BL928" i="11"/>
  <c r="BL929" i="11"/>
  <c r="BL930" i="11"/>
  <c r="BL931" i="11"/>
  <c r="BL932" i="11"/>
  <c r="BL933" i="11"/>
  <c r="BL934" i="11"/>
  <c r="BL935" i="11"/>
  <c r="BL936" i="11"/>
  <c r="BL937" i="11"/>
  <c r="BL938" i="11"/>
  <c r="BL939" i="11"/>
  <c r="BL940" i="11"/>
  <c r="BL941" i="11"/>
  <c r="BL942" i="11"/>
  <c r="BL943" i="11"/>
  <c r="BL944" i="11"/>
  <c r="BL945" i="11"/>
  <c r="BL946" i="11"/>
  <c r="BL947" i="11"/>
  <c r="BL948" i="11"/>
  <c r="BL949" i="11"/>
  <c r="BL950" i="11"/>
  <c r="BL951" i="11"/>
  <c r="BL952" i="11"/>
  <c r="BL953" i="11"/>
  <c r="BL954" i="11"/>
  <c r="BL955" i="11"/>
  <c r="BL956" i="11"/>
  <c r="BL957" i="11"/>
  <c r="BL958" i="11"/>
  <c r="BL959" i="11"/>
  <c r="BL960" i="11"/>
  <c r="BL961" i="11"/>
  <c r="BL962" i="11"/>
  <c r="BL963" i="11"/>
  <c r="BL964" i="11"/>
  <c r="BL965" i="11"/>
  <c r="BL966" i="11"/>
  <c r="BL967" i="11"/>
  <c r="BL968" i="11"/>
  <c r="BL969" i="11"/>
  <c r="BL970" i="11"/>
  <c r="BL971" i="11"/>
  <c r="BL972" i="11"/>
  <c r="BL973" i="11"/>
  <c r="BL974" i="11"/>
  <c r="BL975" i="11"/>
  <c r="BL976" i="11"/>
  <c r="BL977" i="11"/>
  <c r="BL978" i="11"/>
  <c r="BL979" i="11"/>
  <c r="BL980" i="11"/>
  <c r="BL981" i="11"/>
  <c r="BL982" i="11"/>
  <c r="BL983" i="11"/>
  <c r="BL984" i="11"/>
  <c r="BL985" i="11"/>
  <c r="BL986" i="11"/>
  <c r="BL987" i="11"/>
  <c r="BL988" i="11"/>
  <c r="BL989" i="11"/>
  <c r="BL990" i="11"/>
  <c r="BL991" i="11"/>
  <c r="BL992" i="11"/>
  <c r="BL993" i="11"/>
  <c r="BL994" i="11"/>
  <c r="BL995" i="11"/>
  <c r="BL996" i="11"/>
  <c r="BL997" i="11"/>
  <c r="BL998" i="11"/>
  <c r="BL999" i="11"/>
  <c r="BL1000" i="11"/>
  <c r="BL1001" i="11"/>
  <c r="BL1002" i="11"/>
  <c r="BL1003" i="11"/>
  <c r="BL1004" i="11"/>
  <c r="BL1005" i="11"/>
  <c r="BL1006" i="11"/>
  <c r="BL1007" i="11"/>
  <c r="BL1008" i="11"/>
  <c r="BL1009" i="11"/>
  <c r="BL1010" i="11"/>
  <c r="BL1011" i="11"/>
  <c r="BL1012" i="11"/>
  <c r="BL1013" i="11"/>
  <c r="BL1014" i="11"/>
  <c r="BL1015" i="11"/>
  <c r="BL1016" i="11"/>
  <c r="BL1017" i="11"/>
  <c r="BL1018" i="11"/>
  <c r="BL1019" i="11"/>
  <c r="BL1020" i="11"/>
  <c r="BL1021" i="11"/>
  <c r="BL1022" i="11"/>
  <c r="BL1023" i="11"/>
  <c r="BL1024" i="11"/>
  <c r="BL1025" i="11"/>
  <c r="BL1026" i="11"/>
  <c r="BL1027" i="11"/>
  <c r="BL1028" i="11"/>
  <c r="BL1029" i="11"/>
  <c r="BL1030" i="11"/>
  <c r="BL1031" i="11"/>
  <c r="BL1032" i="11"/>
  <c r="BL1033" i="11"/>
  <c r="BL1034" i="11"/>
  <c r="BL1035" i="11"/>
  <c r="BL1036" i="11"/>
  <c r="BL1037" i="11"/>
  <c r="BL1038" i="11"/>
  <c r="BL1039" i="11"/>
  <c r="BL1040" i="11"/>
  <c r="BL1041" i="11"/>
  <c r="BL1042" i="11"/>
  <c r="BL1043" i="11"/>
  <c r="BL1044" i="11"/>
  <c r="BL1045" i="11"/>
  <c r="BL1046" i="11"/>
  <c r="BL1047" i="11"/>
  <c r="BL1048" i="11"/>
  <c r="BL1049" i="11"/>
  <c r="BL1050" i="11"/>
  <c r="BL1051" i="11"/>
  <c r="BL1052" i="11"/>
  <c r="BL1053" i="11"/>
  <c r="BL1054" i="11"/>
  <c r="BL1055" i="11"/>
  <c r="BL1056" i="11"/>
  <c r="BL1057" i="11"/>
  <c r="BL1058" i="11"/>
  <c r="BL1059" i="11"/>
  <c r="BL1060" i="11"/>
  <c r="BL1061" i="11"/>
  <c r="BL1062" i="11"/>
  <c r="BL1063" i="11"/>
  <c r="BL1064" i="11"/>
  <c r="BL1065" i="11"/>
  <c r="BL1066" i="11"/>
  <c r="BL1067" i="11"/>
  <c r="BL1068" i="11"/>
  <c r="BL1069" i="11"/>
  <c r="BL1070" i="11"/>
  <c r="BL1071" i="11"/>
  <c r="BL1072" i="11"/>
  <c r="BL1073" i="11"/>
  <c r="BL1074" i="11"/>
  <c r="BL1075" i="11"/>
  <c r="BL1076" i="11"/>
  <c r="BL1077" i="11"/>
  <c r="BL1078" i="11"/>
  <c r="BL1079" i="11"/>
  <c r="BL1080" i="11"/>
  <c r="BL1081" i="11"/>
  <c r="BL1082" i="11"/>
  <c r="BL1083" i="11"/>
  <c r="BL1084" i="11"/>
  <c r="BL1085" i="11"/>
  <c r="BL1086" i="11"/>
  <c r="BL1087" i="11"/>
  <c r="BL1088" i="11"/>
  <c r="BL1089" i="11"/>
  <c r="BL1090" i="11"/>
  <c r="BL1091" i="11"/>
  <c r="BL1092" i="11"/>
  <c r="BL1093" i="11"/>
  <c r="BL1094" i="11"/>
  <c r="BL1095" i="11"/>
  <c r="BL1096" i="11"/>
  <c r="BL1097" i="11"/>
  <c r="BL1098" i="11"/>
  <c r="BL1099" i="11"/>
  <c r="BL1100" i="11"/>
  <c r="BL1101" i="11"/>
  <c r="BL1102" i="11"/>
  <c r="BL1103" i="11"/>
  <c r="BL1104" i="11"/>
  <c r="BL1105" i="11"/>
  <c r="BL1106" i="11"/>
  <c r="BL1107" i="11"/>
  <c r="BL1108" i="11"/>
  <c r="BL1109" i="11"/>
  <c r="BL1110" i="11"/>
  <c r="BL1111" i="11"/>
  <c r="BL1112" i="11"/>
  <c r="BL1113" i="11"/>
  <c r="BL1114" i="11"/>
  <c r="BL1115" i="11"/>
  <c r="BL1116" i="11"/>
  <c r="BL1117" i="11"/>
  <c r="BL1118" i="11"/>
  <c r="BL1119" i="11"/>
  <c r="BL1120" i="11"/>
  <c r="BL1121" i="11"/>
  <c r="BL1122" i="11"/>
  <c r="BL1123" i="11"/>
  <c r="BL1124" i="11"/>
  <c r="BL1125" i="11"/>
  <c r="BL1126" i="11"/>
  <c r="BL1127" i="11"/>
  <c r="BL1128" i="11"/>
  <c r="BL1129" i="11"/>
  <c r="BL1130" i="11"/>
  <c r="BL1131" i="11"/>
  <c r="BL1132" i="11"/>
  <c r="BL1133" i="11"/>
  <c r="BL1134" i="11"/>
  <c r="BL1135" i="11"/>
  <c r="BL1136" i="11"/>
  <c r="BL1137" i="11"/>
  <c r="BL1138" i="11"/>
  <c r="BL1139" i="11"/>
  <c r="BL1140" i="11"/>
  <c r="BL1141" i="11"/>
  <c r="BL1142" i="11"/>
  <c r="BL1143" i="11"/>
  <c r="BL1144" i="11"/>
  <c r="BL1145" i="11"/>
  <c r="BL1146" i="11"/>
  <c r="BL1147" i="11"/>
  <c r="BL1148" i="11"/>
  <c r="BL1149" i="11"/>
  <c r="BL1150" i="11"/>
  <c r="BL1151" i="11"/>
  <c r="BL1152" i="11"/>
  <c r="BL1153" i="11"/>
  <c r="BL1154" i="11"/>
  <c r="BL1155" i="11"/>
  <c r="BL1156" i="11"/>
  <c r="BL1157" i="11"/>
  <c r="BL1158" i="11"/>
  <c r="BL1159" i="11"/>
  <c r="BL1160" i="11"/>
  <c r="BL1161" i="11"/>
  <c r="BL1162" i="11"/>
  <c r="BL1163" i="11"/>
  <c r="BL1164" i="11"/>
  <c r="BL1165" i="11"/>
  <c r="BL1166" i="11"/>
  <c r="BL1167" i="11"/>
  <c r="BL1168" i="11"/>
  <c r="BL1169" i="11"/>
  <c r="BL1170" i="11"/>
  <c r="BL1171" i="11"/>
  <c r="BL1172" i="11"/>
  <c r="BL1173" i="11"/>
  <c r="BL1174" i="11"/>
  <c r="BL1175" i="11"/>
  <c r="BL1176" i="11"/>
  <c r="BL1177" i="11"/>
  <c r="BL1178" i="11"/>
  <c r="BL1179" i="11"/>
  <c r="BL1180" i="11"/>
  <c r="BL1181" i="11"/>
  <c r="BL1182" i="11"/>
  <c r="BL1183" i="11"/>
  <c r="BL1184" i="11"/>
  <c r="BL1185" i="11"/>
  <c r="BL1186" i="11"/>
  <c r="BL1187" i="11"/>
  <c r="BL1188" i="11"/>
  <c r="BL1189" i="11"/>
  <c r="BL1190" i="11"/>
  <c r="BL1191" i="11"/>
  <c r="BL1192" i="11"/>
  <c r="BL1193" i="11"/>
  <c r="BL1194" i="11"/>
  <c r="BL1195" i="11"/>
  <c r="BL1196" i="11"/>
  <c r="BL1197" i="11"/>
  <c r="BL1198" i="11"/>
  <c r="BL1199" i="11"/>
  <c r="BL1200" i="11"/>
  <c r="BL1201" i="11"/>
  <c r="BL1202" i="11"/>
  <c r="BL1203" i="11"/>
  <c r="BL1204" i="11"/>
  <c r="BL1205" i="11"/>
  <c r="BL1206" i="11"/>
  <c r="BL1207" i="11"/>
  <c r="BL1208" i="11"/>
  <c r="BL1209" i="11"/>
  <c r="BL1210" i="11"/>
  <c r="BL1211" i="11"/>
  <c r="BL1212" i="11"/>
  <c r="BL1213" i="11"/>
  <c r="BL1214" i="11"/>
  <c r="BL1215" i="11"/>
  <c r="BL1216" i="11"/>
  <c r="BL1217" i="11"/>
  <c r="BL1218" i="11"/>
  <c r="BL1219" i="11"/>
  <c r="BL1220" i="11"/>
  <c r="BL1221" i="11"/>
  <c r="BL1222" i="11"/>
  <c r="BL1223" i="11"/>
  <c r="BL1224" i="11"/>
  <c r="BL1225" i="11"/>
  <c r="BL1226" i="11"/>
  <c r="BL1227" i="11"/>
  <c r="BL1228" i="11"/>
  <c r="BL1229" i="11"/>
  <c r="BL1230" i="11"/>
  <c r="BL1231" i="11"/>
  <c r="BL1232" i="11"/>
  <c r="BL1233" i="11"/>
  <c r="BL1234" i="11"/>
  <c r="BL1235" i="11"/>
  <c r="BL1236" i="11"/>
  <c r="BL1237" i="11"/>
  <c r="BL1238" i="11"/>
  <c r="BL1239" i="11"/>
  <c r="BL1240" i="11"/>
  <c r="BL1241" i="11"/>
  <c r="BL1242" i="11"/>
  <c r="BL1243" i="11"/>
  <c r="BL1244" i="11"/>
  <c r="BL1245" i="11"/>
  <c r="BL1246" i="11"/>
  <c r="BL1247" i="11"/>
  <c r="BL1248" i="11"/>
  <c r="BL1249" i="11"/>
  <c r="BL1250" i="11"/>
  <c r="BL1251" i="11"/>
  <c r="BL1252" i="11"/>
  <c r="BL1253" i="11"/>
  <c r="BL1254" i="11"/>
  <c r="BL1255" i="11"/>
  <c r="BL1256" i="11"/>
  <c r="BL1257" i="11"/>
  <c r="BL1258" i="11"/>
  <c r="BL1259" i="11"/>
  <c r="BL1260" i="11"/>
  <c r="BL1261" i="11"/>
  <c r="BL1262" i="11"/>
  <c r="BL1263" i="11"/>
  <c r="BL1264" i="11"/>
  <c r="BL1265" i="11"/>
  <c r="BL1266" i="11"/>
  <c r="BL1267" i="11"/>
  <c r="BL1268" i="11"/>
  <c r="BL1269" i="11"/>
  <c r="BL1270" i="11"/>
  <c r="BL1271" i="11"/>
  <c r="BL1272" i="11"/>
  <c r="BL1273" i="11"/>
  <c r="BL1274" i="11"/>
  <c r="BL1275" i="11"/>
  <c r="BL1276" i="11"/>
  <c r="BL1277" i="11"/>
  <c r="BL1278" i="11"/>
  <c r="BL1279" i="11"/>
  <c r="BL1280" i="11"/>
  <c r="BL1281" i="11"/>
  <c r="BL1282" i="11"/>
  <c r="BL1283" i="11"/>
  <c r="BL1284" i="11"/>
  <c r="BL1285" i="11"/>
  <c r="BL1286" i="11"/>
  <c r="BL1287" i="11"/>
  <c r="BL1288" i="11"/>
  <c r="BL1289" i="11"/>
  <c r="BL1290" i="11"/>
  <c r="BL1291" i="11"/>
  <c r="BL1292" i="11"/>
  <c r="BL1293" i="11"/>
  <c r="BL1294" i="11"/>
  <c r="BL1295" i="11"/>
  <c r="BL1296" i="11"/>
  <c r="BL1297" i="11"/>
  <c r="BL1298" i="11"/>
  <c r="BL1299" i="11"/>
  <c r="BL1300" i="11"/>
  <c r="BL1301" i="11"/>
  <c r="BL1302" i="11"/>
  <c r="BL1303" i="11"/>
  <c r="BL1304" i="11"/>
  <c r="BL1305" i="11"/>
  <c r="BL1306" i="11"/>
  <c r="BL1307" i="11"/>
  <c r="BL1308" i="11"/>
  <c r="BL1309" i="11"/>
  <c r="BL1310" i="11"/>
  <c r="BL1311" i="11"/>
  <c r="BL1312" i="11"/>
  <c r="BL1313" i="11"/>
  <c r="BL1314" i="11"/>
  <c r="BL1315" i="11"/>
  <c r="BL1316" i="11"/>
  <c r="BL1317" i="11"/>
  <c r="BL1318" i="11"/>
  <c r="BL1319" i="11"/>
  <c r="BL1320" i="11"/>
  <c r="BL1321" i="11"/>
  <c r="BL1322" i="11"/>
  <c r="BL1323" i="11"/>
  <c r="BL1324" i="11"/>
  <c r="BL1325" i="11"/>
  <c r="BL1326" i="11"/>
  <c r="BL1327" i="11"/>
  <c r="BL1328" i="11"/>
  <c r="BL1329" i="11"/>
  <c r="BL1330" i="11"/>
  <c r="BL1331" i="11"/>
  <c r="BL1332" i="11"/>
  <c r="BL1333" i="11"/>
  <c r="BL1334" i="11"/>
  <c r="BL1335" i="11"/>
  <c r="BL1336" i="11"/>
  <c r="BL1337" i="11"/>
  <c r="BL1338" i="11"/>
  <c r="BL1339" i="11"/>
  <c r="BL1340" i="11"/>
  <c r="BL1341" i="11"/>
  <c r="BL1342" i="11"/>
  <c r="BL1343" i="11"/>
  <c r="BL1344" i="11"/>
  <c r="BL1345" i="11"/>
  <c r="BL1346" i="11"/>
  <c r="BL1347" i="11"/>
  <c r="BL1348" i="11"/>
  <c r="BL1349" i="11"/>
  <c r="BL1350" i="11"/>
  <c r="BL1351" i="11"/>
  <c r="BL1352" i="11"/>
  <c r="BL1353" i="11"/>
  <c r="S1350" i="11"/>
  <c r="AD1340" i="11"/>
  <c r="W1340" i="11"/>
  <c r="T1340" i="11"/>
  <c r="R1338" i="11"/>
  <c r="BJ1334" i="11"/>
  <c r="BI1334" i="11"/>
  <c r="BH1334" i="11"/>
  <c r="BG1334" i="11"/>
  <c r="R1334" i="11"/>
  <c r="T1334" i="11" s="1"/>
  <c r="U1334" i="11" s="1"/>
  <c r="V1334" i="11" s="1"/>
  <c r="H1334" i="11"/>
  <c r="W1334" i="11"/>
  <c r="AF1334" i="11" s="1"/>
  <c r="AR1334" i="11" s="1"/>
  <c r="AD1334" i="11"/>
  <c r="AS1334" i="11"/>
  <c r="AT1334" i="11"/>
  <c r="AO1334" i="11" s="1"/>
  <c r="AV1334" i="11"/>
  <c r="AY1334" i="11" s="1"/>
  <c r="AW1334" i="11"/>
  <c r="S1344" i="11"/>
  <c r="S1343" i="11"/>
  <c r="S1342" i="11"/>
  <c r="R1335" i="11"/>
  <c r="R1332" i="11"/>
  <c r="T1357" i="11" l="1"/>
  <c r="U1357" i="11" s="1"/>
  <c r="V1357" i="11" s="1"/>
  <c r="AF1356" i="11"/>
  <c r="AR1356" i="11" s="1"/>
  <c r="AE1369" i="11"/>
  <c r="AE1368" i="11"/>
  <c r="AU1368" i="11" s="1"/>
  <c r="AE1357" i="11"/>
  <c r="AE1356" i="11"/>
  <c r="AU1356" i="11" s="1"/>
  <c r="BK1356" i="11"/>
  <c r="BN1356" i="11" s="1"/>
  <c r="AZ1357" i="11"/>
  <c r="AZ1356" i="11"/>
  <c r="BA1357" i="11"/>
  <c r="AI1357" i="11"/>
  <c r="AO1356" i="11"/>
  <c r="AG1356" i="11"/>
  <c r="AX1356" i="11" s="1"/>
  <c r="BA1356" i="11" s="1"/>
  <c r="AK1357" i="11"/>
  <c r="AI1356" i="11"/>
  <c r="AK1356" i="11"/>
  <c r="AO1357" i="11"/>
  <c r="AM1357" i="11"/>
  <c r="AG1365" i="11"/>
  <c r="AX1365" i="11" s="1"/>
  <c r="BA1365" i="11" s="1"/>
  <c r="AK1365" i="11"/>
  <c r="AM1365" i="11"/>
  <c r="AO1365" i="11"/>
  <c r="AZ1363" i="11"/>
  <c r="AZ1355" i="11"/>
  <c r="AZ1368" i="11"/>
  <c r="U1353" i="11"/>
  <c r="V1353" i="11" s="1"/>
  <c r="BA1371" i="11"/>
  <c r="AZ1365" i="11"/>
  <c r="AZ1369" i="11"/>
  <c r="AY1365" i="11"/>
  <c r="AZ1361" i="11"/>
  <c r="AZ1364" i="11"/>
  <c r="AU1362" i="11"/>
  <c r="AO1371" i="11"/>
  <c r="AK1371" i="11"/>
  <c r="V1361" i="11"/>
  <c r="AU1361" i="11" s="1"/>
  <c r="AZ1359" i="11"/>
  <c r="AZ1367" i="11"/>
  <c r="BA1362" i="11"/>
  <c r="AM1363" i="11"/>
  <c r="V1355" i="11"/>
  <c r="AU1355" i="11" s="1"/>
  <c r="AZ1370" i="11"/>
  <c r="AZ1354" i="11"/>
  <c r="BA1361" i="11"/>
  <c r="AM1371" i="11"/>
  <c r="AU1364" i="11"/>
  <c r="AU1365" i="11"/>
  <c r="BA1360" i="11"/>
  <c r="AI1371" i="11"/>
  <c r="AG1363" i="11"/>
  <c r="AX1363" i="11" s="1"/>
  <c r="BA1363" i="11" s="1"/>
  <c r="V1369" i="11"/>
  <c r="AU1366" i="11"/>
  <c r="BA1370" i="11"/>
  <c r="AK1359" i="11"/>
  <c r="AI1359" i="11"/>
  <c r="AG1359" i="11"/>
  <c r="AX1359" i="11" s="1"/>
  <c r="BA1359" i="11" s="1"/>
  <c r="BA1354" i="11"/>
  <c r="BA1366" i="11"/>
  <c r="V1371" i="11"/>
  <c r="AU1371" i="11" s="1"/>
  <c r="V1359" i="11"/>
  <c r="AU1359" i="11" s="1"/>
  <c r="BK1355" i="11"/>
  <c r="BN1355" i="11" s="1"/>
  <c r="BA1358" i="11"/>
  <c r="AG1367" i="11"/>
  <c r="AX1367" i="11" s="1"/>
  <c r="BA1367" i="11" s="1"/>
  <c r="BA1355" i="11"/>
  <c r="AK1367" i="11"/>
  <c r="AZ1371" i="11"/>
  <c r="V1367" i="11"/>
  <c r="AU1367" i="11" s="1"/>
  <c r="AK1363" i="11"/>
  <c r="V1358" i="11"/>
  <c r="AU1358" i="11" s="1"/>
  <c r="BA1368" i="11"/>
  <c r="AM1359" i="11"/>
  <c r="BA1369" i="11"/>
  <c r="AM1367" i="11"/>
  <c r="AI1367" i="11"/>
  <c r="AI1363" i="11"/>
  <c r="AZ1360" i="11"/>
  <c r="AZ1362" i="11"/>
  <c r="AZ1358" i="11"/>
  <c r="AO1364" i="11"/>
  <c r="AM1360" i="11"/>
  <c r="AO1354" i="11"/>
  <c r="AI1354" i="11"/>
  <c r="BK1354" i="11"/>
  <c r="BN1354" i="11" s="1"/>
  <c r="AK1369" i="11"/>
  <c r="AK1361" i="11"/>
  <c r="AO1368" i="11"/>
  <c r="AO1360" i="11"/>
  <c r="AK1368" i="11"/>
  <c r="AI1368" i="11"/>
  <c r="AI1360" i="11"/>
  <c r="AI1369" i="11"/>
  <c r="AI1361" i="11"/>
  <c r="AU1360" i="11"/>
  <c r="AK1355" i="11"/>
  <c r="AM1368" i="11"/>
  <c r="AK1364" i="11"/>
  <c r="AI1364" i="11"/>
  <c r="AK1360" i="11"/>
  <c r="AM1354" i="11"/>
  <c r="AG1364" i="11"/>
  <c r="AX1364" i="11" s="1"/>
  <c r="BA1364" i="11" s="1"/>
  <c r="AK1354" i="11"/>
  <c r="AU1370" i="11"/>
  <c r="AI1355" i="11"/>
  <c r="AU1363" i="11"/>
  <c r="AZ1366" i="11"/>
  <c r="AU1354" i="11"/>
  <c r="AM1370" i="11"/>
  <c r="AK1370" i="11"/>
  <c r="AO1369" i="11"/>
  <c r="AK1366" i="11"/>
  <c r="AK1362" i="11"/>
  <c r="AO1361" i="11"/>
  <c r="AK1358" i="11"/>
  <c r="AO1355" i="11"/>
  <c r="AM1366" i="11"/>
  <c r="AM1362" i="11"/>
  <c r="AM1358" i="11"/>
  <c r="AO1370" i="11"/>
  <c r="AO1366" i="11"/>
  <c r="AO1362" i="11"/>
  <c r="AO1358" i="11"/>
  <c r="AI1366" i="11"/>
  <c r="AI1370" i="11"/>
  <c r="AM1369" i="11"/>
  <c r="AI1362" i="11"/>
  <c r="AM1361" i="11"/>
  <c r="AI1358" i="11"/>
  <c r="AM1355" i="11"/>
  <c r="U1340" i="11"/>
  <c r="V1340" i="11" s="1"/>
  <c r="BK1334" i="11"/>
  <c r="BN1334" i="11" s="1"/>
  <c r="AE1334" i="11"/>
  <c r="AU1334" i="11" s="1"/>
  <c r="AM1334" i="11"/>
  <c r="AK1334" i="11"/>
  <c r="AI1334" i="11"/>
  <c r="AG1334" i="11"/>
  <c r="AX1334" i="11" s="1"/>
  <c r="BA1334" i="11" s="1"/>
  <c r="AZ1334" i="11"/>
  <c r="S1330" i="11"/>
  <c r="BB1360" i="11" l="1"/>
  <c r="BB1358" i="11"/>
  <c r="BB1369" i="11"/>
  <c r="BB1363" i="11"/>
  <c r="BB1359" i="11"/>
  <c r="BB1362" i="11"/>
  <c r="BB1370" i="11"/>
  <c r="BB1366" i="11"/>
  <c r="BB1368" i="11"/>
  <c r="BB1371" i="11"/>
  <c r="BB1364" i="11"/>
  <c r="BB1367" i="11"/>
  <c r="BB1361" i="11"/>
  <c r="BB1365" i="11"/>
  <c r="AU1357" i="11"/>
  <c r="BB1357" i="11"/>
  <c r="AU1369" i="11"/>
  <c r="BB1356" i="11"/>
  <c r="BB1355" i="11"/>
  <c r="BB1354" i="11"/>
  <c r="BB1334" i="11"/>
  <c r="BG1327" i="11"/>
  <c r="BH1327" i="11"/>
  <c r="BI1327" i="11"/>
  <c r="BJ1327" i="11"/>
  <c r="R1327" i="11"/>
  <c r="T1327" i="11" s="1"/>
  <c r="H1327" i="11"/>
  <c r="W1327" i="11"/>
  <c r="AD1327" i="11"/>
  <c r="AS1327" i="11"/>
  <c r="AT1327" i="11"/>
  <c r="AI1327" i="11" s="1"/>
  <c r="AV1327" i="11"/>
  <c r="AY1327" i="11" s="1"/>
  <c r="AW1327" i="11"/>
  <c r="U1327" i="11" l="1"/>
  <c r="V1327" i="11" s="1"/>
  <c r="AF1327" i="11"/>
  <c r="AR1327" i="11" s="1"/>
  <c r="BK1327" i="11"/>
  <c r="BN1327" i="11" s="1"/>
  <c r="AE1327" i="11"/>
  <c r="AZ1327" i="11"/>
  <c r="AM1327" i="11"/>
  <c r="AK1327" i="11"/>
  <c r="AG1327" i="11"/>
  <c r="AX1327" i="11" s="1"/>
  <c r="BA1327" i="11" s="1"/>
  <c r="AO1327" i="11"/>
  <c r="BG1326" i="11"/>
  <c r="BH1326" i="11"/>
  <c r="BI1326" i="11"/>
  <c r="BJ1326" i="11"/>
  <c r="R1326" i="11"/>
  <c r="T1326" i="11" s="1"/>
  <c r="H1326" i="11"/>
  <c r="W1326" i="11"/>
  <c r="AD1326" i="11"/>
  <c r="AS1326" i="11"/>
  <c r="AT1326" i="11"/>
  <c r="AM1326" i="11" s="1"/>
  <c r="AV1326" i="11"/>
  <c r="AY1326" i="11" s="1"/>
  <c r="AW1326" i="11"/>
  <c r="U1326" i="11" l="1"/>
  <c r="V1326" i="11" s="1"/>
  <c r="AF1326" i="11"/>
  <c r="AR1326" i="11" s="1"/>
  <c r="BB1327" i="11"/>
  <c r="AU1327" i="11"/>
  <c r="BK1326" i="11"/>
  <c r="BN1326" i="11" s="1"/>
  <c r="AZ1326" i="11"/>
  <c r="AE1326" i="11"/>
  <c r="AK1326" i="11"/>
  <c r="AG1326" i="11"/>
  <c r="AX1326" i="11" s="1"/>
  <c r="BA1326" i="11" s="1"/>
  <c r="AI1326" i="11"/>
  <c r="AO1326" i="11"/>
  <c r="AU1326" i="11" l="1"/>
  <c r="BB1326" i="11"/>
  <c r="S1321" i="11"/>
  <c r="R1317" i="11"/>
  <c r="R1324" i="11"/>
  <c r="R1320" i="11" l="1"/>
  <c r="T1320" i="11" s="1"/>
  <c r="U1320" i="11" s="1"/>
  <c r="R1316" i="11"/>
  <c r="T1316" i="11" s="1"/>
  <c r="S1315" i="11"/>
  <c r="T1315" i="11" s="1"/>
  <c r="U1315" i="11" s="1"/>
  <c r="S1313" i="11"/>
  <c r="T1313" i="11" s="1"/>
  <c r="U1313" i="11" s="1"/>
  <c r="V1313" i="11" s="1"/>
  <c r="R1299" i="11"/>
  <c r="R1283" i="11"/>
  <c r="R1314" i="11"/>
  <c r="T1314" i="11" s="1"/>
  <c r="U1314" i="11" s="1"/>
  <c r="V1314" i="11" s="1"/>
  <c r="R1310" i="11"/>
  <c r="R1311" i="11"/>
  <c r="T1311" i="11" s="1"/>
  <c r="U1311" i="11" s="1"/>
  <c r="AR1319" i="11"/>
  <c r="AR1253" i="11"/>
  <c r="W1311" i="11"/>
  <c r="AF1311" i="11" s="1"/>
  <c r="AR1311" i="11" s="1"/>
  <c r="AD1311" i="11"/>
  <c r="AS1311" i="11"/>
  <c r="AT1311" i="11"/>
  <c r="AG1311" i="11" s="1"/>
  <c r="AX1311" i="11" s="1"/>
  <c r="AV1311" i="11"/>
  <c r="AY1311" i="11" s="1"/>
  <c r="AW1311" i="11"/>
  <c r="BG1311" i="11"/>
  <c r="BH1311" i="11"/>
  <c r="BI1311" i="11"/>
  <c r="BJ1311" i="11"/>
  <c r="T1312" i="11"/>
  <c r="U1312" i="11" s="1"/>
  <c r="W1312" i="11"/>
  <c r="AF1312" i="11" s="1"/>
  <c r="AR1312" i="11" s="1"/>
  <c r="AD1312" i="11"/>
  <c r="AE1312" i="11"/>
  <c r="AS1312" i="11"/>
  <c r="AT1312" i="11"/>
  <c r="AV1312" i="11"/>
  <c r="AY1312" i="11" s="1"/>
  <c r="AW1312" i="11"/>
  <c r="BG1312" i="11"/>
  <c r="BH1312" i="11"/>
  <c r="BI1312" i="11"/>
  <c r="BJ1312" i="11"/>
  <c r="W1313" i="11"/>
  <c r="AF1313" i="11" s="1"/>
  <c r="AR1313" i="11" s="1"/>
  <c r="AD1313" i="11"/>
  <c r="AE1313" i="11"/>
  <c r="AS1313" i="11"/>
  <c r="AT1313" i="11"/>
  <c r="AV1313" i="11"/>
  <c r="AY1313" i="11" s="1"/>
  <c r="AW1313" i="11"/>
  <c r="BG1313" i="11"/>
  <c r="BH1313" i="11"/>
  <c r="BI1313" i="11"/>
  <c r="BJ1313" i="11"/>
  <c r="W1314" i="11"/>
  <c r="AF1314" i="11" s="1"/>
  <c r="AR1314" i="11" s="1"/>
  <c r="AD1314" i="11"/>
  <c r="AS1314" i="11"/>
  <c r="AT1314" i="11"/>
  <c r="AM1314" i="11" s="1"/>
  <c r="AV1314" i="11"/>
  <c r="AY1314" i="11" s="1"/>
  <c r="AW1314" i="11"/>
  <c r="BG1314" i="11"/>
  <c r="BH1314" i="11"/>
  <c r="BI1314" i="11"/>
  <c r="BJ1314" i="11"/>
  <c r="W1315" i="11"/>
  <c r="AF1315" i="11" s="1"/>
  <c r="AR1315" i="11" s="1"/>
  <c r="AD1315" i="11"/>
  <c r="AE1315" i="11"/>
  <c r="AS1315" i="11"/>
  <c r="AT1315" i="11"/>
  <c r="AG1315" i="11" s="1"/>
  <c r="AX1315" i="11" s="1"/>
  <c r="AV1315" i="11"/>
  <c r="AY1315" i="11" s="1"/>
  <c r="AW1315" i="11"/>
  <c r="BG1315" i="11"/>
  <c r="BH1315" i="11"/>
  <c r="BI1315" i="11"/>
  <c r="BJ1315" i="11"/>
  <c r="W1316" i="11"/>
  <c r="AF1316" i="11" s="1"/>
  <c r="AR1316" i="11" s="1"/>
  <c r="AD1316" i="11"/>
  <c r="AE1316" i="11"/>
  <c r="AS1316" i="11"/>
  <c r="AT1316" i="11"/>
  <c r="AI1316" i="11" s="1"/>
  <c r="AV1316" i="11"/>
  <c r="AY1316" i="11" s="1"/>
  <c r="AW1316" i="11"/>
  <c r="BG1316" i="11"/>
  <c r="BH1316" i="11"/>
  <c r="BI1316" i="11"/>
  <c r="BJ1316" i="11"/>
  <c r="T1317" i="11"/>
  <c r="U1317" i="11" s="1"/>
  <c r="V1317" i="11" s="1"/>
  <c r="W1317" i="11"/>
  <c r="AF1317" i="11" s="1"/>
  <c r="AR1317" i="11" s="1"/>
  <c r="AD1317" i="11"/>
  <c r="AE1317" i="11"/>
  <c r="AS1317" i="11"/>
  <c r="AT1317" i="11"/>
  <c r="AV1317" i="11"/>
  <c r="AY1317" i="11" s="1"/>
  <c r="AW1317" i="11"/>
  <c r="BG1317" i="11"/>
  <c r="BH1317" i="11"/>
  <c r="BI1317" i="11"/>
  <c r="BJ1317" i="11"/>
  <c r="T1318" i="11"/>
  <c r="U1318" i="11" s="1"/>
  <c r="V1318" i="11" s="1"/>
  <c r="W1318" i="11"/>
  <c r="AF1318" i="11" s="1"/>
  <c r="AR1318" i="11" s="1"/>
  <c r="AE1318" i="11"/>
  <c r="AS1318" i="11"/>
  <c r="AT1318" i="11"/>
  <c r="AI1318" i="11" s="1"/>
  <c r="AV1318" i="11"/>
  <c r="AY1318" i="11" s="1"/>
  <c r="AW1318" i="11"/>
  <c r="BG1318" i="11"/>
  <c r="BH1318" i="11"/>
  <c r="BI1318" i="11"/>
  <c r="BJ1318" i="11"/>
  <c r="AS1319" i="11"/>
  <c r="AT1319" i="11"/>
  <c r="AV1319" i="11"/>
  <c r="AY1319" i="11" s="1"/>
  <c r="AW1319" i="11"/>
  <c r="BG1319" i="11"/>
  <c r="BH1319" i="11"/>
  <c r="BI1319" i="11"/>
  <c r="BJ1319" i="11"/>
  <c r="W1320" i="11"/>
  <c r="AF1320" i="11" s="1"/>
  <c r="AR1320" i="11" s="1"/>
  <c r="AD1320" i="11"/>
  <c r="AS1320" i="11"/>
  <c r="AT1320" i="11"/>
  <c r="AK1320" i="11" s="1"/>
  <c r="AV1320" i="11"/>
  <c r="AW1320" i="11"/>
  <c r="BG1320" i="11"/>
  <c r="BH1320" i="11"/>
  <c r="BI1320" i="11"/>
  <c r="BJ1320" i="11"/>
  <c r="T1321" i="11"/>
  <c r="U1321" i="11" s="1"/>
  <c r="V1321" i="11" s="1"/>
  <c r="W1321" i="11"/>
  <c r="AF1321" i="11" s="1"/>
  <c r="AR1321" i="11" s="1"/>
  <c r="AD1321" i="11"/>
  <c r="AE1321" i="11"/>
  <c r="AS1321" i="11"/>
  <c r="AT1321" i="11"/>
  <c r="AI1321" i="11" s="1"/>
  <c r="AV1321" i="11"/>
  <c r="AY1321" i="11" s="1"/>
  <c r="AW1321" i="11"/>
  <c r="BG1321" i="11"/>
  <c r="BH1321" i="11"/>
  <c r="BI1321" i="11"/>
  <c r="BJ1321" i="11"/>
  <c r="T1322" i="11"/>
  <c r="U1322" i="11" s="1"/>
  <c r="W1322" i="11"/>
  <c r="AF1322" i="11" s="1"/>
  <c r="AR1322" i="11" s="1"/>
  <c r="AD1322" i="11"/>
  <c r="AE1322" i="11"/>
  <c r="AS1322" i="11"/>
  <c r="AT1322" i="11"/>
  <c r="AK1322" i="11" s="1"/>
  <c r="AV1322" i="11"/>
  <c r="AY1322" i="11" s="1"/>
  <c r="AW1322" i="11"/>
  <c r="BG1322" i="11"/>
  <c r="BH1322" i="11"/>
  <c r="BI1322" i="11"/>
  <c r="BJ1322" i="11"/>
  <c r="T1323" i="11"/>
  <c r="U1323" i="11" s="1"/>
  <c r="V1323" i="11" s="1"/>
  <c r="W1323" i="11"/>
  <c r="AF1323" i="11" s="1"/>
  <c r="AR1323" i="11" s="1"/>
  <c r="AD1323" i="11"/>
  <c r="AE1323" i="11"/>
  <c r="AS1323" i="11"/>
  <c r="AT1323" i="11"/>
  <c r="AI1323" i="11" s="1"/>
  <c r="AV1323" i="11"/>
  <c r="AY1323" i="11" s="1"/>
  <c r="AW1323" i="11"/>
  <c r="BG1323" i="11"/>
  <c r="BH1323" i="11"/>
  <c r="BI1323" i="11"/>
  <c r="BJ1323" i="11"/>
  <c r="T1324" i="11"/>
  <c r="U1324" i="11" s="1"/>
  <c r="W1324" i="11"/>
  <c r="AF1324" i="11" s="1"/>
  <c r="AR1324" i="11" s="1"/>
  <c r="AD1324" i="11"/>
  <c r="AE1324" i="11"/>
  <c r="AS1324" i="11"/>
  <c r="AT1324" i="11"/>
  <c r="AG1324" i="11" s="1"/>
  <c r="AX1324" i="11" s="1"/>
  <c r="AV1324" i="11"/>
  <c r="AY1324" i="11" s="1"/>
  <c r="AW1324" i="11"/>
  <c r="BG1324" i="11"/>
  <c r="BH1324" i="11"/>
  <c r="BI1324" i="11"/>
  <c r="BJ1324" i="11"/>
  <c r="T1325" i="11"/>
  <c r="U1325" i="11" s="1"/>
  <c r="V1325" i="11" s="1"/>
  <c r="W1325" i="11"/>
  <c r="AF1325" i="11" s="1"/>
  <c r="AR1325" i="11" s="1"/>
  <c r="AD1325" i="11"/>
  <c r="AE1325" i="11"/>
  <c r="AS1325" i="11"/>
  <c r="AT1325" i="11"/>
  <c r="AV1325" i="11"/>
  <c r="AW1325" i="11"/>
  <c r="BG1325" i="11"/>
  <c r="BH1325" i="11"/>
  <c r="BI1325" i="11"/>
  <c r="BJ1325" i="11"/>
  <c r="T1328" i="11"/>
  <c r="U1328" i="11" s="1"/>
  <c r="V1328" i="11" s="1"/>
  <c r="W1328" i="11"/>
  <c r="AF1328" i="11" s="1"/>
  <c r="AR1328" i="11" s="1"/>
  <c r="AD1328" i="11"/>
  <c r="AE1328" i="11"/>
  <c r="AS1328" i="11"/>
  <c r="AT1328" i="11"/>
  <c r="AO1328" i="11" s="1"/>
  <c r="AV1328" i="11"/>
  <c r="AY1328" i="11" s="1"/>
  <c r="AW1328" i="11"/>
  <c r="BG1328" i="11"/>
  <c r="BH1328" i="11"/>
  <c r="BI1328" i="11"/>
  <c r="BJ1328" i="11"/>
  <c r="T1329" i="11"/>
  <c r="W1329" i="11"/>
  <c r="AF1329" i="11" s="1"/>
  <c r="AR1329" i="11" s="1"/>
  <c r="AD1329" i="11"/>
  <c r="AE1329" i="11"/>
  <c r="AS1329" i="11"/>
  <c r="AT1329" i="11"/>
  <c r="AK1329" i="11" s="1"/>
  <c r="AV1329" i="11"/>
  <c r="AY1329" i="11" s="1"/>
  <c r="AW1329" i="11"/>
  <c r="BG1329" i="11"/>
  <c r="BH1329" i="11"/>
  <c r="BI1329" i="11"/>
  <c r="BJ1329" i="11"/>
  <c r="T1330" i="11"/>
  <c r="U1330" i="11" s="1"/>
  <c r="W1330" i="11"/>
  <c r="AF1330" i="11" s="1"/>
  <c r="AR1330" i="11" s="1"/>
  <c r="AD1330" i="11"/>
  <c r="AE1330" i="11"/>
  <c r="AS1330" i="11"/>
  <c r="AT1330" i="11"/>
  <c r="AG1330" i="11" s="1"/>
  <c r="AX1330" i="11" s="1"/>
  <c r="AV1330" i="11"/>
  <c r="AY1330" i="11" s="1"/>
  <c r="AW1330" i="11"/>
  <c r="BG1330" i="11"/>
  <c r="BH1330" i="11"/>
  <c r="BI1330" i="11"/>
  <c r="BJ1330" i="11"/>
  <c r="T1331" i="11"/>
  <c r="W1331" i="11"/>
  <c r="AF1331" i="11" s="1"/>
  <c r="AR1331" i="11" s="1"/>
  <c r="AD1331" i="11"/>
  <c r="AE1331" i="11"/>
  <c r="AS1331" i="11"/>
  <c r="AT1331" i="11"/>
  <c r="AV1331" i="11"/>
  <c r="AY1331" i="11" s="1"/>
  <c r="AW1331" i="11"/>
  <c r="BG1331" i="11"/>
  <c r="BH1331" i="11"/>
  <c r="BI1331" i="11"/>
  <c r="BJ1331" i="11"/>
  <c r="T1332" i="11"/>
  <c r="U1332" i="11" s="1"/>
  <c r="W1332" i="11"/>
  <c r="AF1332" i="11" s="1"/>
  <c r="AR1332" i="11" s="1"/>
  <c r="AD1332" i="11"/>
  <c r="AS1332" i="11"/>
  <c r="AT1332" i="11"/>
  <c r="AE1332" i="11" s="1"/>
  <c r="AV1332" i="11"/>
  <c r="AY1332" i="11" s="1"/>
  <c r="AW1332" i="11"/>
  <c r="BG1332" i="11"/>
  <c r="BH1332" i="11"/>
  <c r="BI1332" i="11"/>
  <c r="BJ1332" i="11"/>
  <c r="T1333" i="11"/>
  <c r="U1333" i="11" s="1"/>
  <c r="V1333" i="11" s="1"/>
  <c r="W1333" i="11"/>
  <c r="AF1333" i="11" s="1"/>
  <c r="AR1333" i="11" s="1"/>
  <c r="AD1333" i="11"/>
  <c r="AE1333" i="11"/>
  <c r="AS1333" i="11"/>
  <c r="AT1333" i="11"/>
  <c r="AK1333" i="11" s="1"/>
  <c r="AV1333" i="11"/>
  <c r="AY1333" i="11" s="1"/>
  <c r="AW1333" i="11"/>
  <c r="BG1333" i="11"/>
  <c r="BH1333" i="11"/>
  <c r="BI1333" i="11"/>
  <c r="BJ1333" i="11"/>
  <c r="T1335" i="11"/>
  <c r="U1335" i="11" s="1"/>
  <c r="W1335" i="11"/>
  <c r="AF1335" i="11" s="1"/>
  <c r="AR1335" i="11" s="1"/>
  <c r="AD1335" i="11"/>
  <c r="AE1335" i="11"/>
  <c r="AS1335" i="11"/>
  <c r="AT1335" i="11"/>
  <c r="AI1335" i="11" s="1"/>
  <c r="AV1335" i="11"/>
  <c r="AY1335" i="11" s="1"/>
  <c r="AW1335" i="11"/>
  <c r="BG1335" i="11"/>
  <c r="BH1335" i="11"/>
  <c r="BI1335" i="11"/>
  <c r="BJ1335" i="11"/>
  <c r="T1336" i="11"/>
  <c r="U1336" i="11" s="1"/>
  <c r="V1336" i="11" s="1"/>
  <c r="W1336" i="11"/>
  <c r="AF1336" i="11" s="1"/>
  <c r="AR1336" i="11" s="1"/>
  <c r="AD1336" i="11"/>
  <c r="AE1336" i="11"/>
  <c r="AS1336" i="11"/>
  <c r="AT1336" i="11"/>
  <c r="AV1336" i="11"/>
  <c r="AY1336" i="11" s="1"/>
  <c r="AW1336" i="11"/>
  <c r="BG1336" i="11"/>
  <c r="BH1336" i="11"/>
  <c r="BI1336" i="11"/>
  <c r="BJ1336" i="11"/>
  <c r="T1337" i="11"/>
  <c r="U1337" i="11" s="1"/>
  <c r="W1337" i="11"/>
  <c r="AF1337" i="11" s="1"/>
  <c r="AR1337" i="11" s="1"/>
  <c r="AD1337" i="11"/>
  <c r="AE1337" i="11"/>
  <c r="AS1337" i="11"/>
  <c r="AT1337" i="11"/>
  <c r="AK1337" i="11" s="1"/>
  <c r="AV1337" i="11"/>
  <c r="AY1337" i="11" s="1"/>
  <c r="AW1337" i="11"/>
  <c r="BG1337" i="11"/>
  <c r="BH1337" i="11"/>
  <c r="BI1337" i="11"/>
  <c r="BJ1337" i="11"/>
  <c r="T1338" i="11"/>
  <c r="W1338" i="11"/>
  <c r="AD1338" i="11"/>
  <c r="AE1338" i="11"/>
  <c r="AS1338" i="11"/>
  <c r="AT1338" i="11"/>
  <c r="AG1338" i="11" s="1"/>
  <c r="AX1338" i="11" s="1"/>
  <c r="AV1338" i="11"/>
  <c r="AY1338" i="11" s="1"/>
  <c r="AW1338" i="11"/>
  <c r="BG1338" i="11"/>
  <c r="BH1338" i="11"/>
  <c r="BI1338" i="11"/>
  <c r="BJ1338" i="11"/>
  <c r="T1339" i="11"/>
  <c r="U1339" i="11" s="1"/>
  <c r="W1339" i="11"/>
  <c r="AF1339" i="11" s="1"/>
  <c r="AR1339" i="11" s="1"/>
  <c r="AD1339" i="11"/>
  <c r="AE1339" i="11"/>
  <c r="AS1339" i="11"/>
  <c r="AT1339" i="11"/>
  <c r="AK1339" i="11" s="1"/>
  <c r="AV1339" i="11"/>
  <c r="AW1339" i="11"/>
  <c r="BG1339" i="11"/>
  <c r="BH1339" i="11"/>
  <c r="BI1339" i="11"/>
  <c r="BJ1339" i="11"/>
  <c r="AF1340" i="11"/>
  <c r="AR1340" i="11" s="1"/>
  <c r="AE1340" i="11"/>
  <c r="AS1340" i="11"/>
  <c r="AT1340" i="11"/>
  <c r="AI1340" i="11" s="1"/>
  <c r="AV1340" i="11"/>
  <c r="AY1340" i="11" s="1"/>
  <c r="AW1340" i="11"/>
  <c r="BG1340" i="11"/>
  <c r="BH1340" i="11"/>
  <c r="BI1340" i="11"/>
  <c r="BJ1340" i="11"/>
  <c r="T1341" i="11"/>
  <c r="U1341" i="11" s="1"/>
  <c r="W1341" i="11"/>
  <c r="AF1341" i="11" s="1"/>
  <c r="AR1341" i="11" s="1"/>
  <c r="AE1341" i="11"/>
  <c r="AS1341" i="11"/>
  <c r="AT1341" i="11"/>
  <c r="AV1341" i="11"/>
  <c r="AY1341" i="11" s="1"/>
  <c r="AW1341" i="11"/>
  <c r="BG1341" i="11"/>
  <c r="BH1341" i="11"/>
  <c r="BI1341" i="11"/>
  <c r="BJ1341" i="11"/>
  <c r="T1342" i="11"/>
  <c r="U1342" i="11" s="1"/>
  <c r="V1342" i="11" s="1"/>
  <c r="W1342" i="11"/>
  <c r="AF1342" i="11" s="1"/>
  <c r="AR1342" i="11" s="1"/>
  <c r="AD1342" i="11"/>
  <c r="AE1342" i="11"/>
  <c r="AS1342" i="11"/>
  <c r="AT1342" i="11"/>
  <c r="AG1342" i="11" s="1"/>
  <c r="AX1342" i="11" s="1"/>
  <c r="AV1342" i="11"/>
  <c r="AY1342" i="11" s="1"/>
  <c r="AW1342" i="11"/>
  <c r="BG1342" i="11"/>
  <c r="BH1342" i="11"/>
  <c r="BI1342" i="11"/>
  <c r="BJ1342" i="11"/>
  <c r="T1343" i="11"/>
  <c r="U1343" i="11" s="1"/>
  <c r="V1343" i="11" s="1"/>
  <c r="W1343" i="11"/>
  <c r="AF1343" i="11" s="1"/>
  <c r="AR1343" i="11" s="1"/>
  <c r="AD1343" i="11"/>
  <c r="AE1343" i="11"/>
  <c r="AS1343" i="11"/>
  <c r="AT1343" i="11"/>
  <c r="AV1343" i="11"/>
  <c r="AY1343" i="11" s="1"/>
  <c r="AW1343" i="11"/>
  <c r="BG1343" i="11"/>
  <c r="BH1343" i="11"/>
  <c r="BI1343" i="11"/>
  <c r="BJ1343" i="11"/>
  <c r="T1344" i="11"/>
  <c r="U1344" i="11" s="1"/>
  <c r="W1344" i="11"/>
  <c r="AF1344" i="11" s="1"/>
  <c r="AR1344" i="11" s="1"/>
  <c r="AD1344" i="11"/>
  <c r="AE1344" i="11"/>
  <c r="AS1344" i="11"/>
  <c r="AT1344" i="11"/>
  <c r="AO1344" i="11" s="1"/>
  <c r="AV1344" i="11"/>
  <c r="AW1344" i="11"/>
  <c r="BG1344" i="11"/>
  <c r="BH1344" i="11"/>
  <c r="BI1344" i="11"/>
  <c r="BJ1344" i="11"/>
  <c r="T1345" i="11"/>
  <c r="U1345" i="11" s="1"/>
  <c r="V1345" i="11" s="1"/>
  <c r="W1345" i="11"/>
  <c r="AF1345" i="11" s="1"/>
  <c r="AR1345" i="11" s="1"/>
  <c r="AD1345" i="11"/>
  <c r="AE1345" i="11"/>
  <c r="AS1345" i="11"/>
  <c r="AT1345" i="11"/>
  <c r="AI1345" i="11" s="1"/>
  <c r="AV1345" i="11"/>
  <c r="AY1345" i="11" s="1"/>
  <c r="AW1345" i="11"/>
  <c r="BG1345" i="11"/>
  <c r="BH1345" i="11"/>
  <c r="BI1345" i="11"/>
  <c r="BJ1345" i="11"/>
  <c r="T1346" i="11"/>
  <c r="W1346" i="11"/>
  <c r="AF1346" i="11" s="1"/>
  <c r="AR1346" i="11" s="1"/>
  <c r="AD1346" i="11"/>
  <c r="AE1346" i="11"/>
  <c r="AS1346" i="11"/>
  <c r="AT1346" i="11"/>
  <c r="AM1346" i="11" s="1"/>
  <c r="AV1346" i="11"/>
  <c r="AY1346" i="11" s="1"/>
  <c r="AW1346" i="11"/>
  <c r="BG1346" i="11"/>
  <c r="BH1346" i="11"/>
  <c r="BI1346" i="11"/>
  <c r="BJ1346" i="11"/>
  <c r="AF1347" i="11"/>
  <c r="AR1347" i="11" s="1"/>
  <c r="AE1347" i="11"/>
  <c r="AS1347" i="11"/>
  <c r="AT1347" i="11"/>
  <c r="AV1347" i="11"/>
  <c r="AY1347" i="11" s="1"/>
  <c r="AW1347" i="11"/>
  <c r="BG1347" i="11"/>
  <c r="BH1347" i="11"/>
  <c r="BI1347" i="11"/>
  <c r="BJ1347" i="11"/>
  <c r="T1348" i="11"/>
  <c r="W1348" i="11"/>
  <c r="AF1348" i="11" s="1"/>
  <c r="AR1348" i="11" s="1"/>
  <c r="AD1348" i="11"/>
  <c r="AE1348" i="11"/>
  <c r="AS1348" i="11"/>
  <c r="AT1348" i="11"/>
  <c r="AV1348" i="11"/>
  <c r="AY1348" i="11" s="1"/>
  <c r="AW1348" i="11"/>
  <c r="BG1348" i="11"/>
  <c r="BH1348" i="11"/>
  <c r="BI1348" i="11"/>
  <c r="BJ1348" i="11"/>
  <c r="T1349" i="11"/>
  <c r="U1349" i="11" s="1"/>
  <c r="V1349" i="11" s="1"/>
  <c r="W1349" i="11"/>
  <c r="AF1349" i="11" s="1"/>
  <c r="AR1349" i="11" s="1"/>
  <c r="AE1349" i="11"/>
  <c r="AS1349" i="11"/>
  <c r="AT1349" i="11"/>
  <c r="AV1349" i="11"/>
  <c r="AY1349" i="11" s="1"/>
  <c r="AW1349" i="11"/>
  <c r="BG1349" i="11"/>
  <c r="BH1349" i="11"/>
  <c r="BI1349" i="11"/>
  <c r="BJ1349" i="11"/>
  <c r="T1350" i="11"/>
  <c r="U1350" i="11" s="1"/>
  <c r="V1350" i="11" s="1"/>
  <c r="W1350" i="11"/>
  <c r="AF1350" i="11" s="1"/>
  <c r="AR1350" i="11" s="1"/>
  <c r="AD1350" i="11"/>
  <c r="AE1350" i="11"/>
  <c r="AS1350" i="11"/>
  <c r="AT1350" i="11"/>
  <c r="AI1350" i="11" s="1"/>
  <c r="AV1350" i="11"/>
  <c r="AY1350" i="11" s="1"/>
  <c r="AW1350" i="11"/>
  <c r="BG1350" i="11"/>
  <c r="BH1350" i="11"/>
  <c r="BI1350" i="11"/>
  <c r="BJ1350" i="11"/>
  <c r="T1351" i="11"/>
  <c r="U1351" i="11" s="1"/>
  <c r="W1351" i="11"/>
  <c r="AF1351" i="11" s="1"/>
  <c r="AR1351" i="11" s="1"/>
  <c r="AD1351" i="11"/>
  <c r="AE1351" i="11"/>
  <c r="AS1351" i="11"/>
  <c r="AT1351" i="11"/>
  <c r="AG1351" i="11" s="1"/>
  <c r="AX1351" i="11" s="1"/>
  <c r="AV1351" i="11"/>
  <c r="AY1351" i="11" s="1"/>
  <c r="AW1351" i="11"/>
  <c r="BG1351" i="11"/>
  <c r="BH1351" i="11"/>
  <c r="BI1351" i="11"/>
  <c r="BJ1351" i="11"/>
  <c r="T1352" i="11"/>
  <c r="U1352" i="11" s="1"/>
  <c r="V1352" i="11" s="1"/>
  <c r="W1352" i="11"/>
  <c r="AF1352" i="11" s="1"/>
  <c r="AR1352" i="11" s="1"/>
  <c r="AD1352" i="11"/>
  <c r="AE1352" i="11"/>
  <c r="AS1352" i="11"/>
  <c r="AT1352" i="11"/>
  <c r="AV1352" i="11"/>
  <c r="AY1352" i="11" s="1"/>
  <c r="AW1352" i="11"/>
  <c r="BG1352" i="11"/>
  <c r="BH1352" i="11"/>
  <c r="BI1352" i="11"/>
  <c r="BJ1352" i="11"/>
  <c r="AF1353" i="11"/>
  <c r="AR1353" i="11" s="1"/>
  <c r="AE1353" i="11"/>
  <c r="AS1353" i="11"/>
  <c r="AT1353" i="11"/>
  <c r="AV1353" i="11"/>
  <c r="AY1353" i="11" s="1"/>
  <c r="AW1353" i="11"/>
  <c r="BG1353" i="11"/>
  <c r="BH1353" i="11"/>
  <c r="BI1353" i="11"/>
  <c r="BJ1353" i="11"/>
  <c r="H1311" i="11"/>
  <c r="H1312" i="11"/>
  <c r="H1313" i="11"/>
  <c r="H1314" i="11"/>
  <c r="H1315" i="11"/>
  <c r="H1316" i="11"/>
  <c r="H1317" i="11"/>
  <c r="H1318" i="11"/>
  <c r="H1319" i="11"/>
  <c r="H1320" i="11"/>
  <c r="H1321" i="11"/>
  <c r="H1322" i="11"/>
  <c r="H1323" i="11"/>
  <c r="H1324" i="11"/>
  <c r="H1325" i="11"/>
  <c r="H1328" i="11"/>
  <c r="H1329" i="11"/>
  <c r="H1330" i="11"/>
  <c r="H1331" i="11"/>
  <c r="H1332" i="11"/>
  <c r="H1333" i="11"/>
  <c r="H1335" i="11"/>
  <c r="H1336" i="11"/>
  <c r="H1337" i="11"/>
  <c r="H1338" i="11"/>
  <c r="H1339" i="11"/>
  <c r="H1340" i="11"/>
  <c r="H1341" i="11"/>
  <c r="H1342" i="11"/>
  <c r="H1343" i="11"/>
  <c r="H1344" i="11"/>
  <c r="H1345" i="11"/>
  <c r="H1346" i="11"/>
  <c r="H1347" i="11"/>
  <c r="H1348" i="11"/>
  <c r="H1349" i="11"/>
  <c r="H1350" i="11"/>
  <c r="H1351" i="11"/>
  <c r="H1352" i="11"/>
  <c r="H1353" i="11"/>
  <c r="U1338" i="11" l="1"/>
  <c r="V1338" i="11" s="1"/>
  <c r="AU1338" i="11" s="1"/>
  <c r="AF1338" i="11"/>
  <c r="AR1338" i="11" s="1"/>
  <c r="AM1347" i="11"/>
  <c r="AI1347" i="11"/>
  <c r="AK1347" i="11"/>
  <c r="AG1347" i="11"/>
  <c r="AX1347" i="11" s="1"/>
  <c r="BA1347" i="11" s="1"/>
  <c r="AO1347" i="11"/>
  <c r="AG1352" i="11"/>
  <c r="AX1352" i="11" s="1"/>
  <c r="BA1352" i="11" s="1"/>
  <c r="AI1317" i="11"/>
  <c r="AE1320" i="11"/>
  <c r="BK1353" i="11"/>
  <c r="BN1353" i="11" s="1"/>
  <c r="BK1319" i="11"/>
  <c r="BN1319" i="11" s="1"/>
  <c r="AZ1317" i="11"/>
  <c r="AZ1316" i="11"/>
  <c r="AE1314" i="11"/>
  <c r="AU1314" i="11" s="1"/>
  <c r="AE1311" i="11"/>
  <c r="AZ1347" i="11"/>
  <c r="AZ1343" i="11"/>
  <c r="BK1338" i="11"/>
  <c r="BN1338" i="11" s="1"/>
  <c r="AG1319" i="11"/>
  <c r="AX1319" i="11" s="1"/>
  <c r="BA1319" i="11" s="1"/>
  <c r="AZ1342" i="11"/>
  <c r="AI1319" i="11"/>
  <c r="AK1319" i="11"/>
  <c r="AM1319" i="11"/>
  <c r="AO1319" i="11"/>
  <c r="AZ1349" i="11"/>
  <c r="BK1339" i="11"/>
  <c r="BN1339" i="11" s="1"/>
  <c r="AZ1329" i="11"/>
  <c r="V1320" i="11"/>
  <c r="BK1314" i="11"/>
  <c r="BN1314" i="11" s="1"/>
  <c r="BK1318" i="11"/>
  <c r="BN1318" i="11" s="1"/>
  <c r="BK1324" i="11"/>
  <c r="BN1324" i="11" s="1"/>
  <c r="AZ1351" i="11"/>
  <c r="AZ1337" i="11"/>
  <c r="AZ1332" i="11"/>
  <c r="AZ1315" i="11"/>
  <c r="AU1328" i="11"/>
  <c r="AZ1323" i="11"/>
  <c r="AZ1311" i="11"/>
  <c r="AZ1350" i="11"/>
  <c r="AZ1345" i="11"/>
  <c r="AZ1313" i="11"/>
  <c r="AZ1333" i="11"/>
  <c r="AZ1328" i="11"/>
  <c r="AG1323" i="11"/>
  <c r="AX1323" i="11" s="1"/>
  <c r="BA1323" i="11" s="1"/>
  <c r="BK1333" i="11"/>
  <c r="BN1333" i="11" s="1"/>
  <c r="AZ1346" i="11"/>
  <c r="BA1351" i="11"/>
  <c r="BA1338" i="11"/>
  <c r="BK1331" i="11"/>
  <c r="BN1331" i="11" s="1"/>
  <c r="BK1313" i="11"/>
  <c r="BN1313" i="11" s="1"/>
  <c r="AZ1331" i="11"/>
  <c r="BA1330" i="11"/>
  <c r="AM1352" i="11"/>
  <c r="AG1340" i="11"/>
  <c r="AX1340" i="11" s="1"/>
  <c r="BA1340" i="11" s="1"/>
  <c r="AZ1321" i="11"/>
  <c r="AZ1312" i="11"/>
  <c r="BK1342" i="11"/>
  <c r="BN1342" i="11" s="1"/>
  <c r="AZ1335" i="11"/>
  <c r="AG1321" i="11"/>
  <c r="AX1321" i="11" s="1"/>
  <c r="BA1321" i="11" s="1"/>
  <c r="BK1315" i="11"/>
  <c r="BN1315" i="11" s="1"/>
  <c r="AK1352" i="11"/>
  <c r="AK1323" i="11"/>
  <c r="AI1352" i="11"/>
  <c r="AO1329" i="11"/>
  <c r="BA1315" i="11"/>
  <c r="AM1344" i="11"/>
  <c r="AU1342" i="11"/>
  <c r="BK1323" i="11"/>
  <c r="BN1323" i="11" s="1"/>
  <c r="AK1311" i="11"/>
  <c r="BK1312" i="11"/>
  <c r="BN1312" i="11" s="1"/>
  <c r="AU1350" i="11"/>
  <c r="AI1329" i="11"/>
  <c r="AU1352" i="11"/>
  <c r="AZ1352" i="11"/>
  <c r="BK1350" i="11"/>
  <c r="BN1350" i="11" s="1"/>
  <c r="AK1346" i="11"/>
  <c r="AM1345" i="11"/>
  <c r="AU1343" i="11"/>
  <c r="BK1340" i="11"/>
  <c r="BN1340" i="11" s="1"/>
  <c r="BK1337" i="11"/>
  <c r="BN1337" i="11" s="1"/>
  <c r="AM1315" i="11"/>
  <c r="AM1329" i="11"/>
  <c r="AK1344" i="11"/>
  <c r="AI1346" i="11"/>
  <c r="V1332" i="11"/>
  <c r="AU1332" i="11" s="1"/>
  <c r="AK1315" i="11"/>
  <c r="V1312" i="11"/>
  <c r="AU1312" i="11" s="1"/>
  <c r="V1337" i="11"/>
  <c r="AU1337" i="11" s="1"/>
  <c r="AM1311" i="11"/>
  <c r="AG1346" i="11"/>
  <c r="AX1346" i="11" s="1"/>
  <c r="BA1346" i="11" s="1"/>
  <c r="AZ1340" i="11"/>
  <c r="AZ1338" i="11"/>
  <c r="AZ1330" i="11"/>
  <c r="AZ1322" i="11"/>
  <c r="AZ1320" i="11"/>
  <c r="AI1315" i="11"/>
  <c r="BK1347" i="11"/>
  <c r="BN1347" i="11" s="1"/>
  <c r="BA1311" i="11"/>
  <c r="AG1329" i="11"/>
  <c r="AX1329" i="11" s="1"/>
  <c r="BA1329" i="11" s="1"/>
  <c r="AO1311" i="11"/>
  <c r="BK1348" i="11"/>
  <c r="BN1348" i="11" s="1"/>
  <c r="AO1315" i="11"/>
  <c r="AU1347" i="11"/>
  <c r="BK1335" i="11"/>
  <c r="BN1335" i="11" s="1"/>
  <c r="AU1321" i="11"/>
  <c r="V1330" i="11"/>
  <c r="AU1330" i="11" s="1"/>
  <c r="AO1345" i="11"/>
  <c r="AZ1353" i="11"/>
  <c r="AZ1341" i="11"/>
  <c r="AZ1339" i="11"/>
  <c r="BA1324" i="11"/>
  <c r="V1324" i="11"/>
  <c r="AU1324" i="11" s="1"/>
  <c r="AM1351" i="11"/>
  <c r="BK1343" i="11"/>
  <c r="BN1343" i="11" s="1"/>
  <c r="AU1333" i="11"/>
  <c r="AK1351" i="11"/>
  <c r="AZ1348" i="11"/>
  <c r="AO1339" i="11"/>
  <c r="BK1330" i="11"/>
  <c r="BN1330" i="11" s="1"/>
  <c r="AU1323" i="11"/>
  <c r="AO1322" i="11"/>
  <c r="AK1318" i="11"/>
  <c r="AO1314" i="11"/>
  <c r="AO1351" i="11"/>
  <c r="BK1316" i="11"/>
  <c r="BN1316" i="11" s="1"/>
  <c r="AG1318" i="11"/>
  <c r="AX1318" i="11" s="1"/>
  <c r="BA1318" i="11" s="1"/>
  <c r="AK1345" i="11"/>
  <c r="AK1317" i="11"/>
  <c r="AI1311" i="11"/>
  <c r="AM1328" i="11"/>
  <c r="AG1322" i="11"/>
  <c r="AX1322" i="11" s="1"/>
  <c r="BA1322" i="11" s="1"/>
  <c r="AU1349" i="11"/>
  <c r="AK1328" i="11"/>
  <c r="AO1324" i="11"/>
  <c r="AG1317" i="11"/>
  <c r="AX1317" i="11" s="1"/>
  <c r="BA1317" i="11" s="1"/>
  <c r="BK1345" i="11"/>
  <c r="BN1345" i="11" s="1"/>
  <c r="AU1336" i="11"/>
  <c r="AG1335" i="11"/>
  <c r="AX1335" i="11" s="1"/>
  <c r="BA1335" i="11" s="1"/>
  <c r="AI1328" i="11"/>
  <c r="AI1324" i="11"/>
  <c r="AU1318" i="11"/>
  <c r="AM1316" i="11"/>
  <c r="AO1340" i="11"/>
  <c r="AM1330" i="11"/>
  <c r="AG1328" i="11"/>
  <c r="AX1328" i="11" s="1"/>
  <c r="BA1328" i="11" s="1"/>
  <c r="AO1321" i="11"/>
  <c r="BK1320" i="11"/>
  <c r="BN1320" i="11" s="1"/>
  <c r="AK1316" i="11"/>
  <c r="AI1351" i="11"/>
  <c r="AU1340" i="11"/>
  <c r="BK1332" i="11"/>
  <c r="BN1332" i="11" s="1"/>
  <c r="AG1345" i="11"/>
  <c r="AX1345" i="11" s="1"/>
  <c r="BA1345" i="11" s="1"/>
  <c r="BK1321" i="11"/>
  <c r="BN1321" i="11" s="1"/>
  <c r="AM1317" i="11"/>
  <c r="AI1322" i="11"/>
  <c r="AO1346" i="11"/>
  <c r="V1344" i="11"/>
  <c r="AU1344" i="11" s="1"/>
  <c r="AK1340" i="11"/>
  <c r="AY1339" i="11"/>
  <c r="AM1333" i="11"/>
  <c r="AI1330" i="11"/>
  <c r="BK1328" i="11"/>
  <c r="BN1328" i="11" s="1"/>
  <c r="AU1325" i="11"/>
  <c r="AK1321" i="11"/>
  <c r="AY1320" i="11"/>
  <c r="AG1316" i="11"/>
  <c r="AX1316" i="11" s="1"/>
  <c r="BA1316" i="11" s="1"/>
  <c r="BK1349" i="11"/>
  <c r="BN1349" i="11" s="1"/>
  <c r="AM1339" i="11"/>
  <c r="AM1322" i="11"/>
  <c r="BK1325" i="11"/>
  <c r="BN1325" i="11" s="1"/>
  <c r="AK1350" i="11"/>
  <c r="AO1335" i="11"/>
  <c r="AM1335" i="11"/>
  <c r="V1315" i="11"/>
  <c r="AU1315" i="11" s="1"/>
  <c r="AK1335" i="11"/>
  <c r="AU1319" i="11"/>
  <c r="V1339" i="11"/>
  <c r="AU1339" i="11" s="1"/>
  <c r="AO1316" i="11"/>
  <c r="BK1351" i="11"/>
  <c r="BN1351" i="11" s="1"/>
  <c r="AU1345" i="11"/>
  <c r="AM1340" i="11"/>
  <c r="AO1333" i="11"/>
  <c r="AK1330" i="11"/>
  <c r="BK1322" i="11"/>
  <c r="BN1322" i="11" s="1"/>
  <c r="AM1321" i="11"/>
  <c r="U1331" i="11"/>
  <c r="V1331" i="11" s="1"/>
  <c r="AU1331" i="11" s="1"/>
  <c r="AU1317" i="11"/>
  <c r="V1311" i="11"/>
  <c r="BA1342" i="11"/>
  <c r="U1348" i="11"/>
  <c r="V1348" i="11" s="1"/>
  <c r="AU1348" i="11" s="1"/>
  <c r="BK1344" i="11"/>
  <c r="BN1344" i="11" s="1"/>
  <c r="AU1353" i="11"/>
  <c r="AK1348" i="11"/>
  <c r="AM1348" i="11"/>
  <c r="AI1348" i="11"/>
  <c r="AO1348" i="11"/>
  <c r="AG1348" i="11"/>
  <c r="AX1348" i="11" s="1"/>
  <c r="BA1348" i="11" s="1"/>
  <c r="AK1341" i="11"/>
  <c r="AM1341" i="11"/>
  <c r="AO1341" i="11"/>
  <c r="AG1341" i="11"/>
  <c r="AX1341" i="11" s="1"/>
  <c r="BA1341" i="11" s="1"/>
  <c r="AI1341" i="11"/>
  <c r="AM1353" i="11"/>
  <c r="AO1353" i="11"/>
  <c r="AI1353" i="11"/>
  <c r="AK1353" i="11"/>
  <c r="AG1353" i="11"/>
  <c r="AX1353" i="11" s="1"/>
  <c r="BA1353" i="11" s="1"/>
  <c r="AZ1336" i="11"/>
  <c r="AO1336" i="11"/>
  <c r="AK1331" i="11"/>
  <c r="AO1331" i="11"/>
  <c r="AM1331" i="11"/>
  <c r="AY1325" i="11"/>
  <c r="AZ1325" i="11"/>
  <c r="BK1317" i="11"/>
  <c r="BN1317" i="11" s="1"/>
  <c r="AK1332" i="11"/>
  <c r="AI1332" i="11"/>
  <c r="AK1336" i="11"/>
  <c r="AK1313" i="11"/>
  <c r="AO1313" i="11"/>
  <c r="AM1313" i="11"/>
  <c r="AK1312" i="11"/>
  <c r="AO1343" i="11"/>
  <c r="AZ1318" i="11"/>
  <c r="AI1349" i="11"/>
  <c r="AK1349" i="11"/>
  <c r="AG1325" i="11"/>
  <c r="AX1325" i="11" s="1"/>
  <c r="BA1325" i="11" s="1"/>
  <c r="AK1325" i="11"/>
  <c r="AI1325" i="11"/>
  <c r="U1316" i="11"/>
  <c r="V1316" i="11" s="1"/>
  <c r="AU1313" i="11"/>
  <c r="BK1311" i="11"/>
  <c r="BN1311" i="11" s="1"/>
  <c r="AO1349" i="11"/>
  <c r="AG1344" i="11"/>
  <c r="AX1344" i="11" s="1"/>
  <c r="BA1344" i="11" s="1"/>
  <c r="AI1344" i="11"/>
  <c r="AK1342" i="11"/>
  <c r="V1351" i="11"/>
  <c r="AU1351" i="11" s="1"/>
  <c r="AM1349" i="11"/>
  <c r="AI1342" i="11"/>
  <c r="AG1331" i="11"/>
  <c r="AX1331" i="11" s="1"/>
  <c r="BA1331" i="11" s="1"/>
  <c r="AI1312" i="11"/>
  <c r="BK1346" i="11"/>
  <c r="BN1346" i="11" s="1"/>
  <c r="AM1343" i="11"/>
  <c r="AK1343" i="11"/>
  <c r="AM1336" i="11"/>
  <c r="AZ1344" i="11"/>
  <c r="AY1344" i="11"/>
  <c r="AM1337" i="11"/>
  <c r="AO1337" i="11"/>
  <c r="AI1331" i="11"/>
  <c r="AG1320" i="11"/>
  <c r="AX1320" i="11" s="1"/>
  <c r="BA1320" i="11" s="1"/>
  <c r="AI1320" i="11"/>
  <c r="AI1338" i="11"/>
  <c r="AK1338" i="11"/>
  <c r="AM1338" i="11"/>
  <c r="BK1336" i="11"/>
  <c r="BN1336" i="11" s="1"/>
  <c r="AI1336" i="11"/>
  <c r="U1346" i="11"/>
  <c r="V1346" i="11" s="1"/>
  <c r="AU1346" i="11" s="1"/>
  <c r="AI1343" i="11"/>
  <c r="AG1336" i="11"/>
  <c r="AX1336" i="11" s="1"/>
  <c r="BA1336" i="11" s="1"/>
  <c r="AO1332" i="11"/>
  <c r="AM1325" i="11"/>
  <c r="AO1317" i="11"/>
  <c r="AZ1314" i="11"/>
  <c r="AM1312" i="11"/>
  <c r="AO1312" i="11"/>
  <c r="AG1350" i="11"/>
  <c r="AX1350" i="11" s="1"/>
  <c r="BA1350" i="11" s="1"/>
  <c r="BK1341" i="11"/>
  <c r="BN1341" i="11" s="1"/>
  <c r="U1329" i="11"/>
  <c r="V1329" i="11" s="1"/>
  <c r="AU1329" i="11" s="1"/>
  <c r="AO1325" i="11"/>
  <c r="AO1350" i="11"/>
  <c r="AG1349" i="11"/>
  <c r="AX1349" i="11" s="1"/>
  <c r="BA1349" i="11" s="1"/>
  <c r="AI1337" i="11"/>
  <c r="AG1333" i="11"/>
  <c r="AX1333" i="11" s="1"/>
  <c r="BA1333" i="11" s="1"/>
  <c r="AI1333" i="11"/>
  <c r="AZ1324" i="11"/>
  <c r="AG1312" i="11"/>
  <c r="AX1312" i="11" s="1"/>
  <c r="BA1312" i="11" s="1"/>
  <c r="BK1329" i="11"/>
  <c r="BN1329" i="11" s="1"/>
  <c r="AG1343" i="11"/>
  <c r="AX1343" i="11" s="1"/>
  <c r="BA1343" i="11" s="1"/>
  <c r="AM1332" i="11"/>
  <c r="AM1323" i="11"/>
  <c r="AO1323" i="11"/>
  <c r="AO1320" i="11"/>
  <c r="AI1313" i="11"/>
  <c r="AM1350" i="11"/>
  <c r="AO1338" i="11"/>
  <c r="AG1337" i="11"/>
  <c r="AX1337" i="11" s="1"/>
  <c r="BA1337" i="11" s="1"/>
  <c r="AG1332" i="11"/>
  <c r="AX1332" i="11" s="1"/>
  <c r="BA1332" i="11" s="1"/>
  <c r="AO1330" i="11"/>
  <c r="AG1314" i="11"/>
  <c r="AX1314" i="11" s="1"/>
  <c r="BA1314" i="11" s="1"/>
  <c r="AI1314" i="11"/>
  <c r="AK1314" i="11"/>
  <c r="AM1342" i="11"/>
  <c r="AO1342" i="11"/>
  <c r="BK1352" i="11"/>
  <c r="AO1352" i="11"/>
  <c r="AG1339" i="11"/>
  <c r="AX1339" i="11" s="1"/>
  <c r="BA1339" i="11" s="1"/>
  <c r="AI1339" i="11"/>
  <c r="V1335" i="11"/>
  <c r="AU1335" i="11" s="1"/>
  <c r="AK1324" i="11"/>
  <c r="AM1324" i="11"/>
  <c r="AM1320" i="11"/>
  <c r="AZ1319" i="11"/>
  <c r="AM1318" i="11"/>
  <c r="AO1318" i="11"/>
  <c r="AG1313" i="11"/>
  <c r="AX1313" i="11" s="1"/>
  <c r="BA1313" i="11" s="1"/>
  <c r="V1341" i="11"/>
  <c r="AU1341" i="11" s="1"/>
  <c r="V1322" i="11"/>
  <c r="AU1322" i="11" s="1"/>
  <c r="AU1320" i="11" l="1"/>
  <c r="BB1317" i="11"/>
  <c r="BB1347" i="11"/>
  <c r="AU1311" i="11"/>
  <c r="BB1316" i="11"/>
  <c r="BB1330" i="11"/>
  <c r="BB1343" i="11"/>
  <c r="BB1349" i="11"/>
  <c r="BB1350" i="11"/>
  <c r="BB1311" i="11"/>
  <c r="BB1323" i="11"/>
  <c r="BB1345" i="11"/>
  <c r="BB1340" i="11"/>
  <c r="BB1342" i="11"/>
  <c r="BB1329" i="11"/>
  <c r="BB1315" i="11"/>
  <c r="BB1332" i="11"/>
  <c r="BB1351" i="11"/>
  <c r="BB1337" i="11"/>
  <c r="BB1321" i="11"/>
  <c r="BB1318" i="11"/>
  <c r="BB1312" i="11"/>
  <c r="BB1328" i="11"/>
  <c r="BB1346" i="11"/>
  <c r="BB1322" i="11"/>
  <c r="BB1324" i="11"/>
  <c r="BB1336" i="11"/>
  <c r="BB1313" i="11"/>
  <c r="BB1341" i="11"/>
  <c r="BB1333" i="11"/>
  <c r="BB1319" i="11"/>
  <c r="BB1331" i="11"/>
  <c r="BB1335" i="11"/>
  <c r="BB1338" i="11"/>
  <c r="BB1348" i="11"/>
  <c r="BB1320" i="11"/>
  <c r="BB1352" i="11"/>
  <c r="BB1353" i="11"/>
  <c r="BB1339" i="11"/>
  <c r="BB1314" i="11"/>
  <c r="AU1316" i="11"/>
  <c r="BB1325" i="11"/>
  <c r="BB1344" i="11"/>
  <c r="BJ1304" i="11" l="1"/>
  <c r="BI1304" i="11"/>
  <c r="BH1304" i="11"/>
  <c r="BG1304" i="11"/>
  <c r="BJ1303" i="11"/>
  <c r="BI1303" i="11"/>
  <c r="BH1303" i="11"/>
  <c r="BG1303" i="11"/>
  <c r="R1303" i="11"/>
  <c r="T1303" i="11" s="1"/>
  <c r="R1304" i="11"/>
  <c r="T1304" i="11" s="1"/>
  <c r="H1303" i="11"/>
  <c r="H1304" i="11"/>
  <c r="W1303" i="11"/>
  <c r="W1304" i="11"/>
  <c r="AD1303" i="11"/>
  <c r="AD1304" i="11"/>
  <c r="AS1303" i="11"/>
  <c r="AS1304" i="11"/>
  <c r="AT1303" i="11"/>
  <c r="AM1303" i="11" s="1"/>
  <c r="AT1304" i="11"/>
  <c r="AM1304" i="11" s="1"/>
  <c r="AV1303" i="11"/>
  <c r="AY1303" i="11" s="1"/>
  <c r="AV1304" i="11"/>
  <c r="AY1304" i="11" s="1"/>
  <c r="AW1303" i="11"/>
  <c r="AW1304" i="11"/>
  <c r="S1305" i="11"/>
  <c r="S1301" i="11"/>
  <c r="U1303" i="11" l="1"/>
  <c r="V1303" i="11" s="1"/>
  <c r="AF1303" i="11"/>
  <c r="AR1303" i="11" s="1"/>
  <c r="U1304" i="11"/>
  <c r="V1304" i="11" s="1"/>
  <c r="AF1304" i="11"/>
  <c r="AR1304" i="11" s="1"/>
  <c r="BK1304" i="11"/>
  <c r="BN1304" i="11" s="1"/>
  <c r="AE1303" i="11"/>
  <c r="AZ1303" i="11"/>
  <c r="BK1303" i="11"/>
  <c r="BN1303" i="11" s="1"/>
  <c r="AE1304" i="11"/>
  <c r="AZ1304" i="11"/>
  <c r="AI1304" i="11"/>
  <c r="AI1303" i="11"/>
  <c r="AO1304" i="11"/>
  <c r="AG1304" i="11"/>
  <c r="AX1304" i="11" s="1"/>
  <c r="BA1304" i="11" s="1"/>
  <c r="AO1303" i="11"/>
  <c r="AG1303" i="11"/>
  <c r="AX1303" i="11" s="1"/>
  <c r="BA1303" i="11" s="1"/>
  <c r="AK1303" i="11"/>
  <c r="AK1304" i="11"/>
  <c r="R1264" i="11"/>
  <c r="R1246" i="11"/>
  <c r="R1235" i="11"/>
  <c r="R1234" i="11"/>
  <c r="R1208" i="11"/>
  <c r="R1204" i="11"/>
  <c r="R1192" i="11"/>
  <c r="AU1303" i="11" l="1"/>
  <c r="AU1304" i="11"/>
  <c r="BB1303" i="11"/>
  <c r="BB1304" i="11"/>
  <c r="R1300" i="11"/>
  <c r="R1298" i="11"/>
  <c r="R1290" i="11"/>
  <c r="S1295" i="11" l="1"/>
  <c r="T1295" i="11" s="1"/>
  <c r="BG1293" i="11"/>
  <c r="BH1293" i="11"/>
  <c r="BI1293" i="11"/>
  <c r="BJ1293" i="11"/>
  <c r="BG1294" i="11"/>
  <c r="BH1294" i="11"/>
  <c r="BI1294" i="11"/>
  <c r="BJ1294" i="11"/>
  <c r="BG1295" i="11"/>
  <c r="BH1295" i="11"/>
  <c r="BI1295" i="11"/>
  <c r="BJ1295" i="11"/>
  <c r="BG1296" i="11"/>
  <c r="BH1296" i="11"/>
  <c r="BI1296" i="11"/>
  <c r="BJ1296" i="11"/>
  <c r="BG1297" i="11"/>
  <c r="BH1297" i="11"/>
  <c r="BI1297" i="11"/>
  <c r="BJ1297" i="11"/>
  <c r="BG1298" i="11"/>
  <c r="BH1298" i="11"/>
  <c r="BI1298" i="11"/>
  <c r="BJ1298" i="11"/>
  <c r="BG1299" i="11"/>
  <c r="BH1299" i="11"/>
  <c r="BI1299" i="11"/>
  <c r="BJ1299" i="11"/>
  <c r="BG1300" i="11"/>
  <c r="BH1300" i="11"/>
  <c r="BI1300" i="11"/>
  <c r="BJ1300" i="11"/>
  <c r="BG1301" i="11"/>
  <c r="BH1301" i="11"/>
  <c r="BI1301" i="11"/>
  <c r="BJ1301" i="11"/>
  <c r="BG1302" i="11"/>
  <c r="BH1302" i="11"/>
  <c r="BI1302" i="11"/>
  <c r="BJ1302" i="11"/>
  <c r="BG1305" i="11"/>
  <c r="BH1305" i="11"/>
  <c r="BI1305" i="11"/>
  <c r="BJ1305" i="11"/>
  <c r="BG1306" i="11"/>
  <c r="BH1306" i="11"/>
  <c r="BI1306" i="11"/>
  <c r="BJ1306" i="11"/>
  <c r="BG1307" i="11"/>
  <c r="BH1307" i="11"/>
  <c r="BI1307" i="11"/>
  <c r="BJ1307" i="11"/>
  <c r="BG1308" i="11"/>
  <c r="BH1308" i="11"/>
  <c r="BI1308" i="11"/>
  <c r="BJ1308" i="11"/>
  <c r="BG1309" i="11"/>
  <c r="BH1309" i="11"/>
  <c r="BI1309" i="11"/>
  <c r="BJ1309" i="11"/>
  <c r="BG1310" i="11"/>
  <c r="BH1310" i="11"/>
  <c r="BI1310" i="11"/>
  <c r="BJ1310" i="11"/>
  <c r="AE1293" i="11"/>
  <c r="AE1294" i="11"/>
  <c r="AE1295" i="11"/>
  <c r="AE1296" i="11"/>
  <c r="AE1297" i="11"/>
  <c r="AE1299" i="11"/>
  <c r="AE1300" i="11"/>
  <c r="AE1301" i="11"/>
  <c r="AE1302" i="11"/>
  <c r="AE1305" i="11"/>
  <c r="AE1306" i="11"/>
  <c r="AE1307" i="11"/>
  <c r="AE1308" i="11"/>
  <c r="AE1309" i="11"/>
  <c r="W1295" i="11"/>
  <c r="AF1295" i="11" s="1"/>
  <c r="AR1295" i="11" s="1"/>
  <c r="W1296" i="11"/>
  <c r="AF1296" i="11" s="1"/>
  <c r="AR1296" i="11" s="1"/>
  <c r="W1297" i="11"/>
  <c r="AF1297" i="11" s="1"/>
  <c r="AR1297" i="11" s="1"/>
  <c r="W1298" i="11"/>
  <c r="AF1298" i="11" s="1"/>
  <c r="AR1298" i="11" s="1"/>
  <c r="W1299" i="11"/>
  <c r="AF1299" i="11" s="1"/>
  <c r="AR1299" i="11" s="1"/>
  <c r="W1300" i="11"/>
  <c r="AF1300" i="11" s="1"/>
  <c r="AR1300" i="11" s="1"/>
  <c r="W1301" i="11"/>
  <c r="AF1301" i="11" s="1"/>
  <c r="AR1301" i="11" s="1"/>
  <c r="W1302" i="11"/>
  <c r="AF1302" i="11" s="1"/>
  <c r="AR1302" i="11" s="1"/>
  <c r="W1305" i="11"/>
  <c r="AF1305" i="11" s="1"/>
  <c r="AR1305" i="11" s="1"/>
  <c r="W1306" i="11"/>
  <c r="AF1306" i="11" s="1"/>
  <c r="AR1306" i="11" s="1"/>
  <c r="W1307" i="11"/>
  <c r="W1308" i="11"/>
  <c r="AF1308" i="11" s="1"/>
  <c r="AR1308" i="11" s="1"/>
  <c r="W1309" i="11"/>
  <c r="AF1309" i="11" s="1"/>
  <c r="AR1309" i="11" s="1"/>
  <c r="W1310" i="11"/>
  <c r="AF1310" i="11" s="1"/>
  <c r="AR1310" i="11" s="1"/>
  <c r="T1297" i="11"/>
  <c r="U1297" i="11" s="1"/>
  <c r="T1298" i="11"/>
  <c r="T1299" i="11"/>
  <c r="U1299" i="11" s="1"/>
  <c r="V1299" i="11" s="1"/>
  <c r="T1300" i="11"/>
  <c r="T1301" i="11"/>
  <c r="U1301" i="11" s="1"/>
  <c r="T1302" i="11"/>
  <c r="U1302" i="11" s="1"/>
  <c r="V1302" i="11" s="1"/>
  <c r="T1305" i="11"/>
  <c r="U1305" i="11" s="1"/>
  <c r="V1305" i="11" s="1"/>
  <c r="T1306" i="11"/>
  <c r="U1306" i="11" s="1"/>
  <c r="V1306" i="11" s="1"/>
  <c r="T1307" i="11"/>
  <c r="T1308" i="11"/>
  <c r="U1308" i="11" s="1"/>
  <c r="V1308" i="11" s="1"/>
  <c r="T1309" i="11"/>
  <c r="U1309" i="11" s="1"/>
  <c r="V1309" i="11" s="1"/>
  <c r="T1310" i="11"/>
  <c r="H1295" i="11"/>
  <c r="H1296" i="11"/>
  <c r="H1297" i="11"/>
  <c r="H1298" i="11"/>
  <c r="H1299" i="11"/>
  <c r="H1300" i="11"/>
  <c r="H1301" i="11"/>
  <c r="H1302" i="11"/>
  <c r="H1305" i="11"/>
  <c r="H1306" i="11"/>
  <c r="H1307" i="11"/>
  <c r="H1308" i="11"/>
  <c r="H1309" i="11"/>
  <c r="H1310" i="11"/>
  <c r="AD1295" i="11"/>
  <c r="AD1297" i="11"/>
  <c r="AD1298" i="11"/>
  <c r="AD1299" i="11"/>
  <c r="AD1300" i="11"/>
  <c r="AD1301" i="11"/>
  <c r="AD1302" i="11"/>
  <c r="AD1305" i="11"/>
  <c r="AD1306" i="11"/>
  <c r="AD1307" i="11"/>
  <c r="AD1308" i="11"/>
  <c r="AD1309" i="11"/>
  <c r="AD1310" i="11"/>
  <c r="AS1295" i="11"/>
  <c r="AS1296" i="11"/>
  <c r="AS1297" i="11"/>
  <c r="AS1298" i="11"/>
  <c r="AS1299" i="11"/>
  <c r="AS1300" i="11"/>
  <c r="AS1301" i="11"/>
  <c r="AS1302" i="11"/>
  <c r="AS1305" i="11"/>
  <c r="AS1306" i="11"/>
  <c r="AS1307" i="11"/>
  <c r="AS1308" i="11"/>
  <c r="AS1309" i="11"/>
  <c r="AS1310" i="11"/>
  <c r="AT1295" i="11"/>
  <c r="AG1295" i="11" s="1"/>
  <c r="AT1296" i="11"/>
  <c r="AT1297" i="11"/>
  <c r="AG1297" i="11" s="1"/>
  <c r="AT1298" i="11"/>
  <c r="AO1298" i="11" s="1"/>
  <c r="AT1299" i="11"/>
  <c r="AG1299" i="11" s="1"/>
  <c r="AT1300" i="11"/>
  <c r="AT1301" i="11"/>
  <c r="AI1301" i="11" s="1"/>
  <c r="AT1302" i="11"/>
  <c r="AK1302" i="11" s="1"/>
  <c r="AT1305" i="11"/>
  <c r="AO1305" i="11" s="1"/>
  <c r="AT1306" i="11"/>
  <c r="AO1306" i="11" s="1"/>
  <c r="AT1307" i="11"/>
  <c r="AG1307" i="11" s="1"/>
  <c r="AT1308" i="11"/>
  <c r="AK1308" i="11" s="1"/>
  <c r="AT1309" i="11"/>
  <c r="AO1309" i="11" s="1"/>
  <c r="AT1310" i="11"/>
  <c r="AO1310" i="11" s="1"/>
  <c r="AV1295" i="11"/>
  <c r="AY1295" i="11" s="1"/>
  <c r="AV1296" i="11"/>
  <c r="AY1296" i="11" s="1"/>
  <c r="AV1297" i="11"/>
  <c r="AY1297" i="11" s="1"/>
  <c r="AV1298" i="11"/>
  <c r="AY1298" i="11" s="1"/>
  <c r="AV1299" i="11"/>
  <c r="AY1299" i="11" s="1"/>
  <c r="AV1300" i="11"/>
  <c r="AY1300" i="11" s="1"/>
  <c r="AV1301" i="11"/>
  <c r="AY1301" i="11" s="1"/>
  <c r="AV1302" i="11"/>
  <c r="AV1305" i="11"/>
  <c r="AY1305" i="11" s="1"/>
  <c r="AV1306" i="11"/>
  <c r="AY1306" i="11" s="1"/>
  <c r="AV1307" i="11"/>
  <c r="AV1308" i="11"/>
  <c r="AY1308" i="11" s="1"/>
  <c r="AV1309" i="11"/>
  <c r="AY1309" i="11" s="1"/>
  <c r="AV1310" i="11"/>
  <c r="AY1310" i="11" s="1"/>
  <c r="AW1295" i="11"/>
  <c r="AW1296" i="11"/>
  <c r="AW1297" i="11"/>
  <c r="AW1298" i="11"/>
  <c r="AW1299" i="11"/>
  <c r="AW1300" i="11"/>
  <c r="AW1301" i="11"/>
  <c r="AW1302" i="11"/>
  <c r="AW1305" i="11"/>
  <c r="AW1306" i="11"/>
  <c r="AW1307" i="11"/>
  <c r="AW1308" i="11"/>
  <c r="AW1309" i="11"/>
  <c r="AW1310" i="11"/>
  <c r="T1205" i="11"/>
  <c r="T1191" i="11"/>
  <c r="R1292" i="11"/>
  <c r="R1280" i="11"/>
  <c r="AF1307" i="11" l="1"/>
  <c r="AR1307" i="11" s="1"/>
  <c r="AE1310" i="11"/>
  <c r="AO1296" i="11"/>
  <c r="AM1296" i="11"/>
  <c r="AK1296" i="11"/>
  <c r="AI1296" i="11"/>
  <c r="AG1296" i="11"/>
  <c r="AX1296" i="11" s="1"/>
  <c r="BA1296" i="11" s="1"/>
  <c r="AE1298" i="11"/>
  <c r="AZ1302" i="11"/>
  <c r="BK1310" i="11"/>
  <c r="BN1310" i="11" s="1"/>
  <c r="BK1293" i="11"/>
  <c r="BN1293" i="11" s="1"/>
  <c r="AG1302" i="11"/>
  <c r="AX1302" i="11" s="1"/>
  <c r="BA1302" i="11" s="1"/>
  <c r="AU1305" i="11"/>
  <c r="AO1295" i="11"/>
  <c r="BK1299" i="11"/>
  <c r="BN1299" i="11" s="1"/>
  <c r="AU1309" i="11"/>
  <c r="AU1308" i="11"/>
  <c r="BK1305" i="11"/>
  <c r="BN1305" i="11" s="1"/>
  <c r="AM1310" i="11"/>
  <c r="AK1310" i="11"/>
  <c r="BK1301" i="11"/>
  <c r="BN1301" i="11" s="1"/>
  <c r="BK1294" i="11"/>
  <c r="AI1302" i="11"/>
  <c r="AM1307" i="11"/>
  <c r="AZ1305" i="11"/>
  <c r="AI1306" i="11"/>
  <c r="AG1301" i="11"/>
  <c r="AX1301" i="11" s="1"/>
  <c r="BA1301" i="11" s="1"/>
  <c r="BK1295" i="11"/>
  <c r="BN1295" i="11" s="1"/>
  <c r="AK1306" i="11"/>
  <c r="AM1309" i="11"/>
  <c r="AG1306" i="11"/>
  <c r="AX1306" i="11" s="1"/>
  <c r="BA1306" i="11" s="1"/>
  <c r="AK1309" i="11"/>
  <c r="AM1306" i="11"/>
  <c r="AO1301" i="11"/>
  <c r="AI1309" i="11"/>
  <c r="AM1305" i="11"/>
  <c r="AM1301" i="11"/>
  <c r="AG1309" i="11"/>
  <c r="AX1309" i="11" s="1"/>
  <c r="BA1309" i="11" s="1"/>
  <c r="AK1305" i="11"/>
  <c r="AI1305" i="11"/>
  <c r="AM1298" i="11"/>
  <c r="AI1308" i="11"/>
  <c r="AG1305" i="11"/>
  <c r="AX1305" i="11" s="1"/>
  <c r="BA1305" i="11" s="1"/>
  <c r="BK1300" i="11"/>
  <c r="BN1300" i="11" s="1"/>
  <c r="AZ1306" i="11"/>
  <c r="AG1308" i="11"/>
  <c r="AX1308" i="11" s="1"/>
  <c r="BA1308" i="11" s="1"/>
  <c r="AO1302" i="11"/>
  <c r="AI1297" i="11"/>
  <c r="AO1307" i="11"/>
  <c r="BK1298" i="11"/>
  <c r="BN1298" i="11" s="1"/>
  <c r="AI1298" i="11"/>
  <c r="BK1297" i="11"/>
  <c r="AO1299" i="11"/>
  <c r="AK1298" i="11"/>
  <c r="BK1308" i="11"/>
  <c r="BN1308" i="11" s="1"/>
  <c r="AZ1300" i="11"/>
  <c r="AZ1299" i="11"/>
  <c r="AK1295" i="11"/>
  <c r="AZ1301" i="11"/>
  <c r="AX1297" i="11"/>
  <c r="BA1297" i="11" s="1"/>
  <c r="AG1298" i="11"/>
  <c r="AX1298" i="11" s="1"/>
  <c r="BA1298" i="11" s="1"/>
  <c r="AI1310" i="11"/>
  <c r="AM1300" i="11"/>
  <c r="AI1299" i="11"/>
  <c r="BK1302" i="11"/>
  <c r="BN1302" i="11" s="1"/>
  <c r="AG1310" i="11"/>
  <c r="AX1310" i="11" s="1"/>
  <c r="BA1310" i="11" s="1"/>
  <c r="AK1300" i="11"/>
  <c r="V1301" i="11"/>
  <c r="AU1301" i="11" s="1"/>
  <c r="AI1300" i="11"/>
  <c r="AZ1309" i="11"/>
  <c r="AZ1307" i="11"/>
  <c r="AM1308" i="11"/>
  <c r="AI1307" i="11"/>
  <c r="AK1301" i="11"/>
  <c r="AM1297" i="11"/>
  <c r="BK1306" i="11"/>
  <c r="BN1306" i="11" s="1"/>
  <c r="AO1300" i="11"/>
  <c r="AK1299" i="11"/>
  <c r="BK1307" i="11"/>
  <c r="BN1307" i="11" s="1"/>
  <c r="AM1302" i="11"/>
  <c r="AG1300" i="11"/>
  <c r="AX1300" i="11" s="1"/>
  <c r="BA1300" i="11" s="1"/>
  <c r="BK1309" i="11"/>
  <c r="BN1309" i="11" s="1"/>
  <c r="AX1299" i="11"/>
  <c r="BA1299" i="11" s="1"/>
  <c r="AM1299" i="11"/>
  <c r="AM1295" i="11"/>
  <c r="AY1302" i="11"/>
  <c r="AI1295" i="11"/>
  <c r="AO1308" i="11"/>
  <c r="AK1307" i="11"/>
  <c r="AO1297" i="11"/>
  <c r="BK1296" i="11"/>
  <c r="BN1296" i="11" s="1"/>
  <c r="AZ1308" i="11"/>
  <c r="AK1297" i="11"/>
  <c r="AU1302" i="11"/>
  <c r="AU1299" i="11"/>
  <c r="AX1295" i="11"/>
  <c r="BA1295" i="11" s="1"/>
  <c r="AZ1296" i="11"/>
  <c r="AZ1295" i="11"/>
  <c r="AZ1310" i="11"/>
  <c r="AU1306" i="11"/>
  <c r="AZ1297" i="11"/>
  <c r="AZ1298" i="11"/>
  <c r="U1298" i="11"/>
  <c r="V1298" i="11" s="1"/>
  <c r="V1297" i="11"/>
  <c r="AU1297" i="11" s="1"/>
  <c r="U1295" i="11"/>
  <c r="V1295" i="11" s="1"/>
  <c r="AU1296" i="11"/>
  <c r="AX1307" i="11"/>
  <c r="BA1307" i="11" s="1"/>
  <c r="U1300" i="11"/>
  <c r="V1300" i="11" s="1"/>
  <c r="AU1300" i="11" s="1"/>
  <c r="U1310" i="11"/>
  <c r="V1310" i="11" s="1"/>
  <c r="AY1307" i="11"/>
  <c r="U1307" i="11"/>
  <c r="V1307" i="11" s="1"/>
  <c r="AU1307" i="11" s="1"/>
  <c r="U1205" i="11"/>
  <c r="V1205" i="11" s="1"/>
  <c r="U1191" i="11"/>
  <c r="V1191" i="11" s="1"/>
  <c r="T1284" i="11"/>
  <c r="U1284" i="11" s="1"/>
  <c r="V1284" i="11" s="1"/>
  <c r="T1283" i="11"/>
  <c r="U1283" i="11" s="1"/>
  <c r="V1283" i="11" s="1"/>
  <c r="T1281" i="11"/>
  <c r="U1281" i="11" s="1"/>
  <c r="R1282" i="11"/>
  <c r="T1282" i="11" s="1"/>
  <c r="R1286" i="11"/>
  <c r="T1286" i="11" s="1"/>
  <c r="U1286" i="11" s="1"/>
  <c r="V1286" i="11" s="1"/>
  <c r="AE1275" i="11"/>
  <c r="AD1275" i="11"/>
  <c r="W1275" i="11"/>
  <c r="AF1275" i="11" s="1"/>
  <c r="AR1275" i="11" s="1"/>
  <c r="T1275" i="11"/>
  <c r="U1275" i="11" s="1"/>
  <c r="V1275" i="11" s="1"/>
  <c r="S1287" i="11"/>
  <c r="T1287" i="11" s="1"/>
  <c r="U1287" i="11" s="1"/>
  <c r="V1287" i="11" s="1"/>
  <c r="S1288" i="11"/>
  <c r="T1288" i="11" s="1"/>
  <c r="U1288" i="11" s="1"/>
  <c r="V1288" i="11" s="1"/>
  <c r="S1289" i="11"/>
  <c r="T1289" i="11" s="1"/>
  <c r="U1289" i="11" s="1"/>
  <c r="R1271" i="11"/>
  <c r="R1270" i="11"/>
  <c r="BG1249" i="11"/>
  <c r="BH1249" i="11"/>
  <c r="BI1249" i="11"/>
  <c r="BJ1249" i="11"/>
  <c r="BG1250" i="11"/>
  <c r="BH1250" i="11"/>
  <c r="BI1250" i="11"/>
  <c r="BJ1250" i="11"/>
  <c r="S1274" i="11"/>
  <c r="T1274" i="11" s="1"/>
  <c r="BG1275" i="11"/>
  <c r="BH1275" i="11"/>
  <c r="BI1275" i="11"/>
  <c r="BJ1275" i="11"/>
  <c r="BG1276" i="11"/>
  <c r="BH1276" i="11"/>
  <c r="BI1276" i="11"/>
  <c r="BJ1276" i="11"/>
  <c r="BG1277" i="11"/>
  <c r="BH1277" i="11"/>
  <c r="BI1277" i="11"/>
  <c r="BJ1277" i="11"/>
  <c r="BG1278" i="11"/>
  <c r="BH1278" i="11"/>
  <c r="BI1278" i="11"/>
  <c r="BJ1278" i="11"/>
  <c r="BG1279" i="11"/>
  <c r="BH1279" i="11"/>
  <c r="BI1279" i="11"/>
  <c r="BJ1279" i="11"/>
  <c r="BG1280" i="11"/>
  <c r="BH1280" i="11"/>
  <c r="BI1280" i="11"/>
  <c r="BJ1280" i="11"/>
  <c r="BG1281" i="11"/>
  <c r="BH1281" i="11"/>
  <c r="BI1281" i="11"/>
  <c r="BJ1281" i="11"/>
  <c r="BG1282" i="11"/>
  <c r="BH1282" i="11"/>
  <c r="BI1282" i="11"/>
  <c r="BJ1282" i="11"/>
  <c r="BG1283" i="11"/>
  <c r="BH1283" i="11"/>
  <c r="BI1283" i="11"/>
  <c r="BJ1283" i="11"/>
  <c r="BG1284" i="11"/>
  <c r="BH1284" i="11"/>
  <c r="BI1284" i="11"/>
  <c r="BJ1284" i="11"/>
  <c r="BG1285" i="11"/>
  <c r="BH1285" i="11"/>
  <c r="BI1285" i="11"/>
  <c r="BJ1285" i="11"/>
  <c r="BG1286" i="11"/>
  <c r="BH1286" i="11"/>
  <c r="BI1286" i="11"/>
  <c r="BJ1286" i="11"/>
  <c r="BG1287" i="11"/>
  <c r="BH1287" i="11"/>
  <c r="BI1287" i="11"/>
  <c r="BJ1287" i="11"/>
  <c r="BG1288" i="11"/>
  <c r="BH1288" i="11"/>
  <c r="BI1288" i="11"/>
  <c r="BJ1288" i="11"/>
  <c r="BG1289" i="11"/>
  <c r="BH1289" i="11"/>
  <c r="BI1289" i="11"/>
  <c r="BJ1289" i="11"/>
  <c r="BG1290" i="11"/>
  <c r="BH1290" i="11"/>
  <c r="BI1290" i="11"/>
  <c r="BJ1290" i="11"/>
  <c r="BG1291" i="11"/>
  <c r="BH1291" i="11"/>
  <c r="BI1291" i="11"/>
  <c r="BJ1291" i="11"/>
  <c r="BG1292" i="11"/>
  <c r="BH1292" i="11"/>
  <c r="BI1292" i="11"/>
  <c r="BJ1292" i="11"/>
  <c r="W1276" i="11"/>
  <c r="AF1276" i="11" s="1"/>
  <c r="AR1276" i="11" s="1"/>
  <c r="W1277" i="11"/>
  <c r="AF1277" i="11" s="1"/>
  <c r="AR1277" i="11" s="1"/>
  <c r="W1278" i="11"/>
  <c r="AF1278" i="11" s="1"/>
  <c r="AR1278" i="11" s="1"/>
  <c r="W1279" i="11"/>
  <c r="W1280" i="11"/>
  <c r="AF1280" i="11" s="1"/>
  <c r="AR1280" i="11" s="1"/>
  <c r="W1281" i="11"/>
  <c r="AF1281" i="11" s="1"/>
  <c r="AR1281" i="11" s="1"/>
  <c r="W1282" i="11"/>
  <c r="W1283" i="11"/>
  <c r="AF1283" i="11" s="1"/>
  <c r="AR1283" i="11" s="1"/>
  <c r="W1284" i="11"/>
  <c r="AF1284" i="11" s="1"/>
  <c r="AR1284" i="11" s="1"/>
  <c r="W1285" i="11"/>
  <c r="AF1285" i="11" s="1"/>
  <c r="AR1285" i="11" s="1"/>
  <c r="W1286" i="11"/>
  <c r="AF1286" i="11" s="1"/>
  <c r="AR1286" i="11" s="1"/>
  <c r="W1287" i="11"/>
  <c r="AF1287" i="11" s="1"/>
  <c r="AR1287" i="11" s="1"/>
  <c r="W1288" i="11"/>
  <c r="AF1288" i="11" s="1"/>
  <c r="AR1288" i="11" s="1"/>
  <c r="W1289" i="11"/>
  <c r="AF1289" i="11" s="1"/>
  <c r="AR1289" i="11" s="1"/>
  <c r="W1290" i="11"/>
  <c r="AF1290" i="11" s="1"/>
  <c r="AR1290" i="11" s="1"/>
  <c r="W1291" i="11"/>
  <c r="AF1291" i="11" s="1"/>
  <c r="AR1291" i="11" s="1"/>
  <c r="W1292" i="11"/>
  <c r="AF1292" i="11" s="1"/>
  <c r="AR1292" i="11" s="1"/>
  <c r="W1293" i="11"/>
  <c r="AF1293" i="11" s="1"/>
  <c r="AR1293" i="11" s="1"/>
  <c r="W1294" i="11"/>
  <c r="AF1294" i="11" s="1"/>
  <c r="AR1294" i="11" s="1"/>
  <c r="T1276" i="11"/>
  <c r="U1276" i="11" s="1"/>
  <c r="V1276" i="11" s="1"/>
  <c r="T1277" i="11"/>
  <c r="U1277" i="11" s="1"/>
  <c r="V1277" i="11" s="1"/>
  <c r="T1278" i="11"/>
  <c r="U1278" i="11" s="1"/>
  <c r="T1279" i="11"/>
  <c r="T1280" i="11"/>
  <c r="U1280" i="11" s="1"/>
  <c r="T1285" i="11"/>
  <c r="U1285" i="11" s="1"/>
  <c r="T1290" i="11"/>
  <c r="T1291" i="11"/>
  <c r="U1291" i="11" s="1"/>
  <c r="V1291" i="11" s="1"/>
  <c r="T1292" i="11"/>
  <c r="U1292" i="11" s="1"/>
  <c r="V1292" i="11" s="1"/>
  <c r="T1293" i="11"/>
  <c r="T1294" i="11"/>
  <c r="U1294" i="11" s="1"/>
  <c r="V1294" i="11" s="1"/>
  <c r="H1285" i="11"/>
  <c r="H1286" i="11"/>
  <c r="H1287" i="11"/>
  <c r="H1288" i="11"/>
  <c r="H1289" i="11"/>
  <c r="H1291" i="11"/>
  <c r="H1292" i="11"/>
  <c r="H1293" i="11"/>
  <c r="H1294" i="11"/>
  <c r="H1275" i="11"/>
  <c r="H1276" i="11"/>
  <c r="H1277" i="11"/>
  <c r="H1278" i="11"/>
  <c r="H1279" i="11"/>
  <c r="H1280" i="11"/>
  <c r="H1281" i="11"/>
  <c r="H1282" i="11"/>
  <c r="H1283" i="11"/>
  <c r="H1284" i="11"/>
  <c r="AD1276" i="11"/>
  <c r="AD1277" i="11"/>
  <c r="AD1278" i="11"/>
  <c r="AD1279" i="11"/>
  <c r="AD1280" i="11"/>
  <c r="AD1281" i="11"/>
  <c r="AD1282" i="11"/>
  <c r="AD1283" i="11"/>
  <c r="AD1284" i="11"/>
  <c r="AD1285" i="11"/>
  <c r="AD1286" i="11"/>
  <c r="AD1287" i="11"/>
  <c r="AD1288" i="11"/>
  <c r="AD1289" i="11"/>
  <c r="AD1290" i="11"/>
  <c r="AD1291" i="11"/>
  <c r="AD1292" i="11"/>
  <c r="AD1293" i="11"/>
  <c r="AD1294" i="11"/>
  <c r="AE1276" i="11"/>
  <c r="AE1277" i="11"/>
  <c r="AE1278" i="11"/>
  <c r="AE1279" i="11"/>
  <c r="AE1280" i="11"/>
  <c r="AE1281" i="11"/>
  <c r="AE1282" i="11"/>
  <c r="AE1283" i="11"/>
  <c r="AE1284" i="11"/>
  <c r="AE1285" i="11"/>
  <c r="AE1286" i="11"/>
  <c r="AE1287" i="11"/>
  <c r="AE1288" i="11"/>
  <c r="AE1289" i="11"/>
  <c r="AE1290" i="11"/>
  <c r="AE1291" i="11"/>
  <c r="AS1275" i="11"/>
  <c r="AS1276" i="11"/>
  <c r="AS1277" i="11"/>
  <c r="AS1278" i="11"/>
  <c r="AS1279" i="11"/>
  <c r="AS1280" i="11"/>
  <c r="AS1281" i="11"/>
  <c r="AS1282" i="11"/>
  <c r="AS1283" i="11"/>
  <c r="AS1284" i="11"/>
  <c r="AS1285" i="11"/>
  <c r="AS1286" i="11"/>
  <c r="AS1287" i="11"/>
  <c r="AS1288" i="11"/>
  <c r="AS1289" i="11"/>
  <c r="AS1290" i="11"/>
  <c r="AS1291" i="11"/>
  <c r="AS1292" i="11"/>
  <c r="AS1293" i="11"/>
  <c r="AS1294" i="11"/>
  <c r="AT1275" i="11"/>
  <c r="AI1275" i="11" s="1"/>
  <c r="AT1276" i="11"/>
  <c r="AI1276" i="11" s="1"/>
  <c r="AT1277" i="11"/>
  <c r="AI1277" i="11" s="1"/>
  <c r="AT1278" i="11"/>
  <c r="AI1278" i="11" s="1"/>
  <c r="AT1279" i="11"/>
  <c r="AI1279" i="11" s="1"/>
  <c r="AT1280" i="11"/>
  <c r="AI1280" i="11" s="1"/>
  <c r="AT1281" i="11"/>
  <c r="AI1281" i="11" s="1"/>
  <c r="AT1282" i="11"/>
  <c r="AK1282" i="11" s="1"/>
  <c r="AT1283" i="11"/>
  <c r="AI1283" i="11" s="1"/>
  <c r="AT1284" i="11"/>
  <c r="AK1284" i="11" s="1"/>
  <c r="AT1285" i="11"/>
  <c r="AG1285" i="11" s="1"/>
  <c r="AX1285" i="11" s="1"/>
  <c r="AT1286" i="11"/>
  <c r="AM1286" i="11" s="1"/>
  <c r="AT1287" i="11"/>
  <c r="AG1287" i="11" s="1"/>
  <c r="AX1287" i="11" s="1"/>
  <c r="AT1288" i="11"/>
  <c r="AM1288" i="11" s="1"/>
  <c r="AT1289" i="11"/>
  <c r="AT1290" i="11"/>
  <c r="AM1290" i="11" s="1"/>
  <c r="AT1291" i="11"/>
  <c r="AM1291" i="11" s="1"/>
  <c r="AT1292" i="11"/>
  <c r="AT1293" i="11"/>
  <c r="AT1294" i="11"/>
  <c r="AV1275" i="11"/>
  <c r="AY1275" i="11" s="1"/>
  <c r="AV1276" i="11"/>
  <c r="AY1276" i="11" s="1"/>
  <c r="AV1277" i="11"/>
  <c r="AY1277" i="11" s="1"/>
  <c r="AV1278" i="11"/>
  <c r="AY1278" i="11" s="1"/>
  <c r="AV1279" i="11"/>
  <c r="AY1279" i="11" s="1"/>
  <c r="AV1280" i="11"/>
  <c r="AY1280" i="11" s="1"/>
  <c r="AV1281" i="11"/>
  <c r="AY1281" i="11" s="1"/>
  <c r="AV1282" i="11"/>
  <c r="AY1282" i="11" s="1"/>
  <c r="AV1283" i="11"/>
  <c r="AY1283" i="11" s="1"/>
  <c r="AV1284" i="11"/>
  <c r="AY1284" i="11" s="1"/>
  <c r="AV1285" i="11"/>
  <c r="AY1285" i="11" s="1"/>
  <c r="AV1286" i="11"/>
  <c r="AY1286" i="11" s="1"/>
  <c r="AV1287" i="11"/>
  <c r="AY1287" i="11" s="1"/>
  <c r="AV1288" i="11"/>
  <c r="AY1288" i="11" s="1"/>
  <c r="AV1289" i="11"/>
  <c r="AY1289" i="11" s="1"/>
  <c r="AV1290" i="11"/>
  <c r="AY1290" i="11" s="1"/>
  <c r="AV1291" i="11"/>
  <c r="AY1291" i="11" s="1"/>
  <c r="AV1292" i="11"/>
  <c r="AY1292" i="11" s="1"/>
  <c r="AV1293" i="11"/>
  <c r="AY1293" i="11" s="1"/>
  <c r="AV1294" i="11"/>
  <c r="AY1294" i="11" s="1"/>
  <c r="AW1275" i="11"/>
  <c r="AW1276" i="11"/>
  <c r="AW1277" i="11"/>
  <c r="AW1278" i="11"/>
  <c r="AW1279" i="11"/>
  <c r="AW1280" i="11"/>
  <c r="AW1281" i="11"/>
  <c r="AW1282" i="11"/>
  <c r="AW1283" i="11"/>
  <c r="AW1284" i="11"/>
  <c r="AW1285" i="11"/>
  <c r="AW1286" i="11"/>
  <c r="AW1287" i="11"/>
  <c r="AW1288" i="11"/>
  <c r="AW1289" i="11"/>
  <c r="AW1290" i="11"/>
  <c r="AW1291" i="11"/>
  <c r="AW1292" i="11"/>
  <c r="AW1293" i="11"/>
  <c r="AW1294" i="11"/>
  <c r="R1266" i="11"/>
  <c r="R1273" i="11"/>
  <c r="R1272" i="11"/>
  <c r="R1268" i="11"/>
  <c r="R1269" i="11"/>
  <c r="R1261" i="11"/>
  <c r="U1279" i="11" l="1"/>
  <c r="V1279" i="11" s="1"/>
  <c r="AU1279" i="11" s="1"/>
  <c r="AF1279" i="11"/>
  <c r="AR1279" i="11" s="1"/>
  <c r="U1282" i="11"/>
  <c r="V1282" i="11" s="1"/>
  <c r="AU1282" i="11" s="1"/>
  <c r="AF1282" i="11"/>
  <c r="AR1282" i="11" s="1"/>
  <c r="AU1310" i="11"/>
  <c r="AU1298" i="11"/>
  <c r="BB1299" i="11"/>
  <c r="BB1296" i="11"/>
  <c r="BB1305" i="11"/>
  <c r="BB1310" i="11"/>
  <c r="BB1306" i="11"/>
  <c r="BB1308" i="11"/>
  <c r="BB1307" i="11"/>
  <c r="BB1298" i="11"/>
  <c r="BB1301" i="11"/>
  <c r="BB1297" i="11"/>
  <c r="BB1300" i="11"/>
  <c r="BB1295" i="11"/>
  <c r="BB1309" i="11"/>
  <c r="BB1302" i="11"/>
  <c r="AO1294" i="11"/>
  <c r="AK1294" i="11"/>
  <c r="AG1294" i="11"/>
  <c r="AX1294" i="11" s="1"/>
  <c r="BA1294" i="11" s="1"/>
  <c r="AI1294" i="11"/>
  <c r="AM1294" i="11"/>
  <c r="AM1293" i="11"/>
  <c r="AO1293" i="11"/>
  <c r="AG1293" i="11"/>
  <c r="AX1293" i="11" s="1"/>
  <c r="BA1293" i="11" s="1"/>
  <c r="AK1293" i="11"/>
  <c r="AI1293" i="11"/>
  <c r="AI1292" i="11"/>
  <c r="AM1292" i="11"/>
  <c r="AE1292" i="11"/>
  <c r="AU1292" i="11" s="1"/>
  <c r="AK1292" i="11"/>
  <c r="AO1292" i="11"/>
  <c r="AG1292" i="11"/>
  <c r="AX1292" i="11" s="1"/>
  <c r="BA1292" i="11" s="1"/>
  <c r="AU1295" i="11"/>
  <c r="BK1250" i="11"/>
  <c r="BN1250" i="11" s="1"/>
  <c r="BK1249" i="11"/>
  <c r="BN1249" i="11" s="1"/>
  <c r="AU1294" i="11"/>
  <c r="AZ1280" i="11"/>
  <c r="BK1276" i="11"/>
  <c r="BN1276" i="11" s="1"/>
  <c r="BK1284" i="11"/>
  <c r="BN1284" i="11" s="1"/>
  <c r="AU1291" i="11"/>
  <c r="AZ1294" i="11"/>
  <c r="AZ1278" i="11"/>
  <c r="AZ1279" i="11"/>
  <c r="BK1285" i="11"/>
  <c r="BN1285" i="11" s="1"/>
  <c r="AO1282" i="11"/>
  <c r="AO1281" i="11"/>
  <c r="AZ1283" i="11"/>
  <c r="AZ1282" i="11"/>
  <c r="AZ1281" i="11"/>
  <c r="BK1278" i="11"/>
  <c r="BN1278" i="11" s="1"/>
  <c r="AI1287" i="11"/>
  <c r="BK1281" i="11"/>
  <c r="BN1281" i="11" s="1"/>
  <c r="AG1286" i="11"/>
  <c r="AX1286" i="11" s="1"/>
  <c r="BA1286" i="11" s="1"/>
  <c r="BK1292" i="11"/>
  <c r="BN1292" i="11" s="1"/>
  <c r="AI1288" i="11"/>
  <c r="BK1290" i="11"/>
  <c r="BN1290" i="11" s="1"/>
  <c r="AZ1290" i="11"/>
  <c r="AM1281" i="11"/>
  <c r="AM1276" i="11"/>
  <c r="BK1291" i="11"/>
  <c r="BN1291" i="11" s="1"/>
  <c r="AK1288" i="11"/>
  <c r="BK1275" i="11"/>
  <c r="BN1275" i="11" s="1"/>
  <c r="BK1283" i="11"/>
  <c r="BN1283" i="11" s="1"/>
  <c r="AM1275" i="11"/>
  <c r="AZ1287" i="11"/>
  <c r="AK1281" i="11"/>
  <c r="AI1291" i="11"/>
  <c r="BK1279" i="11"/>
  <c r="BN1279" i="11" s="1"/>
  <c r="BK1287" i="11"/>
  <c r="BN1287" i="11" s="1"/>
  <c r="AO1288" i="11"/>
  <c r="AU1287" i="11"/>
  <c r="BK1280" i="11"/>
  <c r="BN1280" i="11" s="1"/>
  <c r="AU1277" i="11"/>
  <c r="BK1277" i="11"/>
  <c r="BN1277" i="11" s="1"/>
  <c r="BA1285" i="11"/>
  <c r="AG1288" i="11"/>
  <c r="AX1288" i="11" s="1"/>
  <c r="BA1288" i="11" s="1"/>
  <c r="AZ1291" i="11"/>
  <c r="AZ1275" i="11"/>
  <c r="AG1284" i="11"/>
  <c r="AX1284" i="11" s="1"/>
  <c r="BA1284" i="11" s="1"/>
  <c r="AU1284" i="11"/>
  <c r="BK1288" i="11"/>
  <c r="BN1288" i="11" s="1"/>
  <c r="AU1276" i="11"/>
  <c r="AU1275" i="11"/>
  <c r="BK1282" i="11"/>
  <c r="BN1282" i="11" s="1"/>
  <c r="AU1286" i="11"/>
  <c r="AG1283" i="11"/>
  <c r="AX1283" i="11" s="1"/>
  <c r="BA1283" i="11" s="1"/>
  <c r="AU1283" i="11"/>
  <c r="BK1286" i="11"/>
  <c r="BN1286" i="11" s="1"/>
  <c r="AZ1292" i="11"/>
  <c r="AZ1276" i="11"/>
  <c r="AZ1289" i="11"/>
  <c r="AM1283" i="11"/>
  <c r="BK1289" i="11"/>
  <c r="BN1289" i="11" s="1"/>
  <c r="V1289" i="11"/>
  <c r="AU1289" i="11" s="1"/>
  <c r="V1281" i="11"/>
  <c r="AU1281" i="11" s="1"/>
  <c r="V1280" i="11"/>
  <c r="AU1280" i="11" s="1"/>
  <c r="AO1286" i="11"/>
  <c r="AK1286" i="11"/>
  <c r="AO1284" i="11"/>
  <c r="AZ1293" i="11"/>
  <c r="AO1283" i="11"/>
  <c r="AK1283" i="11"/>
  <c r="AG1281" i="11"/>
  <c r="AX1281" i="11" s="1"/>
  <c r="BA1281" i="11" s="1"/>
  <c r="U1293" i="11"/>
  <c r="V1293" i="11" s="1"/>
  <c r="AU1293" i="11" s="1"/>
  <c r="AU1288" i="11"/>
  <c r="AZ1285" i="11"/>
  <c r="AZ1277" i="11"/>
  <c r="BA1287" i="11"/>
  <c r="U1290" i="11"/>
  <c r="V1290" i="11" s="1"/>
  <c r="AU1290" i="11" s="1"/>
  <c r="AM1287" i="11"/>
  <c r="AI1286" i="11"/>
  <c r="AZ1286" i="11"/>
  <c r="AZ1284" i="11"/>
  <c r="AI1290" i="11"/>
  <c r="AG1282" i="11"/>
  <c r="AX1282" i="11" s="1"/>
  <c r="BA1282" i="11" s="1"/>
  <c r="AZ1288" i="11"/>
  <c r="AM1289" i="11"/>
  <c r="AI1289" i="11"/>
  <c r="V1285" i="11"/>
  <c r="AU1285" i="11" s="1"/>
  <c r="AK1280" i="11"/>
  <c r="AG1279" i="11"/>
  <c r="AX1279" i="11" s="1"/>
  <c r="BA1279" i="11" s="1"/>
  <c r="AG1280" i="11"/>
  <c r="AX1280" i="11" s="1"/>
  <c r="BA1280" i="11" s="1"/>
  <c r="AG1278" i="11"/>
  <c r="AX1278" i="11" s="1"/>
  <c r="BA1278" i="11" s="1"/>
  <c r="AM1285" i="11"/>
  <c r="AK1277" i="11"/>
  <c r="AO1280" i="11"/>
  <c r="AI1285" i="11"/>
  <c r="AG1277" i="11"/>
  <c r="AX1277" i="11" s="1"/>
  <c r="BA1277" i="11" s="1"/>
  <c r="AO1276" i="11"/>
  <c r="AM1284" i="11"/>
  <c r="AK1276" i="11"/>
  <c r="AI1284" i="11"/>
  <c r="AG1276" i="11"/>
  <c r="AX1276" i="11" s="1"/>
  <c r="BA1276" i="11" s="1"/>
  <c r="AO1291" i="11"/>
  <c r="AO1275" i="11"/>
  <c r="AK1275" i="11"/>
  <c r="AO1277" i="11"/>
  <c r="AK1291" i="11"/>
  <c r="AG1291" i="11"/>
  <c r="AX1291" i="11" s="1"/>
  <c r="BA1291" i="11" s="1"/>
  <c r="AG1275" i="11"/>
  <c r="AX1275" i="11" s="1"/>
  <c r="BA1275" i="11" s="1"/>
  <c r="AO1290" i="11"/>
  <c r="AM1282" i="11"/>
  <c r="AK1290" i="11"/>
  <c r="AI1282" i="11"/>
  <c r="AG1290" i="11"/>
  <c r="AX1290" i="11" s="1"/>
  <c r="BA1290" i="11" s="1"/>
  <c r="V1278" i="11"/>
  <c r="AU1278" i="11" s="1"/>
  <c r="AO1278" i="11"/>
  <c r="AO1289" i="11"/>
  <c r="AK1289" i="11"/>
  <c r="AG1289" i="11"/>
  <c r="AX1289" i="11" s="1"/>
  <c r="BA1289" i="11" s="1"/>
  <c r="AO1279" i="11"/>
  <c r="AK1279" i="11"/>
  <c r="AM1280" i="11"/>
  <c r="AO1287" i="11"/>
  <c r="AM1279" i="11"/>
  <c r="AK1287" i="11"/>
  <c r="AK1278" i="11"/>
  <c r="AM1278" i="11"/>
  <c r="AO1285" i="11"/>
  <c r="AM1277" i="11"/>
  <c r="AK1285" i="11"/>
  <c r="S1211" i="11"/>
  <c r="R1211" i="11"/>
  <c r="BB1293" i="11" l="1"/>
  <c r="BB1294" i="11"/>
  <c r="BB1285" i="11"/>
  <c r="BB1278" i="11"/>
  <c r="BB1279" i="11"/>
  <c r="BB1280" i="11"/>
  <c r="BB1284" i="11"/>
  <c r="BB1281" i="11"/>
  <c r="BB1282" i="11"/>
  <c r="BB1283" i="11"/>
  <c r="BB1291" i="11"/>
  <c r="BB1275" i="11"/>
  <c r="BB1290" i="11"/>
  <c r="BB1289" i="11"/>
  <c r="BB1276" i="11"/>
  <c r="BB1287" i="11"/>
  <c r="BB1286" i="11"/>
  <c r="BB1277" i="11"/>
  <c r="BB1292" i="11"/>
  <c r="BB1288" i="11"/>
  <c r="S1262" i="11" l="1"/>
  <c r="BG1263" i="11"/>
  <c r="BH1263" i="11"/>
  <c r="BI1263" i="11"/>
  <c r="BJ1263" i="11"/>
  <c r="BG1264" i="11"/>
  <c r="BH1264" i="11"/>
  <c r="BI1264" i="11"/>
  <c r="BJ1264" i="11"/>
  <c r="BG1265" i="11"/>
  <c r="BH1265" i="11"/>
  <c r="BI1265" i="11"/>
  <c r="BJ1265" i="11"/>
  <c r="BG1266" i="11"/>
  <c r="BH1266" i="11"/>
  <c r="BI1266" i="11"/>
  <c r="BJ1266" i="11"/>
  <c r="BG1267" i="11"/>
  <c r="BH1267" i="11"/>
  <c r="BI1267" i="11"/>
  <c r="BJ1267" i="11"/>
  <c r="BG1268" i="11"/>
  <c r="BH1268" i="11"/>
  <c r="BI1268" i="11"/>
  <c r="BJ1268" i="11"/>
  <c r="BG1269" i="11"/>
  <c r="BH1269" i="11"/>
  <c r="BI1269" i="11"/>
  <c r="BJ1269" i="11"/>
  <c r="BG1270" i="11"/>
  <c r="BH1270" i="11"/>
  <c r="BI1270" i="11"/>
  <c r="BJ1270" i="11"/>
  <c r="BG1271" i="11"/>
  <c r="BH1271" i="11"/>
  <c r="BI1271" i="11"/>
  <c r="BJ1271" i="11"/>
  <c r="BG1272" i="11"/>
  <c r="BH1272" i="11"/>
  <c r="BI1272" i="11"/>
  <c r="BJ1272" i="11"/>
  <c r="BG1273" i="11"/>
  <c r="BH1273" i="11"/>
  <c r="BI1273" i="11"/>
  <c r="BJ1273" i="11"/>
  <c r="BG1274" i="11"/>
  <c r="BH1274" i="11"/>
  <c r="BI1274" i="11"/>
  <c r="BJ1274" i="11"/>
  <c r="W1263" i="11"/>
  <c r="AF1263" i="11" s="1"/>
  <c r="AR1263" i="11" s="1"/>
  <c r="W1264" i="11"/>
  <c r="AF1264" i="11" s="1"/>
  <c r="AR1264" i="11" s="1"/>
  <c r="W1265" i="11"/>
  <c r="AF1265" i="11" s="1"/>
  <c r="AR1265" i="11" s="1"/>
  <c r="W1266" i="11"/>
  <c r="AF1266" i="11" s="1"/>
  <c r="AR1266" i="11" s="1"/>
  <c r="W1267" i="11"/>
  <c r="AF1267" i="11" s="1"/>
  <c r="AR1267" i="11" s="1"/>
  <c r="W1268" i="11"/>
  <c r="AF1268" i="11" s="1"/>
  <c r="AR1268" i="11" s="1"/>
  <c r="W1269" i="11"/>
  <c r="AF1269" i="11" s="1"/>
  <c r="AR1269" i="11" s="1"/>
  <c r="W1270" i="11"/>
  <c r="W1271" i="11"/>
  <c r="AF1271" i="11" s="1"/>
  <c r="AR1271" i="11" s="1"/>
  <c r="W1272" i="11"/>
  <c r="AF1272" i="11" s="1"/>
  <c r="W1273" i="11"/>
  <c r="W1274" i="11"/>
  <c r="AF1274" i="11" s="1"/>
  <c r="T1263" i="11"/>
  <c r="T1264" i="11"/>
  <c r="T1265" i="11"/>
  <c r="T1266" i="11"/>
  <c r="T1267" i="11"/>
  <c r="T1268" i="11"/>
  <c r="T1269" i="11"/>
  <c r="T1270" i="11"/>
  <c r="T1271" i="11"/>
  <c r="T1272" i="11"/>
  <c r="U1272" i="11" s="1"/>
  <c r="T1273" i="11"/>
  <c r="H1263" i="11"/>
  <c r="H1264" i="11"/>
  <c r="H1265" i="11"/>
  <c r="H1266" i="11"/>
  <c r="AW1263" i="11"/>
  <c r="AW1264" i="11"/>
  <c r="AW1265" i="11"/>
  <c r="AW1266" i="11"/>
  <c r="AW1267" i="11"/>
  <c r="AW1268" i="11"/>
  <c r="AW1269" i="11"/>
  <c r="AW1270" i="11"/>
  <c r="AW1271" i="11"/>
  <c r="AW1272" i="11"/>
  <c r="AW1273" i="11"/>
  <c r="AW1274" i="11"/>
  <c r="AV1263" i="11"/>
  <c r="AY1263" i="11" s="1"/>
  <c r="AV1264" i="11"/>
  <c r="AY1264" i="11" s="1"/>
  <c r="AV1265" i="11"/>
  <c r="AY1265" i="11" s="1"/>
  <c r="AV1266" i="11"/>
  <c r="AY1266" i="11" s="1"/>
  <c r="AV1267" i="11"/>
  <c r="AY1267" i="11" s="1"/>
  <c r="AV1268" i="11"/>
  <c r="AY1268" i="11" s="1"/>
  <c r="AV1269" i="11"/>
  <c r="AY1269" i="11" s="1"/>
  <c r="AV1270" i="11"/>
  <c r="AY1270" i="11" s="1"/>
  <c r="AV1271" i="11"/>
  <c r="AY1271" i="11" s="1"/>
  <c r="AV1272" i="11"/>
  <c r="AY1272" i="11" s="1"/>
  <c r="AV1273" i="11"/>
  <c r="AY1273" i="11" s="1"/>
  <c r="AV1274" i="11"/>
  <c r="AY1274" i="11" s="1"/>
  <c r="AT1263" i="11"/>
  <c r="AO1263" i="11" s="1"/>
  <c r="AT1264" i="11"/>
  <c r="AM1264" i="11" s="1"/>
  <c r="AT1265" i="11"/>
  <c r="AO1265" i="11" s="1"/>
  <c r="AT1266" i="11"/>
  <c r="AO1266" i="11" s="1"/>
  <c r="AT1267" i="11"/>
  <c r="AO1267" i="11" s="1"/>
  <c r="AT1268" i="11"/>
  <c r="AG1268" i="11" s="1"/>
  <c r="AX1268" i="11" s="1"/>
  <c r="AT1269" i="11"/>
  <c r="AK1269" i="11" s="1"/>
  <c r="AT1270" i="11"/>
  <c r="AM1270" i="11" s="1"/>
  <c r="AT1271" i="11"/>
  <c r="AO1271" i="11" s="1"/>
  <c r="AT1272" i="11"/>
  <c r="AK1272" i="11" s="1"/>
  <c r="AT1273" i="11"/>
  <c r="AO1273" i="11" s="1"/>
  <c r="AT1274" i="11"/>
  <c r="AS1263" i="11"/>
  <c r="AS1264" i="11"/>
  <c r="AS1265" i="11"/>
  <c r="AS1266" i="11"/>
  <c r="AS1267" i="11"/>
  <c r="AS1268" i="11"/>
  <c r="AS1269" i="11"/>
  <c r="AS1270" i="11"/>
  <c r="AS1271" i="11"/>
  <c r="AS1272" i="11"/>
  <c r="AS1273" i="11"/>
  <c r="AS1274" i="11"/>
  <c r="AE1263" i="11"/>
  <c r="AE1264" i="11"/>
  <c r="AE1265" i="11"/>
  <c r="AE1266" i="11"/>
  <c r="AE1267" i="11"/>
  <c r="AE1269" i="11"/>
  <c r="AE1270" i="11"/>
  <c r="AE1271" i="11"/>
  <c r="AE1272" i="11"/>
  <c r="AE1273" i="11"/>
  <c r="AE1274" i="11"/>
  <c r="AD1263" i="11"/>
  <c r="AD1264" i="11"/>
  <c r="AD1265" i="11"/>
  <c r="AD1266" i="11"/>
  <c r="AD1267" i="11"/>
  <c r="AD1268" i="11"/>
  <c r="AD1269" i="11"/>
  <c r="AD1270" i="11"/>
  <c r="AD1271" i="11"/>
  <c r="AD1272" i="11"/>
  <c r="AD1273" i="11"/>
  <c r="AD1274" i="11"/>
  <c r="H1267" i="11"/>
  <c r="H1268" i="11"/>
  <c r="H1269" i="11"/>
  <c r="H1270" i="11"/>
  <c r="H1271" i="11"/>
  <c r="H1272" i="11"/>
  <c r="H1273" i="11"/>
  <c r="H1274" i="11"/>
  <c r="R1209" i="11"/>
  <c r="BA1268" i="11" l="1"/>
  <c r="AO1268" i="11"/>
  <c r="AE1268" i="11"/>
  <c r="AK1268" i="11"/>
  <c r="AM1268" i="11"/>
  <c r="BK1274" i="11"/>
  <c r="BN1274" i="11" s="1"/>
  <c r="AM1274" i="11"/>
  <c r="AK1274" i="11"/>
  <c r="AI1274" i="11"/>
  <c r="AO1274" i="11"/>
  <c r="AG1274" i="11"/>
  <c r="AX1274" i="11" s="1"/>
  <c r="BA1274" i="11" s="1"/>
  <c r="AG1264" i="11"/>
  <c r="AX1264" i="11" s="1"/>
  <c r="BA1264" i="11" s="1"/>
  <c r="AM1272" i="11"/>
  <c r="AO1272" i="11"/>
  <c r="AG1272" i="11"/>
  <c r="AX1272" i="11" s="1"/>
  <c r="BA1272" i="11" s="1"/>
  <c r="AI1272" i="11"/>
  <c r="AM1267" i="11"/>
  <c r="AI1268" i="11"/>
  <c r="AM1266" i="11"/>
  <c r="AI1267" i="11"/>
  <c r="AI1266" i="11"/>
  <c r="AK1267" i="11"/>
  <c r="BK1269" i="11"/>
  <c r="BN1269" i="11" s="1"/>
  <c r="AK1266" i="11"/>
  <c r="AG1267" i="11"/>
  <c r="AX1267" i="11" s="1"/>
  <c r="BA1267" i="11" s="1"/>
  <c r="AG1266" i="11"/>
  <c r="AX1266" i="11" s="1"/>
  <c r="BA1266" i="11" s="1"/>
  <c r="AK1271" i="11"/>
  <c r="AG1270" i="11"/>
  <c r="AX1270" i="11" s="1"/>
  <c r="BA1270" i="11" s="1"/>
  <c r="AK1270" i="11"/>
  <c r="AI1271" i="11"/>
  <c r="AI1270" i="11"/>
  <c r="AK1265" i="11"/>
  <c r="AO1264" i="11"/>
  <c r="AG1271" i="11"/>
  <c r="AX1271" i="11" s="1"/>
  <c r="BA1271" i="11" s="1"/>
  <c r="AK1264" i="11"/>
  <c r="AI1265" i="11"/>
  <c r="AI1264" i="11"/>
  <c r="AG1265" i="11"/>
  <c r="AX1265" i="11" s="1"/>
  <c r="BA1265" i="11" s="1"/>
  <c r="AM1265" i="11"/>
  <c r="AM1273" i="11"/>
  <c r="AK1273" i="11"/>
  <c r="AI1273" i="11"/>
  <c r="AG1273" i="11"/>
  <c r="AX1273" i="11" s="1"/>
  <c r="BA1273" i="11" s="1"/>
  <c r="AZ1267" i="11"/>
  <c r="BK1267" i="11"/>
  <c r="BN1267" i="11" s="1"/>
  <c r="AO1269" i="11"/>
  <c r="AZ1265" i="11"/>
  <c r="BK1271" i="11"/>
  <c r="BN1271" i="11" s="1"/>
  <c r="AM1269" i="11"/>
  <c r="AF1273" i="11"/>
  <c r="AR1273" i="11" s="1"/>
  <c r="BK1272" i="11"/>
  <c r="BN1272" i="11" s="1"/>
  <c r="AZ1266" i="11"/>
  <c r="AF1270" i="11"/>
  <c r="AR1270" i="11" s="1"/>
  <c r="AZ1264" i="11"/>
  <c r="BK1264" i="11"/>
  <c r="BN1264" i="11" s="1"/>
  <c r="AO1270" i="11"/>
  <c r="AG1269" i="11"/>
  <c r="AX1269" i="11" s="1"/>
  <c r="BA1269" i="11" s="1"/>
  <c r="AI1269" i="11"/>
  <c r="AZ1269" i="11"/>
  <c r="AG1263" i="11"/>
  <c r="AX1263" i="11" s="1"/>
  <c r="BA1263" i="11" s="1"/>
  <c r="AI1263" i="11"/>
  <c r="AK1263" i="11"/>
  <c r="AM1263" i="11"/>
  <c r="AZ1274" i="11"/>
  <c r="BK1273" i="11"/>
  <c r="BN1273" i="11" s="1"/>
  <c r="BK1266" i="11"/>
  <c r="BN1266" i="11" s="1"/>
  <c r="BK1263" i="11"/>
  <c r="BN1263" i="11" s="1"/>
  <c r="AZ1268" i="11"/>
  <c r="AZ1273" i="11"/>
  <c r="BK1270" i="11"/>
  <c r="BN1270" i="11" s="1"/>
  <c r="AM1271" i="11"/>
  <c r="AZ1271" i="11"/>
  <c r="AZ1270" i="11"/>
  <c r="AZ1272" i="11"/>
  <c r="BK1268" i="11"/>
  <c r="BN1268" i="11" s="1"/>
  <c r="BK1265" i="11"/>
  <c r="BN1265" i="11" s="1"/>
  <c r="AZ1263" i="11"/>
  <c r="AR1272" i="11"/>
  <c r="AR1274" i="11"/>
  <c r="V1263" i="11"/>
  <c r="AU1263" i="11" s="1"/>
  <c r="U1270" i="11"/>
  <c r="V1270" i="11" s="1"/>
  <c r="AU1270" i="11" s="1"/>
  <c r="V1272" i="11"/>
  <c r="AU1272" i="11" s="1"/>
  <c r="U1269" i="11"/>
  <c r="V1269" i="11" s="1"/>
  <c r="AU1269" i="11" s="1"/>
  <c r="U1268" i="11"/>
  <c r="V1268" i="11" s="1"/>
  <c r="U1267" i="11"/>
  <c r="V1267" i="11" s="1"/>
  <c r="AU1267" i="11" s="1"/>
  <c r="U1266" i="11"/>
  <c r="V1266" i="11" s="1"/>
  <c r="AU1266" i="11" s="1"/>
  <c r="U1265" i="11"/>
  <c r="V1265" i="11" s="1"/>
  <c r="AU1265" i="11" s="1"/>
  <c r="U1264" i="11"/>
  <c r="V1264" i="11" s="1"/>
  <c r="AU1264" i="11" s="1"/>
  <c r="U1274" i="11"/>
  <c r="V1274" i="11" s="1"/>
  <c r="AU1274" i="11" s="1"/>
  <c r="U1273" i="11"/>
  <c r="V1273" i="11" s="1"/>
  <c r="AU1273" i="11" s="1"/>
  <c r="U1271" i="11"/>
  <c r="V1271" i="11" s="1"/>
  <c r="AU1271" i="11" s="1"/>
  <c r="R1258" i="11"/>
  <c r="R1153" i="11"/>
  <c r="BB1268" i="11" l="1"/>
  <c r="AU1268" i="11"/>
  <c r="BB1264" i="11"/>
  <c r="BB1272" i="11"/>
  <c r="BB1274" i="11"/>
  <c r="BB1266" i="11"/>
  <c r="BB1270" i="11"/>
  <c r="BB1267" i="11"/>
  <c r="BB1271" i="11"/>
  <c r="BB1265" i="11"/>
  <c r="BB1273" i="11"/>
  <c r="BB1269" i="11"/>
  <c r="BB1263" i="11"/>
  <c r="T1249" i="11"/>
  <c r="T1250" i="11"/>
  <c r="T1232" i="11"/>
  <c r="R1231" i="11"/>
  <c r="S1231" i="11"/>
  <c r="BG1231" i="11"/>
  <c r="BH1231" i="11"/>
  <c r="BI1231" i="11"/>
  <c r="BJ1231" i="11"/>
  <c r="BG1232" i="11"/>
  <c r="BH1232" i="11"/>
  <c r="BI1232" i="11"/>
  <c r="BJ1232" i="11"/>
  <c r="S1232" i="11"/>
  <c r="BG1251" i="11"/>
  <c r="BH1251" i="11"/>
  <c r="BI1251" i="11"/>
  <c r="BJ1251" i="11"/>
  <c r="T1231" i="11" l="1"/>
  <c r="BK1232" i="11"/>
  <c r="BN1232" i="11" s="1"/>
  <c r="BK1231" i="11"/>
  <c r="BN1231" i="11" s="1"/>
  <c r="BK1251" i="11"/>
  <c r="BN1251" i="11" s="1"/>
  <c r="R1215" i="11" l="1"/>
  <c r="T1215" i="11" s="1"/>
  <c r="R1144" i="11"/>
  <c r="BG1243" i="11"/>
  <c r="BH1243" i="11"/>
  <c r="BI1243" i="11"/>
  <c r="BJ1243" i="11"/>
  <c r="R1243" i="11"/>
  <c r="T1243" i="11" s="1"/>
  <c r="U1243" i="11" s="1"/>
  <c r="S1260" i="11"/>
  <c r="S1251" i="11"/>
  <c r="T1251" i="11" s="1"/>
  <c r="S1259" i="11"/>
  <c r="H1249" i="11"/>
  <c r="H1250" i="11"/>
  <c r="U1249" i="11"/>
  <c r="V1249" i="11" s="1"/>
  <c r="U1250" i="11"/>
  <c r="W1249" i="11"/>
  <c r="AF1249" i="11" s="1"/>
  <c r="AR1249" i="11" s="1"/>
  <c r="W1250" i="11"/>
  <c r="AF1250" i="11" s="1"/>
  <c r="AR1250" i="11" s="1"/>
  <c r="AD1249" i="11"/>
  <c r="AD1250" i="11"/>
  <c r="AE1249" i="11"/>
  <c r="AE1250" i="11"/>
  <c r="AS1249" i="11"/>
  <c r="AS1250" i="11"/>
  <c r="AT1249" i="11"/>
  <c r="AT1250" i="11"/>
  <c r="AV1249" i="11"/>
  <c r="AY1249" i="11" s="1"/>
  <c r="AV1250" i="11"/>
  <c r="AY1250" i="11" s="1"/>
  <c r="AW1249" i="11"/>
  <c r="AW1250" i="11"/>
  <c r="H1251" i="11"/>
  <c r="W1251" i="11"/>
  <c r="AF1251" i="11" s="1"/>
  <c r="AR1251" i="11" s="1"/>
  <c r="AD1251" i="11"/>
  <c r="AS1251" i="11"/>
  <c r="AT1251" i="11"/>
  <c r="AG1251" i="11" s="1"/>
  <c r="AX1251" i="11" s="1"/>
  <c r="AV1251" i="11"/>
  <c r="AY1251" i="11" s="1"/>
  <c r="AW1251" i="11"/>
  <c r="H1243" i="11"/>
  <c r="W1243" i="11"/>
  <c r="AF1243" i="11" s="1"/>
  <c r="AR1243" i="11" s="1"/>
  <c r="AD1243" i="11"/>
  <c r="AS1243" i="11"/>
  <c r="AT1243" i="11"/>
  <c r="AE1243" i="11" s="1"/>
  <c r="AV1243" i="11"/>
  <c r="AW1243" i="11"/>
  <c r="H1231" i="11"/>
  <c r="H1232" i="11"/>
  <c r="W1231" i="11"/>
  <c r="AF1231" i="11" s="1"/>
  <c r="AR1231" i="11" s="1"/>
  <c r="W1232" i="11"/>
  <c r="AF1232" i="11" s="1"/>
  <c r="AR1232" i="11" s="1"/>
  <c r="AD1231" i="11"/>
  <c r="AD1232" i="11"/>
  <c r="AS1231" i="11"/>
  <c r="AS1232" i="11"/>
  <c r="AT1231" i="11"/>
  <c r="AE1231" i="11" s="1"/>
  <c r="AT1232" i="11"/>
  <c r="AE1232" i="11" s="1"/>
  <c r="AV1231" i="11"/>
  <c r="AY1231" i="11" s="1"/>
  <c r="AV1232" i="11"/>
  <c r="AY1232" i="11" s="1"/>
  <c r="AW1231" i="11"/>
  <c r="AW1232" i="11"/>
  <c r="R1248" i="11"/>
  <c r="R1148" i="11"/>
  <c r="R1147" i="11"/>
  <c r="R1123" i="11"/>
  <c r="T1244" i="11"/>
  <c r="U1244" i="11" s="1"/>
  <c r="V1244" i="11" s="1"/>
  <c r="T1115" i="11"/>
  <c r="U1115" i="11" s="1"/>
  <c r="V1115" i="11" s="1"/>
  <c r="T1077" i="11"/>
  <c r="AD1244" i="11"/>
  <c r="AE1244" i="11"/>
  <c r="W1244" i="11"/>
  <c r="AF1244" i="11" s="1"/>
  <c r="AD1115" i="11"/>
  <c r="AE1115" i="11"/>
  <c r="W1115" i="11"/>
  <c r="AF1115" i="11" s="1"/>
  <c r="S1255" i="11"/>
  <c r="S1254" i="11"/>
  <c r="AZ1232" i="11" l="1"/>
  <c r="AZ1231" i="11"/>
  <c r="BK1243" i="11"/>
  <c r="BN1243" i="11" s="1"/>
  <c r="AE1251" i="11"/>
  <c r="AZ1251" i="11"/>
  <c r="BA1251" i="11"/>
  <c r="AZ1249" i="11"/>
  <c r="AZ1250" i="11"/>
  <c r="AU1249" i="11"/>
  <c r="V1250" i="11"/>
  <c r="AU1250" i="11" s="1"/>
  <c r="AG1249" i="11"/>
  <c r="AX1249" i="11" s="1"/>
  <c r="BA1249" i="11" s="1"/>
  <c r="AK1249" i="11"/>
  <c r="AM1249" i="11"/>
  <c r="AO1249" i="11"/>
  <c r="AI1249" i="11"/>
  <c r="AG1250" i="11"/>
  <c r="AX1250" i="11" s="1"/>
  <c r="BA1250" i="11" s="1"/>
  <c r="AO1250" i="11"/>
  <c r="AI1250" i="11"/>
  <c r="AK1250" i="11"/>
  <c r="AM1250" i="11"/>
  <c r="U1251" i="11"/>
  <c r="V1251" i="11" s="1"/>
  <c r="AI1251" i="11"/>
  <c r="AK1251" i="11"/>
  <c r="AM1251" i="11"/>
  <c r="AO1251" i="11"/>
  <c r="V1243" i="11"/>
  <c r="AU1243" i="11" s="1"/>
  <c r="AY1243" i="11"/>
  <c r="AZ1243" i="11"/>
  <c r="AG1243" i="11"/>
  <c r="AX1243" i="11" s="1"/>
  <c r="BA1243" i="11" s="1"/>
  <c r="AK1243" i="11"/>
  <c r="AO1243" i="11"/>
  <c r="AI1243" i="11"/>
  <c r="AM1243" i="11"/>
  <c r="U1231" i="11"/>
  <c r="V1231" i="11" s="1"/>
  <c r="AU1231" i="11" s="1"/>
  <c r="U1232" i="11"/>
  <c r="V1232" i="11" s="1"/>
  <c r="AU1232" i="11" s="1"/>
  <c r="AK1231" i="11"/>
  <c r="AG1231" i="11"/>
  <c r="AX1231" i="11" s="1"/>
  <c r="BA1231" i="11" s="1"/>
  <c r="AI1231" i="11"/>
  <c r="AM1231" i="11"/>
  <c r="AO1231" i="11"/>
  <c r="AG1232" i="11"/>
  <c r="AX1232" i="11" s="1"/>
  <c r="BA1232" i="11" s="1"/>
  <c r="AI1232" i="11"/>
  <c r="AK1232" i="11"/>
  <c r="AO1232" i="11"/>
  <c r="AM1232" i="11"/>
  <c r="R1245" i="11"/>
  <c r="T1245" i="11" s="1"/>
  <c r="U1245" i="11" s="1"/>
  <c r="V1245" i="11" s="1"/>
  <c r="R1242" i="11"/>
  <c r="T1242" i="11" s="1"/>
  <c r="U1242" i="11" s="1"/>
  <c r="H1260" i="11"/>
  <c r="H1261" i="11"/>
  <c r="H1262" i="11"/>
  <c r="BG1262" i="11"/>
  <c r="BH1262" i="11"/>
  <c r="BI1262" i="11"/>
  <c r="BJ1262" i="11"/>
  <c r="BG1241" i="11"/>
  <c r="BH1241" i="11"/>
  <c r="BI1241" i="11"/>
  <c r="BJ1241" i="11"/>
  <c r="BG1242" i="11"/>
  <c r="BH1242" i="11"/>
  <c r="BI1242" i="11"/>
  <c r="BJ1242" i="11"/>
  <c r="BG1244" i="11"/>
  <c r="BH1244" i="11"/>
  <c r="BI1244" i="11"/>
  <c r="BJ1244" i="11"/>
  <c r="BG1245" i="11"/>
  <c r="BH1245" i="11"/>
  <c r="BI1245" i="11"/>
  <c r="BJ1245" i="11"/>
  <c r="BG1246" i="11"/>
  <c r="BH1246" i="11"/>
  <c r="BI1246" i="11"/>
  <c r="BJ1246" i="11"/>
  <c r="BG1247" i="11"/>
  <c r="BH1247" i="11"/>
  <c r="BI1247" i="11"/>
  <c r="BJ1247" i="11"/>
  <c r="BG1248" i="11"/>
  <c r="BH1248" i="11"/>
  <c r="BI1248" i="11"/>
  <c r="BJ1248" i="11"/>
  <c r="BG1252" i="11"/>
  <c r="BH1252" i="11"/>
  <c r="BI1252" i="11"/>
  <c r="BJ1252" i="11"/>
  <c r="BG1253" i="11"/>
  <c r="BH1253" i="11"/>
  <c r="BI1253" i="11"/>
  <c r="BJ1253" i="11"/>
  <c r="BG1254" i="11"/>
  <c r="BH1254" i="11"/>
  <c r="BI1254" i="11"/>
  <c r="BJ1254" i="11"/>
  <c r="BG1255" i="11"/>
  <c r="BH1255" i="11"/>
  <c r="BI1255" i="11"/>
  <c r="BJ1255" i="11"/>
  <c r="BG1256" i="11"/>
  <c r="BH1256" i="11"/>
  <c r="BI1256" i="11"/>
  <c r="BJ1256" i="11"/>
  <c r="BG1257" i="11"/>
  <c r="BH1257" i="11"/>
  <c r="BI1257" i="11"/>
  <c r="BJ1257" i="11"/>
  <c r="BG1258" i="11"/>
  <c r="BH1258" i="11"/>
  <c r="BI1258" i="11"/>
  <c r="BJ1258" i="11"/>
  <c r="BG1259" i="11"/>
  <c r="BH1259" i="11"/>
  <c r="BI1259" i="11"/>
  <c r="BJ1259" i="11"/>
  <c r="BG1260" i="11"/>
  <c r="BH1260" i="11"/>
  <c r="BI1260" i="11"/>
  <c r="BJ1260" i="11"/>
  <c r="BG1261" i="11"/>
  <c r="BH1261" i="11"/>
  <c r="BI1261" i="11"/>
  <c r="BJ1261" i="11"/>
  <c r="T1240" i="11"/>
  <c r="U1240" i="11" s="1"/>
  <c r="V1240" i="11" s="1"/>
  <c r="T1246" i="11"/>
  <c r="U1246" i="11" s="1"/>
  <c r="V1246" i="11" s="1"/>
  <c r="T1247" i="11"/>
  <c r="U1247" i="11" s="1"/>
  <c r="V1247" i="11" s="1"/>
  <c r="T1248" i="11"/>
  <c r="U1248" i="11" s="1"/>
  <c r="T1252" i="11"/>
  <c r="U1252" i="11" s="1"/>
  <c r="T1254" i="11"/>
  <c r="U1254" i="11" s="1"/>
  <c r="T1255" i="11"/>
  <c r="U1255" i="11" s="1"/>
  <c r="T1256" i="11"/>
  <c r="U1256" i="11" s="1"/>
  <c r="T1257" i="11"/>
  <c r="U1257" i="11" s="1"/>
  <c r="T1258" i="11"/>
  <c r="U1258" i="11" s="1"/>
  <c r="T1259" i="11"/>
  <c r="U1259" i="11" s="1"/>
  <c r="T1260" i="11"/>
  <c r="T1261" i="11"/>
  <c r="T1262" i="11"/>
  <c r="R1241" i="11"/>
  <c r="T1241" i="11" s="1"/>
  <c r="U1241" i="11" s="1"/>
  <c r="V1241" i="11" s="1"/>
  <c r="R1239" i="11"/>
  <c r="T1239" i="11" s="1"/>
  <c r="U1239" i="11" s="1"/>
  <c r="V1239" i="11" s="1"/>
  <c r="AR1237" i="11"/>
  <c r="AR1227" i="11"/>
  <c r="AR1182" i="11"/>
  <c r="AR1169" i="11"/>
  <c r="AR1155" i="11"/>
  <c r="H1246" i="11"/>
  <c r="H1247" i="11"/>
  <c r="H1248" i="11"/>
  <c r="H1252" i="11"/>
  <c r="H1253" i="11"/>
  <c r="H1254" i="11"/>
  <c r="H1255" i="11"/>
  <c r="H1256" i="11"/>
  <c r="H1257" i="11"/>
  <c r="H1258" i="11"/>
  <c r="H1259" i="11"/>
  <c r="H1241" i="11"/>
  <c r="H1242" i="11"/>
  <c r="H1244" i="11"/>
  <c r="H1245" i="11"/>
  <c r="W1241" i="11"/>
  <c r="AF1241" i="11" s="1"/>
  <c r="W1242" i="11"/>
  <c r="AF1242" i="11" s="1"/>
  <c r="AR1242" i="11" s="1"/>
  <c r="AR1244" i="11"/>
  <c r="W1245" i="11"/>
  <c r="AF1245" i="11" s="1"/>
  <c r="AR1245" i="11" s="1"/>
  <c r="W1246" i="11"/>
  <c r="AF1246" i="11" s="1"/>
  <c r="AR1246" i="11" s="1"/>
  <c r="W1247" i="11"/>
  <c r="AF1247" i="11" s="1"/>
  <c r="AR1247" i="11" s="1"/>
  <c r="W1248" i="11"/>
  <c r="AF1248" i="11" s="1"/>
  <c r="AR1248" i="11" s="1"/>
  <c r="W1252" i="11"/>
  <c r="AF1252" i="11" s="1"/>
  <c r="AR1252" i="11" s="1"/>
  <c r="W1254" i="11"/>
  <c r="AF1254" i="11" s="1"/>
  <c r="AR1254" i="11" s="1"/>
  <c r="W1255" i="11"/>
  <c r="AF1255" i="11" s="1"/>
  <c r="AR1255" i="11" s="1"/>
  <c r="W1256" i="11"/>
  <c r="AF1256" i="11" s="1"/>
  <c r="AR1256" i="11" s="1"/>
  <c r="W1257" i="11"/>
  <c r="AF1257" i="11" s="1"/>
  <c r="AR1257" i="11" s="1"/>
  <c r="W1258" i="11"/>
  <c r="AF1258" i="11" s="1"/>
  <c r="AR1258" i="11" s="1"/>
  <c r="W1259" i="11"/>
  <c r="AF1259" i="11" s="1"/>
  <c r="AR1259" i="11" s="1"/>
  <c r="W1260" i="11"/>
  <c r="AF1260" i="11" s="1"/>
  <c r="AR1260" i="11" s="1"/>
  <c r="W1261" i="11"/>
  <c r="AF1261" i="11" s="1"/>
  <c r="AR1261" i="11" s="1"/>
  <c r="W1262" i="11"/>
  <c r="AF1262" i="11" s="1"/>
  <c r="AR1262" i="11" s="1"/>
  <c r="AD1241" i="11"/>
  <c r="AD1242" i="11"/>
  <c r="AD1245" i="11"/>
  <c r="AD1246" i="11"/>
  <c r="AD1247" i="11"/>
  <c r="AD1248" i="11"/>
  <c r="AD1252" i="11"/>
  <c r="AD1254" i="11"/>
  <c r="AD1255" i="11"/>
  <c r="AD1256" i="11"/>
  <c r="AD1257" i="11"/>
  <c r="AD1258" i="11"/>
  <c r="AD1259" i="11"/>
  <c r="AD1260" i="11"/>
  <c r="AD1261" i="11"/>
  <c r="AD1262" i="11"/>
  <c r="AE1245" i="11"/>
  <c r="AE1246" i="11"/>
  <c r="AE1247" i="11"/>
  <c r="AE1252" i="11"/>
  <c r="AE1254" i="11"/>
  <c r="AE1255" i="11"/>
  <c r="AE1256" i="11"/>
  <c r="AE1257" i="11"/>
  <c r="AE1261" i="11"/>
  <c r="AE1262" i="11"/>
  <c r="AS1241" i="11"/>
  <c r="AS1242" i="11"/>
  <c r="AS1244" i="11"/>
  <c r="AS1245" i="11"/>
  <c r="AS1246" i="11"/>
  <c r="AS1247" i="11"/>
  <c r="AS1248" i="11"/>
  <c r="AS1252" i="11"/>
  <c r="AS1253" i="11"/>
  <c r="AS1254" i="11"/>
  <c r="AS1255" i="11"/>
  <c r="AS1256" i="11"/>
  <c r="AS1257" i="11"/>
  <c r="AS1258" i="11"/>
  <c r="AS1259" i="11"/>
  <c r="AS1260" i="11"/>
  <c r="AS1261" i="11"/>
  <c r="AS1262" i="11"/>
  <c r="AT1241" i="11"/>
  <c r="AE1241" i="11" s="1"/>
  <c r="AT1242" i="11"/>
  <c r="AE1242" i="11" s="1"/>
  <c r="AT1244" i="11"/>
  <c r="AT1245" i="11"/>
  <c r="AT1246" i="11"/>
  <c r="AT1247" i="11"/>
  <c r="AT1248" i="11"/>
  <c r="AE1248" i="11" s="1"/>
  <c r="AT1252" i="11"/>
  <c r="AT1253" i="11"/>
  <c r="AT1254" i="11"/>
  <c r="AT1255" i="11"/>
  <c r="AT1256" i="11"/>
  <c r="AT1257" i="11"/>
  <c r="AT1258" i="11"/>
  <c r="AE1258" i="11" s="1"/>
  <c r="AT1259" i="11"/>
  <c r="AE1259" i="11" s="1"/>
  <c r="AT1260" i="11"/>
  <c r="AE1260" i="11" s="1"/>
  <c r="AT1261" i="11"/>
  <c r="AT1262" i="11"/>
  <c r="AV1241" i="11"/>
  <c r="AY1241" i="11" s="1"/>
  <c r="AV1242" i="11"/>
  <c r="AY1242" i="11" s="1"/>
  <c r="AV1244" i="11"/>
  <c r="AY1244" i="11" s="1"/>
  <c r="AV1245" i="11"/>
  <c r="AY1245" i="11" s="1"/>
  <c r="AV1246" i="11"/>
  <c r="AY1246" i="11" s="1"/>
  <c r="AV1247" i="11"/>
  <c r="AY1247" i="11" s="1"/>
  <c r="AV1248" i="11"/>
  <c r="AY1248" i="11" s="1"/>
  <c r="AV1252" i="11"/>
  <c r="AY1252" i="11" s="1"/>
  <c r="AV1253" i="11"/>
  <c r="AY1253" i="11" s="1"/>
  <c r="AV1254" i="11"/>
  <c r="AY1254" i="11" s="1"/>
  <c r="AV1255" i="11"/>
  <c r="AY1255" i="11" s="1"/>
  <c r="AV1256" i="11"/>
  <c r="AY1256" i="11" s="1"/>
  <c r="AV1257" i="11"/>
  <c r="AY1257" i="11" s="1"/>
  <c r="AV1258" i="11"/>
  <c r="AY1258" i="11" s="1"/>
  <c r="AV1259" i="11"/>
  <c r="AY1259" i="11" s="1"/>
  <c r="AV1260" i="11"/>
  <c r="AY1260" i="11" s="1"/>
  <c r="AV1261" i="11"/>
  <c r="AY1261" i="11" s="1"/>
  <c r="AV1262" i="11"/>
  <c r="AY1262" i="11" s="1"/>
  <c r="AW1241" i="11"/>
  <c r="AW1242" i="11"/>
  <c r="AW1244" i="11"/>
  <c r="AW1245" i="11"/>
  <c r="AW1246" i="11"/>
  <c r="AW1247" i="11"/>
  <c r="AW1248" i="11"/>
  <c r="AW1252" i="11"/>
  <c r="AW1253" i="11"/>
  <c r="AW1254" i="11"/>
  <c r="AW1255" i="11"/>
  <c r="AW1256" i="11"/>
  <c r="AW1257" i="11"/>
  <c r="AW1258" i="11"/>
  <c r="AW1259" i="11"/>
  <c r="AW1260" i="11"/>
  <c r="AW1261" i="11"/>
  <c r="AW1262" i="11"/>
  <c r="R1230" i="11"/>
  <c r="T1230" i="11" s="1"/>
  <c r="S1238" i="11"/>
  <c r="T1238" i="11" s="1"/>
  <c r="U1238" i="11" s="1"/>
  <c r="V1238" i="11" s="1"/>
  <c r="S1228" i="11"/>
  <c r="T1228" i="11" s="1"/>
  <c r="U1228" i="11" s="1"/>
  <c r="V1228" i="11" s="1"/>
  <c r="BG1229" i="11"/>
  <c r="BH1229" i="11"/>
  <c r="BI1229" i="11"/>
  <c r="BJ1229" i="11"/>
  <c r="BG1230" i="11"/>
  <c r="BH1230" i="11"/>
  <c r="BI1230" i="11"/>
  <c r="BJ1230" i="11"/>
  <c r="BG1233" i="11"/>
  <c r="BH1233" i="11"/>
  <c r="BI1233" i="11"/>
  <c r="BJ1233" i="11"/>
  <c r="BG1234" i="11"/>
  <c r="BH1234" i="11"/>
  <c r="BI1234" i="11"/>
  <c r="BJ1234" i="11"/>
  <c r="BG1235" i="11"/>
  <c r="BH1235" i="11"/>
  <c r="BI1235" i="11"/>
  <c r="BJ1235" i="11"/>
  <c r="BG1236" i="11"/>
  <c r="BH1236" i="11"/>
  <c r="BI1236" i="11"/>
  <c r="BJ1236" i="11"/>
  <c r="BG1237" i="11"/>
  <c r="BH1237" i="11"/>
  <c r="BI1237" i="11"/>
  <c r="BJ1237" i="11"/>
  <c r="BG1238" i="11"/>
  <c r="BH1238" i="11"/>
  <c r="BI1238" i="11"/>
  <c r="BJ1238" i="11"/>
  <c r="BG1239" i="11"/>
  <c r="BH1239" i="11"/>
  <c r="BI1239" i="11"/>
  <c r="BJ1239" i="11"/>
  <c r="BG1240" i="11"/>
  <c r="BH1240" i="11"/>
  <c r="BI1240" i="11"/>
  <c r="BJ1240" i="11"/>
  <c r="T1229" i="11"/>
  <c r="T1233" i="11"/>
  <c r="T1234" i="11"/>
  <c r="T1235" i="11"/>
  <c r="T1236" i="11"/>
  <c r="H1229" i="11"/>
  <c r="H1230" i="11"/>
  <c r="H1233" i="11"/>
  <c r="H1234" i="11"/>
  <c r="H1235" i="11"/>
  <c r="H1236" i="11"/>
  <c r="H1237" i="11"/>
  <c r="H1238" i="11"/>
  <c r="H1239" i="11"/>
  <c r="H1240" i="11"/>
  <c r="W1229" i="11"/>
  <c r="AF1229" i="11" s="1"/>
  <c r="AR1229" i="11" s="1"/>
  <c r="W1230" i="11"/>
  <c r="AF1230" i="11" s="1"/>
  <c r="AR1230" i="11" s="1"/>
  <c r="W1233" i="11"/>
  <c r="AF1233" i="11" s="1"/>
  <c r="AR1233" i="11" s="1"/>
  <c r="W1234" i="11"/>
  <c r="AF1234" i="11" s="1"/>
  <c r="AR1234" i="11" s="1"/>
  <c r="W1235" i="11"/>
  <c r="AF1235" i="11" s="1"/>
  <c r="AR1235" i="11" s="1"/>
  <c r="W1236" i="11"/>
  <c r="AF1236" i="11" s="1"/>
  <c r="AR1236" i="11" s="1"/>
  <c r="W1238" i="11"/>
  <c r="AF1238" i="11" s="1"/>
  <c r="AR1238" i="11" s="1"/>
  <c r="W1239" i="11"/>
  <c r="AF1239" i="11" s="1"/>
  <c r="AR1239" i="11" s="1"/>
  <c r="W1240" i="11"/>
  <c r="AF1240" i="11" s="1"/>
  <c r="AR1240" i="11" s="1"/>
  <c r="AD1229" i="11"/>
  <c r="AD1230" i="11"/>
  <c r="AD1233" i="11"/>
  <c r="AD1234" i="11"/>
  <c r="AD1235" i="11"/>
  <c r="AD1236" i="11"/>
  <c r="AD1238" i="11"/>
  <c r="AD1239" i="11"/>
  <c r="AD1240" i="11"/>
  <c r="AE1229" i="11"/>
  <c r="AE1230" i="11"/>
  <c r="AE1233" i="11"/>
  <c r="AE1234" i="11"/>
  <c r="AE1235" i="11"/>
  <c r="AE1236" i="11"/>
  <c r="AE1238" i="11"/>
  <c r="AE1239" i="11"/>
  <c r="AE1240" i="11"/>
  <c r="AS1229" i="11"/>
  <c r="AS1230" i="11"/>
  <c r="AS1233" i="11"/>
  <c r="AS1234" i="11"/>
  <c r="AS1235" i="11"/>
  <c r="AS1236" i="11"/>
  <c r="AS1237" i="11"/>
  <c r="AS1238" i="11"/>
  <c r="AS1239" i="11"/>
  <c r="AS1240" i="11"/>
  <c r="AT1229" i="11"/>
  <c r="AT1230" i="11"/>
  <c r="AT1233" i="11"/>
  <c r="AT1234" i="11"/>
  <c r="AT1235" i="11"/>
  <c r="AT1236" i="11"/>
  <c r="AT1237" i="11"/>
  <c r="AT1238" i="11"/>
  <c r="AT1239" i="11"/>
  <c r="AT1240" i="11"/>
  <c r="AV1229" i="11"/>
  <c r="AV1230" i="11"/>
  <c r="AY1230" i="11" s="1"/>
  <c r="AV1233" i="11"/>
  <c r="AY1233" i="11" s="1"/>
  <c r="AV1234" i="11"/>
  <c r="AY1234" i="11" s="1"/>
  <c r="AV1235" i="11"/>
  <c r="AY1235" i="11" s="1"/>
  <c r="AV1236" i="11"/>
  <c r="AY1236" i="11" s="1"/>
  <c r="AV1237" i="11"/>
  <c r="AY1237" i="11" s="1"/>
  <c r="AV1238" i="11"/>
  <c r="AY1238" i="11" s="1"/>
  <c r="AV1239" i="11"/>
  <c r="AY1239" i="11" s="1"/>
  <c r="AV1240" i="11"/>
  <c r="AY1240" i="11" s="1"/>
  <c r="AW1229" i="11"/>
  <c r="AW1230" i="11"/>
  <c r="AW1233" i="11"/>
  <c r="AW1234" i="11"/>
  <c r="AW1235" i="11"/>
  <c r="AW1236" i="11"/>
  <c r="AW1237" i="11"/>
  <c r="AW1238" i="11"/>
  <c r="AW1239" i="11"/>
  <c r="AW1240" i="11"/>
  <c r="R1221" i="11"/>
  <c r="T1221" i="11" s="1"/>
  <c r="U1221" i="11" s="1"/>
  <c r="V1221" i="11" s="1"/>
  <c r="R1201" i="11"/>
  <c r="T1201" i="11" s="1"/>
  <c r="R1216" i="11"/>
  <c r="T1216" i="11" s="1"/>
  <c r="U1216" i="11" s="1"/>
  <c r="V1216" i="11" s="1"/>
  <c r="R1223" i="11"/>
  <c r="T1223" i="11" s="1"/>
  <c r="U1223" i="11" s="1"/>
  <c r="R1214" i="11"/>
  <c r="T1214" i="11" s="1"/>
  <c r="U1214" i="11" s="1"/>
  <c r="V1214" i="11" s="1"/>
  <c r="R1224" i="11"/>
  <c r="T1224" i="11" s="1"/>
  <c r="U1224" i="11" s="1"/>
  <c r="S1225" i="11"/>
  <c r="T1225" i="11" s="1"/>
  <c r="U1225" i="11" s="1"/>
  <c r="V1225" i="11" s="1"/>
  <c r="S1189" i="11"/>
  <c r="S1206" i="11"/>
  <c r="T1206" i="11" s="1"/>
  <c r="S1222" i="11"/>
  <c r="T1222" i="11" s="1"/>
  <c r="U1222" i="11" s="1"/>
  <c r="V1222" i="11" s="1"/>
  <c r="S1219" i="11"/>
  <c r="T1219" i="11" s="1"/>
  <c r="U1219" i="11" s="1"/>
  <c r="V1219" i="11" s="1"/>
  <c r="BG1215" i="11"/>
  <c r="BH1215" i="11"/>
  <c r="BI1215" i="11"/>
  <c r="BJ1215" i="11"/>
  <c r="BG1216" i="11"/>
  <c r="BH1216" i="11"/>
  <c r="BI1216" i="11"/>
  <c r="BJ1216" i="11"/>
  <c r="AW1215" i="11"/>
  <c r="AW1216" i="11"/>
  <c r="AV1215" i="11"/>
  <c r="AY1215" i="11" s="1"/>
  <c r="AV1216" i="11"/>
  <c r="AT1215" i="11"/>
  <c r="AT1216" i="11"/>
  <c r="AO1216" i="11" s="1"/>
  <c r="AS1215" i="11"/>
  <c r="AS1216" i="11"/>
  <c r="AE1216" i="11"/>
  <c r="AD1215" i="11"/>
  <c r="AD1216" i="11"/>
  <c r="W1215" i="11"/>
  <c r="AF1215" i="11" s="1"/>
  <c r="AR1215" i="11" s="1"/>
  <c r="W1216" i="11"/>
  <c r="AF1216" i="11" s="1"/>
  <c r="AR1216" i="11" s="1"/>
  <c r="H1215" i="11"/>
  <c r="H1216" i="11"/>
  <c r="AD1194" i="11"/>
  <c r="AD1187" i="11"/>
  <c r="AD1179" i="11"/>
  <c r="R1217" i="11"/>
  <c r="T1217" i="11" s="1"/>
  <c r="U1217" i="11" s="1"/>
  <c r="R1107" i="11"/>
  <c r="R1096" i="11"/>
  <c r="AD1035" i="11"/>
  <c r="BJ1198" i="11"/>
  <c r="BI1198" i="11"/>
  <c r="BH1198" i="11"/>
  <c r="BG1198" i="11"/>
  <c r="BJ1197" i="11"/>
  <c r="BI1197" i="11"/>
  <c r="BH1197" i="11"/>
  <c r="BG1197" i="11"/>
  <c r="R1198" i="11"/>
  <c r="T1198" i="11" s="1"/>
  <c r="R1197" i="11"/>
  <c r="T1197" i="11" s="1"/>
  <c r="H1197" i="11"/>
  <c r="H1198" i="11"/>
  <c r="W1197" i="11"/>
  <c r="AF1197" i="11" s="1"/>
  <c r="AR1197" i="11" s="1"/>
  <c r="W1198" i="11"/>
  <c r="AF1198" i="11" s="1"/>
  <c r="AR1198" i="11" s="1"/>
  <c r="AD1197" i="11"/>
  <c r="AD1198" i="11"/>
  <c r="AS1197" i="11"/>
  <c r="AS1198" i="11"/>
  <c r="AT1197" i="11"/>
  <c r="AT1198" i="11"/>
  <c r="AV1197" i="11"/>
  <c r="AY1197" i="11" s="1"/>
  <c r="AV1198" i="11"/>
  <c r="AY1198" i="11" s="1"/>
  <c r="AW1197" i="11"/>
  <c r="AW1198" i="11"/>
  <c r="BG1208" i="11"/>
  <c r="BH1208" i="11"/>
  <c r="BI1208" i="11"/>
  <c r="BJ1208" i="11"/>
  <c r="BG1209" i="11"/>
  <c r="BH1209" i="11"/>
  <c r="BI1209" i="11"/>
  <c r="BJ1209" i="11"/>
  <c r="BG1210" i="11"/>
  <c r="BH1210" i="11"/>
  <c r="BI1210" i="11"/>
  <c r="BJ1210" i="11"/>
  <c r="BG1211" i="11"/>
  <c r="BH1211" i="11"/>
  <c r="BI1211" i="11"/>
  <c r="BJ1211" i="11"/>
  <c r="BG1212" i="11"/>
  <c r="BH1212" i="11"/>
  <c r="BI1212" i="11"/>
  <c r="BJ1212" i="11"/>
  <c r="BG1213" i="11"/>
  <c r="BH1213" i="11"/>
  <c r="BI1213" i="11"/>
  <c r="BJ1213" i="11"/>
  <c r="BG1214" i="11"/>
  <c r="BH1214" i="11"/>
  <c r="BI1214" i="11"/>
  <c r="BJ1214" i="11"/>
  <c r="BG1217" i="11"/>
  <c r="BH1217" i="11"/>
  <c r="BI1217" i="11"/>
  <c r="BJ1217" i="11"/>
  <c r="BG1218" i="11"/>
  <c r="BH1218" i="11"/>
  <c r="BI1218" i="11"/>
  <c r="BJ1218" i="11"/>
  <c r="BG1219" i="11"/>
  <c r="BH1219" i="11"/>
  <c r="BI1219" i="11"/>
  <c r="BJ1219" i="11"/>
  <c r="BG1220" i="11"/>
  <c r="BH1220" i="11"/>
  <c r="BI1220" i="11"/>
  <c r="BJ1220" i="11"/>
  <c r="BG1221" i="11"/>
  <c r="BH1221" i="11"/>
  <c r="BI1221" i="11"/>
  <c r="BJ1221" i="11"/>
  <c r="BG1222" i="11"/>
  <c r="BH1222" i="11"/>
  <c r="BI1222" i="11"/>
  <c r="BJ1222" i="11"/>
  <c r="BG1223" i="11"/>
  <c r="BH1223" i="11"/>
  <c r="BI1223" i="11"/>
  <c r="BJ1223" i="11"/>
  <c r="BG1224" i="11"/>
  <c r="BH1224" i="11"/>
  <c r="BI1224" i="11"/>
  <c r="BJ1224" i="11"/>
  <c r="BG1225" i="11"/>
  <c r="BH1225" i="11"/>
  <c r="BI1225" i="11"/>
  <c r="BJ1225" i="11"/>
  <c r="BG1226" i="11"/>
  <c r="BH1226" i="11"/>
  <c r="BI1226" i="11"/>
  <c r="BJ1226" i="11"/>
  <c r="BG1227" i="11"/>
  <c r="BH1227" i="11"/>
  <c r="BI1227" i="11"/>
  <c r="BJ1227" i="11"/>
  <c r="BG1228" i="11"/>
  <c r="BH1228" i="11"/>
  <c r="BI1228" i="11"/>
  <c r="BJ1228" i="11"/>
  <c r="T1203" i="11"/>
  <c r="W1203" i="11"/>
  <c r="AF1203" i="11" s="1"/>
  <c r="AD1203" i="11"/>
  <c r="AE1203" i="11"/>
  <c r="W1204" i="11"/>
  <c r="AF1204" i="11" s="1"/>
  <c r="AD1204" i="11"/>
  <c r="AE1204" i="11"/>
  <c r="W1205" i="11"/>
  <c r="AF1205" i="11" s="1"/>
  <c r="AD1205" i="11"/>
  <c r="AE1205" i="11"/>
  <c r="W1206" i="11"/>
  <c r="AF1206" i="11" s="1"/>
  <c r="AD1206" i="11"/>
  <c r="AE1206" i="11"/>
  <c r="W1207" i="11"/>
  <c r="AF1207" i="11" s="1"/>
  <c r="AD1207" i="11"/>
  <c r="AE1207" i="11"/>
  <c r="W1208" i="11"/>
  <c r="AF1208" i="11" s="1"/>
  <c r="AR1208" i="11" s="1"/>
  <c r="AD1208" i="11"/>
  <c r="AE1208" i="11"/>
  <c r="T1209" i="11"/>
  <c r="U1209" i="11" s="1"/>
  <c r="W1209" i="11"/>
  <c r="AF1209" i="11" s="1"/>
  <c r="AR1209" i="11" s="1"/>
  <c r="AD1209" i="11"/>
  <c r="AE1209" i="11"/>
  <c r="T1210" i="11"/>
  <c r="W1210" i="11"/>
  <c r="AF1210" i="11" s="1"/>
  <c r="AR1210" i="11" s="1"/>
  <c r="AD1210" i="11"/>
  <c r="AE1210" i="11"/>
  <c r="T1211" i="11"/>
  <c r="U1211" i="11" s="1"/>
  <c r="V1211" i="11" s="1"/>
  <c r="W1211" i="11"/>
  <c r="AF1211" i="11" s="1"/>
  <c r="AR1211" i="11" s="1"/>
  <c r="AD1211" i="11"/>
  <c r="AE1211" i="11"/>
  <c r="T1212" i="11"/>
  <c r="W1212" i="11"/>
  <c r="AF1212" i="11" s="1"/>
  <c r="AR1212" i="11" s="1"/>
  <c r="AD1212" i="11"/>
  <c r="AE1212" i="11"/>
  <c r="T1213" i="11"/>
  <c r="W1213" i="11"/>
  <c r="AF1213" i="11" s="1"/>
  <c r="AR1213" i="11" s="1"/>
  <c r="AD1213" i="11"/>
  <c r="AE1213" i="11"/>
  <c r="W1214" i="11"/>
  <c r="AF1214" i="11" s="1"/>
  <c r="AR1214" i="11" s="1"/>
  <c r="AD1214" i="11"/>
  <c r="AE1214" i="11"/>
  <c r="W1217" i="11"/>
  <c r="AF1217" i="11" s="1"/>
  <c r="AR1217" i="11" s="1"/>
  <c r="AD1217" i="11"/>
  <c r="AE1217" i="11"/>
  <c r="T1218" i="11"/>
  <c r="U1218" i="11" s="1"/>
  <c r="V1218" i="11" s="1"/>
  <c r="W1218" i="11"/>
  <c r="AF1218" i="11" s="1"/>
  <c r="AR1218" i="11" s="1"/>
  <c r="AD1218" i="11"/>
  <c r="AE1218" i="11"/>
  <c r="W1219" i="11"/>
  <c r="AF1219" i="11" s="1"/>
  <c r="AR1219" i="11" s="1"/>
  <c r="AD1219" i="11"/>
  <c r="AE1219" i="11"/>
  <c r="T1220" i="11"/>
  <c r="W1220" i="11"/>
  <c r="AF1220" i="11" s="1"/>
  <c r="AR1220" i="11" s="1"/>
  <c r="AD1220" i="11"/>
  <c r="AE1220" i="11"/>
  <c r="W1221" i="11"/>
  <c r="AF1221" i="11" s="1"/>
  <c r="AR1221" i="11" s="1"/>
  <c r="AD1221" i="11"/>
  <c r="AE1221" i="11"/>
  <c r="W1222" i="11"/>
  <c r="AF1222" i="11" s="1"/>
  <c r="AR1222" i="11" s="1"/>
  <c r="AD1222" i="11"/>
  <c r="AE1222" i="11"/>
  <c r="W1223" i="11"/>
  <c r="AF1223" i="11" s="1"/>
  <c r="AR1223" i="11" s="1"/>
  <c r="AD1223" i="11"/>
  <c r="AE1223" i="11"/>
  <c r="W1224" i="11"/>
  <c r="AF1224" i="11" s="1"/>
  <c r="AR1224" i="11" s="1"/>
  <c r="AD1224" i="11"/>
  <c r="W1225" i="11"/>
  <c r="AF1225" i="11" s="1"/>
  <c r="AR1225" i="11" s="1"/>
  <c r="AD1225" i="11"/>
  <c r="AE1225" i="11"/>
  <c r="T1226" i="11"/>
  <c r="W1226" i="11"/>
  <c r="AF1226" i="11" s="1"/>
  <c r="AR1226" i="11" s="1"/>
  <c r="AD1226" i="11"/>
  <c r="AE1226" i="11"/>
  <c r="W1228" i="11"/>
  <c r="AF1228" i="11" s="1"/>
  <c r="AR1228" i="11" s="1"/>
  <c r="AD1228" i="11"/>
  <c r="AE1228" i="11"/>
  <c r="T1208" i="11"/>
  <c r="R1207" i="11"/>
  <c r="T1207" i="11" s="1"/>
  <c r="H1208" i="11"/>
  <c r="H1209" i="11"/>
  <c r="H1210" i="11"/>
  <c r="H1211" i="11"/>
  <c r="H1212" i="11"/>
  <c r="H1213" i="11"/>
  <c r="H1214" i="11"/>
  <c r="H1217" i="11"/>
  <c r="H1218" i="11"/>
  <c r="H1219" i="11"/>
  <c r="H1220" i="11"/>
  <c r="H1221" i="11"/>
  <c r="H1222" i="11"/>
  <c r="H1223" i="11"/>
  <c r="H1224" i="11"/>
  <c r="H1225" i="11"/>
  <c r="H1226" i="11"/>
  <c r="H1227" i="11"/>
  <c r="H1228" i="11"/>
  <c r="AS1208" i="11"/>
  <c r="AS1209" i="11"/>
  <c r="AS1210" i="11"/>
  <c r="AS1211" i="11"/>
  <c r="AS1212" i="11"/>
  <c r="AS1213" i="11"/>
  <c r="AS1214" i="11"/>
  <c r="AS1217" i="11"/>
  <c r="AS1218" i="11"/>
  <c r="AS1219" i="11"/>
  <c r="AS1220" i="11"/>
  <c r="AS1221" i="11"/>
  <c r="AS1222" i="11"/>
  <c r="AS1223" i="11"/>
  <c r="AS1224" i="11"/>
  <c r="AS1225" i="11"/>
  <c r="AS1226" i="11"/>
  <c r="AS1227" i="11"/>
  <c r="AS1228" i="11"/>
  <c r="AT1208" i="11"/>
  <c r="AT1209" i="11"/>
  <c r="AT1210" i="11"/>
  <c r="AG1210" i="11" s="1"/>
  <c r="AX1210" i="11" s="1"/>
  <c r="AT1211" i="11"/>
  <c r="AG1211" i="11" s="1"/>
  <c r="AX1211" i="11" s="1"/>
  <c r="AT1212" i="11"/>
  <c r="AG1212" i="11" s="1"/>
  <c r="AX1212" i="11" s="1"/>
  <c r="AT1213" i="11"/>
  <c r="AG1213" i="11" s="1"/>
  <c r="AX1213" i="11" s="1"/>
  <c r="AT1214" i="11"/>
  <c r="AG1214" i="11" s="1"/>
  <c r="AX1214" i="11" s="1"/>
  <c r="AT1217" i="11"/>
  <c r="AG1217" i="11" s="1"/>
  <c r="AX1217" i="11" s="1"/>
  <c r="AT1218" i="11"/>
  <c r="AG1218" i="11" s="1"/>
  <c r="AX1218" i="11" s="1"/>
  <c r="AT1219" i="11"/>
  <c r="AG1219" i="11" s="1"/>
  <c r="AX1219" i="11" s="1"/>
  <c r="AT1220" i="11"/>
  <c r="AG1220" i="11" s="1"/>
  <c r="AX1220" i="11" s="1"/>
  <c r="AT1221" i="11"/>
  <c r="AG1221" i="11" s="1"/>
  <c r="AX1221" i="11" s="1"/>
  <c r="AT1222" i="11"/>
  <c r="AT1223" i="11"/>
  <c r="AT1224" i="11"/>
  <c r="AE1224" i="11" s="1"/>
  <c r="AT1225" i="11"/>
  <c r="AT1226" i="11"/>
  <c r="AT1227" i="11"/>
  <c r="AT1228" i="11"/>
  <c r="AV1208" i="11"/>
  <c r="AY1208" i="11" s="1"/>
  <c r="AV1209" i="11"/>
  <c r="AY1209" i="11" s="1"/>
  <c r="AV1210" i="11"/>
  <c r="AY1210" i="11" s="1"/>
  <c r="AV1211" i="11"/>
  <c r="AY1211" i="11" s="1"/>
  <c r="AV1212" i="11"/>
  <c r="AY1212" i="11" s="1"/>
  <c r="AV1213" i="11"/>
  <c r="AY1213" i="11" s="1"/>
  <c r="AV1214" i="11"/>
  <c r="AY1214" i="11" s="1"/>
  <c r="AV1217" i="11"/>
  <c r="AY1217" i="11" s="1"/>
  <c r="AV1218" i="11"/>
  <c r="AY1218" i="11" s="1"/>
  <c r="AV1219" i="11"/>
  <c r="AY1219" i="11" s="1"/>
  <c r="AV1220" i="11"/>
  <c r="AY1220" i="11" s="1"/>
  <c r="AV1221" i="11"/>
  <c r="AY1221" i="11" s="1"/>
  <c r="AV1222" i="11"/>
  <c r="AY1222" i="11" s="1"/>
  <c r="AV1223" i="11"/>
  <c r="AY1223" i="11" s="1"/>
  <c r="AV1224" i="11"/>
  <c r="AY1224" i="11" s="1"/>
  <c r="AV1225" i="11"/>
  <c r="AY1225" i="11" s="1"/>
  <c r="AV1226" i="11"/>
  <c r="AY1226" i="11" s="1"/>
  <c r="AV1227" i="11"/>
  <c r="AY1227" i="11" s="1"/>
  <c r="AV1228" i="11"/>
  <c r="AY1228" i="11" s="1"/>
  <c r="AW1208" i="11"/>
  <c r="AW1209" i="11"/>
  <c r="AW1210" i="11"/>
  <c r="AW1211" i="11"/>
  <c r="AW1212" i="11"/>
  <c r="AW1213" i="11"/>
  <c r="AW1214" i="11"/>
  <c r="AW1217" i="11"/>
  <c r="AW1218" i="11"/>
  <c r="AW1219" i="11"/>
  <c r="AW1220" i="11"/>
  <c r="AW1221" i="11"/>
  <c r="AW1222" i="11"/>
  <c r="AW1223" i="11"/>
  <c r="AW1224" i="11"/>
  <c r="AW1225" i="11"/>
  <c r="AW1226" i="11"/>
  <c r="AW1227" i="11"/>
  <c r="AW1228" i="11"/>
  <c r="R1200" i="11"/>
  <c r="T1200" i="11" s="1"/>
  <c r="T1194" i="11"/>
  <c r="T1199" i="11"/>
  <c r="T1202" i="11"/>
  <c r="T1192" i="11"/>
  <c r="S1190" i="11"/>
  <c r="T1190" i="11" s="1"/>
  <c r="S1188" i="11"/>
  <c r="T1188" i="11" s="1"/>
  <c r="T1204" i="11"/>
  <c r="AO1253" i="11" l="1"/>
  <c r="AM1253" i="11"/>
  <c r="AK1253" i="11"/>
  <c r="AI1253" i="11"/>
  <c r="AG1253" i="11"/>
  <c r="AX1253" i="11" s="1"/>
  <c r="BA1253" i="11" s="1"/>
  <c r="BB1250" i="11"/>
  <c r="BB1249" i="11"/>
  <c r="AU1251" i="11"/>
  <c r="BB1251" i="11"/>
  <c r="BB1231" i="11"/>
  <c r="BB1232" i="11"/>
  <c r="BB1243" i="11"/>
  <c r="AZ1239" i="11"/>
  <c r="AZ1240" i="11"/>
  <c r="BK1255" i="11"/>
  <c r="BN1255" i="11" s="1"/>
  <c r="BK1257" i="11"/>
  <c r="BN1257" i="11" s="1"/>
  <c r="BK1262" i="11"/>
  <c r="BN1262" i="11" s="1"/>
  <c r="BK1241" i="11"/>
  <c r="BN1241" i="11" s="1"/>
  <c r="BK1253" i="11"/>
  <c r="BN1253" i="11" s="1"/>
  <c r="BK1254" i="11"/>
  <c r="BN1254" i="11" s="1"/>
  <c r="BK1256" i="11"/>
  <c r="BK1245" i="11"/>
  <c r="BN1245" i="11" s="1"/>
  <c r="BK1258" i="11"/>
  <c r="BN1258" i="11" s="1"/>
  <c r="BK1261" i="11"/>
  <c r="BN1261" i="11" s="1"/>
  <c r="BK1242" i="11"/>
  <c r="BN1242" i="11" s="1"/>
  <c r="BK1246" i="11"/>
  <c r="BN1246" i="11" s="1"/>
  <c r="BK1248" i="11"/>
  <c r="BN1248" i="11" s="1"/>
  <c r="BK1252" i="11"/>
  <c r="BN1252" i="11" s="1"/>
  <c r="BK1260" i="11"/>
  <c r="BN1260" i="11" s="1"/>
  <c r="BK1244" i="11"/>
  <c r="BN1244" i="11" s="1"/>
  <c r="BK1247" i="11"/>
  <c r="BN1247" i="11" s="1"/>
  <c r="BK1259" i="11"/>
  <c r="BN1259" i="11" s="1"/>
  <c r="AZ1241" i="11"/>
  <c r="AR1241" i="11"/>
  <c r="AU1241" i="11"/>
  <c r="AZ1238" i="11"/>
  <c r="AZ1242" i="11"/>
  <c r="AZ1244" i="11"/>
  <c r="AZ1245" i="11"/>
  <c r="AZ1246" i="11"/>
  <c r="AZ1247" i="11"/>
  <c r="AZ1248" i="11"/>
  <c r="AZ1252" i="11"/>
  <c r="AZ1253" i="11"/>
  <c r="AZ1254" i="11"/>
  <c r="AZ1216" i="11"/>
  <c r="AU1244" i="11"/>
  <c r="AZ1230" i="11"/>
  <c r="AZ1233" i="11"/>
  <c r="AZ1234" i="11"/>
  <c r="AZ1235" i="11"/>
  <c r="AZ1236" i="11"/>
  <c r="AZ1237" i="11"/>
  <c r="AU1245" i="11"/>
  <c r="AU1246" i="11"/>
  <c r="AO1237" i="11"/>
  <c r="AM1237" i="11"/>
  <c r="AK1237" i="11"/>
  <c r="AI1237" i="11"/>
  <c r="AG1237" i="11"/>
  <c r="AX1237" i="11" s="1"/>
  <c r="BA1237" i="11" s="1"/>
  <c r="AO1227" i="11"/>
  <c r="AM1227" i="11"/>
  <c r="AK1227" i="11"/>
  <c r="AI1227" i="11"/>
  <c r="AG1227" i="11"/>
  <c r="AX1227" i="11" s="1"/>
  <c r="BA1227" i="11" s="1"/>
  <c r="AU1247" i="11"/>
  <c r="AZ1255" i="11"/>
  <c r="AZ1256" i="11"/>
  <c r="AZ1257" i="11"/>
  <c r="AZ1258" i="11"/>
  <c r="AZ1259" i="11"/>
  <c r="AZ1260" i="11"/>
  <c r="AZ1261" i="11"/>
  <c r="AZ1262" i="11"/>
  <c r="V1242" i="11"/>
  <c r="AU1242" i="11" s="1"/>
  <c r="V1248" i="11"/>
  <c r="AU1248" i="11" s="1"/>
  <c r="V1252" i="11"/>
  <c r="AU1252" i="11" s="1"/>
  <c r="AU1253" i="11"/>
  <c r="V1254" i="11"/>
  <c r="AU1254" i="11" s="1"/>
  <c r="V1255" i="11"/>
  <c r="AU1255" i="11" s="1"/>
  <c r="V1256" i="11"/>
  <c r="AU1256" i="11" s="1"/>
  <c r="V1257" i="11"/>
  <c r="AU1257" i="11" s="1"/>
  <c r="V1258" i="11"/>
  <c r="AU1258" i="11" s="1"/>
  <c r="V1259" i="11"/>
  <c r="AU1259" i="11" s="1"/>
  <c r="AU1240" i="11"/>
  <c r="U1260" i="11"/>
  <c r="V1260" i="11" s="1"/>
  <c r="AU1260" i="11" s="1"/>
  <c r="U1261" i="11"/>
  <c r="V1261" i="11" s="1"/>
  <c r="AU1261" i="11" s="1"/>
  <c r="U1262" i="11"/>
  <c r="V1262" i="11" s="1"/>
  <c r="AU1262" i="11" s="1"/>
  <c r="AG1241" i="11"/>
  <c r="AX1241" i="11" s="1"/>
  <c r="BA1241" i="11" s="1"/>
  <c r="AI1241" i="11"/>
  <c r="AM1241" i="11"/>
  <c r="AK1241" i="11"/>
  <c r="AO1241" i="11"/>
  <c r="AO1242" i="11"/>
  <c r="AI1242" i="11"/>
  <c r="AK1242" i="11"/>
  <c r="AM1242" i="11"/>
  <c r="AG1242" i="11"/>
  <c r="AX1242" i="11" s="1"/>
  <c r="BA1242" i="11" s="1"/>
  <c r="AG1244" i="11"/>
  <c r="AX1244" i="11" s="1"/>
  <c r="BA1244" i="11" s="1"/>
  <c r="AO1244" i="11"/>
  <c r="AI1244" i="11"/>
  <c r="AK1244" i="11"/>
  <c r="AM1244" i="11"/>
  <c r="AG1245" i="11"/>
  <c r="AX1245" i="11" s="1"/>
  <c r="BA1245" i="11" s="1"/>
  <c r="AO1245" i="11"/>
  <c r="AK1245" i="11"/>
  <c r="AI1245" i="11"/>
  <c r="AM1245" i="11"/>
  <c r="AG1246" i="11"/>
  <c r="AX1246" i="11" s="1"/>
  <c r="BA1246" i="11" s="1"/>
  <c r="AI1246" i="11"/>
  <c r="AM1246" i="11"/>
  <c r="AO1246" i="11"/>
  <c r="AK1246" i="11"/>
  <c r="AG1247" i="11"/>
  <c r="AX1247" i="11" s="1"/>
  <c r="BA1247" i="11" s="1"/>
  <c r="AI1247" i="11"/>
  <c r="AK1247" i="11"/>
  <c r="AO1247" i="11"/>
  <c r="AM1247" i="11"/>
  <c r="AO1248" i="11"/>
  <c r="AM1248" i="11"/>
  <c r="AK1248" i="11"/>
  <c r="AG1248" i="11"/>
  <c r="AX1248" i="11" s="1"/>
  <c r="BA1248" i="11" s="1"/>
  <c r="AI1248" i="11"/>
  <c r="AK1252" i="11"/>
  <c r="AM1252" i="11"/>
  <c r="AO1252" i="11"/>
  <c r="AI1252" i="11"/>
  <c r="AG1252" i="11"/>
  <c r="AX1252" i="11" s="1"/>
  <c r="BA1252" i="11" s="1"/>
  <c r="AO1254" i="11"/>
  <c r="AG1254" i="11"/>
  <c r="AX1254" i="11" s="1"/>
  <c r="BA1254" i="11" s="1"/>
  <c r="AM1254" i="11"/>
  <c r="AK1254" i="11"/>
  <c r="AI1254" i="11"/>
  <c r="AM1255" i="11"/>
  <c r="AI1255" i="11"/>
  <c r="AO1255" i="11"/>
  <c r="AK1255" i="11"/>
  <c r="AG1255" i="11"/>
  <c r="AX1255" i="11" s="1"/>
  <c r="BA1255" i="11" s="1"/>
  <c r="AM1256" i="11"/>
  <c r="AO1256" i="11"/>
  <c r="AK1256" i="11"/>
  <c r="AG1256" i="11"/>
  <c r="AX1256" i="11" s="1"/>
  <c r="BA1256" i="11" s="1"/>
  <c r="AI1256" i="11"/>
  <c r="AG1257" i="11"/>
  <c r="AX1257" i="11" s="1"/>
  <c r="BA1257" i="11" s="1"/>
  <c r="AO1257" i="11"/>
  <c r="AI1257" i="11"/>
  <c r="AK1257" i="11"/>
  <c r="AM1257" i="11"/>
  <c r="AI1258" i="11"/>
  <c r="AG1258" i="11"/>
  <c r="AX1258" i="11" s="1"/>
  <c r="BA1258" i="11" s="1"/>
  <c r="AK1258" i="11"/>
  <c r="AO1258" i="11"/>
  <c r="AM1258" i="11"/>
  <c r="AM1259" i="11"/>
  <c r="AI1259" i="11"/>
  <c r="AK1259" i="11"/>
  <c r="AO1259" i="11"/>
  <c r="AG1259" i="11"/>
  <c r="AX1259" i="11" s="1"/>
  <c r="BA1259" i="11" s="1"/>
  <c r="AI1260" i="11"/>
  <c r="AG1260" i="11"/>
  <c r="AX1260" i="11" s="1"/>
  <c r="BA1260" i="11" s="1"/>
  <c r="AM1260" i="11"/>
  <c r="AK1260" i="11"/>
  <c r="AO1260" i="11"/>
  <c r="AG1261" i="11"/>
  <c r="AX1261" i="11" s="1"/>
  <c r="BA1261" i="11" s="1"/>
  <c r="AK1261" i="11"/>
  <c r="AI1261" i="11"/>
  <c r="AM1261" i="11"/>
  <c r="AO1261" i="11"/>
  <c r="AK1262" i="11"/>
  <c r="AM1262" i="11"/>
  <c r="AO1262" i="11"/>
  <c r="AI1262" i="11"/>
  <c r="AG1262" i="11"/>
  <c r="AX1262" i="11" s="1"/>
  <c r="BA1262" i="11" s="1"/>
  <c r="BK1236" i="11"/>
  <c r="BN1236" i="11" s="1"/>
  <c r="AU1239" i="11"/>
  <c r="AU1237" i="11"/>
  <c r="AU1238" i="11"/>
  <c r="BK1216" i="11"/>
  <c r="BN1216" i="11" s="1"/>
  <c r="AO1215" i="11"/>
  <c r="AE1215" i="11"/>
  <c r="BK1229" i="11"/>
  <c r="BN1229" i="11" s="1"/>
  <c r="BK1233" i="11"/>
  <c r="BN1233" i="11" s="1"/>
  <c r="BK1230" i="11"/>
  <c r="BN1230" i="11" s="1"/>
  <c r="BK1234" i="11"/>
  <c r="BN1234" i="11" s="1"/>
  <c r="BK1235" i="11"/>
  <c r="BN1235" i="11" s="1"/>
  <c r="BK1237" i="11"/>
  <c r="BN1237" i="11" s="1"/>
  <c r="BK1239" i="11"/>
  <c r="BN1239" i="11" s="1"/>
  <c r="BK1240" i="11"/>
  <c r="BK1238" i="11"/>
  <c r="BN1238" i="11" s="1"/>
  <c r="U1229" i="11"/>
  <c r="V1229" i="11" s="1"/>
  <c r="AU1229" i="11" s="1"/>
  <c r="U1230" i="11"/>
  <c r="V1230" i="11" s="1"/>
  <c r="AU1230" i="11" s="1"/>
  <c r="U1233" i="11"/>
  <c r="V1233" i="11" s="1"/>
  <c r="AU1233" i="11" s="1"/>
  <c r="U1234" i="11"/>
  <c r="V1234" i="11" s="1"/>
  <c r="AU1234" i="11" s="1"/>
  <c r="U1235" i="11"/>
  <c r="V1235" i="11" s="1"/>
  <c r="AU1235" i="11" s="1"/>
  <c r="U1236" i="11"/>
  <c r="V1236" i="11" s="1"/>
  <c r="AU1236" i="11" s="1"/>
  <c r="AY1229" i="11"/>
  <c r="AZ1229" i="11"/>
  <c r="AZ1215" i="11"/>
  <c r="BK1215" i="11"/>
  <c r="BN1215" i="11" s="1"/>
  <c r="AG1229" i="11"/>
  <c r="AX1229" i="11" s="1"/>
  <c r="BA1229" i="11" s="1"/>
  <c r="AK1229" i="11"/>
  <c r="AM1229" i="11"/>
  <c r="AI1229" i="11"/>
  <c r="AO1229" i="11"/>
  <c r="AG1230" i="11"/>
  <c r="AX1230" i="11" s="1"/>
  <c r="BA1230" i="11" s="1"/>
  <c r="AM1230" i="11"/>
  <c r="AK1230" i="11"/>
  <c r="AO1230" i="11"/>
  <c r="AI1230" i="11"/>
  <c r="AG1233" i="11"/>
  <c r="AX1233" i="11" s="1"/>
  <c r="BA1233" i="11" s="1"/>
  <c r="AO1233" i="11"/>
  <c r="AK1233" i="11"/>
  <c r="AM1233" i="11"/>
  <c r="AI1233" i="11"/>
  <c r="AG1234" i="11"/>
  <c r="AX1234" i="11" s="1"/>
  <c r="BA1234" i="11" s="1"/>
  <c r="AM1234" i="11"/>
  <c r="AI1234" i="11"/>
  <c r="AK1234" i="11"/>
  <c r="AO1234" i="11"/>
  <c r="AG1235" i="11"/>
  <c r="AX1235" i="11" s="1"/>
  <c r="BA1235" i="11" s="1"/>
  <c r="AO1235" i="11"/>
  <c r="AM1235" i="11"/>
  <c r="AI1235" i="11"/>
  <c r="AK1235" i="11"/>
  <c r="AG1236" i="11"/>
  <c r="AX1236" i="11" s="1"/>
  <c r="BA1236" i="11" s="1"/>
  <c r="AI1236" i="11"/>
  <c r="AK1236" i="11"/>
  <c r="AM1236" i="11"/>
  <c r="AO1236" i="11"/>
  <c r="AG1238" i="11"/>
  <c r="AX1238" i="11" s="1"/>
  <c r="BA1238" i="11" s="1"/>
  <c r="AI1238" i="11"/>
  <c r="AM1238" i="11"/>
  <c r="AK1238" i="11"/>
  <c r="AO1238" i="11"/>
  <c r="AM1239" i="11"/>
  <c r="AG1239" i="11"/>
  <c r="AX1239" i="11" s="1"/>
  <c r="BA1239" i="11" s="1"/>
  <c r="AI1239" i="11"/>
  <c r="AK1239" i="11"/>
  <c r="AO1239" i="11"/>
  <c r="AO1240" i="11"/>
  <c r="AM1240" i="11"/>
  <c r="AG1240" i="11"/>
  <c r="AX1240" i="11" s="1"/>
  <c r="BA1240" i="11" s="1"/>
  <c r="AI1240" i="11"/>
  <c r="AK1240" i="11"/>
  <c r="U1215" i="11"/>
  <c r="V1215" i="11" s="1"/>
  <c r="AU1216" i="11"/>
  <c r="AK1216" i="11"/>
  <c r="AK1215" i="11"/>
  <c r="AG1216" i="11"/>
  <c r="AX1216" i="11" s="1"/>
  <c r="BA1216" i="11" s="1"/>
  <c r="AM1216" i="11"/>
  <c r="AY1216" i="11"/>
  <c r="AG1215" i="11"/>
  <c r="AX1215" i="11" s="1"/>
  <c r="BA1215" i="11" s="1"/>
  <c r="AM1215" i="11"/>
  <c r="AI1216" i="11"/>
  <c r="AI1215" i="11"/>
  <c r="AZ1198" i="11"/>
  <c r="AZ1197" i="11"/>
  <c r="AZ1222" i="11"/>
  <c r="AZ1221" i="11"/>
  <c r="AZ1220" i="11"/>
  <c r="V1217" i="11"/>
  <c r="AU1217" i="11" s="1"/>
  <c r="V1224" i="11"/>
  <c r="AU1224" i="11" s="1"/>
  <c r="V1209" i="11"/>
  <c r="AU1209" i="11" s="1"/>
  <c r="V1223" i="11"/>
  <c r="AU1223" i="11" s="1"/>
  <c r="BK1197" i="11"/>
  <c r="BN1197" i="11" s="1"/>
  <c r="U1203" i="11"/>
  <c r="V1203" i="11" s="1"/>
  <c r="BK1198" i="11"/>
  <c r="BN1198" i="11" s="1"/>
  <c r="U1198" i="11"/>
  <c r="V1198" i="11" s="1"/>
  <c r="AG1197" i="11"/>
  <c r="AX1197" i="11" s="1"/>
  <c r="BA1197" i="11" s="1"/>
  <c r="AE1197" i="11"/>
  <c r="AG1198" i="11"/>
  <c r="AX1198" i="11" s="1"/>
  <c r="BA1198" i="11" s="1"/>
  <c r="AE1198" i="11"/>
  <c r="AU1227" i="11"/>
  <c r="U1206" i="11"/>
  <c r="V1206" i="11" s="1"/>
  <c r="U1204" i="11"/>
  <c r="V1204" i="11" s="1"/>
  <c r="U1197" i="11"/>
  <c r="V1197" i="11" s="1"/>
  <c r="BK1225" i="11"/>
  <c r="BN1225" i="11" s="1"/>
  <c r="BK1224" i="11"/>
  <c r="BN1224" i="11" s="1"/>
  <c r="U1208" i="11"/>
  <c r="V1208" i="11" s="1"/>
  <c r="AU1208" i="11" s="1"/>
  <c r="AI1197" i="11"/>
  <c r="AK1197" i="11"/>
  <c r="AM1197" i="11"/>
  <c r="AI1198" i="11"/>
  <c r="AK1198" i="11"/>
  <c r="AM1198" i="11"/>
  <c r="BK1210" i="11"/>
  <c r="BN1210" i="11" s="1"/>
  <c r="BK1213" i="11"/>
  <c r="BN1213" i="11" s="1"/>
  <c r="BK1208" i="11"/>
  <c r="BN1208" i="11" s="1"/>
  <c r="BK1209" i="11"/>
  <c r="BN1209" i="11" s="1"/>
  <c r="BK1212" i="11"/>
  <c r="BN1212" i="11" s="1"/>
  <c r="BK1217" i="11"/>
  <c r="BN1217" i="11" s="1"/>
  <c r="BK1218" i="11"/>
  <c r="BN1218" i="11" s="1"/>
  <c r="BK1223" i="11"/>
  <c r="BN1223" i="11" s="1"/>
  <c r="BK1220" i="11"/>
  <c r="BN1220" i="11" s="1"/>
  <c r="BK1221" i="11"/>
  <c r="BN1221" i="11" s="1"/>
  <c r="BK1226" i="11"/>
  <c r="BN1226" i="11" s="1"/>
  <c r="BK1227" i="11"/>
  <c r="BN1227" i="11" s="1"/>
  <c r="BK1228" i="11"/>
  <c r="BN1228" i="11" s="1"/>
  <c r="BK1222" i="11"/>
  <c r="BN1222" i="11" s="1"/>
  <c r="BK1214" i="11"/>
  <c r="BN1214" i="11" s="1"/>
  <c r="BK1211" i="11"/>
  <c r="BN1211" i="11" s="1"/>
  <c r="BK1219" i="11"/>
  <c r="BN1219" i="11" s="1"/>
  <c r="AO1197" i="11"/>
  <c r="AO1198" i="11"/>
  <c r="U1210" i="11"/>
  <c r="V1210" i="11" s="1"/>
  <c r="AU1210" i="11" s="1"/>
  <c r="U1213" i="11"/>
  <c r="V1213" i="11" s="1"/>
  <c r="AU1213" i="11" s="1"/>
  <c r="U1207" i="11"/>
  <c r="V1207" i="11" s="1"/>
  <c r="U1212" i="11"/>
  <c r="V1212" i="11" s="1"/>
  <c r="AU1212" i="11" s="1"/>
  <c r="U1220" i="11"/>
  <c r="V1220" i="11" s="1"/>
  <c r="AU1220" i="11" s="1"/>
  <c r="U1226" i="11"/>
  <c r="V1226" i="11" s="1"/>
  <c r="AU1226" i="11" s="1"/>
  <c r="AZ1208" i="11"/>
  <c r="AZ1210" i="11"/>
  <c r="AZ1211" i="11"/>
  <c r="AZ1212" i="11"/>
  <c r="AZ1219" i="11"/>
  <c r="AZ1213" i="11"/>
  <c r="AZ1214" i="11"/>
  <c r="AZ1217" i="11"/>
  <c r="AZ1218" i="11"/>
  <c r="AZ1209" i="11"/>
  <c r="AU1211" i="11"/>
  <c r="AU1214" i="11"/>
  <c r="AU1218" i="11"/>
  <c r="AU1219" i="11"/>
  <c r="AU1221" i="11"/>
  <c r="BA1212" i="11"/>
  <c r="AU1222" i="11"/>
  <c r="AU1225" i="11"/>
  <c r="AU1228" i="11"/>
  <c r="BA1217" i="11"/>
  <c r="BA1218" i="11"/>
  <c r="BA1219" i="11"/>
  <c r="BA1220" i="11"/>
  <c r="BA1221" i="11"/>
  <c r="AZ1223" i="11"/>
  <c r="AZ1224" i="11"/>
  <c r="AZ1225" i="11"/>
  <c r="AZ1226" i="11"/>
  <c r="AZ1227" i="11"/>
  <c r="AZ1228" i="11"/>
  <c r="BA1210" i="11"/>
  <c r="BA1213" i="11"/>
  <c r="BA1214" i="11"/>
  <c r="BA1211" i="11"/>
  <c r="AG1208" i="11"/>
  <c r="AX1208" i="11" s="1"/>
  <c r="BA1208" i="11" s="1"/>
  <c r="AO1208" i="11"/>
  <c r="AM1208" i="11"/>
  <c r="AI1208" i="11"/>
  <c r="AK1208" i="11"/>
  <c r="AG1209" i="11"/>
  <c r="AX1209" i="11" s="1"/>
  <c r="BA1209" i="11" s="1"/>
  <c r="AI1209" i="11"/>
  <c r="AK1209" i="11"/>
  <c r="AM1209" i="11"/>
  <c r="AO1209" i="11"/>
  <c r="AM1210" i="11"/>
  <c r="AI1210" i="11"/>
  <c r="AK1210" i="11"/>
  <c r="AO1210" i="11"/>
  <c r="AI1211" i="11"/>
  <c r="AK1211" i="11"/>
  <c r="AM1211" i="11"/>
  <c r="AO1211" i="11"/>
  <c r="AK1212" i="11"/>
  <c r="AM1212" i="11"/>
  <c r="AI1212" i="11"/>
  <c r="AO1212" i="11"/>
  <c r="AI1213" i="11"/>
  <c r="AO1213" i="11"/>
  <c r="AM1213" i="11"/>
  <c r="AK1213" i="11"/>
  <c r="AK1214" i="11"/>
  <c r="AI1214" i="11"/>
  <c r="AM1214" i="11"/>
  <c r="AO1214" i="11"/>
  <c r="AI1217" i="11"/>
  <c r="AM1217" i="11"/>
  <c r="AK1217" i="11"/>
  <c r="AO1217" i="11"/>
  <c r="AK1218" i="11"/>
  <c r="AI1218" i="11"/>
  <c r="AM1218" i="11"/>
  <c r="AO1218" i="11"/>
  <c r="AK1219" i="11"/>
  <c r="AM1219" i="11"/>
  <c r="AI1219" i="11"/>
  <c r="AO1219" i="11"/>
  <c r="AM1220" i="11"/>
  <c r="AK1220" i="11"/>
  <c r="AO1220" i="11"/>
  <c r="AI1220" i="11"/>
  <c r="AK1221" i="11"/>
  <c r="AO1221" i="11"/>
  <c r="AM1221" i="11"/>
  <c r="AI1221" i="11"/>
  <c r="AK1222" i="11"/>
  <c r="AM1222" i="11"/>
  <c r="AG1222" i="11"/>
  <c r="AX1222" i="11" s="1"/>
  <c r="BA1222" i="11" s="1"/>
  <c r="AI1222" i="11"/>
  <c r="AO1222" i="11"/>
  <c r="AO1223" i="11"/>
  <c r="AK1223" i="11"/>
  <c r="AM1223" i="11"/>
  <c r="AG1223" i="11"/>
  <c r="AX1223" i="11" s="1"/>
  <c r="BA1223" i="11" s="1"/>
  <c r="AI1223" i="11"/>
  <c r="AG1224" i="11"/>
  <c r="AX1224" i="11" s="1"/>
  <c r="BA1224" i="11" s="1"/>
  <c r="AO1224" i="11"/>
  <c r="AM1224" i="11"/>
  <c r="AI1224" i="11"/>
  <c r="AK1224" i="11"/>
  <c r="AG1225" i="11"/>
  <c r="AX1225" i="11" s="1"/>
  <c r="BA1225" i="11" s="1"/>
  <c r="AM1225" i="11"/>
  <c r="AO1225" i="11"/>
  <c r="AK1225" i="11"/>
  <c r="AI1225" i="11"/>
  <c r="AG1226" i="11"/>
  <c r="AX1226" i="11" s="1"/>
  <c r="BA1226" i="11" s="1"/>
  <c r="AK1226" i="11"/>
  <c r="AM1226" i="11"/>
  <c r="AI1226" i="11"/>
  <c r="AO1226" i="11"/>
  <c r="AG1228" i="11"/>
  <c r="AX1228" i="11" s="1"/>
  <c r="BA1228" i="11" s="1"/>
  <c r="AM1228" i="11"/>
  <c r="AK1228" i="11"/>
  <c r="AI1228" i="11"/>
  <c r="AO1228" i="11"/>
  <c r="S1196" i="11"/>
  <c r="R1196" i="11"/>
  <c r="S1175" i="11"/>
  <c r="R1175" i="11"/>
  <c r="S1193" i="11"/>
  <c r="R1193" i="11"/>
  <c r="S1174" i="11"/>
  <c r="R1174" i="11"/>
  <c r="S1195" i="11"/>
  <c r="R1195" i="11"/>
  <c r="S1166" i="11"/>
  <c r="R1166" i="11"/>
  <c r="BJ1178" i="11"/>
  <c r="BI1178" i="11"/>
  <c r="BH1178" i="11"/>
  <c r="BG1178" i="11"/>
  <c r="S1178" i="11"/>
  <c r="T1178" i="11" s="1"/>
  <c r="U1178" i="11" s="1"/>
  <c r="V1178" i="11" s="1"/>
  <c r="R1186" i="11"/>
  <c r="T1186" i="11" s="1"/>
  <c r="U1186" i="11" s="1"/>
  <c r="R1187" i="11"/>
  <c r="T1187" i="11" s="1"/>
  <c r="U1187" i="11" s="1"/>
  <c r="V1187" i="11" s="1"/>
  <c r="T1189" i="11"/>
  <c r="BG1194" i="11"/>
  <c r="BH1194" i="11"/>
  <c r="BI1194" i="11"/>
  <c r="BJ1194" i="11"/>
  <c r="BG1195" i="11"/>
  <c r="BH1195" i="11"/>
  <c r="BI1195" i="11"/>
  <c r="BJ1195" i="11"/>
  <c r="BG1196" i="11"/>
  <c r="BH1196" i="11"/>
  <c r="BI1196" i="11"/>
  <c r="BJ1196" i="11"/>
  <c r="BG1199" i="11"/>
  <c r="BH1199" i="11"/>
  <c r="BI1199" i="11"/>
  <c r="BJ1199" i="11"/>
  <c r="BG1200" i="11"/>
  <c r="BH1200" i="11"/>
  <c r="BI1200" i="11"/>
  <c r="BJ1200" i="11"/>
  <c r="BG1201" i="11"/>
  <c r="BH1201" i="11"/>
  <c r="BI1201" i="11"/>
  <c r="BJ1201" i="11"/>
  <c r="BG1202" i="11"/>
  <c r="BH1202" i="11"/>
  <c r="BI1202" i="11"/>
  <c r="BJ1202" i="11"/>
  <c r="BG1203" i="11"/>
  <c r="BH1203" i="11"/>
  <c r="BI1203" i="11"/>
  <c r="BJ1203" i="11"/>
  <c r="BG1204" i="11"/>
  <c r="BH1204" i="11"/>
  <c r="BI1204" i="11"/>
  <c r="BJ1204" i="11"/>
  <c r="BG1205" i="11"/>
  <c r="BH1205" i="11"/>
  <c r="BI1205" i="11"/>
  <c r="BJ1205" i="11"/>
  <c r="BG1206" i="11"/>
  <c r="BH1206" i="11"/>
  <c r="BI1206" i="11"/>
  <c r="BJ1206" i="11"/>
  <c r="BG1207" i="11"/>
  <c r="BH1207" i="11"/>
  <c r="BI1207" i="11"/>
  <c r="BJ1207" i="11"/>
  <c r="W1187" i="11"/>
  <c r="AF1187" i="11" s="1"/>
  <c r="AR1187" i="11" s="1"/>
  <c r="AE1187" i="11"/>
  <c r="W1188" i="11"/>
  <c r="AF1188" i="11" s="1"/>
  <c r="AR1188" i="11" s="1"/>
  <c r="AD1188" i="11"/>
  <c r="AE1188" i="11"/>
  <c r="W1189" i="11"/>
  <c r="AF1189" i="11" s="1"/>
  <c r="AR1189" i="11" s="1"/>
  <c r="AD1189" i="11"/>
  <c r="AE1189" i="11"/>
  <c r="W1190" i="11"/>
  <c r="AF1190" i="11" s="1"/>
  <c r="AR1190" i="11" s="1"/>
  <c r="AD1190" i="11"/>
  <c r="AE1190" i="11"/>
  <c r="W1191" i="11"/>
  <c r="AF1191" i="11" s="1"/>
  <c r="AR1191" i="11" s="1"/>
  <c r="AD1191" i="11"/>
  <c r="AE1191" i="11"/>
  <c r="W1192" i="11"/>
  <c r="AF1192" i="11" s="1"/>
  <c r="AR1192" i="11" s="1"/>
  <c r="AD1192" i="11"/>
  <c r="AE1192" i="11"/>
  <c r="W1193" i="11"/>
  <c r="AF1193" i="11" s="1"/>
  <c r="AR1193" i="11" s="1"/>
  <c r="AD1193" i="11"/>
  <c r="AE1193" i="11"/>
  <c r="W1194" i="11"/>
  <c r="AF1194" i="11" s="1"/>
  <c r="AR1194" i="11" s="1"/>
  <c r="AE1194" i="11"/>
  <c r="W1195" i="11"/>
  <c r="AF1195" i="11" s="1"/>
  <c r="AR1195" i="11" s="1"/>
  <c r="AD1195" i="11"/>
  <c r="AE1195" i="11"/>
  <c r="W1196" i="11"/>
  <c r="AF1196" i="11" s="1"/>
  <c r="AR1196" i="11" s="1"/>
  <c r="AD1196" i="11"/>
  <c r="AE1196" i="11"/>
  <c r="W1199" i="11"/>
  <c r="AF1199" i="11" s="1"/>
  <c r="AR1199" i="11" s="1"/>
  <c r="AD1199" i="11"/>
  <c r="AE1199" i="11"/>
  <c r="W1200" i="11"/>
  <c r="AF1200" i="11" s="1"/>
  <c r="AR1200" i="11" s="1"/>
  <c r="AD1200" i="11"/>
  <c r="AE1200" i="11"/>
  <c r="W1201" i="11"/>
  <c r="AF1201" i="11" s="1"/>
  <c r="AR1201" i="11" s="1"/>
  <c r="AD1201" i="11"/>
  <c r="AE1201" i="11"/>
  <c r="W1202" i="11"/>
  <c r="AF1202" i="11" s="1"/>
  <c r="AR1202" i="11" s="1"/>
  <c r="AD1202" i="11"/>
  <c r="AE1202" i="11"/>
  <c r="AR1203" i="11"/>
  <c r="AR1204" i="11"/>
  <c r="AR1205" i="11"/>
  <c r="AR1206" i="11"/>
  <c r="AR1207" i="11"/>
  <c r="T1185" i="11"/>
  <c r="U1185" i="11" s="1"/>
  <c r="U1192" i="11"/>
  <c r="V1192" i="11" s="1"/>
  <c r="U1200" i="11"/>
  <c r="V1200" i="11" s="1"/>
  <c r="U1201" i="11"/>
  <c r="V1201" i="11" s="1"/>
  <c r="U1202" i="11"/>
  <c r="V1202" i="11" s="1"/>
  <c r="H1178" i="11"/>
  <c r="W1178" i="11"/>
  <c r="AF1178" i="11" s="1"/>
  <c r="AR1178" i="11" s="1"/>
  <c r="AD1178" i="11"/>
  <c r="AS1178" i="11"/>
  <c r="AT1178" i="11"/>
  <c r="AE1178" i="11" s="1"/>
  <c r="AV1178" i="11"/>
  <c r="AW1178" i="11"/>
  <c r="H1194" i="11"/>
  <c r="H1195" i="11"/>
  <c r="H1196" i="11"/>
  <c r="H1199" i="11"/>
  <c r="H1200" i="11"/>
  <c r="H1201" i="11"/>
  <c r="H1202" i="11"/>
  <c r="H1203" i="11"/>
  <c r="H1204" i="11"/>
  <c r="H1205" i="11"/>
  <c r="H1206" i="11"/>
  <c r="H1207" i="11"/>
  <c r="AS1194" i="11"/>
  <c r="AS1195" i="11"/>
  <c r="AS1196" i="11"/>
  <c r="AS1199" i="11"/>
  <c r="AS1200" i="11"/>
  <c r="AS1201" i="11"/>
  <c r="AS1202" i="11"/>
  <c r="AS1203" i="11"/>
  <c r="AS1204" i="11"/>
  <c r="AS1205" i="11"/>
  <c r="AS1206" i="11"/>
  <c r="AS1207" i="11"/>
  <c r="AT1194" i="11"/>
  <c r="AG1194" i="11" s="1"/>
  <c r="AX1194" i="11" s="1"/>
  <c r="AT1195" i="11"/>
  <c r="AG1195" i="11" s="1"/>
  <c r="AX1195" i="11" s="1"/>
  <c r="AT1196" i="11"/>
  <c r="AG1196" i="11" s="1"/>
  <c r="AX1196" i="11" s="1"/>
  <c r="AT1199" i="11"/>
  <c r="AG1199" i="11" s="1"/>
  <c r="AX1199" i="11" s="1"/>
  <c r="AT1200" i="11"/>
  <c r="AG1200" i="11" s="1"/>
  <c r="AX1200" i="11" s="1"/>
  <c r="AT1201" i="11"/>
  <c r="AG1201" i="11" s="1"/>
  <c r="AX1201" i="11" s="1"/>
  <c r="AT1202" i="11"/>
  <c r="AG1202" i="11" s="1"/>
  <c r="AX1202" i="11" s="1"/>
  <c r="AT1203" i="11"/>
  <c r="AG1203" i="11" s="1"/>
  <c r="AX1203" i="11" s="1"/>
  <c r="AT1204" i="11"/>
  <c r="AG1204" i="11" s="1"/>
  <c r="AX1204" i="11" s="1"/>
  <c r="AT1205" i="11"/>
  <c r="AT1206" i="11"/>
  <c r="AT1207" i="11"/>
  <c r="AV1194" i="11"/>
  <c r="AY1194" i="11" s="1"/>
  <c r="AV1195" i="11"/>
  <c r="AY1195" i="11" s="1"/>
  <c r="AV1196" i="11"/>
  <c r="AY1196" i="11" s="1"/>
  <c r="AV1199" i="11"/>
  <c r="AY1199" i="11" s="1"/>
  <c r="AV1200" i="11"/>
  <c r="AY1200" i="11" s="1"/>
  <c r="AV1201" i="11"/>
  <c r="AY1201" i="11" s="1"/>
  <c r="AV1202" i="11"/>
  <c r="AY1202" i="11" s="1"/>
  <c r="AV1203" i="11"/>
  <c r="AY1203" i="11" s="1"/>
  <c r="AV1204" i="11"/>
  <c r="AY1204" i="11" s="1"/>
  <c r="AV1205" i="11"/>
  <c r="AY1205" i="11" s="1"/>
  <c r="AV1206" i="11"/>
  <c r="AY1206" i="11" s="1"/>
  <c r="AV1207" i="11"/>
  <c r="AY1207" i="11" s="1"/>
  <c r="AW1194" i="11"/>
  <c r="AW1195" i="11"/>
  <c r="AW1196" i="11"/>
  <c r="AW1199" i="11"/>
  <c r="AW1200" i="11"/>
  <c r="AW1201" i="11"/>
  <c r="AW1202" i="11"/>
  <c r="AW1203" i="11"/>
  <c r="AW1204" i="11"/>
  <c r="AW1205" i="11"/>
  <c r="AW1206" i="11"/>
  <c r="AW1207" i="11"/>
  <c r="R1184" i="11"/>
  <c r="T1184" i="11" s="1"/>
  <c r="R1183" i="11"/>
  <c r="T1183" i="11" s="1"/>
  <c r="R1176" i="11"/>
  <c r="T1176" i="11" s="1"/>
  <c r="R1179" i="11"/>
  <c r="T1179" i="11" s="1"/>
  <c r="U1179" i="11" s="1"/>
  <c r="S1180" i="11"/>
  <c r="T1180" i="11" s="1"/>
  <c r="S1181" i="11"/>
  <c r="T1181" i="11" s="1"/>
  <c r="U1181" i="11" s="1"/>
  <c r="V1181" i="11" s="1"/>
  <c r="AD950" i="11"/>
  <c r="AD909" i="11"/>
  <c r="AD873" i="11"/>
  <c r="AD821" i="11"/>
  <c r="T1177" i="11"/>
  <c r="U1177" i="11" s="1"/>
  <c r="V1177" i="11" s="1"/>
  <c r="BG1170" i="11"/>
  <c r="BH1170" i="11"/>
  <c r="BI1170" i="11"/>
  <c r="BJ1170" i="11"/>
  <c r="BG1171" i="11"/>
  <c r="BH1171" i="11"/>
  <c r="BI1171" i="11"/>
  <c r="BJ1171" i="11"/>
  <c r="R1171" i="11"/>
  <c r="T1171" i="11" s="1"/>
  <c r="R1170" i="11"/>
  <c r="T1170" i="11" s="1"/>
  <c r="U1170" i="11" s="1"/>
  <c r="V1170" i="11" s="1"/>
  <c r="S1167" i="11"/>
  <c r="T1167" i="11" s="1"/>
  <c r="T1168" i="11"/>
  <c r="U1168" i="11" s="1"/>
  <c r="V1168" i="11" s="1"/>
  <c r="H1170" i="11"/>
  <c r="H1171" i="11"/>
  <c r="W1170" i="11"/>
  <c r="AF1170" i="11" s="1"/>
  <c r="AR1170" i="11" s="1"/>
  <c r="W1171" i="11"/>
  <c r="AF1171" i="11" s="1"/>
  <c r="AR1171" i="11" s="1"/>
  <c r="AD1170" i="11"/>
  <c r="AD1171" i="11"/>
  <c r="AS1170" i="11"/>
  <c r="AS1171" i="11"/>
  <c r="AT1170" i="11"/>
  <c r="AE1170" i="11" s="1"/>
  <c r="AT1171" i="11"/>
  <c r="AE1171" i="11" s="1"/>
  <c r="AV1170" i="11"/>
  <c r="AY1170" i="11" s="1"/>
  <c r="AV1171" i="11"/>
  <c r="AW1170" i="11"/>
  <c r="AW1171" i="11"/>
  <c r="S1112" i="11"/>
  <c r="S1103" i="11"/>
  <c r="AD1151" i="11"/>
  <c r="AD1119" i="11"/>
  <c r="S1164" i="11"/>
  <c r="T1164" i="11" s="1"/>
  <c r="S1161" i="11"/>
  <c r="T1161" i="11" s="1"/>
  <c r="S1163" i="11"/>
  <c r="T1163" i="11" s="1"/>
  <c r="R1165" i="11"/>
  <c r="R1162" i="11"/>
  <c r="T1162" i="11" s="1"/>
  <c r="BG1166" i="11"/>
  <c r="BH1166" i="11"/>
  <c r="BI1166" i="11"/>
  <c r="BJ1166" i="11"/>
  <c r="BG1167" i="11"/>
  <c r="BH1167" i="11"/>
  <c r="BI1167" i="11"/>
  <c r="BJ1167" i="11"/>
  <c r="BG1168" i="11"/>
  <c r="BH1168" i="11"/>
  <c r="BI1168" i="11"/>
  <c r="BJ1168" i="11"/>
  <c r="BG1169" i="11"/>
  <c r="BH1169" i="11"/>
  <c r="BI1169" i="11"/>
  <c r="BJ1169" i="11"/>
  <c r="BG1172" i="11"/>
  <c r="BH1172" i="11"/>
  <c r="BI1172" i="11"/>
  <c r="BJ1172" i="11"/>
  <c r="BG1173" i="11"/>
  <c r="BH1173" i="11"/>
  <c r="BI1173" i="11"/>
  <c r="BJ1173" i="11"/>
  <c r="BG1174" i="11"/>
  <c r="BH1174" i="11"/>
  <c r="BI1174" i="11"/>
  <c r="BJ1174" i="11"/>
  <c r="BG1175" i="11"/>
  <c r="BH1175" i="11"/>
  <c r="BI1175" i="11"/>
  <c r="BJ1175" i="11"/>
  <c r="BG1176" i="11"/>
  <c r="BH1176" i="11"/>
  <c r="BI1176" i="11"/>
  <c r="BJ1176" i="11"/>
  <c r="BG1177" i="11"/>
  <c r="BH1177" i="11"/>
  <c r="BI1177" i="11"/>
  <c r="BJ1177" i="11"/>
  <c r="BG1179" i="11"/>
  <c r="BH1179" i="11"/>
  <c r="BI1179" i="11"/>
  <c r="BJ1179" i="11"/>
  <c r="BG1180" i="11"/>
  <c r="BH1180" i="11"/>
  <c r="BI1180" i="11"/>
  <c r="BJ1180" i="11"/>
  <c r="BG1181" i="11"/>
  <c r="BH1181" i="11"/>
  <c r="BI1181" i="11"/>
  <c r="BJ1181" i="11"/>
  <c r="BG1182" i="11"/>
  <c r="BH1182" i="11"/>
  <c r="BI1182" i="11"/>
  <c r="BJ1182" i="11"/>
  <c r="BG1183" i="11"/>
  <c r="BH1183" i="11"/>
  <c r="BI1183" i="11"/>
  <c r="BJ1183" i="11"/>
  <c r="BG1184" i="11"/>
  <c r="BH1184" i="11"/>
  <c r="BI1184" i="11"/>
  <c r="BJ1184" i="11"/>
  <c r="BG1185" i="11"/>
  <c r="BH1185" i="11"/>
  <c r="BI1185" i="11"/>
  <c r="BJ1185" i="11"/>
  <c r="BG1186" i="11"/>
  <c r="BH1186" i="11"/>
  <c r="BI1186" i="11"/>
  <c r="BJ1186" i="11"/>
  <c r="BG1187" i="11"/>
  <c r="BH1187" i="11"/>
  <c r="BI1187" i="11"/>
  <c r="BJ1187" i="11"/>
  <c r="BG1188" i="11"/>
  <c r="BH1188" i="11"/>
  <c r="BI1188" i="11"/>
  <c r="BJ1188" i="11"/>
  <c r="BG1189" i="11"/>
  <c r="BH1189" i="11"/>
  <c r="BI1189" i="11"/>
  <c r="BJ1189" i="11"/>
  <c r="BG1190" i="11"/>
  <c r="BH1190" i="11"/>
  <c r="BI1190" i="11"/>
  <c r="BJ1190" i="11"/>
  <c r="BG1191" i="11"/>
  <c r="BH1191" i="11"/>
  <c r="BI1191" i="11"/>
  <c r="BJ1191" i="11"/>
  <c r="BG1192" i="11"/>
  <c r="BH1192" i="11"/>
  <c r="BI1192" i="11"/>
  <c r="BJ1192" i="11"/>
  <c r="BG1193" i="11"/>
  <c r="BH1193" i="11"/>
  <c r="BI1193" i="11"/>
  <c r="BJ1193" i="11"/>
  <c r="W1166" i="11"/>
  <c r="AF1166" i="11" s="1"/>
  <c r="AR1166" i="11" s="1"/>
  <c r="W1167" i="11"/>
  <c r="AF1167" i="11" s="1"/>
  <c r="AR1167" i="11" s="1"/>
  <c r="W1168" i="11"/>
  <c r="AF1168" i="11" s="1"/>
  <c r="AR1168" i="11" s="1"/>
  <c r="W1172" i="11"/>
  <c r="AF1172" i="11" s="1"/>
  <c r="AR1172" i="11" s="1"/>
  <c r="W1173" i="11"/>
  <c r="AF1173" i="11" s="1"/>
  <c r="AR1173" i="11" s="1"/>
  <c r="W1174" i="11"/>
  <c r="W1175" i="11"/>
  <c r="AF1175" i="11" s="1"/>
  <c r="W1176" i="11"/>
  <c r="AF1176" i="11" s="1"/>
  <c r="W1177" i="11"/>
  <c r="AF1177" i="11" s="1"/>
  <c r="W1179" i="11"/>
  <c r="AF1179" i="11" s="1"/>
  <c r="W1180" i="11"/>
  <c r="AF1180" i="11" s="1"/>
  <c r="W1181" i="11"/>
  <c r="AF1181" i="11" s="1"/>
  <c r="W1183" i="11"/>
  <c r="AF1183" i="11" s="1"/>
  <c r="W1184" i="11"/>
  <c r="AF1184" i="11" s="1"/>
  <c r="W1185" i="11"/>
  <c r="AF1185" i="11" s="1"/>
  <c r="AR1185" i="11" s="1"/>
  <c r="W1186" i="11"/>
  <c r="AF1186" i="11" s="1"/>
  <c r="AR1186" i="11" s="1"/>
  <c r="T1172" i="11"/>
  <c r="U1172" i="11" s="1"/>
  <c r="V1172" i="11" s="1"/>
  <c r="T1173" i="11"/>
  <c r="H1166" i="11"/>
  <c r="H1167" i="11"/>
  <c r="H1168" i="11"/>
  <c r="H1169" i="11"/>
  <c r="H1172" i="11"/>
  <c r="H1173" i="11"/>
  <c r="H1174" i="11"/>
  <c r="H1175" i="11"/>
  <c r="H1176" i="11"/>
  <c r="H1177" i="11"/>
  <c r="H1179" i="11"/>
  <c r="H1180" i="11"/>
  <c r="H1181" i="11"/>
  <c r="H1182" i="11"/>
  <c r="H1183" i="11"/>
  <c r="H1184" i="11"/>
  <c r="H1185" i="11"/>
  <c r="H1186" i="11"/>
  <c r="H1187" i="11"/>
  <c r="H1188" i="11"/>
  <c r="H1189" i="11"/>
  <c r="H1190" i="11"/>
  <c r="H1191" i="11"/>
  <c r="H1192" i="11"/>
  <c r="H1193" i="11"/>
  <c r="AD1166" i="11"/>
  <c r="AD1167" i="11"/>
  <c r="AD1168" i="11"/>
  <c r="AD1172" i="11"/>
  <c r="AD1173" i="11"/>
  <c r="AD1174" i="11"/>
  <c r="AD1175" i="11"/>
  <c r="AD1176" i="11"/>
  <c r="AD1177" i="11"/>
  <c r="AD1180" i="11"/>
  <c r="AD1181" i="11"/>
  <c r="AD1183" i="11"/>
  <c r="AD1184" i="11"/>
  <c r="AD1185" i="11"/>
  <c r="AD1186" i="11"/>
  <c r="AE1166" i="11"/>
  <c r="AE1167" i="11"/>
  <c r="AE1168" i="11"/>
  <c r="AE1172" i="11"/>
  <c r="AE1173" i="11"/>
  <c r="AE1174" i="11"/>
  <c r="AE1175" i="11"/>
  <c r="AE1176" i="11"/>
  <c r="AE1177" i="11"/>
  <c r="AE1179" i="11"/>
  <c r="AE1180" i="11"/>
  <c r="AE1181" i="11"/>
  <c r="AE1185" i="11"/>
  <c r="AE1186" i="11"/>
  <c r="AS1166" i="11"/>
  <c r="AS1167" i="11"/>
  <c r="AS1168" i="11"/>
  <c r="AS1169" i="11"/>
  <c r="AS1172" i="11"/>
  <c r="AS1173" i="11"/>
  <c r="AS1174" i="11"/>
  <c r="AS1175" i="11"/>
  <c r="AS1176" i="11"/>
  <c r="AS1177" i="11"/>
  <c r="AS1179" i="11"/>
  <c r="AS1180" i="11"/>
  <c r="AS1181" i="11"/>
  <c r="AS1182" i="11"/>
  <c r="AS1183" i="11"/>
  <c r="AS1184" i="11"/>
  <c r="AS1185" i="11"/>
  <c r="AS1186" i="11"/>
  <c r="AS1187" i="11"/>
  <c r="AS1188" i="11"/>
  <c r="AS1189" i="11"/>
  <c r="AS1190" i="11"/>
  <c r="AS1191" i="11"/>
  <c r="AS1192" i="11"/>
  <c r="AS1193" i="11"/>
  <c r="AT1166" i="11"/>
  <c r="AO1166" i="11" s="1"/>
  <c r="AT1167" i="11"/>
  <c r="AM1167" i="11" s="1"/>
  <c r="AT1168" i="11"/>
  <c r="AM1168" i="11" s="1"/>
  <c r="AT1169" i="11"/>
  <c r="AT1172" i="11"/>
  <c r="AK1172" i="11" s="1"/>
  <c r="AT1173" i="11"/>
  <c r="AI1173" i="11" s="1"/>
  <c r="AT1174" i="11"/>
  <c r="AG1174" i="11" s="1"/>
  <c r="AX1174" i="11" s="1"/>
  <c r="AT1175" i="11"/>
  <c r="AG1175" i="11" s="1"/>
  <c r="AX1175" i="11" s="1"/>
  <c r="AT1176" i="11"/>
  <c r="AI1176" i="11" s="1"/>
  <c r="AT1177" i="11"/>
  <c r="AT1179" i="11"/>
  <c r="AG1179" i="11" s="1"/>
  <c r="AX1179" i="11" s="1"/>
  <c r="AT1180" i="11"/>
  <c r="AT1181" i="11"/>
  <c r="AG1181" i="11" s="1"/>
  <c r="AX1181" i="11" s="1"/>
  <c r="AT1182" i="11"/>
  <c r="AT1183" i="11"/>
  <c r="AT1184" i="11"/>
  <c r="AT1185" i="11"/>
  <c r="AO1185" i="11" s="1"/>
  <c r="AT1186" i="11"/>
  <c r="AM1186" i="11" s="1"/>
  <c r="AT1187" i="11"/>
  <c r="AM1187" i="11" s="1"/>
  <c r="AT1188" i="11"/>
  <c r="AK1188" i="11" s="1"/>
  <c r="AT1189" i="11"/>
  <c r="AK1189" i="11" s="1"/>
  <c r="AT1190" i="11"/>
  <c r="AI1190" i="11" s="1"/>
  <c r="AT1191" i="11"/>
  <c r="AK1191" i="11" s="1"/>
  <c r="AT1192" i="11"/>
  <c r="AG1192" i="11" s="1"/>
  <c r="AX1192" i="11" s="1"/>
  <c r="AT1193" i="11"/>
  <c r="AK1193" i="11" s="1"/>
  <c r="AV1166" i="11"/>
  <c r="AY1166" i="11" s="1"/>
  <c r="AV1167" i="11"/>
  <c r="AV1168" i="11"/>
  <c r="AY1168" i="11" s="1"/>
  <c r="AV1169" i="11"/>
  <c r="AV1172" i="11"/>
  <c r="AY1172" i="11" s="1"/>
  <c r="AV1173" i="11"/>
  <c r="AY1173" i="11" s="1"/>
  <c r="AV1174" i="11"/>
  <c r="AY1174" i="11" s="1"/>
  <c r="AV1175" i="11"/>
  <c r="AY1175" i="11" s="1"/>
  <c r="AV1176" i="11"/>
  <c r="AY1176" i="11" s="1"/>
  <c r="AV1177" i="11"/>
  <c r="AY1177" i="11" s="1"/>
  <c r="AV1179" i="11"/>
  <c r="AY1179" i="11" s="1"/>
  <c r="AV1180" i="11"/>
  <c r="AY1180" i="11" s="1"/>
  <c r="AV1181" i="11"/>
  <c r="AY1181" i="11" s="1"/>
  <c r="AV1182" i="11"/>
  <c r="AY1182" i="11" s="1"/>
  <c r="AV1183" i="11"/>
  <c r="AY1183" i="11" s="1"/>
  <c r="AV1184" i="11"/>
  <c r="AY1184" i="11" s="1"/>
  <c r="AV1185" i="11"/>
  <c r="AY1185" i="11" s="1"/>
  <c r="AV1186" i="11"/>
  <c r="AY1186" i="11" s="1"/>
  <c r="AV1187" i="11"/>
  <c r="AY1187" i="11" s="1"/>
  <c r="AV1188" i="11"/>
  <c r="AV1189" i="11"/>
  <c r="AY1189" i="11" s="1"/>
  <c r="AV1190" i="11"/>
  <c r="AY1190" i="11" s="1"/>
  <c r="AV1191" i="11"/>
  <c r="AY1191" i="11" s="1"/>
  <c r="AV1192" i="11"/>
  <c r="AY1192" i="11" s="1"/>
  <c r="AV1193" i="11"/>
  <c r="AY1193" i="11" s="1"/>
  <c r="AW1166" i="11"/>
  <c r="AW1167" i="11"/>
  <c r="AW1168" i="11"/>
  <c r="AW1169" i="11"/>
  <c r="AW1172" i="11"/>
  <c r="AW1173" i="11"/>
  <c r="AW1174" i="11"/>
  <c r="AW1175" i="11"/>
  <c r="AW1176" i="11"/>
  <c r="AW1177" i="11"/>
  <c r="AW1179" i="11"/>
  <c r="AW1180" i="11"/>
  <c r="AW1181" i="11"/>
  <c r="AW1182" i="11"/>
  <c r="AW1183" i="11"/>
  <c r="AW1184" i="11"/>
  <c r="AW1185" i="11"/>
  <c r="AW1186" i="11"/>
  <c r="AW1187" i="11"/>
  <c r="AW1188" i="11"/>
  <c r="AW1189" i="11"/>
  <c r="AW1190" i="11"/>
  <c r="AW1191" i="11"/>
  <c r="AW1192" i="11"/>
  <c r="AW1193" i="11"/>
  <c r="BJ1153" i="11"/>
  <c r="BI1153" i="11"/>
  <c r="BH1153" i="11"/>
  <c r="BG1153" i="11"/>
  <c r="BJ1144" i="11"/>
  <c r="BI1144" i="11"/>
  <c r="BH1144" i="11"/>
  <c r="BG1144" i="11"/>
  <c r="T1153" i="11"/>
  <c r="U1153" i="11" s="1"/>
  <c r="T1144" i="11"/>
  <c r="U1144" i="11" s="1"/>
  <c r="V1144" i="11" s="1"/>
  <c r="H1153" i="11"/>
  <c r="W1153" i="11"/>
  <c r="AF1153" i="11" s="1"/>
  <c r="AR1153" i="11" s="1"/>
  <c r="AD1153" i="11"/>
  <c r="AS1153" i="11"/>
  <c r="AT1153" i="11"/>
  <c r="AM1153" i="11" s="1"/>
  <c r="AV1153" i="11"/>
  <c r="AY1153" i="11" s="1"/>
  <c r="AW1153" i="11"/>
  <c r="H1144" i="11"/>
  <c r="W1144" i="11"/>
  <c r="AF1144" i="11" s="1"/>
  <c r="AR1144" i="11" s="1"/>
  <c r="AD1144" i="11"/>
  <c r="AS1144" i="11"/>
  <c r="AT1144" i="11"/>
  <c r="AO1144" i="11" s="1"/>
  <c r="AV1144" i="11"/>
  <c r="AY1144" i="11" s="1"/>
  <c r="AW1144" i="11"/>
  <c r="T1166" i="11" l="1"/>
  <c r="U1166" i="11" s="1"/>
  <c r="V1166" i="11" s="1"/>
  <c r="AU1166" i="11" s="1"/>
  <c r="T1196" i="11"/>
  <c r="U1196" i="11" s="1"/>
  <c r="V1196" i="11" s="1"/>
  <c r="AU1196" i="11" s="1"/>
  <c r="T1175" i="11"/>
  <c r="U1175" i="11" s="1"/>
  <c r="V1175" i="11" s="1"/>
  <c r="AU1175" i="11" s="1"/>
  <c r="T1195" i="11"/>
  <c r="U1195" i="11" s="1"/>
  <c r="V1195" i="11" s="1"/>
  <c r="AU1195" i="11" s="1"/>
  <c r="BB1239" i="11"/>
  <c r="BB1240" i="11"/>
  <c r="BB1237" i="11"/>
  <c r="BB1238" i="11"/>
  <c r="BB1241" i="11"/>
  <c r="BB1242" i="11"/>
  <c r="BB1244" i="11"/>
  <c r="BB1245" i="11"/>
  <c r="BB1246" i="11"/>
  <c r="BB1247" i="11"/>
  <c r="BB1248" i="11"/>
  <c r="BB1252" i="11"/>
  <c r="BB1253" i="11"/>
  <c r="BB1254" i="11"/>
  <c r="BB1255" i="11"/>
  <c r="BB1256" i="11"/>
  <c r="BB1257" i="11"/>
  <c r="BB1258" i="11"/>
  <c r="BB1260" i="11"/>
  <c r="BB1261" i="11"/>
  <c r="BB1262" i="11"/>
  <c r="BB1259" i="11"/>
  <c r="BB1230" i="11"/>
  <c r="BB1233" i="11"/>
  <c r="BB1234" i="11"/>
  <c r="BB1235" i="11"/>
  <c r="BB1236" i="11"/>
  <c r="AO1169" i="11"/>
  <c r="AM1169" i="11"/>
  <c r="AK1169" i="11"/>
  <c r="AI1169" i="11"/>
  <c r="AG1169" i="11"/>
  <c r="AO1182" i="11"/>
  <c r="AM1182" i="11"/>
  <c r="AK1182" i="11"/>
  <c r="AI1182" i="11"/>
  <c r="AG1182" i="11"/>
  <c r="AX1182" i="11" s="1"/>
  <c r="BA1182" i="11" s="1"/>
  <c r="AU1215" i="11"/>
  <c r="BB1198" i="11"/>
  <c r="BB1229" i="11"/>
  <c r="BB1197" i="11"/>
  <c r="BB1215" i="11"/>
  <c r="BB1216" i="11"/>
  <c r="T1193" i="11"/>
  <c r="U1193" i="11" s="1"/>
  <c r="V1193" i="11" s="1"/>
  <c r="AU1193" i="11" s="1"/>
  <c r="BB1220" i="11"/>
  <c r="BB1221" i="11"/>
  <c r="BB1222" i="11"/>
  <c r="AU1197" i="11"/>
  <c r="AU1198" i="11"/>
  <c r="BB1224" i="11"/>
  <c r="BB1208" i="11"/>
  <c r="BB1210" i="11"/>
  <c r="BB1211" i="11"/>
  <c r="BB1212" i="11"/>
  <c r="BB1219" i="11"/>
  <c r="BB1213" i="11"/>
  <c r="BB1214" i="11"/>
  <c r="BB1217" i="11"/>
  <c r="BB1218" i="11"/>
  <c r="BB1209" i="11"/>
  <c r="BB1223" i="11"/>
  <c r="BB1225" i="11"/>
  <c r="BB1226" i="11"/>
  <c r="BB1227" i="11"/>
  <c r="BB1228" i="11"/>
  <c r="AZ1207" i="11"/>
  <c r="T1174" i="11"/>
  <c r="U1174" i="11" s="1"/>
  <c r="V1174" i="11" s="1"/>
  <c r="AU1174" i="11" s="1"/>
  <c r="BK1178" i="11"/>
  <c r="BN1178" i="11" s="1"/>
  <c r="AZ1196" i="11"/>
  <c r="AZ1199" i="11"/>
  <c r="AZ1200" i="11"/>
  <c r="AZ1201" i="11"/>
  <c r="AZ1202" i="11"/>
  <c r="AZ1203" i="11"/>
  <c r="AZ1204" i="11"/>
  <c r="AZ1205" i="11"/>
  <c r="AZ1206" i="11"/>
  <c r="AZ1195" i="11"/>
  <c r="BK1206" i="11"/>
  <c r="BN1206" i="11" s="1"/>
  <c r="AZ1194" i="11"/>
  <c r="BK1205" i="11"/>
  <c r="BN1205" i="11" s="1"/>
  <c r="BK1194" i="11"/>
  <c r="BN1194" i="11" s="1"/>
  <c r="BK1195" i="11"/>
  <c r="BN1195" i="11" s="1"/>
  <c r="BK1196" i="11"/>
  <c r="BN1196" i="11" s="1"/>
  <c r="BK1199" i="11"/>
  <c r="BN1199" i="11" s="1"/>
  <c r="BK1200" i="11"/>
  <c r="BN1200" i="11" s="1"/>
  <c r="BK1201" i="11"/>
  <c r="BN1201" i="11" s="1"/>
  <c r="BK1202" i="11"/>
  <c r="BN1202" i="11" s="1"/>
  <c r="BK1203" i="11"/>
  <c r="BN1203" i="11" s="1"/>
  <c r="BK1204" i="11"/>
  <c r="BN1204" i="11" s="1"/>
  <c r="BK1207" i="11"/>
  <c r="BN1207" i="11" s="1"/>
  <c r="AU1178" i="11"/>
  <c r="U1184" i="11"/>
  <c r="V1184" i="11" s="1"/>
  <c r="U1183" i="11"/>
  <c r="V1183" i="11" s="1"/>
  <c r="AU1200" i="11"/>
  <c r="AU1202" i="11"/>
  <c r="AU1203" i="11"/>
  <c r="AU1201" i="11"/>
  <c r="AY1178" i="11"/>
  <c r="AZ1178" i="11"/>
  <c r="AG1178" i="11"/>
  <c r="AX1178" i="11" s="1"/>
  <c r="BA1178" i="11" s="1"/>
  <c r="AI1178" i="11"/>
  <c r="AK1178" i="11"/>
  <c r="AM1178" i="11"/>
  <c r="AO1178" i="11"/>
  <c r="BA1196" i="11"/>
  <c r="BA1201" i="11"/>
  <c r="BA1194" i="11"/>
  <c r="BA1199" i="11"/>
  <c r="BA1195" i="11"/>
  <c r="BA1200" i="11"/>
  <c r="AU1204" i="11"/>
  <c r="BA1202" i="11"/>
  <c r="BA1203" i="11"/>
  <c r="BA1204" i="11"/>
  <c r="AU1205" i="11"/>
  <c r="AU1206" i="11"/>
  <c r="AU1207" i="11"/>
  <c r="U1194" i="11"/>
  <c r="V1194" i="11" s="1"/>
  <c r="AU1194" i="11" s="1"/>
  <c r="U1199" i="11"/>
  <c r="V1199" i="11" s="1"/>
  <c r="AU1199" i="11" s="1"/>
  <c r="AO1194" i="11"/>
  <c r="AK1194" i="11"/>
  <c r="AI1194" i="11"/>
  <c r="AM1194" i="11"/>
  <c r="AO1195" i="11"/>
  <c r="AM1195" i="11"/>
  <c r="AI1195" i="11"/>
  <c r="AK1195" i="11"/>
  <c r="AK1196" i="11"/>
  <c r="AO1196" i="11"/>
  <c r="AI1196" i="11"/>
  <c r="AM1196" i="11"/>
  <c r="AI1199" i="11"/>
  <c r="AK1199" i="11"/>
  <c r="AM1199" i="11"/>
  <c r="AO1199" i="11"/>
  <c r="AI1200" i="11"/>
  <c r="AM1200" i="11"/>
  <c r="AO1200" i="11"/>
  <c r="AK1200" i="11"/>
  <c r="AK1201" i="11"/>
  <c r="AO1201" i="11"/>
  <c r="AI1201" i="11"/>
  <c r="AM1201" i="11"/>
  <c r="AO1202" i="11"/>
  <c r="AM1202" i="11"/>
  <c r="AK1202" i="11"/>
  <c r="AI1202" i="11"/>
  <c r="AO1203" i="11"/>
  <c r="AM1203" i="11"/>
  <c r="AI1203" i="11"/>
  <c r="AK1203" i="11"/>
  <c r="AK1204" i="11"/>
  <c r="AO1204" i="11"/>
  <c r="AI1204" i="11"/>
  <c r="AM1204" i="11"/>
  <c r="AK1205" i="11"/>
  <c r="AG1205" i="11"/>
  <c r="AX1205" i="11" s="1"/>
  <c r="BA1205" i="11" s="1"/>
  <c r="AI1205" i="11"/>
  <c r="AM1205" i="11"/>
  <c r="AO1205" i="11"/>
  <c r="AK1206" i="11"/>
  <c r="AM1206" i="11"/>
  <c r="AI1206" i="11"/>
  <c r="AG1206" i="11"/>
  <c r="AX1206" i="11" s="1"/>
  <c r="BA1206" i="11" s="1"/>
  <c r="AO1206" i="11"/>
  <c r="AK1207" i="11"/>
  <c r="AM1207" i="11"/>
  <c r="AI1207" i="11"/>
  <c r="AG1207" i="11"/>
  <c r="AX1207" i="11" s="1"/>
  <c r="BA1207" i="11" s="1"/>
  <c r="AO1207" i="11"/>
  <c r="AO1183" i="11"/>
  <c r="AE1183" i="11"/>
  <c r="AO1184" i="11"/>
  <c r="AE1184" i="11"/>
  <c r="AZ1144" i="11"/>
  <c r="BK1170" i="11"/>
  <c r="BN1170" i="11" s="1"/>
  <c r="BK1171" i="11"/>
  <c r="BN1171" i="11" s="1"/>
  <c r="U1171" i="11"/>
  <c r="V1171" i="11" s="1"/>
  <c r="AU1171" i="11" s="1"/>
  <c r="AZ1170" i="11"/>
  <c r="AU1170" i="11"/>
  <c r="AZ1171" i="11"/>
  <c r="AY1171" i="11"/>
  <c r="AG1170" i="11"/>
  <c r="AX1170" i="11" s="1"/>
  <c r="BA1170" i="11" s="1"/>
  <c r="AI1170" i="11"/>
  <c r="AK1170" i="11"/>
  <c r="AM1170" i="11"/>
  <c r="AO1170" i="11"/>
  <c r="AG1171" i="11"/>
  <c r="AX1171" i="11" s="1"/>
  <c r="BA1171" i="11" s="1"/>
  <c r="AI1171" i="11"/>
  <c r="AK1171" i="11"/>
  <c r="AM1171" i="11"/>
  <c r="AO1171" i="11"/>
  <c r="T1165" i="11"/>
  <c r="BK1181" i="11"/>
  <c r="BN1181" i="11" s="1"/>
  <c r="AU1187" i="11"/>
  <c r="AZ1183" i="11"/>
  <c r="AZ1167" i="11"/>
  <c r="BK1190" i="11"/>
  <c r="BN1190" i="11" s="1"/>
  <c r="BK1173" i="11"/>
  <c r="BN1173" i="11" s="1"/>
  <c r="BA1179" i="11"/>
  <c r="AZ1192" i="11"/>
  <c r="AZ1191" i="11"/>
  <c r="BK1192" i="11"/>
  <c r="BN1192" i="11" s="1"/>
  <c r="AZ1176" i="11"/>
  <c r="AZ1175" i="11"/>
  <c r="AZ1174" i="11"/>
  <c r="AZ1189" i="11"/>
  <c r="AZ1172" i="11"/>
  <c r="AO1187" i="11"/>
  <c r="AZ1193" i="11"/>
  <c r="AU1182" i="11"/>
  <c r="BK1183" i="11"/>
  <c r="BN1183" i="11" s="1"/>
  <c r="BK1174" i="11"/>
  <c r="BN1174" i="11" s="1"/>
  <c r="BK1177" i="11"/>
  <c r="BN1177" i="11" s="1"/>
  <c r="AU1181" i="11"/>
  <c r="BA1181" i="11"/>
  <c r="AU1191" i="11"/>
  <c r="AU1168" i="11"/>
  <c r="BK1153" i="11"/>
  <c r="BN1153" i="11" s="1"/>
  <c r="AK1176" i="11"/>
  <c r="AZ1186" i="11"/>
  <c r="AI1193" i="11"/>
  <c r="AZ1180" i="11"/>
  <c r="BK1184" i="11"/>
  <c r="BN1184" i="11" s="1"/>
  <c r="BK1176" i="11"/>
  <c r="BN1176" i="11" s="1"/>
  <c r="BA1174" i="11"/>
  <c r="AZ1185" i="11"/>
  <c r="AZ1184" i="11"/>
  <c r="BK1180" i="11"/>
  <c r="BN1180" i="11" s="1"/>
  <c r="AZ1182" i="11"/>
  <c r="BK1175" i="11"/>
  <c r="BN1175" i="11" s="1"/>
  <c r="BK1144" i="11"/>
  <c r="BN1144" i="11" s="1"/>
  <c r="AZ1177" i="11"/>
  <c r="BK1191" i="11"/>
  <c r="BN1191" i="11" s="1"/>
  <c r="AU1192" i="11"/>
  <c r="BK1188" i="11"/>
  <c r="BN1188" i="11" s="1"/>
  <c r="BK1168" i="11"/>
  <c r="BN1168" i="11" s="1"/>
  <c r="BK1193" i="11"/>
  <c r="BN1193" i="11" s="1"/>
  <c r="BK1182" i="11"/>
  <c r="BN1182" i="11" s="1"/>
  <c r="BK1179" i="11"/>
  <c r="BN1179" i="11" s="1"/>
  <c r="AU1172" i="11"/>
  <c r="AI1179" i="11"/>
  <c r="AF1174" i="11"/>
  <c r="AR1174" i="11" s="1"/>
  <c r="BK1186" i="11"/>
  <c r="BN1186" i="11" s="1"/>
  <c r="BK1166" i="11"/>
  <c r="BN1166" i="11" s="1"/>
  <c r="BK1185" i="11"/>
  <c r="BN1185" i="11" s="1"/>
  <c r="AZ1187" i="11"/>
  <c r="BK1167" i="11"/>
  <c r="BN1167" i="11" s="1"/>
  <c r="AZ1166" i="11"/>
  <c r="AK1168" i="11"/>
  <c r="BK1172" i="11"/>
  <c r="BN1172" i="11" s="1"/>
  <c r="BK1189" i="11"/>
  <c r="BN1189" i="11" s="1"/>
  <c r="BK1169" i="11"/>
  <c r="BN1169" i="11" s="1"/>
  <c r="AZ1168" i="11"/>
  <c r="AM1191" i="11"/>
  <c r="BK1187" i="11"/>
  <c r="BN1187" i="11" s="1"/>
  <c r="AZ1179" i="11"/>
  <c r="AR1181" i="11"/>
  <c r="AR1183" i="11"/>
  <c r="AR1180" i="11"/>
  <c r="AR1177" i="11"/>
  <c r="AR1184" i="11"/>
  <c r="AR1179" i="11"/>
  <c r="AR1176" i="11"/>
  <c r="AR1175" i="11"/>
  <c r="V1179" i="11"/>
  <c r="AU1179" i="11" s="1"/>
  <c r="V1186" i="11"/>
  <c r="AU1186" i="11" s="1"/>
  <c r="AY1167" i="11"/>
  <c r="AZ1188" i="11"/>
  <c r="AZ1169" i="11"/>
  <c r="AK1174" i="11"/>
  <c r="AU1169" i="11"/>
  <c r="AM1174" i="11"/>
  <c r="U1167" i="11"/>
  <c r="V1167" i="11" s="1"/>
  <c r="AU1167" i="11" s="1"/>
  <c r="AG1191" i="11"/>
  <c r="AX1191" i="11" s="1"/>
  <c r="BA1191" i="11" s="1"/>
  <c r="AM1172" i="11"/>
  <c r="AM1166" i="11"/>
  <c r="U1189" i="11"/>
  <c r="V1189" i="11" s="1"/>
  <c r="AU1189" i="11" s="1"/>
  <c r="AO1172" i="11"/>
  <c r="U1188" i="11"/>
  <c r="V1188" i="11" s="1"/>
  <c r="AU1188" i="11" s="1"/>
  <c r="AO1189" i="11"/>
  <c r="AI1189" i="11"/>
  <c r="AO1168" i="11"/>
  <c r="AI1172" i="11"/>
  <c r="AM1189" i="11"/>
  <c r="V1185" i="11"/>
  <c r="AU1185" i="11" s="1"/>
  <c r="AM1185" i="11"/>
  <c r="AU1177" i="11"/>
  <c r="AZ1181" i="11"/>
  <c r="BA1192" i="11"/>
  <c r="BA1175" i="11"/>
  <c r="AK1187" i="11"/>
  <c r="AY1188" i="11"/>
  <c r="AY1169" i="11"/>
  <c r="AM1184" i="11"/>
  <c r="AK1186" i="11"/>
  <c r="AK1167" i="11"/>
  <c r="AI1188" i="11"/>
  <c r="AG1190" i="11"/>
  <c r="AX1190" i="11" s="1"/>
  <c r="BA1190" i="11" s="1"/>
  <c r="AG1173" i="11"/>
  <c r="AX1173" i="11" s="1"/>
  <c r="BA1173" i="11" s="1"/>
  <c r="U1180" i="11"/>
  <c r="V1180" i="11" s="1"/>
  <c r="AU1180" i="11" s="1"/>
  <c r="AO1181" i="11"/>
  <c r="AM1183" i="11"/>
  <c r="AK1185" i="11"/>
  <c r="AK1166" i="11"/>
  <c r="AI1187" i="11"/>
  <c r="AI1168" i="11"/>
  <c r="AG1189" i="11"/>
  <c r="AX1189" i="11" s="1"/>
  <c r="BA1189" i="11" s="1"/>
  <c r="AG1172" i="11"/>
  <c r="AX1172" i="11" s="1"/>
  <c r="BA1172" i="11" s="1"/>
  <c r="AO1180" i="11"/>
  <c r="AK1184" i="11"/>
  <c r="AI1186" i="11"/>
  <c r="AI1167" i="11"/>
  <c r="AG1188" i="11"/>
  <c r="AX1188" i="11" s="1"/>
  <c r="BA1188" i="11" s="1"/>
  <c r="BA1169" i="11"/>
  <c r="AO1179" i="11"/>
  <c r="AM1181" i="11"/>
  <c r="AK1183" i="11"/>
  <c r="AI1185" i="11"/>
  <c r="AI1166" i="11"/>
  <c r="AG1187" i="11"/>
  <c r="AX1187" i="11" s="1"/>
  <c r="BA1187" i="11" s="1"/>
  <c r="AG1168" i="11"/>
  <c r="AX1168" i="11" s="1"/>
  <c r="BA1168" i="11" s="1"/>
  <c r="U1176" i="11"/>
  <c r="V1176" i="11" s="1"/>
  <c r="AU1176" i="11" s="1"/>
  <c r="AO1177" i="11"/>
  <c r="AM1180" i="11"/>
  <c r="AI1184" i="11"/>
  <c r="AG1186" i="11"/>
  <c r="AX1186" i="11" s="1"/>
  <c r="BA1186" i="11" s="1"/>
  <c r="AG1167" i="11"/>
  <c r="AX1167" i="11" s="1"/>
  <c r="BA1167" i="11" s="1"/>
  <c r="AZ1190" i="11"/>
  <c r="AZ1173" i="11"/>
  <c r="AO1193" i="11"/>
  <c r="AO1176" i="11"/>
  <c r="AM1179" i="11"/>
  <c r="AK1181" i="11"/>
  <c r="AI1183" i="11"/>
  <c r="AG1185" i="11"/>
  <c r="AX1185" i="11" s="1"/>
  <c r="BA1185" i="11" s="1"/>
  <c r="AG1166" i="11"/>
  <c r="AX1166" i="11" s="1"/>
  <c r="BA1166" i="11" s="1"/>
  <c r="AO1192" i="11"/>
  <c r="AO1175" i="11"/>
  <c r="AM1177" i="11"/>
  <c r="AK1180" i="11"/>
  <c r="AG1184" i="11"/>
  <c r="AX1184" i="11" s="1"/>
  <c r="BA1184" i="11" s="1"/>
  <c r="U1190" i="11"/>
  <c r="V1190" i="11" s="1"/>
  <c r="AU1190" i="11" s="1"/>
  <c r="U1173" i="11"/>
  <c r="V1173" i="11" s="1"/>
  <c r="AU1173" i="11" s="1"/>
  <c r="AO1191" i="11"/>
  <c r="AO1174" i="11"/>
  <c r="AM1193" i="11"/>
  <c r="AM1176" i="11"/>
  <c r="AK1179" i="11"/>
  <c r="AI1181" i="11"/>
  <c r="AG1183" i="11"/>
  <c r="AX1183" i="11" s="1"/>
  <c r="BA1183" i="11" s="1"/>
  <c r="AO1190" i="11"/>
  <c r="AO1173" i="11"/>
  <c r="AM1192" i="11"/>
  <c r="AM1175" i="11"/>
  <c r="AK1177" i="11"/>
  <c r="AI1180" i="11"/>
  <c r="AO1188" i="11"/>
  <c r="AM1190" i="11"/>
  <c r="AM1173" i="11"/>
  <c r="AK1192" i="11"/>
  <c r="AK1175" i="11"/>
  <c r="AI1177" i="11"/>
  <c r="AG1180" i="11"/>
  <c r="AX1180" i="11" s="1"/>
  <c r="BA1180" i="11" s="1"/>
  <c r="AO1186" i="11"/>
  <c r="AO1167" i="11"/>
  <c r="AM1188" i="11"/>
  <c r="AK1190" i="11"/>
  <c r="AK1173" i="11"/>
  <c r="AI1192" i="11"/>
  <c r="AI1175" i="11"/>
  <c r="AG1177" i="11"/>
  <c r="AX1177" i="11" s="1"/>
  <c r="BA1177" i="11" s="1"/>
  <c r="AI1191" i="11"/>
  <c r="AI1174" i="11"/>
  <c r="AG1193" i="11"/>
  <c r="AX1193" i="11" s="1"/>
  <c r="BA1193" i="11" s="1"/>
  <c r="AG1176" i="11"/>
  <c r="AX1176" i="11" s="1"/>
  <c r="BA1176" i="11" s="1"/>
  <c r="AE1153" i="11"/>
  <c r="AE1144" i="11"/>
  <c r="AU1144" i="11" s="1"/>
  <c r="V1153" i="11"/>
  <c r="AK1144" i="11"/>
  <c r="AI1144" i="11"/>
  <c r="AG1144" i="11"/>
  <c r="AX1144" i="11" s="1"/>
  <c r="BA1144" i="11" s="1"/>
  <c r="AK1153" i="11"/>
  <c r="AI1153" i="11"/>
  <c r="AG1153" i="11"/>
  <c r="AX1153" i="11" s="1"/>
  <c r="BA1153" i="11" s="1"/>
  <c r="AZ1153" i="11"/>
  <c r="AO1153" i="11"/>
  <c r="AM1144" i="11"/>
  <c r="R1112" i="11"/>
  <c r="R1103" i="11"/>
  <c r="R1160" i="11"/>
  <c r="R1158" i="11"/>
  <c r="S1154" i="11"/>
  <c r="BB1207" i="11" l="1"/>
  <c r="BB1196" i="11"/>
  <c r="BB1201" i="11"/>
  <c r="BB1199" i="11"/>
  <c r="BB1202" i="11"/>
  <c r="BB1203" i="11"/>
  <c r="BB1204" i="11"/>
  <c r="BB1200" i="11"/>
  <c r="BB1205" i="11"/>
  <c r="BB1206" i="11"/>
  <c r="BB1195" i="11"/>
  <c r="BB1178" i="11"/>
  <c r="BB1194" i="11"/>
  <c r="AU1183" i="11"/>
  <c r="AU1184" i="11"/>
  <c r="BB1144" i="11"/>
  <c r="BB1170" i="11"/>
  <c r="BB1171" i="11"/>
  <c r="BB1181" i="11"/>
  <c r="BB1192" i="11"/>
  <c r="BB1183" i="11"/>
  <c r="BB1177" i="11"/>
  <c r="BB1179" i="11"/>
  <c r="BB1174" i="11"/>
  <c r="BB1186" i="11"/>
  <c r="BB1175" i="11"/>
  <c r="BB1176" i="11"/>
  <c r="BB1193" i="11"/>
  <c r="BB1172" i="11"/>
  <c r="BB1189" i="11"/>
  <c r="BB1191" i="11"/>
  <c r="BB1182" i="11"/>
  <c r="BB1180" i="11"/>
  <c r="BB1190" i="11"/>
  <c r="BB1184" i="11"/>
  <c r="BB1167" i="11"/>
  <c r="BB1185" i="11"/>
  <c r="BB1187" i="11"/>
  <c r="BB1166" i="11"/>
  <c r="BB1153" i="11"/>
  <c r="BB1168" i="11"/>
  <c r="BB1173" i="11"/>
  <c r="BB1169" i="11"/>
  <c r="BB1188" i="11"/>
  <c r="AU1153" i="11"/>
  <c r="R1156" i="11"/>
  <c r="T1156" i="11" s="1"/>
  <c r="BG1154" i="11"/>
  <c r="BH1154" i="11"/>
  <c r="BI1154" i="11"/>
  <c r="BJ1154" i="11"/>
  <c r="BG1155" i="11"/>
  <c r="BH1155" i="11"/>
  <c r="BI1155" i="11"/>
  <c r="BJ1155" i="11"/>
  <c r="BG1156" i="11"/>
  <c r="BH1156" i="11"/>
  <c r="BI1156" i="11"/>
  <c r="BJ1156" i="11"/>
  <c r="BG1157" i="11"/>
  <c r="BH1157" i="11"/>
  <c r="BI1157" i="11"/>
  <c r="BJ1157" i="11"/>
  <c r="BG1158" i="11"/>
  <c r="BH1158" i="11"/>
  <c r="BI1158" i="11"/>
  <c r="BJ1158" i="11"/>
  <c r="BG1159" i="11"/>
  <c r="BH1159" i="11"/>
  <c r="BI1159" i="11"/>
  <c r="BJ1159" i="11"/>
  <c r="BG1160" i="11"/>
  <c r="BH1160" i="11"/>
  <c r="BI1160" i="11"/>
  <c r="BJ1160" i="11"/>
  <c r="BG1161" i="11"/>
  <c r="BH1161" i="11"/>
  <c r="BI1161" i="11"/>
  <c r="BJ1161" i="11"/>
  <c r="BG1162" i="11"/>
  <c r="BH1162" i="11"/>
  <c r="BI1162" i="11"/>
  <c r="BJ1162" i="11"/>
  <c r="BG1163" i="11"/>
  <c r="BH1163" i="11"/>
  <c r="BI1163" i="11"/>
  <c r="BJ1163" i="11"/>
  <c r="BG1164" i="11"/>
  <c r="BH1164" i="11"/>
  <c r="BI1164" i="11"/>
  <c r="BJ1164" i="11"/>
  <c r="BG1165" i="11"/>
  <c r="BH1165" i="11"/>
  <c r="BI1165" i="11"/>
  <c r="BJ1165" i="11"/>
  <c r="T1154" i="11"/>
  <c r="T1157" i="11"/>
  <c r="T1158" i="11"/>
  <c r="T1159" i="11"/>
  <c r="T1160" i="11"/>
  <c r="BK1164" i="11" l="1"/>
  <c r="BN1164" i="11" s="1"/>
  <c r="BK1161" i="11"/>
  <c r="BN1161" i="11" s="1"/>
  <c r="BK1165" i="11"/>
  <c r="BN1165" i="11" s="1"/>
  <c r="BK1156" i="11"/>
  <c r="BN1156" i="11" s="1"/>
  <c r="BK1160" i="11"/>
  <c r="BN1160" i="11" s="1"/>
  <c r="BK1154" i="11"/>
  <c r="BN1154" i="11" s="1"/>
  <c r="BK1163" i="11"/>
  <c r="BN1163" i="11" s="1"/>
  <c r="BK1158" i="11"/>
  <c r="BN1158" i="11" s="1"/>
  <c r="BK1155" i="11"/>
  <c r="BN1155" i="11" s="1"/>
  <c r="BK1162" i="11"/>
  <c r="BN1162" i="11" s="1"/>
  <c r="BK1159" i="11"/>
  <c r="BN1159" i="11" s="1"/>
  <c r="BK1157" i="11"/>
  <c r="BN1157" i="11" s="1"/>
  <c r="BJ1143" i="11"/>
  <c r="BI1143" i="11"/>
  <c r="BH1143" i="11"/>
  <c r="BG1143" i="11"/>
  <c r="R1143" i="11"/>
  <c r="T1143" i="11" s="1"/>
  <c r="U1143" i="11" s="1"/>
  <c r="H1143" i="11"/>
  <c r="W1143" i="11"/>
  <c r="AF1143" i="11" s="1"/>
  <c r="AR1143" i="11" s="1"/>
  <c r="AD1143" i="11"/>
  <c r="AS1143" i="11"/>
  <c r="AT1143" i="11"/>
  <c r="AM1143" i="11" s="1"/>
  <c r="AV1143" i="11"/>
  <c r="AY1143" i="11" s="1"/>
  <c r="AW1143" i="11"/>
  <c r="BK1143" i="11" l="1"/>
  <c r="BN1143" i="11" s="1"/>
  <c r="AE1143" i="11"/>
  <c r="AZ1143" i="11"/>
  <c r="V1143" i="11"/>
  <c r="AI1143" i="11"/>
  <c r="AG1143" i="11"/>
  <c r="AX1143" i="11" s="1"/>
  <c r="BA1143" i="11" s="1"/>
  <c r="AK1143" i="11"/>
  <c r="AO1143" i="11"/>
  <c r="AU1143" i="11" l="1"/>
  <c r="BB1143" i="11"/>
  <c r="R1151" i="11"/>
  <c r="T1151" i="11" s="1"/>
  <c r="S1152" i="11"/>
  <c r="T1152" i="11" s="1"/>
  <c r="S1149" i="11"/>
  <c r="T1149" i="11" s="1"/>
  <c r="T1148" i="11"/>
  <c r="T1147" i="11"/>
  <c r="S1146" i="11"/>
  <c r="T1146" i="11" s="1"/>
  <c r="S1145" i="11"/>
  <c r="T1145" i="11" s="1"/>
  <c r="R1150" i="11"/>
  <c r="T1150" i="11" s="1"/>
  <c r="H1154" i="11"/>
  <c r="H1155" i="11"/>
  <c r="H1156" i="11"/>
  <c r="H1157" i="11"/>
  <c r="H1158" i="11"/>
  <c r="H1159" i="11"/>
  <c r="H1160" i="11"/>
  <c r="H1161" i="11"/>
  <c r="H1162" i="11"/>
  <c r="H1163" i="11"/>
  <c r="H1164" i="11"/>
  <c r="H1165" i="11"/>
  <c r="U1154" i="11"/>
  <c r="V1154" i="11" s="1"/>
  <c r="U1156" i="11"/>
  <c r="U1157" i="11"/>
  <c r="U1158" i="11"/>
  <c r="V1158" i="11" s="1"/>
  <c r="U1159" i="11"/>
  <c r="U1160" i="11"/>
  <c r="V1160" i="11" s="1"/>
  <c r="U1162" i="11"/>
  <c r="V1162" i="11" s="1"/>
  <c r="U1165" i="11"/>
  <c r="V1165" i="11" s="1"/>
  <c r="W1154" i="11"/>
  <c r="AF1154" i="11" s="1"/>
  <c r="AR1154" i="11" s="1"/>
  <c r="W1156" i="11"/>
  <c r="AF1156" i="11" s="1"/>
  <c r="AR1156" i="11" s="1"/>
  <c r="W1157" i="11"/>
  <c r="AF1157" i="11" s="1"/>
  <c r="AR1157" i="11" s="1"/>
  <c r="W1158" i="11"/>
  <c r="AF1158" i="11" s="1"/>
  <c r="AR1158" i="11" s="1"/>
  <c r="W1159" i="11"/>
  <c r="AF1159" i="11" s="1"/>
  <c r="AR1159" i="11" s="1"/>
  <c r="W1160" i="11"/>
  <c r="AF1160" i="11" s="1"/>
  <c r="AR1160" i="11" s="1"/>
  <c r="W1161" i="11"/>
  <c r="AF1161" i="11" s="1"/>
  <c r="AR1161" i="11" s="1"/>
  <c r="W1162" i="11"/>
  <c r="AF1162" i="11" s="1"/>
  <c r="AR1162" i="11" s="1"/>
  <c r="W1163" i="11"/>
  <c r="AF1163" i="11" s="1"/>
  <c r="AR1163" i="11" s="1"/>
  <c r="W1164" i="11"/>
  <c r="AF1164" i="11" s="1"/>
  <c r="AR1164" i="11" s="1"/>
  <c r="W1165" i="11"/>
  <c r="AF1165" i="11" s="1"/>
  <c r="AR1165" i="11" s="1"/>
  <c r="AD1154" i="11"/>
  <c r="AD1156" i="11"/>
  <c r="AD1157" i="11"/>
  <c r="AD1158" i="11"/>
  <c r="AD1159" i="11"/>
  <c r="AD1160" i="11"/>
  <c r="AD1161" i="11"/>
  <c r="AD1162" i="11"/>
  <c r="AD1163" i="11"/>
  <c r="AD1164" i="11"/>
  <c r="AD1165" i="11"/>
  <c r="AE1154" i="11"/>
  <c r="AE1156" i="11"/>
  <c r="AE1157" i="11"/>
  <c r="AE1159" i="11"/>
  <c r="AE1160" i="11"/>
  <c r="AE1161" i="11"/>
  <c r="AE1163" i="11"/>
  <c r="AE1164" i="11"/>
  <c r="AE1165" i="11"/>
  <c r="AS1154" i="11"/>
  <c r="AS1155" i="11"/>
  <c r="AS1156" i="11"/>
  <c r="AS1157" i="11"/>
  <c r="AS1158" i="11"/>
  <c r="AS1159" i="11"/>
  <c r="AS1160" i="11"/>
  <c r="AS1161" i="11"/>
  <c r="AS1162" i="11"/>
  <c r="AS1163" i="11"/>
  <c r="AS1164" i="11"/>
  <c r="AS1165" i="11"/>
  <c r="AT1154" i="11"/>
  <c r="AG1154" i="11" s="1"/>
  <c r="AX1154" i="11" s="1"/>
  <c r="AT1155" i="11"/>
  <c r="AT1156" i="11"/>
  <c r="AG1156" i="11" s="1"/>
  <c r="AX1156" i="11" s="1"/>
  <c r="AT1157" i="11"/>
  <c r="AG1157" i="11" s="1"/>
  <c r="AX1157" i="11" s="1"/>
  <c r="AT1158" i="11"/>
  <c r="AG1158" i="11" s="1"/>
  <c r="AX1158" i="11" s="1"/>
  <c r="AT1159" i="11"/>
  <c r="AG1159" i="11" s="1"/>
  <c r="AX1159" i="11" s="1"/>
  <c r="AT1160" i="11"/>
  <c r="AG1160" i="11" s="1"/>
  <c r="AX1160" i="11" s="1"/>
  <c r="AT1161" i="11"/>
  <c r="AG1161" i="11" s="1"/>
  <c r="AX1161" i="11" s="1"/>
  <c r="AT1162" i="11"/>
  <c r="AG1162" i="11" s="1"/>
  <c r="AX1162" i="11" s="1"/>
  <c r="AT1163" i="11"/>
  <c r="AT1164" i="11"/>
  <c r="AG1164" i="11" s="1"/>
  <c r="AX1164" i="11" s="1"/>
  <c r="AT1165" i="11"/>
  <c r="AV1154" i="11"/>
  <c r="AY1154" i="11" s="1"/>
  <c r="AV1155" i="11"/>
  <c r="AY1155" i="11" s="1"/>
  <c r="AV1156" i="11"/>
  <c r="AY1156" i="11" s="1"/>
  <c r="AV1157" i="11"/>
  <c r="AY1157" i="11" s="1"/>
  <c r="AV1158" i="11"/>
  <c r="AY1158" i="11" s="1"/>
  <c r="AV1159" i="11"/>
  <c r="AY1159" i="11" s="1"/>
  <c r="AV1160" i="11"/>
  <c r="AY1160" i="11" s="1"/>
  <c r="AV1161" i="11"/>
  <c r="AY1161" i="11" s="1"/>
  <c r="AV1162" i="11"/>
  <c r="AY1162" i="11" s="1"/>
  <c r="AV1163" i="11"/>
  <c r="AY1163" i="11" s="1"/>
  <c r="AV1164" i="11"/>
  <c r="AY1164" i="11" s="1"/>
  <c r="AV1165" i="11"/>
  <c r="AY1165" i="11" s="1"/>
  <c r="AW1154" i="11"/>
  <c r="AW1155" i="11"/>
  <c r="AW1156" i="11"/>
  <c r="AW1157" i="11"/>
  <c r="AW1158" i="11"/>
  <c r="AW1159" i="11"/>
  <c r="AW1160" i="11"/>
  <c r="AW1161" i="11"/>
  <c r="AW1162" i="11"/>
  <c r="AW1163" i="11"/>
  <c r="AW1164" i="11"/>
  <c r="AW1165" i="11"/>
  <c r="AD1073" i="11"/>
  <c r="AD1057" i="11"/>
  <c r="AD1014" i="11"/>
  <c r="AD987" i="11"/>
  <c r="R1140" i="11"/>
  <c r="T1140" i="11" s="1"/>
  <c r="R1135" i="11"/>
  <c r="T1135" i="11" s="1"/>
  <c r="T1134" i="11"/>
  <c r="T1136" i="11"/>
  <c r="T1137" i="11"/>
  <c r="T1138" i="11"/>
  <c r="T1141" i="11"/>
  <c r="S1142" i="11"/>
  <c r="T1142" i="11" s="1"/>
  <c r="S1139" i="11"/>
  <c r="T1139" i="11" s="1"/>
  <c r="AG1136" i="11"/>
  <c r="AH1136" i="11"/>
  <c r="AO1155" i="11" l="1"/>
  <c r="AM1155" i="11"/>
  <c r="AK1155" i="11"/>
  <c r="AI1155" i="11"/>
  <c r="AG1155" i="11"/>
  <c r="AE1162" i="11"/>
  <c r="AU1162" i="11" s="1"/>
  <c r="AE1158" i="11"/>
  <c r="AU1158" i="11" s="1"/>
  <c r="AZ1154" i="11"/>
  <c r="AZ1162" i="11"/>
  <c r="AZ1163" i="11"/>
  <c r="AZ1159" i="11"/>
  <c r="AZ1157" i="11"/>
  <c r="V1157" i="11"/>
  <c r="AU1157" i="11" s="1"/>
  <c r="U1163" i="11"/>
  <c r="V1163" i="11" s="1"/>
  <c r="AU1163" i="11" s="1"/>
  <c r="V1159" i="11"/>
  <c r="AU1159" i="11" s="1"/>
  <c r="AU1160" i="11"/>
  <c r="AZ1160" i="11"/>
  <c r="V1156" i="11"/>
  <c r="AU1156" i="11" s="1"/>
  <c r="AZ1161" i="11"/>
  <c r="U1164" i="11"/>
  <c r="V1164" i="11" s="1"/>
  <c r="AU1164" i="11" s="1"/>
  <c r="AZ1164" i="11"/>
  <c r="AZ1158" i="11"/>
  <c r="BA1164" i="11"/>
  <c r="AU1154" i="11"/>
  <c r="BA1158" i="11"/>
  <c r="AZ1155" i="11"/>
  <c r="AU1155" i="11"/>
  <c r="AZ1165" i="11"/>
  <c r="U1161" i="11"/>
  <c r="V1161" i="11" s="1"/>
  <c r="AU1161" i="11" s="1"/>
  <c r="BA1154" i="11"/>
  <c r="AU1165" i="11"/>
  <c r="BA1162" i="11"/>
  <c r="BA1161" i="11"/>
  <c r="BA1160" i="11"/>
  <c r="BA1159" i="11"/>
  <c r="BA1157" i="11"/>
  <c r="BA1156" i="11"/>
  <c r="BA1155" i="11"/>
  <c r="AG1165" i="11"/>
  <c r="AX1165" i="11" s="1"/>
  <c r="BA1165" i="11" s="1"/>
  <c r="AZ1156" i="11"/>
  <c r="AM1154" i="11"/>
  <c r="AO1165" i="11"/>
  <c r="AM1165" i="11"/>
  <c r="AK1165" i="11"/>
  <c r="AI1165" i="11"/>
  <c r="AO1164" i="11"/>
  <c r="AM1164" i="11"/>
  <c r="AK1164" i="11"/>
  <c r="AI1164" i="11"/>
  <c r="AO1163" i="11"/>
  <c r="AG1163" i="11"/>
  <c r="AX1163" i="11" s="1"/>
  <c r="BA1163" i="11" s="1"/>
  <c r="AK1154" i="11"/>
  <c r="AI1154" i="11"/>
  <c r="AM1163" i="11"/>
  <c r="AK1163" i="11"/>
  <c r="AI1163" i="11"/>
  <c r="AO1162" i="11"/>
  <c r="AM1162" i="11"/>
  <c r="AK1162" i="11"/>
  <c r="AI1162" i="11"/>
  <c r="AO1161" i="11"/>
  <c r="AM1161" i="11"/>
  <c r="AK1161" i="11"/>
  <c r="AI1161" i="11"/>
  <c r="AO1160" i="11"/>
  <c r="AM1160" i="11"/>
  <c r="AK1160" i="11"/>
  <c r="AI1160" i="11"/>
  <c r="AO1159" i="11"/>
  <c r="AM1159" i="11"/>
  <c r="AK1159" i="11"/>
  <c r="AI1159" i="11"/>
  <c r="AO1158" i="11"/>
  <c r="AM1158" i="11"/>
  <c r="AK1158" i="11"/>
  <c r="AI1158" i="11"/>
  <c r="AO1157" i="11"/>
  <c r="AM1157" i="11"/>
  <c r="AK1157" i="11"/>
  <c r="AI1157" i="11"/>
  <c r="AO1156" i="11"/>
  <c r="AM1156" i="11"/>
  <c r="AK1156" i="11"/>
  <c r="AI1156" i="11"/>
  <c r="AO1154" i="11"/>
  <c r="H1141" i="11"/>
  <c r="H1142" i="11"/>
  <c r="H1145" i="11"/>
  <c r="H1146" i="11"/>
  <c r="H1147" i="11"/>
  <c r="H1148" i="11"/>
  <c r="H1149" i="11"/>
  <c r="H1150" i="11"/>
  <c r="H1151" i="11"/>
  <c r="H1152" i="11"/>
  <c r="H1140" i="11"/>
  <c r="H1139" i="11"/>
  <c r="R1129" i="11"/>
  <c r="BB1160" i="11" l="1"/>
  <c r="BB1156" i="11"/>
  <c r="BB1163" i="11"/>
  <c r="BB1159" i="11"/>
  <c r="BB1158" i="11"/>
  <c r="BB1162" i="11"/>
  <c r="BB1161" i="11"/>
  <c r="BB1155" i="11"/>
  <c r="BB1164" i="11"/>
  <c r="BB1157" i="11"/>
  <c r="BB1154" i="11"/>
  <c r="BB1165" i="11"/>
  <c r="AD815" i="11"/>
  <c r="AD816" i="11"/>
  <c r="R817" i="11"/>
  <c r="R816" i="11"/>
  <c r="S817" i="11"/>
  <c r="S816" i="11"/>
  <c r="R1128" i="11"/>
  <c r="R1130" i="11"/>
  <c r="R1125" i="11"/>
  <c r="R1124" i="11"/>
  <c r="R1126" i="11"/>
  <c r="S1127" i="11"/>
  <c r="R1119" i="11"/>
  <c r="R1106" i="11" l="1"/>
  <c r="T1106" i="11" s="1"/>
  <c r="AE1116" i="11"/>
  <c r="AD1116" i="11"/>
  <c r="W1116" i="11"/>
  <c r="AF1116" i="11" s="1"/>
  <c r="AR1116" i="11" s="1"/>
  <c r="T1116" i="11"/>
  <c r="T1119" i="11"/>
  <c r="T1121" i="11"/>
  <c r="T1122" i="11"/>
  <c r="T1123" i="11"/>
  <c r="U1123" i="11" s="1"/>
  <c r="V1123" i="11" s="1"/>
  <c r="T1124" i="11"/>
  <c r="U1124" i="11" s="1"/>
  <c r="V1124" i="11" s="1"/>
  <c r="T1125" i="11"/>
  <c r="T1126" i="11"/>
  <c r="U1126" i="11" s="1"/>
  <c r="V1126" i="11" s="1"/>
  <c r="T1127" i="11"/>
  <c r="T1128" i="11"/>
  <c r="T1129" i="11"/>
  <c r="T1130" i="11"/>
  <c r="T1131" i="11"/>
  <c r="T1132" i="11"/>
  <c r="T1133" i="11"/>
  <c r="U1133" i="11" s="1"/>
  <c r="U1134" i="11"/>
  <c r="U1135" i="11"/>
  <c r="V1135" i="11" s="1"/>
  <c r="U1136" i="11"/>
  <c r="V1136" i="11" s="1"/>
  <c r="U1137" i="11"/>
  <c r="U1138" i="11"/>
  <c r="U1139" i="11"/>
  <c r="U1140" i="11"/>
  <c r="U1142" i="11"/>
  <c r="V1142" i="11" s="1"/>
  <c r="U1145" i="11"/>
  <c r="U1146" i="11"/>
  <c r="V1146" i="11" s="1"/>
  <c r="U1148" i="11"/>
  <c r="U1150" i="11"/>
  <c r="U1151" i="11"/>
  <c r="U1152" i="11"/>
  <c r="W1121" i="11"/>
  <c r="W1122" i="11"/>
  <c r="W1123" i="11"/>
  <c r="W1124" i="11"/>
  <c r="W1125" i="11"/>
  <c r="AF1125" i="11" s="1"/>
  <c r="AR1125" i="11" s="1"/>
  <c r="W1126" i="11"/>
  <c r="W1127" i="11"/>
  <c r="W1128" i="11"/>
  <c r="AF1128" i="11" s="1"/>
  <c r="AR1128" i="11" s="1"/>
  <c r="W1129" i="11"/>
  <c r="AF1129" i="11" s="1"/>
  <c r="AR1129" i="11" s="1"/>
  <c r="W1130" i="11"/>
  <c r="AF1130" i="11" s="1"/>
  <c r="AR1130" i="11" s="1"/>
  <c r="W1131" i="11"/>
  <c r="AF1131" i="11" s="1"/>
  <c r="AR1131" i="11" s="1"/>
  <c r="W1132" i="11"/>
  <c r="AF1132" i="11" s="1"/>
  <c r="AR1132" i="11" s="1"/>
  <c r="W1133" i="11"/>
  <c r="AF1133" i="11" s="1"/>
  <c r="AR1133" i="11" s="1"/>
  <c r="W1134" i="11"/>
  <c r="AF1134" i="11" s="1"/>
  <c r="AR1134" i="11" s="1"/>
  <c r="W1135" i="11"/>
  <c r="AF1135" i="11" s="1"/>
  <c r="AR1135" i="11" s="1"/>
  <c r="W1136" i="11"/>
  <c r="AF1136" i="11" s="1"/>
  <c r="W1137" i="11"/>
  <c r="AF1137" i="11" s="1"/>
  <c r="AR1137" i="11" s="1"/>
  <c r="W1138" i="11"/>
  <c r="AF1138" i="11" s="1"/>
  <c r="AR1138" i="11" s="1"/>
  <c r="W1139" i="11"/>
  <c r="AF1139" i="11" s="1"/>
  <c r="W1140" i="11"/>
  <c r="W1141" i="11"/>
  <c r="AF1141" i="11" s="1"/>
  <c r="W1142" i="11"/>
  <c r="AF1142" i="11" s="1"/>
  <c r="W1145" i="11"/>
  <c r="W1146" i="11"/>
  <c r="W1147" i="11"/>
  <c r="W1148" i="11"/>
  <c r="W1149" i="11"/>
  <c r="W1150" i="11"/>
  <c r="W1151" i="11"/>
  <c r="W1152" i="11"/>
  <c r="BG1118" i="11"/>
  <c r="BH1118" i="11"/>
  <c r="BI1118" i="11"/>
  <c r="BJ1118" i="11"/>
  <c r="BG1119" i="11"/>
  <c r="BH1119" i="11"/>
  <c r="BI1119" i="11"/>
  <c r="BJ1119" i="11"/>
  <c r="BG1120" i="11"/>
  <c r="BH1120" i="11"/>
  <c r="BI1120" i="11"/>
  <c r="BJ1120" i="11"/>
  <c r="BG1121" i="11"/>
  <c r="BH1121" i="11"/>
  <c r="BI1121" i="11"/>
  <c r="BJ1121" i="11"/>
  <c r="BG1122" i="11"/>
  <c r="BH1122" i="11"/>
  <c r="BI1122" i="11"/>
  <c r="BJ1122" i="11"/>
  <c r="BG1123" i="11"/>
  <c r="BH1123" i="11"/>
  <c r="BI1123" i="11"/>
  <c r="BJ1123" i="11"/>
  <c r="BG1124" i="11"/>
  <c r="BH1124" i="11"/>
  <c r="BI1124" i="11"/>
  <c r="BJ1124" i="11"/>
  <c r="BG1125" i="11"/>
  <c r="BH1125" i="11"/>
  <c r="BI1125" i="11"/>
  <c r="BJ1125" i="11"/>
  <c r="BG1126" i="11"/>
  <c r="BH1126" i="11"/>
  <c r="BI1126" i="11"/>
  <c r="BJ1126" i="11"/>
  <c r="BG1127" i="11"/>
  <c r="BH1127" i="11"/>
  <c r="BI1127" i="11"/>
  <c r="BJ1127" i="11"/>
  <c r="BG1128" i="11"/>
  <c r="BH1128" i="11"/>
  <c r="BI1128" i="11"/>
  <c r="BJ1128" i="11"/>
  <c r="BG1129" i="11"/>
  <c r="BH1129" i="11"/>
  <c r="BI1129" i="11"/>
  <c r="BJ1129" i="11"/>
  <c r="BG1130" i="11"/>
  <c r="BH1130" i="11"/>
  <c r="BI1130" i="11"/>
  <c r="BJ1130" i="11"/>
  <c r="BG1131" i="11"/>
  <c r="BH1131" i="11"/>
  <c r="BI1131" i="11"/>
  <c r="BJ1131" i="11"/>
  <c r="BG1132" i="11"/>
  <c r="BH1132" i="11"/>
  <c r="BI1132" i="11"/>
  <c r="BJ1132" i="11"/>
  <c r="BG1133" i="11"/>
  <c r="BH1133" i="11"/>
  <c r="BI1133" i="11"/>
  <c r="BJ1133" i="11"/>
  <c r="BG1134" i="11"/>
  <c r="BH1134" i="11"/>
  <c r="BI1134" i="11"/>
  <c r="BJ1134" i="11"/>
  <c r="BG1135" i="11"/>
  <c r="BH1135" i="11"/>
  <c r="BI1135" i="11"/>
  <c r="BJ1135" i="11"/>
  <c r="BG1136" i="11"/>
  <c r="BH1136" i="11"/>
  <c r="BI1136" i="11"/>
  <c r="BJ1136" i="11"/>
  <c r="BG1137" i="11"/>
  <c r="BH1137" i="11"/>
  <c r="BI1137" i="11"/>
  <c r="BJ1137" i="11"/>
  <c r="BG1138" i="11"/>
  <c r="BH1138" i="11"/>
  <c r="BI1138" i="11"/>
  <c r="BJ1138" i="11"/>
  <c r="BG1139" i="11"/>
  <c r="BH1139" i="11"/>
  <c r="BI1139" i="11"/>
  <c r="BJ1139" i="11"/>
  <c r="BG1140" i="11"/>
  <c r="BH1140" i="11"/>
  <c r="BI1140" i="11"/>
  <c r="BJ1140" i="11"/>
  <c r="BG1141" i="11"/>
  <c r="BH1141" i="11"/>
  <c r="BI1141" i="11"/>
  <c r="BJ1141" i="11"/>
  <c r="BG1142" i="11"/>
  <c r="BH1142" i="11"/>
  <c r="BI1142" i="11"/>
  <c r="BJ1142" i="11"/>
  <c r="BG1145" i="11"/>
  <c r="BH1145" i="11"/>
  <c r="BI1145" i="11"/>
  <c r="BJ1145" i="11"/>
  <c r="BG1146" i="11"/>
  <c r="BH1146" i="11"/>
  <c r="BI1146" i="11"/>
  <c r="BJ1146" i="11"/>
  <c r="BG1147" i="11"/>
  <c r="BH1147" i="11"/>
  <c r="BI1147" i="11"/>
  <c r="BJ1147" i="11"/>
  <c r="BG1148" i="11"/>
  <c r="BH1148" i="11"/>
  <c r="BI1148" i="11"/>
  <c r="BJ1148" i="11"/>
  <c r="BG1149" i="11"/>
  <c r="BH1149" i="11"/>
  <c r="BI1149" i="11"/>
  <c r="BJ1149" i="11"/>
  <c r="BG1150" i="11"/>
  <c r="BH1150" i="11"/>
  <c r="BI1150" i="11"/>
  <c r="BJ1150" i="11"/>
  <c r="BG1151" i="11"/>
  <c r="BH1151" i="11"/>
  <c r="BI1151" i="11"/>
  <c r="BJ1151" i="11"/>
  <c r="BG1152" i="11"/>
  <c r="BH1152" i="11"/>
  <c r="BI1152" i="11"/>
  <c r="BJ1152" i="11"/>
  <c r="W1120" i="11"/>
  <c r="S1120" i="11"/>
  <c r="T1120" i="11" s="1"/>
  <c r="S1118" i="11"/>
  <c r="T1118" i="11" s="1"/>
  <c r="H1120" i="11"/>
  <c r="H1121" i="11"/>
  <c r="H1122" i="11"/>
  <c r="H1123" i="11"/>
  <c r="H1124" i="11"/>
  <c r="H1125" i="11"/>
  <c r="H1126" i="11"/>
  <c r="H1127" i="11"/>
  <c r="H1128" i="11"/>
  <c r="H1129" i="11"/>
  <c r="H1130" i="11"/>
  <c r="H1131" i="11"/>
  <c r="H1132" i="11"/>
  <c r="H1133" i="11"/>
  <c r="H1134" i="11"/>
  <c r="H1135" i="11"/>
  <c r="H1136" i="11"/>
  <c r="H1137" i="11"/>
  <c r="H1138" i="11"/>
  <c r="AD1120" i="11"/>
  <c r="AD1121" i="11"/>
  <c r="AD1122" i="11"/>
  <c r="AD1123" i="11"/>
  <c r="AD1124" i="11"/>
  <c r="AD1125" i="11"/>
  <c r="AD1126" i="11"/>
  <c r="AD1127" i="11"/>
  <c r="AD1128" i="11"/>
  <c r="AD1129" i="11"/>
  <c r="AD1130" i="11"/>
  <c r="AD1131" i="11"/>
  <c r="AD1132" i="11"/>
  <c r="AD1133" i="11"/>
  <c r="AD1134" i="11"/>
  <c r="AD1135" i="11"/>
  <c r="AD1136" i="11"/>
  <c r="AD1137" i="11"/>
  <c r="AD1138" i="11"/>
  <c r="AD1139" i="11"/>
  <c r="AD1140" i="11"/>
  <c r="AD1141" i="11"/>
  <c r="AD1142" i="11"/>
  <c r="AD1145" i="11"/>
  <c r="AD1146" i="11"/>
  <c r="AD1147" i="11"/>
  <c r="AD1148" i="11"/>
  <c r="AD1149" i="11"/>
  <c r="AD1150" i="11"/>
  <c r="AD1152" i="11"/>
  <c r="AE1120" i="11"/>
  <c r="AE1121" i="11"/>
  <c r="AE1122" i="11"/>
  <c r="AE1125" i="11"/>
  <c r="AE1127" i="11"/>
  <c r="AE1128" i="11"/>
  <c r="AE1129" i="11"/>
  <c r="AE1130" i="11"/>
  <c r="AE1131" i="11"/>
  <c r="AE1132" i="11"/>
  <c r="AE1133" i="11"/>
  <c r="AE1134" i="11"/>
  <c r="AE1135" i="11"/>
  <c r="AE1136" i="11"/>
  <c r="AE1137" i="11"/>
  <c r="AE1138" i="11"/>
  <c r="AE1139" i="11"/>
  <c r="AE1141" i="11"/>
  <c r="AE1142" i="11"/>
  <c r="AE1145" i="11"/>
  <c r="AE1146" i="11"/>
  <c r="AE1149" i="11"/>
  <c r="AE1150" i="11"/>
  <c r="AE1151" i="11"/>
  <c r="AE1152" i="11"/>
  <c r="AS1120" i="11"/>
  <c r="AS1121" i="11"/>
  <c r="AS1122" i="11"/>
  <c r="AS1123" i="11"/>
  <c r="AS1124" i="11"/>
  <c r="AS1125" i="11"/>
  <c r="AS1126" i="11"/>
  <c r="AS1127" i="11"/>
  <c r="AS1128" i="11"/>
  <c r="AS1129" i="11"/>
  <c r="AS1130" i="11"/>
  <c r="AS1131" i="11"/>
  <c r="AS1132" i="11"/>
  <c r="AS1133" i="11"/>
  <c r="AS1134" i="11"/>
  <c r="AS1135" i="11"/>
  <c r="AS1136" i="11"/>
  <c r="AS1137" i="11"/>
  <c r="AS1138" i="11"/>
  <c r="AS1139" i="11"/>
  <c r="AS1140" i="11"/>
  <c r="AS1141" i="11"/>
  <c r="AS1142" i="11"/>
  <c r="AS1145" i="11"/>
  <c r="AS1146" i="11"/>
  <c r="AS1147" i="11"/>
  <c r="AS1148" i="11"/>
  <c r="AS1149" i="11"/>
  <c r="AS1150" i="11"/>
  <c r="AS1151" i="11"/>
  <c r="AS1152" i="11"/>
  <c r="AT1120" i="11"/>
  <c r="AO1120" i="11" s="1"/>
  <c r="AT1121" i="11"/>
  <c r="AO1121" i="11" s="1"/>
  <c r="AT1122" i="11"/>
  <c r="AG1122" i="11" s="1"/>
  <c r="AX1122" i="11" s="1"/>
  <c r="AT1123" i="11"/>
  <c r="AG1123" i="11" s="1"/>
  <c r="AX1123" i="11" s="1"/>
  <c r="AT1124" i="11"/>
  <c r="AG1124" i="11" s="1"/>
  <c r="AX1124" i="11" s="1"/>
  <c r="AT1125" i="11"/>
  <c r="AG1125" i="11" s="1"/>
  <c r="AX1125" i="11" s="1"/>
  <c r="AT1126" i="11"/>
  <c r="AK1126" i="11" s="1"/>
  <c r="AT1127" i="11"/>
  <c r="AM1127" i="11" s="1"/>
  <c r="AT1128" i="11"/>
  <c r="AM1128" i="11" s="1"/>
  <c r="AT1129" i="11"/>
  <c r="AG1129" i="11" s="1"/>
  <c r="AX1129" i="11" s="1"/>
  <c r="AT1130" i="11"/>
  <c r="AG1130" i="11" s="1"/>
  <c r="AX1130" i="11" s="1"/>
  <c r="AT1131" i="11"/>
  <c r="AO1131" i="11" s="1"/>
  <c r="AT1132" i="11"/>
  <c r="AI1132" i="11" s="1"/>
  <c r="AT1133" i="11"/>
  <c r="AM1133" i="11" s="1"/>
  <c r="AT1134" i="11"/>
  <c r="AK1134" i="11" s="1"/>
  <c r="AT1135" i="11"/>
  <c r="AT1136" i="11"/>
  <c r="AT1137" i="11"/>
  <c r="AT1138" i="11"/>
  <c r="AT1139" i="11"/>
  <c r="AT1140" i="11"/>
  <c r="AI1140" i="11" s="1"/>
  <c r="AT1141" i="11"/>
  <c r="AT1142" i="11"/>
  <c r="AK1142" i="11" s="1"/>
  <c r="AT1145" i="11"/>
  <c r="AG1145" i="11" s="1"/>
  <c r="AX1145" i="11" s="1"/>
  <c r="AT1146" i="11"/>
  <c r="AG1146" i="11" s="1"/>
  <c r="AX1146" i="11" s="1"/>
  <c r="AT1147" i="11"/>
  <c r="AI1147" i="11" s="1"/>
  <c r="AT1148" i="11"/>
  <c r="AG1148" i="11" s="1"/>
  <c r="AX1148" i="11" s="1"/>
  <c r="AT1149" i="11"/>
  <c r="AI1149" i="11" s="1"/>
  <c r="AT1150" i="11"/>
  <c r="AT1151" i="11"/>
  <c r="AT1152" i="11"/>
  <c r="AK1152" i="11" s="1"/>
  <c r="AV1120" i="11"/>
  <c r="AY1120" i="11" s="1"/>
  <c r="AV1121" i="11"/>
  <c r="AY1121" i="11" s="1"/>
  <c r="AV1122" i="11"/>
  <c r="AY1122" i="11" s="1"/>
  <c r="AV1123" i="11"/>
  <c r="AY1123" i="11" s="1"/>
  <c r="AV1124" i="11"/>
  <c r="AY1124" i="11" s="1"/>
  <c r="AV1125" i="11"/>
  <c r="AY1125" i="11" s="1"/>
  <c r="AV1126" i="11"/>
  <c r="AY1126" i="11" s="1"/>
  <c r="AV1127" i="11"/>
  <c r="AY1127" i="11" s="1"/>
  <c r="AV1128" i="11"/>
  <c r="AY1128" i="11" s="1"/>
  <c r="AV1129" i="11"/>
  <c r="AY1129" i="11" s="1"/>
  <c r="AV1130" i="11"/>
  <c r="AY1130" i="11" s="1"/>
  <c r="AV1131" i="11"/>
  <c r="AY1131" i="11" s="1"/>
  <c r="AV1132" i="11"/>
  <c r="AY1132" i="11" s="1"/>
  <c r="AV1133" i="11"/>
  <c r="AY1133" i="11" s="1"/>
  <c r="AV1134" i="11"/>
  <c r="AY1134" i="11" s="1"/>
  <c r="AV1135" i="11"/>
  <c r="AV1136" i="11"/>
  <c r="AY1136" i="11" s="1"/>
  <c r="AV1137" i="11"/>
  <c r="AY1137" i="11" s="1"/>
  <c r="AV1138" i="11"/>
  <c r="AY1138" i="11" s="1"/>
  <c r="AV1139" i="11"/>
  <c r="AY1139" i="11" s="1"/>
  <c r="AV1140" i="11"/>
  <c r="AY1140" i="11" s="1"/>
  <c r="AV1141" i="11"/>
  <c r="AY1141" i="11" s="1"/>
  <c r="AV1142" i="11"/>
  <c r="AY1142" i="11" s="1"/>
  <c r="AV1145" i="11"/>
  <c r="AY1145" i="11" s="1"/>
  <c r="AV1146" i="11"/>
  <c r="AY1146" i="11" s="1"/>
  <c r="AV1147" i="11"/>
  <c r="AY1147" i="11" s="1"/>
  <c r="AV1148" i="11"/>
  <c r="AY1148" i="11" s="1"/>
  <c r="AV1149" i="11"/>
  <c r="AY1149" i="11" s="1"/>
  <c r="AV1150" i="11"/>
  <c r="AY1150" i="11" s="1"/>
  <c r="AV1151" i="11"/>
  <c r="AY1151" i="11" s="1"/>
  <c r="AV1152" i="11"/>
  <c r="AY1152" i="11" s="1"/>
  <c r="AW1120" i="11"/>
  <c r="AW1121" i="11"/>
  <c r="AW1122" i="11"/>
  <c r="AW1123" i="11"/>
  <c r="AW1124" i="11"/>
  <c r="AW1125" i="11"/>
  <c r="AW1126" i="11"/>
  <c r="AW1127" i="11"/>
  <c r="AW1128" i="11"/>
  <c r="AW1129" i="11"/>
  <c r="AW1130" i="11"/>
  <c r="AW1131" i="11"/>
  <c r="AW1132" i="11"/>
  <c r="AW1133" i="11"/>
  <c r="AW1134" i="11"/>
  <c r="AW1135" i="11"/>
  <c r="AW1136" i="11"/>
  <c r="BA1136" i="11" s="1"/>
  <c r="AW1137" i="11"/>
  <c r="AW1138" i="11"/>
  <c r="AW1139" i="11"/>
  <c r="AW1140" i="11"/>
  <c r="AW1141" i="11"/>
  <c r="AW1142" i="11"/>
  <c r="AW1145" i="11"/>
  <c r="AW1146" i="11"/>
  <c r="AW1147" i="11"/>
  <c r="AW1148" i="11"/>
  <c r="AW1149" i="11"/>
  <c r="AW1150" i="11"/>
  <c r="AW1151" i="11"/>
  <c r="AW1152" i="11"/>
  <c r="R1117" i="11"/>
  <c r="T1117" i="11" s="1"/>
  <c r="T1107" i="11"/>
  <c r="AD1099" i="11"/>
  <c r="AE1099" i="11"/>
  <c r="T1099" i="11"/>
  <c r="U1099" i="11" s="1"/>
  <c r="W1099" i="11"/>
  <c r="AF1099" i="11" s="1"/>
  <c r="AR1099" i="11" s="1"/>
  <c r="AD1091" i="11"/>
  <c r="AE1091" i="11"/>
  <c r="T1091" i="11"/>
  <c r="W1091" i="11"/>
  <c r="AF1091" i="11" s="1"/>
  <c r="AR1091" i="11" s="1"/>
  <c r="T1109" i="11"/>
  <c r="T1110" i="11"/>
  <c r="T1112" i="11"/>
  <c r="BG1116" i="11"/>
  <c r="BH1116" i="11"/>
  <c r="BI1116" i="11"/>
  <c r="BJ1116" i="11"/>
  <c r="BG1117" i="11"/>
  <c r="BH1117" i="11"/>
  <c r="BI1117" i="11"/>
  <c r="BJ1117" i="11"/>
  <c r="BG1115" i="11"/>
  <c r="BH1115" i="11"/>
  <c r="BI1115" i="11"/>
  <c r="BJ1115" i="11"/>
  <c r="BG1107" i="11"/>
  <c r="BH1107" i="11"/>
  <c r="BI1107" i="11"/>
  <c r="BJ1107" i="11"/>
  <c r="BG1108" i="11"/>
  <c r="BH1108" i="11"/>
  <c r="BI1108" i="11"/>
  <c r="BJ1108" i="11"/>
  <c r="BG1109" i="11"/>
  <c r="BH1109" i="11"/>
  <c r="BI1109" i="11"/>
  <c r="BJ1109" i="11"/>
  <c r="BG1110" i="11"/>
  <c r="BH1110" i="11"/>
  <c r="BI1110" i="11"/>
  <c r="BJ1110" i="11"/>
  <c r="BG1111" i="11"/>
  <c r="BH1111" i="11"/>
  <c r="BI1111" i="11"/>
  <c r="BJ1111" i="11"/>
  <c r="BG1112" i="11"/>
  <c r="BH1112" i="11"/>
  <c r="BI1112" i="11"/>
  <c r="BJ1112" i="11"/>
  <c r="AD1089" i="11"/>
  <c r="AD1023" i="11"/>
  <c r="AD1095" i="11"/>
  <c r="AD1088" i="11"/>
  <c r="AD1074" i="11"/>
  <c r="AD1062" i="11"/>
  <c r="AD1044" i="11"/>
  <c r="AD1037" i="11"/>
  <c r="AD1022" i="11"/>
  <c r="AD1003" i="11"/>
  <c r="AD997" i="11"/>
  <c r="R1111" i="11"/>
  <c r="T1111" i="11" s="1"/>
  <c r="R1108" i="11"/>
  <c r="T1108" i="11" s="1"/>
  <c r="W1105" i="11"/>
  <c r="S1105" i="11"/>
  <c r="T1105" i="11" s="1"/>
  <c r="W1104" i="11"/>
  <c r="S1113" i="11"/>
  <c r="T1113" i="11" s="1"/>
  <c r="S1114" i="11"/>
  <c r="T1114" i="11" s="1"/>
  <c r="R1073" i="11"/>
  <c r="R1057" i="11"/>
  <c r="R1014" i="11"/>
  <c r="R987" i="11"/>
  <c r="R961" i="11"/>
  <c r="AI1150" i="11" l="1"/>
  <c r="AE1148" i="11"/>
  <c r="AE1147" i="11"/>
  <c r="AM1151" i="11"/>
  <c r="AE1140" i="11"/>
  <c r="AF1151" i="11"/>
  <c r="AR1151" i="11" s="1"/>
  <c r="AF1152" i="11"/>
  <c r="AR1152" i="11" s="1"/>
  <c r="AF1150" i="11"/>
  <c r="AR1150" i="11" s="1"/>
  <c r="AJ1136" i="11"/>
  <c r="AF1149" i="11"/>
  <c r="AR1149" i="11" s="1"/>
  <c r="AF1148" i="11"/>
  <c r="AR1148" i="11" s="1"/>
  <c r="AF1145" i="11"/>
  <c r="AR1145" i="11" s="1"/>
  <c r="AF1147" i="11"/>
  <c r="AR1147" i="11" s="1"/>
  <c r="AF1140" i="11"/>
  <c r="AR1140" i="11" s="1"/>
  <c r="AF1146" i="11"/>
  <c r="AR1146" i="11" s="1"/>
  <c r="AR1142" i="11"/>
  <c r="AR1139" i="11"/>
  <c r="AR1141" i="11"/>
  <c r="AI1136" i="11"/>
  <c r="AN1136" i="11" s="1"/>
  <c r="AM1136" i="11"/>
  <c r="AR1136" i="11"/>
  <c r="AK1136" i="11"/>
  <c r="AL1136" i="11"/>
  <c r="AF1122" i="11"/>
  <c r="AR1122" i="11" s="1"/>
  <c r="AF1121" i="11"/>
  <c r="AR1121" i="11" s="1"/>
  <c r="AE1124" i="11"/>
  <c r="AU1124" i="11" s="1"/>
  <c r="AE1123" i="11"/>
  <c r="AU1123" i="11" s="1"/>
  <c r="AE1126" i="11"/>
  <c r="AU1126" i="11" s="1"/>
  <c r="AF1126" i="11"/>
  <c r="AR1126" i="11" s="1"/>
  <c r="AF1123" i="11"/>
  <c r="AR1123" i="11" s="1"/>
  <c r="AF1124" i="11"/>
  <c r="AR1124" i="11" s="1"/>
  <c r="AF1127" i="11"/>
  <c r="AR1127" i="11" s="1"/>
  <c r="AF1120" i="11"/>
  <c r="AR1120" i="11" s="1"/>
  <c r="BK1133" i="11"/>
  <c r="BN1133" i="11" s="1"/>
  <c r="BK1118" i="11"/>
  <c r="BN1118" i="11" s="1"/>
  <c r="BK1145" i="11"/>
  <c r="BN1145" i="11" s="1"/>
  <c r="BK1119" i="11"/>
  <c r="BN1119" i="11" s="1"/>
  <c r="BK1122" i="11"/>
  <c r="BN1122" i="11" s="1"/>
  <c r="BK1121" i="11"/>
  <c r="BN1121" i="11" s="1"/>
  <c r="BK1148" i="11"/>
  <c r="BN1148" i="11" s="1"/>
  <c r="BK1126" i="11"/>
  <c r="BN1126" i="11" s="1"/>
  <c r="BK1140" i="11"/>
  <c r="BN1140" i="11" s="1"/>
  <c r="BK1132" i="11"/>
  <c r="BN1132" i="11" s="1"/>
  <c r="BK1127" i="11"/>
  <c r="BN1127" i="11" s="1"/>
  <c r="BK1152" i="11"/>
  <c r="BN1152" i="11" s="1"/>
  <c r="BK1135" i="11"/>
  <c r="BN1135" i="11" s="1"/>
  <c r="BA1145" i="11"/>
  <c r="BK1129" i="11"/>
  <c r="BN1129" i="11" s="1"/>
  <c r="BK1125" i="11"/>
  <c r="BN1125" i="11" s="1"/>
  <c r="BK1120" i="11"/>
  <c r="BN1120" i="11" s="1"/>
  <c r="BA1124" i="11"/>
  <c r="AO1149" i="11"/>
  <c r="BK1142" i="11"/>
  <c r="BN1142" i="11" s="1"/>
  <c r="BK1124" i="11"/>
  <c r="BN1124" i="11" s="1"/>
  <c r="BK1147" i="11"/>
  <c r="BN1147" i="11" s="1"/>
  <c r="BK1130" i="11"/>
  <c r="BN1130" i="11" s="1"/>
  <c r="BK1141" i="11"/>
  <c r="BN1141" i="11" s="1"/>
  <c r="AM1150" i="11"/>
  <c r="BK1137" i="11"/>
  <c r="BN1137" i="11" s="1"/>
  <c r="BK1138" i="11"/>
  <c r="BN1138" i="11" s="1"/>
  <c r="AM1148" i="11"/>
  <c r="BK1150" i="11"/>
  <c r="BN1150" i="11" s="1"/>
  <c r="BK1134" i="11"/>
  <c r="BN1134" i="11" s="1"/>
  <c r="BK1151" i="11"/>
  <c r="BN1151" i="11" s="1"/>
  <c r="AG1126" i="11"/>
  <c r="AX1126" i="11" s="1"/>
  <c r="BA1126" i="11" s="1"/>
  <c r="AZ1131" i="11"/>
  <c r="U1116" i="11"/>
  <c r="V1116" i="11" s="1"/>
  <c r="AM1145" i="11"/>
  <c r="AZ1132" i="11"/>
  <c r="BA1148" i="11"/>
  <c r="BA1130" i="11"/>
  <c r="AI1130" i="11"/>
  <c r="AU1135" i="11"/>
  <c r="BA1129" i="11"/>
  <c r="AI1126" i="11"/>
  <c r="BK1123" i="11"/>
  <c r="BN1123" i="11" s="1"/>
  <c r="BK1139" i="11"/>
  <c r="BN1139" i="11" s="1"/>
  <c r="AZ1145" i="11"/>
  <c r="AZ1142" i="11"/>
  <c r="BK1136" i="11"/>
  <c r="BN1136" i="11" s="1"/>
  <c r="BK1149" i="11"/>
  <c r="BN1149" i="11" s="1"/>
  <c r="BK1131" i="11"/>
  <c r="BN1131" i="11" s="1"/>
  <c r="BK1128" i="11"/>
  <c r="BN1128" i="11" s="1"/>
  <c r="BK1146" i="11"/>
  <c r="BN1146" i="11" s="1"/>
  <c r="V1140" i="11"/>
  <c r="V1139" i="11"/>
  <c r="AU1139" i="11" s="1"/>
  <c r="AM1147" i="11"/>
  <c r="AG1128" i="11"/>
  <c r="AX1128" i="11" s="1"/>
  <c r="BA1128" i="11" s="1"/>
  <c r="AM1146" i="11"/>
  <c r="AI1128" i="11"/>
  <c r="AZ1134" i="11"/>
  <c r="AM1149" i="11"/>
  <c r="AI1127" i="11"/>
  <c r="AK1149" i="11"/>
  <c r="AZ1146" i="11"/>
  <c r="AK1148" i="11"/>
  <c r="BA1125" i="11"/>
  <c r="AK1147" i="11"/>
  <c r="AZ1141" i="11"/>
  <c r="AZ1149" i="11"/>
  <c r="AZ1125" i="11"/>
  <c r="AI1146" i="11"/>
  <c r="U1127" i="11"/>
  <c r="V1127" i="11" s="1"/>
  <c r="AU1127" i="11" s="1"/>
  <c r="AI1145" i="11"/>
  <c r="AZ1130" i="11"/>
  <c r="AK1146" i="11"/>
  <c r="AK1128" i="11"/>
  <c r="AI1131" i="11"/>
  <c r="AU1136" i="11"/>
  <c r="AZ1139" i="11"/>
  <c r="AZ1123" i="11"/>
  <c r="AZ1135" i="11"/>
  <c r="AI1129" i="11"/>
  <c r="AZ1150" i="11"/>
  <c r="AO1151" i="11"/>
  <c r="AK1145" i="11"/>
  <c r="AI1125" i="11"/>
  <c r="V1145" i="11"/>
  <c r="AU1145" i="11" s="1"/>
  <c r="AO1150" i="11"/>
  <c r="AU1146" i="11"/>
  <c r="AK1132" i="11"/>
  <c r="AZ1147" i="11"/>
  <c r="BA1146" i="11"/>
  <c r="AO1148" i="11"/>
  <c r="AK1131" i="11"/>
  <c r="AG1127" i="11"/>
  <c r="AX1127" i="11" s="1"/>
  <c r="BA1127" i="11" s="1"/>
  <c r="AU1142" i="11"/>
  <c r="AZ1152" i="11"/>
  <c r="AI1124" i="11"/>
  <c r="AZ1148" i="11"/>
  <c r="AO1147" i="11"/>
  <c r="AK1133" i="11"/>
  <c r="AK1130" i="11"/>
  <c r="AO1146" i="11"/>
  <c r="AK1129" i="11"/>
  <c r="AO1152" i="11"/>
  <c r="AO1133" i="11"/>
  <c r="AO1132" i="11"/>
  <c r="AZ1128" i="11"/>
  <c r="AO1130" i="11"/>
  <c r="AM1129" i="11"/>
  <c r="AK1127" i="11"/>
  <c r="AG1147" i="11"/>
  <c r="AX1147" i="11" s="1"/>
  <c r="BA1147" i="11" s="1"/>
  <c r="AZ1120" i="11"/>
  <c r="AO1129" i="11"/>
  <c r="AZ1133" i="11"/>
  <c r="AM1134" i="11"/>
  <c r="AO1134" i="11"/>
  <c r="AZ1127" i="11"/>
  <c r="AZ1126" i="11"/>
  <c r="AO1128" i="11"/>
  <c r="AZ1151" i="11"/>
  <c r="AZ1129" i="11"/>
  <c r="AM1152" i="11"/>
  <c r="AK1151" i="11"/>
  <c r="AI1148" i="11"/>
  <c r="AG1132" i="11"/>
  <c r="AX1132" i="11" s="1"/>
  <c r="BA1132" i="11" s="1"/>
  <c r="AZ1136" i="11"/>
  <c r="AM1132" i="11"/>
  <c r="AM1131" i="11"/>
  <c r="AM1130" i="11"/>
  <c r="AG1150" i="11"/>
  <c r="AX1150" i="11" s="1"/>
  <c r="BA1150" i="11" s="1"/>
  <c r="AK1150" i="11"/>
  <c r="AM1137" i="11"/>
  <c r="AK1137" i="11"/>
  <c r="AG1137" i="11"/>
  <c r="AX1137" i="11" s="1"/>
  <c r="BA1137" i="11" s="1"/>
  <c r="AI1137" i="11"/>
  <c r="V1138" i="11"/>
  <c r="AU1138" i="11" s="1"/>
  <c r="U1121" i="11"/>
  <c r="V1121" i="11" s="1"/>
  <c r="AU1121" i="11" s="1"/>
  <c r="V1137" i="11"/>
  <c r="AU1137" i="11" s="1"/>
  <c r="U1120" i="11"/>
  <c r="V1120" i="11" s="1"/>
  <c r="AU1120" i="11" s="1"/>
  <c r="U1122" i="11"/>
  <c r="V1122" i="11" s="1"/>
  <c r="AU1122" i="11" s="1"/>
  <c r="V1133" i="11"/>
  <c r="AU1133" i="11" s="1"/>
  <c r="U1149" i="11"/>
  <c r="V1149" i="11" s="1"/>
  <c r="AU1149" i="11" s="1"/>
  <c r="U1131" i="11"/>
  <c r="V1131" i="11" s="1"/>
  <c r="AU1131" i="11" s="1"/>
  <c r="BA1122" i="11"/>
  <c r="AZ1137" i="11"/>
  <c r="V1150" i="11"/>
  <c r="AU1150" i="11" s="1"/>
  <c r="BA1123" i="11"/>
  <c r="AK1135" i="11"/>
  <c r="AI1135" i="11"/>
  <c r="AG1135" i="11"/>
  <c r="AX1135" i="11" s="1"/>
  <c r="BA1135" i="11" s="1"/>
  <c r="AO1137" i="11"/>
  <c r="AI1142" i="11"/>
  <c r="V1152" i="11"/>
  <c r="AU1152" i="11" s="1"/>
  <c r="U1132" i="11"/>
  <c r="V1132" i="11" s="1"/>
  <c r="AU1132" i="11" s="1"/>
  <c r="AZ1122" i="11"/>
  <c r="AM1121" i="11"/>
  <c r="AK1121" i="11"/>
  <c r="AG1121" i="11"/>
  <c r="AX1121" i="11" s="1"/>
  <c r="BA1121" i="11" s="1"/>
  <c r="AI1121" i="11"/>
  <c r="V1134" i="11"/>
  <c r="AU1134" i="11" s="1"/>
  <c r="AO1126" i="11"/>
  <c r="AM1126" i="11"/>
  <c r="AG1142" i="11"/>
  <c r="AX1142" i="11" s="1"/>
  <c r="BA1142" i="11" s="1"/>
  <c r="AO1125" i="11"/>
  <c r="AK1125" i="11"/>
  <c r="AM1125" i="11"/>
  <c r="AI1141" i="11"/>
  <c r="V1151" i="11"/>
  <c r="AU1151" i="11" s="1"/>
  <c r="AM1139" i="11"/>
  <c r="AO1139" i="11"/>
  <c r="AI1139" i="11"/>
  <c r="AK1139" i="11"/>
  <c r="AO1123" i="11"/>
  <c r="AM1123" i="11"/>
  <c r="AI1123" i="11"/>
  <c r="AK1123" i="11"/>
  <c r="AM1135" i="11"/>
  <c r="AG1139" i="11"/>
  <c r="AX1139" i="11" s="1"/>
  <c r="BA1139" i="11" s="1"/>
  <c r="AZ1138" i="11"/>
  <c r="AM1120" i="11"/>
  <c r="AK1120" i="11"/>
  <c r="AI1120" i="11"/>
  <c r="AG1120" i="11"/>
  <c r="AX1120" i="11" s="1"/>
  <c r="BA1120" i="11" s="1"/>
  <c r="AZ1121" i="11"/>
  <c r="AO1142" i="11"/>
  <c r="AM1142" i="11"/>
  <c r="AO1141" i="11"/>
  <c r="AK1141" i="11"/>
  <c r="AM1141" i="11"/>
  <c r="AG1141" i="11"/>
  <c r="AX1141" i="11" s="1"/>
  <c r="BA1141" i="11" s="1"/>
  <c r="AO1140" i="11"/>
  <c r="AM1140" i="11"/>
  <c r="AK1140" i="11"/>
  <c r="AO1124" i="11"/>
  <c r="AM1124" i="11"/>
  <c r="AK1124" i="11"/>
  <c r="AO1135" i="11"/>
  <c r="AG1140" i="11"/>
  <c r="AX1140" i="11" s="1"/>
  <c r="BA1140" i="11" s="1"/>
  <c r="AZ1140" i="11"/>
  <c r="AZ1124" i="11"/>
  <c r="AO1138" i="11"/>
  <c r="AM1138" i="11"/>
  <c r="AK1138" i="11"/>
  <c r="AI1138" i="11"/>
  <c r="AO1122" i="11"/>
  <c r="AM1122" i="11"/>
  <c r="AK1122" i="11"/>
  <c r="AI1122" i="11"/>
  <c r="AG1138" i="11"/>
  <c r="AX1138" i="11" s="1"/>
  <c r="BA1138" i="11" s="1"/>
  <c r="U1130" i="11"/>
  <c r="V1130" i="11" s="1"/>
  <c r="AU1130" i="11" s="1"/>
  <c r="AO1145" i="11"/>
  <c r="AO1127" i="11"/>
  <c r="V1148" i="11"/>
  <c r="U1147" i="11"/>
  <c r="V1147" i="11" s="1"/>
  <c r="U1129" i="11"/>
  <c r="V1129" i="11" s="1"/>
  <c r="AU1129" i="11" s="1"/>
  <c r="AG1152" i="11"/>
  <c r="AX1152" i="11" s="1"/>
  <c r="BA1152" i="11" s="1"/>
  <c r="AG1134" i="11"/>
  <c r="AX1134" i="11" s="1"/>
  <c r="BA1134" i="11" s="1"/>
  <c r="U1128" i="11"/>
  <c r="V1128" i="11" s="1"/>
  <c r="AU1128" i="11" s="1"/>
  <c r="AY1135" i="11"/>
  <c r="AG1151" i="11"/>
  <c r="AX1151" i="11" s="1"/>
  <c r="BA1151" i="11" s="1"/>
  <c r="AG1133" i="11"/>
  <c r="AX1133" i="11" s="1"/>
  <c r="BA1133" i="11" s="1"/>
  <c r="AI1152" i="11"/>
  <c r="AI1151" i="11"/>
  <c r="AI1133" i="11"/>
  <c r="AG1149" i="11"/>
  <c r="AX1149" i="11" s="1"/>
  <c r="BA1149" i="11" s="1"/>
  <c r="AG1131" i="11"/>
  <c r="AX1131" i="11" s="1"/>
  <c r="BA1131" i="11" s="1"/>
  <c r="U1141" i="11"/>
  <c r="V1141" i="11" s="1"/>
  <c r="AU1141" i="11" s="1"/>
  <c r="U1125" i="11"/>
  <c r="V1125" i="11" s="1"/>
  <c r="AU1125" i="11" s="1"/>
  <c r="AI1134" i="11"/>
  <c r="BK1108" i="11"/>
  <c r="BN1108" i="11" s="1"/>
  <c r="BK1115" i="11"/>
  <c r="BN1115" i="11" s="1"/>
  <c r="BK1111" i="11"/>
  <c r="BK1110" i="11"/>
  <c r="BK1116" i="11"/>
  <c r="BN1116" i="11" s="1"/>
  <c r="BK1107" i="11"/>
  <c r="BK1109" i="11"/>
  <c r="BK1112" i="11"/>
  <c r="BK1117" i="11"/>
  <c r="BN1117" i="11" s="1"/>
  <c r="V1099" i="11"/>
  <c r="U1091" i="11"/>
  <c r="V1091" i="11" s="1"/>
  <c r="R796" i="11"/>
  <c r="H1108" i="11"/>
  <c r="U1108" i="11"/>
  <c r="W1108" i="11"/>
  <c r="AF1108" i="11" s="1"/>
  <c r="AR1108" i="11" s="1"/>
  <c r="AD1108" i="11"/>
  <c r="AS1108" i="11"/>
  <c r="AT1108" i="11"/>
  <c r="AK1108" i="11" s="1"/>
  <c r="AV1108" i="11"/>
  <c r="AY1108" i="11" s="1"/>
  <c r="AW1108" i="11"/>
  <c r="AU1140" i="11" l="1"/>
  <c r="AU1147" i="11"/>
  <c r="AU1148" i="11"/>
  <c r="AP1136" i="11"/>
  <c r="AO1136" i="11"/>
  <c r="BB1128" i="11"/>
  <c r="BB1138" i="11"/>
  <c r="BB1129" i="11"/>
  <c r="BB1136" i="11"/>
  <c r="BB1124" i="11"/>
  <c r="BB1121" i="11"/>
  <c r="BB1145" i="11"/>
  <c r="BB1125" i="11"/>
  <c r="BB1149" i="11"/>
  <c r="BB1131" i="11"/>
  <c r="BB1123" i="11"/>
  <c r="BB1139" i="11"/>
  <c r="BB1140" i="11"/>
  <c r="BB1151" i="11"/>
  <c r="BB1148" i="11"/>
  <c r="BB1152" i="11"/>
  <c r="BB1146" i="11"/>
  <c r="BB1142" i="11"/>
  <c r="BB1147" i="11"/>
  <c r="BB1126" i="11"/>
  <c r="BB1127" i="11"/>
  <c r="BB1130" i="11"/>
  <c r="BB1122" i="11"/>
  <c r="BB1132" i="11"/>
  <c r="BB1120" i="11"/>
  <c r="BB1150" i="11"/>
  <c r="BB1141" i="11"/>
  <c r="BB1134" i="11"/>
  <c r="BB1137" i="11"/>
  <c r="BB1133" i="11"/>
  <c r="BB1135" i="11"/>
  <c r="AE1108" i="11"/>
  <c r="AZ1108" i="11"/>
  <c r="AI1108" i="11"/>
  <c r="AG1108" i="11"/>
  <c r="AX1108" i="11" s="1"/>
  <c r="BA1108" i="11" s="1"/>
  <c r="AO1108" i="11"/>
  <c r="V1108" i="11"/>
  <c r="AM1108" i="11"/>
  <c r="BB1108" i="11" l="1"/>
  <c r="AU1108" i="11"/>
  <c r="H1114" i="11"/>
  <c r="H1115" i="11"/>
  <c r="H1116" i="11"/>
  <c r="H1117" i="11"/>
  <c r="H1118" i="11"/>
  <c r="H1119" i="11"/>
  <c r="U1114" i="11"/>
  <c r="V1114" i="11" s="1"/>
  <c r="U1117" i="11"/>
  <c r="V1117" i="11" s="1"/>
  <c r="U1118" i="11"/>
  <c r="U1119" i="11"/>
  <c r="V1119" i="11" s="1"/>
  <c r="W1114" i="11"/>
  <c r="AF1114" i="11" s="1"/>
  <c r="AR1114" i="11" s="1"/>
  <c r="AR1115" i="11"/>
  <c r="W1117" i="11"/>
  <c r="AF1117" i="11" s="1"/>
  <c r="AR1117" i="11" s="1"/>
  <c r="W1118" i="11"/>
  <c r="AF1118" i="11" s="1"/>
  <c r="AR1118" i="11" s="1"/>
  <c r="W1119" i="11"/>
  <c r="AF1119" i="11" s="1"/>
  <c r="AR1119" i="11" s="1"/>
  <c r="AD1114" i="11"/>
  <c r="AD1117" i="11"/>
  <c r="AD1118" i="11"/>
  <c r="AE1117" i="11"/>
  <c r="AE1118" i="11"/>
  <c r="AE1119" i="11"/>
  <c r="AS1114" i="11"/>
  <c r="AS1115" i="11"/>
  <c r="AS1116" i="11"/>
  <c r="AS1117" i="11"/>
  <c r="AS1118" i="11"/>
  <c r="AS1119" i="11"/>
  <c r="AT1114" i="11"/>
  <c r="AG1114" i="11" s="1"/>
  <c r="AX1114" i="11" s="1"/>
  <c r="AT1115" i="11"/>
  <c r="AI1115" i="11" s="1"/>
  <c r="AT1116" i="11"/>
  <c r="AT1117" i="11"/>
  <c r="AG1117" i="11" s="1"/>
  <c r="AX1117" i="11" s="1"/>
  <c r="AT1118" i="11"/>
  <c r="AG1118" i="11" s="1"/>
  <c r="AX1118" i="11" s="1"/>
  <c r="AT1119" i="11"/>
  <c r="AG1119" i="11" s="1"/>
  <c r="AX1119" i="11" s="1"/>
  <c r="AV1114" i="11"/>
  <c r="AY1114" i="11" s="1"/>
  <c r="AV1115" i="11"/>
  <c r="AY1115" i="11" s="1"/>
  <c r="AV1116" i="11"/>
  <c r="AY1116" i="11" s="1"/>
  <c r="AV1117" i="11"/>
  <c r="AY1117" i="11" s="1"/>
  <c r="AV1118" i="11"/>
  <c r="AY1118" i="11" s="1"/>
  <c r="AV1119" i="11"/>
  <c r="AY1119" i="11" s="1"/>
  <c r="AW1114" i="11"/>
  <c r="AW1115" i="11"/>
  <c r="AW1116" i="11"/>
  <c r="AW1117" i="11"/>
  <c r="AW1118" i="11"/>
  <c r="AW1119" i="11"/>
  <c r="BG1114" i="11"/>
  <c r="BH1114" i="11"/>
  <c r="BI1114" i="11"/>
  <c r="BJ1114" i="11"/>
  <c r="R1100" i="11"/>
  <c r="T1100" i="11" s="1"/>
  <c r="S1101" i="11"/>
  <c r="T1101" i="11" s="1"/>
  <c r="S1097" i="11"/>
  <c r="T1097" i="11" s="1"/>
  <c r="T1096" i="11"/>
  <c r="BG1103" i="11"/>
  <c r="BH1103" i="11"/>
  <c r="BI1103" i="11"/>
  <c r="BJ1103" i="11"/>
  <c r="BG1104" i="11"/>
  <c r="BH1104" i="11"/>
  <c r="BI1104" i="11"/>
  <c r="BJ1104" i="11"/>
  <c r="BG1105" i="11"/>
  <c r="BH1105" i="11"/>
  <c r="BI1105" i="11"/>
  <c r="BJ1105" i="11"/>
  <c r="BG1106" i="11"/>
  <c r="BH1106" i="11"/>
  <c r="BI1106" i="11"/>
  <c r="BJ1106" i="11"/>
  <c r="T1098" i="11"/>
  <c r="T1102" i="11"/>
  <c r="T1103" i="11"/>
  <c r="T1104" i="11"/>
  <c r="AM1116" i="11" l="1"/>
  <c r="AO1116" i="11"/>
  <c r="AG1116" i="11"/>
  <c r="AK1116" i="11"/>
  <c r="AI1116" i="11"/>
  <c r="AO1115" i="11"/>
  <c r="AE1114" i="11"/>
  <c r="AU1114" i="11" s="1"/>
  <c r="AK1119" i="11"/>
  <c r="AZ1119" i="11"/>
  <c r="AZ1118" i="11"/>
  <c r="AZ1117" i="11"/>
  <c r="AZ1116" i="11"/>
  <c r="AZ1115" i="11"/>
  <c r="BA1117" i="11"/>
  <c r="BK1114" i="11"/>
  <c r="BN1114" i="11" s="1"/>
  <c r="AU1119" i="11"/>
  <c r="AZ1114" i="11"/>
  <c r="BA1114" i="11"/>
  <c r="AK1115" i="11"/>
  <c r="AU1116" i="11"/>
  <c r="AU1115" i="11"/>
  <c r="AG1115" i="11"/>
  <c r="AX1115" i="11" s="1"/>
  <c r="BA1115" i="11" s="1"/>
  <c r="AU1117" i="11"/>
  <c r="BA1119" i="11"/>
  <c r="AO1119" i="11"/>
  <c r="BA1118" i="11"/>
  <c r="AM1119" i="11"/>
  <c r="AI1119" i="11"/>
  <c r="AM1117" i="11"/>
  <c r="AM1115" i="11"/>
  <c r="V1118" i="11"/>
  <c r="AU1118" i="11" s="1"/>
  <c r="AI1117" i="11"/>
  <c r="AM1114" i="11"/>
  <c r="AI1114" i="11"/>
  <c r="AI1118" i="11"/>
  <c r="AM1118" i="11"/>
  <c r="AO1118" i="11"/>
  <c r="AK1118" i="11"/>
  <c r="AO1117" i="11"/>
  <c r="AK1117" i="11"/>
  <c r="AO1114" i="11"/>
  <c r="AK1114" i="11"/>
  <c r="BN1107" i="11"/>
  <c r="BK1103" i="11"/>
  <c r="BN1103" i="11" s="1"/>
  <c r="BN1111" i="11"/>
  <c r="BN1110" i="11"/>
  <c r="BK1104" i="11"/>
  <c r="BN1104" i="11" s="1"/>
  <c r="BN1109" i="11"/>
  <c r="BK1106" i="11"/>
  <c r="BN1106" i="11" s="1"/>
  <c r="BK1105" i="11"/>
  <c r="BN1105" i="11" s="1"/>
  <c r="H1103" i="11"/>
  <c r="H1104" i="11"/>
  <c r="U1103" i="11"/>
  <c r="V1103" i="11" s="1"/>
  <c r="U1104" i="11"/>
  <c r="V1104" i="11" s="1"/>
  <c r="W1103" i="11"/>
  <c r="AF1103" i="11" s="1"/>
  <c r="AR1103" i="11" s="1"/>
  <c r="AF1104" i="11"/>
  <c r="AR1104" i="11" s="1"/>
  <c r="AD1103" i="11"/>
  <c r="AD1104" i="11"/>
  <c r="AE1103" i="11"/>
  <c r="AE1104" i="11"/>
  <c r="AS1103" i="11"/>
  <c r="AS1104" i="11"/>
  <c r="AT1103" i="11"/>
  <c r="AK1103" i="11" s="1"/>
  <c r="AT1104" i="11"/>
  <c r="AI1104" i="11" s="1"/>
  <c r="AV1103" i="11"/>
  <c r="AY1103" i="11" s="1"/>
  <c r="AV1104" i="11"/>
  <c r="AY1104" i="11" s="1"/>
  <c r="AW1103" i="11"/>
  <c r="AW1104" i="11"/>
  <c r="H1105" i="11"/>
  <c r="H1106" i="11"/>
  <c r="U1105" i="11"/>
  <c r="V1105" i="11" s="1"/>
  <c r="U1106" i="11"/>
  <c r="AF1105" i="11"/>
  <c r="AR1105" i="11" s="1"/>
  <c r="W1106" i="11"/>
  <c r="AF1106" i="11" s="1"/>
  <c r="AR1106" i="11" s="1"/>
  <c r="AD1105" i="11"/>
  <c r="AD1106" i="11"/>
  <c r="AE1105" i="11"/>
  <c r="AE1106" i="11"/>
  <c r="AS1105" i="11"/>
  <c r="AS1106" i="11"/>
  <c r="AT1105" i="11"/>
  <c r="AI1105" i="11" s="1"/>
  <c r="AT1106" i="11"/>
  <c r="AI1106" i="11" s="1"/>
  <c r="AV1105" i="11"/>
  <c r="AY1105" i="11" s="1"/>
  <c r="AV1106" i="11"/>
  <c r="AY1106" i="11" s="1"/>
  <c r="AW1105" i="11"/>
  <c r="AW1106" i="11"/>
  <c r="H1107" i="11"/>
  <c r="H1109" i="11"/>
  <c r="U1107" i="11"/>
  <c r="V1107" i="11" s="1"/>
  <c r="U1109" i="11"/>
  <c r="V1109" i="11" s="1"/>
  <c r="W1107" i="11"/>
  <c r="AF1107" i="11" s="1"/>
  <c r="AR1107" i="11" s="1"/>
  <c r="W1109" i="11"/>
  <c r="AF1109" i="11" s="1"/>
  <c r="AR1109" i="11" s="1"/>
  <c r="AD1107" i="11"/>
  <c r="AD1109" i="11"/>
  <c r="AE1107" i="11"/>
  <c r="AE1109" i="11"/>
  <c r="AS1107" i="11"/>
  <c r="AS1109" i="11"/>
  <c r="AT1107" i="11"/>
  <c r="AI1107" i="11" s="1"/>
  <c r="AT1109" i="11"/>
  <c r="AI1109" i="11" s="1"/>
  <c r="AV1107" i="11"/>
  <c r="AY1107" i="11" s="1"/>
  <c r="AV1109" i="11"/>
  <c r="AY1109" i="11" s="1"/>
  <c r="AW1107" i="11"/>
  <c r="AW1109" i="11"/>
  <c r="H1110" i="11"/>
  <c r="H1111" i="11"/>
  <c r="U1110" i="11"/>
  <c r="V1110" i="11" s="1"/>
  <c r="U1111" i="11"/>
  <c r="V1111" i="11" s="1"/>
  <c r="W1110" i="11"/>
  <c r="AF1110" i="11" s="1"/>
  <c r="AR1110" i="11" s="1"/>
  <c r="W1111" i="11"/>
  <c r="AF1111" i="11" s="1"/>
  <c r="AR1111" i="11" s="1"/>
  <c r="AD1110" i="11"/>
  <c r="AD1111" i="11"/>
  <c r="AE1110" i="11"/>
  <c r="AS1110" i="11"/>
  <c r="AS1111" i="11"/>
  <c r="AT1110" i="11"/>
  <c r="AI1110" i="11" s="1"/>
  <c r="AT1111" i="11"/>
  <c r="AI1111" i="11" s="1"/>
  <c r="AV1110" i="11"/>
  <c r="AY1110" i="11" s="1"/>
  <c r="AV1111" i="11"/>
  <c r="AY1111" i="11" s="1"/>
  <c r="AW1110" i="11"/>
  <c r="AW1111" i="11"/>
  <c r="AX1116" i="11" l="1"/>
  <c r="BA1116" i="11" s="1"/>
  <c r="BB1116" i="11" s="1"/>
  <c r="BB1118" i="11"/>
  <c r="BB1119" i="11"/>
  <c r="BB1115" i="11"/>
  <c r="BB1117" i="11"/>
  <c r="AE1111" i="11"/>
  <c r="AU1111" i="11" s="1"/>
  <c r="BB1114" i="11"/>
  <c r="AZ1104" i="11"/>
  <c r="AZ1105" i="11"/>
  <c r="AZ1106" i="11"/>
  <c r="AU1104" i="11"/>
  <c r="AU1103" i="11"/>
  <c r="AO1103" i="11"/>
  <c r="AI1103" i="11"/>
  <c r="AZ1109" i="11"/>
  <c r="AZ1103" i="11"/>
  <c r="AM1104" i="11"/>
  <c r="AG1104" i="11"/>
  <c r="AX1104" i="11" s="1"/>
  <c r="BA1104" i="11" s="1"/>
  <c r="AU1105" i="11"/>
  <c r="AM1103" i="11"/>
  <c r="AG1103" i="11"/>
  <c r="AX1103" i="11" s="1"/>
  <c r="BA1103" i="11" s="1"/>
  <c r="AK1104" i="11"/>
  <c r="AO1104" i="11"/>
  <c r="V1106" i="11"/>
  <c r="AU1106" i="11" s="1"/>
  <c r="AM1106" i="11"/>
  <c r="AU1107" i="11"/>
  <c r="AM1105" i="11"/>
  <c r="AG1105" i="11"/>
  <c r="AX1105" i="11" s="1"/>
  <c r="BA1105" i="11" s="1"/>
  <c r="AU1109" i="11"/>
  <c r="AG1106" i="11"/>
  <c r="AX1106" i="11" s="1"/>
  <c r="BA1106" i="11" s="1"/>
  <c r="AK1106" i="11"/>
  <c r="AK1105" i="11"/>
  <c r="AO1106" i="11"/>
  <c r="AO1105" i="11"/>
  <c r="AO1109" i="11"/>
  <c r="AO1107" i="11"/>
  <c r="AM1109" i="11"/>
  <c r="AG1109" i="11"/>
  <c r="AX1109" i="11" s="1"/>
  <c r="BA1109" i="11" s="1"/>
  <c r="AZ1107" i="11"/>
  <c r="AM1107" i="11"/>
  <c r="AG1107" i="11"/>
  <c r="AX1107" i="11" s="1"/>
  <c r="BA1107" i="11" s="1"/>
  <c r="AU1110" i="11"/>
  <c r="AO1111" i="11"/>
  <c r="AO1110" i="11"/>
  <c r="AK1109" i="11"/>
  <c r="AK1107" i="11"/>
  <c r="AG1111" i="11"/>
  <c r="AX1111" i="11" s="1"/>
  <c r="BA1111" i="11" s="1"/>
  <c r="AG1110" i="11"/>
  <c r="AX1110" i="11" s="1"/>
  <c r="BA1110" i="11" s="1"/>
  <c r="AK1111" i="11"/>
  <c r="AZ1111" i="11"/>
  <c r="AZ1110" i="11"/>
  <c r="AM1111" i="11"/>
  <c r="AM1110" i="11"/>
  <c r="AK1110" i="11"/>
  <c r="BB1109" i="11" l="1"/>
  <c r="BB1107" i="11"/>
  <c r="BB1111" i="11"/>
  <c r="BB1110" i="11"/>
  <c r="BB1105" i="11"/>
  <c r="BB1106" i="11"/>
  <c r="BB1104" i="11"/>
  <c r="BB1103" i="11"/>
  <c r="BJ1090" i="11"/>
  <c r="BI1090" i="11"/>
  <c r="BH1090" i="11"/>
  <c r="BG1090" i="11"/>
  <c r="R1076" i="11"/>
  <c r="R939" i="11"/>
  <c r="R1094" i="11"/>
  <c r="R1075" i="11"/>
  <c r="BK1090" i="11" l="1"/>
  <c r="BN1090" i="11" s="1"/>
  <c r="R1083" i="11"/>
  <c r="R1093" i="11"/>
  <c r="R986" i="11"/>
  <c r="R999" i="11"/>
  <c r="S1090" i="11" l="1"/>
  <c r="T1090" i="11" s="1"/>
  <c r="H1090" i="11"/>
  <c r="W1090" i="11"/>
  <c r="AF1090" i="11" s="1"/>
  <c r="AR1090" i="11" s="1"/>
  <c r="AD1090" i="11"/>
  <c r="AS1090" i="11"/>
  <c r="AT1090" i="11"/>
  <c r="AM1090" i="11" s="1"/>
  <c r="AV1090" i="11"/>
  <c r="AY1090" i="11" s="1"/>
  <c r="AW1090" i="11"/>
  <c r="R1084" i="11"/>
  <c r="R1061" i="11"/>
  <c r="R1020" i="11"/>
  <c r="R950" i="11"/>
  <c r="R909" i="11"/>
  <c r="R873" i="11"/>
  <c r="R822" i="11"/>
  <c r="R821" i="11"/>
  <c r="R1092" i="11"/>
  <c r="AE1090" i="11" l="1"/>
  <c r="U1090" i="11"/>
  <c r="V1090" i="11" s="1"/>
  <c r="AI1090" i="11"/>
  <c r="AK1090" i="11"/>
  <c r="AZ1090" i="11"/>
  <c r="AG1090" i="11"/>
  <c r="AX1090" i="11" s="1"/>
  <c r="BA1090" i="11" s="1"/>
  <c r="AO1090" i="11"/>
  <c r="BG1084" i="11"/>
  <c r="BH1084" i="11"/>
  <c r="BI1084" i="11"/>
  <c r="BJ1084" i="11"/>
  <c r="T1084" i="11"/>
  <c r="U1084" i="11" s="1"/>
  <c r="H1084" i="11"/>
  <c r="W1084" i="11"/>
  <c r="AF1084" i="11" s="1"/>
  <c r="AR1084" i="11" s="1"/>
  <c r="AD1084" i="11"/>
  <c r="AS1084" i="11"/>
  <c r="AT1084" i="11"/>
  <c r="AM1084" i="11" s="1"/>
  <c r="AV1084" i="11"/>
  <c r="AY1084" i="11" s="1"/>
  <c r="AW1084" i="11"/>
  <c r="S1095" i="11"/>
  <c r="T1095" i="11" s="1"/>
  <c r="U1095" i="11" s="1"/>
  <c r="V1095" i="11" s="1"/>
  <c r="S1089" i="11"/>
  <c r="S1088" i="11"/>
  <c r="R1086" i="11"/>
  <c r="R1085" i="11"/>
  <c r="R1080" i="11"/>
  <c r="BG1094" i="11"/>
  <c r="BH1094" i="11"/>
  <c r="BI1094" i="11"/>
  <c r="BJ1094" i="11"/>
  <c r="BG1095" i="11"/>
  <c r="BH1095" i="11"/>
  <c r="BI1095" i="11"/>
  <c r="BJ1095" i="11"/>
  <c r="BG1096" i="11"/>
  <c r="BH1096" i="11"/>
  <c r="BI1096" i="11"/>
  <c r="BJ1096" i="11"/>
  <c r="BG1097" i="11"/>
  <c r="BH1097" i="11"/>
  <c r="BI1097" i="11"/>
  <c r="BJ1097" i="11"/>
  <c r="BG1098" i="11"/>
  <c r="BH1098" i="11"/>
  <c r="BI1098" i="11"/>
  <c r="BJ1098" i="11"/>
  <c r="BG1099" i="11"/>
  <c r="BH1099" i="11"/>
  <c r="BI1099" i="11"/>
  <c r="BJ1099" i="11"/>
  <c r="BG1100" i="11"/>
  <c r="BH1100" i="11"/>
  <c r="BI1100" i="11"/>
  <c r="BJ1100" i="11"/>
  <c r="BG1101" i="11"/>
  <c r="BH1101" i="11"/>
  <c r="BI1101" i="11"/>
  <c r="BJ1101" i="11"/>
  <c r="BG1102" i="11"/>
  <c r="BH1102" i="11"/>
  <c r="BI1102" i="11"/>
  <c r="BJ1102" i="11"/>
  <c r="BG1113" i="11"/>
  <c r="BH1113" i="11"/>
  <c r="BI1113" i="11"/>
  <c r="BJ1113" i="11"/>
  <c r="T1094" i="11"/>
  <c r="U1096" i="11"/>
  <c r="V1096" i="11" s="1"/>
  <c r="U1097" i="11"/>
  <c r="V1097" i="11" s="1"/>
  <c r="U1098" i="11"/>
  <c r="V1098" i="11" s="1"/>
  <c r="U1100" i="11"/>
  <c r="U1101" i="11"/>
  <c r="V1101" i="11" s="1"/>
  <c r="U1102" i="11"/>
  <c r="V1102" i="11" s="1"/>
  <c r="U1112" i="11"/>
  <c r="W1094" i="11"/>
  <c r="AF1094" i="11" s="1"/>
  <c r="AR1094" i="11" s="1"/>
  <c r="W1095" i="11"/>
  <c r="AF1095" i="11" s="1"/>
  <c r="AR1095" i="11" s="1"/>
  <c r="W1096" i="11"/>
  <c r="W1097" i="11"/>
  <c r="W1098" i="11"/>
  <c r="AF1098" i="11" s="1"/>
  <c r="AR1098" i="11" s="1"/>
  <c r="W1100" i="11"/>
  <c r="W1101" i="11"/>
  <c r="AF1101" i="11" s="1"/>
  <c r="AR1101" i="11" s="1"/>
  <c r="W1102" i="11"/>
  <c r="AF1102" i="11" s="1"/>
  <c r="AR1102" i="11" s="1"/>
  <c r="W1112" i="11"/>
  <c r="AF1112" i="11" s="1"/>
  <c r="W1113" i="11"/>
  <c r="H1094" i="11"/>
  <c r="H1095" i="11"/>
  <c r="H1096" i="11"/>
  <c r="H1097" i="11"/>
  <c r="H1098" i="11"/>
  <c r="H1099" i="11"/>
  <c r="H1100" i="11"/>
  <c r="H1101" i="11"/>
  <c r="H1102" i="11"/>
  <c r="H1112" i="11"/>
  <c r="H1113" i="11"/>
  <c r="AD1094" i="11"/>
  <c r="AD1096" i="11"/>
  <c r="AD1097" i="11"/>
  <c r="AD1098" i="11"/>
  <c r="AD1100" i="11"/>
  <c r="AD1101" i="11"/>
  <c r="AD1102" i="11"/>
  <c r="AD1112" i="11"/>
  <c r="AD1113" i="11"/>
  <c r="AE1094" i="11"/>
  <c r="AE1095" i="11"/>
  <c r="AE1096" i="11"/>
  <c r="AE1097" i="11"/>
  <c r="AE1098" i="11"/>
  <c r="AE1100" i="11"/>
  <c r="AE1101" i="11"/>
  <c r="AE1102" i="11"/>
  <c r="AE1112" i="11"/>
  <c r="AS1094" i="11"/>
  <c r="AS1095" i="11"/>
  <c r="AS1096" i="11"/>
  <c r="AS1097" i="11"/>
  <c r="AS1098" i="11"/>
  <c r="AS1099" i="11"/>
  <c r="AS1100" i="11"/>
  <c r="AS1101" i="11"/>
  <c r="AS1102" i="11"/>
  <c r="AS1112" i="11"/>
  <c r="AS1113" i="11"/>
  <c r="AT1094" i="11"/>
  <c r="AM1094" i="11" s="1"/>
  <c r="AT1095" i="11"/>
  <c r="AG1095" i="11" s="1"/>
  <c r="AX1095" i="11" s="1"/>
  <c r="AT1096" i="11"/>
  <c r="AG1096" i="11" s="1"/>
  <c r="AX1096" i="11" s="1"/>
  <c r="AT1097" i="11"/>
  <c r="AM1097" i="11" s="1"/>
  <c r="AT1098" i="11"/>
  <c r="AK1098" i="11" s="1"/>
  <c r="AT1099" i="11"/>
  <c r="AT1100" i="11"/>
  <c r="AK1100" i="11" s="1"/>
  <c r="AT1101" i="11"/>
  <c r="AO1101" i="11" s="1"/>
  <c r="AT1102" i="11"/>
  <c r="AM1102" i="11" s="1"/>
  <c r="AT1112" i="11"/>
  <c r="AK1112" i="11" s="1"/>
  <c r="AT1113" i="11"/>
  <c r="AO1113" i="11" s="1"/>
  <c r="AV1094" i="11"/>
  <c r="AY1094" i="11" s="1"/>
  <c r="AV1095" i="11"/>
  <c r="AY1095" i="11" s="1"/>
  <c r="AV1096" i="11"/>
  <c r="AV1097" i="11"/>
  <c r="AY1097" i="11" s="1"/>
  <c r="AV1098" i="11"/>
  <c r="AY1098" i="11" s="1"/>
  <c r="AV1099" i="11"/>
  <c r="AV1100" i="11"/>
  <c r="AY1100" i="11" s="1"/>
  <c r="AV1101" i="11"/>
  <c r="AY1101" i="11" s="1"/>
  <c r="AV1102" i="11"/>
  <c r="AY1102" i="11" s="1"/>
  <c r="AV1112" i="11"/>
  <c r="AY1112" i="11" s="1"/>
  <c r="AV1113" i="11"/>
  <c r="AY1113" i="11" s="1"/>
  <c r="AW1094" i="11"/>
  <c r="AW1095" i="11"/>
  <c r="AW1096" i="11"/>
  <c r="AW1097" i="11"/>
  <c r="AW1098" i="11"/>
  <c r="AW1099" i="11"/>
  <c r="AW1100" i="11"/>
  <c r="AW1101" i="11"/>
  <c r="AW1102" i="11"/>
  <c r="AW1112" i="11"/>
  <c r="AW1113" i="11"/>
  <c r="AF1096" i="11" l="1"/>
  <c r="AR1096" i="11" s="1"/>
  <c r="AG1099" i="11"/>
  <c r="AX1099" i="11" s="1"/>
  <c r="BA1099" i="11" s="1"/>
  <c r="AI1099" i="11"/>
  <c r="AK1099" i="11"/>
  <c r="AM1099" i="11"/>
  <c r="AO1099" i="11"/>
  <c r="AE1113" i="11"/>
  <c r="AF1113" i="11"/>
  <c r="AR1113" i="11" s="1"/>
  <c r="AF1100" i="11"/>
  <c r="AR1100" i="11" s="1"/>
  <c r="BB1090" i="11"/>
  <c r="U1094" i="11"/>
  <c r="V1094" i="11" s="1"/>
  <c r="AU1094" i="11" s="1"/>
  <c r="AU1090" i="11"/>
  <c r="BK1084" i="11"/>
  <c r="BN1084" i="11" s="1"/>
  <c r="AE1084" i="11"/>
  <c r="BK1095" i="11"/>
  <c r="BN1095" i="11" s="1"/>
  <c r="V1084" i="11"/>
  <c r="AZ1084" i="11"/>
  <c r="AG1084" i="11"/>
  <c r="AX1084" i="11" s="1"/>
  <c r="BA1084" i="11" s="1"/>
  <c r="AK1084" i="11"/>
  <c r="AI1084" i="11"/>
  <c r="AO1084" i="11"/>
  <c r="BK1097" i="11"/>
  <c r="BN1097" i="11" s="1"/>
  <c r="BN1112" i="11"/>
  <c r="BK1098" i="11"/>
  <c r="BK1101" i="11"/>
  <c r="BN1101" i="11" s="1"/>
  <c r="BK1100" i="11"/>
  <c r="BN1100" i="11" s="1"/>
  <c r="BK1102" i="11"/>
  <c r="BN1102" i="11" s="1"/>
  <c r="BK1099" i="11"/>
  <c r="BN1099" i="11" s="1"/>
  <c r="BK1113" i="11"/>
  <c r="BN1113" i="11" s="1"/>
  <c r="AF1097" i="11"/>
  <c r="AR1097" i="11" s="1"/>
  <c r="AR1112" i="11"/>
  <c r="BK1096" i="11"/>
  <c r="BN1096" i="11" s="1"/>
  <c r="BK1094" i="11"/>
  <c r="BN1094" i="11" s="1"/>
  <c r="AZ1100" i="11"/>
  <c r="AZ1097" i="11"/>
  <c r="AU1097" i="11"/>
  <c r="AU1102" i="11"/>
  <c r="AI1097" i="11"/>
  <c r="AU1101" i="11"/>
  <c r="AZ1094" i="11"/>
  <c r="AK1097" i="11"/>
  <c r="AI1113" i="11"/>
  <c r="AI1102" i="11"/>
  <c r="AI1101" i="11"/>
  <c r="AI1098" i="11"/>
  <c r="AI1112" i="11"/>
  <c r="AG1097" i="11"/>
  <c r="AX1097" i="11" s="1"/>
  <c r="BA1097" i="11" s="1"/>
  <c r="AG1101" i="11"/>
  <c r="AX1101" i="11" s="1"/>
  <c r="BA1101" i="11" s="1"/>
  <c r="AO1112" i="11"/>
  <c r="AU1098" i="11"/>
  <c r="AO1102" i="11"/>
  <c r="BA1096" i="11"/>
  <c r="AZ1113" i="11"/>
  <c r="AZ1099" i="11"/>
  <c r="AO1098" i="11"/>
  <c r="AZ1095" i="11"/>
  <c r="AO1097" i="11"/>
  <c r="AG1098" i="11"/>
  <c r="AX1098" i="11" s="1"/>
  <c r="BA1098" i="11" s="1"/>
  <c r="BA1095" i="11"/>
  <c r="AM1098" i="11"/>
  <c r="AZ1101" i="11"/>
  <c r="AZ1096" i="11"/>
  <c r="AI1100" i="11"/>
  <c r="V1112" i="11"/>
  <c r="AU1112" i="11" s="1"/>
  <c r="AU1095" i="11"/>
  <c r="AZ1098" i="11"/>
  <c r="AO1100" i="11"/>
  <c r="AG1113" i="11"/>
  <c r="AX1113" i="11" s="1"/>
  <c r="BA1113" i="11" s="1"/>
  <c r="AG1112" i="11"/>
  <c r="AX1112" i="11" s="1"/>
  <c r="BA1112" i="11" s="1"/>
  <c r="V1100" i="11"/>
  <c r="AU1100" i="11" s="1"/>
  <c r="AG1100" i="11"/>
  <c r="AX1100" i="11" s="1"/>
  <c r="BA1100" i="11" s="1"/>
  <c r="AU1099" i="11"/>
  <c r="AZ1102" i="11"/>
  <c r="AU1096" i="11"/>
  <c r="AZ1112" i="11"/>
  <c r="AG1094" i="11"/>
  <c r="AX1094" i="11" s="1"/>
  <c r="BA1094" i="11" s="1"/>
  <c r="AK1095" i="11"/>
  <c r="AM1113" i="11"/>
  <c r="AK1094" i="11"/>
  <c r="AY1099" i="11"/>
  <c r="AM1112" i="11"/>
  <c r="AO1095" i="11"/>
  <c r="AM1101" i="11"/>
  <c r="AY1096" i="11"/>
  <c r="AO1094" i="11"/>
  <c r="AM1100" i="11"/>
  <c r="AI1096" i="11"/>
  <c r="AG1102" i="11"/>
  <c r="AX1102" i="11" s="1"/>
  <c r="BA1102" i="11" s="1"/>
  <c r="U1113" i="11"/>
  <c r="V1113" i="11" s="1"/>
  <c r="AO1096" i="11"/>
  <c r="AK1113" i="11"/>
  <c r="AI1094" i="11"/>
  <c r="AM1096" i="11"/>
  <c r="AK1102" i="11"/>
  <c r="AK1096" i="11"/>
  <c r="AI1095" i="11"/>
  <c r="AM1095" i="11"/>
  <c r="AK1101" i="11"/>
  <c r="T1079" i="11"/>
  <c r="T1080" i="11"/>
  <c r="T1081" i="11"/>
  <c r="T1083" i="11"/>
  <c r="T1085" i="11"/>
  <c r="T1086" i="11"/>
  <c r="T1087" i="11"/>
  <c r="T1088" i="11"/>
  <c r="T1075" i="11"/>
  <c r="BB1112" i="11" l="1"/>
  <c r="AU1113" i="11"/>
  <c r="AU1084" i="11"/>
  <c r="BB1084" i="11"/>
  <c r="BB1097" i="11"/>
  <c r="BB1094" i="11"/>
  <c r="BB1095" i="11"/>
  <c r="BB1098" i="11"/>
  <c r="BB1099" i="11"/>
  <c r="BB1100" i="11"/>
  <c r="BB1096" i="11"/>
  <c r="BB1101" i="11"/>
  <c r="BB1102" i="11"/>
  <c r="BB1113" i="11"/>
  <c r="BJ1076" i="11"/>
  <c r="BI1076" i="11"/>
  <c r="BH1076" i="11"/>
  <c r="BG1076" i="11"/>
  <c r="BJ1075" i="11"/>
  <c r="BI1075" i="11"/>
  <c r="BH1075" i="11"/>
  <c r="BG1075" i="11"/>
  <c r="T1076" i="11"/>
  <c r="U1076" i="11" s="1"/>
  <c r="H1075" i="11"/>
  <c r="U1075" i="11"/>
  <c r="W1075" i="11"/>
  <c r="AD1075" i="11"/>
  <c r="AE1075" i="11"/>
  <c r="AS1075" i="11"/>
  <c r="AT1075" i="11"/>
  <c r="AK1075" i="11" s="1"/>
  <c r="AV1075" i="11"/>
  <c r="AY1075" i="11" s="1"/>
  <c r="AW1075" i="11"/>
  <c r="H1076" i="11"/>
  <c r="W1076" i="11"/>
  <c r="AF1076" i="11" s="1"/>
  <c r="AR1076" i="11" s="1"/>
  <c r="AD1076" i="11"/>
  <c r="AS1076" i="11"/>
  <c r="AT1076" i="11"/>
  <c r="AM1076" i="11" s="1"/>
  <c r="AV1076" i="11"/>
  <c r="AY1076" i="11" s="1"/>
  <c r="AW1076" i="11"/>
  <c r="AE1033" i="11"/>
  <c r="AD1033" i="11"/>
  <c r="AD1077" i="11"/>
  <c r="W1077" i="11"/>
  <c r="U1077" i="11"/>
  <c r="R1082" i="11"/>
  <c r="T1082" i="11" s="1"/>
  <c r="R1078" i="11"/>
  <c r="T1078" i="11" s="1"/>
  <c r="BG1066" i="11"/>
  <c r="BH1066" i="11"/>
  <c r="BI1066" i="11"/>
  <c r="BJ1066" i="11"/>
  <c r="BG1067" i="11"/>
  <c r="BH1067" i="11"/>
  <c r="BI1067" i="11"/>
  <c r="BJ1067" i="11"/>
  <c r="AD1055" i="11"/>
  <c r="W1055" i="11"/>
  <c r="T1055" i="11"/>
  <c r="U1055" i="11" s="1"/>
  <c r="V1055" i="11" s="1"/>
  <c r="R1059" i="11"/>
  <c r="T1073" i="11"/>
  <c r="S1074" i="11"/>
  <c r="T1074" i="11" s="1"/>
  <c r="R1060" i="11"/>
  <c r="T1060" i="11" s="1"/>
  <c r="R1064" i="11"/>
  <c r="T1064" i="11" s="1"/>
  <c r="T1061" i="11"/>
  <c r="U1061" i="11" s="1"/>
  <c r="S1069" i="11"/>
  <c r="T1069" i="11" s="1"/>
  <c r="S1062" i="11"/>
  <c r="T1062" i="11" s="1"/>
  <c r="T1063" i="11"/>
  <c r="T1065" i="11"/>
  <c r="T1068" i="11"/>
  <c r="T1070" i="11"/>
  <c r="T1071" i="11"/>
  <c r="T1072" i="11"/>
  <c r="T1089" i="11"/>
  <c r="T1092" i="11"/>
  <c r="T1093" i="11"/>
  <c r="R1067" i="11"/>
  <c r="R1066" i="11"/>
  <c r="R646" i="11"/>
  <c r="R333" i="11"/>
  <c r="S1067" i="11"/>
  <c r="S1066" i="11"/>
  <c r="H1066" i="11"/>
  <c r="H1067" i="11"/>
  <c r="W1066" i="11"/>
  <c r="AF1066" i="11" s="1"/>
  <c r="AR1066" i="11" s="1"/>
  <c r="W1067" i="11"/>
  <c r="AF1067" i="11" s="1"/>
  <c r="AR1067" i="11" s="1"/>
  <c r="AD1066" i="11"/>
  <c r="AD1067" i="11"/>
  <c r="AE1066" i="11"/>
  <c r="AE1067" i="11"/>
  <c r="AS1066" i="11"/>
  <c r="AS1067" i="11"/>
  <c r="AT1066" i="11"/>
  <c r="AI1066" i="11" s="1"/>
  <c r="AT1067" i="11"/>
  <c r="AI1067" i="11" s="1"/>
  <c r="AV1066" i="11"/>
  <c r="AY1066" i="11" s="1"/>
  <c r="AV1067" i="11"/>
  <c r="AY1067" i="11" s="1"/>
  <c r="AW1066" i="11"/>
  <c r="AW1067" i="11"/>
  <c r="H1061" i="11"/>
  <c r="W1061" i="11"/>
  <c r="AF1061" i="11" s="1"/>
  <c r="AR1061" i="11" s="1"/>
  <c r="AD1061" i="11"/>
  <c r="AS1061" i="11"/>
  <c r="AT1061" i="11"/>
  <c r="AI1061" i="11" s="1"/>
  <c r="AV1061" i="11"/>
  <c r="AY1061" i="11" s="1"/>
  <c r="AW1061" i="11"/>
  <c r="BG1061" i="11"/>
  <c r="BH1061" i="11"/>
  <c r="BI1061" i="11"/>
  <c r="BJ1061" i="11"/>
  <c r="AF1075" i="11" l="1"/>
  <c r="AR1075" i="11" s="1"/>
  <c r="BK1075" i="11"/>
  <c r="BN1075" i="11" s="1"/>
  <c r="AE1076" i="11"/>
  <c r="AZ1075" i="11"/>
  <c r="V1075" i="11"/>
  <c r="AU1075" i="11" s="1"/>
  <c r="BK1076" i="11"/>
  <c r="BN1076" i="11" s="1"/>
  <c r="AZ1076" i="11"/>
  <c r="V1076" i="11"/>
  <c r="AO1075" i="11"/>
  <c r="AI1075" i="11"/>
  <c r="AG1075" i="11"/>
  <c r="AX1075" i="11" s="1"/>
  <c r="BA1075" i="11" s="1"/>
  <c r="AM1075" i="11"/>
  <c r="T1067" i="11"/>
  <c r="U1067" i="11" s="1"/>
  <c r="V1067" i="11" s="1"/>
  <c r="AU1067" i="11" s="1"/>
  <c r="AK1076" i="11"/>
  <c r="AI1076" i="11"/>
  <c r="AG1076" i="11"/>
  <c r="AX1076" i="11" s="1"/>
  <c r="BA1076" i="11" s="1"/>
  <c r="T1066" i="11"/>
  <c r="U1066" i="11" s="1"/>
  <c r="V1066" i="11" s="1"/>
  <c r="AU1066" i="11" s="1"/>
  <c r="AO1076" i="11"/>
  <c r="BK1066" i="11"/>
  <c r="BN1066" i="11" s="1"/>
  <c r="BK1061" i="11"/>
  <c r="BN1061" i="11" s="1"/>
  <c r="V1077" i="11"/>
  <c r="BK1067" i="11"/>
  <c r="BN1067" i="11" s="1"/>
  <c r="AE1061" i="11"/>
  <c r="AZ1067" i="11"/>
  <c r="AZ1066" i="11"/>
  <c r="AG1067" i="11"/>
  <c r="AX1067" i="11" s="1"/>
  <c r="BA1067" i="11" s="1"/>
  <c r="AG1066" i="11"/>
  <c r="AX1066" i="11" s="1"/>
  <c r="BA1066" i="11" s="1"/>
  <c r="AM1067" i="11"/>
  <c r="AM1066" i="11"/>
  <c r="AK1067" i="11"/>
  <c r="AK1066" i="11"/>
  <c r="AO1067" i="11"/>
  <c r="AO1066" i="11"/>
  <c r="AZ1061" i="11"/>
  <c r="AG1061" i="11"/>
  <c r="AX1061" i="11" s="1"/>
  <c r="BA1061" i="11" s="1"/>
  <c r="AO1061" i="11"/>
  <c r="V1061" i="11"/>
  <c r="AM1061" i="11"/>
  <c r="AK1061" i="11"/>
  <c r="BB1075" i="11" l="1"/>
  <c r="AU1076" i="11"/>
  <c r="BB1076" i="11"/>
  <c r="BB1066" i="11"/>
  <c r="BB1067" i="11"/>
  <c r="BB1061" i="11"/>
  <c r="AU1061" i="11"/>
  <c r="AD989" i="11"/>
  <c r="AD933" i="11"/>
  <c r="AD907" i="11"/>
  <c r="BJ1039" i="11"/>
  <c r="BI1039" i="11"/>
  <c r="BH1039" i="11"/>
  <c r="BG1039" i="11"/>
  <c r="S1053" i="11"/>
  <c r="T1053" i="11" s="1"/>
  <c r="H1053" i="11"/>
  <c r="W1053" i="11"/>
  <c r="AD1053" i="11"/>
  <c r="AS1053" i="11"/>
  <c r="AT1053" i="11"/>
  <c r="AM1053" i="11" s="1"/>
  <c r="AV1053" i="11"/>
  <c r="AY1053" i="11" s="1"/>
  <c r="AW1053" i="11"/>
  <c r="BG1053" i="11"/>
  <c r="BH1053" i="11"/>
  <c r="BI1053" i="11"/>
  <c r="BJ1053" i="11"/>
  <c r="R1056" i="11"/>
  <c r="U1053" i="11" l="1"/>
  <c r="V1053" i="11" s="1"/>
  <c r="AF1053" i="11"/>
  <c r="AR1053" i="11" s="1"/>
  <c r="AZ1053" i="11"/>
  <c r="BK1039" i="11"/>
  <c r="BN1039" i="11" s="1"/>
  <c r="AE1053" i="11"/>
  <c r="BK1053" i="11"/>
  <c r="BN1053" i="11" s="1"/>
  <c r="AO1053" i="11"/>
  <c r="AK1053" i="11"/>
  <c r="AI1053" i="11"/>
  <c r="AG1053" i="11"/>
  <c r="AX1053" i="11" s="1"/>
  <c r="BA1053" i="11" s="1"/>
  <c r="AD868" i="11"/>
  <c r="AD876" i="11"/>
  <c r="AD888" i="11"/>
  <c r="AD908" i="11"/>
  <c r="AD926" i="11"/>
  <c r="AD943" i="11"/>
  <c r="AD967" i="11"/>
  <c r="AD953" i="11"/>
  <c r="S1050" i="11"/>
  <c r="S1049" i="11"/>
  <c r="S1048" i="11"/>
  <c r="S1047" i="11"/>
  <c r="S1044" i="11"/>
  <c r="R1045" i="11"/>
  <c r="AE1046" i="11"/>
  <c r="AD1046" i="11"/>
  <c r="W1046" i="11"/>
  <c r="AF1046" i="11" s="1"/>
  <c r="T1046" i="11"/>
  <c r="R1039" i="11"/>
  <c r="T1039" i="11" s="1"/>
  <c r="R1033" i="11"/>
  <c r="R1032" i="11"/>
  <c r="H1039" i="11"/>
  <c r="W1039" i="11"/>
  <c r="AD1039" i="11"/>
  <c r="AS1039" i="11"/>
  <c r="AT1039" i="11"/>
  <c r="AI1039" i="11" s="1"/>
  <c r="AV1039" i="11"/>
  <c r="AY1039" i="11" s="1"/>
  <c r="AW1039" i="11"/>
  <c r="AU1053" i="11" l="1"/>
  <c r="U1039" i="11"/>
  <c r="V1039" i="11" s="1"/>
  <c r="AF1039" i="11"/>
  <c r="AR1039" i="11" s="1"/>
  <c r="BB1053" i="11"/>
  <c r="U1046" i="11"/>
  <c r="V1046" i="11" s="1"/>
  <c r="AE1039" i="11"/>
  <c r="AZ1039" i="11"/>
  <c r="AO1039" i="11"/>
  <c r="AM1039" i="11"/>
  <c r="AK1039" i="11"/>
  <c r="AG1039" i="11"/>
  <c r="AX1039" i="11" s="1"/>
  <c r="BA1039" i="11" s="1"/>
  <c r="T970" i="11"/>
  <c r="U970" i="11" s="1"/>
  <c r="R1038" i="11"/>
  <c r="T1038" i="11" s="1"/>
  <c r="T1027" i="11"/>
  <c r="R1025" i="11"/>
  <c r="T1025" i="11" s="1"/>
  <c r="R1016" i="11"/>
  <c r="S1023" i="11"/>
  <c r="T1023" i="11" s="1"/>
  <c r="S1037" i="11"/>
  <c r="T1037" i="11" s="1"/>
  <c r="S1022" i="11"/>
  <c r="T1022" i="11" s="1"/>
  <c r="R1015" i="11"/>
  <c r="R1034" i="11"/>
  <c r="T1034" i="11" s="1"/>
  <c r="R1029" i="11"/>
  <c r="T1029" i="11" s="1"/>
  <c r="R1028" i="11"/>
  <c r="T1028" i="11" s="1"/>
  <c r="R1035" i="11"/>
  <c r="T1035" i="11" s="1"/>
  <c r="R1031" i="11"/>
  <c r="T1031" i="11" s="1"/>
  <c r="BJ1036" i="11"/>
  <c r="BI1036" i="11"/>
  <c r="BH1036" i="11"/>
  <c r="BG1036" i="11"/>
  <c r="BJ1024" i="11"/>
  <c r="BI1024" i="11"/>
  <c r="BH1024" i="11"/>
  <c r="BG1024" i="11"/>
  <c r="BG1022" i="11"/>
  <c r="BH1022" i="11"/>
  <c r="BI1022" i="11"/>
  <c r="BJ1022" i="11"/>
  <c r="BG1023" i="11"/>
  <c r="BH1023" i="11"/>
  <c r="BI1023" i="11"/>
  <c r="BJ1023" i="11"/>
  <c r="BG1025" i="11"/>
  <c r="BH1025" i="11"/>
  <c r="BI1025" i="11"/>
  <c r="BJ1025" i="11"/>
  <c r="BG1026" i="11"/>
  <c r="BH1026" i="11"/>
  <c r="BI1026" i="11"/>
  <c r="BJ1026" i="11"/>
  <c r="BG1027" i="11"/>
  <c r="BH1027" i="11"/>
  <c r="BI1027" i="11"/>
  <c r="BJ1027" i="11"/>
  <c r="BG1028" i="11"/>
  <c r="BH1028" i="11"/>
  <c r="BI1028" i="11"/>
  <c r="BJ1028" i="11"/>
  <c r="BG1029" i="11"/>
  <c r="BH1029" i="11"/>
  <c r="BI1029" i="11"/>
  <c r="BJ1029" i="11"/>
  <c r="BG1030" i="11"/>
  <c r="BH1030" i="11"/>
  <c r="BI1030" i="11"/>
  <c r="BJ1030" i="11"/>
  <c r="BG1031" i="11"/>
  <c r="BH1031" i="11"/>
  <c r="BI1031" i="11"/>
  <c r="BJ1031" i="11"/>
  <c r="BG1032" i="11"/>
  <c r="BH1032" i="11"/>
  <c r="BI1032" i="11"/>
  <c r="BJ1032" i="11"/>
  <c r="BG1033" i="11"/>
  <c r="BH1033" i="11"/>
  <c r="BI1033" i="11"/>
  <c r="BJ1033" i="11"/>
  <c r="BG1034" i="11"/>
  <c r="BH1034" i="11"/>
  <c r="BI1034" i="11"/>
  <c r="BJ1034" i="11"/>
  <c r="BG1035" i="11"/>
  <c r="BH1035" i="11"/>
  <c r="BI1035" i="11"/>
  <c r="BJ1035" i="11"/>
  <c r="BG1037" i="11"/>
  <c r="BH1037" i="11"/>
  <c r="BI1037" i="11"/>
  <c r="BJ1037" i="11"/>
  <c r="BG1038" i="11"/>
  <c r="BH1038" i="11"/>
  <c r="BI1038" i="11"/>
  <c r="BJ1038" i="11"/>
  <c r="BG1040" i="11"/>
  <c r="BH1040" i="11"/>
  <c r="BI1040" i="11"/>
  <c r="BJ1040" i="11"/>
  <c r="BG1041" i="11"/>
  <c r="BH1041" i="11"/>
  <c r="BI1041" i="11"/>
  <c r="BJ1041" i="11"/>
  <c r="BG1042" i="11"/>
  <c r="BH1042" i="11"/>
  <c r="BI1042" i="11"/>
  <c r="BJ1042" i="11"/>
  <c r="BG1043" i="11"/>
  <c r="BH1043" i="11"/>
  <c r="BI1043" i="11"/>
  <c r="BJ1043" i="11"/>
  <c r="BG1044" i="11"/>
  <c r="BH1044" i="11"/>
  <c r="BI1044" i="11"/>
  <c r="BJ1044" i="11"/>
  <c r="BG1045" i="11"/>
  <c r="BH1045" i="11"/>
  <c r="BI1045" i="11"/>
  <c r="BJ1045" i="11"/>
  <c r="BG1046" i="11"/>
  <c r="BH1046" i="11"/>
  <c r="BI1046" i="11"/>
  <c r="BJ1046" i="11"/>
  <c r="BG1047" i="11"/>
  <c r="BH1047" i="11"/>
  <c r="BI1047" i="11"/>
  <c r="BJ1047" i="11"/>
  <c r="BG1048" i="11"/>
  <c r="BH1048" i="11"/>
  <c r="BI1048" i="11"/>
  <c r="BJ1048" i="11"/>
  <c r="BG1049" i="11"/>
  <c r="BH1049" i="11"/>
  <c r="BI1049" i="11"/>
  <c r="BJ1049" i="11"/>
  <c r="BG1050" i="11"/>
  <c r="BH1050" i="11"/>
  <c r="BI1050" i="11"/>
  <c r="BJ1050" i="11"/>
  <c r="BG1051" i="11"/>
  <c r="BH1051" i="11"/>
  <c r="BI1051" i="11"/>
  <c r="BJ1051" i="11"/>
  <c r="BG1052" i="11"/>
  <c r="BH1052" i="11"/>
  <c r="BI1052" i="11"/>
  <c r="BJ1052" i="11"/>
  <c r="BG1054" i="11"/>
  <c r="BH1054" i="11"/>
  <c r="BI1054" i="11"/>
  <c r="BJ1054" i="11"/>
  <c r="BG1055" i="11"/>
  <c r="BH1055" i="11"/>
  <c r="BI1055" i="11"/>
  <c r="BJ1055" i="11"/>
  <c r="BG1056" i="11"/>
  <c r="BH1056" i="11"/>
  <c r="BI1056" i="11"/>
  <c r="BJ1056" i="11"/>
  <c r="BG1057" i="11"/>
  <c r="BH1057" i="11"/>
  <c r="BI1057" i="11"/>
  <c r="BJ1057" i="11"/>
  <c r="BG1058" i="11"/>
  <c r="BH1058" i="11"/>
  <c r="BI1058" i="11"/>
  <c r="BJ1058" i="11"/>
  <c r="BG1059" i="11"/>
  <c r="BH1059" i="11"/>
  <c r="BI1059" i="11"/>
  <c r="BJ1059" i="11"/>
  <c r="BG1060" i="11"/>
  <c r="BH1060" i="11"/>
  <c r="BI1060" i="11"/>
  <c r="BJ1060" i="11"/>
  <c r="BG1062" i="11"/>
  <c r="BH1062" i="11"/>
  <c r="BI1062" i="11"/>
  <c r="BJ1062" i="11"/>
  <c r="BG1063" i="11"/>
  <c r="BH1063" i="11"/>
  <c r="BI1063" i="11"/>
  <c r="BJ1063" i="11"/>
  <c r="BG1064" i="11"/>
  <c r="BH1064" i="11"/>
  <c r="BI1064" i="11"/>
  <c r="BJ1064" i="11"/>
  <c r="BG1065" i="11"/>
  <c r="BH1065" i="11"/>
  <c r="BI1065" i="11"/>
  <c r="BJ1065" i="11"/>
  <c r="BG1068" i="11"/>
  <c r="BH1068" i="11"/>
  <c r="BI1068" i="11"/>
  <c r="BJ1068" i="11"/>
  <c r="BG1069" i="11"/>
  <c r="BH1069" i="11"/>
  <c r="BI1069" i="11"/>
  <c r="BJ1069" i="11"/>
  <c r="BG1070" i="11"/>
  <c r="BH1070" i="11"/>
  <c r="BI1070" i="11"/>
  <c r="BJ1070" i="11"/>
  <c r="BG1071" i="11"/>
  <c r="BH1071" i="11"/>
  <c r="BI1071" i="11"/>
  <c r="BJ1071" i="11"/>
  <c r="BG1072" i="11"/>
  <c r="BH1072" i="11"/>
  <c r="BI1072" i="11"/>
  <c r="BJ1072" i="11"/>
  <c r="BG1073" i="11"/>
  <c r="BH1073" i="11"/>
  <c r="BI1073" i="11"/>
  <c r="BJ1073" i="11"/>
  <c r="BG1074" i="11"/>
  <c r="BH1074" i="11"/>
  <c r="BI1074" i="11"/>
  <c r="BJ1074" i="11"/>
  <c r="BG1077" i="11"/>
  <c r="BH1077" i="11"/>
  <c r="BI1077" i="11"/>
  <c r="BJ1077" i="11"/>
  <c r="BG1078" i="11"/>
  <c r="BH1078" i="11"/>
  <c r="BI1078" i="11"/>
  <c r="BJ1078" i="11"/>
  <c r="BG1079" i="11"/>
  <c r="BH1079" i="11"/>
  <c r="BI1079" i="11"/>
  <c r="BJ1079" i="11"/>
  <c r="BG1080" i="11"/>
  <c r="BH1080" i="11"/>
  <c r="BI1080" i="11"/>
  <c r="BJ1080" i="11"/>
  <c r="BG1081" i="11"/>
  <c r="BH1081" i="11"/>
  <c r="BI1081" i="11"/>
  <c r="BJ1081" i="11"/>
  <c r="BG1082" i="11"/>
  <c r="BH1082" i="11"/>
  <c r="BI1082" i="11"/>
  <c r="BJ1082" i="11"/>
  <c r="BG1083" i="11"/>
  <c r="BH1083" i="11"/>
  <c r="BI1083" i="11"/>
  <c r="BJ1083" i="11"/>
  <c r="BG1085" i="11"/>
  <c r="BH1085" i="11"/>
  <c r="BI1085" i="11"/>
  <c r="BJ1085" i="11"/>
  <c r="BG1086" i="11"/>
  <c r="BH1086" i="11"/>
  <c r="BI1086" i="11"/>
  <c r="BJ1086" i="11"/>
  <c r="BG1087" i="11"/>
  <c r="BH1087" i="11"/>
  <c r="BI1087" i="11"/>
  <c r="BJ1087" i="11"/>
  <c r="BG1088" i="11"/>
  <c r="BH1088" i="11"/>
  <c r="BI1088" i="11"/>
  <c r="BJ1088" i="11"/>
  <c r="BG1089" i="11"/>
  <c r="BH1089" i="11"/>
  <c r="BI1089" i="11"/>
  <c r="BJ1089" i="11"/>
  <c r="BG1091" i="11"/>
  <c r="BH1091" i="11"/>
  <c r="BI1091" i="11"/>
  <c r="BJ1091" i="11"/>
  <c r="BG1092" i="11"/>
  <c r="BH1092" i="11"/>
  <c r="BI1092" i="11"/>
  <c r="BJ1092" i="11"/>
  <c r="BG1093" i="11"/>
  <c r="BH1093" i="11"/>
  <c r="BI1093" i="11"/>
  <c r="BJ1093" i="11"/>
  <c r="W1040" i="11"/>
  <c r="AF1040" i="11" s="1"/>
  <c r="T1019" i="11"/>
  <c r="T932" i="11"/>
  <c r="AE1042" i="11"/>
  <c r="AD1042" i="11"/>
  <c r="W1042" i="11"/>
  <c r="AF1042" i="11" s="1"/>
  <c r="AR1042" i="11" s="1"/>
  <c r="T1042" i="11"/>
  <c r="AE1030" i="11"/>
  <c r="AD1030" i="11"/>
  <c r="W1030" i="11"/>
  <c r="AF1030" i="11" s="1"/>
  <c r="AR1030" i="11" s="1"/>
  <c r="T1030" i="11"/>
  <c r="AE1002" i="11"/>
  <c r="AD1002" i="11"/>
  <c r="W1002" i="11"/>
  <c r="AF1002" i="11" s="1"/>
  <c r="AR1002" i="11" s="1"/>
  <c r="T1002" i="11"/>
  <c r="T1021" i="11"/>
  <c r="T1024" i="11"/>
  <c r="T1026" i="11"/>
  <c r="T1032" i="11"/>
  <c r="T1033" i="11"/>
  <c r="T1036" i="11"/>
  <c r="T1040" i="11"/>
  <c r="T1041" i="11"/>
  <c r="T1043" i="11"/>
  <c r="T1044" i="11"/>
  <c r="T1045" i="11"/>
  <c r="T1047" i="11"/>
  <c r="T1048" i="11"/>
  <c r="T1049" i="11"/>
  <c r="T1050" i="11"/>
  <c r="T1051" i="11"/>
  <c r="T1052" i="11"/>
  <c r="T1054" i="11"/>
  <c r="T1056" i="11"/>
  <c r="T1057" i="11"/>
  <c r="T1058" i="11"/>
  <c r="T1059" i="11"/>
  <c r="AU1039" i="11" l="1"/>
  <c r="BB1039" i="11"/>
  <c r="V970" i="11"/>
  <c r="BK1051" i="11"/>
  <c r="BK1055" i="11"/>
  <c r="BN1055" i="11" s="1"/>
  <c r="BK1083" i="11"/>
  <c r="BK1038" i="11"/>
  <c r="BK1029" i="11"/>
  <c r="BK1022" i="11"/>
  <c r="BK1046" i="11"/>
  <c r="BK1037" i="11"/>
  <c r="BK1023" i="11"/>
  <c r="BK1088" i="11"/>
  <c r="BK1079" i="11"/>
  <c r="BK1068" i="11"/>
  <c r="BN1068" i="11" s="1"/>
  <c r="BK1048" i="11"/>
  <c r="BK1081" i="11"/>
  <c r="BK1043" i="11"/>
  <c r="BK1030" i="11"/>
  <c r="BN1030" i="11" s="1"/>
  <c r="BK1091" i="11"/>
  <c r="BK1086" i="11"/>
  <c r="BK1077" i="11"/>
  <c r="BN1077" i="11" s="1"/>
  <c r="BK1065" i="11"/>
  <c r="BK1056" i="11"/>
  <c r="BK1078" i="11"/>
  <c r="BN1078" i="11" s="1"/>
  <c r="BK1092" i="11"/>
  <c r="BK1085" i="11"/>
  <c r="BK1082" i="11"/>
  <c r="BK1074" i="11"/>
  <c r="BK1064" i="11"/>
  <c r="BK1031" i="11"/>
  <c r="BK1057" i="11"/>
  <c r="BK1040" i="11"/>
  <c r="BN1040" i="11" s="1"/>
  <c r="BK1087" i="11"/>
  <c r="BK1047" i="11"/>
  <c r="BK1063" i="11"/>
  <c r="BK1052" i="11"/>
  <c r="BK1033" i="11"/>
  <c r="BK1024" i="11"/>
  <c r="BK1059" i="11"/>
  <c r="BK1049" i="11"/>
  <c r="BK1036" i="11"/>
  <c r="BK1027" i="11"/>
  <c r="BK1073" i="11"/>
  <c r="BK1070" i="11"/>
  <c r="BK1058" i="11"/>
  <c r="BK1026" i="11"/>
  <c r="BK1062" i="11"/>
  <c r="BN1062" i="11" s="1"/>
  <c r="BK1042" i="11"/>
  <c r="BN1042" i="11" s="1"/>
  <c r="BK1032" i="11"/>
  <c r="BK1045" i="11"/>
  <c r="BK1035" i="11"/>
  <c r="BK1060" i="11"/>
  <c r="BK1080" i="11"/>
  <c r="BK1069" i="11"/>
  <c r="BK1054" i="11"/>
  <c r="BN1054" i="11" s="1"/>
  <c r="BK1041" i="11"/>
  <c r="BN1041" i="11" s="1"/>
  <c r="BK1093" i="11"/>
  <c r="BK1071" i="11"/>
  <c r="BK1028" i="11"/>
  <c r="BK1034" i="11"/>
  <c r="BK1072" i="11"/>
  <c r="BK1050" i="11"/>
  <c r="BK1044" i="11"/>
  <c r="BK1025" i="11"/>
  <c r="BK1089" i="11"/>
  <c r="U1042" i="11"/>
  <c r="V1042" i="11" s="1"/>
  <c r="U1030" i="11"/>
  <c r="V1030" i="11" s="1"/>
  <c r="U1002" i="11"/>
  <c r="V1002" i="11" s="1"/>
  <c r="H1041" i="11" l="1"/>
  <c r="H1042" i="11"/>
  <c r="H1043" i="11"/>
  <c r="H1044" i="11"/>
  <c r="H1045" i="11"/>
  <c r="U1043" i="11"/>
  <c r="V1043" i="11" s="1"/>
  <c r="U1044" i="11"/>
  <c r="V1044" i="11" s="1"/>
  <c r="U1045" i="11"/>
  <c r="V1045" i="11" s="1"/>
  <c r="W1041" i="11"/>
  <c r="W1043" i="11"/>
  <c r="AF1043" i="11" s="1"/>
  <c r="AR1043" i="11" s="1"/>
  <c r="W1044" i="11"/>
  <c r="AF1044" i="11" s="1"/>
  <c r="AR1044" i="11" s="1"/>
  <c r="W1045" i="11"/>
  <c r="AF1045" i="11" s="1"/>
  <c r="AR1045" i="11" s="1"/>
  <c r="AD1041" i="11"/>
  <c r="AD1043" i="11"/>
  <c r="AD1045" i="11"/>
  <c r="AE1041" i="11"/>
  <c r="AE1043" i="11"/>
  <c r="AE1044" i="11"/>
  <c r="AS1041" i="11"/>
  <c r="AS1042" i="11"/>
  <c r="AS1043" i="11"/>
  <c r="AS1044" i="11"/>
  <c r="AS1045" i="11"/>
  <c r="AT1041" i="11"/>
  <c r="AO1041" i="11" s="1"/>
  <c r="AT1042" i="11"/>
  <c r="AT1043" i="11"/>
  <c r="AK1043" i="11" s="1"/>
  <c r="AT1044" i="11"/>
  <c r="AG1044" i="11" s="1"/>
  <c r="AX1044" i="11" s="1"/>
  <c r="AT1045" i="11"/>
  <c r="AM1045" i="11" s="1"/>
  <c r="AV1041" i="11"/>
  <c r="AV1042" i="11"/>
  <c r="AY1042" i="11" s="1"/>
  <c r="AV1043" i="11"/>
  <c r="AY1043" i="11" s="1"/>
  <c r="AV1044" i="11"/>
  <c r="AY1044" i="11" s="1"/>
  <c r="AV1045" i="11"/>
  <c r="AY1045" i="11" s="1"/>
  <c r="AW1041" i="11"/>
  <c r="AW1042" i="11"/>
  <c r="AW1043" i="11"/>
  <c r="AW1044" i="11"/>
  <c r="AW1045" i="11"/>
  <c r="H1046" i="11"/>
  <c r="H1047" i="11"/>
  <c r="H1048" i="11"/>
  <c r="H1049" i="11"/>
  <c r="H1050" i="11"/>
  <c r="U1047" i="11"/>
  <c r="V1047" i="11" s="1"/>
  <c r="U1048" i="11"/>
  <c r="V1048" i="11" s="1"/>
  <c r="U1049" i="11"/>
  <c r="V1049" i="11" s="1"/>
  <c r="U1050" i="11"/>
  <c r="V1050" i="11" s="1"/>
  <c r="AR1046" i="11"/>
  <c r="W1047" i="11"/>
  <c r="AF1047" i="11" s="1"/>
  <c r="AR1047" i="11" s="1"/>
  <c r="W1048" i="11"/>
  <c r="AF1048" i="11" s="1"/>
  <c r="AR1048" i="11" s="1"/>
  <c r="W1049" i="11"/>
  <c r="AF1049" i="11" s="1"/>
  <c r="AR1049" i="11" s="1"/>
  <c r="W1050" i="11"/>
  <c r="AF1050" i="11" s="1"/>
  <c r="AR1050" i="11" s="1"/>
  <c r="AD1047" i="11"/>
  <c r="AD1048" i="11"/>
  <c r="AD1049" i="11"/>
  <c r="AD1050" i="11"/>
  <c r="AE1047" i="11"/>
  <c r="AE1048" i="11"/>
  <c r="AE1049" i="11"/>
  <c r="AE1050" i="11"/>
  <c r="AS1046" i="11"/>
  <c r="AS1047" i="11"/>
  <c r="AS1048" i="11"/>
  <c r="AS1049" i="11"/>
  <c r="AS1050" i="11"/>
  <c r="AT1046" i="11"/>
  <c r="AG1046" i="11" s="1"/>
  <c r="AX1046" i="11" s="1"/>
  <c r="AT1047" i="11"/>
  <c r="AI1047" i="11" s="1"/>
  <c r="AT1048" i="11"/>
  <c r="AK1048" i="11" s="1"/>
  <c r="AT1049" i="11"/>
  <c r="AK1049" i="11" s="1"/>
  <c r="AT1050" i="11"/>
  <c r="AM1050" i="11" s="1"/>
  <c r="AV1046" i="11"/>
  <c r="AY1046" i="11" s="1"/>
  <c r="AV1047" i="11"/>
  <c r="AY1047" i="11" s="1"/>
  <c r="AV1048" i="11"/>
  <c r="AY1048" i="11" s="1"/>
  <c r="AV1049" i="11"/>
  <c r="AY1049" i="11" s="1"/>
  <c r="AV1050" i="11"/>
  <c r="AY1050" i="11" s="1"/>
  <c r="AW1046" i="11"/>
  <c r="AW1047" i="11"/>
  <c r="AW1048" i="11"/>
  <c r="AW1049" i="11"/>
  <c r="AW1050" i="11"/>
  <c r="H1051" i="11"/>
  <c r="H1052" i="11"/>
  <c r="H1054" i="11"/>
  <c r="H1055" i="11"/>
  <c r="H1056" i="11"/>
  <c r="U1051" i="11"/>
  <c r="V1051" i="11" s="1"/>
  <c r="U1054" i="11"/>
  <c r="V1054" i="11" s="1"/>
  <c r="U1056" i="11"/>
  <c r="V1056" i="11" s="1"/>
  <c r="W1051" i="11"/>
  <c r="AF1051" i="11" s="1"/>
  <c r="AR1051" i="11" s="1"/>
  <c r="W1052" i="11"/>
  <c r="AF1052" i="11" s="1"/>
  <c r="AR1052" i="11" s="1"/>
  <c r="W1054" i="11"/>
  <c r="AF1054" i="11" s="1"/>
  <c r="AR1054" i="11" s="1"/>
  <c r="AF1055" i="11"/>
  <c r="AR1055" i="11" s="1"/>
  <c r="W1056" i="11"/>
  <c r="AD1051" i="11"/>
  <c r="AD1052" i="11"/>
  <c r="AD1054" i="11"/>
  <c r="AD1056" i="11"/>
  <c r="AE1051" i="11"/>
  <c r="AE1052" i="11"/>
  <c r="AE1054" i="11"/>
  <c r="AE1055" i="11"/>
  <c r="AE1056" i="11"/>
  <c r="AS1051" i="11"/>
  <c r="AS1052" i="11"/>
  <c r="AS1054" i="11"/>
  <c r="AS1055" i="11"/>
  <c r="AS1056" i="11"/>
  <c r="AT1051" i="11"/>
  <c r="AI1051" i="11" s="1"/>
  <c r="AT1052" i="11"/>
  <c r="AK1052" i="11" s="1"/>
  <c r="AT1054" i="11"/>
  <c r="AI1054" i="11" s="1"/>
  <c r="AT1055" i="11"/>
  <c r="AO1055" i="11" s="1"/>
  <c r="AT1056" i="11"/>
  <c r="AM1056" i="11" s="1"/>
  <c r="AV1051" i="11"/>
  <c r="AY1051" i="11" s="1"/>
  <c r="AV1052" i="11"/>
  <c r="AY1052" i="11" s="1"/>
  <c r="AV1054" i="11"/>
  <c r="AY1054" i="11" s="1"/>
  <c r="AV1055" i="11"/>
  <c r="AY1055" i="11" s="1"/>
  <c r="AV1056" i="11"/>
  <c r="AY1056" i="11" s="1"/>
  <c r="AW1051" i="11"/>
  <c r="AW1052" i="11"/>
  <c r="AW1054" i="11"/>
  <c r="AW1055" i="11"/>
  <c r="AW1056" i="11"/>
  <c r="H1057" i="11"/>
  <c r="H1058" i="11"/>
  <c r="H1059" i="11"/>
  <c r="H1060" i="11"/>
  <c r="H1062" i="11"/>
  <c r="U1057" i="11"/>
  <c r="V1057" i="11" s="1"/>
  <c r="U1058" i="11"/>
  <c r="V1058" i="11" s="1"/>
  <c r="U1059" i="11"/>
  <c r="V1059" i="11" s="1"/>
  <c r="U1060" i="11"/>
  <c r="V1060" i="11" s="1"/>
  <c r="U1062" i="11"/>
  <c r="V1062" i="11" s="1"/>
  <c r="W1057" i="11"/>
  <c r="AF1057" i="11" s="1"/>
  <c r="AR1057" i="11" s="1"/>
  <c r="W1058" i="11"/>
  <c r="AF1058" i="11" s="1"/>
  <c r="AR1058" i="11" s="1"/>
  <c r="W1059" i="11"/>
  <c r="AF1059" i="11" s="1"/>
  <c r="AR1059" i="11" s="1"/>
  <c r="W1060" i="11"/>
  <c r="AF1060" i="11" s="1"/>
  <c r="AR1060" i="11" s="1"/>
  <c r="W1062" i="11"/>
  <c r="AF1062" i="11" s="1"/>
  <c r="AR1062" i="11" s="1"/>
  <c r="AD1058" i="11"/>
  <c r="AD1059" i="11"/>
  <c r="AD1060" i="11"/>
  <c r="AE1057" i="11"/>
  <c r="AE1058" i="11"/>
  <c r="AE1059" i="11"/>
  <c r="AE1060" i="11"/>
  <c r="AE1062" i="11"/>
  <c r="AS1057" i="11"/>
  <c r="AS1058" i="11"/>
  <c r="AS1059" i="11"/>
  <c r="AS1060" i="11"/>
  <c r="AS1062" i="11"/>
  <c r="AT1057" i="11"/>
  <c r="AI1057" i="11" s="1"/>
  <c r="AT1058" i="11"/>
  <c r="AO1058" i="11" s="1"/>
  <c r="AT1059" i="11"/>
  <c r="AG1059" i="11" s="1"/>
  <c r="AX1059" i="11" s="1"/>
  <c r="AT1060" i="11"/>
  <c r="AG1060" i="11" s="1"/>
  <c r="AX1060" i="11" s="1"/>
  <c r="AT1062" i="11"/>
  <c r="AM1062" i="11" s="1"/>
  <c r="AV1057" i="11"/>
  <c r="AY1057" i="11" s="1"/>
  <c r="AV1058" i="11"/>
  <c r="AY1058" i="11" s="1"/>
  <c r="AV1059" i="11"/>
  <c r="AV1060" i="11"/>
  <c r="AY1060" i="11" s="1"/>
  <c r="AV1062" i="11"/>
  <c r="AY1062" i="11" s="1"/>
  <c r="AW1057" i="11"/>
  <c r="AW1058" i="11"/>
  <c r="AW1059" i="11"/>
  <c r="AW1060" i="11"/>
  <c r="AW1062" i="11"/>
  <c r="H1063" i="11"/>
  <c r="H1064" i="11"/>
  <c r="H1065" i="11"/>
  <c r="H1068" i="11"/>
  <c r="H1069" i="11"/>
  <c r="U1063" i="11"/>
  <c r="V1063" i="11" s="1"/>
  <c r="U1064" i="11"/>
  <c r="V1064" i="11" s="1"/>
  <c r="U1068" i="11"/>
  <c r="V1068" i="11" s="1"/>
  <c r="U1069" i="11"/>
  <c r="W1063" i="11"/>
  <c r="AF1063" i="11" s="1"/>
  <c r="AR1063" i="11" s="1"/>
  <c r="W1064" i="11"/>
  <c r="AF1064" i="11" s="1"/>
  <c r="AR1064" i="11" s="1"/>
  <c r="W1065" i="11"/>
  <c r="AF1065" i="11" s="1"/>
  <c r="AR1065" i="11" s="1"/>
  <c r="W1068" i="11"/>
  <c r="AF1068" i="11" s="1"/>
  <c r="AR1068" i="11" s="1"/>
  <c r="W1069" i="11"/>
  <c r="AF1069" i="11" s="1"/>
  <c r="AR1069" i="11" s="1"/>
  <c r="AD1063" i="11"/>
  <c r="AD1064" i="11"/>
  <c r="AD1068" i="11"/>
  <c r="AD1069" i="11"/>
  <c r="AE1063" i="11"/>
  <c r="AE1065" i="11"/>
  <c r="AE1068" i="11"/>
  <c r="AE1069" i="11"/>
  <c r="AS1063" i="11"/>
  <c r="AS1064" i="11"/>
  <c r="AS1065" i="11"/>
  <c r="AS1068" i="11"/>
  <c r="AS1069" i="11"/>
  <c r="AT1063" i="11"/>
  <c r="AI1063" i="11" s="1"/>
  <c r="AT1064" i="11"/>
  <c r="AE1064" i="11" s="1"/>
  <c r="AT1065" i="11"/>
  <c r="AK1065" i="11" s="1"/>
  <c r="AT1068" i="11"/>
  <c r="AG1068" i="11" s="1"/>
  <c r="AX1068" i="11" s="1"/>
  <c r="AT1069" i="11"/>
  <c r="AO1069" i="11" s="1"/>
  <c r="AV1063" i="11"/>
  <c r="AV1064" i="11"/>
  <c r="AV1065" i="11"/>
  <c r="AV1068" i="11"/>
  <c r="AY1068" i="11" s="1"/>
  <c r="AV1069" i="11"/>
  <c r="AY1069" i="11" s="1"/>
  <c r="AW1063" i="11"/>
  <c r="AW1064" i="11"/>
  <c r="AW1065" i="11"/>
  <c r="AW1068" i="11"/>
  <c r="AW1069" i="11"/>
  <c r="H1070" i="11"/>
  <c r="H1071" i="11"/>
  <c r="H1072" i="11"/>
  <c r="H1073" i="11"/>
  <c r="H1074" i="11"/>
  <c r="U1070" i="11"/>
  <c r="V1070" i="11" s="1"/>
  <c r="U1071" i="11"/>
  <c r="V1071" i="11" s="1"/>
  <c r="U1072" i="11"/>
  <c r="V1072" i="11" s="1"/>
  <c r="U1073" i="11"/>
  <c r="V1073" i="11" s="1"/>
  <c r="U1074" i="11"/>
  <c r="V1074" i="11" s="1"/>
  <c r="W1070" i="11"/>
  <c r="AF1070" i="11" s="1"/>
  <c r="AR1070" i="11" s="1"/>
  <c r="W1071" i="11"/>
  <c r="W1072" i="11"/>
  <c r="AF1072" i="11" s="1"/>
  <c r="AR1072" i="11" s="1"/>
  <c r="W1073" i="11"/>
  <c r="AF1073" i="11" s="1"/>
  <c r="AR1073" i="11" s="1"/>
  <c r="W1074" i="11"/>
  <c r="AF1074" i="11" s="1"/>
  <c r="AR1074" i="11" s="1"/>
  <c r="AD1070" i="11"/>
  <c r="AD1071" i="11"/>
  <c r="AD1072" i="11"/>
  <c r="AE1070" i="11"/>
  <c r="AE1071" i="11"/>
  <c r="AE1072" i="11"/>
  <c r="AE1073" i="11"/>
  <c r="AE1074" i="11"/>
  <c r="AS1070" i="11"/>
  <c r="AS1071" i="11"/>
  <c r="AS1072" i="11"/>
  <c r="AS1073" i="11"/>
  <c r="AS1074" i="11"/>
  <c r="AT1070" i="11"/>
  <c r="AI1070" i="11" s="1"/>
  <c r="AT1071" i="11"/>
  <c r="AG1071" i="11" s="1"/>
  <c r="AX1071" i="11" s="1"/>
  <c r="AT1072" i="11"/>
  <c r="AM1072" i="11" s="1"/>
  <c r="AT1073" i="11"/>
  <c r="AK1073" i="11" s="1"/>
  <c r="AT1074" i="11"/>
  <c r="AM1074" i="11" s="1"/>
  <c r="AV1070" i="11"/>
  <c r="AY1070" i="11" s="1"/>
  <c r="AV1071" i="11"/>
  <c r="AY1071" i="11" s="1"/>
  <c r="AV1072" i="11"/>
  <c r="AY1072" i="11" s="1"/>
  <c r="AV1073" i="11"/>
  <c r="AY1073" i="11" s="1"/>
  <c r="AV1074" i="11"/>
  <c r="AY1074" i="11" s="1"/>
  <c r="AW1070" i="11"/>
  <c r="AW1071" i="11"/>
  <c r="AW1072" i="11"/>
  <c r="AW1073" i="11"/>
  <c r="AW1074" i="11"/>
  <c r="H1077" i="11"/>
  <c r="H1078" i="11"/>
  <c r="H1079" i="11"/>
  <c r="H1080" i="11"/>
  <c r="H1081" i="11"/>
  <c r="U1078" i="11"/>
  <c r="V1078" i="11" s="1"/>
  <c r="U1079" i="11"/>
  <c r="V1079" i="11" s="1"/>
  <c r="U1080" i="11"/>
  <c r="V1080" i="11" s="1"/>
  <c r="U1081" i="11"/>
  <c r="V1081" i="11" s="1"/>
  <c r="AF1077" i="11"/>
  <c r="AR1077" i="11" s="1"/>
  <c r="W1078" i="11"/>
  <c r="AF1078" i="11" s="1"/>
  <c r="AR1078" i="11" s="1"/>
  <c r="W1079" i="11"/>
  <c r="AF1079" i="11" s="1"/>
  <c r="AR1079" i="11" s="1"/>
  <c r="W1080" i="11"/>
  <c r="W1081" i="11"/>
  <c r="AF1081" i="11" s="1"/>
  <c r="AR1081" i="11" s="1"/>
  <c r="AD1078" i="11"/>
  <c r="AD1079" i="11"/>
  <c r="AD1080" i="11"/>
  <c r="AD1081" i="11"/>
  <c r="AE1077" i="11"/>
  <c r="AE1078" i="11"/>
  <c r="AE1079" i="11"/>
  <c r="AE1081" i="11"/>
  <c r="AS1077" i="11"/>
  <c r="AS1078" i="11"/>
  <c r="AS1079" i="11"/>
  <c r="AS1080" i="11"/>
  <c r="AS1081" i="11"/>
  <c r="AT1077" i="11"/>
  <c r="AI1077" i="11" s="1"/>
  <c r="AT1078" i="11"/>
  <c r="AT1079" i="11"/>
  <c r="AK1079" i="11" s="1"/>
  <c r="AT1080" i="11"/>
  <c r="AK1080" i="11" s="1"/>
  <c r="AT1081" i="11"/>
  <c r="AG1081" i="11" s="1"/>
  <c r="AX1081" i="11" s="1"/>
  <c r="AV1077" i="11"/>
  <c r="AY1077" i="11" s="1"/>
  <c r="AV1078" i="11"/>
  <c r="AY1078" i="11" s="1"/>
  <c r="AV1079" i="11"/>
  <c r="AY1079" i="11" s="1"/>
  <c r="AV1080" i="11"/>
  <c r="AV1081" i="11"/>
  <c r="AY1081" i="11" s="1"/>
  <c r="AW1077" i="11"/>
  <c r="AW1078" i="11"/>
  <c r="AW1079" i="11"/>
  <c r="AW1080" i="11"/>
  <c r="AW1081" i="11"/>
  <c r="H1082" i="11"/>
  <c r="H1083" i="11"/>
  <c r="H1085" i="11"/>
  <c r="H1086" i="11"/>
  <c r="H1087" i="11"/>
  <c r="U1082" i="11"/>
  <c r="V1082" i="11" s="1"/>
  <c r="U1083" i="11"/>
  <c r="V1083" i="11" s="1"/>
  <c r="U1085" i="11"/>
  <c r="V1085" i="11" s="1"/>
  <c r="U1086" i="11"/>
  <c r="V1086" i="11" s="1"/>
  <c r="U1087" i="11"/>
  <c r="V1087" i="11" s="1"/>
  <c r="W1082" i="11"/>
  <c r="AF1082" i="11" s="1"/>
  <c r="AR1082" i="11" s="1"/>
  <c r="W1083" i="11"/>
  <c r="W1085" i="11"/>
  <c r="AF1085" i="11" s="1"/>
  <c r="AR1085" i="11" s="1"/>
  <c r="W1086" i="11"/>
  <c r="AF1086" i="11" s="1"/>
  <c r="AR1086" i="11" s="1"/>
  <c r="W1087" i="11"/>
  <c r="AF1087" i="11" s="1"/>
  <c r="AR1087" i="11" s="1"/>
  <c r="AD1082" i="11"/>
  <c r="AD1083" i="11"/>
  <c r="AD1085" i="11"/>
  <c r="AD1086" i="11"/>
  <c r="AD1087" i="11"/>
  <c r="AE1082" i="11"/>
  <c r="AE1083" i="11"/>
  <c r="AE1087" i="11"/>
  <c r="AS1082" i="11"/>
  <c r="AS1083" i="11"/>
  <c r="AS1085" i="11"/>
  <c r="AS1086" i="11"/>
  <c r="AS1087" i="11"/>
  <c r="AT1082" i="11"/>
  <c r="AI1082" i="11" s="1"/>
  <c r="AT1083" i="11"/>
  <c r="AK1083" i="11" s="1"/>
  <c r="AT1085" i="11"/>
  <c r="AO1085" i="11" s="1"/>
  <c r="AT1086" i="11"/>
  <c r="AO1086" i="11" s="1"/>
  <c r="AT1087" i="11"/>
  <c r="AM1087" i="11" s="1"/>
  <c r="AV1082" i="11"/>
  <c r="AV1083" i="11"/>
  <c r="AY1083" i="11" s="1"/>
  <c r="AV1085" i="11"/>
  <c r="AY1085" i="11" s="1"/>
  <c r="AV1086" i="11"/>
  <c r="AY1086" i="11" s="1"/>
  <c r="AV1087" i="11"/>
  <c r="AY1087" i="11" s="1"/>
  <c r="AW1082" i="11"/>
  <c r="AW1083" i="11"/>
  <c r="AW1085" i="11"/>
  <c r="AW1086" i="11"/>
  <c r="AW1087" i="11"/>
  <c r="H1088" i="11"/>
  <c r="H1089" i="11"/>
  <c r="H1091" i="11"/>
  <c r="U1088" i="11"/>
  <c r="V1088" i="11" s="1"/>
  <c r="U1089" i="11"/>
  <c r="W1088" i="11"/>
  <c r="AF1088" i="11" s="1"/>
  <c r="AR1088" i="11" s="1"/>
  <c r="W1089" i="11"/>
  <c r="AF1089" i="11" s="1"/>
  <c r="AR1089" i="11" s="1"/>
  <c r="AE1088" i="11"/>
  <c r="AE1089" i="11"/>
  <c r="AS1088" i="11"/>
  <c r="AS1089" i="11"/>
  <c r="AS1091" i="11"/>
  <c r="AT1088" i="11"/>
  <c r="AG1088" i="11" s="1"/>
  <c r="AX1088" i="11" s="1"/>
  <c r="AT1089" i="11"/>
  <c r="AI1089" i="11" s="1"/>
  <c r="AT1091" i="11"/>
  <c r="AV1088" i="11"/>
  <c r="AY1088" i="11" s="1"/>
  <c r="AV1089" i="11"/>
  <c r="AY1089" i="11" s="1"/>
  <c r="AV1091" i="11"/>
  <c r="AY1091" i="11" s="1"/>
  <c r="AW1088" i="11"/>
  <c r="AW1089" i="11"/>
  <c r="AW1091" i="11"/>
  <c r="H1092" i="11"/>
  <c r="U1092" i="11"/>
  <c r="W1092" i="11"/>
  <c r="AF1092" i="11" s="1"/>
  <c r="AR1092" i="11" s="1"/>
  <c r="AD1092" i="11"/>
  <c r="AS1092" i="11"/>
  <c r="AT1092" i="11"/>
  <c r="AI1092" i="11" s="1"/>
  <c r="AV1092" i="11"/>
  <c r="AY1092" i="11" s="1"/>
  <c r="AW1092" i="11"/>
  <c r="H1093" i="11"/>
  <c r="U1093" i="11"/>
  <c r="V1093" i="11" s="1"/>
  <c r="W1093" i="11"/>
  <c r="AD1093" i="11"/>
  <c r="AE1093" i="11"/>
  <c r="AS1093" i="11"/>
  <c r="AT1093" i="11"/>
  <c r="AI1093" i="11" s="1"/>
  <c r="AV1093" i="11"/>
  <c r="AY1093" i="11" s="1"/>
  <c r="AW1093" i="11"/>
  <c r="H1028" i="11"/>
  <c r="H1029" i="11"/>
  <c r="H1022" i="11"/>
  <c r="U1028" i="11"/>
  <c r="V1028" i="11" s="1"/>
  <c r="U1029" i="11"/>
  <c r="V1029" i="11" s="1"/>
  <c r="U1022" i="11"/>
  <c r="W1028" i="11"/>
  <c r="W1029" i="11"/>
  <c r="W1022" i="11"/>
  <c r="AF1022" i="11" s="1"/>
  <c r="AR1022" i="11" s="1"/>
  <c r="AD1028" i="11"/>
  <c r="AD1029" i="11"/>
  <c r="AE1022" i="11"/>
  <c r="AS1028" i="11"/>
  <c r="AS1029" i="11"/>
  <c r="AS1022" i="11"/>
  <c r="AT1028" i="11"/>
  <c r="AI1028" i="11" s="1"/>
  <c r="AT1029" i="11"/>
  <c r="AG1029" i="11" s="1"/>
  <c r="AX1029" i="11" s="1"/>
  <c r="AT1022" i="11"/>
  <c r="AI1022" i="11" s="1"/>
  <c r="AV1028" i="11"/>
  <c r="AY1028" i="11" s="1"/>
  <c r="AV1029" i="11"/>
  <c r="AY1029" i="11" s="1"/>
  <c r="AV1022" i="11"/>
  <c r="AY1022" i="11" s="1"/>
  <c r="AW1028" i="11"/>
  <c r="AW1029" i="11"/>
  <c r="AW1022" i="11"/>
  <c r="H1023" i="11"/>
  <c r="H1024" i="11"/>
  <c r="H1025" i="11"/>
  <c r="U1023" i="11"/>
  <c r="V1023" i="11" s="1"/>
  <c r="U1024" i="11"/>
  <c r="V1024" i="11" s="1"/>
  <c r="U1025" i="11"/>
  <c r="W1023" i="11"/>
  <c r="AF1023" i="11" s="1"/>
  <c r="AR1023" i="11" s="1"/>
  <c r="W1024" i="11"/>
  <c r="AF1024" i="11" s="1"/>
  <c r="AR1024" i="11" s="1"/>
  <c r="W1025" i="11"/>
  <c r="AF1025" i="11" s="1"/>
  <c r="AR1025" i="11" s="1"/>
  <c r="AD1024" i="11"/>
  <c r="AD1025" i="11"/>
  <c r="AE1023" i="11"/>
  <c r="AE1024" i="11"/>
  <c r="AE1025" i="11"/>
  <c r="AS1023" i="11"/>
  <c r="AS1024" i="11"/>
  <c r="AS1025" i="11"/>
  <c r="AT1023" i="11"/>
  <c r="AG1023" i="11" s="1"/>
  <c r="AX1023" i="11" s="1"/>
  <c r="AT1024" i="11"/>
  <c r="AG1024" i="11" s="1"/>
  <c r="AX1024" i="11" s="1"/>
  <c r="AT1025" i="11"/>
  <c r="AI1025" i="11" s="1"/>
  <c r="AV1023" i="11"/>
  <c r="AY1023" i="11" s="1"/>
  <c r="AV1024" i="11"/>
  <c r="AY1024" i="11" s="1"/>
  <c r="AV1025" i="11"/>
  <c r="AY1025" i="11" s="1"/>
  <c r="AW1023" i="11"/>
  <c r="AW1024" i="11"/>
  <c r="AW1025" i="11"/>
  <c r="H1026" i="11"/>
  <c r="H1027" i="11"/>
  <c r="H1030" i="11"/>
  <c r="U1026" i="11"/>
  <c r="V1026" i="11" s="1"/>
  <c r="U1027" i="11"/>
  <c r="V1027" i="11" s="1"/>
  <c r="W1026" i="11"/>
  <c r="AF1026" i="11" s="1"/>
  <c r="AR1026" i="11" s="1"/>
  <c r="W1027" i="11"/>
  <c r="AF1027" i="11" s="1"/>
  <c r="AR1027" i="11" s="1"/>
  <c r="AD1026" i="11"/>
  <c r="AD1027" i="11"/>
  <c r="AE1026" i="11"/>
  <c r="AE1027" i="11"/>
  <c r="AS1026" i="11"/>
  <c r="AS1027" i="11"/>
  <c r="AS1030" i="11"/>
  <c r="AT1026" i="11"/>
  <c r="AI1026" i="11" s="1"/>
  <c r="AT1027" i="11"/>
  <c r="AG1027" i="11" s="1"/>
  <c r="AX1027" i="11" s="1"/>
  <c r="AT1030" i="11"/>
  <c r="AV1026" i="11"/>
  <c r="AY1026" i="11" s="1"/>
  <c r="AV1027" i="11"/>
  <c r="AY1027" i="11" s="1"/>
  <c r="AV1030" i="11"/>
  <c r="AY1030" i="11" s="1"/>
  <c r="AW1026" i="11"/>
  <c r="AW1027" i="11"/>
  <c r="AW1030" i="11"/>
  <c r="H1031" i="11"/>
  <c r="H1032" i="11"/>
  <c r="H1033" i="11"/>
  <c r="U1031" i="11"/>
  <c r="V1031" i="11" s="1"/>
  <c r="U1032" i="11"/>
  <c r="U1033" i="11"/>
  <c r="W1031" i="11"/>
  <c r="W1032" i="11"/>
  <c r="AF1032" i="11" s="1"/>
  <c r="AR1032" i="11" s="1"/>
  <c r="W1033" i="11"/>
  <c r="AF1033" i="11" s="1"/>
  <c r="AR1033" i="11" s="1"/>
  <c r="AD1031" i="11"/>
  <c r="AD1032" i="11"/>
  <c r="AE1031" i="11"/>
  <c r="AE1032" i="11"/>
  <c r="AS1031" i="11"/>
  <c r="AS1032" i="11"/>
  <c r="AS1033" i="11"/>
  <c r="AT1031" i="11"/>
  <c r="AG1031" i="11" s="1"/>
  <c r="AX1031" i="11" s="1"/>
  <c r="AT1032" i="11"/>
  <c r="AM1032" i="11" s="1"/>
  <c r="AT1033" i="11"/>
  <c r="AI1033" i="11" s="1"/>
  <c r="AV1031" i="11"/>
  <c r="AY1031" i="11" s="1"/>
  <c r="AV1032" i="11"/>
  <c r="AY1032" i="11" s="1"/>
  <c r="AV1033" i="11"/>
  <c r="AW1031" i="11"/>
  <c r="AW1032" i="11"/>
  <c r="AW1033" i="11"/>
  <c r="H1034" i="11"/>
  <c r="H1035" i="11"/>
  <c r="H1036" i="11"/>
  <c r="U1034" i="11"/>
  <c r="V1034" i="11" s="1"/>
  <c r="U1035" i="11"/>
  <c r="V1035" i="11" s="1"/>
  <c r="U1036" i="11"/>
  <c r="W1034" i="11"/>
  <c r="AF1034" i="11" s="1"/>
  <c r="AR1034" i="11" s="1"/>
  <c r="W1035" i="11"/>
  <c r="W1036" i="11"/>
  <c r="AF1036" i="11" s="1"/>
  <c r="AR1036" i="11" s="1"/>
  <c r="AD1034" i="11"/>
  <c r="AD1036" i="11"/>
  <c r="AE1035" i="11"/>
  <c r="AE1036" i="11"/>
  <c r="AS1034" i="11"/>
  <c r="AS1035" i="11"/>
  <c r="AS1036" i="11"/>
  <c r="AT1034" i="11"/>
  <c r="AI1034" i="11" s="1"/>
  <c r="AT1035" i="11"/>
  <c r="AG1035" i="11" s="1"/>
  <c r="AX1035" i="11" s="1"/>
  <c r="AT1036" i="11"/>
  <c r="AG1036" i="11" s="1"/>
  <c r="AX1036" i="11" s="1"/>
  <c r="AV1034" i="11"/>
  <c r="AY1034" i="11" s="1"/>
  <c r="AV1035" i="11"/>
  <c r="AY1035" i="11" s="1"/>
  <c r="AV1036" i="11"/>
  <c r="AY1036" i="11" s="1"/>
  <c r="AW1034" i="11"/>
  <c r="AW1035" i="11"/>
  <c r="AW1036" i="11"/>
  <c r="H1037" i="11"/>
  <c r="U1037" i="11"/>
  <c r="V1037" i="11" s="1"/>
  <c r="W1037" i="11"/>
  <c r="AF1037" i="11" s="1"/>
  <c r="AR1037" i="11" s="1"/>
  <c r="AE1037" i="11"/>
  <c r="AS1037" i="11"/>
  <c r="AT1037" i="11"/>
  <c r="AK1037" i="11" s="1"/>
  <c r="AV1037" i="11"/>
  <c r="AY1037" i="11" s="1"/>
  <c r="AW1037" i="11"/>
  <c r="H1038" i="11"/>
  <c r="U1038" i="11"/>
  <c r="V1038" i="11" s="1"/>
  <c r="W1038" i="11"/>
  <c r="AF1038" i="11" s="1"/>
  <c r="AR1038" i="11" s="1"/>
  <c r="AD1038" i="11"/>
  <c r="AE1038" i="11"/>
  <c r="AS1038" i="11"/>
  <c r="AT1038" i="11"/>
  <c r="AK1038" i="11" s="1"/>
  <c r="AV1038" i="11"/>
  <c r="AY1038" i="11" s="1"/>
  <c r="AW1038" i="11"/>
  <c r="H1040" i="11"/>
  <c r="U1040" i="11"/>
  <c r="AR1040" i="11"/>
  <c r="AD1040" i="11"/>
  <c r="AE1040" i="11"/>
  <c r="AS1040" i="11"/>
  <c r="AT1040" i="11"/>
  <c r="AI1040" i="11" s="1"/>
  <c r="AV1040" i="11"/>
  <c r="AW1040" i="11"/>
  <c r="AD468" i="11"/>
  <c r="R468" i="11"/>
  <c r="T468" i="11" s="1"/>
  <c r="AF1083" i="11" l="1"/>
  <c r="AR1083" i="11" s="1"/>
  <c r="AG1091" i="11"/>
  <c r="AX1091" i="11" s="1"/>
  <c r="BA1091" i="11" s="1"/>
  <c r="AI1091" i="11"/>
  <c r="AK1091" i="11"/>
  <c r="AM1091" i="11"/>
  <c r="AO1091" i="11"/>
  <c r="AF1056" i="11"/>
  <c r="AR1056" i="11" s="1"/>
  <c r="AF1041" i="11"/>
  <c r="AR1041" i="11" s="1"/>
  <c r="AF1035" i="11"/>
  <c r="AR1035" i="11" s="1"/>
  <c r="AF1031" i="11"/>
  <c r="AR1031" i="11" s="1"/>
  <c r="AF1071" i="11"/>
  <c r="AR1071" i="11" s="1"/>
  <c r="AE1092" i="11"/>
  <c r="AF1029" i="11"/>
  <c r="AR1029" i="11" s="1"/>
  <c r="AF1028" i="11"/>
  <c r="AR1028" i="11" s="1"/>
  <c r="AF1080" i="11"/>
  <c r="AR1080" i="11" s="1"/>
  <c r="AE1085" i="11"/>
  <c r="AU1085" i="11" s="1"/>
  <c r="AE1080" i="11"/>
  <c r="AU1080" i="11" s="1"/>
  <c r="AE1086" i="11"/>
  <c r="AU1086" i="11" s="1"/>
  <c r="AF1093" i="11"/>
  <c r="AR1093" i="11" s="1"/>
  <c r="AE1045" i="11"/>
  <c r="AU1045" i="11" s="1"/>
  <c r="AE1034" i="11"/>
  <c r="AU1034" i="11" s="1"/>
  <c r="AE1029" i="11"/>
  <c r="AU1029" i="11" s="1"/>
  <c r="AE1028" i="11"/>
  <c r="AU1028" i="11" s="1"/>
  <c r="AO1042" i="11"/>
  <c r="AM1042" i="11"/>
  <c r="AK1042" i="11"/>
  <c r="AI1042" i="11"/>
  <c r="AG1042" i="11"/>
  <c r="AX1042" i="11" s="1"/>
  <c r="BA1042" i="11" s="1"/>
  <c r="AO1030" i="11"/>
  <c r="AM1030" i="11"/>
  <c r="AK1030" i="11"/>
  <c r="AI1030" i="11"/>
  <c r="AG1030" i="11"/>
  <c r="AX1030" i="11" s="1"/>
  <c r="BA1030" i="11" s="1"/>
  <c r="AZ1062" i="11"/>
  <c r="AZ1050" i="11"/>
  <c r="AZ1049" i="11"/>
  <c r="AM1044" i="11"/>
  <c r="AK1044" i="11"/>
  <c r="AZ1048" i="11"/>
  <c r="AU1044" i="11"/>
  <c r="AU1049" i="11"/>
  <c r="AU1071" i="11"/>
  <c r="AU1060" i="11"/>
  <c r="AZ1077" i="11"/>
  <c r="AZ1042" i="11"/>
  <c r="BA1068" i="11"/>
  <c r="AZ1082" i="11"/>
  <c r="AZ1045" i="11"/>
  <c r="AZ1044" i="11"/>
  <c r="AZ1043" i="11"/>
  <c r="BN1044" i="11"/>
  <c r="AU1042" i="11"/>
  <c r="AZ1064" i="11"/>
  <c r="AU1056" i="11"/>
  <c r="BN1058" i="11"/>
  <c r="AZ1063" i="11"/>
  <c r="AI1044" i="11"/>
  <c r="AI1043" i="11"/>
  <c r="AI1041" i="11"/>
  <c r="BN1045" i="11"/>
  <c r="BN1043" i="11"/>
  <c r="AG1043" i="11"/>
  <c r="AX1043" i="11" s="1"/>
  <c r="BA1043" i="11" s="1"/>
  <c r="AZ1041" i="11"/>
  <c r="AU1043" i="11"/>
  <c r="AG1041" i="11"/>
  <c r="AX1041" i="11" s="1"/>
  <c r="BA1041" i="11" s="1"/>
  <c r="BA1044" i="11"/>
  <c r="AU1055" i="11"/>
  <c r="AU1048" i="11"/>
  <c r="AO1045" i="11"/>
  <c r="AM1043" i="11"/>
  <c r="AK1041" i="11"/>
  <c r="AU1054" i="11"/>
  <c r="AO1044" i="11"/>
  <c r="AY1041" i="11"/>
  <c r="AO1043" i="11"/>
  <c r="AM1041" i="11"/>
  <c r="U1041" i="11"/>
  <c r="V1041" i="11" s="1"/>
  <c r="AU1041" i="11" s="1"/>
  <c r="AG1045" i="11"/>
  <c r="AX1045" i="11" s="1"/>
  <c r="BA1045" i="11" s="1"/>
  <c r="AZ1060" i="11"/>
  <c r="AI1045" i="11"/>
  <c r="AU1050" i="11"/>
  <c r="AK1045" i="11"/>
  <c r="BA1046" i="11"/>
  <c r="AZ1068" i="11"/>
  <c r="AZ1047" i="11"/>
  <c r="AK1046" i="11"/>
  <c r="AM1048" i="11"/>
  <c r="BN1046" i="11"/>
  <c r="AZ1046" i="11"/>
  <c r="AI1046" i="11"/>
  <c r="BN1050" i="11"/>
  <c r="AU1047" i="11"/>
  <c r="AU1046" i="11"/>
  <c r="AM1047" i="11"/>
  <c r="AK1047" i="11"/>
  <c r="BN1048" i="11"/>
  <c r="BN1049" i="11"/>
  <c r="BN1047" i="11"/>
  <c r="AM1049" i="11"/>
  <c r="AZ1069" i="11"/>
  <c r="AO1049" i="11"/>
  <c r="AO1050" i="11"/>
  <c r="BN1069" i="11"/>
  <c r="AZ1051" i="11"/>
  <c r="AU1051" i="11"/>
  <c r="AO1048" i="11"/>
  <c r="AM1046" i="11"/>
  <c r="AO1051" i="11"/>
  <c r="AO1047" i="11"/>
  <c r="AK1059" i="11"/>
  <c r="AO1046" i="11"/>
  <c r="AG1050" i="11"/>
  <c r="AX1050" i="11" s="1"/>
  <c r="BA1050" i="11" s="1"/>
  <c r="AZ1056" i="11"/>
  <c r="AG1049" i="11"/>
  <c r="AX1049" i="11" s="1"/>
  <c r="BA1049" i="11" s="1"/>
  <c r="AZ1055" i="11"/>
  <c r="AI1050" i="11"/>
  <c r="AG1048" i="11"/>
  <c r="AX1048" i="11" s="1"/>
  <c r="BA1048" i="11" s="1"/>
  <c r="BA1060" i="11"/>
  <c r="BN1052" i="11"/>
  <c r="AZ1054" i="11"/>
  <c r="AI1049" i="11"/>
  <c r="AG1047" i="11"/>
  <c r="AX1047" i="11" s="1"/>
  <c r="BA1047" i="11" s="1"/>
  <c r="AK1050" i="11"/>
  <c r="AI1048" i="11"/>
  <c r="BN1056" i="11"/>
  <c r="AM1055" i="11"/>
  <c r="AZ1052" i="11"/>
  <c r="AK1055" i="11"/>
  <c r="BN1051" i="11"/>
  <c r="AK1054" i="11"/>
  <c r="AI1055" i="11"/>
  <c r="AG1055" i="11"/>
  <c r="AX1055" i="11" s="1"/>
  <c r="BA1055" i="11" s="1"/>
  <c r="AG1054" i="11"/>
  <c r="AX1054" i="11" s="1"/>
  <c r="BA1054" i="11" s="1"/>
  <c r="AO1054" i="11"/>
  <c r="AO1056" i="11"/>
  <c r="AM1054" i="11"/>
  <c r="AK1051" i="11"/>
  <c r="AU1058" i="11"/>
  <c r="AM1052" i="11"/>
  <c r="U1052" i="11"/>
  <c r="V1052" i="11" s="1"/>
  <c r="AU1052" i="11" s="1"/>
  <c r="AU1057" i="11"/>
  <c r="AM1051" i="11"/>
  <c r="AK1060" i="11"/>
  <c r="AO1052" i="11"/>
  <c r="AG1056" i="11"/>
  <c r="AX1056" i="11" s="1"/>
  <c r="BA1056" i="11" s="1"/>
  <c r="AI1056" i="11"/>
  <c r="AM1069" i="11"/>
  <c r="BA1059" i="11"/>
  <c r="AG1052" i="11"/>
  <c r="AX1052" i="11" s="1"/>
  <c r="BA1052" i="11" s="1"/>
  <c r="AK1056" i="11"/>
  <c r="AG1051" i="11"/>
  <c r="AX1051" i="11" s="1"/>
  <c r="BA1051" i="11" s="1"/>
  <c r="AU1070" i="11"/>
  <c r="AI1052" i="11"/>
  <c r="AY1064" i="11"/>
  <c r="AU1062" i="11"/>
  <c r="BN1059" i="11"/>
  <c r="AZ1058" i="11"/>
  <c r="AK1058" i="11"/>
  <c r="BN1060" i="11"/>
  <c r="AI1060" i="11"/>
  <c r="BN1057" i="11"/>
  <c r="AI1059" i="11"/>
  <c r="AI1058" i="11"/>
  <c r="AZ1057" i="11"/>
  <c r="AZ1059" i="11"/>
  <c r="AU1059" i="11"/>
  <c r="AG1058" i="11"/>
  <c r="AX1058" i="11" s="1"/>
  <c r="BA1058" i="11" s="1"/>
  <c r="AO1057" i="11"/>
  <c r="AM1060" i="11"/>
  <c r="AY1059" i="11"/>
  <c r="AO1062" i="11"/>
  <c r="AM1059" i="11"/>
  <c r="AK1057" i="11"/>
  <c r="AI1081" i="11"/>
  <c r="AZ1074" i="11"/>
  <c r="AU1064" i="11"/>
  <c r="AO1060" i="11"/>
  <c r="AM1058" i="11"/>
  <c r="BA1071" i="11"/>
  <c r="AU1063" i="11"/>
  <c r="AO1059" i="11"/>
  <c r="AM1057" i="11"/>
  <c r="BA1081" i="11"/>
  <c r="AG1062" i="11"/>
  <c r="AX1062" i="11" s="1"/>
  <c r="BA1062" i="11" s="1"/>
  <c r="AI1062" i="11"/>
  <c r="AK1062" i="11"/>
  <c r="AG1057" i="11"/>
  <c r="AX1057" i="11" s="1"/>
  <c r="BA1057" i="11" s="1"/>
  <c r="BN1070" i="11"/>
  <c r="AO1068" i="11"/>
  <c r="AK1069" i="11"/>
  <c r="V1069" i="11"/>
  <c r="AU1069" i="11" s="1"/>
  <c r="AK1068" i="11"/>
  <c r="AI1069" i="11"/>
  <c r="AI1068" i="11"/>
  <c r="AU1068" i="11"/>
  <c r="BN1065" i="11"/>
  <c r="AG1069" i="11"/>
  <c r="AX1069" i="11" s="1"/>
  <c r="BA1069" i="11" s="1"/>
  <c r="BN1064" i="11"/>
  <c r="BN1063" i="11"/>
  <c r="AZ1065" i="11"/>
  <c r="AU1088" i="11"/>
  <c r="AU1073" i="11"/>
  <c r="AM1068" i="11"/>
  <c r="AK1064" i="11"/>
  <c r="AZ1079" i="11"/>
  <c r="AU1081" i="11"/>
  <c r="AU1072" i="11"/>
  <c r="AY1065" i="11"/>
  <c r="AM1065" i="11"/>
  <c r="AK1063" i="11"/>
  <c r="U1065" i="11"/>
  <c r="V1065" i="11" s="1"/>
  <c r="AU1065" i="11" s="1"/>
  <c r="AZ1089" i="11"/>
  <c r="AZ1078" i="11"/>
  <c r="AM1064" i="11"/>
  <c r="AO1082" i="11"/>
  <c r="AY1063" i="11"/>
  <c r="AO1065" i="11"/>
  <c r="AM1063" i="11"/>
  <c r="AO1064" i="11"/>
  <c r="AO1063" i="11"/>
  <c r="AG1065" i="11"/>
  <c r="AX1065" i="11" s="1"/>
  <c r="BA1065" i="11" s="1"/>
  <c r="AG1064" i="11"/>
  <c r="AX1064" i="11" s="1"/>
  <c r="BA1064" i="11" s="1"/>
  <c r="AI1065" i="11"/>
  <c r="AG1063" i="11"/>
  <c r="AX1063" i="11" s="1"/>
  <c r="BA1063" i="11" s="1"/>
  <c r="AU1083" i="11"/>
  <c r="BN1072" i="11"/>
  <c r="AZ1073" i="11"/>
  <c r="AI1064" i="11"/>
  <c r="BN1071" i="11"/>
  <c r="AZ1072" i="11"/>
  <c r="AU1074" i="11"/>
  <c r="BN1073" i="11"/>
  <c r="AM1071" i="11"/>
  <c r="AZ1071" i="11"/>
  <c r="AK1072" i="11"/>
  <c r="BN1074" i="11"/>
  <c r="AZ1070" i="11"/>
  <c r="AK1071" i="11"/>
  <c r="AK1070" i="11"/>
  <c r="AI1071" i="11"/>
  <c r="AO1071" i="11"/>
  <c r="AM1073" i="11"/>
  <c r="AZ1080" i="11"/>
  <c r="AU1078" i="11"/>
  <c r="AO1073" i="11"/>
  <c r="AO1074" i="11"/>
  <c r="AZ1087" i="11"/>
  <c r="BN1081" i="11"/>
  <c r="AO1072" i="11"/>
  <c r="AM1070" i="11"/>
  <c r="AZ1086" i="11"/>
  <c r="AO1080" i="11"/>
  <c r="AO1070" i="11"/>
  <c r="AG1074" i="11"/>
  <c r="AX1074" i="11" s="1"/>
  <c r="BA1074" i="11" s="1"/>
  <c r="AZ1091" i="11"/>
  <c r="AM1088" i="11"/>
  <c r="BN1080" i="11"/>
  <c r="AG1073" i="11"/>
  <c r="AX1073" i="11" s="1"/>
  <c r="BA1073" i="11" s="1"/>
  <c r="AI1074" i="11"/>
  <c r="AG1072" i="11"/>
  <c r="AX1072" i="11" s="1"/>
  <c r="BA1072" i="11" s="1"/>
  <c r="AU1082" i="11"/>
  <c r="AI1073" i="11"/>
  <c r="AK1074" i="11"/>
  <c r="AI1072" i="11"/>
  <c r="AG1070" i="11"/>
  <c r="AX1070" i="11" s="1"/>
  <c r="BA1070" i="11" s="1"/>
  <c r="AO1081" i="11"/>
  <c r="AZ1081" i="11"/>
  <c r="AM1081" i="11"/>
  <c r="AK1081" i="11"/>
  <c r="AU1079" i="11"/>
  <c r="AY1080" i="11"/>
  <c r="AM1080" i="11"/>
  <c r="AK1078" i="11"/>
  <c r="AM1079" i="11"/>
  <c r="AK1077" i="11"/>
  <c r="AM1078" i="11"/>
  <c r="AO1079" i="11"/>
  <c r="AM1077" i="11"/>
  <c r="AU1077" i="11"/>
  <c r="AO1078" i="11"/>
  <c r="AO1077" i="11"/>
  <c r="AG1080" i="11"/>
  <c r="AX1080" i="11" s="1"/>
  <c r="BA1080" i="11" s="1"/>
  <c r="AG1079" i="11"/>
  <c r="AX1079" i="11" s="1"/>
  <c r="BA1079" i="11" s="1"/>
  <c r="AI1080" i="11"/>
  <c r="AG1078" i="11"/>
  <c r="AX1078" i="11" s="1"/>
  <c r="BA1078" i="11" s="1"/>
  <c r="AI1079" i="11"/>
  <c r="AG1077" i="11"/>
  <c r="AX1077" i="11" s="1"/>
  <c r="BA1077" i="11" s="1"/>
  <c r="AI1088" i="11"/>
  <c r="AZ1085" i="11"/>
  <c r="AI1078" i="11"/>
  <c r="AZ1088" i="11"/>
  <c r="AU1087" i="11"/>
  <c r="AK1086" i="11"/>
  <c r="AM1086" i="11"/>
  <c r="BN1085" i="11"/>
  <c r="BN1086" i="11"/>
  <c r="BN1083" i="11"/>
  <c r="AZ1083" i="11"/>
  <c r="AK1085" i="11"/>
  <c r="BN1082" i="11"/>
  <c r="AI1086" i="11"/>
  <c r="AI1085" i="11"/>
  <c r="AG1086" i="11"/>
  <c r="AX1086" i="11" s="1"/>
  <c r="BA1086" i="11" s="1"/>
  <c r="AG1085" i="11"/>
  <c r="AX1085" i="11" s="1"/>
  <c r="BA1085" i="11" s="1"/>
  <c r="BN1087" i="11"/>
  <c r="AO1087" i="11"/>
  <c r="AM1085" i="11"/>
  <c r="AK1082" i="11"/>
  <c r="BN1088" i="11"/>
  <c r="AM1083" i="11"/>
  <c r="AY1082" i="11"/>
  <c r="AM1082" i="11"/>
  <c r="AO1083" i="11"/>
  <c r="AG1087" i="11"/>
  <c r="AX1087" i="11" s="1"/>
  <c r="BA1087" i="11" s="1"/>
  <c r="AI1087" i="11"/>
  <c r="AG1083" i="11"/>
  <c r="AX1083" i="11" s="1"/>
  <c r="BA1083" i="11" s="1"/>
  <c r="AK1087" i="11"/>
  <c r="AG1082" i="11"/>
  <c r="AX1082" i="11" s="1"/>
  <c r="BA1082" i="11" s="1"/>
  <c r="AU1093" i="11"/>
  <c r="AI1083" i="11"/>
  <c r="BA1088" i="11"/>
  <c r="BN1091" i="11"/>
  <c r="BN1089" i="11"/>
  <c r="BN1093" i="11"/>
  <c r="AU1024" i="11"/>
  <c r="AO1089" i="11"/>
  <c r="AK1089" i="11"/>
  <c r="AG1089" i="11"/>
  <c r="AX1089" i="11" s="1"/>
  <c r="BA1089" i="11" s="1"/>
  <c r="V1092" i="11"/>
  <c r="AO1088" i="11"/>
  <c r="AK1088" i="11"/>
  <c r="AU1091" i="11"/>
  <c r="V1089" i="11"/>
  <c r="AU1089" i="11" s="1"/>
  <c r="AZ1030" i="11"/>
  <c r="AM1089" i="11"/>
  <c r="AZ1092" i="11"/>
  <c r="BN1092" i="11"/>
  <c r="AG1092" i="11"/>
  <c r="AX1092" i="11" s="1"/>
  <c r="BA1092" i="11" s="1"/>
  <c r="AO1092" i="11"/>
  <c r="AZ1029" i="11"/>
  <c r="AM1092" i="11"/>
  <c r="AU1023" i="11"/>
  <c r="AZ1022" i="11"/>
  <c r="AZ1025" i="11"/>
  <c r="AK1092" i="11"/>
  <c r="AU1026" i="11"/>
  <c r="AZ1093" i="11"/>
  <c r="BA1029" i="11"/>
  <c r="AG1093" i="11"/>
  <c r="AX1093" i="11" s="1"/>
  <c r="BA1093" i="11" s="1"/>
  <c r="AO1093" i="11"/>
  <c r="AM1093" i="11"/>
  <c r="AK1093" i="11"/>
  <c r="AU1031" i="11"/>
  <c r="AZ1027" i="11"/>
  <c r="AZ1026" i="11"/>
  <c r="AU1037" i="11"/>
  <c r="AU1027" i="11"/>
  <c r="AG1028" i="11"/>
  <c r="AX1028" i="11" s="1"/>
  <c r="BA1028" i="11" s="1"/>
  <c r="AO1028" i="11"/>
  <c r="BN1029" i="11"/>
  <c r="AM1029" i="11"/>
  <c r="BN1028" i="11"/>
  <c r="AM1028" i="11"/>
  <c r="AK1028" i="11"/>
  <c r="AI1029" i="11"/>
  <c r="BN1022" i="11"/>
  <c r="AZ1034" i="11"/>
  <c r="BA1024" i="11"/>
  <c r="AO1022" i="11"/>
  <c r="AK1022" i="11"/>
  <c r="AG1022" i="11"/>
  <c r="AX1022" i="11" s="1"/>
  <c r="BA1022" i="11" s="1"/>
  <c r="BA1023" i="11"/>
  <c r="AO1029" i="11"/>
  <c r="AK1029" i="11"/>
  <c r="V1022" i="11"/>
  <c r="AU1022" i="11" s="1"/>
  <c r="AZ1028" i="11"/>
  <c r="AM1022" i="11"/>
  <c r="AZ1023" i="11"/>
  <c r="BN1025" i="11"/>
  <c r="AI1023" i="11"/>
  <c r="AM1024" i="11"/>
  <c r="AM1023" i="11"/>
  <c r="BN1023" i="11"/>
  <c r="AI1024" i="11"/>
  <c r="AZ1024" i="11"/>
  <c r="AO1025" i="11"/>
  <c r="AK1025" i="11"/>
  <c r="AG1025" i="11"/>
  <c r="AX1025" i="11" s="1"/>
  <c r="BA1025" i="11" s="1"/>
  <c r="AZ1036" i="11"/>
  <c r="AI1036" i="11"/>
  <c r="AM1031" i="11"/>
  <c r="AO1024" i="11"/>
  <c r="AK1024" i="11"/>
  <c r="AZ1035" i="11"/>
  <c r="AI1035" i="11"/>
  <c r="AU1035" i="11"/>
  <c r="AI1032" i="11"/>
  <c r="BA1027" i="11"/>
  <c r="AO1023" i="11"/>
  <c r="AK1023" i="11"/>
  <c r="AI1031" i="11"/>
  <c r="V1025" i="11"/>
  <c r="AU1025" i="11" s="1"/>
  <c r="AM1025" i="11"/>
  <c r="AG1026" i="11"/>
  <c r="AX1026" i="11" s="1"/>
  <c r="BA1026" i="11" s="1"/>
  <c r="BN1027" i="11"/>
  <c r="AO1026" i="11"/>
  <c r="BN1026" i="11"/>
  <c r="AM1027" i="11"/>
  <c r="AM1026" i="11"/>
  <c r="AK1026" i="11"/>
  <c r="AI1027" i="11"/>
  <c r="BN1031" i="11"/>
  <c r="BA1031" i="11"/>
  <c r="AO1027" i="11"/>
  <c r="AK1027" i="11"/>
  <c r="BN1032" i="11"/>
  <c r="AU1030" i="11"/>
  <c r="AZ1033" i="11"/>
  <c r="AY1033" i="11"/>
  <c r="V1032" i="11"/>
  <c r="AU1032" i="11" s="1"/>
  <c r="BN1033" i="11"/>
  <c r="AZ1032" i="11"/>
  <c r="BA1035" i="11"/>
  <c r="AZ1031" i="11"/>
  <c r="BN1038" i="11"/>
  <c r="BN1034" i="11"/>
  <c r="AO1033" i="11"/>
  <c r="AK1033" i="11"/>
  <c r="AG1033" i="11"/>
  <c r="AX1033" i="11" s="1"/>
  <c r="BA1033" i="11" s="1"/>
  <c r="BN1037" i="11"/>
  <c r="AO1032" i="11"/>
  <c r="AK1032" i="11"/>
  <c r="AG1032" i="11"/>
  <c r="AX1032" i="11" s="1"/>
  <c r="BA1032" i="11" s="1"/>
  <c r="AZ1037" i="11"/>
  <c r="AO1031" i="11"/>
  <c r="AK1031" i="11"/>
  <c r="V1033" i="11"/>
  <c r="AU1033" i="11" s="1"/>
  <c r="AM1033" i="11"/>
  <c r="AG1034" i="11"/>
  <c r="AX1034" i="11" s="1"/>
  <c r="BA1034" i="11" s="1"/>
  <c r="V1036" i="11"/>
  <c r="AU1036" i="11" s="1"/>
  <c r="AM1036" i="11"/>
  <c r="AO1034" i="11"/>
  <c r="AM1035" i="11"/>
  <c r="BA1036" i="11"/>
  <c r="AM1034" i="11"/>
  <c r="BN1035" i="11"/>
  <c r="AK1034" i="11"/>
  <c r="AU1038" i="11"/>
  <c r="AO1036" i="11"/>
  <c r="AK1036" i="11"/>
  <c r="AO1035" i="11"/>
  <c r="AK1035" i="11"/>
  <c r="AI1037" i="11"/>
  <c r="AG1037" i="11"/>
  <c r="AX1037" i="11" s="1"/>
  <c r="BA1037" i="11" s="1"/>
  <c r="AO1037" i="11"/>
  <c r="AM1037" i="11"/>
  <c r="AI1038" i="11"/>
  <c r="AZ1040" i="11"/>
  <c r="AG1038" i="11"/>
  <c r="AX1038" i="11" s="1"/>
  <c r="BA1038" i="11" s="1"/>
  <c r="AO1038" i="11"/>
  <c r="AZ1038" i="11"/>
  <c r="AM1038" i="11"/>
  <c r="AO1040" i="11"/>
  <c r="AM1040" i="11"/>
  <c r="AK1040" i="11"/>
  <c r="AY1040" i="11"/>
  <c r="AG1040" i="11"/>
  <c r="AX1040" i="11" s="1"/>
  <c r="BA1040" i="11" s="1"/>
  <c r="V1040" i="11"/>
  <c r="AU1040" i="11" s="1"/>
  <c r="U468" i="11"/>
  <c r="V468" i="11" s="1"/>
  <c r="AU1092" i="11" l="1"/>
  <c r="BB1049" i="11"/>
  <c r="BB1071" i="11"/>
  <c r="BB1060" i="11"/>
  <c r="BB1034" i="11"/>
  <c r="BB1086" i="11"/>
  <c r="BB1058" i="11"/>
  <c r="BB1052" i="11"/>
  <c r="BB1059" i="11"/>
  <c r="BB1069" i="11"/>
  <c r="BB1078" i="11"/>
  <c r="BB1042" i="11"/>
  <c r="BB1038" i="11"/>
  <c r="BB1043" i="11"/>
  <c r="BB1087" i="11"/>
  <c r="BB1064" i="11"/>
  <c r="BB1093" i="11"/>
  <c r="BB1044" i="11"/>
  <c r="BB1023" i="11"/>
  <c r="BB1032" i="11"/>
  <c r="BB1028" i="11"/>
  <c r="BB1089" i="11"/>
  <c r="BB1046" i="11"/>
  <c r="BB1025" i="11"/>
  <c r="BB1092" i="11"/>
  <c r="BB1045" i="11"/>
  <c r="BB1035" i="11"/>
  <c r="BB1030" i="11"/>
  <c r="BB1088" i="11"/>
  <c r="BB1072" i="11"/>
  <c r="BB1062" i="11"/>
  <c r="BB1068" i="11"/>
  <c r="BB1077" i="11"/>
  <c r="BB1073" i="11"/>
  <c r="BB1080" i="11"/>
  <c r="BB1057" i="11"/>
  <c r="BB1054" i="11"/>
  <c r="BB1051" i="11"/>
  <c r="BB1022" i="11"/>
  <c r="BB1033" i="11"/>
  <c r="BB1091" i="11"/>
  <c r="BB1050" i="11"/>
  <c r="BB1085" i="11"/>
  <c r="BB1036" i="11"/>
  <c r="BB1037" i="11"/>
  <c r="BB1047" i="11"/>
  <c r="BB1048" i="11"/>
  <c r="BB1056" i="11"/>
  <c r="BB1031" i="11"/>
  <c r="BB1024" i="11"/>
  <c r="BB1026" i="11"/>
  <c r="BB1029" i="11"/>
  <c r="BB1083" i="11"/>
  <c r="BB1070" i="11"/>
  <c r="BB1074" i="11"/>
  <c r="BB1055" i="11"/>
  <c r="BB1027" i="11"/>
  <c r="BB1081" i="11"/>
  <c r="BB1079" i="11"/>
  <c r="BB1063" i="11"/>
  <c r="BB1041" i="11"/>
  <c r="BB1065" i="11"/>
  <c r="BB1040" i="11"/>
  <c r="BB1082" i="11"/>
  <c r="BG1019" i="11"/>
  <c r="BH1019" i="11"/>
  <c r="BI1019" i="11"/>
  <c r="BJ1019" i="11"/>
  <c r="BK1019" i="11" l="1"/>
  <c r="AD1011" i="11" l="1"/>
  <c r="W1011" i="11"/>
  <c r="AF1011" i="11" s="1"/>
  <c r="AR1011" i="11" s="1"/>
  <c r="T1011" i="11"/>
  <c r="H1019" i="11"/>
  <c r="U1019" i="11"/>
  <c r="W1019" i="11"/>
  <c r="AF1019" i="11" s="1"/>
  <c r="AR1019" i="11" s="1"/>
  <c r="AD1019" i="11"/>
  <c r="AE1019" i="11"/>
  <c r="AS1019" i="11"/>
  <c r="AT1019" i="11"/>
  <c r="AM1019" i="11" s="1"/>
  <c r="AV1019" i="11"/>
  <c r="AY1019" i="11" s="1"/>
  <c r="AW1019" i="11"/>
  <c r="H1015" i="11"/>
  <c r="H1016" i="11"/>
  <c r="H1017" i="11"/>
  <c r="H1018" i="11"/>
  <c r="H1021" i="11"/>
  <c r="R1009" i="11"/>
  <c r="T1009" i="11" s="1"/>
  <c r="U1009" i="11" s="1"/>
  <c r="R482" i="11"/>
  <c r="AE3" i="11"/>
  <c r="AE4" i="11"/>
  <c r="AE5" i="11"/>
  <c r="AE6" i="11"/>
  <c r="AE7" i="11"/>
  <c r="AE8" i="11"/>
  <c r="AE9" i="11"/>
  <c r="AE10" i="11"/>
  <c r="AE12" i="11"/>
  <c r="AE13" i="11"/>
  <c r="AE15" i="11"/>
  <c r="AE16" i="11"/>
  <c r="AE17" i="11"/>
  <c r="AE19" i="11"/>
  <c r="AE20" i="11"/>
  <c r="AE21" i="11"/>
  <c r="AE22" i="11"/>
  <c r="AE27" i="11"/>
  <c r="AE28" i="11"/>
  <c r="AE29" i="11"/>
  <c r="AE30" i="11"/>
  <c r="AE31" i="11"/>
  <c r="AE32" i="11"/>
  <c r="AE35" i="11"/>
  <c r="AE36" i="11"/>
  <c r="AE37" i="11"/>
  <c r="AE38" i="11"/>
  <c r="AE39" i="11"/>
  <c r="AE40" i="11"/>
  <c r="AE41" i="11"/>
  <c r="AE42" i="11"/>
  <c r="AE43" i="11"/>
  <c r="AE44" i="11"/>
  <c r="AE45" i="11"/>
  <c r="AE47" i="11"/>
  <c r="AE49" i="11"/>
  <c r="AE50" i="11"/>
  <c r="AE51" i="11"/>
  <c r="AE52" i="11"/>
  <c r="AE54" i="11"/>
  <c r="AE55" i="11"/>
  <c r="AE56" i="11"/>
  <c r="AE57" i="11"/>
  <c r="AE58" i="11"/>
  <c r="AE59" i="11"/>
  <c r="AE63" i="11"/>
  <c r="AE64" i="11"/>
  <c r="AE67" i="11"/>
  <c r="AE68" i="11"/>
  <c r="AE69" i="11"/>
  <c r="AE70" i="11"/>
  <c r="AE71" i="11"/>
  <c r="AE72" i="11"/>
  <c r="AE73" i="11"/>
  <c r="AE74" i="11"/>
  <c r="AE77" i="11"/>
  <c r="AE78" i="11"/>
  <c r="AE79" i="11"/>
  <c r="AE80" i="11"/>
  <c r="AE82" i="11"/>
  <c r="AE83" i="11"/>
  <c r="AE84" i="11"/>
  <c r="AE85" i="11"/>
  <c r="AE86" i="11"/>
  <c r="AE89" i="11"/>
  <c r="AE90" i="11"/>
  <c r="AE91" i="11"/>
  <c r="AE93" i="11"/>
  <c r="AE94" i="11"/>
  <c r="AE95" i="11"/>
  <c r="AE96" i="11"/>
  <c r="AE97" i="11"/>
  <c r="AE98" i="11"/>
  <c r="AE99" i="11"/>
  <c r="AE100" i="11"/>
  <c r="AE101" i="11"/>
  <c r="AE102" i="11"/>
  <c r="AE103" i="11"/>
  <c r="AE104" i="11"/>
  <c r="AE106" i="11"/>
  <c r="AE107" i="11"/>
  <c r="AE108" i="11"/>
  <c r="AE109" i="11"/>
  <c r="AE110" i="11"/>
  <c r="AE111" i="11"/>
  <c r="AE112" i="11"/>
  <c r="AE113" i="11"/>
  <c r="AE114" i="11"/>
  <c r="AE119" i="11"/>
  <c r="AE120" i="11"/>
  <c r="AE121" i="11"/>
  <c r="AE122" i="11"/>
  <c r="AE123" i="11"/>
  <c r="AE124" i="11"/>
  <c r="AE125" i="11"/>
  <c r="AE126" i="11"/>
  <c r="AE127" i="11"/>
  <c r="AE128" i="11"/>
  <c r="AE129" i="11"/>
  <c r="AE130" i="11"/>
  <c r="AE132" i="11"/>
  <c r="AE133" i="11"/>
  <c r="AE134" i="11"/>
  <c r="AE136" i="11"/>
  <c r="AE137" i="11"/>
  <c r="AE138" i="11"/>
  <c r="AE139" i="11"/>
  <c r="AE140" i="11"/>
  <c r="AE141" i="11"/>
  <c r="AE142" i="11"/>
  <c r="AE143" i="11"/>
  <c r="AE144" i="11"/>
  <c r="AE145" i="11"/>
  <c r="AE149" i="11"/>
  <c r="AE150" i="11"/>
  <c r="AE151" i="11"/>
  <c r="AE153" i="11"/>
  <c r="AE154" i="11"/>
  <c r="AE156" i="11"/>
  <c r="AE157" i="11"/>
  <c r="AE158" i="11"/>
  <c r="AE159" i="11"/>
  <c r="AE160" i="11"/>
  <c r="AE161" i="11"/>
  <c r="AE162" i="11"/>
  <c r="AE164" i="11"/>
  <c r="AE165" i="11"/>
  <c r="AE167" i="11"/>
  <c r="AE168" i="11"/>
  <c r="AE173" i="11"/>
  <c r="AE174" i="11"/>
  <c r="AE176" i="11"/>
  <c r="AE178" i="11"/>
  <c r="AE179" i="11"/>
  <c r="AE181" i="11"/>
  <c r="AE184" i="11"/>
  <c r="AE185" i="11"/>
  <c r="AE186" i="11"/>
  <c r="AE187" i="11"/>
  <c r="AE188" i="11"/>
  <c r="AE189" i="11"/>
  <c r="AE190" i="11"/>
  <c r="AE191" i="11"/>
  <c r="AE192" i="11"/>
  <c r="AE193" i="11"/>
  <c r="AE195" i="11"/>
  <c r="AE196" i="11"/>
  <c r="AE197" i="11"/>
  <c r="AE199" i="11"/>
  <c r="AE200" i="11"/>
  <c r="AE201" i="11"/>
  <c r="AE202" i="11"/>
  <c r="AE205" i="11"/>
  <c r="AE206" i="11"/>
  <c r="AE207" i="11"/>
  <c r="AE208" i="11"/>
  <c r="AE209" i="11"/>
  <c r="AE210" i="11"/>
  <c r="AE211" i="11"/>
  <c r="AE212" i="11"/>
  <c r="AE213" i="11"/>
  <c r="AE214" i="11"/>
  <c r="AE215" i="11"/>
  <c r="AE216" i="11"/>
  <c r="AE217" i="11"/>
  <c r="AE218" i="11"/>
  <c r="AE220" i="11"/>
  <c r="AE223" i="11"/>
  <c r="AE224" i="11"/>
  <c r="AE225" i="11"/>
  <c r="AE226" i="11"/>
  <c r="AE227" i="11"/>
  <c r="AE228" i="11"/>
  <c r="AE229" i="11"/>
  <c r="AE230" i="11"/>
  <c r="AE231" i="11"/>
  <c r="AE232" i="11"/>
  <c r="AE233" i="11"/>
  <c r="AE235" i="11"/>
  <c r="AE237" i="11"/>
  <c r="AE238" i="11"/>
  <c r="AE239" i="11"/>
  <c r="AE240" i="11"/>
  <c r="AE243" i="11"/>
  <c r="AE244" i="11"/>
  <c r="AE245" i="11"/>
  <c r="AE246" i="11"/>
  <c r="AE247" i="11"/>
  <c r="AE248" i="11"/>
  <c r="AE249" i="11"/>
  <c r="AE250" i="11"/>
  <c r="AE251" i="11"/>
  <c r="AE252" i="11"/>
  <c r="AE253" i="11"/>
  <c r="AE254" i="11"/>
  <c r="AE257" i="11"/>
  <c r="AE258" i="11"/>
  <c r="AE260" i="11"/>
  <c r="AE261" i="11"/>
  <c r="AE262" i="11"/>
  <c r="AE263" i="11"/>
  <c r="AE265" i="11"/>
  <c r="AE266" i="11"/>
  <c r="AE267" i="11"/>
  <c r="AE268" i="11"/>
  <c r="AE269" i="11"/>
  <c r="AE270" i="11"/>
  <c r="AE271" i="11"/>
  <c r="AE272" i="11"/>
  <c r="AE273" i="11"/>
  <c r="AE274" i="11"/>
  <c r="AE275" i="11"/>
  <c r="AE276" i="11"/>
  <c r="AE277" i="11"/>
  <c r="AE278" i="11"/>
  <c r="AE279" i="11"/>
  <c r="AE280" i="11"/>
  <c r="AE281" i="11"/>
  <c r="AE282" i="11"/>
  <c r="AE283" i="11"/>
  <c r="AE286" i="11"/>
  <c r="AE287" i="11"/>
  <c r="AE289" i="11"/>
  <c r="AE290" i="11"/>
  <c r="AE291" i="11"/>
  <c r="AE292" i="11"/>
  <c r="AE295" i="11"/>
  <c r="AE296" i="11"/>
  <c r="AE297" i="11"/>
  <c r="AE298" i="11"/>
  <c r="AE299" i="11"/>
  <c r="AE300" i="11"/>
  <c r="AE303" i="11"/>
  <c r="AE304" i="11"/>
  <c r="AE305" i="11"/>
  <c r="AE306" i="11"/>
  <c r="AE307" i="11"/>
  <c r="AE308" i="11"/>
  <c r="AE310" i="11"/>
  <c r="AE311" i="11"/>
  <c r="AE312" i="11"/>
  <c r="AE313" i="11"/>
  <c r="AE314" i="11"/>
  <c r="AE316" i="11"/>
  <c r="AE317" i="11"/>
  <c r="AE320" i="11"/>
  <c r="AE321" i="11"/>
  <c r="AE322" i="11"/>
  <c r="AE323" i="11"/>
  <c r="AE324" i="11"/>
  <c r="AE325" i="11"/>
  <c r="AE326" i="11"/>
  <c r="AE328" i="11"/>
  <c r="AE329" i="11"/>
  <c r="AE330" i="11"/>
  <c r="AE333" i="11"/>
  <c r="AE334" i="11"/>
  <c r="AE335" i="11"/>
  <c r="AE336" i="11"/>
  <c r="AE337" i="11"/>
  <c r="AE338" i="11"/>
  <c r="AE339" i="11"/>
  <c r="AE340" i="11"/>
  <c r="AE341" i="11"/>
  <c r="AE342" i="11"/>
  <c r="AE343" i="11"/>
  <c r="AE344" i="11"/>
  <c r="AE345" i="11"/>
  <c r="AE346" i="11"/>
  <c r="AE347" i="11"/>
  <c r="AE348" i="11"/>
  <c r="AE349" i="11"/>
  <c r="AE350" i="11"/>
  <c r="AE354" i="11"/>
  <c r="AE355" i="11"/>
  <c r="AE357" i="11"/>
  <c r="AE358" i="11"/>
  <c r="AE359" i="11"/>
  <c r="AE360" i="11"/>
  <c r="AE361" i="11"/>
  <c r="AE362" i="11"/>
  <c r="AE363" i="11"/>
  <c r="AE364" i="11"/>
  <c r="AE365" i="11"/>
  <c r="AE367" i="11"/>
  <c r="AE368" i="11"/>
  <c r="AE369" i="11"/>
  <c r="AE370" i="11"/>
  <c r="AE371" i="11"/>
  <c r="AE372" i="11"/>
  <c r="AE373" i="11"/>
  <c r="AE374" i="11"/>
  <c r="AE376" i="11"/>
  <c r="AE377" i="11"/>
  <c r="AE378" i="11"/>
  <c r="AE379" i="11"/>
  <c r="AE380" i="11"/>
  <c r="AE381" i="11"/>
  <c r="AE382" i="11"/>
  <c r="AE383" i="11"/>
  <c r="AE384" i="11"/>
  <c r="AE387" i="11"/>
  <c r="AE388" i="11"/>
  <c r="AE389" i="11"/>
  <c r="AE390" i="11"/>
  <c r="AE391" i="11"/>
  <c r="AE393" i="11"/>
  <c r="AE395" i="11"/>
  <c r="AE396" i="11"/>
  <c r="AE397" i="11"/>
  <c r="AE398" i="11"/>
  <c r="AE399" i="11"/>
  <c r="AE403" i="11"/>
  <c r="AE404" i="11"/>
  <c r="AE405" i="11"/>
  <c r="AE406" i="11"/>
  <c r="AE407" i="11"/>
  <c r="AE408" i="11"/>
  <c r="AE409" i="11"/>
  <c r="AE410" i="11"/>
  <c r="AE411" i="11"/>
  <c r="AE412" i="11"/>
  <c r="AE413" i="11"/>
  <c r="AE415" i="11"/>
  <c r="AE416" i="11"/>
  <c r="AE417" i="11"/>
  <c r="AE418" i="11"/>
  <c r="AE419" i="11"/>
  <c r="AE420" i="11"/>
  <c r="AE421" i="11"/>
  <c r="AE422" i="11"/>
  <c r="AE423" i="11"/>
  <c r="AE424" i="11"/>
  <c r="AE425" i="11"/>
  <c r="AE426" i="11"/>
  <c r="AE427" i="11"/>
  <c r="AE428" i="11"/>
  <c r="AE429" i="11"/>
  <c r="AE430" i="11"/>
  <c r="AE432" i="11"/>
  <c r="AE433" i="11"/>
  <c r="AE434" i="11"/>
  <c r="AE437" i="11"/>
  <c r="AE438" i="11"/>
  <c r="AE439" i="11"/>
  <c r="AE440" i="11"/>
  <c r="AE441" i="11"/>
  <c r="AE442" i="11"/>
  <c r="AE445" i="11"/>
  <c r="AE446" i="11"/>
  <c r="AE447" i="11"/>
  <c r="AE448" i="11"/>
  <c r="AE449" i="11"/>
  <c r="AE450" i="11"/>
  <c r="AE452" i="11"/>
  <c r="AE453" i="11"/>
  <c r="AE454" i="11"/>
  <c r="AE457" i="11"/>
  <c r="AE458" i="11"/>
  <c r="AE459" i="11"/>
  <c r="AE460" i="11"/>
  <c r="AE461" i="11"/>
  <c r="AE462" i="11"/>
  <c r="AE463" i="11"/>
  <c r="AE465" i="11"/>
  <c r="AE466" i="11"/>
  <c r="AE468" i="11"/>
  <c r="AE469" i="11"/>
  <c r="AE470" i="11"/>
  <c r="AE471" i="11"/>
  <c r="AE472" i="11"/>
  <c r="AE473" i="11"/>
  <c r="AE474" i="11"/>
  <c r="AE475" i="11"/>
  <c r="AE477" i="11"/>
  <c r="AE478" i="11"/>
  <c r="AE480" i="11"/>
  <c r="AE481" i="11"/>
  <c r="AE482" i="11"/>
  <c r="AE483" i="11"/>
  <c r="AE484" i="11"/>
  <c r="AE485" i="11"/>
  <c r="AE486" i="11"/>
  <c r="AE487" i="11"/>
  <c r="AE488" i="11"/>
  <c r="AE489" i="11"/>
  <c r="AE490" i="11"/>
  <c r="AE491" i="11"/>
  <c r="AE493" i="11"/>
  <c r="AE494" i="11"/>
  <c r="AE495" i="11"/>
  <c r="AE496" i="11"/>
  <c r="AE497" i="11"/>
  <c r="AE498" i="11"/>
  <c r="AE499" i="11"/>
  <c r="AE500" i="11"/>
  <c r="AE501" i="11"/>
  <c r="AE504" i="11"/>
  <c r="AE505" i="11"/>
  <c r="AE506" i="11"/>
  <c r="AE507" i="11"/>
  <c r="AE508" i="11"/>
  <c r="AE509" i="11"/>
  <c r="AE510" i="11"/>
  <c r="AE511" i="11"/>
  <c r="AE512" i="11"/>
  <c r="AE513" i="11"/>
  <c r="AE514" i="11"/>
  <c r="AE515" i="11"/>
  <c r="AE517" i="11"/>
  <c r="AE518" i="11"/>
  <c r="AE519" i="11"/>
  <c r="AE520" i="11"/>
  <c r="AE523" i="11"/>
  <c r="AE524" i="11"/>
  <c r="AE525" i="11"/>
  <c r="AE527" i="11"/>
  <c r="AE528" i="11"/>
  <c r="AE529" i="11"/>
  <c r="AE530" i="11"/>
  <c r="AE531" i="11"/>
  <c r="AE532" i="11"/>
  <c r="AE534" i="11"/>
  <c r="AE535" i="11"/>
  <c r="AE536" i="11"/>
  <c r="AE538" i="11"/>
  <c r="AE539" i="11"/>
  <c r="AE540" i="11"/>
  <c r="AE541" i="11"/>
  <c r="AE542" i="11"/>
  <c r="AE543" i="11"/>
  <c r="AE544" i="11"/>
  <c r="AE545" i="11"/>
  <c r="AE547" i="11"/>
  <c r="AE548" i="11"/>
  <c r="AE549" i="11"/>
  <c r="AE550" i="11"/>
  <c r="AE551" i="11"/>
  <c r="AE552" i="11"/>
  <c r="AE553" i="11"/>
  <c r="AE556" i="11"/>
  <c r="AE557" i="11"/>
  <c r="AE558" i="11"/>
  <c r="AE559" i="11"/>
  <c r="AE560" i="11"/>
  <c r="AE562" i="11"/>
  <c r="AE563" i="11"/>
  <c r="AE564" i="11"/>
  <c r="AE567" i="11"/>
  <c r="AE568" i="11"/>
  <c r="AE569" i="11"/>
  <c r="AE572" i="11"/>
  <c r="AE573" i="11"/>
  <c r="AE574" i="11"/>
  <c r="AE575" i="11"/>
  <c r="AE577" i="11"/>
  <c r="AE578" i="11"/>
  <c r="AE579" i="11"/>
  <c r="AE580" i="11"/>
  <c r="AE581" i="11"/>
  <c r="AE582" i="11"/>
  <c r="AE583" i="11"/>
  <c r="AE586" i="11"/>
  <c r="AE587" i="11"/>
  <c r="AE588" i="11"/>
  <c r="AE589" i="11"/>
  <c r="AE592" i="11"/>
  <c r="AE593" i="11"/>
  <c r="AE594" i="11"/>
  <c r="AE595" i="11"/>
  <c r="AE596" i="11"/>
  <c r="AE597" i="11"/>
  <c r="AE598" i="11"/>
  <c r="AE599" i="11"/>
  <c r="AE600" i="11"/>
  <c r="AE601" i="11"/>
  <c r="AE602" i="11"/>
  <c r="AE603" i="11"/>
  <c r="AE605" i="11"/>
  <c r="AE606" i="11"/>
  <c r="AE607" i="11"/>
  <c r="AE608" i="11"/>
  <c r="AE609" i="11"/>
  <c r="AE610" i="11"/>
  <c r="AE611" i="11"/>
  <c r="AE612" i="11"/>
  <c r="AE613" i="11"/>
  <c r="AE614" i="11"/>
  <c r="AE615" i="11"/>
  <c r="AE616" i="11"/>
  <c r="AE617" i="11"/>
  <c r="AE618" i="11"/>
  <c r="AE620" i="11"/>
  <c r="AE621" i="11"/>
  <c r="AE622" i="11"/>
  <c r="AE623" i="11"/>
  <c r="AE625" i="11"/>
  <c r="AE626" i="11"/>
  <c r="AE627" i="11"/>
  <c r="AE628" i="11"/>
  <c r="AE629" i="11"/>
  <c r="AE630" i="11"/>
  <c r="AE632" i="11"/>
  <c r="AE634" i="11"/>
  <c r="AE635" i="11"/>
  <c r="AE637" i="11"/>
  <c r="AE638" i="11"/>
  <c r="AE639" i="11"/>
  <c r="AE640" i="11"/>
  <c r="AE641" i="11"/>
  <c r="AE642" i="11"/>
  <c r="AE643" i="11"/>
  <c r="AE644" i="11"/>
  <c r="AE645" i="11"/>
  <c r="AE646" i="11"/>
  <c r="AE648" i="11"/>
  <c r="AE649" i="11"/>
  <c r="AE650" i="11"/>
  <c r="AE651" i="11"/>
  <c r="AE652" i="11"/>
  <c r="AE653" i="11"/>
  <c r="AE654" i="11"/>
  <c r="AE655" i="11"/>
  <c r="AE656" i="11"/>
  <c r="AE657" i="11"/>
  <c r="AE658" i="11"/>
  <c r="AE659" i="11"/>
  <c r="AE660" i="11"/>
  <c r="AE661" i="11"/>
  <c r="AE662" i="11"/>
  <c r="AE664" i="11"/>
  <c r="AE666" i="11"/>
  <c r="AE667" i="11"/>
  <c r="AE668" i="11"/>
  <c r="AE670" i="11"/>
  <c r="AE671" i="11"/>
  <c r="AE673" i="11"/>
  <c r="AE674" i="11"/>
  <c r="AE675" i="11"/>
  <c r="AE676" i="11"/>
  <c r="AE677" i="11"/>
  <c r="AE678" i="11"/>
  <c r="AE679" i="11"/>
  <c r="AE680" i="11"/>
  <c r="AE681" i="11"/>
  <c r="AE682" i="11"/>
  <c r="AE683" i="11"/>
  <c r="AE684" i="11"/>
  <c r="AE685" i="11"/>
  <c r="AE686" i="11"/>
  <c r="AE687" i="11"/>
  <c r="AE688" i="11"/>
  <c r="AE689" i="11"/>
  <c r="AE690" i="11"/>
  <c r="AE691" i="11"/>
  <c r="AE692" i="11"/>
  <c r="AE693" i="11"/>
  <c r="AE694" i="11"/>
  <c r="AE695" i="11"/>
  <c r="AE696" i="11"/>
  <c r="AE699" i="11"/>
  <c r="AE700" i="11"/>
  <c r="AE701" i="11"/>
  <c r="AE702" i="11"/>
  <c r="AE703" i="11"/>
  <c r="AE705" i="11"/>
  <c r="AE706" i="11"/>
  <c r="AE707" i="11"/>
  <c r="AE710" i="11"/>
  <c r="AE711" i="11"/>
  <c r="AE714" i="11"/>
  <c r="AE715" i="11"/>
  <c r="AE716" i="11"/>
  <c r="AE717" i="11"/>
  <c r="AE718" i="11"/>
  <c r="AE720" i="11"/>
  <c r="AE721" i="11"/>
  <c r="AE722" i="11"/>
  <c r="AE723" i="11"/>
  <c r="AE724" i="11"/>
  <c r="AE725" i="11"/>
  <c r="AE726" i="11"/>
  <c r="AE727" i="11"/>
  <c r="AE728" i="11"/>
  <c r="AE729" i="11"/>
  <c r="AE731" i="11"/>
  <c r="AE733" i="11"/>
  <c r="AE734" i="11"/>
  <c r="AE736" i="11"/>
  <c r="AE737" i="11"/>
  <c r="AE738" i="11"/>
  <c r="AE739" i="11"/>
  <c r="AE740" i="11"/>
  <c r="AE744" i="11"/>
  <c r="AE745" i="11"/>
  <c r="AE746" i="11"/>
  <c r="AE747" i="11"/>
  <c r="AE748" i="11"/>
  <c r="AE750" i="11"/>
  <c r="AE751" i="11"/>
  <c r="AE752" i="11"/>
  <c r="AE753" i="11"/>
  <c r="AE754" i="11"/>
  <c r="AE755" i="11"/>
  <c r="AE756" i="11"/>
  <c r="AE757" i="11"/>
  <c r="AE758" i="11"/>
  <c r="AE761" i="11"/>
  <c r="AE762" i="11"/>
  <c r="AE763" i="11"/>
  <c r="AE764" i="11"/>
  <c r="AE765" i="11"/>
  <c r="AE768" i="11"/>
  <c r="AE770" i="11"/>
  <c r="AE771" i="11"/>
  <c r="AE773" i="11"/>
  <c r="AE775" i="11"/>
  <c r="AE776" i="11"/>
  <c r="AE777" i="11"/>
  <c r="AE778" i="11"/>
  <c r="AE779" i="11"/>
  <c r="AE780" i="11"/>
  <c r="AE781" i="11"/>
  <c r="AE782" i="11"/>
  <c r="AE784" i="11"/>
  <c r="AE785" i="11"/>
  <c r="AE786" i="11"/>
  <c r="AE788" i="11"/>
  <c r="AE789" i="11"/>
  <c r="AE790" i="11"/>
  <c r="AE791" i="11"/>
  <c r="AE792" i="11"/>
  <c r="AE793" i="11"/>
  <c r="AE794" i="11"/>
  <c r="AE795" i="11"/>
  <c r="AE796" i="11"/>
  <c r="AE797" i="11"/>
  <c r="AE798" i="11"/>
  <c r="AE800" i="11"/>
  <c r="AE801" i="11"/>
  <c r="AE802" i="11"/>
  <c r="AE804" i="11"/>
  <c r="AE805" i="11"/>
  <c r="AE806" i="11"/>
  <c r="AE807" i="11"/>
  <c r="AE808" i="11"/>
  <c r="AE809" i="11"/>
  <c r="AE810" i="11"/>
  <c r="AE812" i="11"/>
  <c r="AE813" i="11"/>
  <c r="AE814" i="11"/>
  <c r="AE815" i="11"/>
  <c r="AE816" i="11"/>
  <c r="AE817" i="11"/>
  <c r="AE818" i="11"/>
  <c r="AE819" i="11"/>
  <c r="AE820" i="11"/>
  <c r="AE821" i="11"/>
  <c r="AE822" i="11"/>
  <c r="AE823" i="11"/>
  <c r="AE824" i="11"/>
  <c r="AE825" i="11"/>
  <c r="AE828" i="11"/>
  <c r="AE829" i="11"/>
  <c r="AE830" i="11"/>
  <c r="AE831" i="11"/>
  <c r="AE833" i="11"/>
  <c r="AE834" i="11"/>
  <c r="AE835" i="11"/>
  <c r="AE838" i="11"/>
  <c r="AE839" i="11"/>
  <c r="AE840" i="11"/>
  <c r="AE841" i="11"/>
  <c r="AE842" i="11"/>
  <c r="AE843" i="11"/>
  <c r="AE844" i="11"/>
  <c r="AE845" i="11"/>
  <c r="AE846" i="11"/>
  <c r="AE847" i="11"/>
  <c r="AE848" i="11"/>
  <c r="AE850" i="11"/>
  <c r="AE853" i="11"/>
  <c r="AE854" i="11"/>
  <c r="AE855" i="11"/>
  <c r="AE857" i="11"/>
  <c r="AE858" i="11"/>
  <c r="AE859" i="11"/>
  <c r="AE860" i="11"/>
  <c r="AE861" i="11"/>
  <c r="AE862" i="11"/>
  <c r="AE863" i="11"/>
  <c r="AE864" i="11"/>
  <c r="AE866" i="11"/>
  <c r="AE867" i="11"/>
  <c r="AE868" i="11"/>
  <c r="AE869" i="11"/>
  <c r="AE870" i="11"/>
  <c r="AE871" i="11"/>
  <c r="AE872" i="11"/>
  <c r="AE873" i="11"/>
  <c r="AE874" i="11"/>
  <c r="AE875" i="11"/>
  <c r="AE876" i="11"/>
  <c r="AE877" i="11"/>
  <c r="AE879" i="11"/>
  <c r="AE883" i="11"/>
  <c r="AE884" i="11"/>
  <c r="AE886" i="11"/>
  <c r="AE887" i="11"/>
  <c r="AE888" i="11"/>
  <c r="AE889" i="11"/>
  <c r="AE891" i="11"/>
  <c r="AE892" i="11"/>
  <c r="AE893" i="11"/>
  <c r="AE894" i="11"/>
  <c r="AE895" i="11"/>
  <c r="AE896" i="11"/>
  <c r="AE897" i="11"/>
  <c r="AE898" i="11"/>
  <c r="AE899" i="11"/>
  <c r="AE900" i="11"/>
  <c r="AE901" i="11"/>
  <c r="AE902" i="11"/>
  <c r="AE903" i="11"/>
  <c r="AE906" i="11"/>
  <c r="AE907" i="11"/>
  <c r="AE908" i="11"/>
  <c r="AE909" i="11"/>
  <c r="AE910" i="11"/>
  <c r="AE911" i="11"/>
  <c r="AE912" i="11"/>
  <c r="AE913" i="11"/>
  <c r="AE914" i="11"/>
  <c r="AE916" i="11"/>
  <c r="AE917" i="11"/>
  <c r="AE918" i="11"/>
  <c r="AE919" i="11"/>
  <c r="AE920" i="11"/>
  <c r="AE921" i="11"/>
  <c r="AE922" i="11"/>
  <c r="AE923" i="11"/>
  <c r="AE924" i="11"/>
  <c r="AE926" i="11"/>
  <c r="AE927" i="11"/>
  <c r="AE928" i="11"/>
  <c r="AE929" i="11"/>
  <c r="AE932" i="11"/>
  <c r="AE933" i="11"/>
  <c r="AE934" i="11"/>
  <c r="AE935" i="11"/>
  <c r="AE936" i="11"/>
  <c r="AE939" i="11"/>
  <c r="AE940" i="11"/>
  <c r="AE941" i="11"/>
  <c r="AE942" i="11"/>
  <c r="AE943" i="11"/>
  <c r="AE944" i="11"/>
  <c r="AE945" i="11"/>
  <c r="AE946" i="11"/>
  <c r="AE947" i="11"/>
  <c r="AE948" i="11"/>
  <c r="AE949" i="11"/>
  <c r="AE950" i="11"/>
  <c r="AE951" i="11"/>
  <c r="AE952" i="11"/>
  <c r="AE953" i="11"/>
  <c r="AE954" i="11"/>
  <c r="AE955" i="11"/>
  <c r="AE956" i="11"/>
  <c r="AE957" i="11"/>
  <c r="AE958" i="11"/>
  <c r="AE959" i="11"/>
  <c r="AE960" i="11"/>
  <c r="AE961" i="11"/>
  <c r="AE962" i="11"/>
  <c r="AE963" i="11"/>
  <c r="AE964" i="11"/>
  <c r="AE965" i="11"/>
  <c r="AE966" i="11"/>
  <c r="AE967" i="11"/>
  <c r="AE970" i="11"/>
  <c r="AE971" i="11"/>
  <c r="AE972" i="11"/>
  <c r="AE975" i="11"/>
  <c r="AE976" i="11"/>
  <c r="AE977" i="11"/>
  <c r="AE978" i="11"/>
  <c r="AE981" i="11"/>
  <c r="AE982" i="11"/>
  <c r="AE983" i="11"/>
  <c r="AE986" i="11"/>
  <c r="AE987" i="11"/>
  <c r="AE988" i="11"/>
  <c r="AE989" i="11"/>
  <c r="AE990" i="11"/>
  <c r="AE991" i="11"/>
  <c r="AE992" i="11"/>
  <c r="AE993" i="11"/>
  <c r="AE994" i="11"/>
  <c r="AE995" i="11"/>
  <c r="AE997" i="11"/>
  <c r="AE998" i="11"/>
  <c r="AE999" i="11"/>
  <c r="AE1000" i="11"/>
  <c r="AE1003" i="11"/>
  <c r="AE1004" i="11"/>
  <c r="AE1005" i="11"/>
  <c r="AE1007" i="11"/>
  <c r="AE1008" i="11"/>
  <c r="AE1009" i="11"/>
  <c r="AE1010" i="11"/>
  <c r="AE1011" i="11"/>
  <c r="AE1012" i="11"/>
  <c r="AE1013" i="11"/>
  <c r="AE1014" i="11"/>
  <c r="AE1016" i="11"/>
  <c r="AE1017" i="11"/>
  <c r="AE1018" i="11"/>
  <c r="AE1021" i="11"/>
  <c r="R1013" i="11"/>
  <c r="T1013" i="11" s="1"/>
  <c r="R1006" i="11"/>
  <c r="T1006" i="11" s="1"/>
  <c r="T1014" i="11"/>
  <c r="S998" i="11"/>
  <c r="S1003" i="11"/>
  <c r="S997" i="11"/>
  <c r="S1004" i="11"/>
  <c r="T1004" i="11" s="1"/>
  <c r="BG1004" i="11"/>
  <c r="BH1004" i="11"/>
  <c r="BI1004" i="11"/>
  <c r="BJ1004" i="11"/>
  <c r="BG1005" i="11"/>
  <c r="BH1005" i="11"/>
  <c r="BI1005" i="11"/>
  <c r="BJ1005" i="11"/>
  <c r="BG1006" i="11"/>
  <c r="BH1006" i="11"/>
  <c r="BI1006" i="11"/>
  <c r="BJ1006" i="11"/>
  <c r="BG1007" i="11"/>
  <c r="BH1007" i="11"/>
  <c r="BI1007" i="11"/>
  <c r="BJ1007" i="11"/>
  <c r="BG1008" i="11"/>
  <c r="BH1008" i="11"/>
  <c r="BI1008" i="11"/>
  <c r="BJ1008" i="11"/>
  <c r="BG1009" i="11"/>
  <c r="BH1009" i="11"/>
  <c r="BI1009" i="11"/>
  <c r="BJ1009" i="11"/>
  <c r="BG1010" i="11"/>
  <c r="BH1010" i="11"/>
  <c r="BI1010" i="11"/>
  <c r="BJ1010" i="11"/>
  <c r="BG1011" i="11"/>
  <c r="BH1011" i="11"/>
  <c r="BI1011" i="11"/>
  <c r="BJ1011" i="11"/>
  <c r="BG1012" i="11"/>
  <c r="BH1012" i="11"/>
  <c r="BI1012" i="11"/>
  <c r="BJ1012" i="11"/>
  <c r="BG1013" i="11"/>
  <c r="BH1013" i="11"/>
  <c r="BI1013" i="11"/>
  <c r="BJ1013" i="11"/>
  <c r="BG1014" i="11"/>
  <c r="BH1014" i="11"/>
  <c r="BI1014" i="11"/>
  <c r="BJ1014" i="11"/>
  <c r="BG1015" i="11"/>
  <c r="BH1015" i="11"/>
  <c r="BI1015" i="11"/>
  <c r="BJ1015" i="11"/>
  <c r="BG1016" i="11"/>
  <c r="BH1016" i="11"/>
  <c r="BI1016" i="11"/>
  <c r="BJ1016" i="11"/>
  <c r="BG1017" i="11"/>
  <c r="BH1017" i="11"/>
  <c r="BI1017" i="11"/>
  <c r="BJ1017" i="11"/>
  <c r="BG1018" i="11"/>
  <c r="BH1018" i="11"/>
  <c r="BI1018" i="11"/>
  <c r="BJ1018" i="11"/>
  <c r="BG1021" i="11"/>
  <c r="BH1021" i="11"/>
  <c r="BI1021" i="11"/>
  <c r="BJ1021" i="11"/>
  <c r="BG1020" i="11"/>
  <c r="BH1020" i="11"/>
  <c r="BI1020" i="11"/>
  <c r="BJ1020" i="11"/>
  <c r="T1005" i="11"/>
  <c r="U1005" i="11" s="1"/>
  <c r="V1005" i="11" s="1"/>
  <c r="T1007" i="11"/>
  <c r="U1007" i="11" s="1"/>
  <c r="V1007" i="11" s="1"/>
  <c r="T1008" i="11"/>
  <c r="T1010" i="11"/>
  <c r="T1012" i="11"/>
  <c r="U1012" i="11" s="1"/>
  <c r="V1012" i="11" s="1"/>
  <c r="T1015" i="11"/>
  <c r="U1015" i="11" s="1"/>
  <c r="T1016" i="11"/>
  <c r="U1016" i="11" s="1"/>
  <c r="T1017" i="11"/>
  <c r="U1017" i="11" s="1"/>
  <c r="T1018" i="11"/>
  <c r="U1018" i="11" s="1"/>
  <c r="U1021" i="11"/>
  <c r="V1021" i="11" s="1"/>
  <c r="T1020" i="11"/>
  <c r="H1004" i="11"/>
  <c r="H1005" i="11"/>
  <c r="H1006" i="11"/>
  <c r="H1007" i="11"/>
  <c r="H1008" i="11"/>
  <c r="H1009" i="11"/>
  <c r="H1010" i="11"/>
  <c r="H1011" i="11"/>
  <c r="H1012" i="11"/>
  <c r="H1013" i="11"/>
  <c r="H1014" i="11"/>
  <c r="H1020" i="11"/>
  <c r="W1004" i="11"/>
  <c r="W1005" i="11"/>
  <c r="AF1005" i="11" s="1"/>
  <c r="AR1005" i="11" s="1"/>
  <c r="W1006" i="11"/>
  <c r="W1007" i="11"/>
  <c r="AF1007" i="11" s="1"/>
  <c r="AR1007" i="11" s="1"/>
  <c r="W1008" i="11"/>
  <c r="W1009" i="11"/>
  <c r="AF1009" i="11" s="1"/>
  <c r="AR1009" i="11" s="1"/>
  <c r="W1010" i="11"/>
  <c r="W1012" i="11"/>
  <c r="AF1012" i="11" s="1"/>
  <c r="AR1012" i="11" s="1"/>
  <c r="W1013" i="11"/>
  <c r="AF1013" i="11" s="1"/>
  <c r="AR1013" i="11" s="1"/>
  <c r="W1014" i="11"/>
  <c r="W1015" i="11"/>
  <c r="AF1015" i="11" s="1"/>
  <c r="AR1015" i="11" s="1"/>
  <c r="W1016" i="11"/>
  <c r="AF1016" i="11" s="1"/>
  <c r="AR1016" i="11" s="1"/>
  <c r="W1017" i="11"/>
  <c r="AF1017" i="11" s="1"/>
  <c r="AR1017" i="11" s="1"/>
  <c r="W1018" i="11"/>
  <c r="AF1018" i="11" s="1"/>
  <c r="AR1018" i="11" s="1"/>
  <c r="W1021" i="11"/>
  <c r="AF1021" i="11" s="1"/>
  <c r="AR1021" i="11" s="1"/>
  <c r="W1020" i="11"/>
  <c r="AF1020" i="11" s="1"/>
  <c r="AR1020" i="11" s="1"/>
  <c r="AD1004" i="11"/>
  <c r="AD1005" i="11"/>
  <c r="AD1006" i="11"/>
  <c r="AD1007" i="11"/>
  <c r="AD1008" i="11"/>
  <c r="AD1009" i="11"/>
  <c r="AD1010" i="11"/>
  <c r="AD1012" i="11"/>
  <c r="AD1013" i="11"/>
  <c r="AD1015" i="11"/>
  <c r="AD1016" i="11"/>
  <c r="AD1017" i="11"/>
  <c r="AD1018" i="11"/>
  <c r="AD1021" i="11"/>
  <c r="AD1020" i="11"/>
  <c r="AS1004" i="11"/>
  <c r="AS1005" i="11"/>
  <c r="AS1006" i="11"/>
  <c r="AS1007" i="11"/>
  <c r="AS1008" i="11"/>
  <c r="AS1009" i="11"/>
  <c r="AS1010" i="11"/>
  <c r="AS1011" i="11"/>
  <c r="AS1012" i="11"/>
  <c r="AS1013" i="11"/>
  <c r="AS1014" i="11"/>
  <c r="AS1015" i="11"/>
  <c r="AS1016" i="11"/>
  <c r="AS1017" i="11"/>
  <c r="AS1018" i="11"/>
  <c r="AS1021" i="11"/>
  <c r="AS1020" i="11"/>
  <c r="AT1004" i="11"/>
  <c r="AM1004" i="11" s="1"/>
  <c r="AT1005" i="11"/>
  <c r="AI1005" i="11" s="1"/>
  <c r="AT1006" i="11"/>
  <c r="AK1006" i="11" s="1"/>
  <c r="AT1007" i="11"/>
  <c r="AI1007" i="11" s="1"/>
  <c r="AT1008" i="11"/>
  <c r="AI1008" i="11" s="1"/>
  <c r="AT1009" i="11"/>
  <c r="AG1009" i="11" s="1"/>
  <c r="AX1009" i="11" s="1"/>
  <c r="AT1010" i="11"/>
  <c r="AG1010" i="11" s="1"/>
  <c r="AX1010" i="11" s="1"/>
  <c r="AT1011" i="11"/>
  <c r="AG1011" i="11" s="1"/>
  <c r="AX1011" i="11" s="1"/>
  <c r="AT1012" i="11"/>
  <c r="AG1012" i="11" s="1"/>
  <c r="AX1012" i="11" s="1"/>
  <c r="AT1013" i="11"/>
  <c r="AG1013" i="11" s="1"/>
  <c r="AX1013" i="11" s="1"/>
  <c r="AT1014" i="11"/>
  <c r="AM1014" i="11" s="1"/>
  <c r="AT1015" i="11"/>
  <c r="AG1015" i="11" s="1"/>
  <c r="AX1015" i="11" s="1"/>
  <c r="AT1016" i="11"/>
  <c r="AI1016" i="11" s="1"/>
  <c r="AT1017" i="11"/>
  <c r="AM1017" i="11" s="1"/>
  <c r="AT1018" i="11"/>
  <c r="AO1018" i="11" s="1"/>
  <c r="AT1021" i="11"/>
  <c r="AM1021" i="11" s="1"/>
  <c r="AT1020" i="11"/>
  <c r="AM1020" i="11" s="1"/>
  <c r="AV1004" i="11"/>
  <c r="AY1004" i="11" s="1"/>
  <c r="AV1005" i="11"/>
  <c r="AV1006" i="11"/>
  <c r="AY1006" i="11" s="1"/>
  <c r="AV1007" i="11"/>
  <c r="AY1007" i="11" s="1"/>
  <c r="AV1008" i="11"/>
  <c r="AY1008" i="11" s="1"/>
  <c r="AV1009" i="11"/>
  <c r="AY1009" i="11" s="1"/>
  <c r="AV1010" i="11"/>
  <c r="AY1010" i="11" s="1"/>
  <c r="AV1011" i="11"/>
  <c r="AY1011" i="11" s="1"/>
  <c r="AV1012" i="11"/>
  <c r="AY1012" i="11" s="1"/>
  <c r="AV1013" i="11"/>
  <c r="AY1013" i="11" s="1"/>
  <c r="AV1014" i="11"/>
  <c r="AY1014" i="11" s="1"/>
  <c r="AV1015" i="11"/>
  <c r="AV1016" i="11"/>
  <c r="AY1016" i="11" s="1"/>
  <c r="AV1017" i="11"/>
  <c r="AY1017" i="11" s="1"/>
  <c r="AV1018" i="11"/>
  <c r="AY1018" i="11" s="1"/>
  <c r="AV1021" i="11"/>
  <c r="AY1021" i="11" s="1"/>
  <c r="AV1020" i="11"/>
  <c r="AY1020" i="11" s="1"/>
  <c r="AW1004" i="11"/>
  <c r="AW1005" i="11"/>
  <c r="AW1006" i="11"/>
  <c r="AW1007" i="11"/>
  <c r="AW1008" i="11"/>
  <c r="AW1009" i="11"/>
  <c r="AW1010" i="11"/>
  <c r="AW1011" i="11"/>
  <c r="AW1012" i="11"/>
  <c r="AW1013" i="11"/>
  <c r="AW1014" i="11"/>
  <c r="AW1015" i="11"/>
  <c r="AW1016" i="11"/>
  <c r="AW1017" i="11"/>
  <c r="AW1018" i="11"/>
  <c r="AW1021" i="11"/>
  <c r="AW1020" i="11"/>
  <c r="R989" i="11"/>
  <c r="R1001" i="11"/>
  <c r="U1010" i="11" l="1"/>
  <c r="V1010" i="11" s="1"/>
  <c r="AU1010" i="11" s="1"/>
  <c r="AF1010" i="11"/>
  <c r="AR1010" i="11" s="1"/>
  <c r="U1008" i="11"/>
  <c r="V1008" i="11" s="1"/>
  <c r="AU1008" i="11" s="1"/>
  <c r="AF1008" i="11"/>
  <c r="AR1008" i="11" s="1"/>
  <c r="U1004" i="11"/>
  <c r="V1004" i="11" s="1"/>
  <c r="AU1004" i="11" s="1"/>
  <c r="AF1004" i="11"/>
  <c r="AR1004" i="11" s="1"/>
  <c r="U1020" i="11"/>
  <c r="V1020" i="11" s="1"/>
  <c r="U1014" i="11"/>
  <c r="V1014" i="11" s="1"/>
  <c r="AU1014" i="11" s="1"/>
  <c r="AF1014" i="11"/>
  <c r="AR1014" i="11" s="1"/>
  <c r="U1006" i="11"/>
  <c r="V1006" i="11" s="1"/>
  <c r="AF1006" i="11"/>
  <c r="AR1006" i="11" s="1"/>
  <c r="AE1015" i="11"/>
  <c r="AE1020" i="11"/>
  <c r="V1019" i="11"/>
  <c r="AU1019" i="11" s="1"/>
  <c r="U1011" i="11"/>
  <c r="V1011" i="11" s="1"/>
  <c r="AU1011" i="11" s="1"/>
  <c r="AG1019" i="11"/>
  <c r="AX1019" i="11" s="1"/>
  <c r="BA1019" i="11" s="1"/>
  <c r="AK1019" i="11"/>
  <c r="AI1019" i="11"/>
  <c r="AZ1019" i="11"/>
  <c r="AO1019" i="11"/>
  <c r="AE1006" i="11"/>
  <c r="AU1005" i="11"/>
  <c r="AZ1009" i="11"/>
  <c r="AZ1018" i="11"/>
  <c r="BK1005" i="11"/>
  <c r="BN1005" i="11" s="1"/>
  <c r="AZ1011" i="11"/>
  <c r="BK1013" i="11"/>
  <c r="BN1013" i="11" s="1"/>
  <c r="AZ1020" i="11"/>
  <c r="AZ1004" i="11"/>
  <c r="BK1020" i="11"/>
  <c r="BN1020" i="11" s="1"/>
  <c r="BK1016" i="11"/>
  <c r="BN1016" i="11" s="1"/>
  <c r="AZ1014" i="11"/>
  <c r="AZ1006" i="11"/>
  <c r="AZ1021" i="11"/>
  <c r="AZ1016" i="11"/>
  <c r="BK1004" i="11"/>
  <c r="BN1004" i="11" s="1"/>
  <c r="BK1017" i="11"/>
  <c r="BK1009" i="11"/>
  <c r="BN1009" i="11" s="1"/>
  <c r="BK1018" i="11"/>
  <c r="BN1018" i="11" s="1"/>
  <c r="BK1006" i="11"/>
  <c r="BN1006" i="11" s="1"/>
  <c r="BK1012" i="11"/>
  <c r="BN1012" i="11" s="1"/>
  <c r="BK1014" i="11"/>
  <c r="BN1014" i="11" s="1"/>
  <c r="BK1008" i="11"/>
  <c r="BN1008" i="11" s="1"/>
  <c r="AU1012" i="11"/>
  <c r="BK1015" i="11"/>
  <c r="BN1015" i="11" s="1"/>
  <c r="AM1016" i="11"/>
  <c r="BK1021" i="11"/>
  <c r="BN1021" i="11" s="1"/>
  <c r="BK1007" i="11"/>
  <c r="BN1007" i="11" s="1"/>
  <c r="BK1010" i="11"/>
  <c r="BN1010" i="11" s="1"/>
  <c r="AI1015" i="11"/>
  <c r="BK1011" i="11"/>
  <c r="BN1011" i="11" s="1"/>
  <c r="BA1013" i="11"/>
  <c r="AG1014" i="11"/>
  <c r="AX1014" i="11" s="1"/>
  <c r="BA1014" i="11" s="1"/>
  <c r="AG1021" i="11"/>
  <c r="AX1021" i="11" s="1"/>
  <c r="BA1021" i="11" s="1"/>
  <c r="AG1017" i="11"/>
  <c r="AX1017" i="11" s="1"/>
  <c r="BA1017" i="11" s="1"/>
  <c r="V1017" i="11"/>
  <c r="AU1017" i="11" s="1"/>
  <c r="AZ1008" i="11"/>
  <c r="AI1004" i="11"/>
  <c r="AZ1005" i="11"/>
  <c r="AZ1013" i="11"/>
  <c r="AZ1015" i="11"/>
  <c r="AK1021" i="11"/>
  <c r="BA1015" i="11"/>
  <c r="AK1015" i="11"/>
  <c r="AG1006" i="11"/>
  <c r="AX1006" i="11" s="1"/>
  <c r="BA1006" i="11" s="1"/>
  <c r="BA1012" i="11"/>
  <c r="AK1004" i="11"/>
  <c r="AK1005" i="11"/>
  <c r="AK1014" i="11"/>
  <c r="BA1010" i="11"/>
  <c r="AI1014" i="11"/>
  <c r="AY1005" i="11"/>
  <c r="AZ1007" i="11"/>
  <c r="AI1006" i="11"/>
  <c r="AZ1012" i="11"/>
  <c r="AO1017" i="11"/>
  <c r="V1015" i="11"/>
  <c r="AO1016" i="11"/>
  <c r="AK1013" i="11"/>
  <c r="AG1018" i="11"/>
  <c r="AX1018" i="11" s="1"/>
  <c r="BA1018" i="11" s="1"/>
  <c r="AO1015" i="11"/>
  <c r="AK1008" i="11"/>
  <c r="AO1014" i="11"/>
  <c r="AK1007" i="11"/>
  <c r="AG1016" i="11"/>
  <c r="AX1016" i="11" s="1"/>
  <c r="BA1016" i="11" s="1"/>
  <c r="AO1007" i="11"/>
  <c r="BA1011" i="11"/>
  <c r="AI1020" i="11"/>
  <c r="BA1009" i="11"/>
  <c r="V1009" i="11"/>
  <c r="AU1009" i="11" s="1"/>
  <c r="AO1008" i="11"/>
  <c r="U1013" i="11"/>
  <c r="V1013" i="11" s="1"/>
  <c r="AU1013" i="11" s="1"/>
  <c r="AM1018" i="11"/>
  <c r="AI1017" i="11"/>
  <c r="AG1008" i="11"/>
  <c r="AX1008" i="11" s="1"/>
  <c r="BA1008" i="11" s="1"/>
  <c r="AY1015" i="11"/>
  <c r="AG1007" i="11"/>
  <c r="AX1007" i="11" s="1"/>
  <c r="BA1007" i="11" s="1"/>
  <c r="AU1007" i="11"/>
  <c r="AM1013" i="11"/>
  <c r="AM1008" i="11"/>
  <c r="AI1013" i="11"/>
  <c r="AZ1017" i="11"/>
  <c r="AK1020" i="11"/>
  <c r="AU1021" i="11"/>
  <c r="V1018" i="11"/>
  <c r="AU1018" i="11" s="1"/>
  <c r="AK1018" i="11"/>
  <c r="AO1013" i="11"/>
  <c r="AM1015" i="11"/>
  <c r="AK1017" i="11"/>
  <c r="AI1021" i="11"/>
  <c r="AG1005" i="11"/>
  <c r="AX1005" i="11" s="1"/>
  <c r="BA1005" i="11" s="1"/>
  <c r="AO1012" i="11"/>
  <c r="AK1016" i="11"/>
  <c r="AI1018" i="11"/>
  <c r="AG1020" i="11"/>
  <c r="AX1020" i="11" s="1"/>
  <c r="BA1020" i="11" s="1"/>
  <c r="AG1004" i="11"/>
  <c r="AX1004" i="11" s="1"/>
  <c r="BA1004" i="11" s="1"/>
  <c r="AO1011" i="11"/>
  <c r="AO1010" i="11"/>
  <c r="AM1012" i="11"/>
  <c r="AO1009" i="11"/>
  <c r="AM1011" i="11"/>
  <c r="AM1010" i="11"/>
  <c r="AK1012" i="11"/>
  <c r="AM1009" i="11"/>
  <c r="AK1011" i="11"/>
  <c r="AO1006" i="11"/>
  <c r="AK1010" i="11"/>
  <c r="AI1012" i="11"/>
  <c r="AZ1010" i="11"/>
  <c r="AO1005" i="11"/>
  <c r="AM1007" i="11"/>
  <c r="AK1009" i="11"/>
  <c r="AI1011" i="11"/>
  <c r="AO1020" i="11"/>
  <c r="AO1004" i="11"/>
  <c r="AM1006" i="11"/>
  <c r="AI1010" i="11"/>
  <c r="AO1021" i="11"/>
  <c r="AM1005" i="11"/>
  <c r="AI1009" i="11"/>
  <c r="V1016" i="11"/>
  <c r="AU1016" i="11" s="1"/>
  <c r="BH865" i="11"/>
  <c r="AD977" i="11"/>
  <c r="AD948" i="11"/>
  <c r="AD918" i="11"/>
  <c r="AD886" i="11"/>
  <c r="BG987" i="11"/>
  <c r="BH987" i="11"/>
  <c r="BI987" i="11"/>
  <c r="BJ987" i="11"/>
  <c r="BG988" i="11"/>
  <c r="BH988" i="11"/>
  <c r="BI988" i="11"/>
  <c r="BJ988" i="11"/>
  <c r="BG989" i="11"/>
  <c r="BH989" i="11"/>
  <c r="BI989" i="11"/>
  <c r="BJ989" i="11"/>
  <c r="BG990" i="11"/>
  <c r="BH990" i="11"/>
  <c r="BI990" i="11"/>
  <c r="BJ990" i="11"/>
  <c r="BG991" i="11"/>
  <c r="BH991" i="11"/>
  <c r="BI991" i="11"/>
  <c r="BJ991" i="11"/>
  <c r="BG992" i="11"/>
  <c r="BH992" i="11"/>
  <c r="BI992" i="11"/>
  <c r="BJ992" i="11"/>
  <c r="BG993" i="11"/>
  <c r="BH993" i="11"/>
  <c r="BI993" i="11"/>
  <c r="BJ993" i="11"/>
  <c r="BG996" i="11"/>
  <c r="BH996" i="11"/>
  <c r="BI996" i="11"/>
  <c r="BJ996" i="11"/>
  <c r="BG994" i="11"/>
  <c r="BH994" i="11"/>
  <c r="BI994" i="11"/>
  <c r="BJ994" i="11"/>
  <c r="BG995" i="11"/>
  <c r="BH995" i="11"/>
  <c r="BI995" i="11"/>
  <c r="BJ995" i="11"/>
  <c r="BG997" i="11"/>
  <c r="BH997" i="11"/>
  <c r="BI997" i="11"/>
  <c r="BJ997" i="11"/>
  <c r="BG998" i="11"/>
  <c r="BH998" i="11"/>
  <c r="BI998" i="11"/>
  <c r="BJ998" i="11"/>
  <c r="BG999" i="11"/>
  <c r="BH999" i="11"/>
  <c r="BI999" i="11"/>
  <c r="BJ999" i="11"/>
  <c r="BG1000" i="11"/>
  <c r="BH1000" i="11"/>
  <c r="BI1000" i="11"/>
  <c r="BJ1000" i="11"/>
  <c r="BG1001" i="11"/>
  <c r="BH1001" i="11"/>
  <c r="BI1001" i="11"/>
  <c r="BJ1001" i="11"/>
  <c r="BG1002" i="11"/>
  <c r="BH1002" i="11"/>
  <c r="BI1002" i="11"/>
  <c r="BJ1002" i="11"/>
  <c r="BG1003" i="11"/>
  <c r="BH1003" i="11"/>
  <c r="BI1003" i="11"/>
  <c r="BJ1003" i="11"/>
  <c r="S982" i="11"/>
  <c r="T982" i="11" s="1"/>
  <c r="S945" i="11"/>
  <c r="S944" i="11"/>
  <c r="S942" i="11"/>
  <c r="S984" i="11"/>
  <c r="T984" i="11" s="1"/>
  <c r="S979" i="11"/>
  <c r="T979" i="11" s="1"/>
  <c r="S851" i="11"/>
  <c r="S713" i="11"/>
  <c r="R996" i="11"/>
  <c r="T996" i="11" s="1"/>
  <c r="U996" i="11" s="1"/>
  <c r="V996" i="11" s="1"/>
  <c r="R985" i="11"/>
  <c r="T985" i="11" s="1"/>
  <c r="T986" i="11"/>
  <c r="T987" i="11"/>
  <c r="U987" i="11" s="1"/>
  <c r="V987" i="11" s="1"/>
  <c r="T988" i="11"/>
  <c r="U988" i="11" s="1"/>
  <c r="V988" i="11" s="1"/>
  <c r="T989" i="11"/>
  <c r="U989" i="11" s="1"/>
  <c r="V989" i="11" s="1"/>
  <c r="T990" i="11"/>
  <c r="U990" i="11" s="1"/>
  <c r="V990" i="11" s="1"/>
  <c r="T991" i="11"/>
  <c r="T992" i="11"/>
  <c r="T993" i="11"/>
  <c r="T994" i="11"/>
  <c r="U994" i="11" s="1"/>
  <c r="T995" i="11"/>
  <c r="U995" i="11" s="1"/>
  <c r="V995" i="11" s="1"/>
  <c r="T997" i="11"/>
  <c r="T998" i="11"/>
  <c r="T999" i="11"/>
  <c r="T1000" i="11"/>
  <c r="T1001" i="11"/>
  <c r="T1003" i="11"/>
  <c r="U1003" i="11" s="1"/>
  <c r="V1003" i="11" s="1"/>
  <c r="AD983" i="11"/>
  <c r="W983" i="11"/>
  <c r="AF983" i="11" s="1"/>
  <c r="AR983" i="11" s="1"/>
  <c r="T983" i="11"/>
  <c r="U983" i="11" s="1"/>
  <c r="V983" i="11" s="1"/>
  <c r="AD951" i="11"/>
  <c r="W951" i="11"/>
  <c r="AF951" i="11" s="1"/>
  <c r="AR951" i="11" s="1"/>
  <c r="T951" i="11"/>
  <c r="AD934" i="11"/>
  <c r="W934" i="11"/>
  <c r="AF934" i="11" s="1"/>
  <c r="AR934" i="11" s="1"/>
  <c r="T934" i="11"/>
  <c r="AD929" i="11"/>
  <c r="W929" i="11"/>
  <c r="AF929" i="11" s="1"/>
  <c r="AR929" i="11" s="1"/>
  <c r="T929" i="11"/>
  <c r="H996" i="11"/>
  <c r="W996" i="11"/>
  <c r="AD996" i="11"/>
  <c r="AS996" i="11"/>
  <c r="AT996" i="11"/>
  <c r="AV996" i="11"/>
  <c r="AY996" i="11" s="1"/>
  <c r="AW996" i="11"/>
  <c r="AW987" i="11"/>
  <c r="AW988" i="11"/>
  <c r="AW989" i="11"/>
  <c r="AW990" i="11"/>
  <c r="AV987" i="11"/>
  <c r="AY987" i="11" s="1"/>
  <c r="AV988" i="11"/>
  <c r="AY988" i="11" s="1"/>
  <c r="AV989" i="11"/>
  <c r="AY989" i="11" s="1"/>
  <c r="AV990" i="11"/>
  <c r="AT987" i="11"/>
  <c r="AO987" i="11" s="1"/>
  <c r="AT988" i="11"/>
  <c r="AK988" i="11" s="1"/>
  <c r="AT989" i="11"/>
  <c r="AK989" i="11" s="1"/>
  <c r="AT990" i="11"/>
  <c r="AO990" i="11" s="1"/>
  <c r="AS987" i="11"/>
  <c r="AS988" i="11"/>
  <c r="AS989" i="11"/>
  <c r="AS990" i="11"/>
  <c r="AD988" i="11"/>
  <c r="AD990" i="11"/>
  <c r="W987" i="11"/>
  <c r="AF987" i="11" s="1"/>
  <c r="AR987" i="11" s="1"/>
  <c r="W988" i="11"/>
  <c r="AF988" i="11" s="1"/>
  <c r="AR988" i="11" s="1"/>
  <c r="W989" i="11"/>
  <c r="AF989" i="11" s="1"/>
  <c r="AR989" i="11" s="1"/>
  <c r="W990" i="11"/>
  <c r="AF990" i="11" s="1"/>
  <c r="AR990" i="11" s="1"/>
  <c r="H987" i="11"/>
  <c r="H988" i="11"/>
  <c r="H989" i="11"/>
  <c r="H990" i="11"/>
  <c r="AW991" i="11"/>
  <c r="AW992" i="11"/>
  <c r="AW993" i="11"/>
  <c r="AW994" i="11"/>
  <c r="AV991" i="11"/>
  <c r="AY991" i="11" s="1"/>
  <c r="AV992" i="11"/>
  <c r="AY992" i="11" s="1"/>
  <c r="AV993" i="11"/>
  <c r="AY993" i="11" s="1"/>
  <c r="AV994" i="11"/>
  <c r="AY994" i="11" s="1"/>
  <c r="AT991" i="11"/>
  <c r="AK991" i="11" s="1"/>
  <c r="AT992" i="11"/>
  <c r="AO992" i="11" s="1"/>
  <c r="AT993" i="11"/>
  <c r="AK993" i="11" s="1"/>
  <c r="AT994" i="11"/>
  <c r="AO994" i="11" s="1"/>
  <c r="AS991" i="11"/>
  <c r="AS992" i="11"/>
  <c r="AS993" i="11"/>
  <c r="AS994" i="11"/>
  <c r="AD991" i="11"/>
  <c r="AD992" i="11"/>
  <c r="AD993" i="11"/>
  <c r="AD994" i="11"/>
  <c r="W991" i="11"/>
  <c r="AF991" i="11" s="1"/>
  <c r="AR991" i="11" s="1"/>
  <c r="W992" i="11"/>
  <c r="W993" i="11"/>
  <c r="AF993" i="11" s="1"/>
  <c r="AR993" i="11" s="1"/>
  <c r="W994" i="11"/>
  <c r="AF994" i="11" s="1"/>
  <c r="AR994" i="11" s="1"/>
  <c r="H991" i="11"/>
  <c r="H992" i="11"/>
  <c r="H993" i="11"/>
  <c r="H994" i="11"/>
  <c r="AW995" i="11"/>
  <c r="AW997" i="11"/>
  <c r="AW998" i="11"/>
  <c r="AW999" i="11"/>
  <c r="AV995" i="11"/>
  <c r="AY995" i="11" s="1"/>
  <c r="AV997" i="11"/>
  <c r="AY997" i="11" s="1"/>
  <c r="AV998" i="11"/>
  <c r="AY998" i="11" s="1"/>
  <c r="AV999" i="11"/>
  <c r="AY999" i="11" s="1"/>
  <c r="AT995" i="11"/>
  <c r="AK995" i="11" s="1"/>
  <c r="AT997" i="11"/>
  <c r="AO997" i="11" s="1"/>
  <c r="AT998" i="11"/>
  <c r="AK998" i="11" s="1"/>
  <c r="AT999" i="11"/>
  <c r="AM999" i="11" s="1"/>
  <c r="AS995" i="11"/>
  <c r="AS997" i="11"/>
  <c r="AS998" i="11"/>
  <c r="AS999" i="11"/>
  <c r="AD995" i="11"/>
  <c r="AD998" i="11"/>
  <c r="AD999" i="11"/>
  <c r="W995" i="11"/>
  <c r="AF995" i="11" s="1"/>
  <c r="AR995" i="11" s="1"/>
  <c r="W997" i="11"/>
  <c r="W998" i="11"/>
  <c r="W999" i="11"/>
  <c r="H995" i="11"/>
  <c r="H997" i="11"/>
  <c r="H998" i="11"/>
  <c r="H999" i="11"/>
  <c r="AW1000" i="11"/>
  <c r="AW1001" i="11"/>
  <c r="AV1000" i="11"/>
  <c r="AY1000" i="11" s="1"/>
  <c r="AV1001" i="11"/>
  <c r="AY1001" i="11" s="1"/>
  <c r="AT1000" i="11"/>
  <c r="AK1000" i="11" s="1"/>
  <c r="AT1001" i="11"/>
  <c r="AS1000" i="11"/>
  <c r="AS1001" i="11"/>
  <c r="AD1000" i="11"/>
  <c r="AD1001" i="11"/>
  <c r="W1000" i="11"/>
  <c r="W1001" i="11"/>
  <c r="H1000" i="11"/>
  <c r="H1001" i="11"/>
  <c r="AW1002" i="11"/>
  <c r="AV1002" i="11"/>
  <c r="AY1002" i="11" s="1"/>
  <c r="AT1002" i="11"/>
  <c r="AS1002" i="11"/>
  <c r="H1002" i="11"/>
  <c r="AW1003" i="11"/>
  <c r="AV1003" i="11"/>
  <c r="AY1003" i="11" s="1"/>
  <c r="AT1003" i="11"/>
  <c r="AK1003" i="11" s="1"/>
  <c r="AS1003" i="11"/>
  <c r="W1003" i="11"/>
  <c r="AF1003" i="11" s="1"/>
  <c r="AR1003" i="11" s="1"/>
  <c r="H1003" i="11"/>
  <c r="R962" i="11"/>
  <c r="R952" i="11"/>
  <c r="S972" i="11"/>
  <c r="R963" i="11"/>
  <c r="R960" i="11"/>
  <c r="T981" i="11"/>
  <c r="U1000" i="11" l="1"/>
  <c r="V1000" i="11" s="1"/>
  <c r="AU1000" i="11" s="1"/>
  <c r="AF1000" i="11"/>
  <c r="AR1000" i="11" s="1"/>
  <c r="U998" i="11"/>
  <c r="V998" i="11" s="1"/>
  <c r="AU998" i="11" s="1"/>
  <c r="AF998" i="11"/>
  <c r="AR998" i="11" s="1"/>
  <c r="AU1020" i="11"/>
  <c r="U997" i="11"/>
  <c r="V997" i="11" s="1"/>
  <c r="AU997" i="11" s="1"/>
  <c r="AF997" i="11"/>
  <c r="AR997" i="11" s="1"/>
  <c r="AF996" i="11"/>
  <c r="AR996" i="11" s="1"/>
  <c r="U1001" i="11"/>
  <c r="V1001" i="11" s="1"/>
  <c r="AF1001" i="11"/>
  <c r="AR1001" i="11" s="1"/>
  <c r="U999" i="11"/>
  <c r="V999" i="11" s="1"/>
  <c r="AU999" i="11" s="1"/>
  <c r="AF999" i="11"/>
  <c r="AR999" i="11" s="1"/>
  <c r="AU1015" i="11"/>
  <c r="AO1002" i="11"/>
  <c r="AM1002" i="11"/>
  <c r="AG1002" i="11"/>
  <c r="AX1002" i="11" s="1"/>
  <c r="BA1002" i="11" s="1"/>
  <c r="AI1002" i="11"/>
  <c r="AK1002" i="11"/>
  <c r="BB1019" i="11"/>
  <c r="AU1006" i="11"/>
  <c r="AK1001" i="11"/>
  <c r="AE1001" i="11"/>
  <c r="AM996" i="11"/>
  <c r="AE996" i="11"/>
  <c r="AU996" i="11" s="1"/>
  <c r="BB1018" i="11"/>
  <c r="BB1006" i="11"/>
  <c r="BB1009" i="11"/>
  <c r="BB1020" i="11"/>
  <c r="BB1004" i="11"/>
  <c r="BB1011" i="11"/>
  <c r="BB1021" i="11"/>
  <c r="BB1014" i="11"/>
  <c r="BB1017" i="11"/>
  <c r="BB1016" i="11"/>
  <c r="BB1010" i="11"/>
  <c r="BB1015" i="11"/>
  <c r="BB1012" i="11"/>
  <c r="BB1013" i="11"/>
  <c r="BB1007" i="11"/>
  <c r="BB1008" i="11"/>
  <c r="BB1005" i="11"/>
  <c r="AF992" i="11"/>
  <c r="AR992" i="11" s="1"/>
  <c r="BK992" i="11"/>
  <c r="BN992" i="11" s="1"/>
  <c r="BK989" i="11"/>
  <c r="BN989" i="11" s="1"/>
  <c r="BK995" i="11"/>
  <c r="BN995" i="11" s="1"/>
  <c r="BK1003" i="11"/>
  <c r="BN1003" i="11" s="1"/>
  <c r="BK994" i="11"/>
  <c r="BN994" i="11" s="1"/>
  <c r="BK996" i="11"/>
  <c r="BN996" i="11" s="1"/>
  <c r="BK993" i="11"/>
  <c r="BN993" i="11" s="1"/>
  <c r="BK1000" i="11"/>
  <c r="BN1000" i="11" s="1"/>
  <c r="BK1001" i="11"/>
  <c r="BN1001" i="11" s="1"/>
  <c r="BK997" i="11"/>
  <c r="BN997" i="11" s="1"/>
  <c r="BK998" i="11"/>
  <c r="BN998" i="11" s="1"/>
  <c r="BK990" i="11"/>
  <c r="BN990" i="11" s="1"/>
  <c r="BK987" i="11"/>
  <c r="BN987" i="11" s="1"/>
  <c r="BK991" i="11"/>
  <c r="BK988" i="11"/>
  <c r="BN988" i="11" s="1"/>
  <c r="BK1002" i="11"/>
  <c r="BN1002" i="11" s="1"/>
  <c r="BK999" i="11"/>
  <c r="BN999" i="11" s="1"/>
  <c r="AZ996" i="11"/>
  <c r="AZ990" i="11"/>
  <c r="AU1003" i="11"/>
  <c r="AO995" i="11"/>
  <c r="AO988" i="11"/>
  <c r="U951" i="11"/>
  <c r="V951" i="11" s="1"/>
  <c r="U934" i="11"/>
  <c r="V934" i="11" s="1"/>
  <c r="U929" i="11"/>
  <c r="V929" i="11" s="1"/>
  <c r="AZ989" i="11"/>
  <c r="AO989" i="11"/>
  <c r="AZ988" i="11"/>
  <c r="AG999" i="11"/>
  <c r="AX999" i="11" s="1"/>
  <c r="BA999" i="11" s="1"/>
  <c r="AG990" i="11"/>
  <c r="AX990" i="11" s="1"/>
  <c r="BA990" i="11" s="1"/>
  <c r="AK997" i="11"/>
  <c r="AG988" i="11"/>
  <c r="AX988" i="11" s="1"/>
  <c r="BA988" i="11" s="1"/>
  <c r="AK990" i="11"/>
  <c r="AG995" i="11"/>
  <c r="AX995" i="11" s="1"/>
  <c r="BA995" i="11" s="1"/>
  <c r="AG989" i="11"/>
  <c r="AX989" i="11" s="1"/>
  <c r="BA989" i="11" s="1"/>
  <c r="AO999" i="11"/>
  <c r="AG997" i="11"/>
  <c r="AX997" i="11" s="1"/>
  <c r="BA997" i="11" s="1"/>
  <c r="AO998" i="11"/>
  <c r="AK996" i="11"/>
  <c r="AI996" i="11"/>
  <c r="AG996" i="11"/>
  <c r="AX996" i="11" s="1"/>
  <c r="BA996" i="11" s="1"/>
  <c r="AG994" i="11"/>
  <c r="AX994" i="11" s="1"/>
  <c r="BA994" i="11" s="1"/>
  <c r="AG992" i="11"/>
  <c r="AX992" i="11" s="1"/>
  <c r="BA992" i="11" s="1"/>
  <c r="AZ1000" i="11"/>
  <c r="AK994" i="11"/>
  <c r="AO991" i="11"/>
  <c r="AU990" i="11"/>
  <c r="AG993" i="11"/>
  <c r="AX993" i="11" s="1"/>
  <c r="BA993" i="11" s="1"/>
  <c r="AK992" i="11"/>
  <c r="AZ987" i="11"/>
  <c r="AO993" i="11"/>
  <c r="AZ993" i="11"/>
  <c r="AZ992" i="11"/>
  <c r="AU989" i="11"/>
  <c r="AO996" i="11"/>
  <c r="AZ991" i="11"/>
  <c r="AK999" i="11"/>
  <c r="AU988" i="11"/>
  <c r="AZ994" i="11"/>
  <c r="AG998" i="11"/>
  <c r="AX998" i="11" s="1"/>
  <c r="BA998" i="11" s="1"/>
  <c r="AU987" i="11"/>
  <c r="AG991" i="11"/>
  <c r="AX991" i="11" s="1"/>
  <c r="BA991" i="11" s="1"/>
  <c r="AG987" i="11"/>
  <c r="AX987" i="11" s="1"/>
  <c r="BA987" i="11" s="1"/>
  <c r="AK987" i="11"/>
  <c r="AZ1002" i="11"/>
  <c r="AM993" i="11"/>
  <c r="U992" i="11"/>
  <c r="V992" i="11" s="1"/>
  <c r="AU992" i="11" s="1"/>
  <c r="AI992" i="11"/>
  <c r="AM992" i="11"/>
  <c r="V994" i="11"/>
  <c r="AU994" i="11" s="1"/>
  <c r="AI990" i="11"/>
  <c r="AM990" i="11"/>
  <c r="AY990" i="11"/>
  <c r="AZ1001" i="11"/>
  <c r="AI994" i="11"/>
  <c r="AM994" i="11"/>
  <c r="U993" i="11"/>
  <c r="V993" i="11" s="1"/>
  <c r="AU993" i="11" s="1"/>
  <c r="AI993" i="11"/>
  <c r="AI989" i="11"/>
  <c r="AM989" i="11"/>
  <c r="AZ999" i="11"/>
  <c r="AZ997" i="11"/>
  <c r="AU995" i="11"/>
  <c r="AI988" i="11"/>
  <c r="AM988" i="11"/>
  <c r="AZ998" i="11"/>
  <c r="U991" i="11"/>
  <c r="V991" i="11" s="1"/>
  <c r="AU991" i="11" s="1"/>
  <c r="AI991" i="11"/>
  <c r="AM991" i="11"/>
  <c r="AI987" i="11"/>
  <c r="AM987" i="11"/>
  <c r="AZ995" i="11"/>
  <c r="AG1003" i="11"/>
  <c r="AX1003" i="11" s="1"/>
  <c r="BA1003" i="11" s="1"/>
  <c r="AI999" i="11"/>
  <c r="AI1003" i="11"/>
  <c r="AI998" i="11"/>
  <c r="AM998" i="11"/>
  <c r="AI997" i="11"/>
  <c r="AM997" i="11"/>
  <c r="AI995" i="11"/>
  <c r="AM995" i="11"/>
  <c r="AG1001" i="11"/>
  <c r="AX1001" i="11" s="1"/>
  <c r="BA1001" i="11" s="1"/>
  <c r="AG1000" i="11"/>
  <c r="AX1000" i="11" s="1"/>
  <c r="BA1000" i="11" s="1"/>
  <c r="AZ1003" i="11"/>
  <c r="AO1001" i="11"/>
  <c r="AO1000" i="11"/>
  <c r="AU1002" i="11"/>
  <c r="AM1001" i="11"/>
  <c r="AM1000" i="11"/>
  <c r="AI1001" i="11"/>
  <c r="AI1000" i="11"/>
  <c r="AM1003" i="11"/>
  <c r="AO1003" i="11"/>
  <c r="BJ980" i="11"/>
  <c r="BI980" i="11"/>
  <c r="BH980" i="11"/>
  <c r="BG980" i="11"/>
  <c r="R974" i="11"/>
  <c r="R973" i="11"/>
  <c r="R980" i="11"/>
  <c r="AD898" i="11"/>
  <c r="AD896" i="11"/>
  <c r="AD895" i="11"/>
  <c r="AD894" i="11"/>
  <c r="AD893" i="11"/>
  <c r="BJ979" i="11"/>
  <c r="BJ981" i="11"/>
  <c r="BJ982" i="11"/>
  <c r="BI979" i="11"/>
  <c r="BI981" i="11"/>
  <c r="BI982" i="11"/>
  <c r="BH979" i="11"/>
  <c r="BH981" i="11"/>
  <c r="BH982" i="11"/>
  <c r="BG979" i="11"/>
  <c r="BG981" i="11"/>
  <c r="BG982" i="11"/>
  <c r="AW979" i="11"/>
  <c r="AW980" i="11"/>
  <c r="AW981" i="11"/>
  <c r="AW982" i="11"/>
  <c r="AV979" i="11"/>
  <c r="AY979" i="11" s="1"/>
  <c r="AV980" i="11"/>
  <c r="AY980" i="11" s="1"/>
  <c r="AV981" i="11"/>
  <c r="AY981" i="11" s="1"/>
  <c r="AV982" i="11"/>
  <c r="AY982" i="11" s="1"/>
  <c r="AT979" i="11"/>
  <c r="AE979" i="11" s="1"/>
  <c r="AT980" i="11"/>
  <c r="AT981" i="11"/>
  <c r="AO981" i="11" s="1"/>
  <c r="AT982" i="11"/>
  <c r="AK982" i="11" s="1"/>
  <c r="AS979" i="11"/>
  <c r="AS980" i="11"/>
  <c r="AS981" i="11"/>
  <c r="AS982" i="11"/>
  <c r="AD979" i="11"/>
  <c r="AD980" i="11"/>
  <c r="AD981" i="11"/>
  <c r="AD982" i="11"/>
  <c r="W979" i="11"/>
  <c r="AF979" i="11" s="1"/>
  <c r="AR979" i="11" s="1"/>
  <c r="W980" i="11"/>
  <c r="AF980" i="11" s="1"/>
  <c r="AR980" i="11" s="1"/>
  <c r="W981" i="11"/>
  <c r="AF981" i="11" s="1"/>
  <c r="AR981" i="11" s="1"/>
  <c r="W982" i="11"/>
  <c r="AF982" i="11" s="1"/>
  <c r="AR982" i="11" s="1"/>
  <c r="U979" i="11"/>
  <c r="U981" i="11"/>
  <c r="U982" i="11"/>
  <c r="V982" i="11" s="1"/>
  <c r="H979" i="11"/>
  <c r="H980" i="11"/>
  <c r="H981" i="11"/>
  <c r="H982" i="11"/>
  <c r="BJ983" i="11"/>
  <c r="BJ984" i="11"/>
  <c r="BI983" i="11"/>
  <c r="BI984" i="11"/>
  <c r="BH983" i="11"/>
  <c r="BH984" i="11"/>
  <c r="BG983" i="11"/>
  <c r="BG984" i="11"/>
  <c r="AW983" i="11"/>
  <c r="AW984" i="11"/>
  <c r="AV983" i="11"/>
  <c r="AY983" i="11" s="1"/>
  <c r="AV984" i="11"/>
  <c r="AY984" i="11" s="1"/>
  <c r="AT983" i="11"/>
  <c r="AT984" i="11"/>
  <c r="AS983" i="11"/>
  <c r="AS984" i="11"/>
  <c r="AD984" i="11"/>
  <c r="W984" i="11"/>
  <c r="AF984" i="11" s="1"/>
  <c r="AR984" i="11" s="1"/>
  <c r="U984" i="11"/>
  <c r="V984" i="11" s="1"/>
  <c r="H983" i="11"/>
  <c r="H984" i="11"/>
  <c r="BJ985" i="11"/>
  <c r="BI985" i="11"/>
  <c r="BH985" i="11"/>
  <c r="BG985" i="11"/>
  <c r="AW985" i="11"/>
  <c r="AV985" i="11"/>
  <c r="AY985" i="11" s="1"/>
  <c r="AT985" i="11"/>
  <c r="AE985" i="11" s="1"/>
  <c r="AS985" i="11"/>
  <c r="AD985" i="11"/>
  <c r="W985" i="11"/>
  <c r="U985" i="11"/>
  <c r="V985" i="11" s="1"/>
  <c r="H985" i="11"/>
  <c r="S969" i="11"/>
  <c r="T969" i="11" s="1"/>
  <c r="U969" i="11" s="1"/>
  <c r="H969" i="11"/>
  <c r="W969" i="11"/>
  <c r="AF969" i="11" s="1"/>
  <c r="AR969" i="11" s="1"/>
  <c r="AD969" i="11"/>
  <c r="AS969" i="11"/>
  <c r="AT969" i="11"/>
  <c r="AV969" i="11"/>
  <c r="AY969" i="11" s="1"/>
  <c r="AW969" i="11"/>
  <c r="BG969" i="11"/>
  <c r="BH969" i="11"/>
  <c r="BI969" i="11"/>
  <c r="BJ969" i="11"/>
  <c r="S977" i="11"/>
  <c r="H978" i="11"/>
  <c r="AU1001" i="11" l="1"/>
  <c r="AF985" i="11"/>
  <c r="AR985" i="11" s="1"/>
  <c r="AK984" i="11"/>
  <c r="AE984" i="11"/>
  <c r="AU984" i="11" s="1"/>
  <c r="AG980" i="11"/>
  <c r="AX980" i="11" s="1"/>
  <c r="BA980" i="11" s="1"/>
  <c r="AE980" i="11"/>
  <c r="AM969" i="11"/>
  <c r="AE969" i="11"/>
  <c r="BB996" i="11"/>
  <c r="BB999" i="11"/>
  <c r="BB1002" i="11"/>
  <c r="BB1000" i="11"/>
  <c r="BB994" i="11"/>
  <c r="BB1001" i="11"/>
  <c r="BB993" i="11"/>
  <c r="BB997" i="11"/>
  <c r="BB1003" i="11"/>
  <c r="BB995" i="11"/>
  <c r="BB988" i="11"/>
  <c r="BB989" i="11"/>
  <c r="BB987" i="11"/>
  <c r="BB990" i="11"/>
  <c r="BB991" i="11"/>
  <c r="BB998" i="11"/>
  <c r="BB992" i="11"/>
  <c r="AO983" i="11"/>
  <c r="AM983" i="11"/>
  <c r="AK983" i="11"/>
  <c r="AI983" i="11"/>
  <c r="AG983" i="11"/>
  <c r="AX983" i="11" s="1"/>
  <c r="BA983" i="11" s="1"/>
  <c r="BK982" i="11"/>
  <c r="BN982" i="11" s="1"/>
  <c r="AO982" i="11"/>
  <c r="AM982" i="11"/>
  <c r="BK979" i="11"/>
  <c r="BN979" i="11" s="1"/>
  <c r="BK983" i="11"/>
  <c r="BN983" i="11" s="1"/>
  <c r="AG982" i="11"/>
  <c r="AX982" i="11" s="1"/>
  <c r="BA982" i="11" s="1"/>
  <c r="AI982" i="11"/>
  <c r="AK981" i="11"/>
  <c r="BK981" i="11"/>
  <c r="BN981" i="11" s="1"/>
  <c r="T980" i="11"/>
  <c r="U980" i="11" s="1"/>
  <c r="BK985" i="11"/>
  <c r="BN985" i="11" s="1"/>
  <c r="BK984" i="11"/>
  <c r="BN984" i="11" s="1"/>
  <c r="BK980" i="11"/>
  <c r="BN980" i="11" s="1"/>
  <c r="AO980" i="11"/>
  <c r="AK980" i="11"/>
  <c r="AG981" i="11"/>
  <c r="AX981" i="11" s="1"/>
  <c r="BA981" i="11" s="1"/>
  <c r="AZ982" i="11"/>
  <c r="AZ981" i="11"/>
  <c r="AZ980" i="11"/>
  <c r="AU983" i="11"/>
  <c r="AZ979" i="11"/>
  <c r="AU982" i="11"/>
  <c r="AU985" i="11"/>
  <c r="AZ984" i="11"/>
  <c r="V981" i="11"/>
  <c r="AU981" i="11" s="1"/>
  <c r="AZ983" i="11"/>
  <c r="V979" i="11"/>
  <c r="AU979" i="11" s="1"/>
  <c r="AG979" i="11"/>
  <c r="AX979" i="11" s="1"/>
  <c r="BA979" i="11" s="1"/>
  <c r="AK979" i="11"/>
  <c r="AO979" i="11"/>
  <c r="AI981" i="11"/>
  <c r="AM981" i="11"/>
  <c r="AI980" i="11"/>
  <c r="AM980" i="11"/>
  <c r="AI979" i="11"/>
  <c r="AM979" i="11"/>
  <c r="AI984" i="11"/>
  <c r="AZ985" i="11"/>
  <c r="AM984" i="11"/>
  <c r="AG984" i="11"/>
  <c r="AX984" i="11" s="1"/>
  <c r="BA984" i="11" s="1"/>
  <c r="AO984" i="11"/>
  <c r="AK985" i="11"/>
  <c r="AI985" i="11"/>
  <c r="AM985" i="11"/>
  <c r="AO985" i="11"/>
  <c r="AG985" i="11"/>
  <c r="AX985" i="11" s="1"/>
  <c r="BA985" i="11" s="1"/>
  <c r="BK969" i="11"/>
  <c r="BN969" i="11" s="1"/>
  <c r="V969" i="11"/>
  <c r="AG969" i="11"/>
  <c r="AX969" i="11" s="1"/>
  <c r="BA969" i="11" s="1"/>
  <c r="AK969" i="11"/>
  <c r="AZ969" i="11"/>
  <c r="AI969" i="11"/>
  <c r="AO969" i="11"/>
  <c r="W935" i="11"/>
  <c r="S976" i="11"/>
  <c r="BB982" i="11" l="1"/>
  <c r="BB980" i="11"/>
  <c r="BB985" i="11"/>
  <c r="BB984" i="11"/>
  <c r="BB979" i="11"/>
  <c r="BB983" i="11"/>
  <c r="BB981" i="11"/>
  <c r="V980" i="11"/>
  <c r="AU980" i="11" s="1"/>
  <c r="BB969" i="11"/>
  <c r="AU969" i="11"/>
  <c r="T3" i="11" l="1"/>
  <c r="T4" i="11"/>
  <c r="T7" i="11"/>
  <c r="T8" i="11"/>
  <c r="T9" i="11"/>
  <c r="T10" i="11"/>
  <c r="T12" i="11"/>
  <c r="T13" i="11"/>
  <c r="T15" i="11"/>
  <c r="T16" i="11"/>
  <c r="T17" i="11"/>
  <c r="T19" i="11"/>
  <c r="T20" i="11"/>
  <c r="T27" i="11"/>
  <c r="T28" i="11"/>
  <c r="T31" i="11"/>
  <c r="T32" i="11"/>
  <c r="T37" i="11"/>
  <c r="T39" i="11"/>
  <c r="T40" i="11"/>
  <c r="T41" i="11"/>
  <c r="T44" i="11"/>
  <c r="T50" i="11"/>
  <c r="T55" i="11"/>
  <c r="T56" i="11"/>
  <c r="T67" i="11"/>
  <c r="T70" i="11"/>
  <c r="T78" i="11"/>
  <c r="T79" i="11"/>
  <c r="T82" i="11"/>
  <c r="T85" i="11"/>
  <c r="T89" i="11"/>
  <c r="T91" i="11"/>
  <c r="T96" i="11"/>
  <c r="T103" i="11"/>
  <c r="T104" i="11"/>
  <c r="T106" i="11"/>
  <c r="T108" i="11"/>
  <c r="T109" i="11"/>
  <c r="T110" i="11"/>
  <c r="T121" i="11"/>
  <c r="T130" i="11"/>
  <c r="T132" i="11"/>
  <c r="T137" i="11"/>
  <c r="T138" i="11"/>
  <c r="T142" i="11"/>
  <c r="T143" i="11"/>
  <c r="T144" i="11"/>
  <c r="T145" i="11"/>
  <c r="T154" i="11"/>
  <c r="T158" i="11"/>
  <c r="T165" i="11"/>
  <c r="T181" i="11"/>
  <c r="T184" i="11"/>
  <c r="T187" i="11"/>
  <c r="T193" i="11"/>
  <c r="T195" i="11"/>
  <c r="T196" i="11"/>
  <c r="T200" i="11"/>
  <c r="T209" i="11"/>
  <c r="T211" i="11"/>
  <c r="T213" i="11"/>
  <c r="T217" i="11"/>
  <c r="T225" i="11"/>
  <c r="T228" i="11"/>
  <c r="T231" i="11"/>
  <c r="T233" i="11"/>
  <c r="T235" i="11"/>
  <c r="T237" i="11"/>
  <c r="T243" i="11"/>
  <c r="T247" i="11"/>
  <c r="T248" i="11"/>
  <c r="T251" i="11"/>
  <c r="T257" i="11"/>
  <c r="T258" i="11"/>
  <c r="T260" i="11"/>
  <c r="T262" i="11"/>
  <c r="T267" i="11"/>
  <c r="T268" i="11"/>
  <c r="T272" i="11"/>
  <c r="T273" i="11"/>
  <c r="T277" i="11"/>
  <c r="T279" i="11"/>
  <c r="T280" i="11"/>
  <c r="T282" i="11"/>
  <c r="T283" i="11"/>
  <c r="T286" i="11"/>
  <c r="T287" i="11"/>
  <c r="T289" i="11"/>
  <c r="T290" i="11"/>
  <c r="T295" i="11"/>
  <c r="T296" i="11"/>
  <c r="T299" i="11"/>
  <c r="T305" i="11"/>
  <c r="T308" i="11"/>
  <c r="T310" i="11"/>
  <c r="T311" i="11"/>
  <c r="T312" i="11"/>
  <c r="T322" i="11"/>
  <c r="T323" i="11"/>
  <c r="T328" i="11"/>
  <c r="T329" i="11"/>
  <c r="T330" i="11"/>
  <c r="T334" i="11"/>
  <c r="T337" i="11"/>
  <c r="T338" i="11"/>
  <c r="T339" i="11"/>
  <c r="T340" i="11"/>
  <c r="T343" i="11"/>
  <c r="T344" i="11"/>
  <c r="T347" i="11"/>
  <c r="T354" i="11"/>
  <c r="T355" i="11"/>
  <c r="T360" i="11"/>
  <c r="T367" i="11"/>
  <c r="T371" i="11"/>
  <c r="T372" i="11"/>
  <c r="T373" i="11"/>
  <c r="T376" i="11"/>
  <c r="T377" i="11"/>
  <c r="T378" i="11"/>
  <c r="T379" i="11"/>
  <c r="T383" i="11"/>
  <c r="T384" i="11"/>
  <c r="T398" i="11"/>
  <c r="T405" i="11"/>
  <c r="T406" i="11"/>
  <c r="T407" i="11"/>
  <c r="T408" i="11"/>
  <c r="T410" i="11"/>
  <c r="T411" i="11"/>
  <c r="T413" i="11"/>
  <c r="T416" i="11"/>
  <c r="T417" i="11"/>
  <c r="T418" i="11"/>
  <c r="T419" i="11"/>
  <c r="T424" i="11"/>
  <c r="T430" i="11"/>
  <c r="T432" i="11"/>
  <c r="T445" i="11"/>
  <c r="T446" i="11"/>
  <c r="T448" i="11"/>
  <c r="T449" i="11"/>
  <c r="T452" i="11"/>
  <c r="T457" i="11"/>
  <c r="T458" i="11"/>
  <c r="T459" i="11"/>
  <c r="T471" i="11"/>
  <c r="T477" i="11"/>
  <c r="T480" i="11"/>
  <c r="T482" i="11"/>
  <c r="T484" i="11"/>
  <c r="T485" i="11"/>
  <c r="T490" i="11"/>
  <c r="T493" i="11"/>
  <c r="T495" i="11"/>
  <c r="T496" i="11"/>
  <c r="T498" i="11"/>
  <c r="T504" i="11"/>
  <c r="T506" i="11"/>
  <c r="T507" i="11"/>
  <c r="T509" i="11"/>
  <c r="T517" i="11"/>
  <c r="T519" i="11"/>
  <c r="T520" i="11"/>
  <c r="T524" i="11"/>
  <c r="T525" i="11"/>
  <c r="T529" i="11"/>
  <c r="T534" i="11"/>
  <c r="T535" i="11"/>
  <c r="T536" i="11"/>
  <c r="T538" i="11"/>
  <c r="T539" i="11"/>
  <c r="T545" i="11"/>
  <c r="T548" i="11"/>
  <c r="T552" i="11"/>
  <c r="T553" i="11"/>
  <c r="T556" i="11"/>
  <c r="T559" i="11"/>
  <c r="T562" i="11"/>
  <c r="T568" i="11"/>
  <c r="T569" i="11"/>
  <c r="T572" i="11"/>
  <c r="T573" i="11"/>
  <c r="T577" i="11"/>
  <c r="T593" i="11"/>
  <c r="T596" i="11"/>
  <c r="T601" i="11"/>
  <c r="T611" i="11"/>
  <c r="T614" i="11"/>
  <c r="T615" i="11"/>
  <c r="T618" i="11"/>
  <c r="T621" i="11"/>
  <c r="T625" i="11"/>
  <c r="T627" i="11"/>
  <c r="T628" i="11"/>
  <c r="T634" i="11"/>
  <c r="T642" i="11"/>
  <c r="T648" i="11"/>
  <c r="T649" i="11"/>
  <c r="T653" i="11"/>
  <c r="T656" i="11"/>
  <c r="T657" i="11"/>
  <c r="T660" i="11"/>
  <c r="T661" i="11"/>
  <c r="T662" i="11"/>
  <c r="T664" i="11"/>
  <c r="T675" i="11"/>
  <c r="T680" i="11"/>
  <c r="T683" i="11"/>
  <c r="T686" i="11"/>
  <c r="T687" i="11"/>
  <c r="T689" i="11"/>
  <c r="T691" i="11"/>
  <c r="T692" i="11"/>
  <c r="T693" i="11"/>
  <c r="T695" i="11"/>
  <c r="T699" i="11"/>
  <c r="T706" i="11"/>
  <c r="T710" i="11"/>
  <c r="T714" i="11"/>
  <c r="T720" i="11"/>
  <c r="T724" i="11"/>
  <c r="T731" i="11"/>
  <c r="T733" i="11"/>
  <c r="T736" i="11"/>
  <c r="T740" i="11"/>
  <c r="T745" i="11"/>
  <c r="T750" i="11"/>
  <c r="T753" i="11"/>
  <c r="T761" i="11"/>
  <c r="T768" i="11"/>
  <c r="T779" i="11"/>
  <c r="T780" i="11"/>
  <c r="T781" i="11"/>
  <c r="T792" i="11"/>
  <c r="T795" i="11"/>
  <c r="T798" i="11"/>
  <c r="T802" i="11"/>
  <c r="T804" i="11"/>
  <c r="T805" i="11"/>
  <c r="T807" i="11"/>
  <c r="T808" i="11"/>
  <c r="T809" i="11"/>
  <c r="T810" i="11"/>
  <c r="T812" i="11"/>
  <c r="T815" i="11"/>
  <c r="T818" i="11"/>
  <c r="T819" i="11"/>
  <c r="T822" i="11"/>
  <c r="T823" i="11"/>
  <c r="T824" i="11"/>
  <c r="T830" i="11"/>
  <c r="T831" i="11"/>
  <c r="T834" i="11"/>
  <c r="T835" i="11"/>
  <c r="T838" i="11"/>
  <c r="T843" i="11"/>
  <c r="T844" i="11"/>
  <c r="T846" i="11"/>
  <c r="T857" i="11"/>
  <c r="T858" i="11"/>
  <c r="T861" i="11"/>
  <c r="T863" i="11"/>
  <c r="T864" i="11"/>
  <c r="T868" i="11"/>
  <c r="T872" i="11"/>
  <c r="T874" i="11"/>
  <c r="T875" i="11"/>
  <c r="T876" i="11"/>
  <c r="T877" i="11"/>
  <c r="T879" i="11"/>
  <c r="T883" i="11"/>
  <c r="T887" i="11"/>
  <c r="T888" i="11"/>
  <c r="T889" i="11"/>
  <c r="T893" i="11"/>
  <c r="T894" i="11"/>
  <c r="T895" i="11"/>
  <c r="T897" i="11"/>
  <c r="T900" i="11"/>
  <c r="T901" i="11"/>
  <c r="T908" i="11"/>
  <c r="T909" i="11"/>
  <c r="T911" i="11"/>
  <c r="T913" i="11"/>
  <c r="T914" i="11"/>
  <c r="T924" i="11"/>
  <c r="T926" i="11"/>
  <c r="T927" i="11"/>
  <c r="T928" i="11"/>
  <c r="T941" i="11"/>
  <c r="T942" i="11"/>
  <c r="T943" i="11"/>
  <c r="T944" i="11"/>
  <c r="T945" i="11"/>
  <c r="T949" i="11"/>
  <c r="T950" i="11"/>
  <c r="T952" i="11"/>
  <c r="T953" i="11"/>
  <c r="T955" i="11"/>
  <c r="T959" i="11"/>
  <c r="T960" i="11"/>
  <c r="T961" i="11"/>
  <c r="T962" i="11"/>
  <c r="T964" i="11"/>
  <c r="T965" i="11"/>
  <c r="T966" i="11"/>
  <c r="T967" i="11"/>
  <c r="T972" i="11"/>
  <c r="T973" i="11"/>
  <c r="T974" i="11"/>
  <c r="T976" i="11"/>
  <c r="T977" i="11"/>
  <c r="T978" i="11"/>
  <c r="R881" i="11"/>
  <c r="T881" i="11" s="1"/>
  <c r="R971" i="11"/>
  <c r="T971" i="11" s="1"/>
  <c r="R975" i="11"/>
  <c r="T975" i="11" s="1"/>
  <c r="R968" i="11"/>
  <c r="T968" i="11" s="1"/>
  <c r="H968" i="11"/>
  <c r="T963" i="11"/>
  <c r="R946" i="11"/>
  <c r="T946" i="11" s="1"/>
  <c r="AW464" i="11" l="1"/>
  <c r="S958" i="11"/>
  <c r="T958" i="11" s="1"/>
  <c r="S957" i="11"/>
  <c r="T957" i="11" s="1"/>
  <c r="AD941" i="11"/>
  <c r="W941" i="11"/>
  <c r="AF941" i="11" s="1"/>
  <c r="R956" i="11"/>
  <c r="T956" i="11" s="1"/>
  <c r="U941" i="11" l="1"/>
  <c r="V941" i="11" s="1"/>
  <c r="U963" i="11"/>
  <c r="V963" i="11" s="1"/>
  <c r="U964" i="11"/>
  <c r="U965" i="11"/>
  <c r="V965" i="11" s="1"/>
  <c r="U966" i="11"/>
  <c r="V966" i="11" s="1"/>
  <c r="U967" i="11"/>
  <c r="V967" i="11" s="1"/>
  <c r="U968" i="11"/>
  <c r="V968" i="11" s="1"/>
  <c r="U972" i="11"/>
  <c r="U974" i="11"/>
  <c r="U975" i="11"/>
  <c r="H959" i="11"/>
  <c r="H960" i="11"/>
  <c r="H961" i="11"/>
  <c r="H962" i="11"/>
  <c r="H963" i="11"/>
  <c r="H964" i="11"/>
  <c r="H965" i="11"/>
  <c r="H966" i="11"/>
  <c r="H967" i="11"/>
  <c r="H970" i="11"/>
  <c r="H971" i="11"/>
  <c r="H972" i="11"/>
  <c r="H973" i="11"/>
  <c r="H974" i="11"/>
  <c r="H975" i="11"/>
  <c r="H976" i="11"/>
  <c r="H977" i="11"/>
  <c r="H986" i="11"/>
  <c r="W959" i="11"/>
  <c r="AF959" i="11" s="1"/>
  <c r="AR959" i="11" s="1"/>
  <c r="W960" i="11"/>
  <c r="AF960" i="11" s="1"/>
  <c r="AR960" i="11" s="1"/>
  <c r="W961" i="11"/>
  <c r="W962" i="11"/>
  <c r="AF962" i="11" s="1"/>
  <c r="AR962" i="11" s="1"/>
  <c r="W963" i="11"/>
  <c r="AF963" i="11" s="1"/>
  <c r="AR963" i="11" s="1"/>
  <c r="W964" i="11"/>
  <c r="AF964" i="11" s="1"/>
  <c r="AR964" i="11" s="1"/>
  <c r="W965" i="11"/>
  <c r="W966" i="11"/>
  <c r="W967" i="11"/>
  <c r="AF967" i="11" s="1"/>
  <c r="AR967" i="11" s="1"/>
  <c r="W968" i="11"/>
  <c r="AF968" i="11" s="1"/>
  <c r="AR968" i="11" s="1"/>
  <c r="W970" i="11"/>
  <c r="AF970" i="11" s="1"/>
  <c r="AR970" i="11" s="1"/>
  <c r="W971" i="11"/>
  <c r="AF971" i="11" s="1"/>
  <c r="AR971" i="11" s="1"/>
  <c r="W972" i="11"/>
  <c r="W973" i="11"/>
  <c r="AF973" i="11" s="1"/>
  <c r="AR973" i="11" s="1"/>
  <c r="W974" i="11"/>
  <c r="AF974" i="11" s="1"/>
  <c r="AR974" i="11" s="1"/>
  <c r="W975" i="11"/>
  <c r="AF975" i="11" s="1"/>
  <c r="AR975" i="11" s="1"/>
  <c r="W976" i="11"/>
  <c r="AF976" i="11" s="1"/>
  <c r="AR976" i="11" s="1"/>
  <c r="W977" i="11"/>
  <c r="AF977" i="11" s="1"/>
  <c r="AR977" i="11" s="1"/>
  <c r="W978" i="11"/>
  <c r="AF978" i="11" s="1"/>
  <c r="AR978" i="11" s="1"/>
  <c r="W986" i="11"/>
  <c r="AD959" i="11"/>
  <c r="AD960" i="11"/>
  <c r="AD961" i="11"/>
  <c r="AD962" i="11"/>
  <c r="AD963" i="11"/>
  <c r="AD964" i="11"/>
  <c r="AD965" i="11"/>
  <c r="AD966" i="11"/>
  <c r="AD968" i="11"/>
  <c r="AD970" i="11"/>
  <c r="AD971" i="11"/>
  <c r="AD972" i="11"/>
  <c r="AD973" i="11"/>
  <c r="AD974" i="11"/>
  <c r="AD975" i="11"/>
  <c r="AD976" i="11"/>
  <c r="AD978" i="11"/>
  <c r="AD986" i="11"/>
  <c r="AS959" i="11"/>
  <c r="AS960" i="11"/>
  <c r="AS961" i="11"/>
  <c r="AS962" i="11"/>
  <c r="AS963" i="11"/>
  <c r="AS964" i="11"/>
  <c r="AS965" i="11"/>
  <c r="AS966" i="11"/>
  <c r="AS967" i="11"/>
  <c r="AS968" i="11"/>
  <c r="AS970" i="11"/>
  <c r="AS971" i="11"/>
  <c r="AS972" i="11"/>
  <c r="AS973" i="11"/>
  <c r="AS974" i="11"/>
  <c r="AS975" i="11"/>
  <c r="AS976" i="11"/>
  <c r="AS977" i="11"/>
  <c r="AS978" i="11"/>
  <c r="AS986" i="11"/>
  <c r="AT959" i="11"/>
  <c r="AT960" i="11"/>
  <c r="AT961" i="11"/>
  <c r="AT962" i="11"/>
  <c r="AT963" i="11"/>
  <c r="AK963" i="11" s="1"/>
  <c r="AT964" i="11"/>
  <c r="AK964" i="11" s="1"/>
  <c r="AT965" i="11"/>
  <c r="AK965" i="11" s="1"/>
  <c r="AT966" i="11"/>
  <c r="AK966" i="11" s="1"/>
  <c r="AT967" i="11"/>
  <c r="AG967" i="11" s="1"/>
  <c r="AX967" i="11" s="1"/>
  <c r="AT968" i="11"/>
  <c r="AT970" i="11"/>
  <c r="AG970" i="11" s="1"/>
  <c r="AX970" i="11" s="1"/>
  <c r="AT971" i="11"/>
  <c r="AK971" i="11" s="1"/>
  <c r="AT972" i="11"/>
  <c r="AI972" i="11" s="1"/>
  <c r="AT973" i="11"/>
  <c r="AT974" i="11"/>
  <c r="AT975" i="11"/>
  <c r="AG975" i="11" s="1"/>
  <c r="AX975" i="11" s="1"/>
  <c r="AT976" i="11"/>
  <c r="AT977" i="11"/>
  <c r="AT978" i="11"/>
  <c r="AT986" i="11"/>
  <c r="AV959" i="11"/>
  <c r="AY959" i="11" s="1"/>
  <c r="AV960" i="11"/>
  <c r="AY960" i="11" s="1"/>
  <c r="AV961" i="11"/>
  <c r="AY961" i="11" s="1"/>
  <c r="AV962" i="11"/>
  <c r="AY962" i="11" s="1"/>
  <c r="AV963" i="11"/>
  <c r="AY963" i="11" s="1"/>
  <c r="AV964" i="11"/>
  <c r="AY964" i="11" s="1"/>
  <c r="AV965" i="11"/>
  <c r="AY965" i="11" s="1"/>
  <c r="AV966" i="11"/>
  <c r="AY966" i="11" s="1"/>
  <c r="AV967" i="11"/>
  <c r="AY967" i="11" s="1"/>
  <c r="AV968" i="11"/>
  <c r="AY968" i="11" s="1"/>
  <c r="AV970" i="11"/>
  <c r="AY970" i="11" s="1"/>
  <c r="AV971" i="11"/>
  <c r="AY971" i="11" s="1"/>
  <c r="AV972" i="11"/>
  <c r="AY972" i="11" s="1"/>
  <c r="AV973" i="11"/>
  <c r="AY973" i="11" s="1"/>
  <c r="AV974" i="11"/>
  <c r="AY974" i="11" s="1"/>
  <c r="AV975" i="11"/>
  <c r="AY975" i="11" s="1"/>
  <c r="AV976" i="11"/>
  <c r="AY976" i="11" s="1"/>
  <c r="AV977" i="11"/>
  <c r="AY977" i="11" s="1"/>
  <c r="AV978" i="11"/>
  <c r="AY978" i="11" s="1"/>
  <c r="AV986" i="11"/>
  <c r="AY986" i="11" s="1"/>
  <c r="AW959" i="11"/>
  <c r="AW960" i="11"/>
  <c r="AW961" i="11"/>
  <c r="AW962" i="11"/>
  <c r="AW963" i="11"/>
  <c r="AW964" i="11"/>
  <c r="AW965" i="11"/>
  <c r="AW966" i="11"/>
  <c r="AW967" i="11"/>
  <c r="AW968" i="11"/>
  <c r="AW970" i="11"/>
  <c r="AW971" i="11"/>
  <c r="AW972" i="11"/>
  <c r="AW973" i="11"/>
  <c r="AW974" i="11"/>
  <c r="AW975" i="11"/>
  <c r="AW976" i="11"/>
  <c r="AW977" i="11"/>
  <c r="AW978" i="11"/>
  <c r="AW986" i="11"/>
  <c r="BG959" i="11"/>
  <c r="BG960" i="11"/>
  <c r="BG961" i="11"/>
  <c r="BG962" i="11"/>
  <c r="BG963" i="11"/>
  <c r="BG964" i="11"/>
  <c r="BG965" i="11"/>
  <c r="BG966" i="11"/>
  <c r="BG967" i="11"/>
  <c r="BG968" i="11"/>
  <c r="BG970" i="11"/>
  <c r="BG971" i="11"/>
  <c r="BG972" i="11"/>
  <c r="BG973" i="11"/>
  <c r="BG974" i="11"/>
  <c r="BG975" i="11"/>
  <c r="BG976" i="11"/>
  <c r="BG977" i="11"/>
  <c r="BG978" i="11"/>
  <c r="BG986" i="11"/>
  <c r="BH959" i="11"/>
  <c r="BH960" i="11"/>
  <c r="BH961" i="11"/>
  <c r="BH962" i="11"/>
  <c r="BH963" i="11"/>
  <c r="BH964" i="11"/>
  <c r="BH965" i="11"/>
  <c r="BH966" i="11"/>
  <c r="BH967" i="11"/>
  <c r="BH968" i="11"/>
  <c r="BH970" i="11"/>
  <c r="BH971" i="11"/>
  <c r="BH972" i="11"/>
  <c r="BH973" i="11"/>
  <c r="BH974" i="11"/>
  <c r="BH975" i="11"/>
  <c r="BH976" i="11"/>
  <c r="BH977" i="11"/>
  <c r="BH978" i="11"/>
  <c r="BH986" i="11"/>
  <c r="BI959" i="11"/>
  <c r="BI960" i="11"/>
  <c r="BI961" i="11"/>
  <c r="BI962" i="11"/>
  <c r="BI963" i="11"/>
  <c r="BI964" i="11"/>
  <c r="BI965" i="11"/>
  <c r="BI966" i="11"/>
  <c r="BI967" i="11"/>
  <c r="BI968" i="11"/>
  <c r="BI970" i="11"/>
  <c r="BI971" i="11"/>
  <c r="BI972" i="11"/>
  <c r="BI973" i="11"/>
  <c r="BI974" i="11"/>
  <c r="BI975" i="11"/>
  <c r="BI976" i="11"/>
  <c r="BI977" i="11"/>
  <c r="BI978" i="11"/>
  <c r="BI986" i="11"/>
  <c r="BJ959" i="11"/>
  <c r="BJ960" i="11"/>
  <c r="BJ961" i="11"/>
  <c r="BJ962" i="11"/>
  <c r="BJ963" i="11"/>
  <c r="BJ964" i="11"/>
  <c r="BJ965" i="11"/>
  <c r="BJ966" i="11"/>
  <c r="BJ967" i="11"/>
  <c r="BJ968" i="11"/>
  <c r="BJ970" i="11"/>
  <c r="BJ971" i="11"/>
  <c r="BJ972" i="11"/>
  <c r="BJ973" i="11"/>
  <c r="BJ974" i="11"/>
  <c r="BJ975" i="11"/>
  <c r="BJ976" i="11"/>
  <c r="BJ977" i="11"/>
  <c r="BJ978" i="11"/>
  <c r="BJ986" i="11"/>
  <c r="R940" i="11"/>
  <c r="T940" i="11" s="1"/>
  <c r="AF961" i="11" l="1"/>
  <c r="AR961" i="11" s="1"/>
  <c r="AF986" i="11"/>
  <c r="AR986" i="11" s="1"/>
  <c r="AF972" i="11"/>
  <c r="AR972" i="11" s="1"/>
  <c r="AG973" i="11"/>
  <c r="AX973" i="11" s="1"/>
  <c r="BA973" i="11" s="1"/>
  <c r="AE973" i="11"/>
  <c r="AM974" i="11"/>
  <c r="AE974" i="11"/>
  <c r="AM968" i="11"/>
  <c r="AE968" i="11"/>
  <c r="AU968" i="11" s="1"/>
  <c r="AF966" i="11"/>
  <c r="AR966" i="11" s="1"/>
  <c r="AF965" i="11"/>
  <c r="AR965" i="11" s="1"/>
  <c r="AM970" i="11"/>
  <c r="AZ967" i="11"/>
  <c r="AI971" i="11"/>
  <c r="AI970" i="11"/>
  <c r="AZ965" i="11"/>
  <c r="AZ964" i="11"/>
  <c r="AZ966" i="11"/>
  <c r="AZ970" i="11"/>
  <c r="AI968" i="11"/>
  <c r="AZ968" i="11"/>
  <c r="AM972" i="11"/>
  <c r="AM971" i="11"/>
  <c r="AI974" i="11"/>
  <c r="AI973" i="11"/>
  <c r="AZ973" i="11"/>
  <c r="AZ972" i="11"/>
  <c r="AM967" i="11"/>
  <c r="AI975" i="11"/>
  <c r="BK971" i="11"/>
  <c r="BN971" i="11" s="1"/>
  <c r="BK975" i="11"/>
  <c r="BN975" i="11" s="1"/>
  <c r="AU963" i="11"/>
  <c r="BK974" i="11"/>
  <c r="BN974" i="11" s="1"/>
  <c r="BK968" i="11"/>
  <c r="BN968" i="11" s="1"/>
  <c r="AZ963" i="11"/>
  <c r="V964" i="11"/>
  <c r="AU964" i="11" s="1"/>
  <c r="BK972" i="11"/>
  <c r="BN972" i="11" s="1"/>
  <c r="AM975" i="11"/>
  <c r="BA975" i="11"/>
  <c r="BK970" i="11"/>
  <c r="BN970" i="11" s="1"/>
  <c r="BK973" i="11"/>
  <c r="BN973" i="11" s="1"/>
  <c r="BK967" i="11"/>
  <c r="BN967" i="11" s="1"/>
  <c r="AM973" i="11"/>
  <c r="AI966" i="11"/>
  <c r="AM966" i="11"/>
  <c r="AI965" i="11"/>
  <c r="V972" i="11"/>
  <c r="AU972" i="11" s="1"/>
  <c r="AI964" i="11"/>
  <c r="AZ986" i="11"/>
  <c r="AM964" i="11"/>
  <c r="AZ978" i="11"/>
  <c r="AZ961" i="11"/>
  <c r="BA970" i="11"/>
  <c r="AM963" i="11"/>
  <c r="AG966" i="11"/>
  <c r="AX966" i="11" s="1"/>
  <c r="BA966" i="11" s="1"/>
  <c r="AI963" i="11"/>
  <c r="AZ977" i="11"/>
  <c r="AZ960" i="11"/>
  <c r="AO966" i="11"/>
  <c r="AG965" i="11"/>
  <c r="AX965" i="11" s="1"/>
  <c r="BA965" i="11" s="1"/>
  <c r="AU967" i="11"/>
  <c r="AM965" i="11"/>
  <c r="AZ962" i="11"/>
  <c r="AZ976" i="11"/>
  <c r="AZ959" i="11"/>
  <c r="BA967" i="11"/>
  <c r="AO965" i="11"/>
  <c r="AG964" i="11"/>
  <c r="AX964" i="11" s="1"/>
  <c r="BA964" i="11" s="1"/>
  <c r="AU966" i="11"/>
  <c r="AZ975" i="11"/>
  <c r="AO964" i="11"/>
  <c r="AG963" i="11"/>
  <c r="AX963" i="11" s="1"/>
  <c r="BA963" i="11" s="1"/>
  <c r="AU965" i="11"/>
  <c r="AZ974" i="11"/>
  <c r="AO963" i="11"/>
  <c r="U973" i="11"/>
  <c r="V973" i="11" s="1"/>
  <c r="AU970" i="11"/>
  <c r="U971" i="11"/>
  <c r="V971" i="11" s="1"/>
  <c r="AU971" i="11" s="1"/>
  <c r="U962" i="11"/>
  <c r="V962" i="11" s="1"/>
  <c r="AU962" i="11" s="1"/>
  <c r="U961" i="11"/>
  <c r="V961" i="11" s="1"/>
  <c r="AU961" i="11" s="1"/>
  <c r="V975" i="11"/>
  <c r="AU975" i="11" s="1"/>
  <c r="V974" i="11"/>
  <c r="U977" i="11"/>
  <c r="V977" i="11" s="1"/>
  <c r="AU977" i="11" s="1"/>
  <c r="U960" i="11"/>
  <c r="V960" i="11" s="1"/>
  <c r="AU960" i="11" s="1"/>
  <c r="BK964" i="11"/>
  <c r="BK963" i="11"/>
  <c r="BN963" i="11" s="1"/>
  <c r="U986" i="11"/>
  <c r="V986" i="11" s="1"/>
  <c r="AU986" i="11" s="1"/>
  <c r="BK965" i="11"/>
  <c r="BN965" i="11" s="1"/>
  <c r="BK986" i="11"/>
  <c r="BN986" i="11" s="1"/>
  <c r="AM962" i="11"/>
  <c r="AI962" i="11"/>
  <c r="AK962" i="11"/>
  <c r="AO962" i="11"/>
  <c r="AG962" i="11"/>
  <c r="AX962" i="11" s="1"/>
  <c r="BA962" i="11" s="1"/>
  <c r="BK978" i="11"/>
  <c r="AK978" i="11"/>
  <c r="AO978" i="11"/>
  <c r="AI978" i="11"/>
  <c r="AM978" i="11"/>
  <c r="AG978" i="11"/>
  <c r="AX978" i="11" s="1"/>
  <c r="BA978" i="11" s="1"/>
  <c r="AI961" i="11"/>
  <c r="AM961" i="11"/>
  <c r="AG961" i="11"/>
  <c r="AX961" i="11" s="1"/>
  <c r="BA961" i="11" s="1"/>
  <c r="AK961" i="11"/>
  <c r="AO961" i="11"/>
  <c r="U976" i="11"/>
  <c r="V976" i="11" s="1"/>
  <c r="AU976" i="11" s="1"/>
  <c r="BK966" i="11"/>
  <c r="BN966" i="11" s="1"/>
  <c r="BK962" i="11"/>
  <c r="BN962" i="11" s="1"/>
  <c r="AI986" i="11"/>
  <c r="AM986" i="11"/>
  <c r="AG986" i="11"/>
  <c r="AX986" i="11" s="1"/>
  <c r="BA986" i="11" s="1"/>
  <c r="AO986" i="11"/>
  <c r="AK986" i="11"/>
  <c r="BK961" i="11"/>
  <c r="BN961" i="11" s="1"/>
  <c r="BK977" i="11"/>
  <c r="BN977" i="11" s="1"/>
  <c r="BK960" i="11"/>
  <c r="BN960" i="11" s="1"/>
  <c r="AI977" i="11"/>
  <c r="AM977" i="11"/>
  <c r="AK977" i="11"/>
  <c r="AO977" i="11"/>
  <c r="AG977" i="11"/>
  <c r="AX977" i="11" s="1"/>
  <c r="BA977" i="11" s="1"/>
  <c r="AI960" i="11"/>
  <c r="AM960" i="11"/>
  <c r="AK960" i="11"/>
  <c r="AG960" i="11"/>
  <c r="AX960" i="11" s="1"/>
  <c r="BA960" i="11" s="1"/>
  <c r="AO960" i="11"/>
  <c r="BK976" i="11"/>
  <c r="BN976" i="11" s="1"/>
  <c r="BK959" i="11"/>
  <c r="AI976" i="11"/>
  <c r="AM976" i="11"/>
  <c r="AG976" i="11"/>
  <c r="AX976" i="11" s="1"/>
  <c r="BA976" i="11" s="1"/>
  <c r="AK976" i="11"/>
  <c r="AO976" i="11"/>
  <c r="AI959" i="11"/>
  <c r="AM959" i="11"/>
  <c r="AG959" i="11"/>
  <c r="AX959" i="11" s="1"/>
  <c r="BA959" i="11" s="1"/>
  <c r="AK959" i="11"/>
  <c r="AO959" i="11"/>
  <c r="U978" i="11"/>
  <c r="V978" i="11" s="1"/>
  <c r="AU978" i="11" s="1"/>
  <c r="U959" i="11"/>
  <c r="V959" i="11" s="1"/>
  <c r="AU959" i="11" s="1"/>
  <c r="AZ971" i="11"/>
  <c r="AI967" i="11"/>
  <c r="AK975" i="11"/>
  <c r="AO974" i="11"/>
  <c r="AK974" i="11"/>
  <c r="AG974" i="11"/>
  <c r="AX974" i="11" s="1"/>
  <c r="BA974" i="11" s="1"/>
  <c r="AO975" i="11"/>
  <c r="AG971" i="11"/>
  <c r="AX971" i="11" s="1"/>
  <c r="BA971" i="11" s="1"/>
  <c r="AO970" i="11"/>
  <c r="AK970" i="11"/>
  <c r="AO973" i="11"/>
  <c r="AO972" i="11"/>
  <c r="AG972" i="11"/>
  <c r="AX972" i="11" s="1"/>
  <c r="BA972" i="11" s="1"/>
  <c r="AO968" i="11"/>
  <c r="AK968" i="11"/>
  <c r="AG968" i="11"/>
  <c r="AX968" i="11" s="1"/>
  <c r="BA968" i="11" s="1"/>
  <c r="AK973" i="11"/>
  <c r="AK972" i="11"/>
  <c r="AO971" i="11"/>
  <c r="AO967" i="11"/>
  <c r="AK967" i="11"/>
  <c r="U940" i="11"/>
  <c r="V940" i="11" s="1"/>
  <c r="AU973" i="11" l="1"/>
  <c r="BB986" i="11"/>
  <c r="AU974" i="11"/>
  <c r="BB975" i="11"/>
  <c r="BB964" i="11"/>
  <c r="BB970" i="11"/>
  <c r="BB967" i="11"/>
  <c r="BB963" i="11"/>
  <c r="BB966" i="11"/>
  <c r="BB973" i="11"/>
  <c r="BB968" i="11"/>
  <c r="BB972" i="11"/>
  <c r="BB977" i="11"/>
  <c r="BB965" i="11"/>
  <c r="BB974" i="11"/>
  <c r="BB962" i="11"/>
  <c r="BB959" i="11"/>
  <c r="BB978" i="11"/>
  <c r="BB961" i="11"/>
  <c r="BB976" i="11"/>
  <c r="BB971" i="11"/>
  <c r="BB960" i="11"/>
  <c r="BI829" i="11"/>
  <c r="BJ346" i="11"/>
  <c r="BJ313" i="11"/>
  <c r="BJ324" i="11"/>
  <c r="R938" i="11"/>
  <c r="T938" i="11" s="1"/>
  <c r="R931" i="11"/>
  <c r="T931" i="11" s="1"/>
  <c r="R930" i="11"/>
  <c r="T930" i="11" s="1"/>
  <c r="U930" i="11" s="1"/>
  <c r="V930" i="11" s="1"/>
  <c r="BJ938" i="11"/>
  <c r="BI938" i="11"/>
  <c r="BH938" i="11"/>
  <c r="BG938" i="11"/>
  <c r="AW938" i="11"/>
  <c r="AV938" i="11"/>
  <c r="AY938" i="11" s="1"/>
  <c r="AT938" i="11"/>
  <c r="AS938" i="11"/>
  <c r="AD938" i="11"/>
  <c r="W938" i="11"/>
  <c r="AF938" i="11" s="1"/>
  <c r="AR938" i="11" s="1"/>
  <c r="H938" i="11"/>
  <c r="BJ932" i="11"/>
  <c r="BI932" i="11"/>
  <c r="BH932" i="11"/>
  <c r="BG932" i="11"/>
  <c r="AW932" i="11"/>
  <c r="AV932" i="11"/>
  <c r="AT932" i="11"/>
  <c r="AI932" i="11" s="1"/>
  <c r="AS932" i="11"/>
  <c r="AD932" i="11"/>
  <c r="W932" i="11"/>
  <c r="AF932" i="11" s="1"/>
  <c r="AR932" i="11" s="1"/>
  <c r="U932" i="11"/>
  <c r="H932" i="11"/>
  <c r="H931" i="11"/>
  <c r="BJ931" i="11"/>
  <c r="BI931" i="11"/>
  <c r="BH931" i="11"/>
  <c r="BG931" i="11"/>
  <c r="AW931" i="11"/>
  <c r="AV931" i="11"/>
  <c r="AY931" i="11" s="1"/>
  <c r="AT931" i="11"/>
  <c r="AS931" i="11"/>
  <c r="AD931" i="11"/>
  <c r="W931" i="11"/>
  <c r="AF931" i="11" s="1"/>
  <c r="AR931" i="11" s="1"/>
  <c r="BJ930" i="11"/>
  <c r="BI930" i="11"/>
  <c r="BH930" i="11"/>
  <c r="BG930" i="11"/>
  <c r="AW930" i="11"/>
  <c r="AV930" i="11"/>
  <c r="AY930" i="11" s="1"/>
  <c r="AT930" i="11"/>
  <c r="AS930" i="11"/>
  <c r="AD930" i="11"/>
  <c r="W930" i="11"/>
  <c r="AF930" i="11" s="1"/>
  <c r="AR930" i="11" s="1"/>
  <c r="H930" i="11"/>
  <c r="T939" i="11"/>
  <c r="S910" i="11"/>
  <c r="R937" i="11"/>
  <c r="T937" i="11" s="1"/>
  <c r="S948" i="11"/>
  <c r="T948" i="11" s="1"/>
  <c r="S954" i="11"/>
  <c r="T954" i="11" s="1"/>
  <c r="S947" i="11"/>
  <c r="T947" i="11" s="1"/>
  <c r="AG931" i="11" l="1"/>
  <c r="AX931" i="11" s="1"/>
  <c r="BA931" i="11" s="1"/>
  <c r="AE931" i="11"/>
  <c r="AG930" i="11"/>
  <c r="AX930" i="11" s="1"/>
  <c r="BA930" i="11" s="1"/>
  <c r="AE930" i="11"/>
  <c r="AU930" i="11" s="1"/>
  <c r="AI938" i="11"/>
  <c r="AE938" i="11"/>
  <c r="AM931" i="11"/>
  <c r="AZ932" i="11"/>
  <c r="AO931" i="11"/>
  <c r="AK931" i="11"/>
  <c r="AK938" i="11"/>
  <c r="AI931" i="11"/>
  <c r="BK938" i="11"/>
  <c r="BN938" i="11" s="1"/>
  <c r="AM932" i="11"/>
  <c r="AO932" i="11"/>
  <c r="AM938" i="11"/>
  <c r="AO938" i="11"/>
  <c r="BK932" i="11"/>
  <c r="AZ938" i="11"/>
  <c r="U938" i="11"/>
  <c r="V938" i="11" s="1"/>
  <c r="BK931" i="11"/>
  <c r="BN931" i="11" s="1"/>
  <c r="V932" i="11"/>
  <c r="AU932" i="11" s="1"/>
  <c r="AG938" i="11"/>
  <c r="AX938" i="11" s="1"/>
  <c r="BA938" i="11" s="1"/>
  <c r="AZ931" i="11"/>
  <c r="AK932" i="11"/>
  <c r="AY932" i="11"/>
  <c r="AI930" i="11"/>
  <c r="AG932" i="11"/>
  <c r="AX932" i="11" s="1"/>
  <c r="BA932" i="11" s="1"/>
  <c r="BK930" i="11"/>
  <c r="BN930" i="11" s="1"/>
  <c r="AK930" i="11"/>
  <c r="AM930" i="11"/>
  <c r="AO930" i="11"/>
  <c r="U931" i="11"/>
  <c r="V931" i="11" s="1"/>
  <c r="AZ930" i="11"/>
  <c r="AU938" i="11" l="1"/>
  <c r="BB930" i="11"/>
  <c r="BB931" i="11"/>
  <c r="AU931" i="11"/>
  <c r="BB938" i="11"/>
  <c r="BB932" i="11"/>
  <c r="BJ940" i="11" l="1"/>
  <c r="BJ941" i="11"/>
  <c r="BJ942" i="11"/>
  <c r="BJ943" i="11"/>
  <c r="BI940" i="11"/>
  <c r="BI941" i="11"/>
  <c r="BI942" i="11"/>
  <c r="BI943" i="11"/>
  <c r="BH940" i="11"/>
  <c r="BH941" i="11"/>
  <c r="BH942" i="11"/>
  <c r="BH943" i="11"/>
  <c r="BG940" i="11"/>
  <c r="BG941" i="11"/>
  <c r="BG942" i="11"/>
  <c r="BG943" i="11"/>
  <c r="AW940" i="11"/>
  <c r="AW941" i="11"/>
  <c r="AW942" i="11"/>
  <c r="AW943" i="11"/>
  <c r="AV940" i="11"/>
  <c r="AY940" i="11" s="1"/>
  <c r="AV941" i="11"/>
  <c r="AY941" i="11" s="1"/>
  <c r="AV942" i="11"/>
  <c r="AY942" i="11" s="1"/>
  <c r="AV943" i="11"/>
  <c r="AY943" i="11" s="1"/>
  <c r="AT940" i="11"/>
  <c r="AK940" i="11" s="1"/>
  <c r="AT941" i="11"/>
  <c r="AG941" i="11" s="1"/>
  <c r="AX941" i="11" s="1"/>
  <c r="AT942" i="11"/>
  <c r="AO942" i="11" s="1"/>
  <c r="AT943" i="11"/>
  <c r="AK943" i="11" s="1"/>
  <c r="AS940" i="11"/>
  <c r="AS941" i="11"/>
  <c r="AS942" i="11"/>
  <c r="AS943" i="11"/>
  <c r="AD940" i="11"/>
  <c r="AD942" i="11"/>
  <c r="W940" i="11"/>
  <c r="AF940" i="11" s="1"/>
  <c r="AR940" i="11" s="1"/>
  <c r="AR941" i="11"/>
  <c r="W942" i="11"/>
  <c r="AF942" i="11" s="1"/>
  <c r="AR942" i="11" s="1"/>
  <c r="W943" i="11"/>
  <c r="AF943" i="11" s="1"/>
  <c r="AR943" i="11" s="1"/>
  <c r="U942" i="11"/>
  <c r="V942" i="11" s="1"/>
  <c r="U943" i="11"/>
  <c r="V943" i="11" s="1"/>
  <c r="H940" i="11"/>
  <c r="H941" i="11"/>
  <c r="H942" i="11"/>
  <c r="H943" i="11"/>
  <c r="BJ944" i="11"/>
  <c r="BJ945" i="11"/>
  <c r="BJ946" i="11"/>
  <c r="BJ947" i="11"/>
  <c r="BI944" i="11"/>
  <c r="BI945" i="11"/>
  <c r="BI946" i="11"/>
  <c r="BI947" i="11"/>
  <c r="BH944" i="11"/>
  <c r="BH945" i="11"/>
  <c r="BH946" i="11"/>
  <c r="BH947" i="11"/>
  <c r="BG944" i="11"/>
  <c r="BG945" i="11"/>
  <c r="BG946" i="11"/>
  <c r="BG947" i="11"/>
  <c r="AW944" i="11"/>
  <c r="AW945" i="11"/>
  <c r="AW946" i="11"/>
  <c r="AW947" i="11"/>
  <c r="AV944" i="11"/>
  <c r="AY944" i="11" s="1"/>
  <c r="AV945" i="11"/>
  <c r="AY945" i="11" s="1"/>
  <c r="AV946" i="11"/>
  <c r="AY946" i="11" s="1"/>
  <c r="AV947" i="11"/>
  <c r="AT944" i="11"/>
  <c r="AG944" i="11" s="1"/>
  <c r="AX944" i="11" s="1"/>
  <c r="AT945" i="11"/>
  <c r="AG945" i="11" s="1"/>
  <c r="AX945" i="11" s="1"/>
  <c r="AT946" i="11"/>
  <c r="AT947" i="11"/>
  <c r="AO947" i="11" s="1"/>
  <c r="AS944" i="11"/>
  <c r="AS945" i="11"/>
  <c r="AS946" i="11"/>
  <c r="AS947" i="11"/>
  <c r="AD944" i="11"/>
  <c r="AD945" i="11"/>
  <c r="AD946" i="11"/>
  <c r="AD947" i="11"/>
  <c r="W944" i="11"/>
  <c r="AF944" i="11" s="1"/>
  <c r="AR944" i="11" s="1"/>
  <c r="W945" i="11"/>
  <c r="AF945" i="11" s="1"/>
  <c r="AR945" i="11" s="1"/>
  <c r="W946" i="11"/>
  <c r="AF946" i="11" s="1"/>
  <c r="AR946" i="11" s="1"/>
  <c r="W947" i="11"/>
  <c r="AF947" i="11" s="1"/>
  <c r="AR947" i="11" s="1"/>
  <c r="U944" i="11"/>
  <c r="V944" i="11" s="1"/>
  <c r="U945" i="11"/>
  <c r="V945" i="11" s="1"/>
  <c r="U946" i="11"/>
  <c r="V946" i="11" s="1"/>
  <c r="U947" i="11"/>
  <c r="V947" i="11" s="1"/>
  <c r="H944" i="11"/>
  <c r="H945" i="11"/>
  <c r="H946" i="11"/>
  <c r="H947" i="11"/>
  <c r="BJ948" i="11"/>
  <c r="BJ949" i="11"/>
  <c r="BJ950" i="11"/>
  <c r="BJ951" i="11"/>
  <c r="BI948" i="11"/>
  <c r="BI949" i="11"/>
  <c r="BI950" i="11"/>
  <c r="BI951" i="11"/>
  <c r="BH948" i="11"/>
  <c r="BH949" i="11"/>
  <c r="BH950" i="11"/>
  <c r="BH951" i="11"/>
  <c r="BG948" i="11"/>
  <c r="BG949" i="11"/>
  <c r="BG950" i="11"/>
  <c r="BG951" i="11"/>
  <c r="AW948" i="11"/>
  <c r="AW949" i="11"/>
  <c r="AW950" i="11"/>
  <c r="AW951" i="11"/>
  <c r="AV948" i="11"/>
  <c r="AY948" i="11" s="1"/>
  <c r="AV949" i="11"/>
  <c r="AV950" i="11"/>
  <c r="AY950" i="11" s="1"/>
  <c r="AV951" i="11"/>
  <c r="AY951" i="11" s="1"/>
  <c r="AT948" i="11"/>
  <c r="AO948" i="11" s="1"/>
  <c r="AT949" i="11"/>
  <c r="AO949" i="11" s="1"/>
  <c r="AT950" i="11"/>
  <c r="AK950" i="11" s="1"/>
  <c r="AT951" i="11"/>
  <c r="AS948" i="11"/>
  <c r="AS949" i="11"/>
  <c r="AS950" i="11"/>
  <c r="AS951" i="11"/>
  <c r="AD949" i="11"/>
  <c r="W948" i="11"/>
  <c r="AF948" i="11" s="1"/>
  <c r="AR948" i="11" s="1"/>
  <c r="W949" i="11"/>
  <c r="AF949" i="11" s="1"/>
  <c r="AR949" i="11" s="1"/>
  <c r="W950" i="11"/>
  <c r="AF950" i="11" s="1"/>
  <c r="AR950" i="11" s="1"/>
  <c r="U948" i="11"/>
  <c r="V948" i="11" s="1"/>
  <c r="U949" i="11"/>
  <c r="V949" i="11" s="1"/>
  <c r="U950" i="11"/>
  <c r="V950" i="11" s="1"/>
  <c r="H948" i="11"/>
  <c r="H949" i="11"/>
  <c r="H950" i="11"/>
  <c r="H951" i="11"/>
  <c r="BJ952" i="11"/>
  <c r="BJ953" i="11"/>
  <c r="BJ954" i="11"/>
  <c r="BJ955" i="11"/>
  <c r="BI952" i="11"/>
  <c r="BI953" i="11"/>
  <c r="BI954" i="11"/>
  <c r="BI955" i="11"/>
  <c r="BH952" i="11"/>
  <c r="BH953" i="11"/>
  <c r="BH954" i="11"/>
  <c r="BH955" i="11"/>
  <c r="BG952" i="11"/>
  <c r="BG953" i="11"/>
  <c r="BG954" i="11"/>
  <c r="BG955" i="11"/>
  <c r="AW952" i="11"/>
  <c r="AW953" i="11"/>
  <c r="AW954" i="11"/>
  <c r="AW955" i="11"/>
  <c r="AV952" i="11"/>
  <c r="AY952" i="11" s="1"/>
  <c r="AV953" i="11"/>
  <c r="AY953" i="11" s="1"/>
  <c r="AV954" i="11"/>
  <c r="AY954" i="11" s="1"/>
  <c r="AV955" i="11"/>
  <c r="AY955" i="11" s="1"/>
  <c r="AT952" i="11"/>
  <c r="AO952" i="11" s="1"/>
  <c r="AT953" i="11"/>
  <c r="AO953" i="11" s="1"/>
  <c r="AT954" i="11"/>
  <c r="AK954" i="11" s="1"/>
  <c r="AT955" i="11"/>
  <c r="AO955" i="11" s="1"/>
  <c r="AS952" i="11"/>
  <c r="AS953" i="11"/>
  <c r="AS954" i="11"/>
  <c r="AS955" i="11"/>
  <c r="AD952" i="11"/>
  <c r="AD954" i="11"/>
  <c r="AD955" i="11"/>
  <c r="W952" i="11"/>
  <c r="W953" i="11"/>
  <c r="AF953" i="11" s="1"/>
  <c r="AR953" i="11" s="1"/>
  <c r="W954" i="11"/>
  <c r="AF954" i="11" s="1"/>
  <c r="AR954" i="11" s="1"/>
  <c r="W955" i="11"/>
  <c r="U954" i="11"/>
  <c r="U955" i="11"/>
  <c r="H952" i="11"/>
  <c r="H953" i="11"/>
  <c r="H954" i="11"/>
  <c r="H955" i="11"/>
  <c r="AM951" i="11" l="1"/>
  <c r="AG951" i="11"/>
  <c r="AX951" i="11" s="1"/>
  <c r="BA951" i="11" s="1"/>
  <c r="AO951" i="11"/>
  <c r="AK951" i="11"/>
  <c r="AI951" i="11"/>
  <c r="AF952" i="11"/>
  <c r="AR952" i="11" s="1"/>
  <c r="AF955" i="11"/>
  <c r="AR955" i="11" s="1"/>
  <c r="AO940" i="11"/>
  <c r="AZ949" i="11"/>
  <c r="AG942" i="11"/>
  <c r="AX942" i="11" s="1"/>
  <c r="BA942" i="11" s="1"/>
  <c r="AG940" i="11"/>
  <c r="AX940" i="11" s="1"/>
  <c r="BA940" i="11" s="1"/>
  <c r="AK942" i="11"/>
  <c r="AO941" i="11"/>
  <c r="AO943" i="11"/>
  <c r="BA944" i="11"/>
  <c r="AZ947" i="11"/>
  <c r="AK941" i="11"/>
  <c r="BK943" i="11"/>
  <c r="BN943" i="11" s="1"/>
  <c r="BA945" i="11"/>
  <c r="BK955" i="11"/>
  <c r="BN955" i="11" s="1"/>
  <c r="AG943" i="11"/>
  <c r="AX943" i="11" s="1"/>
  <c r="BA943" i="11" s="1"/>
  <c r="BK954" i="11"/>
  <c r="BN954" i="11" s="1"/>
  <c r="BK942" i="11"/>
  <c r="BN942" i="11" s="1"/>
  <c r="AU942" i="11"/>
  <c r="BK941" i="11"/>
  <c r="BN941" i="11" s="1"/>
  <c r="BK952" i="11"/>
  <c r="BN952" i="11" s="1"/>
  <c r="AG947" i="11"/>
  <c r="AX947" i="11" s="1"/>
  <c r="BA947" i="11" s="1"/>
  <c r="AU941" i="11"/>
  <c r="BK940" i="11"/>
  <c r="BN940" i="11" s="1"/>
  <c r="AU940" i="11"/>
  <c r="AK947" i="11"/>
  <c r="BA941" i="11"/>
  <c r="AU943" i="11"/>
  <c r="AZ944" i="11"/>
  <c r="AG946" i="11"/>
  <c r="AX946" i="11" s="1"/>
  <c r="BA946" i="11" s="1"/>
  <c r="AO946" i="11"/>
  <c r="AK946" i="11"/>
  <c r="AO945" i="11"/>
  <c r="AK945" i="11"/>
  <c r="AO944" i="11"/>
  <c r="AK944" i="11"/>
  <c r="AZ943" i="11"/>
  <c r="AZ942" i="11"/>
  <c r="AZ941" i="11"/>
  <c r="AZ940" i="11"/>
  <c r="AZ946" i="11"/>
  <c r="AZ945" i="11"/>
  <c r="AU947" i="11"/>
  <c r="AG955" i="11"/>
  <c r="AX955" i="11" s="1"/>
  <c r="BA955" i="11" s="1"/>
  <c r="AG950" i="11"/>
  <c r="AX950" i="11" s="1"/>
  <c r="BA950" i="11" s="1"/>
  <c r="AU946" i="11"/>
  <c r="BK947" i="11"/>
  <c r="BN947" i="11" s="1"/>
  <c r="AI943" i="11"/>
  <c r="AM943" i="11"/>
  <c r="AG954" i="11"/>
  <c r="AX954" i="11" s="1"/>
  <c r="BA954" i="11" s="1"/>
  <c r="AG949" i="11"/>
  <c r="AX949" i="11" s="1"/>
  <c r="BA949" i="11" s="1"/>
  <c r="AU945" i="11"/>
  <c r="BK946" i="11"/>
  <c r="BN946" i="11" s="1"/>
  <c r="AI942" i="11"/>
  <c r="AM942" i="11"/>
  <c r="AG953" i="11"/>
  <c r="AX953" i="11" s="1"/>
  <c r="BA953" i="11" s="1"/>
  <c r="AK949" i="11"/>
  <c r="AU944" i="11"/>
  <c r="BK945" i="11"/>
  <c r="BN945" i="11" s="1"/>
  <c r="AI941" i="11"/>
  <c r="AM941" i="11"/>
  <c r="AK953" i="11"/>
  <c r="BK944" i="11"/>
  <c r="BN944" i="11" s="1"/>
  <c r="AI940" i="11"/>
  <c r="AM940" i="11"/>
  <c r="BK953" i="11"/>
  <c r="BN953" i="11" s="1"/>
  <c r="AG952" i="11"/>
  <c r="AX952" i="11" s="1"/>
  <c r="BA952" i="11" s="1"/>
  <c r="AK952" i="11"/>
  <c r="AK948" i="11"/>
  <c r="AO954" i="11"/>
  <c r="AZ953" i="11"/>
  <c r="AZ952" i="11"/>
  <c r="AI947" i="11"/>
  <c r="AM947" i="11"/>
  <c r="AY947" i="11"/>
  <c r="AU950" i="11"/>
  <c r="BK950" i="11"/>
  <c r="BN950" i="11" s="1"/>
  <c r="AI946" i="11"/>
  <c r="AM946" i="11"/>
  <c r="AG948" i="11"/>
  <c r="AX948" i="11" s="1"/>
  <c r="BA948" i="11" s="1"/>
  <c r="AK955" i="11"/>
  <c r="AO950" i="11"/>
  <c r="BK951" i="11"/>
  <c r="BN951" i="11" s="1"/>
  <c r="BK949" i="11"/>
  <c r="BN949" i="11" s="1"/>
  <c r="AI945" i="11"/>
  <c r="AM945" i="11"/>
  <c r="AZ955" i="11"/>
  <c r="AZ954" i="11"/>
  <c r="AU951" i="11"/>
  <c r="AU949" i="11"/>
  <c r="AU948" i="11"/>
  <c r="BK948" i="11"/>
  <c r="BN948" i="11" s="1"/>
  <c r="AI944" i="11"/>
  <c r="AM944" i="11"/>
  <c r="AZ950" i="11"/>
  <c r="AM955" i="11"/>
  <c r="U953" i="11"/>
  <c r="V953" i="11" s="1"/>
  <c r="AU953" i="11" s="1"/>
  <c r="AI953" i="11"/>
  <c r="V954" i="11"/>
  <c r="AU954" i="11" s="1"/>
  <c r="AI950" i="11"/>
  <c r="AM950" i="11"/>
  <c r="AZ948" i="11"/>
  <c r="AI954" i="11"/>
  <c r="AM954" i="11"/>
  <c r="AM953" i="11"/>
  <c r="U952" i="11"/>
  <c r="V952" i="11" s="1"/>
  <c r="AU952" i="11" s="1"/>
  <c r="AI952" i="11"/>
  <c r="AM952" i="11"/>
  <c r="V955" i="11"/>
  <c r="AU955" i="11" s="1"/>
  <c r="AI949" i="11"/>
  <c r="AM949" i="11"/>
  <c r="AY949" i="11"/>
  <c r="AZ951" i="11"/>
  <c r="AI955" i="11"/>
  <c r="AI948" i="11"/>
  <c r="AM948" i="11"/>
  <c r="BB955" i="11" l="1"/>
  <c r="BB953" i="11"/>
  <c r="BB951" i="11"/>
  <c r="BB944" i="11"/>
  <c r="BB945" i="11"/>
  <c r="BB946" i="11"/>
  <c r="BB941" i="11"/>
  <c r="BB947" i="11"/>
  <c r="BB942" i="11"/>
  <c r="BB940" i="11"/>
  <c r="BB950" i="11"/>
  <c r="BB943" i="11"/>
  <c r="BB948" i="11"/>
  <c r="BB954" i="11"/>
  <c r="BB949" i="11"/>
  <c r="BB952" i="11"/>
  <c r="AW91" i="11" l="1"/>
  <c r="AW32" i="11"/>
  <c r="BI39" i="11" l="1"/>
  <c r="BG163" i="11" l="1"/>
  <c r="BG10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G137" i="11"/>
  <c r="BG138" i="11"/>
  <c r="BG139" i="11"/>
  <c r="BG140" i="11"/>
  <c r="BG141" i="11"/>
  <c r="BG142" i="11"/>
  <c r="BG143" i="11"/>
  <c r="BG144" i="11"/>
  <c r="BG145" i="11"/>
  <c r="BG146" i="11"/>
  <c r="BG147" i="11"/>
  <c r="BG148" i="11"/>
  <c r="BG149" i="11"/>
  <c r="BG150" i="11"/>
  <c r="BG151" i="11"/>
  <c r="BG152" i="11"/>
  <c r="BG153" i="11"/>
  <c r="BG154" i="11"/>
  <c r="BG155" i="11"/>
  <c r="BG156" i="11"/>
  <c r="BG157" i="11"/>
  <c r="BG158" i="11"/>
  <c r="BG159" i="11"/>
  <c r="BG160" i="11"/>
  <c r="BG161" i="11"/>
  <c r="BG162" i="11"/>
  <c r="BG164" i="11"/>
  <c r="BG165" i="11"/>
  <c r="BG166" i="11"/>
  <c r="BG167" i="11"/>
  <c r="BG168" i="11"/>
  <c r="BG169" i="11"/>
  <c r="BG170" i="11"/>
  <c r="BG171" i="11"/>
  <c r="BG172" i="11"/>
  <c r="BG173" i="11"/>
  <c r="BG174" i="11"/>
  <c r="BG175" i="11"/>
  <c r="BG176" i="11"/>
  <c r="BG177" i="11"/>
  <c r="BG178" i="11"/>
  <c r="BG179" i="11"/>
  <c r="BG180" i="11"/>
  <c r="BG181" i="11"/>
  <c r="BG182" i="11"/>
  <c r="BG183" i="11"/>
  <c r="BG184" i="11"/>
  <c r="BG185" i="11"/>
  <c r="BG186" i="11"/>
  <c r="BG187" i="11"/>
  <c r="BG188" i="11"/>
  <c r="BG189" i="11"/>
  <c r="BG190" i="11"/>
  <c r="BG191" i="11"/>
  <c r="BG192" i="11"/>
  <c r="BG193" i="11"/>
  <c r="BG194" i="11"/>
  <c r="BG195" i="11"/>
  <c r="BG196" i="11"/>
  <c r="BG197" i="11"/>
  <c r="BG198" i="11"/>
  <c r="BG199" i="11"/>
  <c r="BG200" i="11"/>
  <c r="BG201" i="11"/>
  <c r="BG202" i="11"/>
  <c r="BG203" i="11"/>
  <c r="BG204" i="11"/>
  <c r="BG205" i="11"/>
  <c r="BG206" i="11"/>
  <c r="BG207" i="11"/>
  <c r="BG208" i="11"/>
  <c r="BG209" i="11"/>
  <c r="BG210" i="11"/>
  <c r="BG211" i="11"/>
  <c r="BG212" i="11"/>
  <c r="BG213" i="11"/>
  <c r="BG214" i="11"/>
  <c r="BG215" i="11"/>
  <c r="BG216" i="11"/>
  <c r="BG217" i="11"/>
  <c r="BG218" i="11"/>
  <c r="BG219" i="11"/>
  <c r="BG220" i="11"/>
  <c r="BG221" i="11"/>
  <c r="BG222" i="11"/>
  <c r="BG223" i="11"/>
  <c r="BG224" i="11"/>
  <c r="BG225" i="11"/>
  <c r="BG226" i="11"/>
  <c r="BG227" i="11"/>
  <c r="BG228" i="11"/>
  <c r="BG229" i="11"/>
  <c r="BG230" i="11"/>
  <c r="BG231" i="11"/>
  <c r="BG232" i="11"/>
  <c r="BG233" i="11"/>
  <c r="BG234" i="11"/>
  <c r="BG235" i="11"/>
  <c r="BG236" i="11"/>
  <c r="BG237" i="11"/>
  <c r="BG238" i="11"/>
  <c r="BG239" i="11"/>
  <c r="BG240" i="11"/>
  <c r="BG241" i="11"/>
  <c r="BG242" i="11"/>
  <c r="BG243" i="11"/>
  <c r="BG244" i="11"/>
  <c r="BG245" i="11"/>
  <c r="BG246" i="11"/>
  <c r="BG247" i="11"/>
  <c r="BG248" i="11"/>
  <c r="BG249" i="11"/>
  <c r="BG250" i="11"/>
  <c r="BG251" i="11"/>
  <c r="BG252" i="11"/>
  <c r="BG253" i="11"/>
  <c r="BG254" i="11"/>
  <c r="BG255" i="11"/>
  <c r="BG256" i="11"/>
  <c r="BG257" i="11"/>
  <c r="BG258" i="11"/>
  <c r="BG259" i="11"/>
  <c r="BG260" i="11"/>
  <c r="BG261" i="11"/>
  <c r="BG262" i="11"/>
  <c r="BG263" i="11"/>
  <c r="BG264" i="11"/>
  <c r="BG265" i="11"/>
  <c r="BG266" i="11"/>
  <c r="BG267" i="11"/>
  <c r="BG268" i="11"/>
  <c r="BG269" i="11"/>
  <c r="BG270" i="11"/>
  <c r="BG271" i="11"/>
  <c r="BG272" i="11"/>
  <c r="BG273" i="11"/>
  <c r="BG274" i="11"/>
  <c r="BG275" i="11"/>
  <c r="BG276" i="11"/>
  <c r="BG277" i="11"/>
  <c r="BG278" i="11"/>
  <c r="BG279" i="11"/>
  <c r="BG280" i="11"/>
  <c r="BG281" i="11"/>
  <c r="BG282" i="11"/>
  <c r="BG283" i="11"/>
  <c r="BG284" i="11"/>
  <c r="BG285" i="11"/>
  <c r="BG286" i="11"/>
  <c r="BG287" i="11"/>
  <c r="BG288" i="11"/>
  <c r="BG289" i="11"/>
  <c r="BG290" i="11"/>
  <c r="BG291" i="11"/>
  <c r="BG292" i="11"/>
  <c r="BG293" i="11"/>
  <c r="BG294" i="11"/>
  <c r="BG295" i="11"/>
  <c r="BG296" i="11"/>
  <c r="BG297" i="11"/>
  <c r="BG298" i="11"/>
  <c r="BG299" i="11"/>
  <c r="BG300" i="11"/>
  <c r="BG301" i="11"/>
  <c r="BG302" i="11"/>
  <c r="BG303" i="11"/>
  <c r="BG304" i="11"/>
  <c r="BG305" i="11"/>
  <c r="BG306" i="11"/>
  <c r="BG307" i="11"/>
  <c r="BG308" i="11"/>
  <c r="BG309" i="11"/>
  <c r="BG310" i="11"/>
  <c r="BG311" i="11"/>
  <c r="BG312" i="11"/>
  <c r="BG313" i="11"/>
  <c r="BG314" i="11"/>
  <c r="BG315" i="11"/>
  <c r="BG316" i="11"/>
  <c r="BG317" i="11"/>
  <c r="BG318" i="11"/>
  <c r="BG319" i="11"/>
  <c r="BG320" i="11"/>
  <c r="BG321" i="11"/>
  <c r="BG322" i="11"/>
  <c r="BG323" i="11"/>
  <c r="BG324" i="11"/>
  <c r="BG325" i="11"/>
  <c r="BG326" i="11"/>
  <c r="BG327" i="11"/>
  <c r="BG331" i="11"/>
  <c r="BG332" i="11"/>
  <c r="BG333" i="11"/>
  <c r="BG328" i="11"/>
  <c r="BG329" i="11"/>
  <c r="BG330" i="11"/>
  <c r="BG334" i="11"/>
  <c r="BG335" i="11"/>
  <c r="BG336" i="11"/>
  <c r="BG337" i="11"/>
  <c r="BG338" i="11"/>
  <c r="BG339" i="11"/>
  <c r="BG340" i="11"/>
  <c r="BG341" i="11"/>
  <c r="BG342" i="11"/>
  <c r="BG343" i="11"/>
  <c r="BG344" i="11"/>
  <c r="BG345" i="11"/>
  <c r="BG346" i="11"/>
  <c r="BG347" i="11"/>
  <c r="BG348" i="11"/>
  <c r="BG349" i="11"/>
  <c r="BG350" i="11"/>
  <c r="BG351" i="11"/>
  <c r="BG352" i="11"/>
  <c r="BG353" i="11"/>
  <c r="BG354" i="11"/>
  <c r="BG355" i="11"/>
  <c r="BG356" i="11"/>
  <c r="BG357" i="11"/>
  <c r="BG358" i="11"/>
  <c r="BG359" i="11"/>
  <c r="BG360" i="11"/>
  <c r="BG361" i="11"/>
  <c r="BG362" i="11"/>
  <c r="BG363" i="11"/>
  <c r="BG364" i="11"/>
  <c r="BG365" i="11"/>
  <c r="BG366" i="11"/>
  <c r="BG367" i="11"/>
  <c r="BG368" i="11"/>
  <c r="BG369" i="11"/>
  <c r="BG370" i="11"/>
  <c r="BG371" i="11"/>
  <c r="BG372" i="11"/>
  <c r="BG373" i="11"/>
  <c r="BG374" i="11"/>
  <c r="BG375" i="11"/>
  <c r="BG376" i="11"/>
  <c r="BG377" i="11"/>
  <c r="BG378" i="11"/>
  <c r="BG379" i="11"/>
  <c r="BG380" i="11"/>
  <c r="BG381" i="11"/>
  <c r="BG382" i="11"/>
  <c r="BG383" i="11"/>
  <c r="BG384" i="11"/>
  <c r="BG385" i="11"/>
  <c r="BG386" i="11"/>
  <c r="BG387" i="11"/>
  <c r="BG388" i="11"/>
  <c r="BG389" i="11"/>
  <c r="BG390" i="11"/>
  <c r="BG391" i="11"/>
  <c r="BG392" i="11"/>
  <c r="BG393" i="11"/>
  <c r="BG394" i="11"/>
  <c r="BG395" i="11"/>
  <c r="BG396" i="11"/>
  <c r="BG397" i="11"/>
  <c r="BG398" i="11"/>
  <c r="BG399" i="11"/>
  <c r="BG400" i="11"/>
  <c r="BG401" i="11"/>
  <c r="BG402" i="11"/>
  <c r="BG403" i="11"/>
  <c r="BG404" i="11"/>
  <c r="BG405" i="11"/>
  <c r="BG406" i="11"/>
  <c r="BG407" i="11"/>
  <c r="BG408" i="11"/>
  <c r="BG409" i="11"/>
  <c r="BG410" i="11"/>
  <c r="BG411" i="11"/>
  <c r="BG412" i="11"/>
  <c r="BG413" i="11"/>
  <c r="BG414" i="11"/>
  <c r="BG415" i="11"/>
  <c r="BG416" i="11"/>
  <c r="BG417" i="11"/>
  <c r="BG418" i="11"/>
  <c r="BG419" i="11"/>
  <c r="BG420" i="11"/>
  <c r="BG422" i="11"/>
  <c r="BG423" i="11"/>
  <c r="BG424" i="11"/>
  <c r="BG425" i="11"/>
  <c r="BG426" i="11"/>
  <c r="BG427" i="11"/>
  <c r="BG428" i="11"/>
  <c r="BG429" i="11"/>
  <c r="BG430" i="11"/>
  <c r="BG431" i="11"/>
  <c r="BG432" i="11"/>
  <c r="BG433" i="11"/>
  <c r="BG434" i="11"/>
  <c r="BG435" i="11"/>
  <c r="BG436" i="11"/>
  <c r="BG437" i="11"/>
  <c r="BG438" i="11"/>
  <c r="BG439" i="11"/>
  <c r="BG440" i="11"/>
  <c r="BG441" i="11"/>
  <c r="BG442" i="11"/>
  <c r="BG443" i="11"/>
  <c r="BG444" i="11"/>
  <c r="BG445" i="11"/>
  <c r="BG446" i="11"/>
  <c r="BG447" i="11"/>
  <c r="BG448" i="11"/>
  <c r="BG449" i="11"/>
  <c r="BG450" i="11"/>
  <c r="BG451" i="11"/>
  <c r="BG452" i="11"/>
  <c r="BG453" i="11"/>
  <c r="BG454" i="11"/>
  <c r="BG455" i="11"/>
  <c r="BG456" i="11"/>
  <c r="BG457" i="11"/>
  <c r="BG458" i="11"/>
  <c r="BG459" i="11"/>
  <c r="BG460" i="11"/>
  <c r="BG461" i="11"/>
  <c r="BG462" i="11"/>
  <c r="BG463" i="11"/>
  <c r="BG464" i="11"/>
  <c r="BG465" i="11"/>
  <c r="BG466" i="11"/>
  <c r="BG467" i="11"/>
  <c r="BG468" i="11"/>
  <c r="BG469" i="11"/>
  <c r="BG470" i="11"/>
  <c r="BG471" i="11"/>
  <c r="BG472" i="11"/>
  <c r="BG473" i="11"/>
  <c r="BG474" i="11"/>
  <c r="BG475" i="11"/>
  <c r="BG476" i="11"/>
  <c r="BG477" i="11"/>
  <c r="BG478" i="11"/>
  <c r="BG479" i="11"/>
  <c r="BG480" i="11"/>
  <c r="BG481" i="11"/>
  <c r="BG482" i="11"/>
  <c r="BG483" i="11"/>
  <c r="BG484" i="11"/>
  <c r="BG485" i="11"/>
  <c r="BG486" i="11"/>
  <c r="BG487" i="11"/>
  <c r="BG488" i="11"/>
  <c r="BG489" i="11"/>
  <c r="BG490" i="11"/>
  <c r="BG491" i="11"/>
  <c r="BG492" i="11"/>
  <c r="BG493" i="11"/>
  <c r="BG494" i="11"/>
  <c r="BG495" i="11"/>
  <c r="BG496" i="11"/>
  <c r="BG497" i="11"/>
  <c r="BG498" i="11"/>
  <c r="BG499" i="11"/>
  <c r="BG500" i="11"/>
  <c r="BG501" i="11"/>
  <c r="BG502" i="11"/>
  <c r="BG503" i="11"/>
  <c r="BG504" i="11"/>
  <c r="BG505" i="11"/>
  <c r="BG506" i="11"/>
  <c r="BG507" i="11"/>
  <c r="BG508" i="11"/>
  <c r="BG509" i="11"/>
  <c r="BG510" i="11"/>
  <c r="BG511" i="11"/>
  <c r="BG512" i="11"/>
  <c r="BG513" i="11"/>
  <c r="BG514" i="11"/>
  <c r="BG515" i="11"/>
  <c r="BG516" i="11"/>
  <c r="BG517" i="11"/>
  <c r="BG518" i="11"/>
  <c r="BG519" i="11"/>
  <c r="BG520" i="11"/>
  <c r="BG521" i="11"/>
  <c r="BG522" i="11"/>
  <c r="BG523" i="11"/>
  <c r="BG524" i="11"/>
  <c r="BG525" i="11"/>
  <c r="BG526" i="11"/>
  <c r="BG527" i="11"/>
  <c r="BG528" i="11"/>
  <c r="BG529" i="11"/>
  <c r="BG530" i="11"/>
  <c r="BG531" i="11"/>
  <c r="BG532" i="11"/>
  <c r="BG533" i="11"/>
  <c r="BG534" i="11"/>
  <c r="BG535" i="11"/>
  <c r="BG536" i="11"/>
  <c r="BG537" i="11"/>
  <c r="BG538" i="11"/>
  <c r="BG539" i="11"/>
  <c r="BG540" i="11"/>
  <c r="BG541" i="11"/>
  <c r="BG542" i="11"/>
  <c r="BG543" i="11"/>
  <c r="BG544" i="11"/>
  <c r="BG545" i="11"/>
  <c r="BG546" i="11"/>
  <c r="BG547" i="11"/>
  <c r="BG548" i="11"/>
  <c r="BG549" i="11"/>
  <c r="BG550" i="11"/>
  <c r="BG551" i="11"/>
  <c r="BG554" i="11"/>
  <c r="BG552" i="11"/>
  <c r="BG553" i="11"/>
  <c r="BG556" i="11"/>
  <c r="BG557" i="11"/>
  <c r="BG558" i="11"/>
  <c r="BG559" i="11"/>
  <c r="BG560" i="11"/>
  <c r="BG561" i="11"/>
  <c r="BG562" i="11"/>
  <c r="BG563" i="11"/>
  <c r="BG564" i="11"/>
  <c r="BG555" i="11"/>
  <c r="BG565" i="11"/>
  <c r="BG566" i="11"/>
  <c r="BG567" i="11"/>
  <c r="BG568" i="11"/>
  <c r="BG569" i="11"/>
  <c r="BG570" i="11"/>
  <c r="BG571" i="11"/>
  <c r="BG572" i="11"/>
  <c r="BG573" i="11"/>
  <c r="BG574" i="11"/>
  <c r="BG575" i="11"/>
  <c r="BG576" i="11"/>
  <c r="BG577" i="11"/>
  <c r="BG578" i="11"/>
  <c r="BG579" i="11"/>
  <c r="BG580" i="11"/>
  <c r="BG581" i="11"/>
  <c r="BG582" i="11"/>
  <c r="BG583" i="11"/>
  <c r="BG584" i="11"/>
  <c r="BG585" i="11"/>
  <c r="BG586" i="11"/>
  <c r="BG587" i="11"/>
  <c r="BG588" i="11"/>
  <c r="BG589" i="11"/>
  <c r="BG590" i="11"/>
  <c r="BG591" i="11"/>
  <c r="BG592" i="11"/>
  <c r="BG593" i="11"/>
  <c r="BG594" i="11"/>
  <c r="BG595" i="11"/>
  <c r="BG596" i="11"/>
  <c r="BG597" i="11"/>
  <c r="BG598" i="11"/>
  <c r="BG599" i="11"/>
  <c r="BG600" i="11"/>
  <c r="BG601" i="11"/>
  <c r="BG602" i="11"/>
  <c r="BG603" i="11"/>
  <c r="BG604" i="11"/>
  <c r="BG605" i="11"/>
  <c r="BG606" i="11"/>
  <c r="BG607" i="11"/>
  <c r="BG608" i="11"/>
  <c r="BG609" i="11"/>
  <c r="BG610" i="11"/>
  <c r="BG611" i="11"/>
  <c r="BG612" i="11"/>
  <c r="BG613" i="11"/>
  <c r="BG614" i="11"/>
  <c r="BG615" i="11"/>
  <c r="BG616" i="11"/>
  <c r="BG617" i="11"/>
  <c r="BG618" i="11"/>
  <c r="BG619" i="11"/>
  <c r="BG631" i="11"/>
  <c r="BG620" i="11"/>
  <c r="BG621" i="11"/>
  <c r="BG622" i="11"/>
  <c r="BG623" i="11"/>
  <c r="BG624" i="11"/>
  <c r="BG625" i="11"/>
  <c r="BG626" i="11"/>
  <c r="BG627" i="11"/>
  <c r="BG628" i="11"/>
  <c r="BG629" i="11"/>
  <c r="BG630" i="11"/>
  <c r="BG632" i="11"/>
  <c r="BG633" i="11"/>
  <c r="BG634" i="11"/>
  <c r="BG635" i="11"/>
  <c r="BG636" i="11"/>
  <c r="BG637" i="11"/>
  <c r="BG638" i="11"/>
  <c r="BG639" i="11"/>
  <c r="BG640" i="11"/>
  <c r="BG641" i="11"/>
  <c r="BG642" i="11"/>
  <c r="BG643" i="11"/>
  <c r="BG644" i="11"/>
  <c r="BG645" i="11"/>
  <c r="BG646" i="11"/>
  <c r="BG647" i="11"/>
  <c r="BG648" i="11"/>
  <c r="BG649" i="11"/>
  <c r="BG650" i="11"/>
  <c r="BG651" i="11"/>
  <c r="BG652" i="11"/>
  <c r="BG653" i="11"/>
  <c r="BG654" i="11"/>
  <c r="BG655" i="11"/>
  <c r="BG656" i="11"/>
  <c r="BG657" i="11"/>
  <c r="BG658" i="11"/>
  <c r="BG659" i="11"/>
  <c r="BG660" i="11"/>
  <c r="BG661" i="11"/>
  <c r="BG662" i="11"/>
  <c r="BG663" i="11"/>
  <c r="BG664" i="11"/>
  <c r="BG665" i="11"/>
  <c r="BG666" i="11"/>
  <c r="BG667" i="11"/>
  <c r="BG668" i="11"/>
  <c r="BG669" i="11"/>
  <c r="BG670" i="11"/>
  <c r="BG671" i="11"/>
  <c r="BG672" i="11"/>
  <c r="BG673" i="11"/>
  <c r="BG674" i="11"/>
  <c r="BG675" i="11"/>
  <c r="BG676" i="11"/>
  <c r="BG677" i="11"/>
  <c r="BG678" i="11"/>
  <c r="BG679" i="11"/>
  <c r="BG680" i="11"/>
  <c r="BG681" i="11"/>
  <c r="BG682" i="11"/>
  <c r="BG683" i="11"/>
  <c r="BG684" i="11"/>
  <c r="BG685" i="11"/>
  <c r="BG686" i="11"/>
  <c r="BG687" i="11"/>
  <c r="BG688" i="11"/>
  <c r="BG689" i="11"/>
  <c r="BG690" i="11"/>
  <c r="BG691" i="11"/>
  <c r="BG692" i="11"/>
  <c r="BG693" i="11"/>
  <c r="BG694" i="11"/>
  <c r="BG695" i="11"/>
  <c r="BG696" i="11"/>
  <c r="BG697" i="11"/>
  <c r="BG698" i="11"/>
  <c r="BG699" i="11"/>
  <c r="BG700" i="11"/>
  <c r="BG701" i="11"/>
  <c r="BG702" i="11"/>
  <c r="BG704" i="11"/>
  <c r="BG703" i="11"/>
  <c r="BG705" i="11"/>
  <c r="BG706" i="11"/>
  <c r="BG707" i="11"/>
  <c r="BG708" i="11"/>
  <c r="BG709" i="11"/>
  <c r="BG710" i="11"/>
  <c r="BG711" i="11"/>
  <c r="BG712" i="11"/>
  <c r="BG713" i="11"/>
  <c r="BG714" i="11"/>
  <c r="BG715" i="11"/>
  <c r="BG716" i="11"/>
  <c r="BG717" i="11"/>
  <c r="BG718" i="11"/>
  <c r="BG719" i="11"/>
  <c r="BG720" i="11"/>
  <c r="BG721" i="11"/>
  <c r="BG722" i="11"/>
  <c r="BG723" i="11"/>
  <c r="BG724" i="11"/>
  <c r="BG725" i="11"/>
  <c r="BG726" i="11"/>
  <c r="BG727" i="11"/>
  <c r="BG728" i="11"/>
  <c r="BG729" i="11"/>
  <c r="BG730" i="11"/>
  <c r="BG731" i="11"/>
  <c r="BG732" i="11"/>
  <c r="BG733" i="11"/>
  <c r="BG734" i="11"/>
  <c r="BG735" i="11"/>
  <c r="BG736" i="11"/>
  <c r="BG737" i="11"/>
  <c r="BG738" i="11"/>
  <c r="BG739" i="11"/>
  <c r="BG740" i="11"/>
  <c r="BG741" i="11"/>
  <c r="BG742" i="11"/>
  <c r="BG743" i="11"/>
  <c r="BG744" i="11"/>
  <c r="BG745" i="11"/>
  <c r="BG746" i="11"/>
  <c r="BG747" i="11"/>
  <c r="BG748" i="11"/>
  <c r="BG750" i="11"/>
  <c r="BG751" i="11"/>
  <c r="BG752" i="11"/>
  <c r="BG753" i="11"/>
  <c r="BG754" i="11"/>
  <c r="BG755" i="11"/>
  <c r="BG756" i="11"/>
  <c r="BG757" i="11"/>
  <c r="BG758" i="11"/>
  <c r="BG759" i="11"/>
  <c r="BG760" i="11"/>
  <c r="BG761" i="11"/>
  <c r="BG762" i="11"/>
  <c r="BG749" i="11"/>
  <c r="BG763" i="11"/>
  <c r="BG764" i="11"/>
  <c r="BG765" i="11"/>
  <c r="BG766" i="11"/>
  <c r="BG767" i="11"/>
  <c r="BG768" i="11"/>
  <c r="BG769" i="11"/>
  <c r="BG770" i="11"/>
  <c r="BG771" i="11"/>
  <c r="BG772" i="11"/>
  <c r="BG773" i="11"/>
  <c r="BG774" i="11"/>
  <c r="BG775" i="11"/>
  <c r="BG776" i="11"/>
  <c r="BG777" i="11"/>
  <c r="BG778" i="11"/>
  <c r="BG779" i="11"/>
  <c r="BG780" i="11"/>
  <c r="BG783" i="11"/>
  <c r="BG781" i="11"/>
  <c r="BG782" i="11"/>
  <c r="BG784" i="11"/>
  <c r="BG785" i="11"/>
  <c r="BG786" i="11"/>
  <c r="BG787" i="11"/>
  <c r="BG788" i="11"/>
  <c r="BG789" i="11"/>
  <c r="BG790" i="11"/>
  <c r="BG791" i="11"/>
  <c r="BG792" i="11"/>
  <c r="BG793" i="11"/>
  <c r="BG794" i="11"/>
  <c r="BG795" i="11"/>
  <c r="BG796" i="11"/>
  <c r="BG797" i="11"/>
  <c r="BG798" i="11"/>
  <c r="BG799" i="11"/>
  <c r="BG800" i="11"/>
  <c r="BG801" i="11"/>
  <c r="BG802" i="11"/>
  <c r="BG803" i="11"/>
  <c r="BG804" i="11"/>
  <c r="BG805" i="11"/>
  <c r="BG806" i="11"/>
  <c r="BG807" i="11"/>
  <c r="BG808" i="11"/>
  <c r="BG809" i="11"/>
  <c r="BG810" i="11"/>
  <c r="BG811" i="11"/>
  <c r="BG812" i="11"/>
  <c r="BG813" i="11"/>
  <c r="BG814" i="11"/>
  <c r="BG815" i="11"/>
  <c r="BG816" i="11"/>
  <c r="BG817" i="11"/>
  <c r="BG818" i="11"/>
  <c r="BG819" i="11"/>
  <c r="BG820" i="11"/>
  <c r="BG821" i="11"/>
  <c r="BG822" i="11"/>
  <c r="BG823" i="11"/>
  <c r="BG824" i="11"/>
  <c r="BG825" i="11"/>
  <c r="BG828" i="11"/>
  <c r="BG829" i="11"/>
  <c r="BG830" i="11"/>
  <c r="BG831" i="11"/>
  <c r="BG832" i="11"/>
  <c r="BG833" i="11"/>
  <c r="BG826" i="11"/>
  <c r="BG827" i="11"/>
  <c r="BG834" i="11"/>
  <c r="BG835" i="11"/>
  <c r="BG838" i="11"/>
  <c r="BG839" i="11"/>
  <c r="BG840" i="11"/>
  <c r="BG841" i="11"/>
  <c r="BG842" i="11"/>
  <c r="BG843" i="11"/>
  <c r="BG844" i="11"/>
  <c r="BG845" i="11"/>
  <c r="BG836" i="11"/>
  <c r="BG837" i="11"/>
  <c r="BG846" i="11"/>
  <c r="BG847" i="11"/>
  <c r="BG848" i="11"/>
  <c r="BG849" i="11"/>
  <c r="BG850" i="11"/>
  <c r="BG851" i="11"/>
  <c r="BG852" i="11"/>
  <c r="BG853" i="11"/>
  <c r="BG854" i="11"/>
  <c r="BG855" i="11"/>
  <c r="BG856" i="11"/>
  <c r="BG857" i="11"/>
  <c r="BG858" i="11"/>
  <c r="BG859" i="11"/>
  <c r="BG860" i="11"/>
  <c r="BG861" i="11"/>
  <c r="BG862" i="11"/>
  <c r="BG863" i="11"/>
  <c r="BG864" i="11"/>
  <c r="BG865" i="11"/>
  <c r="BG866" i="11"/>
  <c r="BG867" i="11"/>
  <c r="BG868" i="11"/>
  <c r="BG869" i="11"/>
  <c r="BG870" i="11"/>
  <c r="BG871" i="11"/>
  <c r="BG872" i="11"/>
  <c r="BG873" i="11"/>
  <c r="BG874" i="11"/>
  <c r="BG875" i="11"/>
  <c r="BG876" i="11"/>
  <c r="BG878" i="11"/>
  <c r="BG879" i="11"/>
  <c r="BG880" i="11"/>
  <c r="BG881" i="11"/>
  <c r="BG877" i="11"/>
  <c r="BG882" i="11"/>
  <c r="BG883" i="11"/>
  <c r="BG884" i="11"/>
  <c r="BG885" i="11"/>
  <c r="BG886" i="11"/>
  <c r="BG887" i="11"/>
  <c r="BG888" i="11"/>
  <c r="BG889" i="11"/>
  <c r="BG890" i="11"/>
  <c r="BG891" i="11"/>
  <c r="BG892" i="11"/>
  <c r="BG893" i="11"/>
  <c r="BG894" i="11"/>
  <c r="BG895" i="11"/>
  <c r="BG896" i="11"/>
  <c r="BG897" i="11"/>
  <c r="BG898" i="11"/>
  <c r="BG899" i="11"/>
  <c r="BG900" i="11"/>
  <c r="BG901" i="11"/>
  <c r="BG902" i="11"/>
  <c r="BG903" i="11"/>
  <c r="BG904" i="11"/>
  <c r="BG905" i="11"/>
  <c r="BG906" i="11"/>
  <c r="BG907" i="11"/>
  <c r="BG908" i="11"/>
  <c r="BG909" i="11"/>
  <c r="BG910" i="11"/>
  <c r="BG911" i="11"/>
  <c r="BG912" i="11"/>
  <c r="BG913" i="11"/>
  <c r="BG914" i="11"/>
  <c r="BG915" i="11"/>
  <c r="BG916" i="11"/>
  <c r="BG917" i="11"/>
  <c r="BG918" i="11"/>
  <c r="BG919" i="11"/>
  <c r="BG920" i="11"/>
  <c r="BG921" i="11"/>
  <c r="BG922" i="11"/>
  <c r="BG923" i="11"/>
  <c r="BG924" i="11"/>
  <c r="BG925" i="11"/>
  <c r="BG926" i="11"/>
  <c r="BG927" i="11"/>
  <c r="BG928" i="11"/>
  <c r="BG929" i="11"/>
  <c r="BG933" i="11"/>
  <c r="BG934" i="11"/>
  <c r="BG935" i="11"/>
  <c r="BG936" i="11"/>
  <c r="BG937" i="11"/>
  <c r="BG939" i="11"/>
  <c r="BG956" i="11"/>
  <c r="BG957" i="11"/>
  <c r="BG958" i="11"/>
  <c r="BG8" i="11"/>
  <c r="BG9" i="11"/>
  <c r="BG10" i="11"/>
  <c r="BG11" i="11"/>
  <c r="BG12" i="11"/>
  <c r="BG13" i="11"/>
  <c r="BG14" i="11"/>
  <c r="BG15" i="11"/>
  <c r="BG16" i="11"/>
  <c r="BG2" i="11"/>
  <c r="BG3" i="11"/>
  <c r="BG4" i="11"/>
  <c r="BG5" i="11"/>
  <c r="BG6" i="11"/>
  <c r="BG7" i="11"/>
  <c r="BH6" i="11"/>
  <c r="BI6" i="11"/>
  <c r="BJ6" i="11"/>
  <c r="BH7" i="11"/>
  <c r="BI7" i="11"/>
  <c r="BJ7" i="11"/>
  <c r="BH8" i="11"/>
  <c r="BI8" i="11"/>
  <c r="BJ8" i="11"/>
  <c r="BH9" i="11"/>
  <c r="BI9" i="11"/>
  <c r="BJ9" i="11"/>
  <c r="BH10" i="11"/>
  <c r="BI10" i="11"/>
  <c r="BJ10" i="11"/>
  <c r="BH11" i="11"/>
  <c r="BI11" i="11"/>
  <c r="BJ11" i="11"/>
  <c r="BH12" i="11"/>
  <c r="BI12" i="11"/>
  <c r="BJ12" i="11"/>
  <c r="BH13" i="11"/>
  <c r="BI13" i="11"/>
  <c r="BJ13" i="11"/>
  <c r="BH14" i="11"/>
  <c r="BI14" i="11"/>
  <c r="BJ14" i="11"/>
  <c r="BH15" i="11"/>
  <c r="BI15" i="11"/>
  <c r="BJ15" i="11"/>
  <c r="BH16" i="11"/>
  <c r="BI16" i="11"/>
  <c r="BJ16" i="11"/>
  <c r="BH17" i="11"/>
  <c r="BI17" i="11"/>
  <c r="BJ17" i="11"/>
  <c r="BH18" i="11"/>
  <c r="BI18" i="11"/>
  <c r="BJ18" i="11"/>
  <c r="BH19" i="11"/>
  <c r="BI19" i="11"/>
  <c r="BJ19" i="11"/>
  <c r="BH20" i="11"/>
  <c r="BI20" i="11"/>
  <c r="BJ20" i="11"/>
  <c r="BH21" i="11"/>
  <c r="BI21" i="11"/>
  <c r="BJ21" i="11"/>
  <c r="BH22" i="11"/>
  <c r="BI22" i="11"/>
  <c r="BJ22" i="11"/>
  <c r="BH23" i="11"/>
  <c r="BI23" i="11"/>
  <c r="BJ23" i="11"/>
  <c r="BH24" i="11"/>
  <c r="BI24" i="11"/>
  <c r="BJ24" i="11"/>
  <c r="BH25" i="11"/>
  <c r="BI25" i="11"/>
  <c r="BJ25" i="11"/>
  <c r="BH26" i="11"/>
  <c r="BI26" i="11"/>
  <c r="BJ26" i="11"/>
  <c r="BH27" i="11"/>
  <c r="BI27" i="11"/>
  <c r="BJ27" i="11"/>
  <c r="BH28" i="11"/>
  <c r="BI28" i="11"/>
  <c r="BJ28" i="11"/>
  <c r="BH29" i="11"/>
  <c r="BI29" i="11"/>
  <c r="BJ29" i="11"/>
  <c r="BH30" i="11"/>
  <c r="BI30" i="11"/>
  <c r="BJ30" i="11"/>
  <c r="BH31" i="11"/>
  <c r="BI31" i="11"/>
  <c r="BJ31" i="11"/>
  <c r="BH32" i="11"/>
  <c r="BI32" i="11"/>
  <c r="BJ32" i="11"/>
  <c r="BH33" i="11"/>
  <c r="BI33" i="11"/>
  <c r="BJ33" i="11"/>
  <c r="BH34" i="11"/>
  <c r="BI34" i="11"/>
  <c r="BJ34" i="11"/>
  <c r="BH35" i="11"/>
  <c r="BI35" i="11"/>
  <c r="BJ35" i="11"/>
  <c r="BH36" i="11"/>
  <c r="BI36" i="11"/>
  <c r="BJ36" i="11"/>
  <c r="BH37" i="11"/>
  <c r="BI37" i="11"/>
  <c r="BJ37" i="11"/>
  <c r="BH38" i="11"/>
  <c r="BI38" i="11"/>
  <c r="BJ38" i="11"/>
  <c r="BH39" i="11"/>
  <c r="BJ39" i="11"/>
  <c r="BH40" i="11"/>
  <c r="BI40" i="11"/>
  <c r="BJ40" i="11"/>
  <c r="BH41" i="11"/>
  <c r="BI41" i="11"/>
  <c r="BJ41" i="11"/>
  <c r="BH42" i="11"/>
  <c r="BI42" i="11"/>
  <c r="BJ42" i="11"/>
  <c r="BH43" i="11"/>
  <c r="BI43" i="11"/>
  <c r="BJ43" i="11"/>
  <c r="BH44" i="11"/>
  <c r="BI44" i="11"/>
  <c r="BJ44" i="11"/>
  <c r="BH45" i="11"/>
  <c r="BI45" i="11"/>
  <c r="BJ45" i="11"/>
  <c r="BH46" i="11"/>
  <c r="BI46" i="11"/>
  <c r="BJ46" i="11"/>
  <c r="BH47" i="11"/>
  <c r="BI47" i="11"/>
  <c r="BJ47" i="11"/>
  <c r="BH48" i="11"/>
  <c r="BI48" i="11"/>
  <c r="BJ48" i="11"/>
  <c r="BH49" i="11"/>
  <c r="BI49" i="11"/>
  <c r="BJ49" i="11"/>
  <c r="BH50" i="11"/>
  <c r="BI50" i="11"/>
  <c r="BJ50" i="11"/>
  <c r="BH51" i="11"/>
  <c r="BI51" i="11"/>
  <c r="BJ51" i="11"/>
  <c r="BH52" i="11"/>
  <c r="BI52" i="11"/>
  <c r="BJ52" i="11"/>
  <c r="BH53" i="11"/>
  <c r="BI53" i="11"/>
  <c r="BJ53" i="11"/>
  <c r="BH54" i="11"/>
  <c r="BI54" i="11"/>
  <c r="BJ54" i="11"/>
  <c r="BH55" i="11"/>
  <c r="BI55" i="11"/>
  <c r="BJ55" i="11"/>
  <c r="BH56" i="11"/>
  <c r="BI56" i="11"/>
  <c r="BJ56" i="11"/>
  <c r="BH57" i="11"/>
  <c r="BI57" i="11"/>
  <c r="BJ57" i="11"/>
  <c r="BH58" i="11"/>
  <c r="BI58" i="11"/>
  <c r="BJ58" i="11"/>
  <c r="BH59" i="11"/>
  <c r="BI59" i="11"/>
  <c r="BJ59" i="11"/>
  <c r="BH60" i="11"/>
  <c r="BI60" i="11"/>
  <c r="BJ60" i="11"/>
  <c r="BH61" i="11"/>
  <c r="BI61" i="11"/>
  <c r="BJ61" i="11"/>
  <c r="BH62" i="11"/>
  <c r="BI62" i="11"/>
  <c r="BJ62" i="11"/>
  <c r="BH63" i="11"/>
  <c r="BI63" i="11"/>
  <c r="BJ63" i="11"/>
  <c r="BH64" i="11"/>
  <c r="BI64" i="11"/>
  <c r="BJ64" i="11"/>
  <c r="BH65" i="11"/>
  <c r="BI65" i="11"/>
  <c r="BJ65" i="11"/>
  <c r="BH66" i="11"/>
  <c r="BI66" i="11"/>
  <c r="BJ66" i="11"/>
  <c r="BH67" i="11"/>
  <c r="BI67" i="11"/>
  <c r="BJ67" i="11"/>
  <c r="BH68" i="11"/>
  <c r="BI68" i="11"/>
  <c r="BJ68" i="11"/>
  <c r="BH69" i="11"/>
  <c r="BI69" i="11"/>
  <c r="BJ69" i="11"/>
  <c r="BH70" i="11"/>
  <c r="BI70" i="11"/>
  <c r="BJ70" i="11"/>
  <c r="BH71" i="11"/>
  <c r="BI71" i="11"/>
  <c r="BJ71" i="11"/>
  <c r="BH72" i="11"/>
  <c r="BI72" i="11"/>
  <c r="BJ72" i="11"/>
  <c r="BH73" i="11"/>
  <c r="BI73" i="11"/>
  <c r="BJ73" i="11"/>
  <c r="BH74" i="11"/>
  <c r="BI74" i="11"/>
  <c r="BJ74" i="11"/>
  <c r="BH75" i="11"/>
  <c r="BI75" i="11"/>
  <c r="BJ75" i="11"/>
  <c r="BH76" i="11"/>
  <c r="BI76" i="11"/>
  <c r="BJ76" i="11"/>
  <c r="BH77" i="11"/>
  <c r="BI77" i="11"/>
  <c r="BJ77" i="11"/>
  <c r="BH78" i="11"/>
  <c r="BI78" i="11"/>
  <c r="BJ78" i="11"/>
  <c r="BH79" i="11"/>
  <c r="BI79" i="11"/>
  <c r="BJ79" i="11"/>
  <c r="BH80" i="11"/>
  <c r="BI80" i="11"/>
  <c r="BJ80" i="11"/>
  <c r="BH81" i="11"/>
  <c r="BI81" i="11"/>
  <c r="BJ81" i="11"/>
  <c r="BH82" i="11"/>
  <c r="BI82" i="11"/>
  <c r="BJ82" i="11"/>
  <c r="BH83" i="11"/>
  <c r="BI83" i="11"/>
  <c r="BJ83" i="11"/>
  <c r="BH84" i="11"/>
  <c r="BI84" i="11"/>
  <c r="BJ84" i="11"/>
  <c r="BH85" i="11"/>
  <c r="BI85" i="11"/>
  <c r="BJ85" i="11"/>
  <c r="BH86" i="11"/>
  <c r="BI86" i="11"/>
  <c r="BJ86" i="11"/>
  <c r="BH87" i="11"/>
  <c r="BI87" i="11"/>
  <c r="BJ87" i="11"/>
  <c r="BH88" i="11"/>
  <c r="BI88" i="11"/>
  <c r="BJ88" i="11"/>
  <c r="BH89" i="11"/>
  <c r="BI89" i="11"/>
  <c r="BJ89" i="11"/>
  <c r="BH90" i="11"/>
  <c r="BI90" i="11"/>
  <c r="BJ90" i="11"/>
  <c r="BH91" i="11"/>
  <c r="BI91" i="11"/>
  <c r="BJ91" i="11"/>
  <c r="BH92" i="11"/>
  <c r="BI92" i="11"/>
  <c r="BJ92" i="11"/>
  <c r="BH93" i="11"/>
  <c r="BI93" i="11"/>
  <c r="BJ93" i="11"/>
  <c r="BH94" i="11"/>
  <c r="BI94" i="11"/>
  <c r="BJ94" i="11"/>
  <c r="BH95" i="11"/>
  <c r="BI95" i="11"/>
  <c r="BJ95" i="11"/>
  <c r="BH96" i="11"/>
  <c r="BI96" i="11"/>
  <c r="BJ96" i="11"/>
  <c r="BH97" i="11"/>
  <c r="BI97" i="11"/>
  <c r="BJ97" i="11"/>
  <c r="BH98" i="11"/>
  <c r="BI98" i="11"/>
  <c r="BJ98" i="11"/>
  <c r="BH99" i="11"/>
  <c r="BI99" i="11"/>
  <c r="BJ99" i="11"/>
  <c r="BH100" i="11"/>
  <c r="BI100" i="11"/>
  <c r="BJ100" i="11"/>
  <c r="BH101" i="11"/>
  <c r="BI101" i="11"/>
  <c r="BJ101" i="11"/>
  <c r="BH102" i="11"/>
  <c r="BI102" i="11"/>
  <c r="BJ102" i="11"/>
  <c r="BH103" i="11"/>
  <c r="BI103" i="11"/>
  <c r="BJ103" i="11"/>
  <c r="BH104" i="11"/>
  <c r="BI104" i="11"/>
  <c r="BJ104" i="11"/>
  <c r="BH105" i="11"/>
  <c r="BI105" i="11"/>
  <c r="BJ105" i="11"/>
  <c r="BH106" i="11"/>
  <c r="BI106" i="11"/>
  <c r="BJ106" i="11"/>
  <c r="BH107" i="11"/>
  <c r="BI107" i="11"/>
  <c r="BJ107" i="11"/>
  <c r="BH108" i="11"/>
  <c r="BI108" i="11"/>
  <c r="BJ108" i="11"/>
  <c r="BH109" i="11"/>
  <c r="BI109" i="11"/>
  <c r="BJ109" i="11"/>
  <c r="BH110" i="11"/>
  <c r="BI110" i="11"/>
  <c r="BJ110" i="11"/>
  <c r="BH111" i="11"/>
  <c r="BI111" i="11"/>
  <c r="BJ111" i="11"/>
  <c r="BH112" i="11"/>
  <c r="BI112" i="11"/>
  <c r="BJ112" i="11"/>
  <c r="BH113" i="11"/>
  <c r="BI113" i="11"/>
  <c r="BJ113" i="11"/>
  <c r="BH114" i="11"/>
  <c r="BI114" i="11"/>
  <c r="BJ114" i="11"/>
  <c r="BH115" i="11"/>
  <c r="BI115" i="11"/>
  <c r="BJ115" i="11"/>
  <c r="BH116" i="11"/>
  <c r="BI116" i="11"/>
  <c r="BJ116" i="11"/>
  <c r="BH117" i="11"/>
  <c r="BI117" i="11"/>
  <c r="BJ117" i="11"/>
  <c r="BH118" i="11"/>
  <c r="BI118" i="11"/>
  <c r="BJ118" i="11"/>
  <c r="BH119" i="11"/>
  <c r="BI119" i="11"/>
  <c r="BJ119" i="11"/>
  <c r="BH120" i="11"/>
  <c r="BI120" i="11"/>
  <c r="BJ120" i="11"/>
  <c r="BH121" i="11"/>
  <c r="BI121" i="11"/>
  <c r="BJ121" i="11"/>
  <c r="BH122" i="11"/>
  <c r="BI122" i="11"/>
  <c r="BJ122" i="11"/>
  <c r="BH123" i="11"/>
  <c r="BI123" i="11"/>
  <c r="BJ123" i="11"/>
  <c r="BH124" i="11"/>
  <c r="BI124" i="11"/>
  <c r="BJ124" i="11"/>
  <c r="BH125" i="11"/>
  <c r="BI125" i="11"/>
  <c r="BJ125" i="11"/>
  <c r="BH126" i="11"/>
  <c r="BI126" i="11"/>
  <c r="BJ126" i="11"/>
  <c r="BH127" i="11"/>
  <c r="BI127" i="11"/>
  <c r="BJ127" i="11"/>
  <c r="BH128" i="11"/>
  <c r="BI128" i="11"/>
  <c r="BJ128" i="11"/>
  <c r="BH129" i="11"/>
  <c r="BI129" i="11"/>
  <c r="BJ129" i="11"/>
  <c r="BH130" i="11"/>
  <c r="BI130" i="11"/>
  <c r="BJ130" i="11"/>
  <c r="BH131" i="11"/>
  <c r="BI131" i="11"/>
  <c r="BJ131" i="11"/>
  <c r="BH132" i="11"/>
  <c r="BI132" i="11"/>
  <c r="BJ132" i="11"/>
  <c r="BH133" i="11"/>
  <c r="BI133" i="11"/>
  <c r="BJ133" i="11"/>
  <c r="BH134" i="11"/>
  <c r="BI134" i="11"/>
  <c r="BJ134" i="11"/>
  <c r="BH135" i="11"/>
  <c r="BI135" i="11"/>
  <c r="BJ135" i="11"/>
  <c r="BH136" i="11"/>
  <c r="BI136" i="11"/>
  <c r="BJ136" i="11"/>
  <c r="BH137" i="11"/>
  <c r="BI137" i="11"/>
  <c r="BJ137" i="11"/>
  <c r="BH138" i="11"/>
  <c r="BI138" i="11"/>
  <c r="BJ138" i="11"/>
  <c r="BH139" i="11"/>
  <c r="BI139" i="11"/>
  <c r="BJ139" i="11"/>
  <c r="BH140" i="11"/>
  <c r="BI140" i="11"/>
  <c r="BJ140" i="11"/>
  <c r="BH141" i="11"/>
  <c r="BI141" i="11"/>
  <c r="BJ141" i="11"/>
  <c r="BH142" i="11"/>
  <c r="BI142" i="11"/>
  <c r="BJ142" i="11"/>
  <c r="BH143" i="11"/>
  <c r="BI143" i="11"/>
  <c r="BJ143" i="11"/>
  <c r="BH144" i="11"/>
  <c r="BI144" i="11"/>
  <c r="BJ144" i="11"/>
  <c r="BH145" i="11"/>
  <c r="BI145" i="11"/>
  <c r="BJ145" i="11"/>
  <c r="BH146" i="11"/>
  <c r="BI146" i="11"/>
  <c r="BJ146" i="11"/>
  <c r="BH147" i="11"/>
  <c r="BI147" i="11"/>
  <c r="BJ147" i="11"/>
  <c r="BH148" i="11"/>
  <c r="BI148" i="11"/>
  <c r="BJ148" i="11"/>
  <c r="BH149" i="11"/>
  <c r="BI149" i="11"/>
  <c r="BJ149" i="11"/>
  <c r="BH150" i="11"/>
  <c r="BI150" i="11"/>
  <c r="BJ150" i="11"/>
  <c r="BH151" i="11"/>
  <c r="BI151" i="11"/>
  <c r="BJ151" i="11"/>
  <c r="BH152" i="11"/>
  <c r="BI152" i="11"/>
  <c r="BJ152" i="11"/>
  <c r="BH153" i="11"/>
  <c r="BI153" i="11"/>
  <c r="BJ153" i="11"/>
  <c r="BH154" i="11"/>
  <c r="BI154" i="11"/>
  <c r="BJ154" i="11"/>
  <c r="BH155" i="11"/>
  <c r="BI155" i="11"/>
  <c r="BJ155" i="11"/>
  <c r="BH156" i="11"/>
  <c r="BI156" i="11"/>
  <c r="BJ156" i="11"/>
  <c r="BH157" i="11"/>
  <c r="BI157" i="11"/>
  <c r="BJ157" i="11"/>
  <c r="BH158" i="11"/>
  <c r="BI158" i="11"/>
  <c r="BJ158" i="11"/>
  <c r="BH159" i="11"/>
  <c r="BI159" i="11"/>
  <c r="BJ159" i="11"/>
  <c r="BH160" i="11"/>
  <c r="BI160" i="11"/>
  <c r="BJ160" i="11"/>
  <c r="BH161" i="11"/>
  <c r="BI161" i="11"/>
  <c r="BJ161" i="11"/>
  <c r="BH162" i="11"/>
  <c r="BI162" i="11"/>
  <c r="BJ162" i="11"/>
  <c r="BH163" i="11"/>
  <c r="BI163" i="11"/>
  <c r="BJ163" i="11"/>
  <c r="BH164" i="11"/>
  <c r="BI164" i="11"/>
  <c r="BJ164" i="11"/>
  <c r="BH165" i="11"/>
  <c r="BI165" i="11"/>
  <c r="BJ165" i="11"/>
  <c r="BH166" i="11"/>
  <c r="BI166" i="11"/>
  <c r="BJ166" i="11"/>
  <c r="BH167" i="11"/>
  <c r="BI167" i="11"/>
  <c r="BJ167" i="11"/>
  <c r="BH168" i="11"/>
  <c r="BI168" i="11"/>
  <c r="BJ168" i="11"/>
  <c r="BH169" i="11"/>
  <c r="BI169" i="11"/>
  <c r="BJ169" i="11"/>
  <c r="BH170" i="11"/>
  <c r="BI170" i="11"/>
  <c r="BJ170" i="11"/>
  <c r="BH171" i="11"/>
  <c r="BI171" i="11"/>
  <c r="BJ171" i="11"/>
  <c r="BH172" i="11"/>
  <c r="BI172" i="11"/>
  <c r="BJ172" i="11"/>
  <c r="BH173" i="11"/>
  <c r="BI173" i="11"/>
  <c r="BJ173" i="11"/>
  <c r="BH174" i="11"/>
  <c r="BI174" i="11"/>
  <c r="BJ174" i="11"/>
  <c r="BH175" i="11"/>
  <c r="BI175" i="11"/>
  <c r="BJ175" i="11"/>
  <c r="BH176" i="11"/>
  <c r="BI176" i="11"/>
  <c r="BJ176" i="11"/>
  <c r="BH177" i="11"/>
  <c r="BI177" i="11"/>
  <c r="BJ177" i="11"/>
  <c r="BH178" i="11"/>
  <c r="BI178" i="11"/>
  <c r="BJ178" i="11"/>
  <c r="BH179" i="11"/>
  <c r="BI179" i="11"/>
  <c r="BJ179" i="11"/>
  <c r="BH180" i="11"/>
  <c r="BI180" i="11"/>
  <c r="BJ180" i="11"/>
  <c r="BH181" i="11"/>
  <c r="BI181" i="11"/>
  <c r="BJ181" i="11"/>
  <c r="BH182" i="11"/>
  <c r="BI182" i="11"/>
  <c r="BJ182" i="11"/>
  <c r="BH183" i="11"/>
  <c r="BI183" i="11"/>
  <c r="BJ183" i="11"/>
  <c r="BH184" i="11"/>
  <c r="BI184" i="11"/>
  <c r="BJ184" i="11"/>
  <c r="BH185" i="11"/>
  <c r="BI185" i="11"/>
  <c r="BJ185" i="11"/>
  <c r="BH186" i="11"/>
  <c r="BI186" i="11"/>
  <c r="BJ186" i="11"/>
  <c r="BH187" i="11"/>
  <c r="BI187" i="11"/>
  <c r="BJ187" i="11"/>
  <c r="BH188" i="11"/>
  <c r="BI188" i="11"/>
  <c r="BJ188" i="11"/>
  <c r="BH189" i="11"/>
  <c r="BI189" i="11"/>
  <c r="BJ189" i="11"/>
  <c r="BH190" i="11"/>
  <c r="BI190" i="11"/>
  <c r="BJ190" i="11"/>
  <c r="BH191" i="11"/>
  <c r="BI191" i="11"/>
  <c r="BJ191" i="11"/>
  <c r="BH192" i="11"/>
  <c r="BI192" i="11"/>
  <c r="BJ192" i="11"/>
  <c r="BH193" i="11"/>
  <c r="BI193" i="11"/>
  <c r="BJ193" i="11"/>
  <c r="BH194" i="11"/>
  <c r="BI194" i="11"/>
  <c r="BJ194" i="11"/>
  <c r="BH195" i="11"/>
  <c r="BI195" i="11"/>
  <c r="BJ195" i="11"/>
  <c r="BH196" i="11"/>
  <c r="BI196" i="11"/>
  <c r="BJ196" i="11"/>
  <c r="BH197" i="11"/>
  <c r="BI197" i="11"/>
  <c r="BJ197" i="11"/>
  <c r="BH198" i="11"/>
  <c r="BI198" i="11"/>
  <c r="BJ198" i="11"/>
  <c r="BH199" i="11"/>
  <c r="BI199" i="11"/>
  <c r="BJ199" i="11"/>
  <c r="BH200" i="11"/>
  <c r="BI200" i="11"/>
  <c r="BJ200" i="11"/>
  <c r="BH201" i="11"/>
  <c r="BI201" i="11"/>
  <c r="BJ201" i="11"/>
  <c r="BH202" i="11"/>
  <c r="BI202" i="11"/>
  <c r="BJ202" i="11"/>
  <c r="BH203" i="11"/>
  <c r="BI203" i="11"/>
  <c r="BJ203" i="11"/>
  <c r="BH204" i="11"/>
  <c r="BI204" i="11"/>
  <c r="BJ204" i="11"/>
  <c r="BH205" i="11"/>
  <c r="BI205" i="11"/>
  <c r="BJ205" i="11"/>
  <c r="BH206" i="11"/>
  <c r="BI206" i="11"/>
  <c r="BJ206" i="11"/>
  <c r="BH207" i="11"/>
  <c r="BI207" i="11"/>
  <c r="BJ207" i="11"/>
  <c r="BH208" i="11"/>
  <c r="BI208" i="11"/>
  <c r="BJ208" i="11"/>
  <c r="BH209" i="11"/>
  <c r="BI209" i="11"/>
  <c r="BJ209" i="11"/>
  <c r="BH210" i="11"/>
  <c r="BI210" i="11"/>
  <c r="BJ210" i="11"/>
  <c r="BH211" i="11"/>
  <c r="BI211" i="11"/>
  <c r="BJ211" i="11"/>
  <c r="BH212" i="11"/>
  <c r="BI212" i="11"/>
  <c r="BJ212" i="11"/>
  <c r="BH213" i="11"/>
  <c r="BI213" i="11"/>
  <c r="BJ213" i="11"/>
  <c r="BH214" i="11"/>
  <c r="BI214" i="11"/>
  <c r="BJ214" i="11"/>
  <c r="BH215" i="11"/>
  <c r="BI215" i="11"/>
  <c r="BJ215" i="11"/>
  <c r="BH216" i="11"/>
  <c r="BI216" i="11"/>
  <c r="BJ216" i="11"/>
  <c r="BH217" i="11"/>
  <c r="BI217" i="11"/>
  <c r="BJ217" i="11"/>
  <c r="BH218" i="11"/>
  <c r="BI218" i="11"/>
  <c r="BJ218" i="11"/>
  <c r="BH219" i="11"/>
  <c r="BI219" i="11"/>
  <c r="BJ219" i="11"/>
  <c r="BH220" i="11"/>
  <c r="BI220" i="11"/>
  <c r="BJ220" i="11"/>
  <c r="BH221" i="11"/>
  <c r="BI221" i="11"/>
  <c r="BJ221" i="11"/>
  <c r="BH222" i="11"/>
  <c r="BI222" i="11"/>
  <c r="BJ222" i="11"/>
  <c r="BH223" i="11"/>
  <c r="BI223" i="11"/>
  <c r="BJ223" i="11"/>
  <c r="BH224" i="11"/>
  <c r="BI224" i="11"/>
  <c r="BJ224" i="11"/>
  <c r="BH225" i="11"/>
  <c r="BI225" i="11"/>
  <c r="BJ225" i="11"/>
  <c r="BH226" i="11"/>
  <c r="BI226" i="11"/>
  <c r="BJ226" i="11"/>
  <c r="BH227" i="11"/>
  <c r="BI227" i="11"/>
  <c r="BJ227" i="11"/>
  <c r="BH228" i="11"/>
  <c r="BI228" i="11"/>
  <c r="BJ228" i="11"/>
  <c r="BH229" i="11"/>
  <c r="BI229" i="11"/>
  <c r="BJ229" i="11"/>
  <c r="BH230" i="11"/>
  <c r="BI230" i="11"/>
  <c r="BJ230" i="11"/>
  <c r="BH231" i="11"/>
  <c r="BI231" i="11"/>
  <c r="BJ231" i="11"/>
  <c r="BH232" i="11"/>
  <c r="BI232" i="11"/>
  <c r="BJ232" i="11"/>
  <c r="BH233" i="11"/>
  <c r="BI233" i="11"/>
  <c r="BJ233" i="11"/>
  <c r="BH234" i="11"/>
  <c r="BI234" i="11"/>
  <c r="BJ234" i="11"/>
  <c r="BH235" i="11"/>
  <c r="BI235" i="11"/>
  <c r="BJ235" i="11"/>
  <c r="BH236" i="11"/>
  <c r="BI236" i="11"/>
  <c r="BJ236" i="11"/>
  <c r="BH237" i="11"/>
  <c r="BI237" i="11"/>
  <c r="BJ237" i="11"/>
  <c r="BH238" i="11"/>
  <c r="BI238" i="11"/>
  <c r="BJ238" i="11"/>
  <c r="BH239" i="11"/>
  <c r="BI239" i="11"/>
  <c r="BJ239" i="11"/>
  <c r="BH240" i="11"/>
  <c r="BI240" i="11"/>
  <c r="BJ240" i="11"/>
  <c r="BH241" i="11"/>
  <c r="BI241" i="11"/>
  <c r="BJ241" i="11"/>
  <c r="BH242" i="11"/>
  <c r="BI242" i="11"/>
  <c r="BJ242" i="11"/>
  <c r="BH243" i="11"/>
  <c r="BI243" i="11"/>
  <c r="BJ243" i="11"/>
  <c r="BH244" i="11"/>
  <c r="BI244" i="11"/>
  <c r="BJ244" i="11"/>
  <c r="BH245" i="11"/>
  <c r="BI245" i="11"/>
  <c r="BJ245" i="11"/>
  <c r="BH246" i="11"/>
  <c r="BI246" i="11"/>
  <c r="BJ246" i="11"/>
  <c r="BH247" i="11"/>
  <c r="BI247" i="11"/>
  <c r="BJ247" i="11"/>
  <c r="BH248" i="11"/>
  <c r="BI248" i="11"/>
  <c r="BJ248" i="11"/>
  <c r="BH249" i="11"/>
  <c r="BI249" i="11"/>
  <c r="BJ249" i="11"/>
  <c r="BH250" i="11"/>
  <c r="BI250" i="11"/>
  <c r="BJ250" i="11"/>
  <c r="BH251" i="11"/>
  <c r="BI251" i="11"/>
  <c r="BJ251" i="11"/>
  <c r="BH252" i="11"/>
  <c r="BI252" i="11"/>
  <c r="BJ252" i="11"/>
  <c r="BH253" i="11"/>
  <c r="BI253" i="11"/>
  <c r="BJ253" i="11"/>
  <c r="BH254" i="11"/>
  <c r="BI254" i="11"/>
  <c r="BJ254" i="11"/>
  <c r="BH255" i="11"/>
  <c r="BI255" i="11"/>
  <c r="BJ255" i="11"/>
  <c r="BH256" i="11"/>
  <c r="BI256" i="11"/>
  <c r="BJ256" i="11"/>
  <c r="BH257" i="11"/>
  <c r="BI257" i="11"/>
  <c r="BJ257" i="11"/>
  <c r="BH258" i="11"/>
  <c r="BI258" i="11"/>
  <c r="BJ258" i="11"/>
  <c r="BH259" i="11"/>
  <c r="BI259" i="11"/>
  <c r="BJ259" i="11"/>
  <c r="BH260" i="11"/>
  <c r="BI260" i="11"/>
  <c r="BJ260" i="11"/>
  <c r="BH261" i="11"/>
  <c r="BI261" i="11"/>
  <c r="BJ261" i="11"/>
  <c r="BH262" i="11"/>
  <c r="BI262" i="11"/>
  <c r="BJ262" i="11"/>
  <c r="BH263" i="11"/>
  <c r="BI263" i="11"/>
  <c r="BJ263" i="11"/>
  <c r="BH264" i="11"/>
  <c r="BI264" i="11"/>
  <c r="BJ264" i="11"/>
  <c r="BH265" i="11"/>
  <c r="BI265" i="11"/>
  <c r="BJ265" i="11"/>
  <c r="BH266" i="11"/>
  <c r="BI266" i="11"/>
  <c r="BJ266" i="11"/>
  <c r="BH267" i="11"/>
  <c r="BI267" i="11"/>
  <c r="BJ267" i="11"/>
  <c r="BH268" i="11"/>
  <c r="BI268" i="11"/>
  <c r="BJ268" i="11"/>
  <c r="BH269" i="11"/>
  <c r="BI269" i="11"/>
  <c r="BJ269" i="11"/>
  <c r="BH270" i="11"/>
  <c r="BI270" i="11"/>
  <c r="BJ270" i="11"/>
  <c r="BH271" i="11"/>
  <c r="BI271" i="11"/>
  <c r="BJ271" i="11"/>
  <c r="BH272" i="11"/>
  <c r="BI272" i="11"/>
  <c r="BJ272" i="11"/>
  <c r="BH273" i="11"/>
  <c r="BI273" i="11"/>
  <c r="BJ273" i="11"/>
  <c r="BH274" i="11"/>
  <c r="BI274" i="11"/>
  <c r="BJ274" i="11"/>
  <c r="BH275" i="11"/>
  <c r="BI275" i="11"/>
  <c r="BJ275" i="11"/>
  <c r="BH276" i="11"/>
  <c r="BI276" i="11"/>
  <c r="BJ276" i="11"/>
  <c r="BH277" i="11"/>
  <c r="BI277" i="11"/>
  <c r="BJ277" i="11"/>
  <c r="BH278" i="11"/>
  <c r="BI278" i="11"/>
  <c r="BJ278" i="11"/>
  <c r="BH279" i="11"/>
  <c r="BI279" i="11"/>
  <c r="BJ279" i="11"/>
  <c r="BH280" i="11"/>
  <c r="BI280" i="11"/>
  <c r="BJ280" i="11"/>
  <c r="BH281" i="11"/>
  <c r="BI281" i="11"/>
  <c r="BJ281" i="11"/>
  <c r="BH282" i="11"/>
  <c r="BI282" i="11"/>
  <c r="BJ282" i="11"/>
  <c r="BH283" i="11"/>
  <c r="BI283" i="11"/>
  <c r="BJ283" i="11"/>
  <c r="BH284" i="11"/>
  <c r="BI284" i="11"/>
  <c r="BJ284" i="11"/>
  <c r="BH285" i="11"/>
  <c r="BI285" i="11"/>
  <c r="BJ285" i="11"/>
  <c r="BH286" i="11"/>
  <c r="BI286" i="11"/>
  <c r="BJ286" i="11"/>
  <c r="BH287" i="11"/>
  <c r="BI287" i="11"/>
  <c r="BJ287" i="11"/>
  <c r="BH288" i="11"/>
  <c r="BI288" i="11"/>
  <c r="BJ288" i="11"/>
  <c r="BH289" i="11"/>
  <c r="BI289" i="11"/>
  <c r="BJ289" i="11"/>
  <c r="BH290" i="11"/>
  <c r="BI290" i="11"/>
  <c r="BJ290" i="11"/>
  <c r="BH291" i="11"/>
  <c r="BI291" i="11"/>
  <c r="BJ291" i="11"/>
  <c r="BH292" i="11"/>
  <c r="BI292" i="11"/>
  <c r="BJ292" i="11"/>
  <c r="BH293" i="11"/>
  <c r="BI293" i="11"/>
  <c r="BJ293" i="11"/>
  <c r="BH294" i="11"/>
  <c r="BI294" i="11"/>
  <c r="BJ294" i="11"/>
  <c r="BH295" i="11"/>
  <c r="BI295" i="11"/>
  <c r="BJ295" i="11"/>
  <c r="BH296" i="11"/>
  <c r="BI296" i="11"/>
  <c r="BJ296" i="11"/>
  <c r="BH297" i="11"/>
  <c r="BI297" i="11"/>
  <c r="BJ297" i="11"/>
  <c r="BH298" i="11"/>
  <c r="BI298" i="11"/>
  <c r="BJ298" i="11"/>
  <c r="BH299" i="11"/>
  <c r="BI299" i="11"/>
  <c r="BJ299" i="11"/>
  <c r="BH300" i="11"/>
  <c r="BI300" i="11"/>
  <c r="BJ300" i="11"/>
  <c r="BH301" i="11"/>
  <c r="BI301" i="11"/>
  <c r="BJ301" i="11"/>
  <c r="BH302" i="11"/>
  <c r="BI302" i="11"/>
  <c r="BJ302" i="11"/>
  <c r="BH303" i="11"/>
  <c r="BI303" i="11"/>
  <c r="BJ303" i="11"/>
  <c r="BH304" i="11"/>
  <c r="BI304" i="11"/>
  <c r="BJ304" i="11"/>
  <c r="BH305" i="11"/>
  <c r="BI305" i="11"/>
  <c r="BJ305" i="11"/>
  <c r="BH306" i="11"/>
  <c r="BI306" i="11"/>
  <c r="BJ306" i="11"/>
  <c r="BH307" i="11"/>
  <c r="BI307" i="11"/>
  <c r="BJ307" i="11"/>
  <c r="BH308" i="11"/>
  <c r="BI308" i="11"/>
  <c r="BJ308" i="11"/>
  <c r="BH309" i="11"/>
  <c r="BI309" i="11"/>
  <c r="BJ309" i="11"/>
  <c r="BH310" i="11"/>
  <c r="BI310" i="11"/>
  <c r="BJ310" i="11"/>
  <c r="BH311" i="11"/>
  <c r="BI311" i="11"/>
  <c r="BJ311" i="11"/>
  <c r="BH312" i="11"/>
  <c r="BI312" i="11"/>
  <c r="BJ312" i="11"/>
  <c r="BH313" i="11"/>
  <c r="BI313" i="11"/>
  <c r="BH314" i="11"/>
  <c r="BI314" i="11"/>
  <c r="BJ314" i="11"/>
  <c r="BH315" i="11"/>
  <c r="BI315" i="11"/>
  <c r="BJ315" i="11"/>
  <c r="BH316" i="11"/>
  <c r="BI316" i="11"/>
  <c r="BJ316" i="11"/>
  <c r="BH317" i="11"/>
  <c r="BI317" i="11"/>
  <c r="BJ317" i="11"/>
  <c r="BH318" i="11"/>
  <c r="BI318" i="11"/>
  <c r="BJ318" i="11"/>
  <c r="BH319" i="11"/>
  <c r="BI319" i="11"/>
  <c r="BJ319" i="11"/>
  <c r="BH320" i="11"/>
  <c r="BI320" i="11"/>
  <c r="BJ320" i="11"/>
  <c r="BH321" i="11"/>
  <c r="BI321" i="11"/>
  <c r="BJ321" i="11"/>
  <c r="BH322" i="11"/>
  <c r="BI322" i="11"/>
  <c r="BJ322" i="11"/>
  <c r="BH323" i="11"/>
  <c r="BI323" i="11"/>
  <c r="BJ323" i="11"/>
  <c r="BH324" i="11"/>
  <c r="BI324" i="11"/>
  <c r="BH325" i="11"/>
  <c r="BI325" i="11"/>
  <c r="BJ325" i="11"/>
  <c r="BH326" i="11"/>
  <c r="BI326" i="11"/>
  <c r="BJ326" i="11"/>
  <c r="BH327" i="11"/>
  <c r="BI327" i="11"/>
  <c r="BJ327" i="11"/>
  <c r="BH331" i="11"/>
  <c r="BI331" i="11"/>
  <c r="BJ331" i="11"/>
  <c r="BH332" i="11"/>
  <c r="BI332" i="11"/>
  <c r="BJ332" i="11"/>
  <c r="BH333" i="11"/>
  <c r="BI333" i="11"/>
  <c r="BJ333" i="11"/>
  <c r="BH328" i="11"/>
  <c r="BI328" i="11"/>
  <c r="BJ328" i="11"/>
  <c r="BH329" i="11"/>
  <c r="BI329" i="11"/>
  <c r="BJ329" i="11"/>
  <c r="BH330" i="11"/>
  <c r="BI330" i="11"/>
  <c r="BJ330" i="11"/>
  <c r="BH334" i="11"/>
  <c r="BI334" i="11"/>
  <c r="BJ334" i="11"/>
  <c r="BH335" i="11"/>
  <c r="BI335" i="11"/>
  <c r="BJ335" i="11"/>
  <c r="BH336" i="11"/>
  <c r="BI336" i="11"/>
  <c r="BJ336" i="11"/>
  <c r="BH337" i="11"/>
  <c r="BI337" i="11"/>
  <c r="BJ337" i="11"/>
  <c r="BH338" i="11"/>
  <c r="BI338" i="11"/>
  <c r="BJ338" i="11"/>
  <c r="BH339" i="11"/>
  <c r="BI339" i="11"/>
  <c r="BJ339" i="11"/>
  <c r="BH340" i="11"/>
  <c r="BI340" i="11"/>
  <c r="BJ340" i="11"/>
  <c r="BH341" i="11"/>
  <c r="BI341" i="11"/>
  <c r="BJ341" i="11"/>
  <c r="BH342" i="11"/>
  <c r="BI342" i="11"/>
  <c r="BJ342" i="11"/>
  <c r="BH343" i="11"/>
  <c r="BI343" i="11"/>
  <c r="BJ343" i="11"/>
  <c r="BH344" i="11"/>
  <c r="BI344" i="11"/>
  <c r="BJ344" i="11"/>
  <c r="BH345" i="11"/>
  <c r="BI345" i="11"/>
  <c r="BJ345" i="11"/>
  <c r="BH346" i="11"/>
  <c r="BI346" i="11"/>
  <c r="BH347" i="11"/>
  <c r="BI347" i="11"/>
  <c r="BJ347" i="11"/>
  <c r="BH348" i="11"/>
  <c r="BI348" i="11"/>
  <c r="BJ348" i="11"/>
  <c r="BH349" i="11"/>
  <c r="BI349" i="11"/>
  <c r="BJ349" i="11"/>
  <c r="BH350" i="11"/>
  <c r="BI350" i="11"/>
  <c r="BJ350" i="11"/>
  <c r="BH351" i="11"/>
  <c r="BI351" i="11"/>
  <c r="BJ351" i="11"/>
  <c r="BH352" i="11"/>
  <c r="BI352" i="11"/>
  <c r="BJ352" i="11"/>
  <c r="BH353" i="11"/>
  <c r="BI353" i="11"/>
  <c r="BJ353" i="11"/>
  <c r="BH354" i="11"/>
  <c r="BI354" i="11"/>
  <c r="BJ354" i="11"/>
  <c r="BH355" i="11"/>
  <c r="BI355" i="11"/>
  <c r="BJ355" i="11"/>
  <c r="BH356" i="11"/>
  <c r="BI356" i="11"/>
  <c r="BJ356" i="11"/>
  <c r="BH357" i="11"/>
  <c r="BI357" i="11"/>
  <c r="BJ357" i="11"/>
  <c r="BH358" i="11"/>
  <c r="BI358" i="11"/>
  <c r="BJ358" i="11"/>
  <c r="BH359" i="11"/>
  <c r="BI359" i="11"/>
  <c r="BJ359" i="11"/>
  <c r="BH360" i="11"/>
  <c r="BI360" i="11"/>
  <c r="BJ360" i="11"/>
  <c r="BH361" i="11"/>
  <c r="BI361" i="11"/>
  <c r="BJ361" i="11"/>
  <c r="BH362" i="11"/>
  <c r="BI362" i="11"/>
  <c r="BJ362" i="11"/>
  <c r="BH363" i="11"/>
  <c r="BI363" i="11"/>
  <c r="BJ363" i="11"/>
  <c r="BH364" i="11"/>
  <c r="BI364" i="11"/>
  <c r="BJ364" i="11"/>
  <c r="BH365" i="11"/>
  <c r="BI365" i="11"/>
  <c r="BJ365" i="11"/>
  <c r="BH366" i="11"/>
  <c r="BI366" i="11"/>
  <c r="BJ366" i="11"/>
  <c r="BH367" i="11"/>
  <c r="BI367" i="11"/>
  <c r="BJ367" i="11"/>
  <c r="BH368" i="11"/>
  <c r="BI368" i="11"/>
  <c r="BJ368" i="11"/>
  <c r="BH369" i="11"/>
  <c r="BI369" i="11"/>
  <c r="BJ369" i="11"/>
  <c r="BH370" i="11"/>
  <c r="BI370" i="11"/>
  <c r="BJ370" i="11"/>
  <c r="BH371" i="11"/>
  <c r="BI371" i="11"/>
  <c r="BJ371" i="11"/>
  <c r="BH372" i="11"/>
  <c r="BI372" i="11"/>
  <c r="BJ372" i="11"/>
  <c r="BH373" i="11"/>
  <c r="BI373" i="11"/>
  <c r="BJ373" i="11"/>
  <c r="BH374" i="11"/>
  <c r="BI374" i="11"/>
  <c r="BJ374" i="11"/>
  <c r="BH375" i="11"/>
  <c r="BI375" i="11"/>
  <c r="BJ375" i="11"/>
  <c r="BH376" i="11"/>
  <c r="BI376" i="11"/>
  <c r="BJ376" i="11"/>
  <c r="BH377" i="11"/>
  <c r="BI377" i="11"/>
  <c r="BJ377" i="11"/>
  <c r="BH378" i="11"/>
  <c r="BI378" i="11"/>
  <c r="BJ378" i="11"/>
  <c r="BH379" i="11"/>
  <c r="BI379" i="11"/>
  <c r="BJ379" i="11"/>
  <c r="BH380" i="11"/>
  <c r="BI380" i="11"/>
  <c r="BJ380" i="11"/>
  <c r="BH381" i="11"/>
  <c r="BI381" i="11"/>
  <c r="BJ381" i="11"/>
  <c r="BH382" i="11"/>
  <c r="BI382" i="11"/>
  <c r="BJ382" i="11"/>
  <c r="BH383" i="11"/>
  <c r="BI383" i="11"/>
  <c r="BJ383" i="11"/>
  <c r="BH384" i="11"/>
  <c r="BI384" i="11"/>
  <c r="BJ384" i="11"/>
  <c r="BH385" i="11"/>
  <c r="BI385" i="11"/>
  <c r="BJ385" i="11"/>
  <c r="BH386" i="11"/>
  <c r="BI386" i="11"/>
  <c r="BJ386" i="11"/>
  <c r="BH387" i="11"/>
  <c r="BI387" i="11"/>
  <c r="BJ387" i="11"/>
  <c r="BH388" i="11"/>
  <c r="BI388" i="11"/>
  <c r="BJ388" i="11"/>
  <c r="BH389" i="11"/>
  <c r="BI389" i="11"/>
  <c r="BJ389" i="11"/>
  <c r="BH390" i="11"/>
  <c r="BI390" i="11"/>
  <c r="BJ390" i="11"/>
  <c r="BH391" i="11"/>
  <c r="BI391" i="11"/>
  <c r="BJ391" i="11"/>
  <c r="BH392" i="11"/>
  <c r="BI392" i="11"/>
  <c r="BJ392" i="11"/>
  <c r="BH393" i="11"/>
  <c r="BI393" i="11"/>
  <c r="BJ393" i="11"/>
  <c r="BH394" i="11"/>
  <c r="BI394" i="11"/>
  <c r="BJ394" i="11"/>
  <c r="BH395" i="11"/>
  <c r="BI395" i="11"/>
  <c r="BJ395" i="11"/>
  <c r="BH396" i="11"/>
  <c r="BI396" i="11"/>
  <c r="BJ396" i="11"/>
  <c r="BH397" i="11"/>
  <c r="BI397" i="11"/>
  <c r="BJ397" i="11"/>
  <c r="BH398" i="11"/>
  <c r="BI398" i="11"/>
  <c r="BJ398" i="11"/>
  <c r="BH399" i="11"/>
  <c r="BI399" i="11"/>
  <c r="BJ399" i="11"/>
  <c r="BH400" i="11"/>
  <c r="BI400" i="11"/>
  <c r="BJ400" i="11"/>
  <c r="BH401" i="11"/>
  <c r="BI401" i="11"/>
  <c r="BJ401" i="11"/>
  <c r="BH402" i="11"/>
  <c r="BI402" i="11"/>
  <c r="BJ402" i="11"/>
  <c r="BH403" i="11"/>
  <c r="BI403" i="11"/>
  <c r="BJ403" i="11"/>
  <c r="BH404" i="11"/>
  <c r="BI404" i="11"/>
  <c r="BJ404" i="11"/>
  <c r="BH405" i="11"/>
  <c r="BI405" i="11"/>
  <c r="BJ405" i="11"/>
  <c r="BH406" i="11"/>
  <c r="BI406" i="11"/>
  <c r="BJ406" i="11"/>
  <c r="BH407" i="11"/>
  <c r="BI407" i="11"/>
  <c r="BJ407" i="11"/>
  <c r="BH408" i="11"/>
  <c r="BI408" i="11"/>
  <c r="BJ408" i="11"/>
  <c r="BH409" i="11"/>
  <c r="BI409" i="11"/>
  <c r="BJ409" i="11"/>
  <c r="BH410" i="11"/>
  <c r="BI410" i="11"/>
  <c r="BJ410" i="11"/>
  <c r="BH411" i="11"/>
  <c r="BI411" i="11"/>
  <c r="BJ411" i="11"/>
  <c r="BH412" i="11"/>
  <c r="BI412" i="11"/>
  <c r="BJ412" i="11"/>
  <c r="BH413" i="11"/>
  <c r="BI413" i="11"/>
  <c r="BJ413" i="11"/>
  <c r="BH414" i="11"/>
  <c r="BI414" i="11"/>
  <c r="BJ414" i="11"/>
  <c r="BH415" i="11"/>
  <c r="BI415" i="11"/>
  <c r="BJ415" i="11"/>
  <c r="BH416" i="11"/>
  <c r="BI416" i="11"/>
  <c r="BJ416" i="11"/>
  <c r="BH417" i="11"/>
  <c r="BI417" i="11"/>
  <c r="BJ417" i="11"/>
  <c r="BH418" i="11"/>
  <c r="BI418" i="11"/>
  <c r="BJ418" i="11"/>
  <c r="BH419" i="11"/>
  <c r="BI419" i="11"/>
  <c r="BJ419" i="11"/>
  <c r="BH420" i="11"/>
  <c r="BI420" i="11"/>
  <c r="BJ420" i="11"/>
  <c r="BJ421" i="11"/>
  <c r="BH422" i="11"/>
  <c r="BI422" i="11"/>
  <c r="BJ422" i="11"/>
  <c r="BH423" i="11"/>
  <c r="BI423" i="11"/>
  <c r="BJ423" i="11"/>
  <c r="BH424" i="11"/>
  <c r="BI424" i="11"/>
  <c r="BJ424" i="11"/>
  <c r="BH425" i="11"/>
  <c r="BI425" i="11"/>
  <c r="BJ425" i="11"/>
  <c r="BH426" i="11"/>
  <c r="BI426" i="11"/>
  <c r="BJ426" i="11"/>
  <c r="BH427" i="11"/>
  <c r="BI427" i="11"/>
  <c r="BJ427" i="11"/>
  <c r="BH428" i="11"/>
  <c r="BI428" i="11"/>
  <c r="BJ428" i="11"/>
  <c r="BH429" i="11"/>
  <c r="BI429" i="11"/>
  <c r="BJ429" i="11"/>
  <c r="BH430" i="11"/>
  <c r="BI430" i="11"/>
  <c r="BJ430" i="11"/>
  <c r="BH431" i="11"/>
  <c r="BI431" i="11"/>
  <c r="BJ431" i="11"/>
  <c r="BH432" i="11"/>
  <c r="BI432" i="11"/>
  <c r="BJ432" i="11"/>
  <c r="BH433" i="11"/>
  <c r="BI433" i="11"/>
  <c r="BJ433" i="11"/>
  <c r="BH434" i="11"/>
  <c r="BI434" i="11"/>
  <c r="BJ434" i="11"/>
  <c r="BH435" i="11"/>
  <c r="BI435" i="11"/>
  <c r="BJ435" i="11"/>
  <c r="BH436" i="11"/>
  <c r="BI436" i="11"/>
  <c r="BJ436" i="11"/>
  <c r="BH437" i="11"/>
  <c r="BI437" i="11"/>
  <c r="BJ437" i="11"/>
  <c r="BH438" i="11"/>
  <c r="BI438" i="11"/>
  <c r="BJ438" i="11"/>
  <c r="BH439" i="11"/>
  <c r="BI439" i="11"/>
  <c r="BJ439" i="11"/>
  <c r="BH440" i="11"/>
  <c r="BI440" i="11"/>
  <c r="BJ440" i="11"/>
  <c r="BH441" i="11"/>
  <c r="BI441" i="11"/>
  <c r="BJ441" i="11"/>
  <c r="BH442" i="11"/>
  <c r="BI442" i="11"/>
  <c r="BJ442" i="11"/>
  <c r="BH443" i="11"/>
  <c r="BI443" i="11"/>
  <c r="BJ443" i="11"/>
  <c r="BH444" i="11"/>
  <c r="BI444" i="11"/>
  <c r="BJ444" i="11"/>
  <c r="BH445" i="11"/>
  <c r="BI445" i="11"/>
  <c r="BJ445" i="11"/>
  <c r="BH446" i="11"/>
  <c r="BI446" i="11"/>
  <c r="BJ446" i="11"/>
  <c r="BH447" i="11"/>
  <c r="BI447" i="11"/>
  <c r="BJ447" i="11"/>
  <c r="BH448" i="11"/>
  <c r="BI448" i="11"/>
  <c r="BJ448" i="11"/>
  <c r="BH449" i="11"/>
  <c r="BI449" i="11"/>
  <c r="BJ449" i="11"/>
  <c r="BH450" i="11"/>
  <c r="BI450" i="11"/>
  <c r="BJ450" i="11"/>
  <c r="BH451" i="11"/>
  <c r="BI451" i="11"/>
  <c r="BJ451" i="11"/>
  <c r="BH452" i="11"/>
  <c r="BI452" i="11"/>
  <c r="BJ452" i="11"/>
  <c r="BH453" i="11"/>
  <c r="BI453" i="11"/>
  <c r="BJ453" i="11"/>
  <c r="BH454" i="11"/>
  <c r="BI454" i="11"/>
  <c r="BJ454" i="11"/>
  <c r="BH455" i="11"/>
  <c r="BI455" i="11"/>
  <c r="BJ455" i="11"/>
  <c r="BH456" i="11"/>
  <c r="BI456" i="11"/>
  <c r="BJ456" i="11"/>
  <c r="BH457" i="11"/>
  <c r="BI457" i="11"/>
  <c r="BJ457" i="11"/>
  <c r="BH458" i="11"/>
  <c r="BI458" i="11"/>
  <c r="BJ458" i="11"/>
  <c r="BH459" i="11"/>
  <c r="BI459" i="11"/>
  <c r="BJ459" i="11"/>
  <c r="BH460" i="11"/>
  <c r="BI460" i="11"/>
  <c r="BJ460" i="11"/>
  <c r="BH461" i="11"/>
  <c r="BI461" i="11"/>
  <c r="BJ461" i="11"/>
  <c r="BH462" i="11"/>
  <c r="BI462" i="11"/>
  <c r="BJ462" i="11"/>
  <c r="BH463" i="11"/>
  <c r="BI463" i="11"/>
  <c r="BJ463" i="11"/>
  <c r="BH464" i="11"/>
  <c r="BI464" i="11"/>
  <c r="BJ464" i="11"/>
  <c r="BH465" i="11"/>
  <c r="BI465" i="11"/>
  <c r="BJ465" i="11"/>
  <c r="BH466" i="11"/>
  <c r="BI466" i="11"/>
  <c r="BJ466" i="11"/>
  <c r="BH467" i="11"/>
  <c r="BI467" i="11"/>
  <c r="BJ467" i="11"/>
  <c r="BH468" i="11"/>
  <c r="BI468" i="11"/>
  <c r="BJ468" i="11"/>
  <c r="BH469" i="11"/>
  <c r="BI469" i="11"/>
  <c r="BJ469" i="11"/>
  <c r="BH470" i="11"/>
  <c r="BI470" i="11"/>
  <c r="BJ470" i="11"/>
  <c r="BH471" i="11"/>
  <c r="BI471" i="11"/>
  <c r="BJ471" i="11"/>
  <c r="BH472" i="11"/>
  <c r="BI472" i="11"/>
  <c r="BJ472" i="11"/>
  <c r="BH473" i="11"/>
  <c r="BI473" i="11"/>
  <c r="BJ473" i="11"/>
  <c r="BH474" i="11"/>
  <c r="BI474" i="11"/>
  <c r="BJ474" i="11"/>
  <c r="BH475" i="11"/>
  <c r="BI475" i="11"/>
  <c r="BJ475" i="11"/>
  <c r="BH476" i="11"/>
  <c r="BI476" i="11"/>
  <c r="BJ476" i="11"/>
  <c r="BH477" i="11"/>
  <c r="BI477" i="11"/>
  <c r="BJ477" i="11"/>
  <c r="BH478" i="11"/>
  <c r="BI478" i="11"/>
  <c r="BJ478" i="11"/>
  <c r="BH479" i="11"/>
  <c r="BI479" i="11"/>
  <c r="BJ479" i="11"/>
  <c r="BH480" i="11"/>
  <c r="BI480" i="11"/>
  <c r="BJ480" i="11"/>
  <c r="BH481" i="11"/>
  <c r="BI481" i="11"/>
  <c r="BJ481" i="11"/>
  <c r="BH482" i="11"/>
  <c r="BI482" i="11"/>
  <c r="BJ482" i="11"/>
  <c r="BH483" i="11"/>
  <c r="BI483" i="11"/>
  <c r="BJ483" i="11"/>
  <c r="BH484" i="11"/>
  <c r="BI484" i="11"/>
  <c r="BJ484" i="11"/>
  <c r="BH485" i="11"/>
  <c r="BI485" i="11"/>
  <c r="BJ485" i="11"/>
  <c r="BH486" i="11"/>
  <c r="BI486" i="11"/>
  <c r="BJ486" i="11"/>
  <c r="BH487" i="11"/>
  <c r="BI487" i="11"/>
  <c r="BJ487" i="11"/>
  <c r="BH488" i="11"/>
  <c r="BI488" i="11"/>
  <c r="BJ488" i="11"/>
  <c r="BH489" i="11"/>
  <c r="BI489" i="11"/>
  <c r="BJ489" i="11"/>
  <c r="BH490" i="11"/>
  <c r="BI490" i="11"/>
  <c r="BJ490" i="11"/>
  <c r="BH491" i="11"/>
  <c r="BI491" i="11"/>
  <c r="BJ491" i="11"/>
  <c r="BH492" i="11"/>
  <c r="BI492" i="11"/>
  <c r="BJ492" i="11"/>
  <c r="BH493" i="11"/>
  <c r="BI493" i="11"/>
  <c r="BJ493" i="11"/>
  <c r="BH494" i="11"/>
  <c r="BI494" i="11"/>
  <c r="BJ494" i="11"/>
  <c r="BH495" i="11"/>
  <c r="BI495" i="11"/>
  <c r="BJ495" i="11"/>
  <c r="BH496" i="11"/>
  <c r="BI496" i="11"/>
  <c r="BJ496" i="11"/>
  <c r="BH497" i="11"/>
  <c r="BI497" i="11"/>
  <c r="BJ497" i="11"/>
  <c r="BH498" i="11"/>
  <c r="BI498" i="11"/>
  <c r="BJ498" i="11"/>
  <c r="BH499" i="11"/>
  <c r="BI499" i="11"/>
  <c r="BJ499" i="11"/>
  <c r="BH500" i="11"/>
  <c r="BI500" i="11"/>
  <c r="BJ500" i="11"/>
  <c r="BH501" i="11"/>
  <c r="BI501" i="11"/>
  <c r="BJ501" i="11"/>
  <c r="BH502" i="11"/>
  <c r="BI502" i="11"/>
  <c r="BJ502" i="11"/>
  <c r="BH503" i="11"/>
  <c r="BI503" i="11"/>
  <c r="BJ503" i="11"/>
  <c r="BH504" i="11"/>
  <c r="BI504" i="11"/>
  <c r="BJ504" i="11"/>
  <c r="BH505" i="11"/>
  <c r="BI505" i="11"/>
  <c r="BJ505" i="11"/>
  <c r="BH506" i="11"/>
  <c r="BI506" i="11"/>
  <c r="BJ506" i="11"/>
  <c r="BH507" i="11"/>
  <c r="BI507" i="11"/>
  <c r="BJ507" i="11"/>
  <c r="BH508" i="11"/>
  <c r="BI508" i="11"/>
  <c r="BJ508" i="11"/>
  <c r="BH509" i="11"/>
  <c r="BI509" i="11"/>
  <c r="BJ509" i="11"/>
  <c r="BH510" i="11"/>
  <c r="BI510" i="11"/>
  <c r="BJ510" i="11"/>
  <c r="BH511" i="11"/>
  <c r="BI511" i="11"/>
  <c r="BJ511" i="11"/>
  <c r="BH512" i="11"/>
  <c r="BI512" i="11"/>
  <c r="BJ512" i="11"/>
  <c r="BH513" i="11"/>
  <c r="BI513" i="11"/>
  <c r="BJ513" i="11"/>
  <c r="BH514" i="11"/>
  <c r="BI514" i="11"/>
  <c r="BJ514" i="11"/>
  <c r="BH515" i="11"/>
  <c r="BI515" i="11"/>
  <c r="BJ515" i="11"/>
  <c r="BH516" i="11"/>
  <c r="BI516" i="11"/>
  <c r="BJ516" i="11"/>
  <c r="BH517" i="11"/>
  <c r="BI517" i="11"/>
  <c r="BJ517" i="11"/>
  <c r="BH518" i="11"/>
  <c r="BI518" i="11"/>
  <c r="BJ518" i="11"/>
  <c r="BH519" i="11"/>
  <c r="BI519" i="11"/>
  <c r="BJ519" i="11"/>
  <c r="BH520" i="11"/>
  <c r="BI520" i="11"/>
  <c r="BJ520" i="11"/>
  <c r="BH521" i="11"/>
  <c r="BI521" i="11"/>
  <c r="BJ521" i="11"/>
  <c r="BH522" i="11"/>
  <c r="BI522" i="11"/>
  <c r="BJ522" i="11"/>
  <c r="BH523" i="11"/>
  <c r="BI523" i="11"/>
  <c r="BJ523" i="11"/>
  <c r="BH524" i="11"/>
  <c r="BI524" i="11"/>
  <c r="BJ524" i="11"/>
  <c r="BH525" i="11"/>
  <c r="BI525" i="11"/>
  <c r="BJ525" i="11"/>
  <c r="BH526" i="11"/>
  <c r="BI526" i="11"/>
  <c r="BJ526" i="11"/>
  <c r="BH527" i="11"/>
  <c r="BI527" i="11"/>
  <c r="BJ527" i="11"/>
  <c r="BH528" i="11"/>
  <c r="BI528" i="11"/>
  <c r="BJ528" i="11"/>
  <c r="BH529" i="11"/>
  <c r="BI529" i="11"/>
  <c r="BJ529" i="11"/>
  <c r="BH530" i="11"/>
  <c r="BI530" i="11"/>
  <c r="BJ530" i="11"/>
  <c r="BH531" i="11"/>
  <c r="BI531" i="11"/>
  <c r="BJ531" i="11"/>
  <c r="BH532" i="11"/>
  <c r="BI532" i="11"/>
  <c r="BJ532" i="11"/>
  <c r="BH533" i="11"/>
  <c r="BI533" i="11"/>
  <c r="BJ533" i="11"/>
  <c r="BH534" i="11"/>
  <c r="BI534" i="11"/>
  <c r="BJ534" i="11"/>
  <c r="BH535" i="11"/>
  <c r="BI535" i="11"/>
  <c r="BJ535" i="11"/>
  <c r="BH536" i="11"/>
  <c r="BI536" i="11"/>
  <c r="BJ536" i="11"/>
  <c r="BH537" i="11"/>
  <c r="BI537" i="11"/>
  <c r="BJ537" i="11"/>
  <c r="BH538" i="11"/>
  <c r="BI538" i="11"/>
  <c r="BJ538" i="11"/>
  <c r="BH539" i="11"/>
  <c r="BI539" i="11"/>
  <c r="BJ539" i="11"/>
  <c r="BH540" i="11"/>
  <c r="BI540" i="11"/>
  <c r="BJ540" i="11"/>
  <c r="BH541" i="11"/>
  <c r="BI541" i="11"/>
  <c r="BJ541" i="11"/>
  <c r="BH542" i="11"/>
  <c r="BI542" i="11"/>
  <c r="BJ542" i="11"/>
  <c r="BH543" i="11"/>
  <c r="BI543" i="11"/>
  <c r="BJ543" i="11"/>
  <c r="BH544" i="11"/>
  <c r="BI544" i="11"/>
  <c r="BJ544" i="11"/>
  <c r="BH545" i="11"/>
  <c r="BI545" i="11"/>
  <c r="BJ545" i="11"/>
  <c r="BH546" i="11"/>
  <c r="BI546" i="11"/>
  <c r="BJ546" i="11"/>
  <c r="BH547" i="11"/>
  <c r="BI547" i="11"/>
  <c r="BJ547" i="11"/>
  <c r="BH548" i="11"/>
  <c r="BI548" i="11"/>
  <c r="BJ548" i="11"/>
  <c r="BH549" i="11"/>
  <c r="BI549" i="11"/>
  <c r="BJ549" i="11"/>
  <c r="BH550" i="11"/>
  <c r="BI550" i="11"/>
  <c r="BJ550" i="11"/>
  <c r="BH551" i="11"/>
  <c r="BI551" i="11"/>
  <c r="BJ551" i="11"/>
  <c r="BH554" i="11"/>
  <c r="BI554" i="11"/>
  <c r="BJ554" i="11"/>
  <c r="BH552" i="11"/>
  <c r="BI552" i="11"/>
  <c r="BJ552" i="11"/>
  <c r="BH553" i="11"/>
  <c r="BI553" i="11"/>
  <c r="BJ553" i="11"/>
  <c r="BH556" i="11"/>
  <c r="BI556" i="11"/>
  <c r="BJ556" i="11"/>
  <c r="BH557" i="11"/>
  <c r="BI557" i="11"/>
  <c r="BJ557" i="11"/>
  <c r="BH558" i="11"/>
  <c r="BI558" i="11"/>
  <c r="BJ558" i="11"/>
  <c r="BH559" i="11"/>
  <c r="BI559" i="11"/>
  <c r="BJ559" i="11"/>
  <c r="BH560" i="11"/>
  <c r="BI560" i="11"/>
  <c r="BJ560" i="11"/>
  <c r="BH561" i="11"/>
  <c r="BI561" i="11"/>
  <c r="BJ561" i="11"/>
  <c r="BH562" i="11"/>
  <c r="BI562" i="11"/>
  <c r="BJ562" i="11"/>
  <c r="BH563" i="11"/>
  <c r="BI563" i="11"/>
  <c r="BJ563" i="11"/>
  <c r="BH564" i="11"/>
  <c r="BI564" i="11"/>
  <c r="BJ564" i="11"/>
  <c r="BH555" i="11"/>
  <c r="BI555" i="11"/>
  <c r="BJ555" i="11"/>
  <c r="BH565" i="11"/>
  <c r="BI565" i="11"/>
  <c r="BJ565" i="11"/>
  <c r="BH566" i="11"/>
  <c r="BI566" i="11"/>
  <c r="BJ566" i="11"/>
  <c r="BH567" i="11"/>
  <c r="BI567" i="11"/>
  <c r="BJ567" i="11"/>
  <c r="BH568" i="11"/>
  <c r="BI568" i="11"/>
  <c r="BJ568" i="11"/>
  <c r="BH569" i="11"/>
  <c r="BI569" i="11"/>
  <c r="BJ569" i="11"/>
  <c r="BH570" i="11"/>
  <c r="BI570" i="11"/>
  <c r="BJ570" i="11"/>
  <c r="BH571" i="11"/>
  <c r="BI571" i="11"/>
  <c r="BJ571" i="11"/>
  <c r="BH572" i="11"/>
  <c r="BI572" i="11"/>
  <c r="BJ572" i="11"/>
  <c r="BH573" i="11"/>
  <c r="BI573" i="11"/>
  <c r="BJ573" i="11"/>
  <c r="BH574" i="11"/>
  <c r="BI574" i="11"/>
  <c r="BJ574" i="11"/>
  <c r="BH575" i="11"/>
  <c r="BI575" i="11"/>
  <c r="BJ575" i="11"/>
  <c r="BH576" i="11"/>
  <c r="BI576" i="11"/>
  <c r="BJ576" i="11"/>
  <c r="BH577" i="11"/>
  <c r="BI577" i="11"/>
  <c r="BJ577" i="11"/>
  <c r="BH578" i="11"/>
  <c r="BI578" i="11"/>
  <c r="BJ578" i="11"/>
  <c r="BH579" i="11"/>
  <c r="BI579" i="11"/>
  <c r="BJ579" i="11"/>
  <c r="BH580" i="11"/>
  <c r="BI580" i="11"/>
  <c r="BJ580" i="11"/>
  <c r="BH581" i="11"/>
  <c r="BI581" i="11"/>
  <c r="BJ581" i="11"/>
  <c r="BH582" i="11"/>
  <c r="BI582" i="11"/>
  <c r="BJ582" i="11"/>
  <c r="BH583" i="11"/>
  <c r="BI583" i="11"/>
  <c r="BJ583" i="11"/>
  <c r="BH584" i="11"/>
  <c r="BI584" i="11"/>
  <c r="BJ584" i="11"/>
  <c r="BH585" i="11"/>
  <c r="BI585" i="11"/>
  <c r="BJ585" i="11"/>
  <c r="BH586" i="11"/>
  <c r="BI586" i="11"/>
  <c r="BJ586" i="11"/>
  <c r="BH587" i="11"/>
  <c r="BI587" i="11"/>
  <c r="BJ587" i="11"/>
  <c r="BH588" i="11"/>
  <c r="BI588" i="11"/>
  <c r="BJ588" i="11"/>
  <c r="BH589" i="11"/>
  <c r="BI589" i="11"/>
  <c r="BJ589" i="11"/>
  <c r="BH590" i="11"/>
  <c r="BI590" i="11"/>
  <c r="BJ590" i="11"/>
  <c r="BH591" i="11"/>
  <c r="BI591" i="11"/>
  <c r="BJ591" i="11"/>
  <c r="BH592" i="11"/>
  <c r="BI592" i="11"/>
  <c r="BJ592" i="11"/>
  <c r="BH593" i="11"/>
  <c r="BI593" i="11"/>
  <c r="BJ593" i="11"/>
  <c r="BH594" i="11"/>
  <c r="BI594" i="11"/>
  <c r="BJ594" i="11"/>
  <c r="BH595" i="11"/>
  <c r="BI595" i="11"/>
  <c r="BJ595" i="11"/>
  <c r="BH596" i="11"/>
  <c r="BI596" i="11"/>
  <c r="BJ596" i="11"/>
  <c r="BH597" i="11"/>
  <c r="BI597" i="11"/>
  <c r="BJ597" i="11"/>
  <c r="BH598" i="11"/>
  <c r="BI598" i="11"/>
  <c r="BJ598" i="11"/>
  <c r="BH599" i="11"/>
  <c r="BI599" i="11"/>
  <c r="BJ599" i="11"/>
  <c r="BH600" i="11"/>
  <c r="BI600" i="11"/>
  <c r="BJ600" i="11"/>
  <c r="BH601" i="11"/>
  <c r="BI601" i="11"/>
  <c r="BJ601" i="11"/>
  <c r="BH602" i="11"/>
  <c r="BI602" i="11"/>
  <c r="BJ602" i="11"/>
  <c r="BH603" i="11"/>
  <c r="BI603" i="11"/>
  <c r="BJ603" i="11"/>
  <c r="BH604" i="11"/>
  <c r="BI604" i="11"/>
  <c r="BJ604" i="11"/>
  <c r="BH605" i="11"/>
  <c r="BI605" i="11"/>
  <c r="BJ605" i="11"/>
  <c r="BH606" i="11"/>
  <c r="BI606" i="11"/>
  <c r="BJ606" i="11"/>
  <c r="BH607" i="11"/>
  <c r="BI607" i="11"/>
  <c r="BJ607" i="11"/>
  <c r="BH608" i="11"/>
  <c r="BI608" i="11"/>
  <c r="BJ608" i="11"/>
  <c r="BH609" i="11"/>
  <c r="BI609" i="11"/>
  <c r="BJ609" i="11"/>
  <c r="BH610" i="11"/>
  <c r="BI610" i="11"/>
  <c r="BJ610" i="11"/>
  <c r="BH611" i="11"/>
  <c r="BI611" i="11"/>
  <c r="BJ611" i="11"/>
  <c r="BH612" i="11"/>
  <c r="BI612" i="11"/>
  <c r="BJ612" i="11"/>
  <c r="BH613" i="11"/>
  <c r="BI613" i="11"/>
  <c r="BJ613" i="11"/>
  <c r="BH614" i="11"/>
  <c r="BI614" i="11"/>
  <c r="BJ614" i="11"/>
  <c r="BH615" i="11"/>
  <c r="BI615" i="11"/>
  <c r="BJ615" i="11"/>
  <c r="BH616" i="11"/>
  <c r="BI616" i="11"/>
  <c r="BJ616" i="11"/>
  <c r="BH617" i="11"/>
  <c r="BI617" i="11"/>
  <c r="BJ617" i="11"/>
  <c r="BH618" i="11"/>
  <c r="BI618" i="11"/>
  <c r="BJ618" i="11"/>
  <c r="BH619" i="11"/>
  <c r="BI619" i="11"/>
  <c r="BJ619" i="11"/>
  <c r="BH631" i="11"/>
  <c r="BI631" i="11"/>
  <c r="BJ631" i="11"/>
  <c r="BH620" i="11"/>
  <c r="BI620" i="11"/>
  <c r="BJ620" i="11"/>
  <c r="BH621" i="11"/>
  <c r="BI621" i="11"/>
  <c r="BJ621" i="11"/>
  <c r="BH622" i="11"/>
  <c r="BI622" i="11"/>
  <c r="BJ622" i="11"/>
  <c r="BH623" i="11"/>
  <c r="BI623" i="11"/>
  <c r="BJ623" i="11"/>
  <c r="BH624" i="11"/>
  <c r="BI624" i="11"/>
  <c r="BJ624" i="11"/>
  <c r="BH625" i="11"/>
  <c r="BI625" i="11"/>
  <c r="BJ625" i="11"/>
  <c r="BH626" i="11"/>
  <c r="BI626" i="11"/>
  <c r="BJ626" i="11"/>
  <c r="BH627" i="11"/>
  <c r="BI627" i="11"/>
  <c r="BJ627" i="11"/>
  <c r="BH628" i="11"/>
  <c r="BI628" i="11"/>
  <c r="BJ628" i="11"/>
  <c r="BH629" i="11"/>
  <c r="BI629" i="11"/>
  <c r="BJ629" i="11"/>
  <c r="BH630" i="11"/>
  <c r="BI630" i="11"/>
  <c r="BJ630" i="11"/>
  <c r="BH632" i="11"/>
  <c r="BI632" i="11"/>
  <c r="BJ632" i="11"/>
  <c r="BH633" i="11"/>
  <c r="BI633" i="11"/>
  <c r="BJ633" i="11"/>
  <c r="BH634" i="11"/>
  <c r="BI634" i="11"/>
  <c r="BJ634" i="11"/>
  <c r="BH635" i="11"/>
  <c r="BI635" i="11"/>
  <c r="BJ635" i="11"/>
  <c r="BH636" i="11"/>
  <c r="BI636" i="11"/>
  <c r="BJ636" i="11"/>
  <c r="BH637" i="11"/>
  <c r="BI637" i="11"/>
  <c r="BJ637" i="11"/>
  <c r="BH638" i="11"/>
  <c r="BI638" i="11"/>
  <c r="BJ638" i="11"/>
  <c r="BH639" i="11"/>
  <c r="BI639" i="11"/>
  <c r="BJ639" i="11"/>
  <c r="BH640" i="11"/>
  <c r="BI640" i="11"/>
  <c r="BJ640" i="11"/>
  <c r="BH641" i="11"/>
  <c r="BI641" i="11"/>
  <c r="BJ641" i="11"/>
  <c r="BH642" i="11"/>
  <c r="BI642" i="11"/>
  <c r="BJ642" i="11"/>
  <c r="BH643" i="11"/>
  <c r="BI643" i="11"/>
  <c r="BJ643" i="11"/>
  <c r="BH644" i="11"/>
  <c r="BI644" i="11"/>
  <c r="BJ644" i="11"/>
  <c r="BH645" i="11"/>
  <c r="BI645" i="11"/>
  <c r="BJ645" i="11"/>
  <c r="BH646" i="11"/>
  <c r="BI646" i="11"/>
  <c r="BJ646" i="11"/>
  <c r="BH647" i="11"/>
  <c r="BI647" i="11"/>
  <c r="BJ647" i="11"/>
  <c r="BH648" i="11"/>
  <c r="BI648" i="11"/>
  <c r="BJ648" i="11"/>
  <c r="BH649" i="11"/>
  <c r="BI649" i="11"/>
  <c r="BJ649" i="11"/>
  <c r="BH650" i="11"/>
  <c r="BI650" i="11"/>
  <c r="BJ650" i="11"/>
  <c r="BH651" i="11"/>
  <c r="BI651" i="11"/>
  <c r="BJ651" i="11"/>
  <c r="BH652" i="11"/>
  <c r="BI652" i="11"/>
  <c r="BJ652" i="11"/>
  <c r="BH653" i="11"/>
  <c r="BI653" i="11"/>
  <c r="BJ653" i="11"/>
  <c r="BH654" i="11"/>
  <c r="BI654" i="11"/>
  <c r="BJ654" i="11"/>
  <c r="BH655" i="11"/>
  <c r="BI655" i="11"/>
  <c r="BJ655" i="11"/>
  <c r="BH656" i="11"/>
  <c r="BI656" i="11"/>
  <c r="BJ656" i="11"/>
  <c r="BH657" i="11"/>
  <c r="BI657" i="11"/>
  <c r="BJ657" i="11"/>
  <c r="BH658" i="11"/>
  <c r="BI658" i="11"/>
  <c r="BJ658" i="11"/>
  <c r="BH659" i="11"/>
  <c r="BI659" i="11"/>
  <c r="BJ659" i="11"/>
  <c r="BH660" i="11"/>
  <c r="BI660" i="11"/>
  <c r="BJ660" i="11"/>
  <c r="BH661" i="11"/>
  <c r="BI661" i="11"/>
  <c r="BJ661" i="11"/>
  <c r="BH662" i="11"/>
  <c r="BI662" i="11"/>
  <c r="BJ662" i="11"/>
  <c r="BH663" i="11"/>
  <c r="BI663" i="11"/>
  <c r="BJ663" i="11"/>
  <c r="BH664" i="11"/>
  <c r="BI664" i="11"/>
  <c r="BJ664" i="11"/>
  <c r="BH665" i="11"/>
  <c r="BI665" i="11"/>
  <c r="BJ665" i="11"/>
  <c r="BH666" i="11"/>
  <c r="BI666" i="11"/>
  <c r="BJ666" i="11"/>
  <c r="BH667" i="11"/>
  <c r="BI667" i="11"/>
  <c r="BJ667" i="11"/>
  <c r="BH668" i="11"/>
  <c r="BI668" i="11"/>
  <c r="BJ668" i="11"/>
  <c r="BH669" i="11"/>
  <c r="BI669" i="11"/>
  <c r="BJ669" i="11"/>
  <c r="BH670" i="11"/>
  <c r="BI670" i="11"/>
  <c r="BJ670" i="11"/>
  <c r="BH671" i="11"/>
  <c r="BI671" i="11"/>
  <c r="BJ671" i="11"/>
  <c r="BH672" i="11"/>
  <c r="BI672" i="11"/>
  <c r="BJ672" i="11"/>
  <c r="BH673" i="11"/>
  <c r="BI673" i="11"/>
  <c r="BJ673" i="11"/>
  <c r="BH674" i="11"/>
  <c r="BI674" i="11"/>
  <c r="BJ674" i="11"/>
  <c r="BH675" i="11"/>
  <c r="BI675" i="11"/>
  <c r="BJ675" i="11"/>
  <c r="BH676" i="11"/>
  <c r="BI676" i="11"/>
  <c r="BJ676" i="11"/>
  <c r="BH677" i="11"/>
  <c r="BI677" i="11"/>
  <c r="BJ677" i="11"/>
  <c r="BH678" i="11"/>
  <c r="BI678" i="11"/>
  <c r="BJ678" i="11"/>
  <c r="BH679" i="11"/>
  <c r="BI679" i="11"/>
  <c r="BJ679" i="11"/>
  <c r="BH680" i="11"/>
  <c r="BI680" i="11"/>
  <c r="BJ680" i="11"/>
  <c r="BH681" i="11"/>
  <c r="BI681" i="11"/>
  <c r="BJ681" i="11"/>
  <c r="BH682" i="11"/>
  <c r="BI682" i="11"/>
  <c r="BJ682" i="11"/>
  <c r="BH683" i="11"/>
  <c r="BI683" i="11"/>
  <c r="BJ683" i="11"/>
  <c r="BH684" i="11"/>
  <c r="BI684" i="11"/>
  <c r="BJ684" i="11"/>
  <c r="BH685" i="11"/>
  <c r="BI685" i="11"/>
  <c r="BJ685" i="11"/>
  <c r="BH686" i="11"/>
  <c r="BI686" i="11"/>
  <c r="BJ686" i="11"/>
  <c r="BH687" i="11"/>
  <c r="BI687" i="11"/>
  <c r="BJ687" i="11"/>
  <c r="BH688" i="11"/>
  <c r="BI688" i="11"/>
  <c r="BJ688" i="11"/>
  <c r="BH689" i="11"/>
  <c r="BI689" i="11"/>
  <c r="BJ689" i="11"/>
  <c r="BH690" i="11"/>
  <c r="BI690" i="11"/>
  <c r="BJ690" i="11"/>
  <c r="BH691" i="11"/>
  <c r="BI691" i="11"/>
  <c r="BJ691" i="11"/>
  <c r="BH692" i="11"/>
  <c r="BI692" i="11"/>
  <c r="BJ692" i="11"/>
  <c r="BH693" i="11"/>
  <c r="BI693" i="11"/>
  <c r="BJ693" i="11"/>
  <c r="BH694" i="11"/>
  <c r="BI694" i="11"/>
  <c r="BJ694" i="11"/>
  <c r="BH695" i="11"/>
  <c r="BI695" i="11"/>
  <c r="BJ695" i="11"/>
  <c r="BH696" i="11"/>
  <c r="BI696" i="11"/>
  <c r="BJ696" i="11"/>
  <c r="BH697" i="11"/>
  <c r="BI697" i="11"/>
  <c r="BJ697" i="11"/>
  <c r="BH698" i="11"/>
  <c r="BI698" i="11"/>
  <c r="BJ698" i="11"/>
  <c r="BH699" i="11"/>
  <c r="BI699" i="11"/>
  <c r="BJ699" i="11"/>
  <c r="BH700" i="11"/>
  <c r="BI700" i="11"/>
  <c r="BJ700" i="11"/>
  <c r="BH701" i="11"/>
  <c r="BI701" i="11"/>
  <c r="BJ701" i="11"/>
  <c r="BH702" i="11"/>
  <c r="BI702" i="11"/>
  <c r="BJ702" i="11"/>
  <c r="BH704" i="11"/>
  <c r="BI704" i="11"/>
  <c r="BJ704" i="11"/>
  <c r="BH703" i="11"/>
  <c r="BI703" i="11"/>
  <c r="BJ703" i="11"/>
  <c r="BH705" i="11"/>
  <c r="BI705" i="11"/>
  <c r="BJ705" i="11"/>
  <c r="BH706" i="11"/>
  <c r="BI706" i="11"/>
  <c r="BJ706" i="11"/>
  <c r="BH707" i="11"/>
  <c r="BI707" i="11"/>
  <c r="BJ707" i="11"/>
  <c r="BH708" i="11"/>
  <c r="BI708" i="11"/>
  <c r="BJ708" i="11"/>
  <c r="BH709" i="11"/>
  <c r="BI709" i="11"/>
  <c r="BJ709" i="11"/>
  <c r="BH710" i="11"/>
  <c r="BI710" i="11"/>
  <c r="BJ710" i="11"/>
  <c r="BH711" i="11"/>
  <c r="BI711" i="11"/>
  <c r="BJ711" i="11"/>
  <c r="BH712" i="11"/>
  <c r="BI712" i="11"/>
  <c r="BJ712" i="11"/>
  <c r="BH713" i="11"/>
  <c r="BI713" i="11"/>
  <c r="BJ713" i="11"/>
  <c r="BH714" i="11"/>
  <c r="BI714" i="11"/>
  <c r="BJ714" i="11"/>
  <c r="BH715" i="11"/>
  <c r="BI715" i="11"/>
  <c r="BJ715" i="11"/>
  <c r="BH716" i="11"/>
  <c r="BI716" i="11"/>
  <c r="BJ716" i="11"/>
  <c r="BH717" i="11"/>
  <c r="BI717" i="11"/>
  <c r="BJ717" i="11"/>
  <c r="BH718" i="11"/>
  <c r="BI718" i="11"/>
  <c r="BJ718" i="11"/>
  <c r="BH719" i="11"/>
  <c r="BI719" i="11"/>
  <c r="BJ719" i="11"/>
  <c r="BH720" i="11"/>
  <c r="BI720" i="11"/>
  <c r="BJ720" i="11"/>
  <c r="BH721" i="11"/>
  <c r="BI721" i="11"/>
  <c r="BJ721" i="11"/>
  <c r="BH722" i="11"/>
  <c r="BI722" i="11"/>
  <c r="BJ722" i="11"/>
  <c r="BH723" i="11"/>
  <c r="BI723" i="11"/>
  <c r="BJ723" i="11"/>
  <c r="BH724" i="11"/>
  <c r="BI724" i="11"/>
  <c r="BJ724" i="11"/>
  <c r="BH725" i="11"/>
  <c r="BI725" i="11"/>
  <c r="BJ725" i="11"/>
  <c r="BH726" i="11"/>
  <c r="BI726" i="11"/>
  <c r="BJ726" i="11"/>
  <c r="BH727" i="11"/>
  <c r="BI727" i="11"/>
  <c r="BJ727" i="11"/>
  <c r="BH728" i="11"/>
  <c r="BI728" i="11"/>
  <c r="BJ728" i="11"/>
  <c r="BH729" i="11"/>
  <c r="BI729" i="11"/>
  <c r="BJ729" i="11"/>
  <c r="BH730" i="11"/>
  <c r="BI730" i="11"/>
  <c r="BJ730" i="11"/>
  <c r="BH731" i="11"/>
  <c r="BI731" i="11"/>
  <c r="BJ731" i="11"/>
  <c r="BH732" i="11"/>
  <c r="BI732" i="11"/>
  <c r="BJ732" i="11"/>
  <c r="BH733" i="11"/>
  <c r="BI733" i="11"/>
  <c r="BJ733" i="11"/>
  <c r="BH734" i="11"/>
  <c r="BI734" i="11"/>
  <c r="BJ734" i="11"/>
  <c r="BH735" i="11"/>
  <c r="BI735" i="11"/>
  <c r="BJ735" i="11"/>
  <c r="BH736" i="11"/>
  <c r="BI736" i="11"/>
  <c r="BJ736" i="11"/>
  <c r="BH737" i="11"/>
  <c r="BI737" i="11"/>
  <c r="BJ737" i="11"/>
  <c r="BH738" i="11"/>
  <c r="BI738" i="11"/>
  <c r="BJ738" i="11"/>
  <c r="BH739" i="11"/>
  <c r="BI739" i="11"/>
  <c r="BJ739" i="11"/>
  <c r="BH740" i="11"/>
  <c r="BI740" i="11"/>
  <c r="BJ740" i="11"/>
  <c r="BH741" i="11"/>
  <c r="BI741" i="11"/>
  <c r="BJ741" i="11"/>
  <c r="BH742" i="11"/>
  <c r="BI742" i="11"/>
  <c r="BJ742" i="11"/>
  <c r="BH743" i="11"/>
  <c r="BI743" i="11"/>
  <c r="BJ743" i="11"/>
  <c r="BH744" i="11"/>
  <c r="BI744" i="11"/>
  <c r="BJ744" i="11"/>
  <c r="BH745" i="11"/>
  <c r="BI745" i="11"/>
  <c r="BJ745" i="11"/>
  <c r="BH746" i="11"/>
  <c r="BI746" i="11"/>
  <c r="BJ746" i="11"/>
  <c r="BH747" i="11"/>
  <c r="BI747" i="11"/>
  <c r="BJ747" i="11"/>
  <c r="BH748" i="11"/>
  <c r="BI748" i="11"/>
  <c r="BJ748" i="11"/>
  <c r="BH750" i="11"/>
  <c r="BI750" i="11"/>
  <c r="BJ750" i="11"/>
  <c r="BH751" i="11"/>
  <c r="BI751" i="11"/>
  <c r="BJ751" i="11"/>
  <c r="BH752" i="11"/>
  <c r="BI752" i="11"/>
  <c r="BJ752" i="11"/>
  <c r="BH753" i="11"/>
  <c r="BI753" i="11"/>
  <c r="BJ753" i="11"/>
  <c r="BH754" i="11"/>
  <c r="BI754" i="11"/>
  <c r="BJ754" i="11"/>
  <c r="BH755" i="11"/>
  <c r="BI755" i="11"/>
  <c r="BJ755" i="11"/>
  <c r="BH756" i="11"/>
  <c r="BI756" i="11"/>
  <c r="BJ756" i="11"/>
  <c r="BH757" i="11"/>
  <c r="BI757" i="11"/>
  <c r="BJ757" i="11"/>
  <c r="BH758" i="11"/>
  <c r="BI758" i="11"/>
  <c r="BJ758" i="11"/>
  <c r="BH759" i="11"/>
  <c r="BI759" i="11"/>
  <c r="BJ759" i="11"/>
  <c r="BH760" i="11"/>
  <c r="BI760" i="11"/>
  <c r="BJ760" i="11"/>
  <c r="BH761" i="11"/>
  <c r="BI761" i="11"/>
  <c r="BJ761" i="11"/>
  <c r="BH762" i="11"/>
  <c r="BI762" i="11"/>
  <c r="BJ762" i="11"/>
  <c r="BH749" i="11"/>
  <c r="BI749" i="11"/>
  <c r="BJ749" i="11"/>
  <c r="BH763" i="11"/>
  <c r="BI763" i="11"/>
  <c r="BJ763" i="11"/>
  <c r="BH764" i="11"/>
  <c r="BI764" i="11"/>
  <c r="BJ764" i="11"/>
  <c r="BH765" i="11"/>
  <c r="BI765" i="11"/>
  <c r="BJ765" i="11"/>
  <c r="BH766" i="11"/>
  <c r="BI766" i="11"/>
  <c r="BJ766" i="11"/>
  <c r="BH767" i="11"/>
  <c r="BI767" i="11"/>
  <c r="BJ767" i="11"/>
  <c r="BH768" i="11"/>
  <c r="BI768" i="11"/>
  <c r="BJ768" i="11"/>
  <c r="BH769" i="11"/>
  <c r="BI769" i="11"/>
  <c r="BJ769" i="11"/>
  <c r="BH770" i="11"/>
  <c r="BI770" i="11"/>
  <c r="BJ770" i="11"/>
  <c r="BH771" i="11"/>
  <c r="BI771" i="11"/>
  <c r="BJ771" i="11"/>
  <c r="BH772" i="11"/>
  <c r="BI772" i="11"/>
  <c r="BJ772" i="11"/>
  <c r="BH773" i="11"/>
  <c r="BI773" i="11"/>
  <c r="BJ773" i="11"/>
  <c r="BH774" i="11"/>
  <c r="BI774" i="11"/>
  <c r="BJ774" i="11"/>
  <c r="BH775" i="11"/>
  <c r="BI775" i="11"/>
  <c r="BJ775" i="11"/>
  <c r="BH776" i="11"/>
  <c r="BI776" i="11"/>
  <c r="BJ776" i="11"/>
  <c r="BH777" i="11"/>
  <c r="BI777" i="11"/>
  <c r="BJ777" i="11"/>
  <c r="BH778" i="11"/>
  <c r="BI778" i="11"/>
  <c r="BJ778" i="11"/>
  <c r="BH779" i="11"/>
  <c r="BI779" i="11"/>
  <c r="BJ779" i="11"/>
  <c r="BH780" i="11"/>
  <c r="BI780" i="11"/>
  <c r="BJ780" i="11"/>
  <c r="BH783" i="11"/>
  <c r="BI783" i="11"/>
  <c r="BJ783" i="11"/>
  <c r="BH781" i="11"/>
  <c r="BI781" i="11"/>
  <c r="BJ781" i="11"/>
  <c r="BH782" i="11"/>
  <c r="BI782" i="11"/>
  <c r="BJ782" i="11"/>
  <c r="BH784" i="11"/>
  <c r="BI784" i="11"/>
  <c r="BJ784" i="11"/>
  <c r="BH785" i="11"/>
  <c r="BI785" i="11"/>
  <c r="BJ785" i="11"/>
  <c r="BH786" i="11"/>
  <c r="BI786" i="11"/>
  <c r="BJ786" i="11"/>
  <c r="BH787" i="11"/>
  <c r="BI787" i="11"/>
  <c r="BJ787" i="11"/>
  <c r="BH788" i="11"/>
  <c r="BI788" i="11"/>
  <c r="BJ788" i="11"/>
  <c r="BH789" i="11"/>
  <c r="BI789" i="11"/>
  <c r="BJ789" i="11"/>
  <c r="BH790" i="11"/>
  <c r="BI790" i="11"/>
  <c r="BJ790" i="11"/>
  <c r="BH791" i="11"/>
  <c r="BI791" i="11"/>
  <c r="BJ791" i="11"/>
  <c r="BH792" i="11"/>
  <c r="BI792" i="11"/>
  <c r="BJ792" i="11"/>
  <c r="BH793" i="11"/>
  <c r="BI793" i="11"/>
  <c r="BJ793" i="11"/>
  <c r="BH794" i="11"/>
  <c r="BI794" i="11"/>
  <c r="BJ794" i="11"/>
  <c r="BH795" i="11"/>
  <c r="BI795" i="11"/>
  <c r="BJ795" i="11"/>
  <c r="BH796" i="11"/>
  <c r="BI796" i="11"/>
  <c r="BJ796" i="11"/>
  <c r="BH797" i="11"/>
  <c r="BI797" i="11"/>
  <c r="BJ797" i="11"/>
  <c r="BH798" i="11"/>
  <c r="BI798" i="11"/>
  <c r="BJ798" i="11"/>
  <c r="BH799" i="11"/>
  <c r="BI799" i="11"/>
  <c r="BJ799" i="11"/>
  <c r="BH800" i="11"/>
  <c r="BI800" i="11"/>
  <c r="BJ800" i="11"/>
  <c r="BH801" i="11"/>
  <c r="BI801" i="11"/>
  <c r="BJ801" i="11"/>
  <c r="BH802" i="11"/>
  <c r="BI802" i="11"/>
  <c r="BJ802" i="11"/>
  <c r="BH803" i="11"/>
  <c r="BI803" i="11"/>
  <c r="BJ803" i="11"/>
  <c r="BH804" i="11"/>
  <c r="BI804" i="11"/>
  <c r="BJ804" i="11"/>
  <c r="BH805" i="11"/>
  <c r="BI805" i="11"/>
  <c r="BJ805" i="11"/>
  <c r="BH806" i="11"/>
  <c r="BI806" i="11"/>
  <c r="BJ806" i="11"/>
  <c r="BH807" i="11"/>
  <c r="BI807" i="11"/>
  <c r="BJ807" i="11"/>
  <c r="BH808" i="11"/>
  <c r="BI808" i="11"/>
  <c r="BJ808" i="11"/>
  <c r="BH809" i="11"/>
  <c r="BI809" i="11"/>
  <c r="BJ809" i="11"/>
  <c r="BH810" i="11"/>
  <c r="BI810" i="11"/>
  <c r="BJ810" i="11"/>
  <c r="BH811" i="11"/>
  <c r="BI811" i="11"/>
  <c r="BJ811" i="11"/>
  <c r="BH812" i="11"/>
  <c r="BI812" i="11"/>
  <c r="BJ812" i="11"/>
  <c r="BH813" i="11"/>
  <c r="BI813" i="11"/>
  <c r="BJ813" i="11"/>
  <c r="BH814" i="11"/>
  <c r="BI814" i="11"/>
  <c r="BJ814" i="11"/>
  <c r="BH815" i="11"/>
  <c r="BI815" i="11"/>
  <c r="BJ815" i="11"/>
  <c r="BH816" i="11"/>
  <c r="BI816" i="11"/>
  <c r="BJ816" i="11"/>
  <c r="BH817" i="11"/>
  <c r="BI817" i="11"/>
  <c r="BJ817" i="11"/>
  <c r="BH818" i="11"/>
  <c r="BI818" i="11"/>
  <c r="BJ818" i="11"/>
  <c r="BH819" i="11"/>
  <c r="BI819" i="11"/>
  <c r="BJ819" i="11"/>
  <c r="BH820" i="11"/>
  <c r="BI820" i="11"/>
  <c r="BJ820" i="11"/>
  <c r="BH821" i="11"/>
  <c r="BI821" i="11"/>
  <c r="BJ821" i="11"/>
  <c r="BH822" i="11"/>
  <c r="BI822" i="11"/>
  <c r="BJ822" i="11"/>
  <c r="BH823" i="11"/>
  <c r="BI823" i="11"/>
  <c r="BJ823" i="11"/>
  <c r="BH824" i="11"/>
  <c r="BI824" i="11"/>
  <c r="BJ824" i="11"/>
  <c r="BH825" i="11"/>
  <c r="BI825" i="11"/>
  <c r="BJ825" i="11"/>
  <c r="BH828" i="11"/>
  <c r="BI828" i="11"/>
  <c r="BJ828" i="11"/>
  <c r="BH829" i="11"/>
  <c r="BJ829" i="11"/>
  <c r="BH830" i="11"/>
  <c r="BI830" i="11"/>
  <c r="BJ830" i="11"/>
  <c r="BH831" i="11"/>
  <c r="BI831" i="11"/>
  <c r="BJ831" i="11"/>
  <c r="BH832" i="11"/>
  <c r="BI832" i="11"/>
  <c r="BJ832" i="11"/>
  <c r="BH833" i="11"/>
  <c r="BI833" i="11"/>
  <c r="BJ833" i="11"/>
  <c r="BH826" i="11"/>
  <c r="BI826" i="11"/>
  <c r="BJ826" i="11"/>
  <c r="BH827" i="11"/>
  <c r="BI827" i="11"/>
  <c r="BJ827" i="11"/>
  <c r="BH834" i="11"/>
  <c r="BI834" i="11"/>
  <c r="BJ834" i="11"/>
  <c r="BH835" i="11"/>
  <c r="BI835" i="11"/>
  <c r="BJ835" i="11"/>
  <c r="BH838" i="11"/>
  <c r="BI838" i="11"/>
  <c r="BJ838" i="11"/>
  <c r="BH839" i="11"/>
  <c r="BI839" i="11"/>
  <c r="BJ839" i="11"/>
  <c r="BH840" i="11"/>
  <c r="BI840" i="11"/>
  <c r="BJ840" i="11"/>
  <c r="BH841" i="11"/>
  <c r="BI841" i="11"/>
  <c r="BJ841" i="11"/>
  <c r="BH842" i="11"/>
  <c r="BI842" i="11"/>
  <c r="BJ842" i="11"/>
  <c r="BH843" i="11"/>
  <c r="BI843" i="11"/>
  <c r="BJ843" i="11"/>
  <c r="BH844" i="11"/>
  <c r="BI844" i="11"/>
  <c r="BJ844" i="11"/>
  <c r="BH845" i="11"/>
  <c r="BI845" i="11"/>
  <c r="BJ845" i="11"/>
  <c r="BH836" i="11"/>
  <c r="BI836" i="11"/>
  <c r="BJ836" i="11"/>
  <c r="BH837" i="11"/>
  <c r="BI837" i="11"/>
  <c r="BJ837" i="11"/>
  <c r="BH846" i="11"/>
  <c r="BI846" i="11"/>
  <c r="BJ846" i="11"/>
  <c r="BH847" i="11"/>
  <c r="BI847" i="11"/>
  <c r="BJ847" i="11"/>
  <c r="BH848" i="11"/>
  <c r="BI848" i="11"/>
  <c r="BJ848" i="11"/>
  <c r="BH849" i="11"/>
  <c r="BI849" i="11"/>
  <c r="BJ849" i="11"/>
  <c r="BH850" i="11"/>
  <c r="BI850" i="11"/>
  <c r="BJ850" i="11"/>
  <c r="BH851" i="11"/>
  <c r="BI851" i="11"/>
  <c r="BJ851" i="11"/>
  <c r="BH852" i="11"/>
  <c r="BI852" i="11"/>
  <c r="BJ852" i="11"/>
  <c r="BH853" i="11"/>
  <c r="BI853" i="11"/>
  <c r="BJ853" i="11"/>
  <c r="BH854" i="11"/>
  <c r="BI854" i="11"/>
  <c r="BJ854" i="11"/>
  <c r="BH855" i="11"/>
  <c r="BI855" i="11"/>
  <c r="BJ855" i="11"/>
  <c r="BH856" i="11"/>
  <c r="BI856" i="11"/>
  <c r="BJ856" i="11"/>
  <c r="BH857" i="11"/>
  <c r="BI857" i="11"/>
  <c r="BJ857" i="11"/>
  <c r="BH858" i="11"/>
  <c r="BI858" i="11"/>
  <c r="BJ858" i="11"/>
  <c r="BH859" i="11"/>
  <c r="BI859" i="11"/>
  <c r="BJ859" i="11"/>
  <c r="BH860" i="11"/>
  <c r="BI860" i="11"/>
  <c r="BJ860" i="11"/>
  <c r="BH861" i="11"/>
  <c r="BI861" i="11"/>
  <c r="BJ861" i="11"/>
  <c r="BH862" i="11"/>
  <c r="BI862" i="11"/>
  <c r="BJ862" i="11"/>
  <c r="BH863" i="11"/>
  <c r="BI863" i="11"/>
  <c r="BJ863" i="11"/>
  <c r="BH864" i="11"/>
  <c r="BI864" i="11"/>
  <c r="BJ864" i="11"/>
  <c r="BI865" i="11"/>
  <c r="BJ865" i="11"/>
  <c r="BH866" i="11"/>
  <c r="BI866" i="11"/>
  <c r="BJ866" i="11"/>
  <c r="BH867" i="11"/>
  <c r="BI867" i="11"/>
  <c r="BJ867" i="11"/>
  <c r="BH868" i="11"/>
  <c r="BI868" i="11"/>
  <c r="BJ868" i="11"/>
  <c r="BH869" i="11"/>
  <c r="BI869" i="11"/>
  <c r="BJ869" i="11"/>
  <c r="BH870" i="11"/>
  <c r="BI870" i="11"/>
  <c r="BJ870" i="11"/>
  <c r="BH871" i="11"/>
  <c r="BI871" i="11"/>
  <c r="BJ871" i="11"/>
  <c r="BH872" i="11"/>
  <c r="BI872" i="11"/>
  <c r="BJ872" i="11"/>
  <c r="BH873" i="11"/>
  <c r="BI873" i="11"/>
  <c r="BJ873" i="11"/>
  <c r="BH874" i="11"/>
  <c r="BI874" i="11"/>
  <c r="BJ874" i="11"/>
  <c r="BH875" i="11"/>
  <c r="BI875" i="11"/>
  <c r="BJ875" i="11"/>
  <c r="BH876" i="11"/>
  <c r="BI876" i="11"/>
  <c r="BJ876" i="11"/>
  <c r="BH878" i="11"/>
  <c r="BI878" i="11"/>
  <c r="BJ878" i="11"/>
  <c r="BH879" i="11"/>
  <c r="BI879" i="11"/>
  <c r="BJ879" i="11"/>
  <c r="BH880" i="11"/>
  <c r="BI880" i="11"/>
  <c r="BJ880" i="11"/>
  <c r="BH881" i="11"/>
  <c r="BI881" i="11"/>
  <c r="BJ881" i="11"/>
  <c r="BH877" i="11"/>
  <c r="BI877" i="11"/>
  <c r="BJ877" i="11"/>
  <c r="BH882" i="11"/>
  <c r="BI882" i="11"/>
  <c r="BJ882" i="11"/>
  <c r="BH883" i="11"/>
  <c r="BI883" i="11"/>
  <c r="BJ883" i="11"/>
  <c r="BH884" i="11"/>
  <c r="BI884" i="11"/>
  <c r="BJ884" i="11"/>
  <c r="BH885" i="11"/>
  <c r="BI885" i="11"/>
  <c r="BJ885" i="11"/>
  <c r="BH886" i="11"/>
  <c r="BI886" i="11"/>
  <c r="BJ886" i="11"/>
  <c r="BH887" i="11"/>
  <c r="BI887" i="11"/>
  <c r="BJ887" i="11"/>
  <c r="BH888" i="11"/>
  <c r="BI888" i="11"/>
  <c r="BJ888" i="11"/>
  <c r="BH889" i="11"/>
  <c r="BI889" i="11"/>
  <c r="BJ889" i="11"/>
  <c r="BH890" i="11"/>
  <c r="BI890" i="11"/>
  <c r="BJ890" i="11"/>
  <c r="BH891" i="11"/>
  <c r="BI891" i="11"/>
  <c r="BJ891" i="11"/>
  <c r="BH892" i="11"/>
  <c r="BI892" i="11"/>
  <c r="BJ892" i="11"/>
  <c r="BH893" i="11"/>
  <c r="BI893" i="11"/>
  <c r="BJ893" i="11"/>
  <c r="BH894" i="11"/>
  <c r="BI894" i="11"/>
  <c r="BJ894" i="11"/>
  <c r="BH895" i="11"/>
  <c r="BI895" i="11"/>
  <c r="BJ895" i="11"/>
  <c r="BH896" i="11"/>
  <c r="BI896" i="11"/>
  <c r="BJ896" i="11"/>
  <c r="BH897" i="11"/>
  <c r="BI897" i="11"/>
  <c r="BJ897" i="11"/>
  <c r="BH898" i="11"/>
  <c r="BI898" i="11"/>
  <c r="BJ898" i="11"/>
  <c r="BH899" i="11"/>
  <c r="BI899" i="11"/>
  <c r="BJ899" i="11"/>
  <c r="BH900" i="11"/>
  <c r="BI900" i="11"/>
  <c r="BJ900" i="11"/>
  <c r="BH901" i="11"/>
  <c r="BI901" i="11"/>
  <c r="BJ901" i="11"/>
  <c r="BH902" i="11"/>
  <c r="BI902" i="11"/>
  <c r="BJ902" i="11"/>
  <c r="BH903" i="11"/>
  <c r="BI903" i="11"/>
  <c r="BJ903" i="11"/>
  <c r="BH904" i="11"/>
  <c r="BI904" i="11"/>
  <c r="BJ904" i="11"/>
  <c r="BH905" i="11"/>
  <c r="BI905" i="11"/>
  <c r="BJ905" i="11"/>
  <c r="BH906" i="11"/>
  <c r="BI906" i="11"/>
  <c r="BJ906" i="11"/>
  <c r="BH907" i="11"/>
  <c r="BI907" i="11"/>
  <c r="BJ907" i="11"/>
  <c r="BH908" i="11"/>
  <c r="BI908" i="11"/>
  <c r="BJ908" i="11"/>
  <c r="BH909" i="11"/>
  <c r="BI909" i="11"/>
  <c r="BJ909" i="11"/>
  <c r="BH910" i="11"/>
  <c r="BI910" i="11"/>
  <c r="BJ910" i="11"/>
  <c r="BH911" i="11"/>
  <c r="BI911" i="11"/>
  <c r="BJ911" i="11"/>
  <c r="BH912" i="11"/>
  <c r="BI912" i="11"/>
  <c r="BJ912" i="11"/>
  <c r="BH913" i="11"/>
  <c r="BI913" i="11"/>
  <c r="BJ913" i="11"/>
  <c r="BH914" i="11"/>
  <c r="BI914" i="11"/>
  <c r="BJ914" i="11"/>
  <c r="BH915" i="11"/>
  <c r="BI915" i="11"/>
  <c r="BJ915" i="11"/>
  <c r="BH916" i="11"/>
  <c r="BI916" i="11"/>
  <c r="BJ916" i="11"/>
  <c r="BH917" i="11"/>
  <c r="BI917" i="11"/>
  <c r="BJ917" i="11"/>
  <c r="BH918" i="11"/>
  <c r="BI918" i="11"/>
  <c r="BJ918" i="11"/>
  <c r="BH919" i="11"/>
  <c r="BI919" i="11"/>
  <c r="BJ919" i="11"/>
  <c r="BH920" i="11"/>
  <c r="BI920" i="11"/>
  <c r="BJ920" i="11"/>
  <c r="BH921" i="11"/>
  <c r="BI921" i="11"/>
  <c r="BJ921" i="11"/>
  <c r="BH922" i="11"/>
  <c r="BI922" i="11"/>
  <c r="BJ922" i="11"/>
  <c r="BH923" i="11"/>
  <c r="BI923" i="11"/>
  <c r="BJ923" i="11"/>
  <c r="BH924" i="11"/>
  <c r="BI924" i="11"/>
  <c r="BJ924" i="11"/>
  <c r="BH925" i="11"/>
  <c r="BI925" i="11"/>
  <c r="BJ925" i="11"/>
  <c r="BH926" i="11"/>
  <c r="BI926" i="11"/>
  <c r="BJ926" i="11"/>
  <c r="BH927" i="11"/>
  <c r="BI927" i="11"/>
  <c r="BJ927" i="11"/>
  <c r="BH928" i="11"/>
  <c r="BI928" i="11"/>
  <c r="BJ928" i="11"/>
  <c r="BH929" i="11"/>
  <c r="BI929" i="11"/>
  <c r="BJ929" i="11"/>
  <c r="BH933" i="11"/>
  <c r="BI933" i="11"/>
  <c r="BJ933" i="11"/>
  <c r="BH934" i="11"/>
  <c r="BI934" i="11"/>
  <c r="BJ934" i="11"/>
  <c r="BH935" i="11"/>
  <c r="BI935" i="11"/>
  <c r="BJ935" i="11"/>
  <c r="BH936" i="11"/>
  <c r="BI936" i="11"/>
  <c r="BJ936" i="11"/>
  <c r="BH937" i="11"/>
  <c r="BI937" i="11"/>
  <c r="BJ937" i="11"/>
  <c r="BH939" i="11"/>
  <c r="BI939" i="11"/>
  <c r="BJ939" i="11"/>
  <c r="BH956" i="11"/>
  <c r="BI956" i="11"/>
  <c r="BJ956" i="11"/>
  <c r="BH957" i="11"/>
  <c r="BI957" i="11"/>
  <c r="BJ957" i="11"/>
  <c r="BH958" i="11"/>
  <c r="BI958" i="11"/>
  <c r="BJ958" i="11"/>
  <c r="BH2" i="11"/>
  <c r="BI2" i="11"/>
  <c r="BJ2" i="11"/>
  <c r="BH3" i="11"/>
  <c r="BI3" i="11"/>
  <c r="BJ3" i="11"/>
  <c r="BH4" i="11"/>
  <c r="BI4" i="11"/>
  <c r="BJ4" i="11"/>
  <c r="BH5" i="11"/>
  <c r="BI5" i="11"/>
  <c r="BJ5" i="11"/>
  <c r="AW2" i="11"/>
  <c r="AW3"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AW137" i="11"/>
  <c r="AW138" i="11"/>
  <c r="AW139" i="11"/>
  <c r="AW140" i="11"/>
  <c r="AW141" i="11"/>
  <c r="AW142" i="11"/>
  <c r="AW143" i="11"/>
  <c r="AW144" i="11"/>
  <c r="AW145" i="11"/>
  <c r="AW146" i="11"/>
  <c r="AW147" i="11"/>
  <c r="AW148" i="11"/>
  <c r="AW149" i="11"/>
  <c r="AW150" i="11"/>
  <c r="AW151" i="11"/>
  <c r="AW152" i="11"/>
  <c r="AW153" i="11"/>
  <c r="AW154" i="11"/>
  <c r="AW155" i="11"/>
  <c r="AW156" i="11"/>
  <c r="AW157" i="11"/>
  <c r="AW158" i="11"/>
  <c r="AW159" i="11"/>
  <c r="AW160" i="11"/>
  <c r="AW161" i="11"/>
  <c r="AW162" i="11"/>
  <c r="AW163" i="11"/>
  <c r="AW164" i="11"/>
  <c r="AW165" i="11"/>
  <c r="AW166" i="11"/>
  <c r="AW167" i="11"/>
  <c r="AW168" i="11"/>
  <c r="AW169" i="11"/>
  <c r="AW170" i="11"/>
  <c r="AW171" i="11"/>
  <c r="AW172" i="11"/>
  <c r="AW173" i="11"/>
  <c r="AW174" i="11"/>
  <c r="AW175" i="11"/>
  <c r="AW176" i="11"/>
  <c r="AW177" i="11"/>
  <c r="AW178" i="11"/>
  <c r="AW179" i="11"/>
  <c r="AW180" i="11"/>
  <c r="AW181" i="11"/>
  <c r="AW182" i="11"/>
  <c r="AW183" i="11"/>
  <c r="AW184" i="11"/>
  <c r="AW185" i="11"/>
  <c r="AW186" i="11"/>
  <c r="AW187" i="11"/>
  <c r="AW188" i="11"/>
  <c r="AW189" i="11"/>
  <c r="AW190" i="11"/>
  <c r="AW191" i="11"/>
  <c r="AW192" i="11"/>
  <c r="AW193" i="11"/>
  <c r="AW194" i="11"/>
  <c r="AW195" i="11"/>
  <c r="AW196" i="11"/>
  <c r="AW197" i="11"/>
  <c r="AW198" i="11"/>
  <c r="AW199" i="11"/>
  <c r="AW200" i="11"/>
  <c r="AW201" i="11"/>
  <c r="AW202" i="11"/>
  <c r="AW203" i="11"/>
  <c r="AW204" i="11"/>
  <c r="AW205" i="11"/>
  <c r="AW206" i="11"/>
  <c r="AW207" i="11"/>
  <c r="AW208" i="11"/>
  <c r="AW209" i="11"/>
  <c r="AW210" i="11"/>
  <c r="AW211" i="11"/>
  <c r="AW212" i="11"/>
  <c r="AW213" i="11"/>
  <c r="AW214" i="11"/>
  <c r="AW215" i="11"/>
  <c r="AW216" i="11"/>
  <c r="AW217" i="11"/>
  <c r="AW218" i="11"/>
  <c r="AW219" i="11"/>
  <c r="AW220" i="11"/>
  <c r="AW221" i="11"/>
  <c r="AW222" i="11"/>
  <c r="AW223" i="11"/>
  <c r="AW224" i="11"/>
  <c r="AW225" i="11"/>
  <c r="AW226" i="11"/>
  <c r="AW227" i="11"/>
  <c r="AW228" i="11"/>
  <c r="AW229" i="11"/>
  <c r="AW230" i="11"/>
  <c r="AW231" i="11"/>
  <c r="AW232" i="11"/>
  <c r="AW233" i="11"/>
  <c r="AW234" i="11"/>
  <c r="AW235" i="11"/>
  <c r="AW236" i="11"/>
  <c r="AW237" i="11"/>
  <c r="AW238" i="11"/>
  <c r="AW239" i="11"/>
  <c r="AW240" i="11"/>
  <c r="AW241" i="11"/>
  <c r="AW242" i="11"/>
  <c r="AW243" i="11"/>
  <c r="AW244" i="11"/>
  <c r="AW245" i="11"/>
  <c r="AW246" i="11"/>
  <c r="AW247" i="11"/>
  <c r="AW248" i="11"/>
  <c r="AW249" i="11"/>
  <c r="AW250" i="11"/>
  <c r="AW251" i="11"/>
  <c r="AW252" i="11"/>
  <c r="AW253" i="11"/>
  <c r="AW254" i="11"/>
  <c r="AW255" i="11"/>
  <c r="AW256" i="11"/>
  <c r="AW257" i="11"/>
  <c r="AW258" i="11"/>
  <c r="AW259" i="11"/>
  <c r="AW260" i="11"/>
  <c r="AW261" i="11"/>
  <c r="AW262" i="11"/>
  <c r="AW263" i="11"/>
  <c r="AW264" i="11"/>
  <c r="AW265" i="11"/>
  <c r="AW266" i="11"/>
  <c r="AW267" i="11"/>
  <c r="AW268" i="11"/>
  <c r="AW269" i="11"/>
  <c r="AW270" i="11"/>
  <c r="AW271" i="11"/>
  <c r="AW272" i="11"/>
  <c r="AW273" i="11"/>
  <c r="AW274" i="11"/>
  <c r="AW275" i="11"/>
  <c r="AW276" i="11"/>
  <c r="AW277" i="11"/>
  <c r="AW278" i="11"/>
  <c r="AW279" i="11"/>
  <c r="AW280" i="11"/>
  <c r="AW281" i="11"/>
  <c r="AW282" i="11"/>
  <c r="AW283" i="11"/>
  <c r="AW284" i="11"/>
  <c r="AW285" i="11"/>
  <c r="AW286" i="11"/>
  <c r="AW287" i="11"/>
  <c r="AW288" i="11"/>
  <c r="AW289" i="11"/>
  <c r="AW290" i="11"/>
  <c r="AW291" i="11"/>
  <c r="AW292" i="11"/>
  <c r="AW293" i="11"/>
  <c r="AW294" i="11"/>
  <c r="AW295" i="11"/>
  <c r="AW296" i="11"/>
  <c r="AW297" i="11"/>
  <c r="AW298" i="11"/>
  <c r="AW299" i="11"/>
  <c r="AW300" i="11"/>
  <c r="AW301" i="11"/>
  <c r="AW302" i="11"/>
  <c r="AW303" i="11"/>
  <c r="AW304" i="11"/>
  <c r="AW305" i="11"/>
  <c r="AW306" i="11"/>
  <c r="AW307" i="11"/>
  <c r="AW308" i="11"/>
  <c r="AW309" i="11"/>
  <c r="AW310" i="11"/>
  <c r="AW311" i="11"/>
  <c r="AW312" i="11"/>
  <c r="AW313" i="11"/>
  <c r="AW314" i="11"/>
  <c r="AW315" i="11"/>
  <c r="AW316" i="11"/>
  <c r="AW317" i="11"/>
  <c r="AW318" i="11"/>
  <c r="AW319" i="11"/>
  <c r="AW320" i="11"/>
  <c r="AW321" i="11"/>
  <c r="AW322" i="11"/>
  <c r="AW323" i="11"/>
  <c r="AW324" i="11"/>
  <c r="AW325" i="11"/>
  <c r="AW326" i="11"/>
  <c r="AW327" i="11"/>
  <c r="AW331" i="11"/>
  <c r="AW332" i="11"/>
  <c r="AW333" i="11"/>
  <c r="AW328" i="11"/>
  <c r="AW329" i="11"/>
  <c r="AW330" i="11"/>
  <c r="AW334" i="11"/>
  <c r="AW335" i="11"/>
  <c r="AW336" i="11"/>
  <c r="AW337" i="11"/>
  <c r="AW338" i="11"/>
  <c r="AW339" i="11"/>
  <c r="AW340" i="11"/>
  <c r="AW341" i="11"/>
  <c r="AW342" i="11"/>
  <c r="AW343" i="11"/>
  <c r="AW344" i="11"/>
  <c r="AW345" i="11"/>
  <c r="AW346" i="11"/>
  <c r="AW347" i="11"/>
  <c r="AW348" i="11"/>
  <c r="AW349" i="11"/>
  <c r="AW350" i="11"/>
  <c r="AW351" i="11"/>
  <c r="AW352" i="11"/>
  <c r="AW353" i="11"/>
  <c r="AW354" i="11"/>
  <c r="AW355" i="11"/>
  <c r="AW356" i="11"/>
  <c r="AW357" i="11"/>
  <c r="AW358" i="11"/>
  <c r="AW359" i="11"/>
  <c r="AW360" i="11"/>
  <c r="AW361" i="11"/>
  <c r="AW362" i="11"/>
  <c r="AW363" i="11"/>
  <c r="AW364" i="11"/>
  <c r="AW365" i="11"/>
  <c r="AW366" i="11"/>
  <c r="AW367" i="11"/>
  <c r="AW368" i="11"/>
  <c r="AW369" i="11"/>
  <c r="AW370" i="11"/>
  <c r="AW371" i="11"/>
  <c r="AW372" i="11"/>
  <c r="AW373" i="11"/>
  <c r="AW374" i="11"/>
  <c r="AW375" i="11"/>
  <c r="AW376" i="11"/>
  <c r="AW377" i="11"/>
  <c r="AW378" i="11"/>
  <c r="AW379" i="11"/>
  <c r="AW380" i="11"/>
  <c r="AW381" i="11"/>
  <c r="AW382" i="11"/>
  <c r="AW383" i="11"/>
  <c r="AW384" i="11"/>
  <c r="AW385" i="11"/>
  <c r="AW386" i="11"/>
  <c r="AW387" i="11"/>
  <c r="AW388" i="11"/>
  <c r="AW389" i="11"/>
  <c r="AW390" i="11"/>
  <c r="AW391" i="11"/>
  <c r="AW392" i="11"/>
  <c r="AW393" i="11"/>
  <c r="AW394" i="11"/>
  <c r="AW395" i="11"/>
  <c r="AW396" i="11"/>
  <c r="AW397" i="11"/>
  <c r="AW398" i="11"/>
  <c r="AW399" i="11"/>
  <c r="AW400" i="11"/>
  <c r="AW401" i="11"/>
  <c r="AW402" i="11"/>
  <c r="AW403" i="11"/>
  <c r="AW404" i="11"/>
  <c r="AW405" i="11"/>
  <c r="AW406" i="11"/>
  <c r="AW407" i="11"/>
  <c r="AW408" i="11"/>
  <c r="AW409" i="11"/>
  <c r="AW410" i="11"/>
  <c r="AW411" i="11"/>
  <c r="AW412" i="11"/>
  <c r="AW413" i="11"/>
  <c r="AW414" i="11"/>
  <c r="AW415" i="11"/>
  <c r="AW416" i="11"/>
  <c r="AW417" i="11"/>
  <c r="AW418" i="11"/>
  <c r="AW419" i="11"/>
  <c r="AW420" i="11"/>
  <c r="AW421" i="11"/>
  <c r="AW422" i="11"/>
  <c r="AW423" i="11"/>
  <c r="AW424" i="11"/>
  <c r="AW425" i="11"/>
  <c r="AW426" i="11"/>
  <c r="AW427" i="11"/>
  <c r="AW428" i="11"/>
  <c r="AW429" i="11"/>
  <c r="AW430" i="11"/>
  <c r="AW431" i="11"/>
  <c r="AW432" i="11"/>
  <c r="AW433" i="11"/>
  <c r="AW434" i="11"/>
  <c r="AW435" i="11"/>
  <c r="AW436" i="11"/>
  <c r="AW437" i="11"/>
  <c r="AW438" i="11"/>
  <c r="AW439" i="11"/>
  <c r="AW440" i="11"/>
  <c r="AW441" i="11"/>
  <c r="AW442" i="11"/>
  <c r="AW443" i="11"/>
  <c r="AW444" i="11"/>
  <c r="AW445" i="11"/>
  <c r="AW446" i="11"/>
  <c r="AW447" i="11"/>
  <c r="AW448" i="11"/>
  <c r="AW449" i="11"/>
  <c r="AW450" i="11"/>
  <c r="AW451" i="11"/>
  <c r="AW452" i="11"/>
  <c r="AW453" i="11"/>
  <c r="AW454" i="11"/>
  <c r="AW455" i="11"/>
  <c r="AW456" i="11"/>
  <c r="AW457" i="11"/>
  <c r="AW458" i="11"/>
  <c r="AW459" i="11"/>
  <c r="AW460" i="11"/>
  <c r="AW461" i="11"/>
  <c r="AW462" i="11"/>
  <c r="AW463" i="11"/>
  <c r="AW465" i="11"/>
  <c r="AW466" i="11"/>
  <c r="AW467" i="11"/>
  <c r="AW468" i="11"/>
  <c r="AW469" i="11"/>
  <c r="AW470" i="11"/>
  <c r="AW471" i="11"/>
  <c r="AW472" i="11"/>
  <c r="AW473" i="11"/>
  <c r="AW474" i="11"/>
  <c r="AW475" i="11"/>
  <c r="AW476" i="11"/>
  <c r="AW477" i="11"/>
  <c r="AW478" i="11"/>
  <c r="AW479" i="11"/>
  <c r="AW480" i="11"/>
  <c r="AW481" i="11"/>
  <c r="AW482" i="11"/>
  <c r="AW483" i="11"/>
  <c r="AW484" i="11"/>
  <c r="AW485" i="11"/>
  <c r="AW486" i="11"/>
  <c r="AW487" i="11"/>
  <c r="AW488" i="11"/>
  <c r="AW489" i="11"/>
  <c r="AW490" i="11"/>
  <c r="AW491" i="11"/>
  <c r="AW492" i="11"/>
  <c r="AW493" i="11"/>
  <c r="AW494" i="11"/>
  <c r="AW495" i="11"/>
  <c r="AW496" i="11"/>
  <c r="AW497" i="11"/>
  <c r="AW498" i="11"/>
  <c r="AW499" i="11"/>
  <c r="AW500" i="11"/>
  <c r="AW501" i="11"/>
  <c r="AW502" i="11"/>
  <c r="AW503" i="11"/>
  <c r="AW504" i="11"/>
  <c r="AW505" i="11"/>
  <c r="AW506" i="11"/>
  <c r="AW507" i="11"/>
  <c r="AW508" i="11"/>
  <c r="AW509" i="11"/>
  <c r="AW510" i="11"/>
  <c r="AW511" i="11"/>
  <c r="AW512" i="11"/>
  <c r="AW513" i="11"/>
  <c r="AW514" i="11"/>
  <c r="AW515" i="11"/>
  <c r="AW516" i="11"/>
  <c r="AW517" i="11"/>
  <c r="AW518" i="11"/>
  <c r="AW519" i="11"/>
  <c r="AW520" i="11"/>
  <c r="AW521" i="11"/>
  <c r="AW522" i="11"/>
  <c r="AW523" i="11"/>
  <c r="AW524" i="11"/>
  <c r="AW525" i="11"/>
  <c r="AW526" i="11"/>
  <c r="AW527" i="11"/>
  <c r="AW528" i="11"/>
  <c r="AW529" i="11"/>
  <c r="AW530" i="11"/>
  <c r="AW531" i="11"/>
  <c r="AW532" i="11"/>
  <c r="AW533" i="11"/>
  <c r="AW534" i="11"/>
  <c r="AW535" i="11"/>
  <c r="AW536" i="11"/>
  <c r="AW537" i="11"/>
  <c r="AW538" i="11"/>
  <c r="AW539" i="11"/>
  <c r="AW540" i="11"/>
  <c r="AW541" i="11"/>
  <c r="AW542" i="11"/>
  <c r="AW543" i="11"/>
  <c r="AW544" i="11"/>
  <c r="AW545" i="11"/>
  <c r="AW546" i="11"/>
  <c r="AW547" i="11"/>
  <c r="AW548" i="11"/>
  <c r="AW549" i="11"/>
  <c r="AW550" i="11"/>
  <c r="AW551" i="11"/>
  <c r="AW554" i="11"/>
  <c r="AW552" i="11"/>
  <c r="AW553" i="11"/>
  <c r="AW556" i="11"/>
  <c r="AW557" i="11"/>
  <c r="AW558" i="11"/>
  <c r="AW559" i="11"/>
  <c r="AW560" i="11"/>
  <c r="AW561" i="11"/>
  <c r="AW562" i="11"/>
  <c r="AW563" i="11"/>
  <c r="AW564" i="11"/>
  <c r="AW555" i="11"/>
  <c r="AW565" i="11"/>
  <c r="AW566" i="11"/>
  <c r="AW567" i="11"/>
  <c r="AW568" i="11"/>
  <c r="AW569" i="11"/>
  <c r="AW570" i="11"/>
  <c r="AW571" i="11"/>
  <c r="AW572" i="11"/>
  <c r="AW573" i="11"/>
  <c r="AW574" i="11"/>
  <c r="AW575" i="11"/>
  <c r="AW576" i="11"/>
  <c r="AW577" i="11"/>
  <c r="AW578" i="11"/>
  <c r="AW579" i="11"/>
  <c r="AW580" i="11"/>
  <c r="AW581" i="11"/>
  <c r="AW582" i="11"/>
  <c r="AW583" i="11"/>
  <c r="AW584" i="11"/>
  <c r="AW585" i="11"/>
  <c r="AW586" i="11"/>
  <c r="AW587" i="11"/>
  <c r="AW588" i="11"/>
  <c r="AW589" i="11"/>
  <c r="AW590" i="11"/>
  <c r="AW591" i="11"/>
  <c r="AW592" i="11"/>
  <c r="AW593" i="11"/>
  <c r="AW594" i="11"/>
  <c r="AW595" i="11"/>
  <c r="AW596" i="11"/>
  <c r="AW597" i="11"/>
  <c r="AW598" i="11"/>
  <c r="AW599" i="11"/>
  <c r="AW600" i="11"/>
  <c r="AW601" i="11"/>
  <c r="AW602" i="11"/>
  <c r="AW603" i="11"/>
  <c r="AW604" i="11"/>
  <c r="AW605" i="11"/>
  <c r="AW606" i="11"/>
  <c r="AW607" i="11"/>
  <c r="AW608" i="11"/>
  <c r="AW609" i="11"/>
  <c r="AW610" i="11"/>
  <c r="AW611" i="11"/>
  <c r="AW612" i="11"/>
  <c r="AW613" i="11"/>
  <c r="AW614" i="11"/>
  <c r="AW615" i="11"/>
  <c r="AW616" i="11"/>
  <c r="AW617" i="11"/>
  <c r="AW618" i="11"/>
  <c r="AW619" i="11"/>
  <c r="AW631" i="11"/>
  <c r="AW620" i="11"/>
  <c r="AW621" i="11"/>
  <c r="AW622" i="11"/>
  <c r="AW623" i="11"/>
  <c r="AW624" i="11"/>
  <c r="AW625" i="11"/>
  <c r="AW626" i="11"/>
  <c r="AW627" i="11"/>
  <c r="AW628" i="11"/>
  <c r="AW629" i="11"/>
  <c r="AW630" i="11"/>
  <c r="AW632" i="11"/>
  <c r="AW633" i="11"/>
  <c r="AW634" i="11"/>
  <c r="AW635" i="11"/>
  <c r="AW636" i="11"/>
  <c r="AW637" i="11"/>
  <c r="AW638" i="11"/>
  <c r="AW639" i="11"/>
  <c r="AW640" i="11"/>
  <c r="AW641" i="11"/>
  <c r="AW642" i="11"/>
  <c r="AW643" i="11"/>
  <c r="AW644" i="11"/>
  <c r="AW645" i="11"/>
  <c r="AW646" i="11"/>
  <c r="AW647" i="11"/>
  <c r="AW648" i="11"/>
  <c r="AW649" i="11"/>
  <c r="AW650" i="11"/>
  <c r="AW651" i="11"/>
  <c r="AW652" i="11"/>
  <c r="AW653" i="11"/>
  <c r="AW654" i="11"/>
  <c r="AW655" i="11"/>
  <c r="AW656" i="11"/>
  <c r="AW657" i="11"/>
  <c r="AW658" i="11"/>
  <c r="AW659" i="11"/>
  <c r="AW660" i="11"/>
  <c r="AW661" i="11"/>
  <c r="AW662" i="11"/>
  <c r="AW663" i="11"/>
  <c r="AW664" i="11"/>
  <c r="AW665" i="11"/>
  <c r="AW666" i="11"/>
  <c r="AW667" i="11"/>
  <c r="AW668" i="11"/>
  <c r="AW669" i="11"/>
  <c r="AW670" i="11"/>
  <c r="AW671" i="11"/>
  <c r="AW672" i="11"/>
  <c r="AW673" i="11"/>
  <c r="AW674" i="11"/>
  <c r="AW675" i="11"/>
  <c r="AW676" i="11"/>
  <c r="AW677" i="11"/>
  <c r="AW678" i="11"/>
  <c r="AW679" i="11"/>
  <c r="AW680" i="11"/>
  <c r="AW681" i="11"/>
  <c r="AW682" i="11"/>
  <c r="AW683" i="11"/>
  <c r="AW684" i="11"/>
  <c r="AW685" i="11"/>
  <c r="AW686" i="11"/>
  <c r="AW687" i="11"/>
  <c r="AW688" i="11"/>
  <c r="AW689" i="11"/>
  <c r="AW690" i="11"/>
  <c r="AW691" i="11"/>
  <c r="AW692" i="11"/>
  <c r="AW693" i="11"/>
  <c r="AW694" i="11"/>
  <c r="AW695" i="11"/>
  <c r="AW696" i="11"/>
  <c r="AW697" i="11"/>
  <c r="AW698" i="11"/>
  <c r="AW699" i="11"/>
  <c r="AW700" i="11"/>
  <c r="AW701" i="11"/>
  <c r="AW702" i="11"/>
  <c r="AW704" i="11"/>
  <c r="AW703" i="11"/>
  <c r="AW705" i="11"/>
  <c r="AW706" i="11"/>
  <c r="AW707" i="11"/>
  <c r="AW708" i="11"/>
  <c r="AW709" i="11"/>
  <c r="AW710" i="11"/>
  <c r="AW711" i="11"/>
  <c r="AW712" i="11"/>
  <c r="AW713" i="11"/>
  <c r="AW714" i="11"/>
  <c r="AW715" i="11"/>
  <c r="AW716" i="11"/>
  <c r="AW717" i="11"/>
  <c r="AW718" i="11"/>
  <c r="AW719" i="11"/>
  <c r="AW720" i="11"/>
  <c r="AW721" i="11"/>
  <c r="AW722" i="11"/>
  <c r="AW723" i="11"/>
  <c r="AW724" i="11"/>
  <c r="AW725" i="11"/>
  <c r="AW726" i="11"/>
  <c r="AW727" i="11"/>
  <c r="AW728" i="11"/>
  <c r="AW729" i="11"/>
  <c r="AW730" i="11"/>
  <c r="AW731" i="11"/>
  <c r="AW732" i="11"/>
  <c r="AW733" i="11"/>
  <c r="AW734" i="11"/>
  <c r="AW735" i="11"/>
  <c r="AW736" i="11"/>
  <c r="AW737" i="11"/>
  <c r="AW738" i="11"/>
  <c r="AW739" i="11"/>
  <c r="AW740" i="11"/>
  <c r="AW741" i="11"/>
  <c r="AW742" i="11"/>
  <c r="AW743" i="11"/>
  <c r="AW744" i="11"/>
  <c r="AW745" i="11"/>
  <c r="AW746" i="11"/>
  <c r="AW747" i="11"/>
  <c r="AW748" i="11"/>
  <c r="AW750" i="11"/>
  <c r="AW751" i="11"/>
  <c r="AW752" i="11"/>
  <c r="AW753" i="11"/>
  <c r="AW754" i="11"/>
  <c r="AW755" i="11"/>
  <c r="AW756" i="11"/>
  <c r="AW757" i="11"/>
  <c r="AW758" i="11"/>
  <c r="AW759" i="11"/>
  <c r="AW760" i="11"/>
  <c r="AW761" i="11"/>
  <c r="AW762" i="11"/>
  <c r="AW749" i="11"/>
  <c r="AW763" i="11"/>
  <c r="AW764" i="11"/>
  <c r="AW765" i="11"/>
  <c r="AW766" i="11"/>
  <c r="AW767" i="11"/>
  <c r="AW768" i="11"/>
  <c r="AW769" i="11"/>
  <c r="AW770" i="11"/>
  <c r="AW771" i="11"/>
  <c r="AW772" i="11"/>
  <c r="AW773" i="11"/>
  <c r="AW774" i="11"/>
  <c r="AW775" i="11"/>
  <c r="AW776" i="11"/>
  <c r="AW777" i="11"/>
  <c r="AW778" i="11"/>
  <c r="AW779" i="11"/>
  <c r="AW780" i="11"/>
  <c r="AW783" i="11"/>
  <c r="AW781" i="11"/>
  <c r="AW782" i="11"/>
  <c r="AW784" i="11"/>
  <c r="AW785" i="11"/>
  <c r="AW786" i="11"/>
  <c r="AW787" i="11"/>
  <c r="AW788" i="11"/>
  <c r="AW789" i="11"/>
  <c r="AW790" i="11"/>
  <c r="AW791" i="11"/>
  <c r="AW792" i="11"/>
  <c r="AW793" i="11"/>
  <c r="AW794" i="11"/>
  <c r="AW795" i="11"/>
  <c r="AW796" i="11"/>
  <c r="AW797" i="11"/>
  <c r="AW798" i="11"/>
  <c r="AW799" i="11"/>
  <c r="AW800" i="11"/>
  <c r="AW801" i="11"/>
  <c r="AW802" i="11"/>
  <c r="AW803" i="11"/>
  <c r="AW804" i="11"/>
  <c r="AW805" i="11"/>
  <c r="AW806" i="11"/>
  <c r="AW807" i="11"/>
  <c r="AW808" i="11"/>
  <c r="AW809" i="11"/>
  <c r="AW810" i="11"/>
  <c r="AW811" i="11"/>
  <c r="AW812" i="11"/>
  <c r="AW813" i="11"/>
  <c r="AW814" i="11"/>
  <c r="AW815" i="11"/>
  <c r="AW816" i="11"/>
  <c r="AW817" i="11"/>
  <c r="AW818" i="11"/>
  <c r="AW819" i="11"/>
  <c r="AW820" i="11"/>
  <c r="AW821" i="11"/>
  <c r="AW822" i="11"/>
  <c r="AW823" i="11"/>
  <c r="AW824" i="11"/>
  <c r="AW825" i="11"/>
  <c r="AW828" i="11"/>
  <c r="AW829" i="11"/>
  <c r="AW830" i="11"/>
  <c r="AW831" i="11"/>
  <c r="AW832" i="11"/>
  <c r="AW833" i="11"/>
  <c r="AW826" i="11"/>
  <c r="AW827" i="11"/>
  <c r="AW834" i="11"/>
  <c r="AW835" i="11"/>
  <c r="AW838" i="11"/>
  <c r="AW839" i="11"/>
  <c r="AW840" i="11"/>
  <c r="AW841" i="11"/>
  <c r="AW842" i="11"/>
  <c r="AW843" i="11"/>
  <c r="AW844" i="11"/>
  <c r="AW845" i="11"/>
  <c r="AW836" i="11"/>
  <c r="AW837" i="11"/>
  <c r="AW846" i="11"/>
  <c r="AW847" i="11"/>
  <c r="AW848" i="11"/>
  <c r="AW849" i="11"/>
  <c r="AW850" i="11"/>
  <c r="AW851" i="11"/>
  <c r="AW852" i="11"/>
  <c r="AW853" i="11"/>
  <c r="AW854" i="11"/>
  <c r="AW855" i="11"/>
  <c r="AW856" i="11"/>
  <c r="AW857" i="11"/>
  <c r="AW858" i="11"/>
  <c r="AW859" i="11"/>
  <c r="AW860" i="11"/>
  <c r="AW861" i="11"/>
  <c r="AW862" i="11"/>
  <c r="AW863" i="11"/>
  <c r="AW864" i="11"/>
  <c r="AW865" i="11"/>
  <c r="AW866" i="11"/>
  <c r="AW867" i="11"/>
  <c r="AW868" i="11"/>
  <c r="AW869" i="11"/>
  <c r="AW870" i="11"/>
  <c r="AW871" i="11"/>
  <c r="AW872" i="11"/>
  <c r="AW873" i="11"/>
  <c r="AW874" i="11"/>
  <c r="AW875" i="11"/>
  <c r="AW876" i="11"/>
  <c r="AW878" i="11"/>
  <c r="AW879" i="11"/>
  <c r="AW880" i="11"/>
  <c r="AW881" i="11"/>
  <c r="AW877" i="11"/>
  <c r="AW882" i="11"/>
  <c r="AW883" i="11"/>
  <c r="AW884" i="11"/>
  <c r="AW885" i="11"/>
  <c r="AW886" i="11"/>
  <c r="AW887" i="11"/>
  <c r="AW888" i="11"/>
  <c r="AW889" i="11"/>
  <c r="AW890" i="11"/>
  <c r="AW891" i="11"/>
  <c r="AW892" i="11"/>
  <c r="AW893" i="11"/>
  <c r="AW894" i="11"/>
  <c r="AW895" i="11"/>
  <c r="AW896" i="11"/>
  <c r="AW897" i="11"/>
  <c r="AW898" i="11"/>
  <c r="AW899" i="11"/>
  <c r="AW900" i="11"/>
  <c r="AW901" i="11"/>
  <c r="AW902" i="11"/>
  <c r="AW903" i="11"/>
  <c r="AW904" i="11"/>
  <c r="AW905" i="11"/>
  <c r="AW906" i="11"/>
  <c r="AW907" i="11"/>
  <c r="AW908" i="11"/>
  <c r="AW909" i="11"/>
  <c r="AW910" i="11"/>
  <c r="AW911" i="11"/>
  <c r="AW912" i="11"/>
  <c r="AW913" i="11"/>
  <c r="AW914" i="11"/>
  <c r="AW915" i="11"/>
  <c r="AW916" i="11"/>
  <c r="AW917" i="11"/>
  <c r="AW918" i="11"/>
  <c r="AW919" i="11"/>
  <c r="AW920" i="11"/>
  <c r="AW921" i="11"/>
  <c r="AW922" i="11"/>
  <c r="AW923" i="11"/>
  <c r="AW924" i="11"/>
  <c r="AW925" i="11"/>
  <c r="AW926" i="11"/>
  <c r="AW927" i="11"/>
  <c r="AW928" i="11"/>
  <c r="AW929" i="11"/>
  <c r="AW933" i="11"/>
  <c r="AW934" i="11"/>
  <c r="AW935" i="11"/>
  <c r="AW936" i="11"/>
  <c r="AW937" i="11"/>
  <c r="AW939" i="11"/>
  <c r="AW956" i="11"/>
  <c r="AW957" i="11"/>
  <c r="AW958" i="11"/>
  <c r="AV2" i="11"/>
  <c r="AY2" i="11" s="1"/>
  <c r="AV3" i="11"/>
  <c r="AY3" i="11" s="1"/>
  <c r="AV4" i="11"/>
  <c r="AY4" i="11" s="1"/>
  <c r="AV5" i="11"/>
  <c r="AY5" i="11" s="1"/>
  <c r="AV6" i="11"/>
  <c r="AY6" i="11" s="1"/>
  <c r="AV7" i="11"/>
  <c r="AY7" i="11" s="1"/>
  <c r="AV8" i="11"/>
  <c r="AY8" i="11" s="1"/>
  <c r="AV9" i="11"/>
  <c r="AY9" i="11" s="1"/>
  <c r="AV10" i="11"/>
  <c r="AY10" i="11" s="1"/>
  <c r="AV11" i="11"/>
  <c r="AY11" i="11" s="1"/>
  <c r="AV12" i="11"/>
  <c r="AY12" i="11" s="1"/>
  <c r="AV13" i="11"/>
  <c r="AY13" i="11" s="1"/>
  <c r="AV14" i="11"/>
  <c r="AY14" i="11" s="1"/>
  <c r="AV15" i="11"/>
  <c r="AY15" i="11" s="1"/>
  <c r="AV16" i="11"/>
  <c r="AY16" i="11" s="1"/>
  <c r="AV17" i="11"/>
  <c r="AY17" i="11" s="1"/>
  <c r="AV18" i="11"/>
  <c r="AY18" i="11" s="1"/>
  <c r="AV19" i="11"/>
  <c r="AY19" i="11" s="1"/>
  <c r="AV20" i="11"/>
  <c r="AY20" i="11" s="1"/>
  <c r="AV21" i="11"/>
  <c r="AY21" i="11" s="1"/>
  <c r="AV22" i="11"/>
  <c r="AY22" i="11" s="1"/>
  <c r="AV23" i="11"/>
  <c r="AY23" i="11" s="1"/>
  <c r="AV24" i="11"/>
  <c r="AY24" i="11" s="1"/>
  <c r="AV25" i="11"/>
  <c r="AY25" i="11" s="1"/>
  <c r="AV26" i="11"/>
  <c r="AY26" i="11" s="1"/>
  <c r="AV27" i="11"/>
  <c r="AY27" i="11" s="1"/>
  <c r="AV28" i="11"/>
  <c r="AY28" i="11" s="1"/>
  <c r="AV29" i="11"/>
  <c r="AY29" i="11" s="1"/>
  <c r="AV30" i="11"/>
  <c r="AY30" i="11" s="1"/>
  <c r="AV31" i="11"/>
  <c r="AY31" i="11" s="1"/>
  <c r="AV32" i="11"/>
  <c r="AY32" i="11" s="1"/>
  <c r="AV33" i="11"/>
  <c r="AY33" i="11" s="1"/>
  <c r="AV34" i="11"/>
  <c r="AY34" i="11" s="1"/>
  <c r="AV35" i="11"/>
  <c r="AY35" i="11" s="1"/>
  <c r="AV36" i="11"/>
  <c r="AY36" i="11" s="1"/>
  <c r="AV37" i="11"/>
  <c r="AY37" i="11" s="1"/>
  <c r="AV38" i="11"/>
  <c r="AY38" i="11" s="1"/>
  <c r="AV39" i="11"/>
  <c r="AY39" i="11" s="1"/>
  <c r="AV40" i="11"/>
  <c r="AY40" i="11" s="1"/>
  <c r="AV41" i="11"/>
  <c r="AY41" i="11" s="1"/>
  <c r="AV42" i="11"/>
  <c r="AY42" i="11" s="1"/>
  <c r="AV43" i="11"/>
  <c r="AY43" i="11" s="1"/>
  <c r="AV44" i="11"/>
  <c r="AY44" i="11" s="1"/>
  <c r="AV45" i="11"/>
  <c r="AY45" i="11" s="1"/>
  <c r="AV46" i="11"/>
  <c r="AY46" i="11" s="1"/>
  <c r="AV47" i="11"/>
  <c r="AY47" i="11" s="1"/>
  <c r="AV48" i="11"/>
  <c r="AY48" i="11" s="1"/>
  <c r="AV49" i="11"/>
  <c r="AY49" i="11" s="1"/>
  <c r="AV50" i="11"/>
  <c r="AY50" i="11" s="1"/>
  <c r="AV51" i="11"/>
  <c r="AY51" i="11" s="1"/>
  <c r="AV52" i="11"/>
  <c r="AY52" i="11" s="1"/>
  <c r="AV53" i="11"/>
  <c r="AY53" i="11" s="1"/>
  <c r="AV54" i="11"/>
  <c r="AY54" i="11" s="1"/>
  <c r="AV55" i="11"/>
  <c r="AY55" i="11" s="1"/>
  <c r="AV56" i="11"/>
  <c r="AY56" i="11" s="1"/>
  <c r="AV57" i="11"/>
  <c r="AY57" i="11" s="1"/>
  <c r="AV58" i="11"/>
  <c r="AY58" i="11" s="1"/>
  <c r="AV59" i="11"/>
  <c r="AY59" i="11" s="1"/>
  <c r="AV60" i="11"/>
  <c r="AY60" i="11" s="1"/>
  <c r="AV61" i="11"/>
  <c r="AY61" i="11" s="1"/>
  <c r="AV62" i="11"/>
  <c r="AY62" i="11" s="1"/>
  <c r="AV63" i="11"/>
  <c r="AY63" i="11" s="1"/>
  <c r="AV64" i="11"/>
  <c r="AY64" i="11" s="1"/>
  <c r="AV65" i="11"/>
  <c r="AY65" i="11" s="1"/>
  <c r="AV66" i="11"/>
  <c r="AY66" i="11" s="1"/>
  <c r="AV67" i="11"/>
  <c r="AY67" i="11" s="1"/>
  <c r="AV68" i="11"/>
  <c r="AY68" i="11" s="1"/>
  <c r="AV69" i="11"/>
  <c r="AY69" i="11" s="1"/>
  <c r="AV70" i="11"/>
  <c r="AY70" i="11" s="1"/>
  <c r="AV71" i="11"/>
  <c r="AY71" i="11" s="1"/>
  <c r="AV72" i="11"/>
  <c r="AY72" i="11" s="1"/>
  <c r="AV73" i="11"/>
  <c r="AY73" i="11" s="1"/>
  <c r="AV74" i="11"/>
  <c r="AY74" i="11" s="1"/>
  <c r="AV75" i="11"/>
  <c r="AY75" i="11" s="1"/>
  <c r="AV76" i="11"/>
  <c r="AY76" i="11" s="1"/>
  <c r="AV77" i="11"/>
  <c r="AY77" i="11" s="1"/>
  <c r="AV78" i="11"/>
  <c r="AY78" i="11" s="1"/>
  <c r="AV79" i="11"/>
  <c r="AY79" i="11" s="1"/>
  <c r="AV80" i="11"/>
  <c r="AY80" i="11" s="1"/>
  <c r="AV81" i="11"/>
  <c r="AY81" i="11" s="1"/>
  <c r="AV82" i="11"/>
  <c r="AY82" i="11" s="1"/>
  <c r="AV83" i="11"/>
  <c r="AY83" i="11" s="1"/>
  <c r="AV84" i="11"/>
  <c r="AY84" i="11" s="1"/>
  <c r="AV85" i="11"/>
  <c r="AY85" i="11" s="1"/>
  <c r="AV86" i="11"/>
  <c r="AY86" i="11" s="1"/>
  <c r="AV87" i="11"/>
  <c r="AY87" i="11" s="1"/>
  <c r="AV88" i="11"/>
  <c r="AY88" i="11" s="1"/>
  <c r="AV89" i="11"/>
  <c r="AY89" i="11" s="1"/>
  <c r="AV90" i="11"/>
  <c r="AY90" i="11" s="1"/>
  <c r="AV91" i="11"/>
  <c r="AY91" i="11" s="1"/>
  <c r="AV92" i="11"/>
  <c r="AY92" i="11" s="1"/>
  <c r="AV93" i="11"/>
  <c r="AY93" i="11" s="1"/>
  <c r="AV94" i="11"/>
  <c r="AY94" i="11" s="1"/>
  <c r="AV95" i="11"/>
  <c r="AY95" i="11" s="1"/>
  <c r="AV96" i="11"/>
  <c r="AY96" i="11" s="1"/>
  <c r="AV97" i="11"/>
  <c r="AY97" i="11" s="1"/>
  <c r="AV98" i="11"/>
  <c r="AY98" i="11" s="1"/>
  <c r="AV99" i="11"/>
  <c r="AY99" i="11" s="1"/>
  <c r="AV100" i="11"/>
  <c r="AY100" i="11" s="1"/>
  <c r="AV101" i="11"/>
  <c r="AY101" i="11" s="1"/>
  <c r="AV102" i="11"/>
  <c r="AY102" i="11" s="1"/>
  <c r="AV103" i="11"/>
  <c r="AY103" i="11" s="1"/>
  <c r="AV104" i="11"/>
  <c r="AY104" i="11" s="1"/>
  <c r="AV105" i="11"/>
  <c r="AY105" i="11" s="1"/>
  <c r="AV106" i="11"/>
  <c r="AY106" i="11" s="1"/>
  <c r="AV107" i="11"/>
  <c r="AY107" i="11" s="1"/>
  <c r="AV108" i="11"/>
  <c r="AY108" i="11" s="1"/>
  <c r="AV109" i="11"/>
  <c r="AY109" i="11" s="1"/>
  <c r="AV110" i="11"/>
  <c r="AY110" i="11" s="1"/>
  <c r="AV111" i="11"/>
  <c r="AY111" i="11" s="1"/>
  <c r="AV112" i="11"/>
  <c r="AY112" i="11" s="1"/>
  <c r="AV113" i="11"/>
  <c r="AY113" i="11" s="1"/>
  <c r="AV114" i="11"/>
  <c r="AY114" i="11" s="1"/>
  <c r="AV115" i="11"/>
  <c r="AY115" i="11" s="1"/>
  <c r="AV116" i="11"/>
  <c r="AY116" i="11" s="1"/>
  <c r="AV117" i="11"/>
  <c r="AY117" i="11" s="1"/>
  <c r="AV118" i="11"/>
  <c r="AY118" i="11" s="1"/>
  <c r="AV119" i="11"/>
  <c r="AY119" i="11" s="1"/>
  <c r="AV120" i="11"/>
  <c r="AY120" i="11" s="1"/>
  <c r="AV121" i="11"/>
  <c r="AY121" i="11" s="1"/>
  <c r="AV122" i="11"/>
  <c r="AY122" i="11" s="1"/>
  <c r="AV123" i="11"/>
  <c r="AY123" i="11" s="1"/>
  <c r="AV124" i="11"/>
  <c r="AY124" i="11" s="1"/>
  <c r="AV125" i="11"/>
  <c r="AY125" i="11" s="1"/>
  <c r="AV126" i="11"/>
  <c r="AY126" i="11" s="1"/>
  <c r="AV127" i="11"/>
  <c r="AY127" i="11" s="1"/>
  <c r="AV128" i="11"/>
  <c r="AY128" i="11" s="1"/>
  <c r="AV129" i="11"/>
  <c r="AY129" i="11" s="1"/>
  <c r="AV130" i="11"/>
  <c r="AY130" i="11" s="1"/>
  <c r="AV131" i="11"/>
  <c r="AY131" i="11" s="1"/>
  <c r="AV132" i="11"/>
  <c r="AY132" i="11" s="1"/>
  <c r="AV133" i="11"/>
  <c r="AY133" i="11" s="1"/>
  <c r="AV134" i="11"/>
  <c r="AY134" i="11" s="1"/>
  <c r="AV135" i="11"/>
  <c r="AY135" i="11" s="1"/>
  <c r="AV136" i="11"/>
  <c r="AY136" i="11" s="1"/>
  <c r="AV137" i="11"/>
  <c r="AY137" i="11" s="1"/>
  <c r="AV138" i="11"/>
  <c r="AY138" i="11" s="1"/>
  <c r="AV139" i="11"/>
  <c r="AY139" i="11" s="1"/>
  <c r="AV140" i="11"/>
  <c r="AY140" i="11" s="1"/>
  <c r="AV141" i="11"/>
  <c r="AY141" i="11" s="1"/>
  <c r="AV142" i="11"/>
  <c r="AY142" i="11" s="1"/>
  <c r="AV143" i="11"/>
  <c r="AY143" i="11" s="1"/>
  <c r="AV144" i="11"/>
  <c r="AY144" i="11" s="1"/>
  <c r="AV145" i="11"/>
  <c r="AY145" i="11" s="1"/>
  <c r="AV146" i="11"/>
  <c r="AY146" i="11" s="1"/>
  <c r="AV147" i="11"/>
  <c r="AY147" i="11" s="1"/>
  <c r="AV148" i="11"/>
  <c r="AY148" i="11" s="1"/>
  <c r="AV149" i="11"/>
  <c r="AY149" i="11" s="1"/>
  <c r="AV150" i="11"/>
  <c r="AY150" i="11" s="1"/>
  <c r="AV151" i="11"/>
  <c r="AY151" i="11" s="1"/>
  <c r="AV152" i="11"/>
  <c r="AY152" i="11" s="1"/>
  <c r="AV153" i="11"/>
  <c r="AY153" i="11" s="1"/>
  <c r="AV154" i="11"/>
  <c r="AY154" i="11" s="1"/>
  <c r="AV155" i="11"/>
  <c r="AY155" i="11" s="1"/>
  <c r="AV156" i="11"/>
  <c r="AY156" i="11" s="1"/>
  <c r="AV157" i="11"/>
  <c r="AY157" i="11" s="1"/>
  <c r="AV158" i="11"/>
  <c r="AY158" i="11" s="1"/>
  <c r="AV159" i="11"/>
  <c r="AY159" i="11" s="1"/>
  <c r="AV160" i="11"/>
  <c r="AY160" i="11" s="1"/>
  <c r="AV161" i="11"/>
  <c r="AY161" i="11" s="1"/>
  <c r="AV162" i="11"/>
  <c r="AY162" i="11" s="1"/>
  <c r="AV163" i="11"/>
  <c r="AY163" i="11" s="1"/>
  <c r="AV164" i="11"/>
  <c r="AY164" i="11" s="1"/>
  <c r="AV165" i="11"/>
  <c r="AY165" i="11" s="1"/>
  <c r="AV166" i="11"/>
  <c r="AY166" i="11" s="1"/>
  <c r="AV167" i="11"/>
  <c r="AY167" i="11" s="1"/>
  <c r="AV168" i="11"/>
  <c r="AY168" i="11" s="1"/>
  <c r="AV169" i="11"/>
  <c r="AY169" i="11" s="1"/>
  <c r="AV170" i="11"/>
  <c r="AY170" i="11" s="1"/>
  <c r="AV171" i="11"/>
  <c r="AY171" i="11" s="1"/>
  <c r="AV172" i="11"/>
  <c r="AY172" i="11" s="1"/>
  <c r="AV173" i="11"/>
  <c r="AY173" i="11" s="1"/>
  <c r="AV174" i="11"/>
  <c r="AY174" i="11" s="1"/>
  <c r="AV175" i="11"/>
  <c r="AY175" i="11" s="1"/>
  <c r="AV176" i="11"/>
  <c r="AY176" i="11" s="1"/>
  <c r="AV177" i="11"/>
  <c r="AY177" i="11" s="1"/>
  <c r="AV178" i="11"/>
  <c r="AY178" i="11" s="1"/>
  <c r="AV179" i="11"/>
  <c r="AY179" i="11" s="1"/>
  <c r="AV180" i="11"/>
  <c r="AY180" i="11" s="1"/>
  <c r="AV181" i="11"/>
  <c r="AY181" i="11" s="1"/>
  <c r="AV182" i="11"/>
  <c r="AY182" i="11" s="1"/>
  <c r="AV183" i="11"/>
  <c r="AY183" i="11" s="1"/>
  <c r="AV184" i="11"/>
  <c r="AY184" i="11" s="1"/>
  <c r="AV185" i="11"/>
  <c r="AY185" i="11" s="1"/>
  <c r="AV186" i="11"/>
  <c r="AY186" i="11" s="1"/>
  <c r="AV187" i="11"/>
  <c r="AY187" i="11" s="1"/>
  <c r="AV188" i="11"/>
  <c r="AY188" i="11" s="1"/>
  <c r="AV189" i="11"/>
  <c r="AY189" i="11" s="1"/>
  <c r="AV190" i="11"/>
  <c r="AY190" i="11" s="1"/>
  <c r="AV191" i="11"/>
  <c r="AY191" i="11" s="1"/>
  <c r="AV192" i="11"/>
  <c r="AY192" i="11" s="1"/>
  <c r="AV193" i="11"/>
  <c r="AY193" i="11" s="1"/>
  <c r="AV194" i="11"/>
  <c r="AY194" i="11" s="1"/>
  <c r="AV195" i="11"/>
  <c r="AY195" i="11" s="1"/>
  <c r="AV196" i="11"/>
  <c r="AY196" i="11" s="1"/>
  <c r="AV197" i="11"/>
  <c r="AY197" i="11" s="1"/>
  <c r="AV198" i="11"/>
  <c r="AY198" i="11" s="1"/>
  <c r="AV199" i="11"/>
  <c r="AY199" i="11" s="1"/>
  <c r="AV200" i="11"/>
  <c r="AY200" i="11" s="1"/>
  <c r="AV201" i="11"/>
  <c r="AY201" i="11" s="1"/>
  <c r="AV202" i="11"/>
  <c r="AY202" i="11" s="1"/>
  <c r="AV203" i="11"/>
  <c r="AY203" i="11" s="1"/>
  <c r="AV204" i="11"/>
  <c r="AY204" i="11" s="1"/>
  <c r="AV205" i="11"/>
  <c r="AY205" i="11" s="1"/>
  <c r="AV206" i="11"/>
  <c r="AY206" i="11" s="1"/>
  <c r="AV207" i="11"/>
  <c r="AY207" i="11" s="1"/>
  <c r="AV208" i="11"/>
  <c r="AY208" i="11" s="1"/>
  <c r="AV209" i="11"/>
  <c r="AY209" i="11" s="1"/>
  <c r="AV210" i="11"/>
  <c r="AY210" i="11" s="1"/>
  <c r="AV211" i="11"/>
  <c r="AY211" i="11" s="1"/>
  <c r="AV212" i="11"/>
  <c r="AY212" i="11" s="1"/>
  <c r="AV213" i="11"/>
  <c r="AY213" i="11" s="1"/>
  <c r="AV214" i="11"/>
  <c r="AY214" i="11" s="1"/>
  <c r="AV215" i="11"/>
  <c r="AY215" i="11" s="1"/>
  <c r="AV216" i="11"/>
  <c r="AY216" i="11" s="1"/>
  <c r="AV217" i="11"/>
  <c r="AY217" i="11" s="1"/>
  <c r="AV218" i="11"/>
  <c r="AY218" i="11" s="1"/>
  <c r="AV219" i="11"/>
  <c r="AY219" i="11" s="1"/>
  <c r="AV220" i="11"/>
  <c r="AY220" i="11" s="1"/>
  <c r="AV221" i="11"/>
  <c r="AY221" i="11" s="1"/>
  <c r="AV222" i="11"/>
  <c r="AY222" i="11" s="1"/>
  <c r="AV223" i="11"/>
  <c r="AY223" i="11" s="1"/>
  <c r="AV224" i="11"/>
  <c r="AY224" i="11" s="1"/>
  <c r="AV225" i="11"/>
  <c r="AY225" i="11" s="1"/>
  <c r="AV226" i="11"/>
  <c r="AY226" i="11" s="1"/>
  <c r="AV227" i="11"/>
  <c r="AY227" i="11" s="1"/>
  <c r="AV228" i="11"/>
  <c r="AY228" i="11" s="1"/>
  <c r="AV229" i="11"/>
  <c r="AY229" i="11" s="1"/>
  <c r="AV230" i="11"/>
  <c r="AY230" i="11" s="1"/>
  <c r="AV231" i="11"/>
  <c r="AY231" i="11" s="1"/>
  <c r="AV232" i="11"/>
  <c r="AY232" i="11" s="1"/>
  <c r="AV233" i="11"/>
  <c r="AY233" i="11" s="1"/>
  <c r="AV234" i="11"/>
  <c r="AY234" i="11" s="1"/>
  <c r="AV235" i="11"/>
  <c r="AY235" i="11" s="1"/>
  <c r="AV236" i="11"/>
  <c r="AY236" i="11" s="1"/>
  <c r="AV237" i="11"/>
  <c r="AY237" i="11" s="1"/>
  <c r="AV238" i="11"/>
  <c r="AY238" i="11" s="1"/>
  <c r="AV239" i="11"/>
  <c r="AY239" i="11" s="1"/>
  <c r="AV240" i="11"/>
  <c r="AY240" i="11" s="1"/>
  <c r="AV241" i="11"/>
  <c r="AY241" i="11" s="1"/>
  <c r="AV242" i="11"/>
  <c r="AY242" i="11" s="1"/>
  <c r="AV243" i="11"/>
  <c r="AY243" i="11" s="1"/>
  <c r="AV244" i="11"/>
  <c r="AY244" i="11" s="1"/>
  <c r="AV245" i="11"/>
  <c r="AY245" i="11" s="1"/>
  <c r="AV246" i="11"/>
  <c r="AY246" i="11" s="1"/>
  <c r="AV247" i="11"/>
  <c r="AY247" i="11" s="1"/>
  <c r="AV248" i="11"/>
  <c r="AY248" i="11" s="1"/>
  <c r="AV249" i="11"/>
  <c r="AY249" i="11" s="1"/>
  <c r="AV250" i="11"/>
  <c r="AY250" i="11" s="1"/>
  <c r="AV251" i="11"/>
  <c r="AY251" i="11" s="1"/>
  <c r="AV252" i="11"/>
  <c r="AY252" i="11" s="1"/>
  <c r="AV253" i="11"/>
  <c r="AY253" i="11" s="1"/>
  <c r="AV254" i="11"/>
  <c r="AY254" i="11" s="1"/>
  <c r="AV255" i="11"/>
  <c r="AY255" i="11" s="1"/>
  <c r="AV256" i="11"/>
  <c r="AY256" i="11" s="1"/>
  <c r="AV257" i="11"/>
  <c r="AY257" i="11" s="1"/>
  <c r="AV258" i="11"/>
  <c r="AY258" i="11" s="1"/>
  <c r="AV259" i="11"/>
  <c r="AY259" i="11" s="1"/>
  <c r="AV260" i="11"/>
  <c r="AY260" i="11" s="1"/>
  <c r="AV261" i="11"/>
  <c r="AY261" i="11" s="1"/>
  <c r="AV262" i="11"/>
  <c r="AY262" i="11" s="1"/>
  <c r="AV263" i="11"/>
  <c r="AY263" i="11" s="1"/>
  <c r="AV264" i="11"/>
  <c r="AY264" i="11" s="1"/>
  <c r="AV265" i="11"/>
  <c r="AY265" i="11" s="1"/>
  <c r="AV266" i="11"/>
  <c r="AY266" i="11" s="1"/>
  <c r="AV267" i="11"/>
  <c r="AY267" i="11" s="1"/>
  <c r="AV268" i="11"/>
  <c r="AY268" i="11" s="1"/>
  <c r="AV269" i="11"/>
  <c r="AY269" i="11" s="1"/>
  <c r="AV270" i="11"/>
  <c r="AY270" i="11" s="1"/>
  <c r="AV271" i="11"/>
  <c r="AY271" i="11" s="1"/>
  <c r="AV272" i="11"/>
  <c r="AY272" i="11" s="1"/>
  <c r="AV273" i="11"/>
  <c r="AY273" i="11" s="1"/>
  <c r="AV274" i="11"/>
  <c r="AY274" i="11" s="1"/>
  <c r="AV275" i="11"/>
  <c r="AY275" i="11" s="1"/>
  <c r="AV276" i="11"/>
  <c r="AY276" i="11" s="1"/>
  <c r="AV277" i="11"/>
  <c r="AY277" i="11" s="1"/>
  <c r="AV278" i="11"/>
  <c r="AY278" i="11" s="1"/>
  <c r="AV279" i="11"/>
  <c r="AY279" i="11" s="1"/>
  <c r="AV280" i="11"/>
  <c r="AY280" i="11" s="1"/>
  <c r="AV281" i="11"/>
  <c r="AY281" i="11" s="1"/>
  <c r="AV282" i="11"/>
  <c r="AY282" i="11" s="1"/>
  <c r="AV283" i="11"/>
  <c r="AY283" i="11" s="1"/>
  <c r="AV284" i="11"/>
  <c r="AY284" i="11" s="1"/>
  <c r="AV285" i="11"/>
  <c r="AY285" i="11" s="1"/>
  <c r="AV286" i="11"/>
  <c r="AY286" i="11" s="1"/>
  <c r="AV287" i="11"/>
  <c r="AY287" i="11" s="1"/>
  <c r="AV288" i="11"/>
  <c r="AY288" i="11" s="1"/>
  <c r="AV289" i="11"/>
  <c r="AY289" i="11" s="1"/>
  <c r="AV290" i="11"/>
  <c r="AY290" i="11" s="1"/>
  <c r="AV291" i="11"/>
  <c r="AY291" i="11" s="1"/>
  <c r="AV292" i="11"/>
  <c r="AY292" i="11" s="1"/>
  <c r="AV293" i="11"/>
  <c r="AY293" i="11" s="1"/>
  <c r="AV294" i="11"/>
  <c r="AY294" i="11" s="1"/>
  <c r="AV295" i="11"/>
  <c r="AY295" i="11" s="1"/>
  <c r="AV296" i="11"/>
  <c r="AY296" i="11" s="1"/>
  <c r="AV297" i="11"/>
  <c r="AY297" i="11" s="1"/>
  <c r="AV298" i="11"/>
  <c r="AY298" i="11" s="1"/>
  <c r="AV299" i="11"/>
  <c r="AY299" i="11" s="1"/>
  <c r="AV300" i="11"/>
  <c r="AY300" i="11" s="1"/>
  <c r="AV301" i="11"/>
  <c r="AY301" i="11" s="1"/>
  <c r="AV302" i="11"/>
  <c r="AY302" i="11" s="1"/>
  <c r="AV303" i="11"/>
  <c r="AY303" i="11" s="1"/>
  <c r="AV304" i="11"/>
  <c r="AY304" i="11" s="1"/>
  <c r="AV305" i="11"/>
  <c r="AY305" i="11" s="1"/>
  <c r="AV306" i="11"/>
  <c r="AY306" i="11" s="1"/>
  <c r="AV307" i="11"/>
  <c r="AY307" i="11" s="1"/>
  <c r="AV308" i="11"/>
  <c r="AY308" i="11" s="1"/>
  <c r="AV309" i="11"/>
  <c r="AY309" i="11" s="1"/>
  <c r="AV310" i="11"/>
  <c r="AY310" i="11" s="1"/>
  <c r="AV311" i="11"/>
  <c r="AY311" i="11" s="1"/>
  <c r="AV312" i="11"/>
  <c r="AY312" i="11" s="1"/>
  <c r="AV313" i="11"/>
  <c r="AY313" i="11" s="1"/>
  <c r="AV314" i="11"/>
  <c r="AY314" i="11" s="1"/>
  <c r="AV315" i="11"/>
  <c r="AY315" i="11" s="1"/>
  <c r="AV316" i="11"/>
  <c r="AY316" i="11" s="1"/>
  <c r="AV317" i="11"/>
  <c r="AY317" i="11" s="1"/>
  <c r="AV318" i="11"/>
  <c r="AY318" i="11" s="1"/>
  <c r="AV319" i="11"/>
  <c r="AY319" i="11" s="1"/>
  <c r="AV320" i="11"/>
  <c r="AY320" i="11" s="1"/>
  <c r="AV321" i="11"/>
  <c r="AY321" i="11" s="1"/>
  <c r="AV322" i="11"/>
  <c r="AY322" i="11" s="1"/>
  <c r="AV323" i="11"/>
  <c r="AY323" i="11" s="1"/>
  <c r="AV324" i="11"/>
  <c r="AY324" i="11" s="1"/>
  <c r="AV325" i="11"/>
  <c r="AY325" i="11" s="1"/>
  <c r="AV326" i="11"/>
  <c r="AY326" i="11" s="1"/>
  <c r="AV327" i="11"/>
  <c r="AY327" i="11" s="1"/>
  <c r="AV331" i="11"/>
  <c r="AY331" i="11" s="1"/>
  <c r="AV332" i="11"/>
  <c r="AY332" i="11" s="1"/>
  <c r="AV333" i="11"/>
  <c r="AY333" i="11" s="1"/>
  <c r="AV328" i="11"/>
  <c r="AY328" i="11" s="1"/>
  <c r="AV329" i="11"/>
  <c r="AY329" i="11" s="1"/>
  <c r="AV330" i="11"/>
  <c r="AY330" i="11" s="1"/>
  <c r="AV334" i="11"/>
  <c r="AY334" i="11" s="1"/>
  <c r="AV335" i="11"/>
  <c r="AY335" i="11" s="1"/>
  <c r="AV336" i="11"/>
  <c r="AY336" i="11" s="1"/>
  <c r="AV337" i="11"/>
  <c r="AY337" i="11" s="1"/>
  <c r="AV338" i="11"/>
  <c r="AY338" i="11" s="1"/>
  <c r="AV339" i="11"/>
  <c r="AY339" i="11" s="1"/>
  <c r="AV340" i="11"/>
  <c r="AY340" i="11" s="1"/>
  <c r="AV341" i="11"/>
  <c r="AY341" i="11" s="1"/>
  <c r="AV342" i="11"/>
  <c r="AY342" i="11" s="1"/>
  <c r="AV343" i="11"/>
  <c r="AY343" i="11" s="1"/>
  <c r="AV344" i="11"/>
  <c r="AY344" i="11" s="1"/>
  <c r="AV345" i="11"/>
  <c r="AY345" i="11" s="1"/>
  <c r="AV346" i="11"/>
  <c r="AY346" i="11" s="1"/>
  <c r="AV347" i="11"/>
  <c r="AY347" i="11" s="1"/>
  <c r="AV348" i="11"/>
  <c r="AY348" i="11" s="1"/>
  <c r="AV349" i="11"/>
  <c r="AY349" i="11" s="1"/>
  <c r="AV350" i="11"/>
  <c r="AY350" i="11" s="1"/>
  <c r="AV351" i="11"/>
  <c r="AY351" i="11" s="1"/>
  <c r="AV352" i="11"/>
  <c r="AY352" i="11" s="1"/>
  <c r="AV353" i="11"/>
  <c r="AY353" i="11" s="1"/>
  <c r="AV354" i="11"/>
  <c r="AY354" i="11" s="1"/>
  <c r="AV355" i="11"/>
  <c r="AY355" i="11" s="1"/>
  <c r="AV356" i="11"/>
  <c r="AY356" i="11" s="1"/>
  <c r="AV357" i="11"/>
  <c r="AY357" i="11" s="1"/>
  <c r="AV358" i="11"/>
  <c r="AY358" i="11" s="1"/>
  <c r="AV359" i="11"/>
  <c r="AY359" i="11" s="1"/>
  <c r="AV360" i="11"/>
  <c r="AY360" i="11" s="1"/>
  <c r="AV361" i="11"/>
  <c r="AY361" i="11" s="1"/>
  <c r="AV362" i="11"/>
  <c r="AY362" i="11" s="1"/>
  <c r="AV363" i="11"/>
  <c r="AY363" i="11" s="1"/>
  <c r="AV364" i="11"/>
  <c r="AY364" i="11" s="1"/>
  <c r="AV365" i="11"/>
  <c r="AY365" i="11" s="1"/>
  <c r="AV366" i="11"/>
  <c r="AY366" i="11" s="1"/>
  <c r="AV367" i="11"/>
  <c r="AY367" i="11" s="1"/>
  <c r="AV368" i="11"/>
  <c r="AY368" i="11" s="1"/>
  <c r="AV369" i="11"/>
  <c r="AY369" i="11" s="1"/>
  <c r="AV370" i="11"/>
  <c r="AY370" i="11" s="1"/>
  <c r="AV371" i="11"/>
  <c r="AY371" i="11" s="1"/>
  <c r="AV372" i="11"/>
  <c r="AY372" i="11" s="1"/>
  <c r="AV373" i="11"/>
  <c r="AY373" i="11" s="1"/>
  <c r="AV374" i="11"/>
  <c r="AY374" i="11" s="1"/>
  <c r="AV375" i="11"/>
  <c r="AY375" i="11" s="1"/>
  <c r="AV376" i="11"/>
  <c r="AY376" i="11" s="1"/>
  <c r="AV377" i="11"/>
  <c r="AY377" i="11" s="1"/>
  <c r="AV378" i="11"/>
  <c r="AY378" i="11" s="1"/>
  <c r="AV379" i="11"/>
  <c r="AY379" i="11" s="1"/>
  <c r="AV380" i="11"/>
  <c r="AY380" i="11" s="1"/>
  <c r="AV381" i="11"/>
  <c r="AY381" i="11" s="1"/>
  <c r="AV382" i="11"/>
  <c r="AY382" i="11" s="1"/>
  <c r="AV383" i="11"/>
  <c r="AY383" i="11" s="1"/>
  <c r="AV384" i="11"/>
  <c r="AY384" i="11" s="1"/>
  <c r="AV385" i="11"/>
  <c r="AY385" i="11" s="1"/>
  <c r="AV386" i="11"/>
  <c r="AY386" i="11" s="1"/>
  <c r="AV387" i="11"/>
  <c r="AY387" i="11" s="1"/>
  <c r="AV388" i="11"/>
  <c r="AY388" i="11" s="1"/>
  <c r="AV389" i="11"/>
  <c r="AY389" i="11" s="1"/>
  <c r="AV390" i="11"/>
  <c r="AY390" i="11" s="1"/>
  <c r="AV391" i="11"/>
  <c r="AY391" i="11" s="1"/>
  <c r="AV392" i="11"/>
  <c r="AY392" i="11" s="1"/>
  <c r="AV393" i="11"/>
  <c r="AY393" i="11" s="1"/>
  <c r="AV394" i="11"/>
  <c r="AY394" i="11" s="1"/>
  <c r="AV395" i="11"/>
  <c r="AY395" i="11" s="1"/>
  <c r="AV396" i="11"/>
  <c r="AY396" i="11" s="1"/>
  <c r="AV397" i="11"/>
  <c r="AY397" i="11" s="1"/>
  <c r="AV398" i="11"/>
  <c r="AY398" i="11" s="1"/>
  <c r="AV399" i="11"/>
  <c r="AY399" i="11" s="1"/>
  <c r="AV400" i="11"/>
  <c r="AY400" i="11" s="1"/>
  <c r="AV401" i="11"/>
  <c r="AY401" i="11" s="1"/>
  <c r="AV402" i="11"/>
  <c r="AY402" i="11" s="1"/>
  <c r="AV403" i="11"/>
  <c r="AY403" i="11" s="1"/>
  <c r="AV404" i="11"/>
  <c r="AY404" i="11" s="1"/>
  <c r="AV405" i="11"/>
  <c r="AY405" i="11" s="1"/>
  <c r="AV406" i="11"/>
  <c r="AY406" i="11" s="1"/>
  <c r="AV407" i="11"/>
  <c r="AY407" i="11" s="1"/>
  <c r="AV408" i="11"/>
  <c r="AY408" i="11" s="1"/>
  <c r="AV409" i="11"/>
  <c r="AY409" i="11" s="1"/>
  <c r="AV410" i="11"/>
  <c r="AY410" i="11" s="1"/>
  <c r="AV411" i="11"/>
  <c r="AY411" i="11" s="1"/>
  <c r="AV412" i="11"/>
  <c r="AY412" i="11" s="1"/>
  <c r="AV413" i="11"/>
  <c r="AY413" i="11" s="1"/>
  <c r="AV414" i="11"/>
  <c r="AY414" i="11" s="1"/>
  <c r="AV415" i="11"/>
  <c r="AY415" i="11" s="1"/>
  <c r="AV416" i="11"/>
  <c r="AY416" i="11" s="1"/>
  <c r="AV417" i="11"/>
  <c r="AY417" i="11" s="1"/>
  <c r="AV418" i="11"/>
  <c r="AY418" i="11" s="1"/>
  <c r="AV419" i="11"/>
  <c r="AY419" i="11" s="1"/>
  <c r="AV420" i="11"/>
  <c r="AY420" i="11" s="1"/>
  <c r="AV421" i="11"/>
  <c r="AY421" i="11" s="1"/>
  <c r="AV422" i="11"/>
  <c r="AY422" i="11" s="1"/>
  <c r="AV423" i="11"/>
  <c r="AY423" i="11" s="1"/>
  <c r="AV424" i="11"/>
  <c r="AY424" i="11" s="1"/>
  <c r="AV425" i="11"/>
  <c r="AY425" i="11" s="1"/>
  <c r="AV426" i="11"/>
  <c r="AY426" i="11" s="1"/>
  <c r="AV427" i="11"/>
  <c r="AY427" i="11" s="1"/>
  <c r="AV428" i="11"/>
  <c r="AY428" i="11" s="1"/>
  <c r="AV429" i="11"/>
  <c r="AY429" i="11" s="1"/>
  <c r="AV430" i="11"/>
  <c r="AY430" i="11" s="1"/>
  <c r="AV431" i="11"/>
  <c r="AY431" i="11" s="1"/>
  <c r="AV432" i="11"/>
  <c r="AY432" i="11" s="1"/>
  <c r="AV433" i="11"/>
  <c r="AY433" i="11" s="1"/>
  <c r="AV434" i="11"/>
  <c r="AY434" i="11" s="1"/>
  <c r="AV435" i="11"/>
  <c r="AY435" i="11" s="1"/>
  <c r="AV436" i="11"/>
  <c r="AY436" i="11" s="1"/>
  <c r="AV437" i="11"/>
  <c r="AY437" i="11" s="1"/>
  <c r="AV438" i="11"/>
  <c r="AY438" i="11" s="1"/>
  <c r="AV439" i="11"/>
  <c r="AY439" i="11" s="1"/>
  <c r="AV440" i="11"/>
  <c r="AY440" i="11" s="1"/>
  <c r="AV441" i="11"/>
  <c r="AY441" i="11" s="1"/>
  <c r="AV442" i="11"/>
  <c r="AY442" i="11" s="1"/>
  <c r="AV443" i="11"/>
  <c r="AY443" i="11" s="1"/>
  <c r="AV444" i="11"/>
  <c r="AY444" i="11" s="1"/>
  <c r="AV445" i="11"/>
  <c r="AY445" i="11" s="1"/>
  <c r="AV446" i="11"/>
  <c r="AY446" i="11" s="1"/>
  <c r="AV447" i="11"/>
  <c r="AY447" i="11" s="1"/>
  <c r="AV448" i="11"/>
  <c r="AY448" i="11" s="1"/>
  <c r="AV449" i="11"/>
  <c r="AY449" i="11" s="1"/>
  <c r="AV450" i="11"/>
  <c r="AY450" i="11" s="1"/>
  <c r="AV451" i="11"/>
  <c r="AY451" i="11" s="1"/>
  <c r="AV452" i="11"/>
  <c r="AY452" i="11" s="1"/>
  <c r="AV453" i="11"/>
  <c r="AY453" i="11" s="1"/>
  <c r="AV454" i="11"/>
  <c r="AY454" i="11" s="1"/>
  <c r="AV455" i="11"/>
  <c r="AY455" i="11" s="1"/>
  <c r="AV456" i="11"/>
  <c r="AY456" i="11" s="1"/>
  <c r="AV457" i="11"/>
  <c r="AY457" i="11" s="1"/>
  <c r="AV458" i="11"/>
  <c r="AY458" i="11" s="1"/>
  <c r="AV459" i="11"/>
  <c r="AY459" i="11" s="1"/>
  <c r="AV460" i="11"/>
  <c r="AY460" i="11" s="1"/>
  <c r="AV461" i="11"/>
  <c r="AY461" i="11" s="1"/>
  <c r="AV462" i="11"/>
  <c r="AY462" i="11" s="1"/>
  <c r="AV463" i="11"/>
  <c r="AY463" i="11" s="1"/>
  <c r="AV464" i="11"/>
  <c r="AY464" i="11" s="1"/>
  <c r="AV465" i="11"/>
  <c r="AY465" i="11" s="1"/>
  <c r="AV466" i="11"/>
  <c r="AY466" i="11" s="1"/>
  <c r="AV467" i="11"/>
  <c r="AY467" i="11" s="1"/>
  <c r="AV468" i="11"/>
  <c r="AY468" i="11" s="1"/>
  <c r="AV469" i="11"/>
  <c r="AY469" i="11" s="1"/>
  <c r="AV470" i="11"/>
  <c r="AY470" i="11" s="1"/>
  <c r="AV471" i="11"/>
  <c r="AY471" i="11" s="1"/>
  <c r="AV472" i="11"/>
  <c r="AY472" i="11" s="1"/>
  <c r="AV473" i="11"/>
  <c r="AY473" i="11" s="1"/>
  <c r="AV474" i="11"/>
  <c r="AY474" i="11" s="1"/>
  <c r="AV475" i="11"/>
  <c r="AY475" i="11" s="1"/>
  <c r="AV476" i="11"/>
  <c r="AY476" i="11" s="1"/>
  <c r="AV477" i="11"/>
  <c r="AY477" i="11" s="1"/>
  <c r="AV478" i="11"/>
  <c r="AY478" i="11" s="1"/>
  <c r="AV479" i="11"/>
  <c r="AY479" i="11" s="1"/>
  <c r="AV480" i="11"/>
  <c r="AY480" i="11" s="1"/>
  <c r="AV481" i="11"/>
  <c r="AY481" i="11" s="1"/>
  <c r="AV482" i="11"/>
  <c r="AY482" i="11" s="1"/>
  <c r="AV483" i="11"/>
  <c r="AY483" i="11" s="1"/>
  <c r="AV484" i="11"/>
  <c r="AY484" i="11" s="1"/>
  <c r="AV485" i="11"/>
  <c r="AY485" i="11" s="1"/>
  <c r="AV486" i="11"/>
  <c r="AY486" i="11" s="1"/>
  <c r="AV487" i="11"/>
  <c r="AY487" i="11" s="1"/>
  <c r="AV488" i="11"/>
  <c r="AY488" i="11" s="1"/>
  <c r="AV489" i="11"/>
  <c r="AY489" i="11" s="1"/>
  <c r="AV490" i="11"/>
  <c r="AY490" i="11" s="1"/>
  <c r="AV491" i="11"/>
  <c r="AY491" i="11" s="1"/>
  <c r="AV492" i="11"/>
  <c r="AY492" i="11" s="1"/>
  <c r="AV493" i="11"/>
  <c r="AY493" i="11" s="1"/>
  <c r="AV494" i="11"/>
  <c r="AY494" i="11" s="1"/>
  <c r="AV495" i="11"/>
  <c r="AY495" i="11" s="1"/>
  <c r="AV496" i="11"/>
  <c r="AY496" i="11" s="1"/>
  <c r="AV497" i="11"/>
  <c r="AY497" i="11" s="1"/>
  <c r="AV498" i="11"/>
  <c r="AY498" i="11" s="1"/>
  <c r="AV499" i="11"/>
  <c r="AY499" i="11" s="1"/>
  <c r="AV500" i="11"/>
  <c r="AY500" i="11" s="1"/>
  <c r="AV501" i="11"/>
  <c r="AY501" i="11" s="1"/>
  <c r="AV502" i="11"/>
  <c r="AY502" i="11" s="1"/>
  <c r="AV503" i="11"/>
  <c r="AY503" i="11" s="1"/>
  <c r="AV504" i="11"/>
  <c r="AY504" i="11" s="1"/>
  <c r="AV505" i="11"/>
  <c r="AY505" i="11" s="1"/>
  <c r="AV506" i="11"/>
  <c r="AY506" i="11" s="1"/>
  <c r="AV507" i="11"/>
  <c r="AY507" i="11" s="1"/>
  <c r="AV508" i="11"/>
  <c r="AY508" i="11" s="1"/>
  <c r="AV509" i="11"/>
  <c r="AY509" i="11" s="1"/>
  <c r="AV510" i="11"/>
  <c r="AY510" i="11" s="1"/>
  <c r="AV511" i="11"/>
  <c r="AY511" i="11" s="1"/>
  <c r="AV512" i="11"/>
  <c r="AY512" i="11" s="1"/>
  <c r="AV513" i="11"/>
  <c r="AY513" i="11" s="1"/>
  <c r="AV514" i="11"/>
  <c r="AY514" i="11" s="1"/>
  <c r="AV515" i="11"/>
  <c r="AY515" i="11" s="1"/>
  <c r="AV516" i="11"/>
  <c r="AY516" i="11" s="1"/>
  <c r="AV517" i="11"/>
  <c r="AY517" i="11" s="1"/>
  <c r="AV518" i="11"/>
  <c r="AY518" i="11" s="1"/>
  <c r="AV519" i="11"/>
  <c r="AY519" i="11" s="1"/>
  <c r="AV520" i="11"/>
  <c r="AY520" i="11" s="1"/>
  <c r="AV521" i="11"/>
  <c r="AY521" i="11" s="1"/>
  <c r="AV522" i="11"/>
  <c r="AY522" i="11" s="1"/>
  <c r="AV523" i="11"/>
  <c r="AY523" i="11" s="1"/>
  <c r="AV524" i="11"/>
  <c r="AY524" i="11" s="1"/>
  <c r="AV525" i="11"/>
  <c r="AY525" i="11" s="1"/>
  <c r="AV526" i="11"/>
  <c r="AY526" i="11" s="1"/>
  <c r="AV527" i="11"/>
  <c r="AY527" i="11" s="1"/>
  <c r="AV528" i="11"/>
  <c r="AY528" i="11" s="1"/>
  <c r="AV529" i="11"/>
  <c r="AY529" i="11" s="1"/>
  <c r="AV530" i="11"/>
  <c r="AY530" i="11" s="1"/>
  <c r="AV531" i="11"/>
  <c r="AY531" i="11" s="1"/>
  <c r="AV532" i="11"/>
  <c r="AY532" i="11" s="1"/>
  <c r="AV533" i="11"/>
  <c r="AY533" i="11" s="1"/>
  <c r="AV534" i="11"/>
  <c r="AY534" i="11" s="1"/>
  <c r="AV535" i="11"/>
  <c r="AY535" i="11" s="1"/>
  <c r="AV536" i="11"/>
  <c r="AY536" i="11" s="1"/>
  <c r="AV537" i="11"/>
  <c r="AY537" i="11" s="1"/>
  <c r="AV538" i="11"/>
  <c r="AY538" i="11" s="1"/>
  <c r="AV539" i="11"/>
  <c r="AY539" i="11" s="1"/>
  <c r="AV540" i="11"/>
  <c r="AY540" i="11" s="1"/>
  <c r="AV541" i="11"/>
  <c r="AY541" i="11" s="1"/>
  <c r="AV542" i="11"/>
  <c r="AY542" i="11" s="1"/>
  <c r="AV543" i="11"/>
  <c r="AY543" i="11" s="1"/>
  <c r="AV544" i="11"/>
  <c r="AY544" i="11" s="1"/>
  <c r="AV545" i="11"/>
  <c r="AY545" i="11" s="1"/>
  <c r="AV546" i="11"/>
  <c r="AY546" i="11" s="1"/>
  <c r="AV547" i="11"/>
  <c r="AY547" i="11" s="1"/>
  <c r="AV548" i="11"/>
  <c r="AY548" i="11" s="1"/>
  <c r="AV549" i="11"/>
  <c r="AY549" i="11" s="1"/>
  <c r="AV550" i="11"/>
  <c r="AY550" i="11" s="1"/>
  <c r="AV551" i="11"/>
  <c r="AY551" i="11" s="1"/>
  <c r="AV554" i="11"/>
  <c r="AY554" i="11" s="1"/>
  <c r="AV552" i="11"/>
  <c r="AY552" i="11" s="1"/>
  <c r="AV553" i="11"/>
  <c r="AY553" i="11" s="1"/>
  <c r="AV556" i="11"/>
  <c r="AY556" i="11" s="1"/>
  <c r="AV557" i="11"/>
  <c r="AY557" i="11" s="1"/>
  <c r="AV558" i="11"/>
  <c r="AY558" i="11" s="1"/>
  <c r="AV559" i="11"/>
  <c r="AY559" i="11" s="1"/>
  <c r="AV560" i="11"/>
  <c r="AY560" i="11" s="1"/>
  <c r="AV561" i="11"/>
  <c r="AY561" i="11" s="1"/>
  <c r="AV562" i="11"/>
  <c r="AY562" i="11" s="1"/>
  <c r="AV563" i="11"/>
  <c r="AY563" i="11" s="1"/>
  <c r="AV564" i="11"/>
  <c r="AY564" i="11" s="1"/>
  <c r="AV555" i="11"/>
  <c r="AY555" i="11" s="1"/>
  <c r="AV565" i="11"/>
  <c r="AY565" i="11" s="1"/>
  <c r="AV566" i="11"/>
  <c r="AY566" i="11" s="1"/>
  <c r="AV567" i="11"/>
  <c r="AY567" i="11" s="1"/>
  <c r="AV568" i="11"/>
  <c r="AY568" i="11" s="1"/>
  <c r="AV569" i="11"/>
  <c r="AY569" i="11" s="1"/>
  <c r="AV570" i="11"/>
  <c r="AY570" i="11" s="1"/>
  <c r="AV571" i="11"/>
  <c r="AY571" i="11" s="1"/>
  <c r="AV572" i="11"/>
  <c r="AY572" i="11" s="1"/>
  <c r="AV573" i="11"/>
  <c r="AY573" i="11" s="1"/>
  <c r="AV574" i="11"/>
  <c r="AY574" i="11" s="1"/>
  <c r="AV575" i="11"/>
  <c r="AY575" i="11" s="1"/>
  <c r="AV576" i="11"/>
  <c r="AY576" i="11" s="1"/>
  <c r="AV577" i="11"/>
  <c r="AY577" i="11" s="1"/>
  <c r="AV578" i="11"/>
  <c r="AY578" i="11" s="1"/>
  <c r="AV579" i="11"/>
  <c r="AY579" i="11" s="1"/>
  <c r="AV580" i="11"/>
  <c r="AY580" i="11" s="1"/>
  <c r="AV581" i="11"/>
  <c r="AY581" i="11" s="1"/>
  <c r="AV582" i="11"/>
  <c r="AY582" i="11" s="1"/>
  <c r="AV583" i="11"/>
  <c r="AY583" i="11" s="1"/>
  <c r="AV584" i="11"/>
  <c r="AY584" i="11" s="1"/>
  <c r="AV585" i="11"/>
  <c r="AY585" i="11" s="1"/>
  <c r="AV586" i="11"/>
  <c r="AY586" i="11" s="1"/>
  <c r="AV587" i="11"/>
  <c r="AY587" i="11" s="1"/>
  <c r="AV588" i="11"/>
  <c r="AY588" i="11" s="1"/>
  <c r="AV589" i="11"/>
  <c r="AY589" i="11" s="1"/>
  <c r="AV590" i="11"/>
  <c r="AY590" i="11" s="1"/>
  <c r="AV591" i="11"/>
  <c r="AY591" i="11" s="1"/>
  <c r="AV592" i="11"/>
  <c r="AY592" i="11" s="1"/>
  <c r="AV593" i="11"/>
  <c r="AY593" i="11" s="1"/>
  <c r="AV594" i="11"/>
  <c r="AY594" i="11" s="1"/>
  <c r="AV595" i="11"/>
  <c r="AY595" i="11" s="1"/>
  <c r="AV596" i="11"/>
  <c r="AY596" i="11" s="1"/>
  <c r="AV597" i="11"/>
  <c r="AY597" i="11" s="1"/>
  <c r="AV598" i="11"/>
  <c r="AY598" i="11" s="1"/>
  <c r="AV599" i="11"/>
  <c r="AY599" i="11" s="1"/>
  <c r="AV600" i="11"/>
  <c r="AY600" i="11" s="1"/>
  <c r="AV601" i="11"/>
  <c r="AY601" i="11" s="1"/>
  <c r="AV602" i="11"/>
  <c r="AY602" i="11" s="1"/>
  <c r="AV603" i="11"/>
  <c r="AY603" i="11" s="1"/>
  <c r="AV604" i="11"/>
  <c r="AY604" i="11" s="1"/>
  <c r="AV605" i="11"/>
  <c r="AY605" i="11" s="1"/>
  <c r="AV606" i="11"/>
  <c r="AY606" i="11" s="1"/>
  <c r="AV607" i="11"/>
  <c r="AY607" i="11" s="1"/>
  <c r="AV608" i="11"/>
  <c r="AY608" i="11" s="1"/>
  <c r="AV609" i="11"/>
  <c r="AY609" i="11" s="1"/>
  <c r="AV610" i="11"/>
  <c r="AY610" i="11" s="1"/>
  <c r="AV611" i="11"/>
  <c r="AY611" i="11" s="1"/>
  <c r="AV612" i="11"/>
  <c r="AY612" i="11" s="1"/>
  <c r="AV613" i="11"/>
  <c r="AY613" i="11" s="1"/>
  <c r="AV614" i="11"/>
  <c r="AY614" i="11" s="1"/>
  <c r="AV615" i="11"/>
  <c r="AY615" i="11" s="1"/>
  <c r="AV616" i="11"/>
  <c r="AY616" i="11" s="1"/>
  <c r="AV617" i="11"/>
  <c r="AY617" i="11" s="1"/>
  <c r="AV618" i="11"/>
  <c r="AY618" i="11" s="1"/>
  <c r="AV619" i="11"/>
  <c r="AY619" i="11" s="1"/>
  <c r="AV631" i="11"/>
  <c r="AY631" i="11" s="1"/>
  <c r="AV620" i="11"/>
  <c r="AY620" i="11" s="1"/>
  <c r="AV621" i="11"/>
  <c r="AY621" i="11" s="1"/>
  <c r="AV622" i="11"/>
  <c r="AY622" i="11" s="1"/>
  <c r="AV623" i="11"/>
  <c r="AY623" i="11" s="1"/>
  <c r="AV624" i="11"/>
  <c r="AY624" i="11" s="1"/>
  <c r="AV625" i="11"/>
  <c r="AY625" i="11" s="1"/>
  <c r="AV626" i="11"/>
  <c r="AY626" i="11" s="1"/>
  <c r="AV627" i="11"/>
  <c r="AY627" i="11" s="1"/>
  <c r="AV628" i="11"/>
  <c r="AY628" i="11" s="1"/>
  <c r="AV629" i="11"/>
  <c r="AY629" i="11" s="1"/>
  <c r="AV630" i="11"/>
  <c r="AY630" i="11" s="1"/>
  <c r="AV632" i="11"/>
  <c r="AY632" i="11" s="1"/>
  <c r="AV633" i="11"/>
  <c r="AY633" i="11" s="1"/>
  <c r="AV634" i="11"/>
  <c r="AY634" i="11" s="1"/>
  <c r="AV635" i="11"/>
  <c r="AY635" i="11" s="1"/>
  <c r="AV636" i="11"/>
  <c r="AY636" i="11" s="1"/>
  <c r="AV637" i="11"/>
  <c r="AY637" i="11" s="1"/>
  <c r="AV638" i="11"/>
  <c r="AY638" i="11" s="1"/>
  <c r="AV639" i="11"/>
  <c r="AY639" i="11" s="1"/>
  <c r="AV640" i="11"/>
  <c r="AY640" i="11" s="1"/>
  <c r="AV641" i="11"/>
  <c r="AY641" i="11" s="1"/>
  <c r="AV642" i="11"/>
  <c r="AY642" i="11" s="1"/>
  <c r="AV643" i="11"/>
  <c r="AY643" i="11" s="1"/>
  <c r="AV644" i="11"/>
  <c r="AY644" i="11" s="1"/>
  <c r="AV645" i="11"/>
  <c r="AY645" i="11" s="1"/>
  <c r="AV646" i="11"/>
  <c r="AY646" i="11" s="1"/>
  <c r="AV647" i="11"/>
  <c r="AY647" i="11" s="1"/>
  <c r="AV648" i="11"/>
  <c r="AY648" i="11" s="1"/>
  <c r="AV649" i="11"/>
  <c r="AY649" i="11" s="1"/>
  <c r="AV650" i="11"/>
  <c r="AY650" i="11" s="1"/>
  <c r="AV651" i="11"/>
  <c r="AY651" i="11" s="1"/>
  <c r="AV652" i="11"/>
  <c r="AY652" i="11" s="1"/>
  <c r="AV653" i="11"/>
  <c r="AY653" i="11" s="1"/>
  <c r="AV654" i="11"/>
  <c r="AY654" i="11" s="1"/>
  <c r="AV655" i="11"/>
  <c r="AY655" i="11" s="1"/>
  <c r="AV656" i="11"/>
  <c r="AY656" i="11" s="1"/>
  <c r="AV657" i="11"/>
  <c r="AY657" i="11" s="1"/>
  <c r="AV658" i="11"/>
  <c r="AY658" i="11" s="1"/>
  <c r="AV659" i="11"/>
  <c r="AY659" i="11" s="1"/>
  <c r="AV660" i="11"/>
  <c r="AY660" i="11" s="1"/>
  <c r="AV661" i="11"/>
  <c r="AY661" i="11" s="1"/>
  <c r="AV662" i="11"/>
  <c r="AY662" i="11" s="1"/>
  <c r="AV663" i="11"/>
  <c r="AY663" i="11" s="1"/>
  <c r="AV664" i="11"/>
  <c r="AY664" i="11" s="1"/>
  <c r="AV665" i="11"/>
  <c r="AY665" i="11" s="1"/>
  <c r="AV666" i="11"/>
  <c r="AY666" i="11" s="1"/>
  <c r="AV667" i="11"/>
  <c r="AY667" i="11" s="1"/>
  <c r="AV668" i="11"/>
  <c r="AY668" i="11" s="1"/>
  <c r="AV669" i="11"/>
  <c r="AY669" i="11" s="1"/>
  <c r="AV670" i="11"/>
  <c r="AY670" i="11" s="1"/>
  <c r="AV671" i="11"/>
  <c r="AY671" i="11" s="1"/>
  <c r="AV672" i="11"/>
  <c r="AY672" i="11" s="1"/>
  <c r="AV673" i="11"/>
  <c r="AY673" i="11" s="1"/>
  <c r="AV674" i="11"/>
  <c r="AY674" i="11" s="1"/>
  <c r="AV675" i="11"/>
  <c r="AY675" i="11" s="1"/>
  <c r="AV676" i="11"/>
  <c r="AY676" i="11" s="1"/>
  <c r="AV677" i="11"/>
  <c r="AY677" i="11" s="1"/>
  <c r="AV678" i="11"/>
  <c r="AY678" i="11" s="1"/>
  <c r="AV679" i="11"/>
  <c r="AY679" i="11" s="1"/>
  <c r="AV680" i="11"/>
  <c r="AY680" i="11" s="1"/>
  <c r="AV681" i="11"/>
  <c r="AY681" i="11" s="1"/>
  <c r="AV682" i="11"/>
  <c r="AY682" i="11" s="1"/>
  <c r="AV683" i="11"/>
  <c r="AY683" i="11" s="1"/>
  <c r="AV684" i="11"/>
  <c r="AY684" i="11" s="1"/>
  <c r="AV685" i="11"/>
  <c r="AY685" i="11" s="1"/>
  <c r="AV686" i="11"/>
  <c r="AY686" i="11" s="1"/>
  <c r="AV687" i="11"/>
  <c r="AY687" i="11" s="1"/>
  <c r="AV688" i="11"/>
  <c r="AY688" i="11" s="1"/>
  <c r="AV689" i="11"/>
  <c r="AY689" i="11" s="1"/>
  <c r="AV690" i="11"/>
  <c r="AY690" i="11" s="1"/>
  <c r="AV691" i="11"/>
  <c r="AY691" i="11" s="1"/>
  <c r="AV692" i="11"/>
  <c r="AY692" i="11" s="1"/>
  <c r="AV693" i="11"/>
  <c r="AY693" i="11" s="1"/>
  <c r="AV694" i="11"/>
  <c r="AY694" i="11" s="1"/>
  <c r="AV695" i="11"/>
  <c r="AY695" i="11" s="1"/>
  <c r="AV696" i="11"/>
  <c r="AY696" i="11" s="1"/>
  <c r="AV697" i="11"/>
  <c r="AY697" i="11" s="1"/>
  <c r="AV698" i="11"/>
  <c r="AY698" i="11" s="1"/>
  <c r="AV699" i="11"/>
  <c r="AY699" i="11" s="1"/>
  <c r="AV700" i="11"/>
  <c r="AY700" i="11" s="1"/>
  <c r="AV701" i="11"/>
  <c r="AY701" i="11" s="1"/>
  <c r="AV702" i="11"/>
  <c r="AY702" i="11" s="1"/>
  <c r="AV704" i="11"/>
  <c r="AY704" i="11" s="1"/>
  <c r="AV703" i="11"/>
  <c r="AY703" i="11" s="1"/>
  <c r="AV705" i="11"/>
  <c r="AY705" i="11" s="1"/>
  <c r="AV706" i="11"/>
  <c r="AY706" i="11" s="1"/>
  <c r="AV707" i="11"/>
  <c r="AY707" i="11" s="1"/>
  <c r="AV708" i="11"/>
  <c r="AY708" i="11" s="1"/>
  <c r="AV709" i="11"/>
  <c r="AY709" i="11" s="1"/>
  <c r="AV710" i="11"/>
  <c r="AY710" i="11" s="1"/>
  <c r="AV711" i="11"/>
  <c r="AY711" i="11" s="1"/>
  <c r="AV712" i="11"/>
  <c r="AY712" i="11" s="1"/>
  <c r="AV713" i="11"/>
  <c r="AY713" i="11" s="1"/>
  <c r="AV714" i="11"/>
  <c r="AY714" i="11" s="1"/>
  <c r="AV715" i="11"/>
  <c r="AY715" i="11" s="1"/>
  <c r="AV716" i="11"/>
  <c r="AY716" i="11" s="1"/>
  <c r="AV717" i="11"/>
  <c r="AY717" i="11" s="1"/>
  <c r="AV718" i="11"/>
  <c r="AY718" i="11" s="1"/>
  <c r="AV719" i="11"/>
  <c r="AY719" i="11" s="1"/>
  <c r="AV720" i="11"/>
  <c r="AY720" i="11" s="1"/>
  <c r="AV721" i="11"/>
  <c r="AY721" i="11" s="1"/>
  <c r="AV722" i="11"/>
  <c r="AY722" i="11" s="1"/>
  <c r="AV723" i="11"/>
  <c r="AY723" i="11" s="1"/>
  <c r="AV724" i="11"/>
  <c r="AY724" i="11" s="1"/>
  <c r="AV725" i="11"/>
  <c r="AY725" i="11" s="1"/>
  <c r="AV726" i="11"/>
  <c r="AY726" i="11" s="1"/>
  <c r="AV727" i="11"/>
  <c r="AY727" i="11" s="1"/>
  <c r="AV728" i="11"/>
  <c r="AY728" i="11" s="1"/>
  <c r="AV729" i="11"/>
  <c r="AY729" i="11" s="1"/>
  <c r="AV730" i="11"/>
  <c r="AY730" i="11" s="1"/>
  <c r="AV731" i="11"/>
  <c r="AY731" i="11" s="1"/>
  <c r="AV732" i="11"/>
  <c r="AY732" i="11" s="1"/>
  <c r="AV733" i="11"/>
  <c r="AY733" i="11" s="1"/>
  <c r="AV734" i="11"/>
  <c r="AY734" i="11" s="1"/>
  <c r="AV735" i="11"/>
  <c r="AY735" i="11" s="1"/>
  <c r="AV736" i="11"/>
  <c r="AY736" i="11" s="1"/>
  <c r="AV737" i="11"/>
  <c r="AY737" i="11" s="1"/>
  <c r="AV738" i="11"/>
  <c r="AY738" i="11" s="1"/>
  <c r="AV739" i="11"/>
  <c r="AY739" i="11" s="1"/>
  <c r="AV740" i="11"/>
  <c r="AY740" i="11" s="1"/>
  <c r="AV741" i="11"/>
  <c r="AY741" i="11" s="1"/>
  <c r="AV742" i="11"/>
  <c r="AY742" i="11" s="1"/>
  <c r="AV743" i="11"/>
  <c r="AY743" i="11" s="1"/>
  <c r="AV744" i="11"/>
  <c r="AY744" i="11" s="1"/>
  <c r="AV745" i="11"/>
  <c r="AY745" i="11" s="1"/>
  <c r="AV746" i="11"/>
  <c r="AY746" i="11" s="1"/>
  <c r="AV747" i="11"/>
  <c r="AY747" i="11" s="1"/>
  <c r="AV748" i="11"/>
  <c r="AY748" i="11" s="1"/>
  <c r="AV750" i="11"/>
  <c r="AY750" i="11" s="1"/>
  <c r="AV751" i="11"/>
  <c r="AY751" i="11" s="1"/>
  <c r="AV752" i="11"/>
  <c r="AY752" i="11" s="1"/>
  <c r="AV753" i="11"/>
  <c r="AY753" i="11" s="1"/>
  <c r="AV754" i="11"/>
  <c r="AY754" i="11" s="1"/>
  <c r="AV755" i="11"/>
  <c r="AY755" i="11" s="1"/>
  <c r="AV756" i="11"/>
  <c r="AY756" i="11" s="1"/>
  <c r="AV757" i="11"/>
  <c r="AY757" i="11" s="1"/>
  <c r="AV758" i="11"/>
  <c r="AY758" i="11" s="1"/>
  <c r="AV759" i="11"/>
  <c r="AY759" i="11" s="1"/>
  <c r="AV760" i="11"/>
  <c r="AY760" i="11" s="1"/>
  <c r="AV761" i="11"/>
  <c r="AY761" i="11" s="1"/>
  <c r="AV762" i="11"/>
  <c r="AY762" i="11" s="1"/>
  <c r="AV749" i="11"/>
  <c r="AY749" i="11" s="1"/>
  <c r="AV763" i="11"/>
  <c r="AY763" i="11" s="1"/>
  <c r="AV764" i="11"/>
  <c r="AY764" i="11" s="1"/>
  <c r="AV765" i="11"/>
  <c r="AY765" i="11" s="1"/>
  <c r="AV766" i="11"/>
  <c r="AY766" i="11" s="1"/>
  <c r="AV767" i="11"/>
  <c r="AY767" i="11" s="1"/>
  <c r="AV768" i="11"/>
  <c r="AY768" i="11" s="1"/>
  <c r="AV769" i="11"/>
  <c r="AY769" i="11" s="1"/>
  <c r="AV770" i="11"/>
  <c r="AY770" i="11" s="1"/>
  <c r="AV771" i="11"/>
  <c r="AY771" i="11" s="1"/>
  <c r="AV772" i="11"/>
  <c r="AY772" i="11" s="1"/>
  <c r="AV773" i="11"/>
  <c r="AY773" i="11" s="1"/>
  <c r="AV774" i="11"/>
  <c r="AY774" i="11" s="1"/>
  <c r="AV775" i="11"/>
  <c r="AY775" i="11" s="1"/>
  <c r="AV776" i="11"/>
  <c r="AY776" i="11" s="1"/>
  <c r="AV777" i="11"/>
  <c r="AY777" i="11" s="1"/>
  <c r="AV778" i="11"/>
  <c r="AY778" i="11" s="1"/>
  <c r="AV779" i="11"/>
  <c r="AY779" i="11" s="1"/>
  <c r="AV780" i="11"/>
  <c r="AY780" i="11" s="1"/>
  <c r="AV783" i="11"/>
  <c r="AY783" i="11" s="1"/>
  <c r="AV781" i="11"/>
  <c r="AY781" i="11" s="1"/>
  <c r="AV782" i="11"/>
  <c r="AY782" i="11" s="1"/>
  <c r="AV784" i="11"/>
  <c r="AY784" i="11" s="1"/>
  <c r="AV785" i="11"/>
  <c r="AY785" i="11" s="1"/>
  <c r="AV786" i="11"/>
  <c r="AY786" i="11" s="1"/>
  <c r="AV787" i="11"/>
  <c r="AY787" i="11" s="1"/>
  <c r="AV788" i="11"/>
  <c r="AY788" i="11" s="1"/>
  <c r="AV789" i="11"/>
  <c r="AY789" i="11" s="1"/>
  <c r="AV790" i="11"/>
  <c r="AY790" i="11" s="1"/>
  <c r="AV791" i="11"/>
  <c r="AY791" i="11" s="1"/>
  <c r="AV792" i="11"/>
  <c r="AY792" i="11" s="1"/>
  <c r="AV793" i="11"/>
  <c r="AY793" i="11" s="1"/>
  <c r="AV794" i="11"/>
  <c r="AY794" i="11" s="1"/>
  <c r="AV795" i="11"/>
  <c r="AY795" i="11" s="1"/>
  <c r="AV796" i="11"/>
  <c r="AY796" i="11" s="1"/>
  <c r="AV797" i="11"/>
  <c r="AY797" i="11" s="1"/>
  <c r="AV798" i="11"/>
  <c r="AY798" i="11" s="1"/>
  <c r="AV799" i="11"/>
  <c r="AY799" i="11" s="1"/>
  <c r="AV800" i="11"/>
  <c r="AY800" i="11" s="1"/>
  <c r="AV801" i="11"/>
  <c r="AY801" i="11" s="1"/>
  <c r="AV802" i="11"/>
  <c r="AY802" i="11" s="1"/>
  <c r="AV803" i="11"/>
  <c r="AY803" i="11" s="1"/>
  <c r="AV804" i="11"/>
  <c r="AY804" i="11" s="1"/>
  <c r="AV805" i="11"/>
  <c r="AY805" i="11" s="1"/>
  <c r="AV806" i="11"/>
  <c r="AY806" i="11" s="1"/>
  <c r="AV807" i="11"/>
  <c r="AY807" i="11" s="1"/>
  <c r="AV808" i="11"/>
  <c r="AY808" i="11" s="1"/>
  <c r="AV809" i="11"/>
  <c r="AY809" i="11" s="1"/>
  <c r="AV810" i="11"/>
  <c r="AY810" i="11" s="1"/>
  <c r="AV811" i="11"/>
  <c r="AY811" i="11" s="1"/>
  <c r="AV812" i="11"/>
  <c r="AY812" i="11" s="1"/>
  <c r="AV813" i="11"/>
  <c r="AY813" i="11" s="1"/>
  <c r="AV814" i="11"/>
  <c r="AY814" i="11" s="1"/>
  <c r="AV815" i="11"/>
  <c r="AY815" i="11" s="1"/>
  <c r="AV816" i="11"/>
  <c r="AY816" i="11" s="1"/>
  <c r="AV817" i="11"/>
  <c r="AY817" i="11" s="1"/>
  <c r="AV818" i="11"/>
  <c r="AY818" i="11" s="1"/>
  <c r="AV819" i="11"/>
  <c r="AY819" i="11" s="1"/>
  <c r="AV820" i="11"/>
  <c r="AY820" i="11" s="1"/>
  <c r="AV821" i="11"/>
  <c r="AY821" i="11" s="1"/>
  <c r="AV822" i="11"/>
  <c r="AY822" i="11" s="1"/>
  <c r="AV823" i="11"/>
  <c r="AY823" i="11" s="1"/>
  <c r="AV824" i="11"/>
  <c r="AY824" i="11" s="1"/>
  <c r="AV825" i="11"/>
  <c r="AY825" i="11" s="1"/>
  <c r="AV828" i="11"/>
  <c r="AY828" i="11" s="1"/>
  <c r="AV829" i="11"/>
  <c r="AY829" i="11" s="1"/>
  <c r="AV830" i="11"/>
  <c r="AY830" i="11" s="1"/>
  <c r="AV831" i="11"/>
  <c r="AY831" i="11" s="1"/>
  <c r="AV832" i="11"/>
  <c r="AY832" i="11" s="1"/>
  <c r="AV833" i="11"/>
  <c r="AY833" i="11" s="1"/>
  <c r="AV826" i="11"/>
  <c r="AY826" i="11" s="1"/>
  <c r="AV827" i="11"/>
  <c r="AY827" i="11" s="1"/>
  <c r="AV834" i="11"/>
  <c r="AY834" i="11" s="1"/>
  <c r="AV835" i="11"/>
  <c r="AY835" i="11" s="1"/>
  <c r="AV838" i="11"/>
  <c r="AY838" i="11" s="1"/>
  <c r="AV839" i="11"/>
  <c r="AY839" i="11" s="1"/>
  <c r="AV840" i="11"/>
  <c r="AY840" i="11" s="1"/>
  <c r="AV841" i="11"/>
  <c r="AY841" i="11" s="1"/>
  <c r="AV842" i="11"/>
  <c r="AY842" i="11" s="1"/>
  <c r="AV843" i="11"/>
  <c r="AY843" i="11" s="1"/>
  <c r="AV844" i="11"/>
  <c r="AY844" i="11" s="1"/>
  <c r="AV845" i="11"/>
  <c r="AY845" i="11" s="1"/>
  <c r="AV836" i="11"/>
  <c r="AY836" i="11" s="1"/>
  <c r="AV837" i="11"/>
  <c r="AY837" i="11" s="1"/>
  <c r="AV846" i="11"/>
  <c r="AY846" i="11" s="1"/>
  <c r="AV847" i="11"/>
  <c r="AY847" i="11" s="1"/>
  <c r="AV848" i="11"/>
  <c r="AY848" i="11" s="1"/>
  <c r="AV849" i="11"/>
  <c r="AY849" i="11" s="1"/>
  <c r="AV850" i="11"/>
  <c r="AY850" i="11" s="1"/>
  <c r="AV851" i="11"/>
  <c r="AV852" i="11"/>
  <c r="AV853" i="11"/>
  <c r="AY853" i="11" s="1"/>
  <c r="AV854" i="11"/>
  <c r="AY854" i="11" s="1"/>
  <c r="AV855" i="11"/>
  <c r="AY855" i="11" s="1"/>
  <c r="AV856" i="11"/>
  <c r="AY856" i="11" s="1"/>
  <c r="AV857" i="11"/>
  <c r="AY857" i="11" s="1"/>
  <c r="AV858" i="11"/>
  <c r="AY858" i="11" s="1"/>
  <c r="AV859" i="11"/>
  <c r="AY859" i="11" s="1"/>
  <c r="AV860" i="11"/>
  <c r="AY860" i="11" s="1"/>
  <c r="AV861" i="11"/>
  <c r="AY861" i="11" s="1"/>
  <c r="AV862" i="11"/>
  <c r="AY862" i="11" s="1"/>
  <c r="AV863" i="11"/>
  <c r="AY863" i="11" s="1"/>
  <c r="AV864" i="11"/>
  <c r="AY864" i="11" s="1"/>
  <c r="AV865" i="11"/>
  <c r="AY865" i="11" s="1"/>
  <c r="AV866" i="11"/>
  <c r="AY866" i="11" s="1"/>
  <c r="AV867" i="11"/>
  <c r="AY867" i="11" s="1"/>
  <c r="AV868" i="11"/>
  <c r="AY868" i="11" s="1"/>
  <c r="AV869" i="11"/>
  <c r="AY869" i="11" s="1"/>
  <c r="AV870" i="11"/>
  <c r="AY870" i="11" s="1"/>
  <c r="AV871" i="11"/>
  <c r="AY871" i="11" s="1"/>
  <c r="AV872" i="11"/>
  <c r="AY872" i="11" s="1"/>
  <c r="AV873" i="11"/>
  <c r="AY873" i="11" s="1"/>
  <c r="AV874" i="11"/>
  <c r="AY874" i="11" s="1"/>
  <c r="AV875" i="11"/>
  <c r="AY875" i="11" s="1"/>
  <c r="AV876" i="11"/>
  <c r="AY876" i="11" s="1"/>
  <c r="AV878" i="11"/>
  <c r="AY878" i="11" s="1"/>
  <c r="AV879" i="11"/>
  <c r="AY879" i="11" s="1"/>
  <c r="AV880" i="11"/>
  <c r="AY880" i="11" s="1"/>
  <c r="AV881" i="11"/>
  <c r="AY881" i="11" s="1"/>
  <c r="AV877" i="11"/>
  <c r="AY877" i="11" s="1"/>
  <c r="AV882" i="11"/>
  <c r="AY882" i="11" s="1"/>
  <c r="AV883" i="11"/>
  <c r="AY883" i="11" s="1"/>
  <c r="AV884" i="11"/>
  <c r="AY884" i="11" s="1"/>
  <c r="AV885" i="11"/>
  <c r="AY885" i="11" s="1"/>
  <c r="AV886" i="11"/>
  <c r="AY886" i="11" s="1"/>
  <c r="AV887" i="11"/>
  <c r="AY887" i="11" s="1"/>
  <c r="AV888" i="11"/>
  <c r="AY888" i="11" s="1"/>
  <c r="AV889" i="11"/>
  <c r="AY889" i="11" s="1"/>
  <c r="AV890" i="11"/>
  <c r="AY890" i="11" s="1"/>
  <c r="AV891" i="11"/>
  <c r="AY891" i="11" s="1"/>
  <c r="AV892" i="11"/>
  <c r="AY892" i="11" s="1"/>
  <c r="AV893" i="11"/>
  <c r="AY893" i="11" s="1"/>
  <c r="AV894" i="11"/>
  <c r="AY894" i="11" s="1"/>
  <c r="AV895" i="11"/>
  <c r="AY895" i="11" s="1"/>
  <c r="AV896" i="11"/>
  <c r="AY896" i="11" s="1"/>
  <c r="AV897" i="11"/>
  <c r="AY897" i="11" s="1"/>
  <c r="AV898" i="11"/>
  <c r="AY898" i="11" s="1"/>
  <c r="AV899" i="11"/>
  <c r="AY899" i="11" s="1"/>
  <c r="AV900" i="11"/>
  <c r="AY900" i="11" s="1"/>
  <c r="AV901" i="11"/>
  <c r="AY901" i="11" s="1"/>
  <c r="AV902" i="11"/>
  <c r="AY902" i="11" s="1"/>
  <c r="AV903" i="11"/>
  <c r="AY903" i="11" s="1"/>
  <c r="AV904" i="11"/>
  <c r="AY904" i="11" s="1"/>
  <c r="AV905" i="11"/>
  <c r="AY905" i="11" s="1"/>
  <c r="AV906" i="11"/>
  <c r="AY906" i="11" s="1"/>
  <c r="AV907" i="11"/>
  <c r="AY907" i="11" s="1"/>
  <c r="AV908" i="11"/>
  <c r="AY908" i="11" s="1"/>
  <c r="AV909" i="11"/>
  <c r="AY909" i="11" s="1"/>
  <c r="AV910" i="11"/>
  <c r="AY910" i="11" s="1"/>
  <c r="AV911" i="11"/>
  <c r="AY911" i="11" s="1"/>
  <c r="AV912" i="11"/>
  <c r="AY912" i="11" s="1"/>
  <c r="AV913" i="11"/>
  <c r="AY913" i="11" s="1"/>
  <c r="AV914" i="11"/>
  <c r="AY914" i="11" s="1"/>
  <c r="AV915" i="11"/>
  <c r="AY915" i="11" s="1"/>
  <c r="AV916" i="11"/>
  <c r="AY916" i="11" s="1"/>
  <c r="AV917" i="11"/>
  <c r="AY917" i="11" s="1"/>
  <c r="AV918" i="11"/>
  <c r="AY918" i="11" s="1"/>
  <c r="AV919" i="11"/>
  <c r="AY919" i="11" s="1"/>
  <c r="AV920" i="11"/>
  <c r="AY920" i="11" s="1"/>
  <c r="AV921" i="11"/>
  <c r="AY921" i="11" s="1"/>
  <c r="AV922" i="11"/>
  <c r="AY922" i="11" s="1"/>
  <c r="AV923" i="11"/>
  <c r="AY923" i="11" s="1"/>
  <c r="AV924" i="11"/>
  <c r="AY924" i="11" s="1"/>
  <c r="AV925" i="11"/>
  <c r="AY925" i="11" s="1"/>
  <c r="AV926" i="11"/>
  <c r="AY926" i="11" s="1"/>
  <c r="AV927" i="11"/>
  <c r="AY927" i="11" s="1"/>
  <c r="AV928" i="11"/>
  <c r="AY928" i="11" s="1"/>
  <c r="AV929" i="11"/>
  <c r="AY929" i="11" s="1"/>
  <c r="AV933" i="11"/>
  <c r="AY933" i="11" s="1"/>
  <c r="AV934" i="11"/>
  <c r="AV935" i="11"/>
  <c r="AY935" i="11" s="1"/>
  <c r="AV936" i="11"/>
  <c r="AY936" i="11" s="1"/>
  <c r="AV937" i="11"/>
  <c r="AY937" i="11" s="1"/>
  <c r="AV939" i="11"/>
  <c r="AY939" i="11" s="1"/>
  <c r="AV956" i="11"/>
  <c r="AY956" i="11" s="1"/>
  <c r="AV957" i="11"/>
  <c r="AY957" i="11" s="1"/>
  <c r="AV958" i="11"/>
  <c r="AY958" i="11" s="1"/>
  <c r="S936" i="11"/>
  <c r="T936" i="11" s="1"/>
  <c r="S935" i="11"/>
  <c r="T935" i="11" s="1"/>
  <c r="R933" i="11"/>
  <c r="T933" i="11" s="1"/>
  <c r="R912" i="11"/>
  <c r="T912" i="11" s="1"/>
  <c r="BH1455" i="11" l="1"/>
  <c r="BJ1455" i="11"/>
  <c r="BG1455" i="11"/>
  <c r="BI1455" i="11"/>
  <c r="BK4" i="11"/>
  <c r="BN4" i="11" s="1"/>
  <c r="BK12" i="11"/>
  <c r="BN12" i="11" s="1"/>
  <c r="BK7" i="11"/>
  <c r="BN7" i="11" s="1"/>
  <c r="BK925" i="11"/>
  <c r="BN925" i="11" s="1"/>
  <c r="BK909" i="11"/>
  <c r="BN909" i="11" s="1"/>
  <c r="BK893" i="11"/>
  <c r="BN893" i="11" s="1"/>
  <c r="BK878" i="11"/>
  <c r="BN878" i="11" s="1"/>
  <c r="BK861" i="11"/>
  <c r="BK837" i="11"/>
  <c r="BN837" i="11" s="1"/>
  <c r="BK831" i="11"/>
  <c r="BN831" i="11" s="1"/>
  <c r="BK813" i="11"/>
  <c r="BN813" i="11" s="1"/>
  <c r="BK797" i="11"/>
  <c r="BN797" i="11" s="1"/>
  <c r="BK783" i="11"/>
  <c r="BN783" i="11" s="1"/>
  <c r="BK765" i="11"/>
  <c r="BN765" i="11" s="1"/>
  <c r="BK750" i="11"/>
  <c r="BN750" i="11" s="1"/>
  <c r="BK733" i="11"/>
  <c r="BN733" i="11" s="1"/>
  <c r="BK717" i="11"/>
  <c r="BN717" i="11" s="1"/>
  <c r="BK701" i="11"/>
  <c r="BN701" i="11" s="1"/>
  <c r="BK685" i="11"/>
  <c r="BN685" i="11" s="1"/>
  <c r="BK669" i="11"/>
  <c r="BN669" i="11" s="1"/>
  <c r="BK653" i="11"/>
  <c r="BN653" i="11" s="1"/>
  <c r="BK637" i="11"/>
  <c r="BN637" i="11" s="1"/>
  <c r="BK620" i="11"/>
  <c r="BN620" i="11" s="1"/>
  <c r="BK605" i="11"/>
  <c r="BN605" i="11" s="1"/>
  <c r="BK589" i="11"/>
  <c r="BN589" i="11" s="1"/>
  <c r="BK573" i="11"/>
  <c r="BK558" i="11"/>
  <c r="BN558" i="11" s="1"/>
  <c r="BK541" i="11"/>
  <c r="BN541" i="11" s="1"/>
  <c r="BK525" i="11"/>
  <c r="BK509" i="11"/>
  <c r="BK493" i="11"/>
  <c r="BN493" i="11" s="1"/>
  <c r="BK477" i="11"/>
  <c r="BN477" i="11" s="1"/>
  <c r="BK461" i="11"/>
  <c r="BN461" i="11" s="1"/>
  <c r="BK445" i="11"/>
  <c r="BN445" i="11" s="1"/>
  <c r="BK429" i="11"/>
  <c r="BN429" i="11" s="1"/>
  <c r="BK413" i="11"/>
  <c r="BK397" i="11"/>
  <c r="BN397" i="11" s="1"/>
  <c r="BK381" i="11"/>
  <c r="BN381" i="11" s="1"/>
  <c r="BK365" i="11"/>
  <c r="BN365" i="11" s="1"/>
  <c r="BK349" i="11"/>
  <c r="BN349" i="11" s="1"/>
  <c r="BK330" i="11"/>
  <c r="BK317" i="11"/>
  <c r="BN317" i="11" s="1"/>
  <c r="BK301" i="11"/>
  <c r="BN301" i="11" s="1"/>
  <c r="BK285" i="11"/>
  <c r="BN285" i="11" s="1"/>
  <c r="BK269" i="11"/>
  <c r="BN269" i="11" s="1"/>
  <c r="BK253" i="11"/>
  <c r="BN253" i="11" s="1"/>
  <c r="BK237" i="11"/>
  <c r="BN237" i="11" s="1"/>
  <c r="BK221" i="11"/>
  <c r="BN221" i="11" s="1"/>
  <c r="BK205" i="11"/>
  <c r="BN205" i="11" s="1"/>
  <c r="BK189" i="11"/>
  <c r="BN189" i="11" s="1"/>
  <c r="BK173" i="11"/>
  <c r="BN173" i="11" s="1"/>
  <c r="BK156" i="11"/>
  <c r="BN156" i="11" s="1"/>
  <c r="BK140" i="11"/>
  <c r="BN140" i="11" s="1"/>
  <c r="BK124" i="11"/>
  <c r="BN124" i="11" s="1"/>
  <c r="BK108" i="11"/>
  <c r="BN108" i="11" s="1"/>
  <c r="BK13" i="11"/>
  <c r="BN13" i="11" s="1"/>
  <c r="BK9" i="11"/>
  <c r="BN9" i="11" s="1"/>
  <c r="BK524" i="11"/>
  <c r="BN524" i="11" s="1"/>
  <c r="BK508" i="11"/>
  <c r="BN508" i="11" s="1"/>
  <c r="BK492" i="11"/>
  <c r="BN492" i="11" s="1"/>
  <c r="BK476" i="11"/>
  <c r="BN476" i="11" s="1"/>
  <c r="BK460" i="11"/>
  <c r="BN460" i="11" s="1"/>
  <c r="BK444" i="11"/>
  <c r="BN444" i="11" s="1"/>
  <c r="BK428" i="11"/>
  <c r="BN428" i="11" s="1"/>
  <c r="BK412" i="11"/>
  <c r="BN412" i="11" s="1"/>
  <c r="BK396" i="11"/>
  <c r="BN396" i="11" s="1"/>
  <c r="BK380" i="11"/>
  <c r="BN380" i="11" s="1"/>
  <c r="BK364" i="11"/>
  <c r="BN364" i="11" s="1"/>
  <c r="BK348" i="11"/>
  <c r="BN348" i="11" s="1"/>
  <c r="BK329" i="11"/>
  <c r="BK316" i="11"/>
  <c r="BN316" i="11" s="1"/>
  <c r="BK300" i="11"/>
  <c r="BN300" i="11" s="1"/>
  <c r="BK284" i="11"/>
  <c r="BN284" i="11" s="1"/>
  <c r="BK268" i="11"/>
  <c r="BN268" i="11" s="1"/>
  <c r="BK252" i="11"/>
  <c r="BN252" i="11" s="1"/>
  <c r="BK236" i="11"/>
  <c r="BN236" i="11" s="1"/>
  <c r="BK220" i="11"/>
  <c r="BN220" i="11" s="1"/>
  <c r="BK204" i="11"/>
  <c r="BN204" i="11" s="1"/>
  <c r="BK188" i="11"/>
  <c r="BN188" i="11" s="1"/>
  <c r="BK172" i="11"/>
  <c r="BN172" i="11" s="1"/>
  <c r="BK928" i="11"/>
  <c r="BN928" i="11" s="1"/>
  <c r="BK912" i="11"/>
  <c r="BN912" i="11" s="1"/>
  <c r="BK896" i="11"/>
  <c r="BN896" i="11" s="1"/>
  <c r="BK881" i="11"/>
  <c r="BN881" i="11" s="1"/>
  <c r="BK864" i="11"/>
  <c r="BN864" i="11" s="1"/>
  <c r="BK848" i="11"/>
  <c r="BN848" i="11" s="1"/>
  <c r="BK826" i="11"/>
  <c r="BN826" i="11" s="1"/>
  <c r="BK816" i="11"/>
  <c r="BN816" i="11" s="1"/>
  <c r="BK800" i="11"/>
  <c r="BN800" i="11" s="1"/>
  <c r="BK784" i="11"/>
  <c r="BN784" i="11" s="1"/>
  <c r="BK768" i="11"/>
  <c r="BN768" i="11" s="1"/>
  <c r="BK753" i="11"/>
  <c r="BN753" i="11" s="1"/>
  <c r="BK736" i="11"/>
  <c r="BN736" i="11" s="1"/>
  <c r="BK720" i="11"/>
  <c r="BN720" i="11" s="1"/>
  <c r="BK703" i="11"/>
  <c r="BN703" i="11" s="1"/>
  <c r="BK688" i="11"/>
  <c r="BN688" i="11" s="1"/>
  <c r="BK672" i="11"/>
  <c r="BN672" i="11" s="1"/>
  <c r="BK656" i="11"/>
  <c r="BN656" i="11" s="1"/>
  <c r="BK640" i="11"/>
  <c r="BN640" i="11" s="1"/>
  <c r="BK623" i="11"/>
  <c r="BN623" i="11" s="1"/>
  <c r="BK608" i="11"/>
  <c r="BN608" i="11" s="1"/>
  <c r="BK592" i="11"/>
  <c r="BN592" i="11" s="1"/>
  <c r="BK576" i="11"/>
  <c r="BN576" i="11" s="1"/>
  <c r="BK561" i="11"/>
  <c r="BN561" i="11" s="1"/>
  <c r="BK544" i="11"/>
  <c r="BN544" i="11" s="1"/>
  <c r="BK528" i="11"/>
  <c r="BN528" i="11" s="1"/>
  <c r="BK512" i="11"/>
  <c r="BN512" i="11" s="1"/>
  <c r="BK496" i="11"/>
  <c r="BN496" i="11" s="1"/>
  <c r="BK480" i="11"/>
  <c r="BN480" i="11" s="1"/>
  <c r="BK464" i="11"/>
  <c r="BN464" i="11" s="1"/>
  <c r="BK448" i="11"/>
  <c r="BN448" i="11" s="1"/>
  <c r="BK432" i="11"/>
  <c r="BN432" i="11" s="1"/>
  <c r="BK416" i="11"/>
  <c r="BK400" i="11"/>
  <c r="BN400" i="11" s="1"/>
  <c r="BK384" i="11"/>
  <c r="BN384" i="11" s="1"/>
  <c r="BK368" i="11"/>
  <c r="BN368" i="11" s="1"/>
  <c r="BK159" i="11"/>
  <c r="BN159" i="11" s="1"/>
  <c r="BK143" i="11"/>
  <c r="BN143" i="11" s="1"/>
  <c r="BK127" i="11"/>
  <c r="BN127" i="11" s="1"/>
  <c r="BK111" i="11"/>
  <c r="BN111" i="11" s="1"/>
  <c r="BK94" i="11"/>
  <c r="BN94" i="11" s="1"/>
  <c r="BK78" i="11"/>
  <c r="BN78" i="11" s="1"/>
  <c r="BK62" i="11"/>
  <c r="BN62" i="11" s="1"/>
  <c r="BK46" i="11"/>
  <c r="BN46" i="11" s="1"/>
  <c r="BK30" i="11"/>
  <c r="BN30" i="11" s="1"/>
  <c r="BK3" i="11"/>
  <c r="BN3" i="11" s="1"/>
  <c r="BK14" i="11"/>
  <c r="BN14" i="11" s="1"/>
  <c r="BK352" i="11"/>
  <c r="BN352" i="11" s="1"/>
  <c r="BK320" i="11"/>
  <c r="BN320" i="11" s="1"/>
  <c r="BK288" i="11"/>
  <c r="BN288" i="11" s="1"/>
  <c r="BK256" i="11"/>
  <c r="BN256" i="11" s="1"/>
  <c r="BK224" i="11"/>
  <c r="BN224" i="11" s="1"/>
  <c r="BK176" i="11"/>
  <c r="BN176" i="11" s="1"/>
  <c r="BK927" i="11"/>
  <c r="BN927" i="11" s="1"/>
  <c r="BK911" i="11"/>
  <c r="BK895" i="11"/>
  <c r="BN895" i="11" s="1"/>
  <c r="BK880" i="11"/>
  <c r="BN880" i="11" s="1"/>
  <c r="BK863" i="11"/>
  <c r="BN863" i="11" s="1"/>
  <c r="BK847" i="11"/>
  <c r="BN847" i="11" s="1"/>
  <c r="BK833" i="11"/>
  <c r="BN833" i="11" s="1"/>
  <c r="BK815" i="11"/>
  <c r="BN815" i="11" s="1"/>
  <c r="BK799" i="11"/>
  <c r="BN799" i="11" s="1"/>
  <c r="BK782" i="11"/>
  <c r="BN782" i="11" s="1"/>
  <c r="BK767" i="11"/>
  <c r="BN767" i="11" s="1"/>
  <c r="BK752" i="11"/>
  <c r="BN752" i="11" s="1"/>
  <c r="BK735" i="11"/>
  <c r="BN735" i="11" s="1"/>
  <c r="BK719" i="11"/>
  <c r="BN719" i="11" s="1"/>
  <c r="BK704" i="11"/>
  <c r="BN704" i="11" s="1"/>
  <c r="BK687" i="11"/>
  <c r="BN687" i="11" s="1"/>
  <c r="BK671" i="11"/>
  <c r="BN671" i="11" s="1"/>
  <c r="BK655" i="11"/>
  <c r="BN655" i="11" s="1"/>
  <c r="BK639" i="11"/>
  <c r="BN639" i="11" s="1"/>
  <c r="BK622" i="11"/>
  <c r="BN622" i="11" s="1"/>
  <c r="BK607" i="11"/>
  <c r="BN607" i="11" s="1"/>
  <c r="BK591" i="11"/>
  <c r="BN591" i="11" s="1"/>
  <c r="BK575" i="11"/>
  <c r="BN575" i="11" s="1"/>
  <c r="BK560" i="11"/>
  <c r="BN560" i="11" s="1"/>
  <c r="BK543" i="11"/>
  <c r="BN543" i="11" s="1"/>
  <c r="BK527" i="11"/>
  <c r="BN527" i="11" s="1"/>
  <c r="BK511" i="11"/>
  <c r="BN511" i="11" s="1"/>
  <c r="BK495" i="11"/>
  <c r="BN495" i="11" s="1"/>
  <c r="BK479" i="11"/>
  <c r="BN479" i="11" s="1"/>
  <c r="BK463" i="11"/>
  <c r="BN463" i="11" s="1"/>
  <c r="BK447" i="11"/>
  <c r="BN447" i="11" s="1"/>
  <c r="BK431" i="11"/>
  <c r="BN431" i="11" s="1"/>
  <c r="BK415" i="11"/>
  <c r="BN415" i="11" s="1"/>
  <c r="BK399" i="11"/>
  <c r="BN399" i="11" s="1"/>
  <c r="BK383" i="11"/>
  <c r="BN383" i="11" s="1"/>
  <c r="BK367" i="11"/>
  <c r="BK351" i="11"/>
  <c r="BN351" i="11" s="1"/>
  <c r="BK335" i="11"/>
  <c r="BN335" i="11" s="1"/>
  <c r="BK319" i="11"/>
  <c r="BN319" i="11" s="1"/>
  <c r="BK303" i="11"/>
  <c r="BN303" i="11" s="1"/>
  <c r="BK287" i="11"/>
  <c r="BK271" i="11"/>
  <c r="BN271" i="11" s="1"/>
  <c r="BK255" i="11"/>
  <c r="BN255" i="11" s="1"/>
  <c r="BK239" i="11"/>
  <c r="BN239" i="11" s="1"/>
  <c r="BK223" i="11"/>
  <c r="BN223" i="11" s="1"/>
  <c r="BK207" i="11"/>
  <c r="BN207" i="11" s="1"/>
  <c r="BK191" i="11"/>
  <c r="BN191" i="11" s="1"/>
  <c r="BK175" i="11"/>
  <c r="BN175" i="11" s="1"/>
  <c r="BK158" i="11"/>
  <c r="BK142" i="11"/>
  <c r="BN142" i="11" s="1"/>
  <c r="BK126" i="11"/>
  <c r="BN126" i="11" s="1"/>
  <c r="BK110" i="11"/>
  <c r="BN110" i="11" s="1"/>
  <c r="BK93" i="11"/>
  <c r="BN93" i="11" s="1"/>
  <c r="BK77" i="11"/>
  <c r="BN77" i="11" s="1"/>
  <c r="BK61" i="11"/>
  <c r="BN61" i="11" s="1"/>
  <c r="BK45" i="11"/>
  <c r="BN45" i="11" s="1"/>
  <c r="BK29" i="11"/>
  <c r="BN29" i="11" s="1"/>
  <c r="BK336" i="11"/>
  <c r="BN336" i="11" s="1"/>
  <c r="BK304" i="11"/>
  <c r="BN304" i="11" s="1"/>
  <c r="BK272" i="11"/>
  <c r="BN272" i="11" s="1"/>
  <c r="BK240" i="11"/>
  <c r="BN240" i="11" s="1"/>
  <c r="BK208" i="11"/>
  <c r="BN208" i="11" s="1"/>
  <c r="BK192" i="11"/>
  <c r="BN192" i="11" s="1"/>
  <c r="BK11" i="11"/>
  <c r="BN11" i="11" s="1"/>
  <c r="BK926" i="11"/>
  <c r="BN926" i="11" s="1"/>
  <c r="BK910" i="11"/>
  <c r="BN910" i="11" s="1"/>
  <c r="BK894" i="11"/>
  <c r="BN894" i="11" s="1"/>
  <c r="BK879" i="11"/>
  <c r="BK862" i="11"/>
  <c r="BN862" i="11" s="1"/>
  <c r="BK846" i="11"/>
  <c r="BN846" i="11" s="1"/>
  <c r="BK832" i="11"/>
  <c r="BN832" i="11" s="1"/>
  <c r="BK814" i="11"/>
  <c r="BN814" i="11" s="1"/>
  <c r="BK798" i="11"/>
  <c r="BN798" i="11" s="1"/>
  <c r="BK781" i="11"/>
  <c r="BN781" i="11" s="1"/>
  <c r="BK766" i="11"/>
  <c r="BN766" i="11" s="1"/>
  <c r="BK751" i="11"/>
  <c r="BN751" i="11" s="1"/>
  <c r="BK734" i="11"/>
  <c r="BN734" i="11" s="1"/>
  <c r="BK718" i="11"/>
  <c r="BN718" i="11" s="1"/>
  <c r="BK702" i="11"/>
  <c r="BN702" i="11" s="1"/>
  <c r="BK686" i="11"/>
  <c r="BN686" i="11" s="1"/>
  <c r="BK670" i="11"/>
  <c r="BN670" i="11" s="1"/>
  <c r="BK654" i="11"/>
  <c r="BN654" i="11" s="1"/>
  <c r="BK638" i="11"/>
  <c r="BN638" i="11" s="1"/>
  <c r="BK621" i="11"/>
  <c r="BN621" i="11" s="1"/>
  <c r="BK606" i="11"/>
  <c r="BN606" i="11" s="1"/>
  <c r="BK590" i="11"/>
  <c r="BN590" i="11" s="1"/>
  <c r="BK574" i="11"/>
  <c r="BN574" i="11" s="1"/>
  <c r="BK559" i="11"/>
  <c r="BN559" i="11" s="1"/>
  <c r="BK542" i="11"/>
  <c r="BN542" i="11" s="1"/>
  <c r="BK526" i="11"/>
  <c r="BN526" i="11" s="1"/>
  <c r="BK510" i="11"/>
  <c r="BN510" i="11" s="1"/>
  <c r="BK494" i="11"/>
  <c r="BN494" i="11" s="1"/>
  <c r="BK478" i="11"/>
  <c r="BN478" i="11" s="1"/>
  <c r="BK462" i="11"/>
  <c r="BN462" i="11" s="1"/>
  <c r="BK446" i="11"/>
  <c r="BK430" i="11"/>
  <c r="BN430" i="11" s="1"/>
  <c r="BK414" i="11"/>
  <c r="BN414" i="11" s="1"/>
  <c r="BK398" i="11"/>
  <c r="BN398" i="11" s="1"/>
  <c r="BK382" i="11"/>
  <c r="BN382" i="11" s="1"/>
  <c r="BK366" i="11"/>
  <c r="BN366" i="11" s="1"/>
  <c r="BK350" i="11"/>
  <c r="BN350" i="11" s="1"/>
  <c r="BK334" i="11"/>
  <c r="BN334" i="11" s="1"/>
  <c r="BK318" i="11"/>
  <c r="BN318" i="11" s="1"/>
  <c r="BK302" i="11"/>
  <c r="BN302" i="11" s="1"/>
  <c r="BK286" i="11"/>
  <c r="BN286" i="11" s="1"/>
  <c r="BK270" i="11"/>
  <c r="BN270" i="11" s="1"/>
  <c r="BK254" i="11"/>
  <c r="BN254" i="11" s="1"/>
  <c r="BK238" i="11"/>
  <c r="BN238" i="11" s="1"/>
  <c r="BK222" i="11"/>
  <c r="BN222" i="11" s="1"/>
  <c r="BK206" i="11"/>
  <c r="BN206" i="11" s="1"/>
  <c r="BK190" i="11"/>
  <c r="BN190" i="11" s="1"/>
  <c r="BK174" i="11"/>
  <c r="BN174" i="11" s="1"/>
  <c r="BK157" i="11"/>
  <c r="BN157" i="11" s="1"/>
  <c r="BK141" i="11"/>
  <c r="BN141" i="11" s="1"/>
  <c r="BK125" i="11"/>
  <c r="BN125" i="11" s="1"/>
  <c r="BK109" i="11"/>
  <c r="BN109" i="11" s="1"/>
  <c r="BK92" i="11"/>
  <c r="BN92" i="11" s="1"/>
  <c r="BK76" i="11"/>
  <c r="BN76" i="11" s="1"/>
  <c r="BK60" i="11"/>
  <c r="BN60" i="11" s="1"/>
  <c r="BK44" i="11"/>
  <c r="BN44" i="11" s="1"/>
  <c r="BK28" i="11"/>
  <c r="BN28" i="11" s="1"/>
  <c r="BK10" i="11"/>
  <c r="BN10" i="11" s="1"/>
  <c r="BK75" i="11"/>
  <c r="BN75" i="11" s="1"/>
  <c r="BK6" i="11"/>
  <c r="BN6" i="11" s="1"/>
  <c r="BK924" i="11"/>
  <c r="BN924" i="11" s="1"/>
  <c r="BK908" i="11"/>
  <c r="BN908" i="11" s="1"/>
  <c r="BK892" i="11"/>
  <c r="BN892" i="11" s="1"/>
  <c r="BK876" i="11"/>
  <c r="BN876" i="11" s="1"/>
  <c r="BK860" i="11"/>
  <c r="BN860" i="11" s="1"/>
  <c r="BK836" i="11"/>
  <c r="BN836" i="11" s="1"/>
  <c r="BK830" i="11"/>
  <c r="BN830" i="11" s="1"/>
  <c r="BK812" i="11"/>
  <c r="BK796" i="11"/>
  <c r="BN796" i="11" s="1"/>
  <c r="BK780" i="11"/>
  <c r="BK764" i="11"/>
  <c r="BN764" i="11" s="1"/>
  <c r="BK748" i="11"/>
  <c r="BN748" i="11" s="1"/>
  <c r="BK732" i="11"/>
  <c r="BN732" i="11" s="1"/>
  <c r="BK716" i="11"/>
  <c r="BN716" i="11" s="1"/>
  <c r="BK700" i="11"/>
  <c r="BN700" i="11" s="1"/>
  <c r="BK684" i="11"/>
  <c r="BN684" i="11" s="1"/>
  <c r="BK668" i="11"/>
  <c r="BN668" i="11" s="1"/>
  <c r="BK652" i="11"/>
  <c r="BN652" i="11" s="1"/>
  <c r="BK636" i="11"/>
  <c r="BN636" i="11" s="1"/>
  <c r="BK631" i="11"/>
  <c r="BN631" i="11" s="1"/>
  <c r="BK604" i="11"/>
  <c r="BN604" i="11" s="1"/>
  <c r="BK588" i="11"/>
  <c r="BN588" i="11" s="1"/>
  <c r="BK572" i="11"/>
  <c r="BN572" i="11" s="1"/>
  <c r="BK557" i="11"/>
  <c r="BN557" i="11" s="1"/>
  <c r="BK540" i="11"/>
  <c r="BN540" i="11" s="1"/>
  <c r="BK155" i="11"/>
  <c r="BN155" i="11" s="1"/>
  <c r="BK139" i="11"/>
  <c r="BN139" i="11" s="1"/>
  <c r="BK123" i="11"/>
  <c r="BN123" i="11" s="1"/>
  <c r="BK107" i="11"/>
  <c r="BN107" i="11" s="1"/>
  <c r="BK90" i="11"/>
  <c r="BN90" i="11" s="1"/>
  <c r="BK74" i="11"/>
  <c r="BN74" i="11" s="1"/>
  <c r="BK58" i="11"/>
  <c r="BN58" i="11" s="1"/>
  <c r="BK42" i="11"/>
  <c r="BN42" i="11" s="1"/>
  <c r="BK26" i="11"/>
  <c r="BN26" i="11" s="1"/>
  <c r="BK43" i="11"/>
  <c r="BN43" i="11" s="1"/>
  <c r="BK5" i="11"/>
  <c r="BN5" i="11" s="1"/>
  <c r="BK8" i="11"/>
  <c r="BN8" i="11" s="1"/>
  <c r="BK923" i="11"/>
  <c r="BN923" i="11" s="1"/>
  <c r="BK907" i="11"/>
  <c r="BN907" i="11" s="1"/>
  <c r="BK891" i="11"/>
  <c r="BN891" i="11" s="1"/>
  <c r="BK875" i="11"/>
  <c r="BN875" i="11" s="1"/>
  <c r="BK859" i="11"/>
  <c r="BN859" i="11" s="1"/>
  <c r="BK845" i="11"/>
  <c r="BN845" i="11" s="1"/>
  <c r="BK829" i="11"/>
  <c r="BN829" i="11" s="1"/>
  <c r="BK811" i="11"/>
  <c r="BN811" i="11" s="1"/>
  <c r="BK795" i="11"/>
  <c r="BN795" i="11" s="1"/>
  <c r="BK779" i="11"/>
  <c r="BN779" i="11" s="1"/>
  <c r="BK763" i="11"/>
  <c r="BN763" i="11" s="1"/>
  <c r="BK747" i="11"/>
  <c r="BN747" i="11" s="1"/>
  <c r="BK731" i="11"/>
  <c r="BK715" i="11"/>
  <c r="BN715" i="11" s="1"/>
  <c r="BK699" i="11"/>
  <c r="BN699" i="11" s="1"/>
  <c r="BK683" i="11"/>
  <c r="BN683" i="11" s="1"/>
  <c r="BK667" i="11"/>
  <c r="BN667" i="11" s="1"/>
  <c r="BK651" i="11"/>
  <c r="BN651" i="11" s="1"/>
  <c r="BK635" i="11"/>
  <c r="BN635" i="11" s="1"/>
  <c r="BK619" i="11"/>
  <c r="BN619" i="11" s="1"/>
  <c r="BK603" i="11"/>
  <c r="BN603" i="11" s="1"/>
  <c r="BK587" i="11"/>
  <c r="BN587" i="11" s="1"/>
  <c r="BK571" i="11"/>
  <c r="BN571" i="11" s="1"/>
  <c r="BK556" i="11"/>
  <c r="BN556" i="11" s="1"/>
  <c r="BK539" i="11"/>
  <c r="BN539" i="11" s="1"/>
  <c r="BK523" i="11"/>
  <c r="BN523" i="11" s="1"/>
  <c r="BK507" i="11"/>
  <c r="BN507" i="11" s="1"/>
  <c r="BK491" i="11"/>
  <c r="BN491" i="11" s="1"/>
  <c r="BK475" i="11"/>
  <c r="BN475" i="11" s="1"/>
  <c r="BK459" i="11"/>
  <c r="BN459" i="11" s="1"/>
  <c r="BK443" i="11"/>
  <c r="BN443" i="11" s="1"/>
  <c r="BK427" i="11"/>
  <c r="BN427" i="11" s="1"/>
  <c r="BK411" i="11"/>
  <c r="BN411" i="11" s="1"/>
  <c r="BK395" i="11"/>
  <c r="BN395" i="11" s="1"/>
  <c r="BK379" i="11"/>
  <c r="BK363" i="11"/>
  <c r="BN363" i="11" s="1"/>
  <c r="BK347" i="11"/>
  <c r="BN347" i="11" s="1"/>
  <c r="BK328" i="11"/>
  <c r="BK315" i="11"/>
  <c r="BN315" i="11" s="1"/>
  <c r="BK299" i="11"/>
  <c r="BN299" i="11" s="1"/>
  <c r="BK283" i="11"/>
  <c r="BK267" i="11"/>
  <c r="BN267" i="11" s="1"/>
  <c r="BK251" i="11"/>
  <c r="BN251" i="11" s="1"/>
  <c r="BK235" i="11"/>
  <c r="BK219" i="11"/>
  <c r="BN219" i="11" s="1"/>
  <c r="BK203" i="11"/>
  <c r="BN203" i="11" s="1"/>
  <c r="BK187" i="11"/>
  <c r="BN187" i="11" s="1"/>
  <c r="BK171" i="11"/>
  <c r="BN171" i="11" s="1"/>
  <c r="BK154" i="11"/>
  <c r="BK138" i="11"/>
  <c r="BN138" i="11" s="1"/>
  <c r="BK122" i="11"/>
  <c r="BN122" i="11" s="1"/>
  <c r="BK105" i="11"/>
  <c r="BN105" i="11" s="1"/>
  <c r="BK89" i="11"/>
  <c r="BN89" i="11" s="1"/>
  <c r="BK73" i="11"/>
  <c r="BN73" i="11" s="1"/>
  <c r="BK57" i="11"/>
  <c r="BN57" i="11" s="1"/>
  <c r="BK41" i="11"/>
  <c r="BN41" i="11" s="1"/>
  <c r="BK25" i="11"/>
  <c r="BN25" i="11" s="1"/>
  <c r="BK59" i="11"/>
  <c r="BN59" i="11" s="1"/>
  <c r="BK958" i="11"/>
  <c r="BN958" i="11" s="1"/>
  <c r="BK922" i="11"/>
  <c r="BN922" i="11" s="1"/>
  <c r="BK906" i="11"/>
  <c r="BN906" i="11" s="1"/>
  <c r="BK890" i="11"/>
  <c r="BN890" i="11" s="1"/>
  <c r="BK874" i="11"/>
  <c r="BN874" i="11" s="1"/>
  <c r="BK858" i="11"/>
  <c r="BN858" i="11" s="1"/>
  <c r="BK844" i="11"/>
  <c r="BK828" i="11"/>
  <c r="BN828" i="11" s="1"/>
  <c r="BK810" i="11"/>
  <c r="BN810" i="11" s="1"/>
  <c r="BK794" i="11"/>
  <c r="BN794" i="11" s="1"/>
  <c r="BK778" i="11"/>
  <c r="BN778" i="11" s="1"/>
  <c r="BK749" i="11"/>
  <c r="BN749" i="11" s="1"/>
  <c r="BK746" i="11"/>
  <c r="BN746" i="11" s="1"/>
  <c r="BK730" i="11"/>
  <c r="BN730" i="11" s="1"/>
  <c r="BK714" i="11"/>
  <c r="BN714" i="11" s="1"/>
  <c r="BK698" i="11"/>
  <c r="BN698" i="11" s="1"/>
  <c r="BK682" i="11"/>
  <c r="BN682" i="11" s="1"/>
  <c r="BK666" i="11"/>
  <c r="BN666" i="11" s="1"/>
  <c r="BK650" i="11"/>
  <c r="BN650" i="11" s="1"/>
  <c r="BK634" i="11"/>
  <c r="BN634" i="11" s="1"/>
  <c r="BK618" i="11"/>
  <c r="BN618" i="11" s="1"/>
  <c r="BK602" i="11"/>
  <c r="BN602" i="11" s="1"/>
  <c r="BK586" i="11"/>
  <c r="BN586" i="11" s="1"/>
  <c r="BK570" i="11"/>
  <c r="BN570" i="11" s="1"/>
  <c r="BK553" i="11"/>
  <c r="BN553" i="11" s="1"/>
  <c r="BK538" i="11"/>
  <c r="BK522" i="11"/>
  <c r="BN522" i="11" s="1"/>
  <c r="BK506" i="11"/>
  <c r="BN506" i="11" s="1"/>
  <c r="BK490" i="11"/>
  <c r="BK474" i="11"/>
  <c r="BN474" i="11" s="1"/>
  <c r="BK458" i="11"/>
  <c r="BN458" i="11" s="1"/>
  <c r="BK442" i="11"/>
  <c r="BN442" i="11" s="1"/>
  <c r="BK426" i="11"/>
  <c r="BN426" i="11" s="1"/>
  <c r="BK410" i="11"/>
  <c r="BN410" i="11" s="1"/>
  <c r="BK394" i="11"/>
  <c r="BN394" i="11" s="1"/>
  <c r="BK378" i="11"/>
  <c r="BN378" i="11" s="1"/>
  <c r="BK362" i="11"/>
  <c r="BN362" i="11" s="1"/>
  <c r="BK346" i="11"/>
  <c r="BN346" i="11" s="1"/>
  <c r="BK333" i="11"/>
  <c r="BN333" i="11" s="1"/>
  <c r="BK314" i="11"/>
  <c r="BN314" i="11" s="1"/>
  <c r="BK298" i="11"/>
  <c r="BN298" i="11" s="1"/>
  <c r="BK282" i="11"/>
  <c r="BN282" i="11" s="1"/>
  <c r="BK266" i="11"/>
  <c r="BN266" i="11" s="1"/>
  <c r="BK250" i="11"/>
  <c r="BN250" i="11" s="1"/>
  <c r="BK234" i="11"/>
  <c r="BN234" i="11" s="1"/>
  <c r="BK218" i="11"/>
  <c r="BN218" i="11" s="1"/>
  <c r="BK202" i="11"/>
  <c r="BN202" i="11" s="1"/>
  <c r="BK186" i="11"/>
  <c r="BN186" i="11" s="1"/>
  <c r="BK170" i="11"/>
  <c r="BN170" i="11" s="1"/>
  <c r="BK153" i="11"/>
  <c r="BN153" i="11" s="1"/>
  <c r="BK137" i="11"/>
  <c r="BN137" i="11" s="1"/>
  <c r="BK121" i="11"/>
  <c r="BN121" i="11" s="1"/>
  <c r="BK104" i="11"/>
  <c r="BN104" i="11" s="1"/>
  <c r="BK88" i="11"/>
  <c r="BN88" i="11" s="1"/>
  <c r="BK72" i="11"/>
  <c r="BN72" i="11" s="1"/>
  <c r="BK56" i="11"/>
  <c r="BN56" i="11" s="1"/>
  <c r="BK40" i="11"/>
  <c r="BN40" i="11" s="1"/>
  <c r="BK24" i="11"/>
  <c r="BN24" i="11" s="1"/>
  <c r="BK91" i="11"/>
  <c r="BK957" i="11"/>
  <c r="BN957" i="11" s="1"/>
  <c r="BK921" i="11"/>
  <c r="BN921" i="11" s="1"/>
  <c r="BK905" i="11"/>
  <c r="BN905" i="11" s="1"/>
  <c r="BK889" i="11"/>
  <c r="BN889" i="11" s="1"/>
  <c r="BK873" i="11"/>
  <c r="BN873" i="11" s="1"/>
  <c r="BK857" i="11"/>
  <c r="BN857" i="11" s="1"/>
  <c r="BK843" i="11"/>
  <c r="BK825" i="11"/>
  <c r="BN825" i="11" s="1"/>
  <c r="BK809" i="11"/>
  <c r="BN809" i="11" s="1"/>
  <c r="BK793" i="11"/>
  <c r="BN793" i="11" s="1"/>
  <c r="BK777" i="11"/>
  <c r="BN777" i="11" s="1"/>
  <c r="BK762" i="11"/>
  <c r="BN762" i="11" s="1"/>
  <c r="BK745" i="11"/>
  <c r="BN745" i="11" s="1"/>
  <c r="BK729" i="11"/>
  <c r="BN729" i="11" s="1"/>
  <c r="BK713" i="11"/>
  <c r="BN713" i="11" s="1"/>
  <c r="BK697" i="11"/>
  <c r="BN697" i="11" s="1"/>
  <c r="BK681" i="11"/>
  <c r="BN681" i="11" s="1"/>
  <c r="BK665" i="11"/>
  <c r="BN665" i="11" s="1"/>
  <c r="BK649" i="11"/>
  <c r="BN649" i="11" s="1"/>
  <c r="BK633" i="11"/>
  <c r="BN633" i="11" s="1"/>
  <c r="BK617" i="11"/>
  <c r="BN617" i="11" s="1"/>
  <c r="BK601" i="11"/>
  <c r="BK585" i="11"/>
  <c r="BN585" i="11" s="1"/>
  <c r="BK569" i="11"/>
  <c r="BK552" i="11"/>
  <c r="BK537" i="11"/>
  <c r="BN537" i="11" s="1"/>
  <c r="BK521" i="11"/>
  <c r="BN521" i="11" s="1"/>
  <c r="BK505" i="11"/>
  <c r="BN505" i="11" s="1"/>
  <c r="BK489" i="11"/>
  <c r="BN489" i="11" s="1"/>
  <c r="BK473" i="11"/>
  <c r="BN473" i="11" s="1"/>
  <c r="BK457" i="11"/>
  <c r="BN457" i="11" s="1"/>
  <c r="BK441" i="11"/>
  <c r="BN441" i="11" s="1"/>
  <c r="BK425" i="11"/>
  <c r="BN425" i="11" s="1"/>
  <c r="BK409" i="11"/>
  <c r="BN409" i="11" s="1"/>
  <c r="BK393" i="11"/>
  <c r="BN393" i="11" s="1"/>
  <c r="BK377" i="11"/>
  <c r="BN377" i="11" s="1"/>
  <c r="BK361" i="11"/>
  <c r="BN361" i="11" s="1"/>
  <c r="BK345" i="11"/>
  <c r="BN345" i="11" s="1"/>
  <c r="BK332" i="11"/>
  <c r="BN332" i="11" s="1"/>
  <c r="BK313" i="11"/>
  <c r="BN313" i="11" s="1"/>
  <c r="BK297" i="11"/>
  <c r="BN297" i="11" s="1"/>
  <c r="BK281" i="11"/>
  <c r="BN281" i="11" s="1"/>
  <c r="BK265" i="11"/>
  <c r="BN265" i="11" s="1"/>
  <c r="BK249" i="11"/>
  <c r="BN249" i="11" s="1"/>
  <c r="BK233" i="11"/>
  <c r="BN233" i="11" s="1"/>
  <c r="BK217" i="11"/>
  <c r="BN217" i="11" s="1"/>
  <c r="BK201" i="11"/>
  <c r="BN201" i="11" s="1"/>
  <c r="BK185" i="11"/>
  <c r="BN185" i="11" s="1"/>
  <c r="BK169" i="11"/>
  <c r="BN169" i="11" s="1"/>
  <c r="BK152" i="11"/>
  <c r="BN152" i="11" s="1"/>
  <c r="BK136" i="11"/>
  <c r="BN136" i="11" s="1"/>
  <c r="BK120" i="11"/>
  <c r="BN120" i="11" s="1"/>
  <c r="BK103" i="11"/>
  <c r="BN103" i="11" s="1"/>
  <c r="BK87" i="11"/>
  <c r="BN87" i="11" s="1"/>
  <c r="BK71" i="11"/>
  <c r="BN71" i="11" s="1"/>
  <c r="BK55" i="11"/>
  <c r="BN55" i="11" s="1"/>
  <c r="BK39" i="11"/>
  <c r="BN39" i="11" s="1"/>
  <c r="BK23" i="11"/>
  <c r="BN23" i="11" s="1"/>
  <c r="BK2" i="11"/>
  <c r="BN2" i="11" s="1"/>
  <c r="BK956" i="11"/>
  <c r="BN956" i="11" s="1"/>
  <c r="BK920" i="11"/>
  <c r="BN920" i="11" s="1"/>
  <c r="BK904" i="11"/>
  <c r="BN904" i="11" s="1"/>
  <c r="BK888" i="11"/>
  <c r="BN888" i="11" s="1"/>
  <c r="BK872" i="11"/>
  <c r="BN872" i="11" s="1"/>
  <c r="BK856" i="11"/>
  <c r="BN856" i="11" s="1"/>
  <c r="BK842" i="11"/>
  <c r="BN842" i="11" s="1"/>
  <c r="BK824" i="11"/>
  <c r="BN824" i="11" s="1"/>
  <c r="BK808" i="11"/>
  <c r="BN808" i="11" s="1"/>
  <c r="BK792" i="11"/>
  <c r="BN792" i="11" s="1"/>
  <c r="BK776" i="11"/>
  <c r="BN776" i="11" s="1"/>
  <c r="BK761" i="11"/>
  <c r="BK744" i="11"/>
  <c r="BN744" i="11" s="1"/>
  <c r="BK728" i="11"/>
  <c r="BN728" i="11" s="1"/>
  <c r="BK712" i="11"/>
  <c r="BN712" i="11" s="1"/>
  <c r="BK696" i="11"/>
  <c r="BN696" i="11" s="1"/>
  <c r="BK680" i="11"/>
  <c r="BN680" i="11" s="1"/>
  <c r="BK664" i="11"/>
  <c r="BN664" i="11" s="1"/>
  <c r="BK648" i="11"/>
  <c r="BN648" i="11" s="1"/>
  <c r="BK632" i="11"/>
  <c r="BN632" i="11" s="1"/>
  <c r="BK616" i="11"/>
  <c r="BN616" i="11" s="1"/>
  <c r="BK600" i="11"/>
  <c r="BN600" i="11" s="1"/>
  <c r="BK584" i="11"/>
  <c r="BN584" i="11" s="1"/>
  <c r="BK568" i="11"/>
  <c r="BN568" i="11" s="1"/>
  <c r="BK554" i="11"/>
  <c r="BN554" i="11" s="1"/>
  <c r="BK536" i="11"/>
  <c r="BK520" i="11"/>
  <c r="BK504" i="11"/>
  <c r="BN504" i="11" s="1"/>
  <c r="BK488" i="11"/>
  <c r="BN488" i="11" s="1"/>
  <c r="BK472" i="11"/>
  <c r="BN472" i="11" s="1"/>
  <c r="BK456" i="11"/>
  <c r="BN456" i="11" s="1"/>
  <c r="BK440" i="11"/>
  <c r="BN440" i="11" s="1"/>
  <c r="BK424" i="11"/>
  <c r="BN424" i="11" s="1"/>
  <c r="BK408" i="11"/>
  <c r="BK392" i="11"/>
  <c r="BN392" i="11" s="1"/>
  <c r="BK376" i="11"/>
  <c r="BN376" i="11" s="1"/>
  <c r="BK360" i="11"/>
  <c r="BN360" i="11" s="1"/>
  <c r="BK344" i="11"/>
  <c r="BN344" i="11" s="1"/>
  <c r="BK331" i="11"/>
  <c r="BN331" i="11" s="1"/>
  <c r="BK312" i="11"/>
  <c r="BN312" i="11" s="1"/>
  <c r="BK296" i="11"/>
  <c r="BK280" i="11"/>
  <c r="BK264" i="11"/>
  <c r="BN264" i="11" s="1"/>
  <c r="BK248" i="11"/>
  <c r="BN248" i="11" s="1"/>
  <c r="BK232" i="11"/>
  <c r="BN232" i="11" s="1"/>
  <c r="BK216" i="11"/>
  <c r="BN216" i="11" s="1"/>
  <c r="BK200" i="11"/>
  <c r="BN200" i="11" s="1"/>
  <c r="BK184" i="11"/>
  <c r="BN184" i="11" s="1"/>
  <c r="BK168" i="11"/>
  <c r="BN168" i="11" s="1"/>
  <c r="BK151" i="11"/>
  <c r="BN151" i="11" s="1"/>
  <c r="BK135" i="11"/>
  <c r="BN135" i="11" s="1"/>
  <c r="BK119" i="11"/>
  <c r="BN119" i="11" s="1"/>
  <c r="BK102" i="11"/>
  <c r="BN102" i="11" s="1"/>
  <c r="BK86" i="11"/>
  <c r="BN86" i="11" s="1"/>
  <c r="BK70" i="11"/>
  <c r="BN70" i="11" s="1"/>
  <c r="BK54" i="11"/>
  <c r="BN54" i="11" s="1"/>
  <c r="BK38" i="11"/>
  <c r="BN38" i="11" s="1"/>
  <c r="BK22" i="11"/>
  <c r="BN22" i="11" s="1"/>
  <c r="BK939" i="11"/>
  <c r="BN939" i="11" s="1"/>
  <c r="BK919" i="11"/>
  <c r="BN919" i="11" s="1"/>
  <c r="BK903" i="11"/>
  <c r="BN903" i="11" s="1"/>
  <c r="BK887" i="11"/>
  <c r="BN887" i="11" s="1"/>
  <c r="BK871" i="11"/>
  <c r="BN871" i="11" s="1"/>
  <c r="BK855" i="11"/>
  <c r="BN855" i="11" s="1"/>
  <c r="BK841" i="11"/>
  <c r="BN841" i="11" s="1"/>
  <c r="BK823" i="11"/>
  <c r="BK807" i="11"/>
  <c r="BN807" i="11" s="1"/>
  <c r="BK791" i="11"/>
  <c r="BN791" i="11" s="1"/>
  <c r="BK775" i="11"/>
  <c r="BN775" i="11" s="1"/>
  <c r="BK760" i="11"/>
  <c r="BN760" i="11" s="1"/>
  <c r="BK743" i="11"/>
  <c r="BN743" i="11" s="1"/>
  <c r="BK727" i="11"/>
  <c r="BN727" i="11" s="1"/>
  <c r="BK711" i="11"/>
  <c r="BN711" i="11" s="1"/>
  <c r="BK695" i="11"/>
  <c r="BN695" i="11" s="1"/>
  <c r="BK679" i="11"/>
  <c r="BN679" i="11" s="1"/>
  <c r="BK663" i="11"/>
  <c r="BN663" i="11" s="1"/>
  <c r="BK647" i="11"/>
  <c r="BN647" i="11" s="1"/>
  <c r="BK630" i="11"/>
  <c r="BN630" i="11" s="1"/>
  <c r="BK615" i="11"/>
  <c r="BN615" i="11" s="1"/>
  <c r="BK599" i="11"/>
  <c r="BN599" i="11" s="1"/>
  <c r="BK583" i="11"/>
  <c r="BN583" i="11" s="1"/>
  <c r="BK567" i="11"/>
  <c r="BN567" i="11" s="1"/>
  <c r="BK551" i="11"/>
  <c r="BN551" i="11" s="1"/>
  <c r="BK535" i="11"/>
  <c r="BK519" i="11"/>
  <c r="BN519" i="11" s="1"/>
  <c r="BK503" i="11"/>
  <c r="BN503" i="11" s="1"/>
  <c r="BK487" i="11"/>
  <c r="BN487" i="11" s="1"/>
  <c r="BK471" i="11"/>
  <c r="BN471" i="11" s="1"/>
  <c r="BK455" i="11"/>
  <c r="BN455" i="11" s="1"/>
  <c r="BK439" i="11"/>
  <c r="BN439" i="11" s="1"/>
  <c r="BK423" i="11"/>
  <c r="BN423" i="11" s="1"/>
  <c r="BK407" i="11"/>
  <c r="BN407" i="11" s="1"/>
  <c r="BK391" i="11"/>
  <c r="BN391" i="11" s="1"/>
  <c r="BK375" i="11"/>
  <c r="BN375" i="11" s="1"/>
  <c r="BK359" i="11"/>
  <c r="BN359" i="11" s="1"/>
  <c r="BK343" i="11"/>
  <c r="BN343" i="11" s="1"/>
  <c r="BK327" i="11"/>
  <c r="BN327" i="11" s="1"/>
  <c r="BK311" i="11"/>
  <c r="BN311" i="11" s="1"/>
  <c r="BK295" i="11"/>
  <c r="BN295" i="11" s="1"/>
  <c r="BK279" i="11"/>
  <c r="BN279" i="11" s="1"/>
  <c r="BK263" i="11"/>
  <c r="BN263" i="11" s="1"/>
  <c r="BK247" i="11"/>
  <c r="BK231" i="11"/>
  <c r="BK215" i="11"/>
  <c r="BN215" i="11" s="1"/>
  <c r="BK199" i="11"/>
  <c r="BN199" i="11" s="1"/>
  <c r="BK183" i="11"/>
  <c r="BN183" i="11" s="1"/>
  <c r="BK167" i="11"/>
  <c r="BN167" i="11" s="1"/>
  <c r="BK150" i="11"/>
  <c r="BN150" i="11" s="1"/>
  <c r="BK134" i="11"/>
  <c r="BN134" i="11" s="1"/>
  <c r="BK118" i="11"/>
  <c r="BN118" i="11" s="1"/>
  <c r="BK101" i="11"/>
  <c r="BN101" i="11" s="1"/>
  <c r="BK85" i="11"/>
  <c r="BN85" i="11" s="1"/>
  <c r="BK69" i="11"/>
  <c r="BN69" i="11" s="1"/>
  <c r="BK53" i="11"/>
  <c r="BN53" i="11" s="1"/>
  <c r="BK37" i="11"/>
  <c r="BN37" i="11" s="1"/>
  <c r="BK21" i="11"/>
  <c r="BN21" i="11" s="1"/>
  <c r="BK937" i="11"/>
  <c r="BN937" i="11" s="1"/>
  <c r="BK918" i="11"/>
  <c r="BN918" i="11" s="1"/>
  <c r="BK902" i="11"/>
  <c r="BN902" i="11" s="1"/>
  <c r="BK886" i="11"/>
  <c r="BN886" i="11" s="1"/>
  <c r="BK870" i="11"/>
  <c r="BN870" i="11" s="1"/>
  <c r="BK854" i="11"/>
  <c r="BN854" i="11" s="1"/>
  <c r="BK840" i="11"/>
  <c r="BN840" i="11" s="1"/>
  <c r="BK822" i="11"/>
  <c r="BN822" i="11" s="1"/>
  <c r="BK806" i="11"/>
  <c r="BN806" i="11" s="1"/>
  <c r="BK790" i="11"/>
  <c r="BN790" i="11" s="1"/>
  <c r="BK774" i="11"/>
  <c r="BN774" i="11" s="1"/>
  <c r="BK759" i="11"/>
  <c r="BN759" i="11" s="1"/>
  <c r="BK742" i="11"/>
  <c r="BN742" i="11" s="1"/>
  <c r="BK726" i="11"/>
  <c r="BN726" i="11" s="1"/>
  <c r="BK710" i="11"/>
  <c r="BN710" i="11" s="1"/>
  <c r="BK694" i="11"/>
  <c r="BN694" i="11" s="1"/>
  <c r="BK678" i="11"/>
  <c r="BN678" i="11" s="1"/>
  <c r="BK662" i="11"/>
  <c r="BK646" i="11"/>
  <c r="BN646" i="11" s="1"/>
  <c r="BK629" i="11"/>
  <c r="BN629" i="11" s="1"/>
  <c r="BK614" i="11"/>
  <c r="BN614" i="11" s="1"/>
  <c r="BK598" i="11"/>
  <c r="BN598" i="11" s="1"/>
  <c r="BK582" i="11"/>
  <c r="BN582" i="11" s="1"/>
  <c r="BK566" i="11"/>
  <c r="BN566" i="11" s="1"/>
  <c r="BK550" i="11"/>
  <c r="BN550" i="11" s="1"/>
  <c r="BK534" i="11"/>
  <c r="BK518" i="11"/>
  <c r="BN518" i="11" s="1"/>
  <c r="BK502" i="11"/>
  <c r="BN502" i="11" s="1"/>
  <c r="BK486" i="11"/>
  <c r="BN486" i="11" s="1"/>
  <c r="BK470" i="11"/>
  <c r="BN470" i="11" s="1"/>
  <c r="BK454" i="11"/>
  <c r="BN454" i="11" s="1"/>
  <c r="BK438" i="11"/>
  <c r="BN438" i="11" s="1"/>
  <c r="BK422" i="11"/>
  <c r="BN422" i="11" s="1"/>
  <c r="BK406" i="11"/>
  <c r="BN406" i="11" s="1"/>
  <c r="BK390" i="11"/>
  <c r="BN390" i="11" s="1"/>
  <c r="BK374" i="11"/>
  <c r="BN374" i="11" s="1"/>
  <c r="BK358" i="11"/>
  <c r="BN358" i="11" s="1"/>
  <c r="BK342" i="11"/>
  <c r="BN342" i="11" s="1"/>
  <c r="BK326" i="11"/>
  <c r="BN326" i="11" s="1"/>
  <c r="BK310" i="11"/>
  <c r="BK294" i="11"/>
  <c r="BN294" i="11" s="1"/>
  <c r="BK278" i="11"/>
  <c r="BN278" i="11" s="1"/>
  <c r="BK262" i="11"/>
  <c r="BN262" i="11" s="1"/>
  <c r="BK246" i="11"/>
  <c r="BN246" i="11" s="1"/>
  <c r="BK230" i="11"/>
  <c r="BN230" i="11" s="1"/>
  <c r="BK214" i="11"/>
  <c r="BN214" i="11" s="1"/>
  <c r="BK198" i="11"/>
  <c r="BN198" i="11" s="1"/>
  <c r="BK182" i="11"/>
  <c r="BN182" i="11" s="1"/>
  <c r="BK166" i="11"/>
  <c r="BN166" i="11" s="1"/>
  <c r="BK149" i="11"/>
  <c r="BN149" i="11" s="1"/>
  <c r="BK133" i="11"/>
  <c r="BN133" i="11" s="1"/>
  <c r="BK117" i="11"/>
  <c r="BN117" i="11" s="1"/>
  <c r="BK100" i="11"/>
  <c r="BN100" i="11" s="1"/>
  <c r="BK84" i="11"/>
  <c r="BN84" i="11" s="1"/>
  <c r="BK68" i="11"/>
  <c r="BN68" i="11" s="1"/>
  <c r="BK52" i="11"/>
  <c r="BN52" i="11" s="1"/>
  <c r="BK36" i="11"/>
  <c r="BN36" i="11" s="1"/>
  <c r="BK20" i="11"/>
  <c r="BN20" i="11" s="1"/>
  <c r="AZ957" i="11"/>
  <c r="AZ921" i="11"/>
  <c r="AZ905" i="11"/>
  <c r="AZ889" i="11"/>
  <c r="AZ873" i="11"/>
  <c r="AZ857" i="11"/>
  <c r="AZ843" i="11"/>
  <c r="AZ825" i="11"/>
  <c r="AZ809" i="11"/>
  <c r="AZ793" i="11"/>
  <c r="AZ777" i="11"/>
  <c r="AZ762" i="11"/>
  <c r="AZ745" i="11"/>
  <c r="AZ729" i="11"/>
  <c r="AZ713" i="11"/>
  <c r="AZ697" i="11"/>
  <c r="AZ681" i="11"/>
  <c r="AZ665" i="11"/>
  <c r="AZ649" i="11"/>
  <c r="AZ633" i="11"/>
  <c r="AZ617" i="11"/>
  <c r="AZ601" i="11"/>
  <c r="AZ585" i="11"/>
  <c r="AZ569" i="11"/>
  <c r="AZ552" i="11"/>
  <c r="AZ537" i="11"/>
  <c r="AZ521" i="11"/>
  <c r="AZ505" i="11"/>
  <c r="AZ489" i="11"/>
  <c r="AZ473" i="11"/>
  <c r="AZ457" i="11"/>
  <c r="AZ441" i="11"/>
  <c r="AZ425" i="11"/>
  <c r="AZ409" i="11"/>
  <c r="AZ393" i="11"/>
  <c r="AZ377" i="11"/>
  <c r="AZ361" i="11"/>
  <c r="AZ345" i="11"/>
  <c r="AZ332" i="11"/>
  <c r="AZ313" i="11"/>
  <c r="AZ297" i="11"/>
  <c r="AZ281" i="11"/>
  <c r="AZ265" i="11"/>
  <c r="AZ249" i="11"/>
  <c r="AZ233" i="11"/>
  <c r="AZ217" i="11"/>
  <c r="AZ201" i="11"/>
  <c r="AZ185" i="11"/>
  <c r="AZ169" i="11"/>
  <c r="AZ153" i="11"/>
  <c r="AZ137" i="11"/>
  <c r="AZ121" i="11"/>
  <c r="AZ105" i="11"/>
  <c r="AZ89" i="11"/>
  <c r="AZ73" i="11"/>
  <c r="AZ57" i="11"/>
  <c r="AZ41" i="11"/>
  <c r="AZ25" i="11"/>
  <c r="AZ9" i="11"/>
  <c r="BK936" i="11"/>
  <c r="BN936" i="11" s="1"/>
  <c r="BK917" i="11"/>
  <c r="BN917" i="11" s="1"/>
  <c r="BK901" i="11"/>
  <c r="BN901" i="11" s="1"/>
  <c r="BK885" i="11"/>
  <c r="BN885" i="11" s="1"/>
  <c r="BK869" i="11"/>
  <c r="BN869" i="11" s="1"/>
  <c r="BK853" i="11"/>
  <c r="BN853" i="11" s="1"/>
  <c r="BK839" i="11"/>
  <c r="BN839" i="11" s="1"/>
  <c r="BK821" i="11"/>
  <c r="BN821" i="11" s="1"/>
  <c r="BK805" i="11"/>
  <c r="BN805" i="11" s="1"/>
  <c r="BK789" i="11"/>
  <c r="BN789" i="11" s="1"/>
  <c r="BK773" i="11"/>
  <c r="BN773" i="11" s="1"/>
  <c r="BK758" i="11"/>
  <c r="BN758" i="11" s="1"/>
  <c r="BK741" i="11"/>
  <c r="BN741" i="11" s="1"/>
  <c r="BK725" i="11"/>
  <c r="BN725" i="11" s="1"/>
  <c r="BK709" i="11"/>
  <c r="BN709" i="11" s="1"/>
  <c r="BK693" i="11"/>
  <c r="BK677" i="11"/>
  <c r="BN677" i="11" s="1"/>
  <c r="BK661" i="11"/>
  <c r="BK645" i="11"/>
  <c r="BN645" i="11" s="1"/>
  <c r="BK628" i="11"/>
  <c r="BK613" i="11"/>
  <c r="BN613" i="11" s="1"/>
  <c r="BK597" i="11"/>
  <c r="BN597" i="11" s="1"/>
  <c r="BK581" i="11"/>
  <c r="BN581" i="11" s="1"/>
  <c r="BK565" i="11"/>
  <c r="BN565" i="11" s="1"/>
  <c r="BK549" i="11"/>
  <c r="BN549" i="11" s="1"/>
  <c r="BK533" i="11"/>
  <c r="BN533" i="11" s="1"/>
  <c r="BK517" i="11"/>
  <c r="BN517" i="11" s="1"/>
  <c r="BK501" i="11"/>
  <c r="BN501" i="11" s="1"/>
  <c r="BK485" i="11"/>
  <c r="BN485" i="11" s="1"/>
  <c r="BK469" i="11"/>
  <c r="BN469" i="11" s="1"/>
  <c r="BK453" i="11"/>
  <c r="BN453" i="11" s="1"/>
  <c r="BK437" i="11"/>
  <c r="BN437" i="11" s="1"/>
  <c r="BK421" i="11"/>
  <c r="BK405" i="11"/>
  <c r="BN405" i="11" s="1"/>
  <c r="BK389" i="11"/>
  <c r="BN389" i="11" s="1"/>
  <c r="BK373" i="11"/>
  <c r="BN373" i="11" s="1"/>
  <c r="BK357" i="11"/>
  <c r="BN357" i="11" s="1"/>
  <c r="BK341" i="11"/>
  <c r="BN341" i="11" s="1"/>
  <c r="BK325" i="11"/>
  <c r="BN325" i="11" s="1"/>
  <c r="BK309" i="11"/>
  <c r="BN309" i="11" s="1"/>
  <c r="BK293" i="11"/>
  <c r="BN293" i="11" s="1"/>
  <c r="BK277" i="11"/>
  <c r="BN277" i="11" s="1"/>
  <c r="BK261" i="11"/>
  <c r="BN261" i="11" s="1"/>
  <c r="BK245" i="11"/>
  <c r="BN245" i="11" s="1"/>
  <c r="BK229" i="11"/>
  <c r="BN229" i="11" s="1"/>
  <c r="BK213" i="11"/>
  <c r="BK197" i="11"/>
  <c r="BN197" i="11" s="1"/>
  <c r="BK181" i="11"/>
  <c r="BN181" i="11" s="1"/>
  <c r="BK165" i="11"/>
  <c r="BN165" i="11" s="1"/>
  <c r="BK148" i="11"/>
  <c r="BN148" i="11" s="1"/>
  <c r="BK132" i="11"/>
  <c r="BN132" i="11" s="1"/>
  <c r="BK116" i="11"/>
  <c r="BN116" i="11" s="1"/>
  <c r="BK99" i="11"/>
  <c r="BN99" i="11" s="1"/>
  <c r="BK83" i="11"/>
  <c r="BN83" i="11" s="1"/>
  <c r="BK67" i="11"/>
  <c r="BN67" i="11" s="1"/>
  <c r="BK51" i="11"/>
  <c r="BN51" i="11" s="1"/>
  <c r="BK35" i="11"/>
  <c r="BN35" i="11" s="1"/>
  <c r="BK19" i="11"/>
  <c r="BN19" i="11" s="1"/>
  <c r="BK935" i="11"/>
  <c r="BN935" i="11" s="1"/>
  <c r="BK916" i="11"/>
  <c r="BN916" i="11" s="1"/>
  <c r="BK900" i="11"/>
  <c r="BN900" i="11" s="1"/>
  <c r="BK884" i="11"/>
  <c r="BN884" i="11" s="1"/>
  <c r="BK868" i="11"/>
  <c r="BN868" i="11" s="1"/>
  <c r="BK852" i="11"/>
  <c r="BN852" i="11" s="1"/>
  <c r="BK838" i="11"/>
  <c r="BN838" i="11" s="1"/>
  <c r="BK820" i="11"/>
  <c r="BN820" i="11" s="1"/>
  <c r="BK804" i="11"/>
  <c r="BN804" i="11" s="1"/>
  <c r="BK788" i="11"/>
  <c r="BN788" i="11" s="1"/>
  <c r="BK772" i="11"/>
  <c r="BN772" i="11" s="1"/>
  <c r="BK757" i="11"/>
  <c r="BN757" i="11" s="1"/>
  <c r="BK740" i="11"/>
  <c r="BK724" i="11"/>
  <c r="BN724" i="11" s="1"/>
  <c r="BK708" i="11"/>
  <c r="BN708" i="11" s="1"/>
  <c r="BK692" i="11"/>
  <c r="BN692" i="11" s="1"/>
  <c r="BK676" i="11"/>
  <c r="BN676" i="11" s="1"/>
  <c r="BK660" i="11"/>
  <c r="BK644" i="11"/>
  <c r="BN644" i="11" s="1"/>
  <c r="BK627" i="11"/>
  <c r="BK612" i="11"/>
  <c r="BN612" i="11" s="1"/>
  <c r="BK596" i="11"/>
  <c r="BN596" i="11" s="1"/>
  <c r="BK580" i="11"/>
  <c r="BN580" i="11" s="1"/>
  <c r="BK555" i="11"/>
  <c r="BN555" i="11" s="1"/>
  <c r="BK548" i="11"/>
  <c r="BN548" i="11" s="1"/>
  <c r="BK532" i="11"/>
  <c r="BN532" i="11" s="1"/>
  <c r="BK516" i="11"/>
  <c r="BN516" i="11" s="1"/>
  <c r="BK500" i="11"/>
  <c r="BN500" i="11" s="1"/>
  <c r="BK484" i="11"/>
  <c r="BN484" i="11" s="1"/>
  <c r="BK468" i="11"/>
  <c r="BN468" i="11" s="1"/>
  <c r="BK452" i="11"/>
  <c r="BK436" i="11"/>
  <c r="BN436" i="11" s="1"/>
  <c r="BK420" i="11"/>
  <c r="BN420" i="11" s="1"/>
  <c r="BK404" i="11"/>
  <c r="BN404" i="11" s="1"/>
  <c r="BK388" i="11"/>
  <c r="BN388" i="11" s="1"/>
  <c r="BK372" i="11"/>
  <c r="BN372" i="11" s="1"/>
  <c r="BK356" i="11"/>
  <c r="BN356" i="11" s="1"/>
  <c r="BK340" i="11"/>
  <c r="BN340" i="11" s="1"/>
  <c r="BK324" i="11"/>
  <c r="BN324" i="11" s="1"/>
  <c r="BK308" i="11"/>
  <c r="BN308" i="11" s="1"/>
  <c r="BK292" i="11"/>
  <c r="BN292" i="11" s="1"/>
  <c r="BK276" i="11"/>
  <c r="BN276" i="11" s="1"/>
  <c r="BK260" i="11"/>
  <c r="BN260" i="11" s="1"/>
  <c r="BK244" i="11"/>
  <c r="BN244" i="11" s="1"/>
  <c r="BK228" i="11"/>
  <c r="BK212" i="11"/>
  <c r="BN212" i="11" s="1"/>
  <c r="BK196" i="11"/>
  <c r="BN196" i="11" s="1"/>
  <c r="BK180" i="11"/>
  <c r="BN180" i="11" s="1"/>
  <c r="BK164" i="11"/>
  <c r="BN164" i="11" s="1"/>
  <c r="BK147" i="11"/>
  <c r="BN147" i="11" s="1"/>
  <c r="BK131" i="11"/>
  <c r="BN131" i="11" s="1"/>
  <c r="BK115" i="11"/>
  <c r="BN115" i="11" s="1"/>
  <c r="BK98" i="11"/>
  <c r="BN98" i="11" s="1"/>
  <c r="BK82" i="11"/>
  <c r="BN82" i="11" s="1"/>
  <c r="BK66" i="11"/>
  <c r="BN66" i="11" s="1"/>
  <c r="BK50" i="11"/>
  <c r="BN50" i="11" s="1"/>
  <c r="BK34" i="11"/>
  <c r="BN34" i="11" s="1"/>
  <c r="BK18" i="11"/>
  <c r="BN18" i="11" s="1"/>
  <c r="BK16" i="11"/>
  <c r="BN16" i="11" s="1"/>
  <c r="BK934" i="11"/>
  <c r="BN934" i="11" s="1"/>
  <c r="BK915" i="11"/>
  <c r="BN915" i="11" s="1"/>
  <c r="BK899" i="11"/>
  <c r="BN899" i="11" s="1"/>
  <c r="BK883" i="11"/>
  <c r="BN883" i="11" s="1"/>
  <c r="BK867" i="11"/>
  <c r="BN867" i="11" s="1"/>
  <c r="BK851" i="11"/>
  <c r="BN851" i="11" s="1"/>
  <c r="BK835" i="11"/>
  <c r="BK819" i="11"/>
  <c r="BN819" i="11" s="1"/>
  <c r="BK803" i="11"/>
  <c r="BN803" i="11" s="1"/>
  <c r="BK787" i="11"/>
  <c r="BN787" i="11" s="1"/>
  <c r="BK771" i="11"/>
  <c r="BN771" i="11" s="1"/>
  <c r="BK756" i="11"/>
  <c r="BN756" i="11" s="1"/>
  <c r="BK739" i="11"/>
  <c r="BN739" i="11" s="1"/>
  <c r="BK723" i="11"/>
  <c r="BN723" i="11" s="1"/>
  <c r="BK707" i="11"/>
  <c r="BN707" i="11" s="1"/>
  <c r="BK691" i="11"/>
  <c r="BN691" i="11" s="1"/>
  <c r="BK675" i="11"/>
  <c r="BN675" i="11" s="1"/>
  <c r="BK659" i="11"/>
  <c r="BN659" i="11" s="1"/>
  <c r="BK643" i="11"/>
  <c r="BN643" i="11" s="1"/>
  <c r="BK626" i="11"/>
  <c r="BN626" i="11" s="1"/>
  <c r="BK611" i="11"/>
  <c r="BN611" i="11" s="1"/>
  <c r="BK595" i="11"/>
  <c r="BN595" i="11" s="1"/>
  <c r="BK579" i="11"/>
  <c r="BN579" i="11" s="1"/>
  <c r="BK564" i="11"/>
  <c r="BN564" i="11" s="1"/>
  <c r="BK547" i="11"/>
  <c r="BN547" i="11" s="1"/>
  <c r="BK531" i="11"/>
  <c r="BN531" i="11" s="1"/>
  <c r="BK515" i="11"/>
  <c r="BN515" i="11" s="1"/>
  <c r="BK499" i="11"/>
  <c r="BN499" i="11" s="1"/>
  <c r="BK483" i="11"/>
  <c r="BN483" i="11" s="1"/>
  <c r="BK467" i="11"/>
  <c r="BN467" i="11" s="1"/>
  <c r="BK451" i="11"/>
  <c r="BN451" i="11" s="1"/>
  <c r="BK435" i="11"/>
  <c r="BN435" i="11" s="1"/>
  <c r="BK419" i="11"/>
  <c r="BN419" i="11" s="1"/>
  <c r="BK403" i="11"/>
  <c r="BN403" i="11" s="1"/>
  <c r="BK387" i="11"/>
  <c r="BN387" i="11" s="1"/>
  <c r="BK371" i="11"/>
  <c r="BN371" i="11" s="1"/>
  <c r="BK355" i="11"/>
  <c r="BK339" i="11"/>
  <c r="BN339" i="11" s="1"/>
  <c r="BK323" i="11"/>
  <c r="BN323" i="11" s="1"/>
  <c r="BK307" i="11"/>
  <c r="BN307" i="11" s="1"/>
  <c r="BK291" i="11"/>
  <c r="BN291" i="11" s="1"/>
  <c r="BK275" i="11"/>
  <c r="BN275" i="11" s="1"/>
  <c r="BK259" i="11"/>
  <c r="BN259" i="11" s="1"/>
  <c r="BK243" i="11"/>
  <c r="BN243" i="11" s="1"/>
  <c r="BK227" i="11"/>
  <c r="BN227" i="11" s="1"/>
  <c r="BK211" i="11"/>
  <c r="BK195" i="11"/>
  <c r="BN195" i="11" s="1"/>
  <c r="BK179" i="11"/>
  <c r="BN179" i="11" s="1"/>
  <c r="BK162" i="11"/>
  <c r="BN162" i="11" s="1"/>
  <c r="BK146" i="11"/>
  <c r="BN146" i="11" s="1"/>
  <c r="BK130" i="11"/>
  <c r="BK114" i="11"/>
  <c r="BN114" i="11" s="1"/>
  <c r="BK97" i="11"/>
  <c r="BN97" i="11" s="1"/>
  <c r="BK81" i="11"/>
  <c r="BN81" i="11" s="1"/>
  <c r="BK65" i="11"/>
  <c r="BN65" i="11" s="1"/>
  <c r="BK49" i="11"/>
  <c r="BN49" i="11" s="1"/>
  <c r="BK33" i="11"/>
  <c r="BN33" i="11" s="1"/>
  <c r="BK17" i="11"/>
  <c r="BN17" i="11" s="1"/>
  <c r="BK15" i="11"/>
  <c r="BN15" i="11" s="1"/>
  <c r="BK933" i="11"/>
  <c r="BN933" i="11" s="1"/>
  <c r="BK914" i="11"/>
  <c r="BN914" i="11" s="1"/>
  <c r="BK898" i="11"/>
  <c r="BN898" i="11" s="1"/>
  <c r="BK882" i="11"/>
  <c r="BN882" i="11" s="1"/>
  <c r="BK866" i="11"/>
  <c r="BN866" i="11" s="1"/>
  <c r="BK850" i="11"/>
  <c r="BN850" i="11" s="1"/>
  <c r="BK834" i="11"/>
  <c r="BN834" i="11" s="1"/>
  <c r="BK818" i="11"/>
  <c r="BK802" i="11"/>
  <c r="BN802" i="11" s="1"/>
  <c r="BK786" i="11"/>
  <c r="BN786" i="11" s="1"/>
  <c r="BK770" i="11"/>
  <c r="BN770" i="11" s="1"/>
  <c r="BK755" i="11"/>
  <c r="BN755" i="11" s="1"/>
  <c r="BK738" i="11"/>
  <c r="BN738" i="11" s="1"/>
  <c r="BK722" i="11"/>
  <c r="BN722" i="11" s="1"/>
  <c r="BK706" i="11"/>
  <c r="BN706" i="11" s="1"/>
  <c r="BK690" i="11"/>
  <c r="BN690" i="11" s="1"/>
  <c r="BK674" i="11"/>
  <c r="BN674" i="11" s="1"/>
  <c r="BK658" i="11"/>
  <c r="BN658" i="11" s="1"/>
  <c r="BK642" i="11"/>
  <c r="BN642" i="11" s="1"/>
  <c r="BK625" i="11"/>
  <c r="BN625" i="11" s="1"/>
  <c r="BK610" i="11"/>
  <c r="BN610" i="11" s="1"/>
  <c r="BK594" i="11"/>
  <c r="BN594" i="11" s="1"/>
  <c r="BK578" i="11"/>
  <c r="BN578" i="11" s="1"/>
  <c r="BK563" i="11"/>
  <c r="BN563" i="11" s="1"/>
  <c r="BK546" i="11"/>
  <c r="BN546" i="11" s="1"/>
  <c r="BK530" i="11"/>
  <c r="BN530" i="11" s="1"/>
  <c r="BK514" i="11"/>
  <c r="BN514" i="11" s="1"/>
  <c r="BK498" i="11"/>
  <c r="BN498" i="11" s="1"/>
  <c r="BK482" i="11"/>
  <c r="BN482" i="11" s="1"/>
  <c r="BK466" i="11"/>
  <c r="BN466" i="11" s="1"/>
  <c r="BK450" i="11"/>
  <c r="BN450" i="11" s="1"/>
  <c r="BK434" i="11"/>
  <c r="BN434" i="11" s="1"/>
  <c r="BK418" i="11"/>
  <c r="BN418" i="11" s="1"/>
  <c r="BK402" i="11"/>
  <c r="BN402" i="11" s="1"/>
  <c r="BK386" i="11"/>
  <c r="BN386" i="11" s="1"/>
  <c r="BK370" i="11"/>
  <c r="BN370" i="11" s="1"/>
  <c r="BK354" i="11"/>
  <c r="BN354" i="11" s="1"/>
  <c r="BK338" i="11"/>
  <c r="BN338" i="11" s="1"/>
  <c r="BK322" i="11"/>
  <c r="BN322" i="11" s="1"/>
  <c r="BK306" i="11"/>
  <c r="BN306" i="11" s="1"/>
  <c r="BK290" i="11"/>
  <c r="BN290" i="11" s="1"/>
  <c r="BK274" i="11"/>
  <c r="BN274" i="11" s="1"/>
  <c r="BK258" i="11"/>
  <c r="BN258" i="11" s="1"/>
  <c r="BK242" i="11"/>
  <c r="BN242" i="11" s="1"/>
  <c r="BK226" i="11"/>
  <c r="BN226" i="11" s="1"/>
  <c r="BK210" i="11"/>
  <c r="BN210" i="11" s="1"/>
  <c r="BK194" i="11"/>
  <c r="BN194" i="11" s="1"/>
  <c r="BK178" i="11"/>
  <c r="BN178" i="11" s="1"/>
  <c r="BK161" i="11"/>
  <c r="BN161" i="11" s="1"/>
  <c r="BK145" i="11"/>
  <c r="BN145" i="11" s="1"/>
  <c r="BK129" i="11"/>
  <c r="BN129" i="11" s="1"/>
  <c r="BK113" i="11"/>
  <c r="BN113" i="11" s="1"/>
  <c r="BK96" i="11"/>
  <c r="BN96" i="11" s="1"/>
  <c r="BK80" i="11"/>
  <c r="BN80" i="11" s="1"/>
  <c r="BK64" i="11"/>
  <c r="BN64" i="11" s="1"/>
  <c r="BK48" i="11"/>
  <c r="BN48" i="11" s="1"/>
  <c r="BK32" i="11"/>
  <c r="BK106" i="11"/>
  <c r="BN106" i="11" s="1"/>
  <c r="BK27" i="11"/>
  <c r="BN27" i="11" s="1"/>
  <c r="BK929" i="11"/>
  <c r="BN929" i="11" s="1"/>
  <c r="BK913" i="11"/>
  <c r="BK897" i="11"/>
  <c r="BN897" i="11" s="1"/>
  <c r="BK877" i="11"/>
  <c r="BN877" i="11" s="1"/>
  <c r="BK865" i="11"/>
  <c r="BN865" i="11" s="1"/>
  <c r="BK849" i="11"/>
  <c r="BN849" i="11" s="1"/>
  <c r="BK827" i="11"/>
  <c r="BN827" i="11" s="1"/>
  <c r="BK817" i="11"/>
  <c r="BN817" i="11" s="1"/>
  <c r="BK801" i="11"/>
  <c r="BN801" i="11" s="1"/>
  <c r="BK785" i="11"/>
  <c r="BN785" i="11" s="1"/>
  <c r="BK769" i="11"/>
  <c r="BN769" i="11" s="1"/>
  <c r="BK754" i="11"/>
  <c r="BN754" i="11" s="1"/>
  <c r="BK737" i="11"/>
  <c r="BN737" i="11" s="1"/>
  <c r="BK721" i="11"/>
  <c r="BN721" i="11" s="1"/>
  <c r="BK705" i="11"/>
  <c r="BN705" i="11" s="1"/>
  <c r="BK689" i="11"/>
  <c r="BN689" i="11" s="1"/>
  <c r="BK673" i="11"/>
  <c r="BN673" i="11" s="1"/>
  <c r="BK657" i="11"/>
  <c r="BN657" i="11" s="1"/>
  <c r="BK641" i="11"/>
  <c r="BN641" i="11" s="1"/>
  <c r="BK624" i="11"/>
  <c r="BN624" i="11" s="1"/>
  <c r="BK609" i="11"/>
  <c r="BN609" i="11" s="1"/>
  <c r="BK593" i="11"/>
  <c r="BN593" i="11" s="1"/>
  <c r="BK577" i="11"/>
  <c r="BN577" i="11" s="1"/>
  <c r="BK562" i="11"/>
  <c r="BN562" i="11" s="1"/>
  <c r="BK545" i="11"/>
  <c r="BN545" i="11" s="1"/>
  <c r="BK529" i="11"/>
  <c r="BK513" i="11"/>
  <c r="BN513" i="11" s="1"/>
  <c r="BK497" i="11"/>
  <c r="BN497" i="11" s="1"/>
  <c r="BK481" i="11"/>
  <c r="BN481" i="11" s="1"/>
  <c r="BK465" i="11"/>
  <c r="BN465" i="11" s="1"/>
  <c r="BK449" i="11"/>
  <c r="BN449" i="11" s="1"/>
  <c r="BK433" i="11"/>
  <c r="BN433" i="11" s="1"/>
  <c r="BK417" i="11"/>
  <c r="BK401" i="11"/>
  <c r="BN401" i="11" s="1"/>
  <c r="BK385" i="11"/>
  <c r="BN385" i="11" s="1"/>
  <c r="BK369" i="11"/>
  <c r="BN369" i="11" s="1"/>
  <c r="BK353" i="11"/>
  <c r="BN353" i="11" s="1"/>
  <c r="BK337" i="11"/>
  <c r="BK321" i="11"/>
  <c r="BN321" i="11" s="1"/>
  <c r="BK305" i="11"/>
  <c r="BN305" i="11" s="1"/>
  <c r="BK289" i="11"/>
  <c r="BK273" i="11"/>
  <c r="BN273" i="11" s="1"/>
  <c r="BK257" i="11"/>
  <c r="BK241" i="11"/>
  <c r="BN241" i="11" s="1"/>
  <c r="BK225" i="11"/>
  <c r="BN225" i="11" s="1"/>
  <c r="BK209" i="11"/>
  <c r="BK193" i="11"/>
  <c r="BN193" i="11" s="1"/>
  <c r="BK177" i="11"/>
  <c r="BN177" i="11" s="1"/>
  <c r="BK160" i="11"/>
  <c r="BN160" i="11" s="1"/>
  <c r="BK144" i="11"/>
  <c r="BN144" i="11" s="1"/>
  <c r="BK128" i="11"/>
  <c r="BN128" i="11" s="1"/>
  <c r="BK112" i="11"/>
  <c r="BN112" i="11" s="1"/>
  <c r="BK95" i="11"/>
  <c r="BN95" i="11" s="1"/>
  <c r="BK79" i="11"/>
  <c r="BN79" i="11" s="1"/>
  <c r="BK63" i="11"/>
  <c r="BN63" i="11" s="1"/>
  <c r="BK47" i="11"/>
  <c r="BN47" i="11" s="1"/>
  <c r="BK31" i="11"/>
  <c r="BN31" i="11" s="1"/>
  <c r="BK163" i="11"/>
  <c r="BN163" i="11" s="1"/>
  <c r="AZ928" i="11"/>
  <c r="AZ912" i="11"/>
  <c r="AZ896" i="11"/>
  <c r="AZ881" i="11"/>
  <c r="AZ864" i="11"/>
  <c r="AZ848" i="11"/>
  <c r="AZ826" i="11"/>
  <c r="AZ816" i="11"/>
  <c r="AZ800" i="11"/>
  <c r="AZ784" i="11"/>
  <c r="AZ768" i="11"/>
  <c r="AZ753" i="11"/>
  <c r="AZ736" i="11"/>
  <c r="AZ720" i="11"/>
  <c r="AZ703" i="11"/>
  <c r="AZ688" i="11"/>
  <c r="AZ672" i="11"/>
  <c r="AZ656" i="11"/>
  <c r="AZ640" i="11"/>
  <c r="AZ623" i="11"/>
  <c r="AZ608" i="11"/>
  <c r="AZ592" i="11"/>
  <c r="AZ576" i="11"/>
  <c r="AZ561" i="11"/>
  <c r="AZ544" i="11"/>
  <c r="AZ528" i="11"/>
  <c r="AZ512" i="11"/>
  <c r="AZ496" i="11"/>
  <c r="AZ480" i="11"/>
  <c r="AZ464" i="11"/>
  <c r="AZ448" i="11"/>
  <c r="AZ432" i="11"/>
  <c r="AZ416" i="11"/>
  <c r="AZ400" i="11"/>
  <c r="AZ384" i="11"/>
  <c r="AZ368" i="11"/>
  <c r="AZ352" i="11"/>
  <c r="AZ336" i="11"/>
  <c r="AZ320" i="11"/>
  <c r="AZ304" i="11"/>
  <c r="AZ288" i="11"/>
  <c r="AZ272" i="11"/>
  <c r="AZ256" i="11"/>
  <c r="AZ240" i="11"/>
  <c r="AZ224" i="11"/>
  <c r="AZ208" i="11"/>
  <c r="AZ192" i="11"/>
  <c r="AZ176" i="11"/>
  <c r="AZ160" i="11"/>
  <c r="AZ144" i="11"/>
  <c r="AZ128" i="11"/>
  <c r="AZ112" i="11"/>
  <c r="AZ96" i="11"/>
  <c r="AZ80" i="11"/>
  <c r="AZ64" i="11"/>
  <c r="AZ48" i="11"/>
  <c r="AZ32" i="11"/>
  <c r="AZ16" i="11"/>
  <c r="AZ926" i="11"/>
  <c r="AZ910" i="11"/>
  <c r="AZ894" i="11"/>
  <c r="AZ879" i="11"/>
  <c r="AZ862" i="11"/>
  <c r="AZ846" i="11"/>
  <c r="AZ832" i="11"/>
  <c r="AZ814" i="11"/>
  <c r="AZ798" i="11"/>
  <c r="AZ781" i="11"/>
  <c r="AZ766" i="11"/>
  <c r="AZ751" i="11"/>
  <c r="AZ734" i="11"/>
  <c r="AZ718" i="11"/>
  <c r="AZ702" i="11"/>
  <c r="AZ686" i="11"/>
  <c r="AZ670" i="11"/>
  <c r="AZ654" i="11"/>
  <c r="AZ638" i="11"/>
  <c r="AZ621" i="11"/>
  <c r="AZ606" i="11"/>
  <c r="AZ590" i="11"/>
  <c r="AZ574" i="11"/>
  <c r="AZ559" i="11"/>
  <c r="AZ542" i="11"/>
  <c r="AZ526" i="11"/>
  <c r="AZ510" i="11"/>
  <c r="AZ494" i="11"/>
  <c r="AZ478" i="11"/>
  <c r="AZ462" i="11"/>
  <c r="AZ446" i="11"/>
  <c r="AZ430" i="11"/>
  <c r="AZ414" i="11"/>
  <c r="AZ398" i="11"/>
  <c r="AZ382" i="11"/>
  <c r="AZ366" i="11"/>
  <c r="AZ350" i="11"/>
  <c r="AZ334" i="11"/>
  <c r="AZ318" i="11"/>
  <c r="AZ302" i="11"/>
  <c r="AZ286" i="11"/>
  <c r="AZ270" i="11"/>
  <c r="AZ254" i="11"/>
  <c r="AZ238" i="11"/>
  <c r="AZ222" i="11"/>
  <c r="AZ206" i="11"/>
  <c r="AZ190" i="11"/>
  <c r="AZ174" i="11"/>
  <c r="AZ158" i="11"/>
  <c r="AZ142" i="11"/>
  <c r="AZ126" i="11"/>
  <c r="AZ110" i="11"/>
  <c r="AZ94" i="11"/>
  <c r="AZ78" i="11"/>
  <c r="AZ62" i="11"/>
  <c r="AZ46" i="11"/>
  <c r="AZ30" i="11"/>
  <c r="AZ14" i="11"/>
  <c r="AZ899" i="11"/>
  <c r="AZ927" i="11"/>
  <c r="AZ911" i="11"/>
  <c r="AZ895" i="11"/>
  <c r="AZ880" i="11"/>
  <c r="AZ863" i="11"/>
  <c r="AZ847" i="11"/>
  <c r="AZ833" i="11"/>
  <c r="AZ815" i="11"/>
  <c r="AZ799" i="11"/>
  <c r="AZ782" i="11"/>
  <c r="AZ767" i="11"/>
  <c r="AZ752" i="11"/>
  <c r="AZ735" i="11"/>
  <c r="AZ719" i="11"/>
  <c r="AZ704" i="11"/>
  <c r="AZ687" i="11"/>
  <c r="AZ671" i="11"/>
  <c r="AZ655" i="11"/>
  <c r="AZ639" i="11"/>
  <c r="AZ622" i="11"/>
  <c r="AZ607" i="11"/>
  <c r="AZ591" i="11"/>
  <c r="AZ575" i="11"/>
  <c r="AZ560" i="11"/>
  <c r="AZ543" i="11"/>
  <c r="AZ527" i="11"/>
  <c r="AZ511" i="11"/>
  <c r="AZ495" i="11"/>
  <c r="AZ479" i="11"/>
  <c r="AZ463" i="11"/>
  <c r="AZ447" i="11"/>
  <c r="AZ431" i="11"/>
  <c r="AZ415" i="11"/>
  <c r="AZ399" i="11"/>
  <c r="AZ383" i="11"/>
  <c r="AZ367" i="11"/>
  <c r="AZ351" i="11"/>
  <c r="AZ335" i="11"/>
  <c r="AZ319" i="11"/>
  <c r="AZ303" i="11"/>
  <c r="AZ287" i="11"/>
  <c r="AZ271" i="11"/>
  <c r="AZ255" i="11"/>
  <c r="AZ239" i="11"/>
  <c r="AZ223" i="11"/>
  <c r="AZ207" i="11"/>
  <c r="AZ191" i="11"/>
  <c r="AZ175" i="11"/>
  <c r="AZ159" i="11"/>
  <c r="AZ143" i="11"/>
  <c r="AZ127" i="11"/>
  <c r="AZ111" i="11"/>
  <c r="AZ95" i="11"/>
  <c r="AZ79" i="11"/>
  <c r="AZ63" i="11"/>
  <c r="AZ47" i="11"/>
  <c r="AZ31" i="11"/>
  <c r="AZ15" i="11"/>
  <c r="AZ296" i="11"/>
  <c r="AZ925" i="11"/>
  <c r="AZ893" i="11"/>
  <c r="AZ837" i="11"/>
  <c r="AZ783" i="11"/>
  <c r="AZ765" i="11"/>
  <c r="AZ733" i="11"/>
  <c r="AZ620" i="11"/>
  <c r="AZ836" i="11"/>
  <c r="AZ614" i="11"/>
  <c r="AZ118" i="11"/>
  <c r="AZ869" i="11"/>
  <c r="AZ471" i="11"/>
  <c r="AZ884" i="11"/>
  <c r="AZ820" i="11"/>
  <c r="AZ772" i="11"/>
  <c r="AZ708" i="11"/>
  <c r="AZ580" i="11"/>
  <c r="AZ548" i="11"/>
  <c r="AZ796" i="11"/>
  <c r="AZ906" i="11"/>
  <c r="AZ858" i="11"/>
  <c r="AZ778" i="11"/>
  <c r="AZ749" i="11"/>
  <c r="AZ714" i="11"/>
  <c r="AZ850" i="11"/>
  <c r="AZ690" i="11"/>
  <c r="AZ929" i="11"/>
  <c r="AZ913" i="11"/>
  <c r="AZ897" i="11"/>
  <c r="AZ877" i="11"/>
  <c r="AZ865" i="11"/>
  <c r="AZ849" i="11"/>
  <c r="AZ827" i="11"/>
  <c r="AZ817" i="11"/>
  <c r="AZ801" i="11"/>
  <c r="AZ785" i="11"/>
  <c r="AZ769" i="11"/>
  <c r="AZ754" i="11"/>
  <c r="AZ737" i="11"/>
  <c r="AZ721" i="11"/>
  <c r="AZ705" i="11"/>
  <c r="AZ689" i="11"/>
  <c r="AZ673" i="11"/>
  <c r="AZ657" i="11"/>
  <c r="AZ641" i="11"/>
  <c r="AZ624" i="11"/>
  <c r="AZ609" i="11"/>
  <c r="AZ593" i="11"/>
  <c r="AZ577" i="11"/>
  <c r="AZ562" i="11"/>
  <c r="AZ545" i="11"/>
  <c r="AZ529" i="11"/>
  <c r="AZ513" i="11"/>
  <c r="AZ497" i="11"/>
  <c r="AZ481" i="11"/>
  <c r="AZ465" i="11"/>
  <c r="AZ449" i="11"/>
  <c r="AZ433" i="11"/>
  <c r="AZ417" i="11"/>
  <c r="AZ401" i="11"/>
  <c r="AZ385" i="11"/>
  <c r="AZ369" i="11"/>
  <c r="AZ353" i="11"/>
  <c r="AZ337" i="11"/>
  <c r="AZ321" i="11"/>
  <c r="AZ305" i="11"/>
  <c r="AZ289" i="11"/>
  <c r="AZ273" i="11"/>
  <c r="AZ257" i="11"/>
  <c r="AZ241" i="11"/>
  <c r="AZ225" i="11"/>
  <c r="AZ209" i="11"/>
  <c r="AZ193" i="11"/>
  <c r="AZ177" i="11"/>
  <c r="AZ161" i="11"/>
  <c r="AZ145" i="11"/>
  <c r="AZ129" i="11"/>
  <c r="AZ113" i="11"/>
  <c r="AZ97" i="11"/>
  <c r="AZ81" i="11"/>
  <c r="AZ65" i="11"/>
  <c r="AZ49" i="11"/>
  <c r="AZ33" i="11"/>
  <c r="AZ17" i="11"/>
  <c r="AZ851" i="11"/>
  <c r="AZ453" i="11"/>
  <c r="AZ764" i="11"/>
  <c r="AZ604" i="11"/>
  <c r="AZ588" i="11"/>
  <c r="AZ329" i="11"/>
  <c r="AZ852" i="11"/>
  <c r="AZ907" i="11"/>
  <c r="AZ875" i="11"/>
  <c r="AZ859" i="11"/>
  <c r="AZ829" i="11"/>
  <c r="AZ731" i="11"/>
  <c r="AZ523" i="11"/>
  <c r="AZ934" i="11"/>
  <c r="AZ918" i="11"/>
  <c r="AZ956" i="11"/>
  <c r="AZ920" i="11"/>
  <c r="AZ904" i="11"/>
  <c r="AZ888" i="11"/>
  <c r="AZ872" i="11"/>
  <c r="AZ856" i="11"/>
  <c r="AZ842" i="11"/>
  <c r="AZ824" i="11"/>
  <c r="AZ808" i="11"/>
  <c r="AZ792" i="11"/>
  <c r="AZ776" i="11"/>
  <c r="AZ761" i="11"/>
  <c r="AZ744" i="11"/>
  <c r="AZ728" i="11"/>
  <c r="AZ712" i="11"/>
  <c r="AZ696" i="11"/>
  <c r="AZ680" i="11"/>
  <c r="AZ664" i="11"/>
  <c r="AZ648" i="11"/>
  <c r="AZ632" i="11"/>
  <c r="AZ616" i="11"/>
  <c r="AZ600" i="11"/>
  <c r="AZ584" i="11"/>
  <c r="AZ568" i="11"/>
  <c r="AZ554" i="11"/>
  <c r="AZ536" i="11"/>
  <c r="AZ520" i="11"/>
  <c r="AZ504" i="11"/>
  <c r="AZ488" i="11"/>
  <c r="AZ472" i="11"/>
  <c r="AZ456" i="11"/>
  <c r="AZ440" i="11"/>
  <c r="AZ424" i="11"/>
  <c r="AZ344" i="11"/>
  <c r="AZ184" i="11"/>
  <c r="AZ917" i="11"/>
  <c r="AZ939" i="11"/>
  <c r="AZ887" i="11"/>
  <c r="AZ871" i="11"/>
  <c r="AZ841" i="11"/>
  <c r="AZ775" i="11"/>
  <c r="AZ679" i="11"/>
  <c r="AZ199" i="11"/>
  <c r="AZ183" i="11"/>
  <c r="AZ167" i="11"/>
  <c r="AZ135" i="11"/>
  <c r="AY852" i="11"/>
  <c r="AZ252" i="11"/>
  <c r="AZ789" i="11"/>
  <c r="AZ598" i="11"/>
  <c r="AZ901" i="11"/>
  <c r="AZ839" i="11"/>
  <c r="AZ821" i="11"/>
  <c r="AZ805" i="11"/>
  <c r="AZ645" i="11"/>
  <c r="AZ213" i="11"/>
  <c r="AZ197" i="11"/>
  <c r="AZ181" i="11"/>
  <c r="AZ165" i="11"/>
  <c r="AZ149" i="11"/>
  <c r="AZ133" i="11"/>
  <c r="AZ117" i="11"/>
  <c r="AZ101" i="11"/>
  <c r="AZ85" i="11"/>
  <c r="AZ69" i="11"/>
  <c r="AZ53" i="11"/>
  <c r="AZ37" i="11"/>
  <c r="AZ21" i="11"/>
  <c r="AZ5" i="11"/>
  <c r="AZ882" i="11"/>
  <c r="AZ909" i="11"/>
  <c r="AZ878" i="11"/>
  <c r="AZ861" i="11"/>
  <c r="AZ831" i="11"/>
  <c r="AZ813" i="11"/>
  <c r="AZ797" i="11"/>
  <c r="AZ750" i="11"/>
  <c r="AZ717" i="11"/>
  <c r="AZ701" i="11"/>
  <c r="AZ685" i="11"/>
  <c r="AZ669" i="11"/>
  <c r="AZ653" i="11"/>
  <c r="AZ637" i="11"/>
  <c r="AZ605" i="11"/>
  <c r="AZ589" i="11"/>
  <c r="AZ573" i="11"/>
  <c r="AZ558" i="11"/>
  <c r="AZ541" i="11"/>
  <c r="AZ525" i="11"/>
  <c r="AZ509" i="11"/>
  <c r="AZ493" i="11"/>
  <c r="AZ477" i="11"/>
  <c r="AZ461" i="11"/>
  <c r="AZ445" i="11"/>
  <c r="AZ429" i="11"/>
  <c r="AZ413" i="11"/>
  <c r="AZ397" i="11"/>
  <c r="AZ381" i="11"/>
  <c r="AZ365" i="11"/>
  <c r="AZ285" i="11"/>
  <c r="AZ269" i="11"/>
  <c r="AZ157" i="11"/>
  <c r="AZ916" i="11"/>
  <c r="AZ532" i="11"/>
  <c r="AZ86" i="11"/>
  <c r="AZ883" i="11"/>
  <c r="AZ924" i="11"/>
  <c r="AZ908" i="11"/>
  <c r="AZ892" i="11"/>
  <c r="AZ860" i="11"/>
  <c r="AZ830" i="11"/>
  <c r="AZ812" i="11"/>
  <c r="AZ780" i="11"/>
  <c r="AZ748" i="11"/>
  <c r="AZ732" i="11"/>
  <c r="AZ716" i="11"/>
  <c r="AZ700" i="11"/>
  <c r="AZ684" i="11"/>
  <c r="AZ668" i="11"/>
  <c r="AZ652" i="11"/>
  <c r="AZ636" i="11"/>
  <c r="AZ631" i="11"/>
  <c r="AZ572" i="11"/>
  <c r="AZ557" i="11"/>
  <c r="AZ540" i="11"/>
  <c r="AZ524" i="11"/>
  <c r="AZ508" i="11"/>
  <c r="AZ492" i="11"/>
  <c r="AZ476" i="11"/>
  <c r="AZ460" i="11"/>
  <c r="AZ444" i="11"/>
  <c r="AZ428" i="11"/>
  <c r="AZ412" i="11"/>
  <c r="AZ396" i="11"/>
  <c r="AZ380" i="11"/>
  <c r="AZ364" i="11"/>
  <c r="AZ348" i="11"/>
  <c r="AZ300" i="11"/>
  <c r="AZ220" i="11"/>
  <c r="AZ611" i="11"/>
  <c r="AZ283" i="11"/>
  <c r="AZ83" i="11"/>
  <c r="AZ891" i="11"/>
  <c r="AZ845" i="11"/>
  <c r="AZ811" i="11"/>
  <c r="AZ795" i="11"/>
  <c r="AZ779" i="11"/>
  <c r="AZ763" i="11"/>
  <c r="AZ747" i="11"/>
  <c r="AZ715" i="11"/>
  <c r="AZ699" i="11"/>
  <c r="AZ683" i="11"/>
  <c r="AZ667" i="11"/>
  <c r="AZ651" i="11"/>
  <c r="AZ619" i="11"/>
  <c r="AZ603" i="11"/>
  <c r="AZ587" i="11"/>
  <c r="AZ571" i="11"/>
  <c r="AZ556" i="11"/>
  <c r="AZ539" i="11"/>
  <c r="AZ507" i="11"/>
  <c r="AZ491" i="11"/>
  <c r="AZ475" i="11"/>
  <c r="AZ459" i="11"/>
  <c r="AZ443" i="11"/>
  <c r="AZ427" i="11"/>
  <c r="AZ395" i="11"/>
  <c r="AZ379" i="11"/>
  <c r="AZ328" i="11"/>
  <c r="AZ155" i="11"/>
  <c r="AZ643" i="11"/>
  <c r="AZ26" i="11"/>
  <c r="AZ958" i="11"/>
  <c r="AZ922" i="11"/>
  <c r="AZ890" i="11"/>
  <c r="AZ874" i="11"/>
  <c r="AZ844" i="11"/>
  <c r="AZ828" i="11"/>
  <c r="AZ810" i="11"/>
  <c r="AZ794" i="11"/>
  <c r="AZ746" i="11"/>
  <c r="AZ730" i="11"/>
  <c r="AZ698" i="11"/>
  <c r="AZ682" i="11"/>
  <c r="AZ666" i="11"/>
  <c r="AZ650" i="11"/>
  <c r="AZ634" i="11"/>
  <c r="AZ618" i="11"/>
  <c r="AZ586" i="11"/>
  <c r="AZ570" i="11"/>
  <c r="AZ553" i="11"/>
  <c r="AZ538" i="11"/>
  <c r="AZ522" i="11"/>
  <c r="AZ506" i="11"/>
  <c r="AZ490" i="11"/>
  <c r="AZ474" i="11"/>
  <c r="AZ458" i="11"/>
  <c r="AZ442" i="11"/>
  <c r="AZ426" i="11"/>
  <c r="AZ410" i="11"/>
  <c r="AZ394" i="11"/>
  <c r="AZ378" i="11"/>
  <c r="AZ362" i="11"/>
  <c r="AZ266" i="11"/>
  <c r="AZ218" i="11"/>
  <c r="AZ675" i="11"/>
  <c r="AZ566" i="11"/>
  <c r="AZ19" i="11"/>
  <c r="AZ635" i="11"/>
  <c r="AZ602" i="11"/>
  <c r="AZ515" i="11"/>
  <c r="AZ242" i="11"/>
  <c r="AZ807" i="11"/>
  <c r="AZ647" i="11"/>
  <c r="AZ615" i="11"/>
  <c r="AZ599" i="11"/>
  <c r="AZ567" i="11"/>
  <c r="AZ535" i="11"/>
  <c r="AZ519" i="11"/>
  <c r="AZ503" i="11"/>
  <c r="AZ487" i="11"/>
  <c r="AZ455" i="11"/>
  <c r="AZ439" i="11"/>
  <c r="AZ407" i="11"/>
  <c r="AZ391" i="11"/>
  <c r="AZ375" i="11"/>
  <c r="AZ359" i="11"/>
  <c r="AZ343" i="11"/>
  <c r="AZ327" i="11"/>
  <c r="AZ311" i="11"/>
  <c r="AZ295" i="11"/>
  <c r="AZ279" i="11"/>
  <c r="AZ263" i="11"/>
  <c r="AZ247" i="11"/>
  <c r="AZ231" i="11"/>
  <c r="AZ215" i="11"/>
  <c r="AZ923" i="11"/>
  <c r="AZ876" i="11"/>
  <c r="AY851" i="11"/>
  <c r="AY1455" i="11" s="1"/>
  <c r="AZ770" i="11"/>
  <c r="AZ235" i="11"/>
  <c r="AZ818" i="11"/>
  <c r="AZ919" i="11"/>
  <c r="AZ903" i="11"/>
  <c r="AZ855" i="11"/>
  <c r="AZ823" i="11"/>
  <c r="AZ791" i="11"/>
  <c r="AZ760" i="11"/>
  <c r="AZ743" i="11"/>
  <c r="AZ727" i="11"/>
  <c r="AZ711" i="11"/>
  <c r="AZ695" i="11"/>
  <c r="AZ663" i="11"/>
  <c r="AZ630" i="11"/>
  <c r="AZ583" i="11"/>
  <c r="AZ551" i="11"/>
  <c r="AZ423" i="11"/>
  <c r="AZ937" i="11"/>
  <c r="AZ902" i="11"/>
  <c r="AZ886" i="11"/>
  <c r="AZ870" i="11"/>
  <c r="AZ854" i="11"/>
  <c r="AZ840" i="11"/>
  <c r="AZ822" i="11"/>
  <c r="AZ806" i="11"/>
  <c r="AZ790" i="11"/>
  <c r="AZ774" i="11"/>
  <c r="AZ759" i="11"/>
  <c r="AZ742" i="11"/>
  <c r="AZ726" i="11"/>
  <c r="AZ710" i="11"/>
  <c r="AZ694" i="11"/>
  <c r="AZ678" i="11"/>
  <c r="AZ662" i="11"/>
  <c r="AZ646" i="11"/>
  <c r="AZ582" i="11"/>
  <c r="AZ550" i="11"/>
  <c r="AZ534" i="11"/>
  <c r="AZ518" i="11"/>
  <c r="AZ502" i="11"/>
  <c r="AZ486" i="11"/>
  <c r="AZ470" i="11"/>
  <c r="AZ454" i="11"/>
  <c r="AZ438" i="11"/>
  <c r="AZ422" i="11"/>
  <c r="AZ406" i="11"/>
  <c r="AZ390" i="11"/>
  <c r="AZ374" i="11"/>
  <c r="AZ358" i="11"/>
  <c r="AZ342" i="11"/>
  <c r="AZ326" i="11"/>
  <c r="AZ310" i="11"/>
  <c r="AZ294" i="11"/>
  <c r="AZ278" i="11"/>
  <c r="AZ262" i="11"/>
  <c r="AZ246" i="11"/>
  <c r="AZ230" i="11"/>
  <c r="AZ214" i="11"/>
  <c r="AZ198" i="11"/>
  <c r="AZ182" i="11"/>
  <c r="AZ166" i="11"/>
  <c r="AZ150" i="11"/>
  <c r="AZ134" i="11"/>
  <c r="AZ102" i="11"/>
  <c r="AZ70" i="11"/>
  <c r="AZ54" i="11"/>
  <c r="AZ38" i="11"/>
  <c r="AZ22" i="11"/>
  <c r="AZ6" i="11"/>
  <c r="AZ936" i="11"/>
  <c r="AZ885" i="11"/>
  <c r="AZ853" i="11"/>
  <c r="AZ773" i="11"/>
  <c r="AZ758" i="11"/>
  <c r="AZ741" i="11"/>
  <c r="AZ725" i="11"/>
  <c r="AZ709" i="11"/>
  <c r="AZ693" i="11"/>
  <c r="AZ677" i="11"/>
  <c r="AZ661" i="11"/>
  <c r="AZ628" i="11"/>
  <c r="AZ613" i="11"/>
  <c r="AZ597" i="11"/>
  <c r="AZ581" i="11"/>
  <c r="AZ565" i="11"/>
  <c r="AZ549" i="11"/>
  <c r="AZ533" i="11"/>
  <c r="AZ517" i="11"/>
  <c r="AZ501" i="11"/>
  <c r="AZ485" i="11"/>
  <c r="AZ469" i="11"/>
  <c r="AZ437" i="11"/>
  <c r="AZ421" i="11"/>
  <c r="AZ405" i="11"/>
  <c r="AZ389" i="11"/>
  <c r="AZ373" i="11"/>
  <c r="AZ357" i="11"/>
  <c r="AZ341" i="11"/>
  <c r="AZ325" i="11"/>
  <c r="AZ309" i="11"/>
  <c r="AZ293" i="11"/>
  <c r="AZ277" i="11"/>
  <c r="AZ261" i="11"/>
  <c r="AZ245" i="11"/>
  <c r="AZ229" i="11"/>
  <c r="AZ787" i="11"/>
  <c r="AZ629" i="11"/>
  <c r="AZ500" i="11"/>
  <c r="AY934" i="11"/>
  <c r="AZ756" i="11"/>
  <c r="AZ363" i="11"/>
  <c r="AZ935" i="11"/>
  <c r="AZ900" i="11"/>
  <c r="AZ868" i="11"/>
  <c r="AZ838" i="11"/>
  <c r="AZ804" i="11"/>
  <c r="AZ788" i="11"/>
  <c r="AZ757" i="11"/>
  <c r="AZ740" i="11"/>
  <c r="AZ724" i="11"/>
  <c r="AZ692" i="11"/>
  <c r="AZ676" i="11"/>
  <c r="AZ660" i="11"/>
  <c r="AZ644" i="11"/>
  <c r="AZ627" i="11"/>
  <c r="AZ612" i="11"/>
  <c r="AZ596" i="11"/>
  <c r="AZ555" i="11"/>
  <c r="AZ516" i="11"/>
  <c r="AZ484" i="11"/>
  <c r="AZ468" i="11"/>
  <c r="AZ452" i="11"/>
  <c r="AZ436" i="11"/>
  <c r="AZ420" i="11"/>
  <c r="AZ404" i="11"/>
  <c r="AZ388" i="11"/>
  <c r="AZ372" i="11"/>
  <c r="AZ356" i="11"/>
  <c r="AZ340" i="11"/>
  <c r="AZ324" i="11"/>
  <c r="AZ308" i="11"/>
  <c r="AZ292" i="11"/>
  <c r="AZ276" i="11"/>
  <c r="AZ260" i="11"/>
  <c r="AZ244" i="11"/>
  <c r="AZ228" i="11"/>
  <c r="AZ212" i="11"/>
  <c r="AZ196" i="11"/>
  <c r="AZ180" i="11"/>
  <c r="AZ164" i="11"/>
  <c r="AZ148" i="11"/>
  <c r="AZ132" i="11"/>
  <c r="AZ116" i="11"/>
  <c r="AZ100" i="11"/>
  <c r="AZ84" i="11"/>
  <c r="AZ68" i="11"/>
  <c r="AZ52" i="11"/>
  <c r="AZ36" i="11"/>
  <c r="AZ20" i="11"/>
  <c r="AZ4" i="11"/>
  <c r="AZ819" i="11"/>
  <c r="AZ674" i="11"/>
  <c r="AZ915" i="11"/>
  <c r="AZ867" i="11"/>
  <c r="AZ835" i="11"/>
  <c r="AZ803" i="11"/>
  <c r="AZ771" i="11"/>
  <c r="AZ739" i="11"/>
  <c r="AZ723" i="11"/>
  <c r="AZ707" i="11"/>
  <c r="AZ691" i="11"/>
  <c r="AZ659" i="11"/>
  <c r="AZ626" i="11"/>
  <c r="AZ595" i="11"/>
  <c r="AZ579" i="11"/>
  <c r="AZ564" i="11"/>
  <c r="AZ531" i="11"/>
  <c r="AZ499" i="11"/>
  <c r="AZ483" i="11"/>
  <c r="AZ467" i="11"/>
  <c r="AZ451" i="11"/>
  <c r="AZ435" i="11"/>
  <c r="AZ419" i="11"/>
  <c r="AZ403" i="11"/>
  <c r="AZ387" i="11"/>
  <c r="AZ371" i="11"/>
  <c r="AZ355" i="11"/>
  <c r="AZ339" i="11"/>
  <c r="AZ323" i="11"/>
  <c r="AZ307" i="11"/>
  <c r="AZ291" i="11"/>
  <c r="AZ275" i="11"/>
  <c r="AZ259" i="11"/>
  <c r="AZ243" i="11"/>
  <c r="AZ227" i="11"/>
  <c r="AZ211" i="11"/>
  <c r="AZ195" i="11"/>
  <c r="AZ179" i="11"/>
  <c r="AZ147" i="11"/>
  <c r="AZ131" i="11"/>
  <c r="AZ115" i="11"/>
  <c r="AZ99" i="11"/>
  <c r="AZ67" i="11"/>
  <c r="AZ51" i="11"/>
  <c r="AZ35" i="11"/>
  <c r="AZ3" i="11"/>
  <c r="AZ933" i="11"/>
  <c r="AZ914" i="11"/>
  <c r="AZ898" i="11"/>
  <c r="AZ866" i="11"/>
  <c r="AZ834" i="11"/>
  <c r="AZ802" i="11"/>
  <c r="AZ786" i="11"/>
  <c r="AZ755" i="11"/>
  <c r="AZ738" i="11"/>
  <c r="AZ722" i="11"/>
  <c r="AZ706" i="11"/>
  <c r="AZ658" i="11"/>
  <c r="AZ642" i="11"/>
  <c r="AZ625" i="11"/>
  <c r="AZ610" i="11"/>
  <c r="AZ594" i="11"/>
  <c r="AZ578" i="11"/>
  <c r="AZ563" i="11"/>
  <c r="AZ546" i="11"/>
  <c r="AZ530" i="11"/>
  <c r="AZ514" i="11"/>
  <c r="AZ498" i="11"/>
  <c r="AZ482" i="11"/>
  <c r="AZ466" i="11"/>
  <c r="AZ450" i="11"/>
  <c r="AZ434" i="11"/>
  <c r="AZ418" i="11"/>
  <c r="AZ402" i="11"/>
  <c r="AZ386" i="11"/>
  <c r="AZ178" i="11"/>
  <c r="AZ18" i="11"/>
  <c r="AZ547" i="11"/>
  <c r="AZ163" i="11"/>
  <c r="AZ370" i="11"/>
  <c r="AZ354" i="11"/>
  <c r="AZ338" i="11"/>
  <c r="AZ322" i="11"/>
  <c r="AZ306" i="11"/>
  <c r="AZ290" i="11"/>
  <c r="AZ274" i="11"/>
  <c r="AZ258" i="11"/>
  <c r="AZ226" i="11"/>
  <c r="AZ210" i="11"/>
  <c r="AZ194" i="11"/>
  <c r="AZ162" i="11"/>
  <c r="AZ146" i="11"/>
  <c r="AZ130" i="11"/>
  <c r="AZ114" i="11"/>
  <c r="AZ98" i="11"/>
  <c r="AZ82" i="11"/>
  <c r="AZ66" i="11"/>
  <c r="AZ50" i="11"/>
  <c r="AZ34" i="11"/>
  <c r="AZ2" i="11"/>
  <c r="AZ349" i="11"/>
  <c r="AZ330" i="11"/>
  <c r="AZ317" i="11"/>
  <c r="AZ301" i="11"/>
  <c r="AZ253" i="11"/>
  <c r="AZ237" i="11"/>
  <c r="AZ221" i="11"/>
  <c r="AZ205" i="11"/>
  <c r="AZ189" i="11"/>
  <c r="AZ173" i="11"/>
  <c r="AZ141" i="11"/>
  <c r="AZ125" i="11"/>
  <c r="AZ109" i="11"/>
  <c r="AZ93" i="11"/>
  <c r="AZ77" i="11"/>
  <c r="AZ61" i="11"/>
  <c r="AZ45" i="11"/>
  <c r="AZ29" i="11"/>
  <c r="AZ13" i="11"/>
  <c r="AZ316" i="11"/>
  <c r="AZ284" i="11"/>
  <c r="AZ268" i="11"/>
  <c r="AZ236" i="11"/>
  <c r="AZ204" i="11"/>
  <c r="AZ188" i="11"/>
  <c r="AZ172" i="11"/>
  <c r="AZ156" i="11"/>
  <c r="AZ140" i="11"/>
  <c r="AZ124" i="11"/>
  <c r="AZ108" i="11"/>
  <c r="AZ92" i="11"/>
  <c r="AZ76" i="11"/>
  <c r="AZ60" i="11"/>
  <c r="AZ44" i="11"/>
  <c r="AZ28" i="11"/>
  <c r="AZ12" i="11"/>
  <c r="AZ411" i="11"/>
  <c r="AZ347" i="11"/>
  <c r="AZ315" i="11"/>
  <c r="AZ299" i="11"/>
  <c r="AZ267" i="11"/>
  <c r="AZ251" i="11"/>
  <c r="AZ219" i="11"/>
  <c r="AZ203" i="11"/>
  <c r="AZ187" i="11"/>
  <c r="AZ171" i="11"/>
  <c r="AZ139" i="11"/>
  <c r="AZ123" i="11"/>
  <c r="AZ107" i="11"/>
  <c r="AZ91" i="11"/>
  <c r="AZ75" i="11"/>
  <c r="AZ59" i="11"/>
  <c r="AZ43" i="11"/>
  <c r="AZ27" i="11"/>
  <c r="AZ11" i="11"/>
  <c r="AZ346" i="11"/>
  <c r="AZ333" i="11"/>
  <c r="AZ314" i="11"/>
  <c r="AZ298" i="11"/>
  <c r="AZ282" i="11"/>
  <c r="AZ250" i="11"/>
  <c r="AZ234" i="11"/>
  <c r="AZ202" i="11"/>
  <c r="AZ186" i="11"/>
  <c r="AZ170" i="11"/>
  <c r="AZ154" i="11"/>
  <c r="AZ138" i="11"/>
  <c r="AZ122" i="11"/>
  <c r="AZ106" i="11"/>
  <c r="AZ90" i="11"/>
  <c r="AZ74" i="11"/>
  <c r="AZ58" i="11"/>
  <c r="AZ42" i="11"/>
  <c r="AZ10" i="11"/>
  <c r="AZ408" i="11"/>
  <c r="AZ392" i="11"/>
  <c r="AZ376" i="11"/>
  <c r="AZ360" i="11"/>
  <c r="AZ331" i="11"/>
  <c r="AZ312" i="11"/>
  <c r="AZ280" i="11"/>
  <c r="AZ264" i="11"/>
  <c r="AZ248" i="11"/>
  <c r="AZ232" i="11"/>
  <c r="AZ216" i="11"/>
  <c r="AZ200" i="11"/>
  <c r="AZ168" i="11"/>
  <c r="AZ152" i="11"/>
  <c r="AZ136" i="11"/>
  <c r="AZ120" i="11"/>
  <c r="AZ104" i="11"/>
  <c r="AZ88" i="11"/>
  <c r="AZ72" i="11"/>
  <c r="AZ56" i="11"/>
  <c r="AZ40" i="11"/>
  <c r="AZ24" i="11"/>
  <c r="AZ8" i="11"/>
  <c r="AZ151" i="11"/>
  <c r="AZ119" i="11"/>
  <c r="AZ103" i="11"/>
  <c r="AZ87" i="11"/>
  <c r="AZ71" i="11"/>
  <c r="AZ55" i="11"/>
  <c r="AZ39" i="11"/>
  <c r="AZ23" i="11"/>
  <c r="AZ7" i="11"/>
  <c r="BK1455" i="11" l="1"/>
  <c r="AZ1455" i="11"/>
  <c r="BN1455" i="11"/>
  <c r="H934" i="11"/>
  <c r="H935" i="11"/>
  <c r="H936" i="11"/>
  <c r="H937" i="11"/>
  <c r="H939" i="11"/>
  <c r="R303" i="11"/>
  <c r="T303" i="11" s="1"/>
  <c r="R382" i="11"/>
  <c r="T382" i="11" s="1"/>
  <c r="R910" i="11"/>
  <c r="T910" i="11" s="1"/>
  <c r="R925" i="11"/>
  <c r="T925" i="11" s="1"/>
  <c r="S923" i="11"/>
  <c r="T923" i="11" s="1"/>
  <c r="AD461" i="11" l="1"/>
  <c r="S922" i="11"/>
  <c r="T922" i="11" s="1"/>
  <c r="S921" i="11"/>
  <c r="T921" i="11" s="1"/>
  <c r="U923" i="11"/>
  <c r="U924" i="11"/>
  <c r="U925" i="11"/>
  <c r="U926" i="11"/>
  <c r="U927" i="11"/>
  <c r="U928" i="11"/>
  <c r="U933" i="11"/>
  <c r="U937" i="11"/>
  <c r="V937" i="11" s="1"/>
  <c r="U939" i="11"/>
  <c r="V939" i="11" s="1"/>
  <c r="U956" i="11"/>
  <c r="V956" i="11" s="1"/>
  <c r="U957" i="11"/>
  <c r="R919" i="11"/>
  <c r="T919" i="11" s="1"/>
  <c r="W918" i="11"/>
  <c r="AF918" i="11" s="1"/>
  <c r="AD917" i="11"/>
  <c r="W917" i="11"/>
  <c r="AF917" i="11" s="1"/>
  <c r="AD899" i="11"/>
  <c r="W899" i="11"/>
  <c r="AF899" i="11" s="1"/>
  <c r="AD891" i="11"/>
  <c r="W891" i="11"/>
  <c r="AF891" i="11" s="1"/>
  <c r="S918" i="11"/>
  <c r="T918" i="11" s="1"/>
  <c r="S917" i="11"/>
  <c r="T917" i="11" s="1"/>
  <c r="R916" i="11"/>
  <c r="T916" i="11" s="1"/>
  <c r="R915" i="11"/>
  <c r="T915" i="11" s="1"/>
  <c r="R905" i="11"/>
  <c r="R904" i="11"/>
  <c r="T904" i="11" s="1"/>
  <c r="H905" i="11"/>
  <c r="W905" i="11"/>
  <c r="AF905" i="11" s="1"/>
  <c r="AR905" i="11" s="1"/>
  <c r="AD905" i="11"/>
  <c r="AS905" i="11"/>
  <c r="AT905" i="11"/>
  <c r="AE905" i="11" s="1"/>
  <c r="H904" i="11"/>
  <c r="W904" i="11"/>
  <c r="AF904" i="11" s="1"/>
  <c r="AR904" i="11" s="1"/>
  <c r="AD904" i="11"/>
  <c r="AS904" i="11"/>
  <c r="AT904" i="11"/>
  <c r="AE904" i="11" s="1"/>
  <c r="H921" i="11"/>
  <c r="H922" i="11"/>
  <c r="H923" i="11"/>
  <c r="H924" i="11"/>
  <c r="H925" i="11"/>
  <c r="H926" i="11"/>
  <c r="H927" i="11"/>
  <c r="H928" i="11"/>
  <c r="H929" i="11"/>
  <c r="H933" i="11"/>
  <c r="H956" i="11"/>
  <c r="H957" i="11"/>
  <c r="H958" i="11"/>
  <c r="W923" i="11"/>
  <c r="AF923" i="11" s="1"/>
  <c r="AR923" i="11" s="1"/>
  <c r="W924" i="11"/>
  <c r="AF924" i="11" s="1"/>
  <c r="AR924" i="11" s="1"/>
  <c r="W925" i="11"/>
  <c r="AF925" i="11" s="1"/>
  <c r="AR925" i="11" s="1"/>
  <c r="W926" i="11"/>
  <c r="AF926" i="11" s="1"/>
  <c r="AR926" i="11" s="1"/>
  <c r="W927" i="11"/>
  <c r="AF927" i="11" s="1"/>
  <c r="AR927" i="11" s="1"/>
  <c r="W928" i="11"/>
  <c r="AF928" i="11" s="1"/>
  <c r="AR928" i="11" s="1"/>
  <c r="W933" i="11"/>
  <c r="AF933" i="11" s="1"/>
  <c r="AR933" i="11" s="1"/>
  <c r="AF935" i="11"/>
  <c r="AR935" i="11" s="1"/>
  <c r="W936" i="11"/>
  <c r="AF936" i="11" s="1"/>
  <c r="AR936" i="11" s="1"/>
  <c r="W937" i="11"/>
  <c r="AF937" i="11" s="1"/>
  <c r="AR937" i="11" s="1"/>
  <c r="W939" i="11"/>
  <c r="AF939" i="11" s="1"/>
  <c r="AR939" i="11" s="1"/>
  <c r="W956" i="11"/>
  <c r="AF956" i="11" s="1"/>
  <c r="AR956" i="11" s="1"/>
  <c r="W957" i="11"/>
  <c r="AF957" i="11" s="1"/>
  <c r="AR957" i="11" s="1"/>
  <c r="W958" i="11"/>
  <c r="AF958" i="11" s="1"/>
  <c r="AR958" i="11" s="1"/>
  <c r="AD923" i="11"/>
  <c r="AD924" i="11"/>
  <c r="AD925" i="11"/>
  <c r="AD927" i="11"/>
  <c r="AD928" i="11"/>
  <c r="AD935" i="11"/>
  <c r="AD936" i="11"/>
  <c r="AD937" i="11"/>
  <c r="AD939" i="11"/>
  <c r="AD956" i="11"/>
  <c r="AD957" i="11"/>
  <c r="AD958" i="11"/>
  <c r="AS923" i="11"/>
  <c r="AS924" i="11"/>
  <c r="AS925" i="11"/>
  <c r="AS926" i="11"/>
  <c r="AS927" i="11"/>
  <c r="AS928" i="11"/>
  <c r="AS929" i="11"/>
  <c r="AS933" i="11"/>
  <c r="AS934" i="11"/>
  <c r="AS935" i="11"/>
  <c r="AS936" i="11"/>
  <c r="AS937" i="11"/>
  <c r="AS939" i="11"/>
  <c r="AS956" i="11"/>
  <c r="AS957" i="11"/>
  <c r="AS958" i="11"/>
  <c r="AT923" i="11"/>
  <c r="AG923" i="11" s="1"/>
  <c r="AT924" i="11"/>
  <c r="AG924" i="11" s="1"/>
  <c r="AT925" i="11"/>
  <c r="AE925" i="11" s="1"/>
  <c r="AT926" i="11"/>
  <c r="AT927" i="11"/>
  <c r="AT928" i="11"/>
  <c r="AG928" i="11" s="1"/>
  <c r="AT929" i="11"/>
  <c r="AT933" i="11"/>
  <c r="AT934" i="11"/>
  <c r="AT935" i="11"/>
  <c r="AT936" i="11"/>
  <c r="AT937" i="11"/>
  <c r="AE937" i="11" s="1"/>
  <c r="AT939" i="11"/>
  <c r="AT956" i="11"/>
  <c r="AG956" i="11" s="1"/>
  <c r="AT957" i="11"/>
  <c r="AI957" i="11" s="1"/>
  <c r="AT958" i="11"/>
  <c r="AO934" i="11" l="1"/>
  <c r="AM934" i="11"/>
  <c r="AK934" i="11"/>
  <c r="AI934" i="11"/>
  <c r="AG934" i="11"/>
  <c r="AK929" i="11"/>
  <c r="AG929" i="11"/>
  <c r="AO929" i="11"/>
  <c r="AM929" i="11"/>
  <c r="AI929" i="11"/>
  <c r="T905" i="11"/>
  <c r="U905" i="11" s="1"/>
  <c r="V905" i="11" s="1"/>
  <c r="AM905" i="11"/>
  <c r="AG925" i="11"/>
  <c r="AX925" i="11" s="1"/>
  <c r="BA925" i="11" s="1"/>
  <c r="BB925" i="11" s="1"/>
  <c r="AI904" i="11"/>
  <c r="AX956" i="11"/>
  <c r="BA956" i="11" s="1"/>
  <c r="BB956" i="11" s="1"/>
  <c r="AX923" i="11"/>
  <c r="BA923" i="11" s="1"/>
  <c r="BB923" i="11" s="1"/>
  <c r="AX928" i="11"/>
  <c r="BA928" i="11" s="1"/>
  <c r="BB928" i="11" s="1"/>
  <c r="AX924" i="11"/>
  <c r="BA924" i="11" s="1"/>
  <c r="BB924" i="11" s="1"/>
  <c r="AU956" i="11"/>
  <c r="U904" i="11"/>
  <c r="V904" i="11" s="1"/>
  <c r="V923" i="11"/>
  <c r="AU923" i="11" s="1"/>
  <c r="AK905" i="11"/>
  <c r="AI905" i="11"/>
  <c r="V933" i="11"/>
  <c r="AU933" i="11" s="1"/>
  <c r="V924" i="11"/>
  <c r="AU924" i="11" s="1"/>
  <c r="U936" i="11"/>
  <c r="V936" i="11" s="1"/>
  <c r="AU936" i="11" s="1"/>
  <c r="AG905" i="11"/>
  <c r="U935" i="11"/>
  <c r="V935" i="11" s="1"/>
  <c r="AU935" i="11" s="1"/>
  <c r="V926" i="11"/>
  <c r="AU926" i="11" s="1"/>
  <c r="V928" i="11"/>
  <c r="AU928" i="11" s="1"/>
  <c r="V927" i="11"/>
  <c r="AU927" i="11" s="1"/>
  <c r="V925" i="11"/>
  <c r="AO904" i="11"/>
  <c r="AM904" i="11"/>
  <c r="AK904" i="11"/>
  <c r="AG904" i="11"/>
  <c r="V957" i="11"/>
  <c r="AU957" i="11" s="1"/>
  <c r="AU934" i="11"/>
  <c r="AO905" i="11"/>
  <c r="AU939" i="11"/>
  <c r="AU937" i="11"/>
  <c r="AO956" i="11"/>
  <c r="AM956" i="11"/>
  <c r="AK956" i="11"/>
  <c r="AI956" i="11"/>
  <c r="AG939" i="11"/>
  <c r="AG936" i="11"/>
  <c r="AK939" i="11"/>
  <c r="AK937" i="11"/>
  <c r="AK958" i="11"/>
  <c r="U958" i="11"/>
  <c r="V958" i="11" s="1"/>
  <c r="AU958" i="11" s="1"/>
  <c r="AG957" i="11"/>
  <c r="AM937" i="11"/>
  <c r="AO936" i="11"/>
  <c r="AG933" i="11"/>
  <c r="AO958" i="11"/>
  <c r="AM958" i="11"/>
  <c r="AI958" i="11"/>
  <c r="AO939" i="11"/>
  <c r="AM939" i="11"/>
  <c r="AO937" i="11"/>
  <c r="AI937" i="11"/>
  <c r="AM936" i="11"/>
  <c r="AI936" i="11"/>
  <c r="AO935" i="11"/>
  <c r="AM935" i="11"/>
  <c r="AK935" i="11"/>
  <c r="AI935" i="11"/>
  <c r="AG935" i="11"/>
  <c r="AO933" i="11"/>
  <c r="AM933" i="11"/>
  <c r="AK933" i="11"/>
  <c r="AI933" i="11"/>
  <c r="AO928" i="11"/>
  <c r="AM928" i="11"/>
  <c r="AK928" i="11"/>
  <c r="AI928" i="11"/>
  <c r="AG927" i="11"/>
  <c r="AG926" i="11"/>
  <c r="AG958" i="11"/>
  <c r="AG937" i="11"/>
  <c r="AK936" i="11"/>
  <c r="AO927" i="11"/>
  <c r="AI927" i="11"/>
  <c r="AO926" i="11"/>
  <c r="AM926" i="11"/>
  <c r="AK926" i="11"/>
  <c r="AI926" i="11"/>
  <c r="AO925" i="11"/>
  <c r="AM925" i="11"/>
  <c r="AK925" i="11"/>
  <c r="AI925" i="11"/>
  <c r="AK957" i="11"/>
  <c r="AI939" i="11"/>
  <c r="AM927" i="11"/>
  <c r="AK927" i="11"/>
  <c r="AO924" i="11"/>
  <c r="AM924" i="11"/>
  <c r="AK924" i="11"/>
  <c r="AI924" i="11"/>
  <c r="AO957" i="11"/>
  <c r="AM957" i="11"/>
  <c r="AO923" i="11"/>
  <c r="AM923" i="11"/>
  <c r="AK923" i="11"/>
  <c r="AI923" i="11"/>
  <c r="AD920" i="11"/>
  <c r="W920" i="11"/>
  <c r="AF920" i="11" s="1"/>
  <c r="AR920" i="11" s="1"/>
  <c r="AD900" i="11"/>
  <c r="W900" i="11"/>
  <c r="AF900" i="11" s="1"/>
  <c r="R920" i="11"/>
  <c r="H918" i="11"/>
  <c r="H919" i="11"/>
  <c r="H920" i="11"/>
  <c r="U919" i="11"/>
  <c r="V919" i="11" s="1"/>
  <c r="U921" i="11"/>
  <c r="V921" i="11" s="1"/>
  <c r="U922" i="11"/>
  <c r="AR918" i="11"/>
  <c r="W919" i="11"/>
  <c r="AF919" i="11" s="1"/>
  <c r="AR919" i="11" s="1"/>
  <c r="W921" i="11"/>
  <c r="AF921" i="11" s="1"/>
  <c r="AR921" i="11" s="1"/>
  <c r="W922" i="11"/>
  <c r="AF922" i="11" s="1"/>
  <c r="AR922" i="11" s="1"/>
  <c r="AD919" i="11"/>
  <c r="AD921" i="11"/>
  <c r="AD922" i="11"/>
  <c r="AS918" i="11"/>
  <c r="AS919" i="11"/>
  <c r="AS920" i="11"/>
  <c r="AS921" i="11"/>
  <c r="AS922" i="11"/>
  <c r="AT918" i="11"/>
  <c r="AM918" i="11" s="1"/>
  <c r="AT919" i="11"/>
  <c r="AO919" i="11" s="1"/>
  <c r="AT920" i="11"/>
  <c r="AM920" i="11" s="1"/>
  <c r="AT921" i="11"/>
  <c r="AO921" i="11" s="1"/>
  <c r="AT922" i="11"/>
  <c r="AI922" i="11" s="1"/>
  <c r="R906" i="11"/>
  <c r="T906" i="11" s="1"/>
  <c r="R907" i="11"/>
  <c r="T907" i="11" s="1"/>
  <c r="R898" i="11"/>
  <c r="T898" i="11" s="1"/>
  <c r="S892" i="11"/>
  <c r="T892" i="11" s="1"/>
  <c r="S896" i="11"/>
  <c r="T896" i="11" s="1"/>
  <c r="T920" i="11" l="1"/>
  <c r="U920" i="11" s="1"/>
  <c r="V920" i="11" s="1"/>
  <c r="AU920" i="11" s="1"/>
  <c r="AX957" i="11"/>
  <c r="BA957" i="11" s="1"/>
  <c r="BB957" i="11" s="1"/>
  <c r="AX934" i="11"/>
  <c r="BA934" i="11" s="1"/>
  <c r="BB934" i="11" s="1"/>
  <c r="AX935" i="11"/>
  <c r="BA935" i="11" s="1"/>
  <c r="BB935" i="11" s="1"/>
  <c r="AX958" i="11"/>
  <c r="BA958" i="11" s="1"/>
  <c r="BB958" i="11" s="1"/>
  <c r="AX904" i="11"/>
  <c r="BA904" i="11" s="1"/>
  <c r="BB904" i="11" s="1"/>
  <c r="AX927" i="11"/>
  <c r="BA927" i="11" s="1"/>
  <c r="BB927" i="11" s="1"/>
  <c r="AX939" i="11"/>
  <c r="BA939" i="11" s="1"/>
  <c r="BB939" i="11" s="1"/>
  <c r="AX937" i="11"/>
  <c r="BA937" i="11" s="1"/>
  <c r="BB937" i="11" s="1"/>
  <c r="AX926" i="11"/>
  <c r="BA926" i="11" s="1"/>
  <c r="BB926" i="11" s="1"/>
  <c r="AX936" i="11"/>
  <c r="BA936" i="11" s="1"/>
  <c r="BB936" i="11" s="1"/>
  <c r="AX905" i="11"/>
  <c r="BA905" i="11" s="1"/>
  <c r="BB905" i="11" s="1"/>
  <c r="AX933" i="11"/>
  <c r="BA933" i="11" s="1"/>
  <c r="BB933" i="11" s="1"/>
  <c r="AX929" i="11"/>
  <c r="BA929" i="11" s="1"/>
  <c r="BB929" i="11" s="1"/>
  <c r="AU925" i="11"/>
  <c r="AU905" i="11"/>
  <c r="AU904" i="11"/>
  <c r="AU929" i="11"/>
  <c r="AO918" i="11"/>
  <c r="V922" i="11"/>
  <c r="AU922" i="11" s="1"/>
  <c r="AK920" i="11"/>
  <c r="AM919" i="11"/>
  <c r="AU919" i="11"/>
  <c r="AI920" i="11"/>
  <c r="AK922" i="11"/>
  <c r="AK919" i="11"/>
  <c r="AI921" i="11"/>
  <c r="AI919" i="11"/>
  <c r="AI918" i="11"/>
  <c r="AO922" i="11"/>
  <c r="AU921" i="11"/>
  <c r="AK921" i="11"/>
  <c r="AO920" i="11"/>
  <c r="AK918" i="11"/>
  <c r="AG921" i="11"/>
  <c r="AM922" i="11"/>
  <c r="AG920" i="11"/>
  <c r="U918" i="11"/>
  <c r="V918" i="11" s="1"/>
  <c r="AU918" i="11" s="1"/>
  <c r="AG922" i="11"/>
  <c r="AM921" i="11"/>
  <c r="AG919" i="11"/>
  <c r="AG918" i="11"/>
  <c r="S903" i="11"/>
  <c r="T903" i="11" s="1"/>
  <c r="S902" i="11"/>
  <c r="T902" i="11" s="1"/>
  <c r="S899" i="11"/>
  <c r="T899" i="11" s="1"/>
  <c r="R880" i="11"/>
  <c r="T880" i="11" s="1"/>
  <c r="U880" i="11" s="1"/>
  <c r="S878" i="11"/>
  <c r="T878" i="11" s="1"/>
  <c r="U878" i="11" s="1"/>
  <c r="H878" i="11"/>
  <c r="H879" i="11"/>
  <c r="H880" i="11"/>
  <c r="H881" i="11"/>
  <c r="U879" i="11"/>
  <c r="U881" i="11"/>
  <c r="W878" i="11"/>
  <c r="AF878" i="11" s="1"/>
  <c r="AR878" i="11" s="1"/>
  <c r="W879" i="11"/>
  <c r="AF879" i="11" s="1"/>
  <c r="AR879" i="11" s="1"/>
  <c r="W880" i="11"/>
  <c r="AF880" i="11" s="1"/>
  <c r="AR880" i="11" s="1"/>
  <c r="W881" i="11"/>
  <c r="AF881" i="11" s="1"/>
  <c r="AR881" i="11" s="1"/>
  <c r="AD878" i="11"/>
  <c r="AD879" i="11"/>
  <c r="AD880" i="11"/>
  <c r="AD881" i="11"/>
  <c r="AS878" i="11"/>
  <c r="AS879" i="11"/>
  <c r="AS880" i="11"/>
  <c r="AS881" i="11"/>
  <c r="AT878" i="11"/>
  <c r="AE878" i="11" s="1"/>
  <c r="AT879" i="11"/>
  <c r="AI879" i="11" s="1"/>
  <c r="AT880" i="11"/>
  <c r="AE880" i="11" s="1"/>
  <c r="AT881" i="11"/>
  <c r="AE881" i="11" s="1"/>
  <c r="R866" i="11"/>
  <c r="T866" i="11" s="1"/>
  <c r="AI881" i="11" l="1"/>
  <c r="AI878" i="11"/>
  <c r="AX921" i="11"/>
  <c r="BA921" i="11" s="1"/>
  <c r="BB921" i="11" s="1"/>
  <c r="AX920" i="11"/>
  <c r="BA920" i="11" s="1"/>
  <c r="BB920" i="11" s="1"/>
  <c r="AX918" i="11"/>
  <c r="BA918" i="11" s="1"/>
  <c r="BB918" i="11" s="1"/>
  <c r="AX919" i="11"/>
  <c r="BA919" i="11" s="1"/>
  <c r="BB919" i="11" s="1"/>
  <c r="AX922" i="11"/>
  <c r="BA922" i="11" s="1"/>
  <c r="BB922" i="11" s="1"/>
  <c r="V879" i="11"/>
  <c r="AU879" i="11" s="1"/>
  <c r="V878" i="11"/>
  <c r="V881" i="11"/>
  <c r="V880" i="11"/>
  <c r="AU880" i="11" s="1"/>
  <c r="AK881" i="11"/>
  <c r="AG881" i="11"/>
  <c r="AK880" i="11"/>
  <c r="AK879" i="11"/>
  <c r="AG880" i="11"/>
  <c r="AM881" i="11"/>
  <c r="AM880" i="11"/>
  <c r="AM879" i="11"/>
  <c r="AG879" i="11"/>
  <c r="AG878" i="11"/>
  <c r="AM878" i="11"/>
  <c r="AO881" i="11"/>
  <c r="AO880" i="11"/>
  <c r="AI880" i="11"/>
  <c r="AO878" i="11"/>
  <c r="AK878" i="11"/>
  <c r="AO879" i="11"/>
  <c r="T873" i="11"/>
  <c r="T821" i="11"/>
  <c r="S891" i="11"/>
  <c r="T891" i="11" s="1"/>
  <c r="AX878" i="11" l="1"/>
  <c r="BA878" i="11" s="1"/>
  <c r="BB878" i="11" s="1"/>
  <c r="AX879" i="11"/>
  <c r="BA879" i="11" s="1"/>
  <c r="BB879" i="11" s="1"/>
  <c r="AX880" i="11"/>
  <c r="BA880" i="11" s="1"/>
  <c r="BB880" i="11" s="1"/>
  <c r="AX881" i="11"/>
  <c r="BA881" i="11" s="1"/>
  <c r="BB881" i="11" s="1"/>
  <c r="AU881" i="11"/>
  <c r="AU878" i="11"/>
  <c r="AD679" i="11"/>
  <c r="H893" i="11"/>
  <c r="H902" i="11"/>
  <c r="H903" i="11"/>
  <c r="R871" i="11"/>
  <c r="T871" i="11" s="1"/>
  <c r="AD617" i="11"/>
  <c r="AD789" i="11" l="1"/>
  <c r="T816" i="11" l="1"/>
  <c r="T817" i="11"/>
  <c r="T820" i="11"/>
  <c r="R885" i="11"/>
  <c r="T885" i="11" s="1"/>
  <c r="R890" i="11"/>
  <c r="T890" i="11" s="1"/>
  <c r="R882" i="11"/>
  <c r="T882" i="11" s="1"/>
  <c r="S886" i="11"/>
  <c r="T886" i="11" s="1"/>
  <c r="S884" i="11"/>
  <c r="T884" i="11" s="1"/>
  <c r="AD834" i="11"/>
  <c r="AD805" i="11"/>
  <c r="AD795" i="11"/>
  <c r="AD768" i="11"/>
  <c r="AD750" i="11"/>
  <c r="AD727" i="11"/>
  <c r="AD715" i="11"/>
  <c r="AD688" i="11"/>
  <c r="AD681" i="11"/>
  <c r="AD667" i="11"/>
  <c r="AD644" i="11"/>
  <c r="AD638" i="11"/>
  <c r="AD623" i="11"/>
  <c r="AD603" i="11"/>
  <c r="AD594" i="11"/>
  <c r="H892" i="11"/>
  <c r="H894" i="11"/>
  <c r="H895" i="11"/>
  <c r="U893" i="11"/>
  <c r="U894" i="11"/>
  <c r="U895" i="11"/>
  <c r="V895" i="11" s="1"/>
  <c r="W892" i="11"/>
  <c r="AF892" i="11" s="1"/>
  <c r="AR892" i="11" s="1"/>
  <c r="W893" i="11"/>
  <c r="AF893" i="11" s="1"/>
  <c r="AR893" i="11" s="1"/>
  <c r="W894" i="11"/>
  <c r="AF894" i="11" s="1"/>
  <c r="AR894" i="11" s="1"/>
  <c r="W895" i="11"/>
  <c r="AF895" i="11" s="1"/>
  <c r="AR895" i="11" s="1"/>
  <c r="AD892" i="11"/>
  <c r="AS892" i="11"/>
  <c r="AS893" i="11"/>
  <c r="AS894" i="11"/>
  <c r="AS895" i="11"/>
  <c r="AT892" i="11"/>
  <c r="AG892" i="11" s="1"/>
  <c r="AT893" i="11"/>
  <c r="AG893" i="11" s="1"/>
  <c r="AT894" i="11"/>
  <c r="AI894" i="11" s="1"/>
  <c r="AT895" i="11"/>
  <c r="AI895" i="11" s="1"/>
  <c r="H896" i="11"/>
  <c r="H897" i="11"/>
  <c r="H898" i="11"/>
  <c r="H899" i="11"/>
  <c r="U896" i="11"/>
  <c r="U897" i="11"/>
  <c r="U898" i="11"/>
  <c r="U899" i="11"/>
  <c r="V899" i="11" s="1"/>
  <c r="W896" i="11"/>
  <c r="AF896" i="11" s="1"/>
  <c r="AR896" i="11" s="1"/>
  <c r="W897" i="11"/>
  <c r="AF897" i="11" s="1"/>
  <c r="AR897" i="11" s="1"/>
  <c r="W898" i="11"/>
  <c r="AF898" i="11" s="1"/>
  <c r="AR898" i="11" s="1"/>
  <c r="AR899" i="11"/>
  <c r="AD897" i="11"/>
  <c r="AS896" i="11"/>
  <c r="AS897" i="11"/>
  <c r="AS898" i="11"/>
  <c r="AS899" i="11"/>
  <c r="AT896" i="11"/>
  <c r="AI896" i="11" s="1"/>
  <c r="AT897" i="11"/>
  <c r="AO897" i="11" s="1"/>
  <c r="AT898" i="11"/>
  <c r="AM898" i="11" s="1"/>
  <c r="AT899" i="11"/>
  <c r="AI899" i="11" s="1"/>
  <c r="H900" i="11"/>
  <c r="H901" i="11"/>
  <c r="U900" i="11"/>
  <c r="U901" i="11"/>
  <c r="U902" i="11"/>
  <c r="U903" i="11"/>
  <c r="V903" i="11" s="1"/>
  <c r="AR900" i="11"/>
  <c r="W901" i="11"/>
  <c r="AF901" i="11" s="1"/>
  <c r="AR901" i="11" s="1"/>
  <c r="W902" i="11"/>
  <c r="AF902" i="11" s="1"/>
  <c r="AR902" i="11" s="1"/>
  <c r="W903" i="11"/>
  <c r="AF903" i="11" s="1"/>
  <c r="AR903" i="11" s="1"/>
  <c r="AD901" i="11"/>
  <c r="AD902" i="11"/>
  <c r="AD903" i="11"/>
  <c r="AS900" i="11"/>
  <c r="AS901" i="11"/>
  <c r="AS902" i="11"/>
  <c r="AS903" i="11"/>
  <c r="AT900" i="11"/>
  <c r="AI900" i="11" s="1"/>
  <c r="AT901" i="11"/>
  <c r="AO901" i="11" s="1"/>
  <c r="AT902" i="11"/>
  <c r="AM902" i="11" s="1"/>
  <c r="AT903" i="11"/>
  <c r="AI903" i="11" s="1"/>
  <c r="H906" i="11"/>
  <c r="H907" i="11"/>
  <c r="H908" i="11"/>
  <c r="H909" i="11"/>
  <c r="U906" i="11"/>
  <c r="U907" i="11"/>
  <c r="U908" i="11"/>
  <c r="U909" i="11"/>
  <c r="V909" i="11" s="1"/>
  <c r="W906" i="11"/>
  <c r="AF906" i="11" s="1"/>
  <c r="AR906" i="11" s="1"/>
  <c r="W907" i="11"/>
  <c r="AF907" i="11" s="1"/>
  <c r="AR907" i="11" s="1"/>
  <c r="W908" i="11"/>
  <c r="AF908" i="11" s="1"/>
  <c r="AR908" i="11" s="1"/>
  <c r="W909" i="11"/>
  <c r="AF909" i="11" s="1"/>
  <c r="AR909" i="11" s="1"/>
  <c r="AD906" i="11"/>
  <c r="AS906" i="11"/>
  <c r="AS907" i="11"/>
  <c r="AS908" i="11"/>
  <c r="AS909" i="11"/>
  <c r="AT906" i="11"/>
  <c r="AG906" i="11" s="1"/>
  <c r="AT907" i="11"/>
  <c r="AG907" i="11" s="1"/>
  <c r="AT908" i="11"/>
  <c r="AG908" i="11" s="1"/>
  <c r="AT909" i="11"/>
  <c r="AI909" i="11" s="1"/>
  <c r="H910" i="11"/>
  <c r="H911" i="11"/>
  <c r="H912" i="11"/>
  <c r="H913" i="11"/>
  <c r="U910" i="11"/>
  <c r="U911" i="11"/>
  <c r="U912" i="11"/>
  <c r="U913" i="11"/>
  <c r="V913" i="11" s="1"/>
  <c r="W910" i="11"/>
  <c r="AF910" i="11" s="1"/>
  <c r="AR910" i="11" s="1"/>
  <c r="W911" i="11"/>
  <c r="AF911" i="11" s="1"/>
  <c r="AR911" i="11" s="1"/>
  <c r="W912" i="11"/>
  <c r="AF912" i="11" s="1"/>
  <c r="AR912" i="11" s="1"/>
  <c r="W913" i="11"/>
  <c r="AF913" i="11" s="1"/>
  <c r="AR913" i="11" s="1"/>
  <c r="AD910" i="11"/>
  <c r="AD911" i="11"/>
  <c r="AD912" i="11"/>
  <c r="AD913" i="11"/>
  <c r="AS910" i="11"/>
  <c r="AS911" i="11"/>
  <c r="AS912" i="11"/>
  <c r="AS913" i="11"/>
  <c r="AT910" i="11"/>
  <c r="AG910" i="11" s="1"/>
  <c r="AT911" i="11"/>
  <c r="AG911" i="11" s="1"/>
  <c r="AT912" i="11"/>
  <c r="AO912" i="11" s="1"/>
  <c r="AT913" i="11"/>
  <c r="AG913" i="11" s="1"/>
  <c r="H914" i="11"/>
  <c r="H915" i="11"/>
  <c r="U914" i="11"/>
  <c r="V914" i="11" s="1"/>
  <c r="U915" i="11"/>
  <c r="V915" i="11" s="1"/>
  <c r="W914" i="11"/>
  <c r="AF914" i="11" s="1"/>
  <c r="AR914" i="11" s="1"/>
  <c r="W915" i="11"/>
  <c r="AF915" i="11" s="1"/>
  <c r="AR915" i="11" s="1"/>
  <c r="AD914" i="11"/>
  <c r="AD915" i="11"/>
  <c r="AS914" i="11"/>
  <c r="AS915" i="11"/>
  <c r="AT914" i="11"/>
  <c r="AK914" i="11" s="1"/>
  <c r="AT915" i="11"/>
  <c r="AE915" i="11" s="1"/>
  <c r="H916" i="11"/>
  <c r="U916" i="11"/>
  <c r="V916" i="11" s="1"/>
  <c r="W916" i="11"/>
  <c r="AF916" i="11" s="1"/>
  <c r="AR916" i="11" s="1"/>
  <c r="AD916" i="11"/>
  <c r="AS916" i="11"/>
  <c r="AT916" i="11"/>
  <c r="AI916" i="11" s="1"/>
  <c r="H917" i="11"/>
  <c r="U917" i="11"/>
  <c r="AR917" i="11"/>
  <c r="AS917" i="11"/>
  <c r="AT917" i="11"/>
  <c r="AK917" i="11" s="1"/>
  <c r="R870" i="11"/>
  <c r="T870" i="11" s="1"/>
  <c r="AD889" i="11"/>
  <c r="W889" i="11"/>
  <c r="AF889" i="11" s="1"/>
  <c r="AR889" i="11" s="1"/>
  <c r="AK915" i="11" l="1"/>
  <c r="AU915" i="11"/>
  <c r="AX908" i="11"/>
  <c r="BA908" i="11" s="1"/>
  <c r="BB908" i="11" s="1"/>
  <c r="AX907" i="11"/>
  <c r="BA907" i="11" s="1"/>
  <c r="BB907" i="11" s="1"/>
  <c r="AX906" i="11"/>
  <c r="BA906" i="11" s="1"/>
  <c r="BB906" i="11" s="1"/>
  <c r="AX913" i="11"/>
  <c r="BA913" i="11" s="1"/>
  <c r="BB913" i="11" s="1"/>
  <c r="AX910" i="11"/>
  <c r="BA910" i="11" s="1"/>
  <c r="BB910" i="11" s="1"/>
  <c r="AX892" i="11"/>
  <c r="BA892" i="11" s="1"/>
  <c r="BB892" i="11" s="1"/>
  <c r="AX893" i="11"/>
  <c r="BA893" i="11" s="1"/>
  <c r="BB893" i="11" s="1"/>
  <c r="AX911" i="11"/>
  <c r="BA911" i="11" s="1"/>
  <c r="BB911" i="11" s="1"/>
  <c r="AG894" i="11"/>
  <c r="AU895" i="11"/>
  <c r="AO892" i="11"/>
  <c r="AO894" i="11"/>
  <c r="AO893" i="11"/>
  <c r="AM894" i="11"/>
  <c r="AM893" i="11"/>
  <c r="AI893" i="11"/>
  <c r="AM892" i="11"/>
  <c r="AG900" i="11"/>
  <c r="AI892" i="11"/>
  <c r="AU914" i="11"/>
  <c r="AO896" i="11"/>
  <c r="AG896" i="11"/>
  <c r="U892" i="11"/>
  <c r="V892" i="11" s="1"/>
  <c r="AU892" i="11" s="1"/>
  <c r="AM896" i="11"/>
  <c r="AK894" i="11"/>
  <c r="V894" i="11"/>
  <c r="AU894" i="11" s="1"/>
  <c r="AM897" i="11"/>
  <c r="AU899" i="11"/>
  <c r="AK895" i="11"/>
  <c r="AI898" i="11"/>
  <c r="AK893" i="11"/>
  <c r="V893" i="11"/>
  <c r="AU893" i="11" s="1"/>
  <c r="AI897" i="11"/>
  <c r="AK892" i="11"/>
  <c r="AM895" i="11"/>
  <c r="AG895" i="11"/>
  <c r="AG898" i="11"/>
  <c r="AG897" i="11"/>
  <c r="AO898" i="11"/>
  <c r="AO895" i="11"/>
  <c r="AO900" i="11"/>
  <c r="AM901" i="11"/>
  <c r="AU903" i="11"/>
  <c r="AK899" i="11"/>
  <c r="AI908" i="11"/>
  <c r="AM900" i="11"/>
  <c r="AK898" i="11"/>
  <c r="V898" i="11"/>
  <c r="AU898" i="11" s="1"/>
  <c r="AI907" i="11"/>
  <c r="AI902" i="11"/>
  <c r="AK897" i="11"/>
  <c r="V897" i="11"/>
  <c r="AU897" i="11" s="1"/>
  <c r="AI913" i="11"/>
  <c r="AI901" i="11"/>
  <c r="AK896" i="11"/>
  <c r="V896" i="11"/>
  <c r="AU896" i="11" s="1"/>
  <c r="AM899" i="11"/>
  <c r="AG899" i="11"/>
  <c r="AG902" i="11"/>
  <c r="AG901" i="11"/>
  <c r="AO902" i="11"/>
  <c r="AO899" i="11"/>
  <c r="AU909" i="11"/>
  <c r="AK903" i="11"/>
  <c r="AK902" i="11"/>
  <c r="V902" i="11"/>
  <c r="AU902" i="11" s="1"/>
  <c r="AU913" i="11"/>
  <c r="AO908" i="11"/>
  <c r="AK901" i="11"/>
  <c r="V901" i="11"/>
  <c r="AU901" i="11" s="1"/>
  <c r="AM912" i="11"/>
  <c r="AO907" i="11"/>
  <c r="AK900" i="11"/>
  <c r="V900" i="11"/>
  <c r="AU900" i="11" s="1"/>
  <c r="AO906" i="11"/>
  <c r="AM903" i="11"/>
  <c r="AG903" i="11"/>
  <c r="AI906" i="11"/>
  <c r="AO903" i="11"/>
  <c r="AO915" i="11"/>
  <c r="AO914" i="11"/>
  <c r="AM910" i="11"/>
  <c r="AK908" i="11"/>
  <c r="V908" i="11"/>
  <c r="AU908" i="11" s="1"/>
  <c r="AI915" i="11"/>
  <c r="AK907" i="11"/>
  <c r="V907" i="11"/>
  <c r="AU907" i="11" s="1"/>
  <c r="AK909" i="11"/>
  <c r="AI914" i="11"/>
  <c r="AI912" i="11"/>
  <c r="AK906" i="11"/>
  <c r="V906" i="11"/>
  <c r="AU906" i="11" s="1"/>
  <c r="AO910" i="11"/>
  <c r="AI911" i="11"/>
  <c r="AM909" i="11"/>
  <c r="AG909" i="11"/>
  <c r="AI910" i="11"/>
  <c r="AM908" i="11"/>
  <c r="AG912" i="11"/>
  <c r="AM907" i="11"/>
  <c r="AO911" i="11"/>
  <c r="AU916" i="11"/>
  <c r="AM911" i="11"/>
  <c r="AO913" i="11"/>
  <c r="AM906" i="11"/>
  <c r="AO909" i="11"/>
  <c r="AK913" i="11"/>
  <c r="AK912" i="11"/>
  <c r="V912" i="11"/>
  <c r="AU912" i="11" s="1"/>
  <c r="AK911" i="11"/>
  <c r="V911" i="11"/>
  <c r="AU911" i="11" s="1"/>
  <c r="AK910" i="11"/>
  <c r="V910" i="11"/>
  <c r="AU910" i="11" s="1"/>
  <c r="AM913" i="11"/>
  <c r="AM915" i="11"/>
  <c r="AG915" i="11"/>
  <c r="AM914" i="11"/>
  <c r="AG914" i="11"/>
  <c r="AO916" i="11"/>
  <c r="AG916" i="11"/>
  <c r="AM916" i="11"/>
  <c r="AK916" i="11"/>
  <c r="AG917" i="11"/>
  <c r="AI917" i="11"/>
  <c r="AO917" i="11"/>
  <c r="V917" i="11"/>
  <c r="AU917" i="11" s="1"/>
  <c r="AM917" i="11"/>
  <c r="U889" i="11"/>
  <c r="V889" i="11" s="1"/>
  <c r="R865" i="11"/>
  <c r="T865" i="11" s="1"/>
  <c r="W874" i="11"/>
  <c r="W875" i="11"/>
  <c r="W876" i="11"/>
  <c r="AF876" i="11" s="1"/>
  <c r="W877" i="11"/>
  <c r="W882" i="11"/>
  <c r="W883" i="11"/>
  <c r="AF883" i="11" s="1"/>
  <c r="AR883" i="11" s="1"/>
  <c r="W884" i="11"/>
  <c r="W885" i="11"/>
  <c r="W886" i="11"/>
  <c r="W887" i="11"/>
  <c r="AF887" i="11" s="1"/>
  <c r="AR887" i="11" s="1"/>
  <c r="W888" i="11"/>
  <c r="AF888" i="11" s="1"/>
  <c r="AR888" i="11" s="1"/>
  <c r="S841" i="11"/>
  <c r="T841" i="11" s="1"/>
  <c r="S855" i="11"/>
  <c r="T855" i="11" s="1"/>
  <c r="S869" i="11"/>
  <c r="T869" i="11" s="1"/>
  <c r="U876" i="11"/>
  <c r="U877" i="11"/>
  <c r="U882" i="11"/>
  <c r="V882" i="11" s="1"/>
  <c r="U883" i="11"/>
  <c r="V883" i="11" s="1"/>
  <c r="U884" i="11"/>
  <c r="V884" i="11" s="1"/>
  <c r="U885" i="11"/>
  <c r="U886" i="11"/>
  <c r="U887" i="11"/>
  <c r="U888" i="11"/>
  <c r="V888" i="11" s="1"/>
  <c r="U890" i="11"/>
  <c r="V890" i="11" s="1"/>
  <c r="U891" i="11"/>
  <c r="V891" i="11" s="1"/>
  <c r="U875" i="11"/>
  <c r="R867" i="11"/>
  <c r="T867" i="11" s="1"/>
  <c r="S862" i="11"/>
  <c r="T862" i="11" s="1"/>
  <c r="S860" i="11"/>
  <c r="T860" i="11" s="1"/>
  <c r="S847" i="11"/>
  <c r="S840" i="11"/>
  <c r="R847" i="11"/>
  <c r="R840" i="11"/>
  <c r="R856" i="11"/>
  <c r="T856" i="11" s="1"/>
  <c r="R850" i="11"/>
  <c r="T850" i="11" s="1"/>
  <c r="AD874" i="11"/>
  <c r="AD858" i="11"/>
  <c r="W858" i="11"/>
  <c r="AD809" i="11"/>
  <c r="W809" i="11"/>
  <c r="AD798" i="11"/>
  <c r="W798" i="11"/>
  <c r="H874" i="11"/>
  <c r="H875" i="11"/>
  <c r="AD875" i="11"/>
  <c r="AS874" i="11"/>
  <c r="AS875" i="11"/>
  <c r="AT874" i="11"/>
  <c r="AO874" i="11" s="1"/>
  <c r="AT875" i="11"/>
  <c r="AI875" i="11" s="1"/>
  <c r="H876" i="11"/>
  <c r="H877" i="11"/>
  <c r="AD877" i="11"/>
  <c r="AS876" i="11"/>
  <c r="AS877" i="11"/>
  <c r="AT876" i="11"/>
  <c r="AK876" i="11" s="1"/>
  <c r="AT877" i="11"/>
  <c r="AK877" i="11" s="1"/>
  <c r="H882" i="11"/>
  <c r="H883" i="11"/>
  <c r="AD882" i="11"/>
  <c r="AD883" i="11"/>
  <c r="AS882" i="11"/>
  <c r="AS883" i="11"/>
  <c r="AT882" i="11"/>
  <c r="AE882" i="11" s="1"/>
  <c r="AT883" i="11"/>
  <c r="AI883" i="11" s="1"/>
  <c r="H884" i="11"/>
  <c r="H885" i="11"/>
  <c r="AD884" i="11"/>
  <c r="AD885" i="11"/>
  <c r="AS884" i="11"/>
  <c r="AS885" i="11"/>
  <c r="AT884" i="11"/>
  <c r="AK884" i="11" s="1"/>
  <c r="AT885" i="11"/>
  <c r="AE885" i="11" s="1"/>
  <c r="H886" i="11"/>
  <c r="H887" i="11"/>
  <c r="AD887" i="11"/>
  <c r="AS886" i="11"/>
  <c r="AS887" i="11"/>
  <c r="AT886" i="11"/>
  <c r="AI886" i="11" s="1"/>
  <c r="AT887" i="11"/>
  <c r="AI887" i="11" s="1"/>
  <c r="H888" i="11"/>
  <c r="H889" i="11"/>
  <c r="AS888" i="11"/>
  <c r="AS889" i="11"/>
  <c r="AT888" i="11"/>
  <c r="AK888" i="11" s="1"/>
  <c r="AT889" i="11"/>
  <c r="H890" i="11"/>
  <c r="W890" i="11"/>
  <c r="AD890" i="11"/>
  <c r="AS890" i="11"/>
  <c r="AT890" i="11"/>
  <c r="AE890" i="11" s="1"/>
  <c r="H891" i="11"/>
  <c r="AR891" i="11"/>
  <c r="AS891" i="11"/>
  <c r="AT891" i="11"/>
  <c r="AI891" i="11" s="1"/>
  <c r="AD606" i="11"/>
  <c r="S853" i="11"/>
  <c r="T853" i="11" s="1"/>
  <c r="S859" i="11"/>
  <c r="T859" i="11" s="1"/>
  <c r="R845" i="11"/>
  <c r="T845" i="11" s="1"/>
  <c r="R833" i="11"/>
  <c r="T833" i="11" s="1"/>
  <c r="W743" i="11"/>
  <c r="AD827" i="11"/>
  <c r="AD826" i="11"/>
  <c r="AD803" i="11"/>
  <c r="AD783" i="11"/>
  <c r="AD766" i="11"/>
  <c r="AD749" i="11"/>
  <c r="AD742" i="11"/>
  <c r="AD741" i="11"/>
  <c r="AD735" i="11"/>
  <c r="R854" i="11"/>
  <c r="T854" i="11" s="1"/>
  <c r="R825" i="11"/>
  <c r="T825" i="11" s="1"/>
  <c r="R848" i="11"/>
  <c r="T848" i="11" s="1"/>
  <c r="R839" i="11"/>
  <c r="T839" i="11" s="1"/>
  <c r="S837" i="11"/>
  <c r="T837" i="11" s="1"/>
  <c r="H837" i="11"/>
  <c r="W837" i="11"/>
  <c r="AD837" i="11"/>
  <c r="AS837" i="11"/>
  <c r="AT837" i="11"/>
  <c r="AE837" i="11" s="1"/>
  <c r="R836" i="11"/>
  <c r="T836" i="11" s="1"/>
  <c r="T840" i="11" l="1"/>
  <c r="T847" i="11"/>
  <c r="AI885" i="11"/>
  <c r="AK837" i="11"/>
  <c r="AI890" i="11"/>
  <c r="AU890" i="11"/>
  <c r="AI882" i="11"/>
  <c r="AU882" i="11"/>
  <c r="AX909" i="11"/>
  <c r="BA909" i="11" s="1"/>
  <c r="BB909" i="11" s="1"/>
  <c r="AX898" i="11"/>
  <c r="BA898" i="11" s="1"/>
  <c r="BB898" i="11" s="1"/>
  <c r="AX895" i="11"/>
  <c r="BA895" i="11" s="1"/>
  <c r="BB895" i="11" s="1"/>
  <c r="AX916" i="11"/>
  <c r="BA916" i="11" s="1"/>
  <c r="BB916" i="11" s="1"/>
  <c r="AX903" i="11"/>
  <c r="BA903" i="11" s="1"/>
  <c r="BB903" i="11" s="1"/>
  <c r="AX914" i="11"/>
  <c r="BA914" i="11" s="1"/>
  <c r="BB914" i="11" s="1"/>
  <c r="AX901" i="11"/>
  <c r="BA901" i="11" s="1"/>
  <c r="BB901" i="11" s="1"/>
  <c r="AX917" i="11"/>
  <c r="BA917" i="11" s="1"/>
  <c r="BB917" i="11" s="1"/>
  <c r="AX902" i="11"/>
  <c r="BA902" i="11" s="1"/>
  <c r="BB902" i="11" s="1"/>
  <c r="AX915" i="11"/>
  <c r="BA915" i="11" s="1"/>
  <c r="BB915" i="11" s="1"/>
  <c r="AX899" i="11"/>
  <c r="BA899" i="11" s="1"/>
  <c r="BB899" i="11" s="1"/>
  <c r="AX912" i="11"/>
  <c r="BA912" i="11" s="1"/>
  <c r="BB912" i="11" s="1"/>
  <c r="AX900" i="11"/>
  <c r="BA900" i="11" s="1"/>
  <c r="BB900" i="11" s="1"/>
  <c r="AX897" i="11"/>
  <c r="BA897" i="11" s="1"/>
  <c r="BB897" i="11" s="1"/>
  <c r="AX894" i="11"/>
  <c r="BA894" i="11" s="1"/>
  <c r="BB894" i="11" s="1"/>
  <c r="AX896" i="11"/>
  <c r="BA896" i="11" s="1"/>
  <c r="BB896" i="11" s="1"/>
  <c r="AF890" i="11"/>
  <c r="AR890" i="11" s="1"/>
  <c r="AF885" i="11"/>
  <c r="AR885" i="11" s="1"/>
  <c r="AF882" i="11"/>
  <c r="AR882" i="11" s="1"/>
  <c r="AF884" i="11"/>
  <c r="AR884" i="11" s="1"/>
  <c r="AF886" i="11"/>
  <c r="AR886" i="11" s="1"/>
  <c r="AO889" i="11"/>
  <c r="AK889" i="11"/>
  <c r="AI889" i="11"/>
  <c r="AG889" i="11"/>
  <c r="AM889" i="11"/>
  <c r="AF875" i="11"/>
  <c r="AR875" i="11" s="1"/>
  <c r="AF874" i="11"/>
  <c r="AR874" i="11" s="1"/>
  <c r="AF798" i="11"/>
  <c r="AR798" i="11" s="1"/>
  <c r="AF809" i="11"/>
  <c r="AR809" i="11" s="1"/>
  <c r="AF877" i="11"/>
  <c r="AR877" i="11" s="1"/>
  <c r="AR876" i="11"/>
  <c r="AF837" i="11"/>
  <c r="AR837" i="11" s="1"/>
  <c r="AF858" i="11"/>
  <c r="AR858" i="11" s="1"/>
  <c r="U837" i="11"/>
  <c r="V837" i="11" s="1"/>
  <c r="V875" i="11"/>
  <c r="AU875" i="11" s="1"/>
  <c r="AU883" i="11"/>
  <c r="AG874" i="11"/>
  <c r="AI874" i="11"/>
  <c r="AK874" i="11"/>
  <c r="AM874" i="11"/>
  <c r="U874" i="11"/>
  <c r="V874" i="11" s="1"/>
  <c r="U858" i="11"/>
  <c r="V858" i="11" s="1"/>
  <c r="U809" i="11"/>
  <c r="V809" i="11" s="1"/>
  <c r="U798" i="11"/>
  <c r="V798" i="11" s="1"/>
  <c r="AO876" i="11"/>
  <c r="AI876" i="11"/>
  <c r="AK875" i="11"/>
  <c r="AM875" i="11"/>
  <c r="AO877" i="11"/>
  <c r="AO884" i="11"/>
  <c r="AI884" i="11"/>
  <c r="AI877" i="11"/>
  <c r="AG875" i="11"/>
  <c r="AO875" i="11"/>
  <c r="V877" i="11"/>
  <c r="AU877" i="11" s="1"/>
  <c r="V876" i="11"/>
  <c r="AU876" i="11" s="1"/>
  <c r="AM877" i="11"/>
  <c r="AG877" i="11"/>
  <c r="AM876" i="11"/>
  <c r="AG876" i="11"/>
  <c r="AM883" i="11"/>
  <c r="AG883" i="11"/>
  <c r="AM882" i="11"/>
  <c r="AG882" i="11"/>
  <c r="V885" i="11"/>
  <c r="AK883" i="11"/>
  <c r="AU884" i="11"/>
  <c r="AK882" i="11"/>
  <c r="AO883" i="11"/>
  <c r="AO882" i="11"/>
  <c r="V887" i="11"/>
  <c r="AU887" i="11" s="1"/>
  <c r="AM885" i="11"/>
  <c r="AG885" i="11"/>
  <c r="V886" i="11"/>
  <c r="AU886" i="11" s="1"/>
  <c r="AM884" i="11"/>
  <c r="AG884" i="11"/>
  <c r="AU888" i="11"/>
  <c r="AK885" i="11"/>
  <c r="AO885" i="11"/>
  <c r="AM887" i="11"/>
  <c r="AG887" i="11"/>
  <c r="AU889" i="11"/>
  <c r="AM886" i="11"/>
  <c r="AG886" i="11"/>
  <c r="AO888" i="11"/>
  <c r="AK887" i="11"/>
  <c r="AK886" i="11"/>
  <c r="AI888" i="11"/>
  <c r="AO887" i="11"/>
  <c r="AO886" i="11"/>
  <c r="AM888" i="11"/>
  <c r="AG888" i="11"/>
  <c r="AG890" i="11"/>
  <c r="AO890" i="11"/>
  <c r="AM890" i="11"/>
  <c r="AK890" i="11"/>
  <c r="AU891" i="11"/>
  <c r="AG891" i="11"/>
  <c r="AO891" i="11"/>
  <c r="AM891" i="11"/>
  <c r="AK891" i="11"/>
  <c r="AO837" i="11"/>
  <c r="AG837" i="11"/>
  <c r="AM837" i="11"/>
  <c r="AI837" i="11"/>
  <c r="S842" i="11"/>
  <c r="T842" i="11" s="1"/>
  <c r="S828" i="11"/>
  <c r="T828" i="11" s="1"/>
  <c r="S813" i="11"/>
  <c r="T813" i="11" s="1"/>
  <c r="S800" i="11"/>
  <c r="T800" i="11" s="1"/>
  <c r="S793" i="11"/>
  <c r="T793" i="11" s="1"/>
  <c r="S785" i="11"/>
  <c r="T785" i="11" s="1"/>
  <c r="S777" i="11"/>
  <c r="T777" i="11" s="1"/>
  <c r="S765" i="11"/>
  <c r="T765" i="11" s="1"/>
  <c r="S756" i="11"/>
  <c r="T756" i="11" s="1"/>
  <c r="S748" i="11"/>
  <c r="T748" i="11" s="1"/>
  <c r="S737" i="11"/>
  <c r="T737" i="11" s="1"/>
  <c r="S725" i="11"/>
  <c r="T725" i="11" s="1"/>
  <c r="S722" i="11"/>
  <c r="T722" i="11" s="1"/>
  <c r="AX837" i="11" l="1"/>
  <c r="BA837" i="11" s="1"/>
  <c r="BB837" i="11" s="1"/>
  <c r="AX889" i="11"/>
  <c r="BA889" i="11" s="1"/>
  <c r="BB889" i="11" s="1"/>
  <c r="AX885" i="11"/>
  <c r="BA885" i="11" s="1"/>
  <c r="BB885" i="11" s="1"/>
  <c r="AX886" i="11"/>
  <c r="BA886" i="11" s="1"/>
  <c r="BB886" i="11" s="1"/>
  <c r="AX891" i="11"/>
  <c r="BA891" i="11" s="1"/>
  <c r="BB891" i="11" s="1"/>
  <c r="AX887" i="11"/>
  <c r="BA887" i="11" s="1"/>
  <c r="BB887" i="11" s="1"/>
  <c r="AX875" i="11"/>
  <c r="BA875" i="11" s="1"/>
  <c r="BB875" i="11" s="1"/>
  <c r="AX877" i="11"/>
  <c r="BA877" i="11" s="1"/>
  <c r="BB877" i="11" s="1"/>
  <c r="AX874" i="11"/>
  <c r="BA874" i="11" s="1"/>
  <c r="BB874" i="11" s="1"/>
  <c r="AX883" i="11"/>
  <c r="BA883" i="11" s="1"/>
  <c r="BB883" i="11" s="1"/>
  <c r="AX890" i="11"/>
  <c r="BA890" i="11" s="1"/>
  <c r="BB890" i="11" s="1"/>
  <c r="AX888" i="11"/>
  <c r="BA888" i="11" s="1"/>
  <c r="BB888" i="11" s="1"/>
  <c r="AX884" i="11"/>
  <c r="BA884" i="11" s="1"/>
  <c r="BB884" i="11" s="1"/>
  <c r="AX876" i="11"/>
  <c r="BA876" i="11" s="1"/>
  <c r="BB876" i="11" s="1"/>
  <c r="AX882" i="11"/>
  <c r="BA882" i="11" s="1"/>
  <c r="BB882" i="11" s="1"/>
  <c r="AU885" i="11"/>
  <c r="AU837" i="11"/>
  <c r="AU874" i="11"/>
  <c r="R849" i="11"/>
  <c r="T849" i="11" s="1"/>
  <c r="R827" i="11"/>
  <c r="T827" i="11" s="1"/>
  <c r="R826" i="11"/>
  <c r="T826" i="11" s="1"/>
  <c r="AT836" i="11"/>
  <c r="AE836" i="11" s="1"/>
  <c r="AS836" i="11"/>
  <c r="AD836" i="11"/>
  <c r="W836" i="11"/>
  <c r="H836" i="11"/>
  <c r="AI836" i="11" l="1"/>
  <c r="AF836" i="11"/>
  <c r="AR836" i="11" s="1"/>
  <c r="AK836" i="11"/>
  <c r="AM836" i="11"/>
  <c r="AO836" i="11"/>
  <c r="U836" i="11"/>
  <c r="V836" i="11" s="1"/>
  <c r="AG836" i="11"/>
  <c r="AT827" i="11"/>
  <c r="AE827" i="11" s="1"/>
  <c r="AS827" i="11"/>
  <c r="W827" i="11"/>
  <c r="H827" i="11"/>
  <c r="AI827" i="11" l="1"/>
  <c r="AX836" i="11"/>
  <c r="BA836" i="11" s="1"/>
  <c r="BB836" i="11" s="1"/>
  <c r="AF827" i="11"/>
  <c r="AR827" i="11" s="1"/>
  <c r="AU836" i="11"/>
  <c r="AK827" i="11"/>
  <c r="AM827" i="11"/>
  <c r="AO827" i="11"/>
  <c r="U827" i="11"/>
  <c r="V827" i="11" s="1"/>
  <c r="AG827" i="11"/>
  <c r="AX827" i="11" l="1"/>
  <c r="BA827" i="11" s="1"/>
  <c r="BB827" i="11" s="1"/>
  <c r="AU827" i="11"/>
  <c r="AT826" i="11"/>
  <c r="AE826" i="11" s="1"/>
  <c r="AS826" i="11"/>
  <c r="W826" i="11"/>
  <c r="U826" i="11"/>
  <c r="V826" i="11" s="1"/>
  <c r="H826" i="11"/>
  <c r="AF826" i="11" l="1"/>
  <c r="AR826" i="11" s="1"/>
  <c r="AU826" i="11"/>
  <c r="AG826" i="11"/>
  <c r="AI826" i="11"/>
  <c r="AK826" i="11"/>
  <c r="AM826" i="11"/>
  <c r="AO826" i="11"/>
  <c r="AX826" i="11" l="1"/>
  <c r="BA826" i="11" s="1"/>
  <c r="BB826" i="11" s="1"/>
  <c r="AT853" i="11"/>
  <c r="AI853" i="11" s="1"/>
  <c r="AT854" i="11"/>
  <c r="AK854" i="11" s="1"/>
  <c r="AT855" i="11"/>
  <c r="AI855" i="11" s="1"/>
  <c r="AT856" i="11"/>
  <c r="AE856" i="11" s="1"/>
  <c r="AT857" i="11"/>
  <c r="AM857" i="11" s="1"/>
  <c r="AS853" i="11"/>
  <c r="AS854" i="11"/>
  <c r="AS855" i="11"/>
  <c r="AS856" i="11"/>
  <c r="AS857" i="11"/>
  <c r="AD853" i="11"/>
  <c r="AD854" i="11"/>
  <c r="AD855" i="11"/>
  <c r="AD856" i="11"/>
  <c r="AD857" i="11"/>
  <c r="W853" i="11"/>
  <c r="W854" i="11"/>
  <c r="W855" i="11"/>
  <c r="W856" i="11"/>
  <c r="W857" i="11"/>
  <c r="U853" i="11"/>
  <c r="V853" i="11" s="1"/>
  <c r="U854" i="11"/>
  <c r="V854" i="11" s="1"/>
  <c r="U855" i="11"/>
  <c r="V855" i="11" s="1"/>
  <c r="U856" i="11"/>
  <c r="V856" i="11" s="1"/>
  <c r="U857" i="11"/>
  <c r="V857" i="11" s="1"/>
  <c r="H853" i="11"/>
  <c r="H854" i="11"/>
  <c r="H855" i="11"/>
  <c r="H856" i="11"/>
  <c r="H857" i="11"/>
  <c r="AT858" i="11"/>
  <c r="AT859" i="11"/>
  <c r="AI859" i="11" s="1"/>
  <c r="AT860" i="11"/>
  <c r="AI860" i="11" s="1"/>
  <c r="AT861" i="11"/>
  <c r="AG861" i="11" s="1"/>
  <c r="AT862" i="11"/>
  <c r="AM862" i="11" s="1"/>
  <c r="AS858" i="11"/>
  <c r="AS859" i="11"/>
  <c r="AS860" i="11"/>
  <c r="AS861" i="11"/>
  <c r="AS862" i="11"/>
  <c r="AD859" i="11"/>
  <c r="AD860" i="11"/>
  <c r="AD861" i="11"/>
  <c r="AD862" i="11"/>
  <c r="W859" i="11"/>
  <c r="W860" i="11"/>
  <c r="W861" i="11"/>
  <c r="W862" i="11"/>
  <c r="U859" i="11"/>
  <c r="U860" i="11"/>
  <c r="U861" i="11"/>
  <c r="V861" i="11" s="1"/>
  <c r="U862" i="11"/>
  <c r="V862" i="11" s="1"/>
  <c r="H858" i="11"/>
  <c r="H859" i="11"/>
  <c r="H860" i="11"/>
  <c r="H861" i="11"/>
  <c r="H862" i="11"/>
  <c r="AT863" i="11"/>
  <c r="AI863" i="11" s="1"/>
  <c r="AT864" i="11"/>
  <c r="AI864" i="11" s="1"/>
  <c r="AT865" i="11"/>
  <c r="AE865" i="11" s="1"/>
  <c r="AT866" i="11"/>
  <c r="AM866" i="11" s="1"/>
  <c r="AT867" i="11"/>
  <c r="AM867" i="11" s="1"/>
  <c r="AS863" i="11"/>
  <c r="AS864" i="11"/>
  <c r="AS865" i="11"/>
  <c r="AS866" i="11"/>
  <c r="AS867" i="11"/>
  <c r="AD863" i="11"/>
  <c r="AD864" i="11"/>
  <c r="AD865" i="11"/>
  <c r="AD866" i="11"/>
  <c r="AD867" i="11"/>
  <c r="W863" i="11"/>
  <c r="W864" i="11"/>
  <c r="W865" i="11"/>
  <c r="W866" i="11"/>
  <c r="W867" i="11"/>
  <c r="U866" i="11"/>
  <c r="V866" i="11" s="1"/>
  <c r="U867" i="11"/>
  <c r="V867" i="11" s="1"/>
  <c r="H863" i="11"/>
  <c r="H864" i="11"/>
  <c r="H865" i="11"/>
  <c r="H866" i="11"/>
  <c r="H867" i="11"/>
  <c r="AT868" i="11"/>
  <c r="AK868" i="11" s="1"/>
  <c r="AT869" i="11"/>
  <c r="AS868" i="11"/>
  <c r="AS869" i="11"/>
  <c r="AD869" i="11"/>
  <c r="W868" i="11"/>
  <c r="W869" i="11"/>
  <c r="U868" i="11"/>
  <c r="U869" i="11"/>
  <c r="V869" i="11" s="1"/>
  <c r="H868" i="11"/>
  <c r="H869" i="11"/>
  <c r="AT870" i="11"/>
  <c r="AK870" i="11" s="1"/>
  <c r="AT871" i="11"/>
  <c r="AK871" i="11" s="1"/>
  <c r="AS870" i="11"/>
  <c r="AS871" i="11"/>
  <c r="AD870" i="11"/>
  <c r="AD871" i="11"/>
  <c r="W870" i="11"/>
  <c r="W871" i="11"/>
  <c r="U870" i="11"/>
  <c r="V870" i="11" s="1"/>
  <c r="U871" i="11"/>
  <c r="V871" i="11" s="1"/>
  <c r="H870" i="11"/>
  <c r="H871" i="11"/>
  <c r="AT872" i="11"/>
  <c r="AI872" i="11" s="1"/>
  <c r="AS872" i="11"/>
  <c r="AD872" i="11"/>
  <c r="W872" i="11"/>
  <c r="H872" i="11"/>
  <c r="AI865" i="11" l="1"/>
  <c r="AX861" i="11"/>
  <c r="BA861" i="11" s="1"/>
  <c r="BB861" i="11" s="1"/>
  <c r="AF855" i="11"/>
  <c r="AR855" i="11" s="1"/>
  <c r="AF872" i="11"/>
  <c r="AR872" i="11" s="1"/>
  <c r="AF870" i="11"/>
  <c r="AR870" i="11" s="1"/>
  <c r="AF854" i="11"/>
  <c r="AR854" i="11" s="1"/>
  <c r="AF869" i="11"/>
  <c r="AR869" i="11" s="1"/>
  <c r="AF866" i="11"/>
  <c r="AR866" i="11" s="1"/>
  <c r="AF853" i="11"/>
  <c r="AR853" i="11" s="1"/>
  <c r="AF864" i="11"/>
  <c r="AR864" i="11" s="1"/>
  <c r="AF863" i="11"/>
  <c r="AR863" i="11" s="1"/>
  <c r="AF862" i="11"/>
  <c r="AR862" i="11" s="1"/>
  <c r="AF861" i="11"/>
  <c r="AR861" i="11" s="1"/>
  <c r="AF860" i="11"/>
  <c r="AR860" i="11" s="1"/>
  <c r="AF859" i="11"/>
  <c r="AR859" i="11" s="1"/>
  <c r="AF868" i="11"/>
  <c r="AR868" i="11" s="1"/>
  <c r="AF857" i="11"/>
  <c r="AR857" i="11" s="1"/>
  <c r="AF856" i="11"/>
  <c r="AR856" i="11" s="1"/>
  <c r="AF865" i="11"/>
  <c r="AR865" i="11" s="1"/>
  <c r="AF867" i="11"/>
  <c r="AR867" i="11" s="1"/>
  <c r="AF871" i="11"/>
  <c r="AR871" i="11" s="1"/>
  <c r="AO858" i="11"/>
  <c r="AM858" i="11"/>
  <c r="AK858" i="11"/>
  <c r="AI858" i="11"/>
  <c r="AG858" i="11"/>
  <c r="AO872" i="11"/>
  <c r="AM872" i="11"/>
  <c r="AU855" i="11"/>
  <c r="AU854" i="11"/>
  <c r="AU853" i="11"/>
  <c r="AG857" i="11"/>
  <c r="AI857" i="11"/>
  <c r="AK857" i="11"/>
  <c r="AO857" i="11"/>
  <c r="AM853" i="11"/>
  <c r="AU862" i="11"/>
  <c r="AM861" i="11"/>
  <c r="AG865" i="11"/>
  <c r="AG855" i="11"/>
  <c r="AG864" i="11"/>
  <c r="AG854" i="11"/>
  <c r="AU856" i="11"/>
  <c r="AM860" i="11"/>
  <c r="AG863" i="11"/>
  <c r="AG853" i="11"/>
  <c r="AU861" i="11"/>
  <c r="AU857" i="11"/>
  <c r="AG860" i="11"/>
  <c r="AK856" i="11"/>
  <c r="AM856" i="11"/>
  <c r="AM855" i="11"/>
  <c r="AG859" i="11"/>
  <c r="AK855" i="11"/>
  <c r="AM859" i="11"/>
  <c r="AK853" i="11"/>
  <c r="AG866" i="11"/>
  <c r="AG862" i="11"/>
  <c r="AG856" i="11"/>
  <c r="AM854" i="11"/>
  <c r="AO855" i="11"/>
  <c r="AI856" i="11"/>
  <c r="AO854" i="11"/>
  <c r="AU866" i="11"/>
  <c r="AI854" i="11"/>
  <c r="AO856" i="11"/>
  <c r="AU867" i="11"/>
  <c r="AO853" i="11"/>
  <c r="AK862" i="11"/>
  <c r="AM864" i="11"/>
  <c r="AM863" i="11"/>
  <c r="AU858" i="11"/>
  <c r="V860" i="11"/>
  <c r="AU860" i="11" s="1"/>
  <c r="V859" i="11"/>
  <c r="AU859" i="11" s="1"/>
  <c r="AI862" i="11"/>
  <c r="AO860" i="11"/>
  <c r="AM865" i="11"/>
  <c r="AK861" i="11"/>
  <c r="AK860" i="11"/>
  <c r="AK859" i="11"/>
  <c r="AO862" i="11"/>
  <c r="AO861" i="11"/>
  <c r="AI861" i="11"/>
  <c r="AO859" i="11"/>
  <c r="AU871" i="11"/>
  <c r="AU870" i="11"/>
  <c r="AG867" i="11"/>
  <c r="U865" i="11"/>
  <c r="V865" i="11" s="1"/>
  <c r="AK867" i="11"/>
  <c r="U864" i="11"/>
  <c r="V864" i="11" s="1"/>
  <c r="AU864" i="11" s="1"/>
  <c r="AK866" i="11"/>
  <c r="U863" i="11"/>
  <c r="V863" i="11" s="1"/>
  <c r="AU863" i="11" s="1"/>
  <c r="AK865" i="11"/>
  <c r="AK864" i="11"/>
  <c r="AK863" i="11"/>
  <c r="AO867" i="11"/>
  <c r="AO866" i="11"/>
  <c r="AI867" i="11"/>
  <c r="AO865" i="11"/>
  <c r="AI866" i="11"/>
  <c r="AO864" i="11"/>
  <c r="AU869" i="11"/>
  <c r="AO863" i="11"/>
  <c r="AM868" i="11"/>
  <c r="AG869" i="11"/>
  <c r="AO869" i="11"/>
  <c r="V868" i="11"/>
  <c r="AU868" i="11" s="1"/>
  <c r="AK869" i="11"/>
  <c r="AI869" i="11"/>
  <c r="AM869" i="11"/>
  <c r="AG868" i="11"/>
  <c r="AO868" i="11"/>
  <c r="AI868" i="11"/>
  <c r="AM871" i="11"/>
  <c r="AM870" i="11"/>
  <c r="AO870" i="11"/>
  <c r="AG871" i="11"/>
  <c r="AO871" i="11"/>
  <c r="AG870" i="11"/>
  <c r="AI871" i="11"/>
  <c r="AK872" i="11"/>
  <c r="AI870" i="11"/>
  <c r="U872" i="11"/>
  <c r="V872" i="11" s="1"/>
  <c r="AU872" i="11" s="1"/>
  <c r="AG872" i="11"/>
  <c r="AX854" i="11" l="1"/>
  <c r="BA854" i="11" s="1"/>
  <c r="BB854" i="11" s="1"/>
  <c r="AX858" i="11"/>
  <c r="BA858" i="11" s="1"/>
  <c r="BB858" i="11" s="1"/>
  <c r="AX869" i="11"/>
  <c r="BA869" i="11" s="1"/>
  <c r="BB869" i="11" s="1"/>
  <c r="AX862" i="11"/>
  <c r="BA862" i="11" s="1"/>
  <c r="BB862" i="11" s="1"/>
  <c r="AX864" i="11"/>
  <c r="BA864" i="11" s="1"/>
  <c r="BB864" i="11" s="1"/>
  <c r="AX866" i="11"/>
  <c r="BA866" i="11" s="1"/>
  <c r="BB866" i="11" s="1"/>
  <c r="AX870" i="11"/>
  <c r="BA870" i="11" s="1"/>
  <c r="BB870" i="11" s="1"/>
  <c r="AX867" i="11"/>
  <c r="BA867" i="11" s="1"/>
  <c r="BB867" i="11" s="1"/>
  <c r="AX855" i="11"/>
  <c r="BA855" i="11" s="1"/>
  <c r="BB855" i="11" s="1"/>
  <c r="AX865" i="11"/>
  <c r="BA865" i="11" s="1"/>
  <c r="BB865" i="11" s="1"/>
  <c r="AX856" i="11"/>
  <c r="BA856" i="11" s="1"/>
  <c r="BB856" i="11" s="1"/>
  <c r="AX871" i="11"/>
  <c r="BA871" i="11" s="1"/>
  <c r="BB871" i="11" s="1"/>
  <c r="AX859" i="11"/>
  <c r="BA859" i="11" s="1"/>
  <c r="BB859" i="11" s="1"/>
  <c r="AX857" i="11"/>
  <c r="BA857" i="11" s="1"/>
  <c r="BB857" i="11" s="1"/>
  <c r="AX860" i="11"/>
  <c r="BA860" i="11" s="1"/>
  <c r="BB860" i="11" s="1"/>
  <c r="AX853" i="11"/>
  <c r="BA853" i="11" s="1"/>
  <c r="BB853" i="11" s="1"/>
  <c r="AX872" i="11"/>
  <c r="BA872" i="11" s="1"/>
  <c r="BB872" i="11" s="1"/>
  <c r="AX863" i="11"/>
  <c r="BA863" i="11" s="1"/>
  <c r="BB863" i="11" s="1"/>
  <c r="AX868" i="11"/>
  <c r="BA868" i="11" s="1"/>
  <c r="BB868" i="11" s="1"/>
  <c r="AU865" i="11"/>
  <c r="AT846" i="11"/>
  <c r="AI846" i="11" s="1"/>
  <c r="AT847" i="11"/>
  <c r="AI847" i="11" s="1"/>
  <c r="AT848" i="11"/>
  <c r="AO848" i="11" s="1"/>
  <c r="AS846" i="11"/>
  <c r="AS847" i="11"/>
  <c r="AS848" i="11"/>
  <c r="AD846" i="11"/>
  <c r="AD847" i="11"/>
  <c r="AD848" i="11"/>
  <c r="W846" i="11"/>
  <c r="W847" i="11"/>
  <c r="W848" i="11"/>
  <c r="U847" i="11"/>
  <c r="U848" i="11"/>
  <c r="H846" i="11"/>
  <c r="H847" i="11"/>
  <c r="H848" i="11"/>
  <c r="AT849" i="11"/>
  <c r="AE849" i="11" s="1"/>
  <c r="AT850" i="11"/>
  <c r="AI850" i="11" s="1"/>
  <c r="AS849" i="11"/>
  <c r="AS850" i="11"/>
  <c r="AD849" i="11"/>
  <c r="AD850" i="11"/>
  <c r="W849" i="11"/>
  <c r="W850" i="11"/>
  <c r="U850" i="11"/>
  <c r="H849" i="11"/>
  <c r="H850" i="11"/>
  <c r="AI849" i="11" l="1"/>
  <c r="AF848" i="11"/>
  <c r="AR848" i="11" s="1"/>
  <c r="AF847" i="11"/>
  <c r="AR847" i="11" s="1"/>
  <c r="AF846" i="11"/>
  <c r="AR846" i="11" s="1"/>
  <c r="AF850" i="11"/>
  <c r="AR850" i="11" s="1"/>
  <c r="AF849" i="11"/>
  <c r="AR849" i="11" s="1"/>
  <c r="AO847" i="11"/>
  <c r="AK847" i="11"/>
  <c r="AI848" i="11"/>
  <c r="AG847" i="11"/>
  <c r="AK848" i="11"/>
  <c r="AG850" i="11"/>
  <c r="V848" i="11"/>
  <c r="AU848" i="11" s="1"/>
  <c r="V847" i="11"/>
  <c r="AM848" i="11"/>
  <c r="V846" i="11"/>
  <c r="AU846" i="11" s="1"/>
  <c r="AM847" i="11"/>
  <c r="AG848" i="11"/>
  <c r="AG846" i="11"/>
  <c r="AK850" i="11"/>
  <c r="AM846" i="11"/>
  <c r="AO850" i="11"/>
  <c r="AO846" i="11"/>
  <c r="AK846" i="11"/>
  <c r="AO849" i="11"/>
  <c r="V850" i="11"/>
  <c r="AU850" i="11" s="1"/>
  <c r="AG849" i="11"/>
  <c r="U849" i="11"/>
  <c r="V849" i="11" s="1"/>
  <c r="AM849" i="11"/>
  <c r="AK849" i="11"/>
  <c r="AM850" i="11"/>
  <c r="AX849" i="11" l="1"/>
  <c r="BA849" i="11" s="1"/>
  <c r="BB849" i="11" s="1"/>
  <c r="AX846" i="11"/>
  <c r="BA846" i="11" s="1"/>
  <c r="BB846" i="11" s="1"/>
  <c r="AX847" i="11"/>
  <c r="BA847" i="11" s="1"/>
  <c r="BB847" i="11" s="1"/>
  <c r="AX850" i="11"/>
  <c r="BA850" i="11" s="1"/>
  <c r="BB850" i="11" s="1"/>
  <c r="AX848" i="11"/>
  <c r="BA848" i="11" s="1"/>
  <c r="BB848" i="11" s="1"/>
  <c r="AU849" i="11"/>
  <c r="AU847" i="11"/>
  <c r="R742" i="11"/>
  <c r="T742" i="11" s="1"/>
  <c r="W852" i="11"/>
  <c r="W851" i="11"/>
  <c r="S852" i="11"/>
  <c r="T852" i="11" s="1"/>
  <c r="T851" i="11"/>
  <c r="H852" i="11"/>
  <c r="H873" i="11"/>
  <c r="U873" i="11"/>
  <c r="V873" i="11" s="1"/>
  <c r="W873" i="11"/>
  <c r="AD852" i="11"/>
  <c r="AS852" i="11"/>
  <c r="AS873" i="11"/>
  <c r="AT852" i="11"/>
  <c r="AE852" i="11" s="1"/>
  <c r="AT873" i="11"/>
  <c r="AI873" i="11" s="1"/>
  <c r="AM852" i="11" l="1"/>
  <c r="AF873" i="11"/>
  <c r="AR873" i="11" s="1"/>
  <c r="U852" i="11"/>
  <c r="V852" i="11" s="1"/>
  <c r="AF852" i="11"/>
  <c r="AR852" i="11" s="1"/>
  <c r="AU873" i="11"/>
  <c r="AK852" i="11"/>
  <c r="AK873" i="11"/>
  <c r="AO873" i="11"/>
  <c r="AG873" i="11"/>
  <c r="AI852" i="11"/>
  <c r="AG852" i="11"/>
  <c r="AM873" i="11"/>
  <c r="AO852" i="11"/>
  <c r="AX873" i="11" l="1"/>
  <c r="BA873" i="11" s="1"/>
  <c r="BB873" i="11" s="1"/>
  <c r="AX852" i="11"/>
  <c r="BA852" i="11" s="1"/>
  <c r="BB852" i="11" s="1"/>
  <c r="AU852" i="11"/>
  <c r="S829" i="11"/>
  <c r="T829" i="11" s="1"/>
  <c r="R811" i="11"/>
  <c r="T811" i="11" s="1"/>
  <c r="R832" i="11"/>
  <c r="T832" i="11" s="1"/>
  <c r="S814" i="11"/>
  <c r="T814" i="11" s="1"/>
  <c r="R803" i="11"/>
  <c r="T803" i="11" s="1"/>
  <c r="R783" i="11"/>
  <c r="T783" i="11" s="1"/>
  <c r="U812" i="11"/>
  <c r="U820" i="11"/>
  <c r="U821" i="11"/>
  <c r="U822" i="11"/>
  <c r="V822" i="11" s="1"/>
  <c r="U824" i="11"/>
  <c r="V824" i="11" s="1"/>
  <c r="U825" i="11"/>
  <c r="U831" i="11"/>
  <c r="V831" i="11" s="1"/>
  <c r="U833" i="11"/>
  <c r="V833" i="11" s="1"/>
  <c r="U834" i="11"/>
  <c r="U835" i="11"/>
  <c r="U838" i="11"/>
  <c r="U839" i="11"/>
  <c r="U840" i="11"/>
  <c r="U841" i="11"/>
  <c r="V841" i="11" s="1"/>
  <c r="U843" i="11"/>
  <c r="U844" i="11"/>
  <c r="V844" i="11" s="1"/>
  <c r="U845" i="11"/>
  <c r="U851" i="11"/>
  <c r="V851" i="11" s="1"/>
  <c r="U813" i="11"/>
  <c r="W808" i="11"/>
  <c r="AD792" i="11"/>
  <c r="W792" i="11"/>
  <c r="AD779" i="11"/>
  <c r="W779" i="11"/>
  <c r="H833" i="11"/>
  <c r="H834" i="11"/>
  <c r="H835" i="11"/>
  <c r="W833" i="11"/>
  <c r="W834" i="11"/>
  <c r="W835" i="11"/>
  <c r="AD833" i="11"/>
  <c r="AD835" i="11"/>
  <c r="AS833" i="11"/>
  <c r="AS834" i="11"/>
  <c r="AS835" i="11"/>
  <c r="AT833" i="11"/>
  <c r="AG833" i="11" s="1"/>
  <c r="AT834" i="11"/>
  <c r="AI834" i="11" s="1"/>
  <c r="AT835" i="11"/>
  <c r="H838" i="11"/>
  <c r="H839" i="11"/>
  <c r="H840" i="11"/>
  <c r="W838" i="11"/>
  <c r="W839" i="11"/>
  <c r="W840" i="11"/>
  <c r="AD838" i="11"/>
  <c r="AD839" i="11"/>
  <c r="AD840" i="11"/>
  <c r="AS838" i="11"/>
  <c r="AS839" i="11"/>
  <c r="AS840" i="11"/>
  <c r="AT838" i="11"/>
  <c r="AI838" i="11" s="1"/>
  <c r="AT839" i="11"/>
  <c r="AI839" i="11" s="1"/>
  <c r="AT840" i="11"/>
  <c r="H841" i="11"/>
  <c r="H842" i="11"/>
  <c r="H843" i="11"/>
  <c r="W841" i="11"/>
  <c r="W842" i="11"/>
  <c r="W843" i="11"/>
  <c r="AD841" i="11"/>
  <c r="AD842" i="11"/>
  <c r="AD843" i="11"/>
  <c r="AS841" i="11"/>
  <c r="AS842" i="11"/>
  <c r="AS843" i="11"/>
  <c r="AT841" i="11"/>
  <c r="AG841" i="11" s="1"/>
  <c r="AT842" i="11"/>
  <c r="AI842" i="11" s="1"/>
  <c r="AT843" i="11"/>
  <c r="AI843" i="11" s="1"/>
  <c r="H844" i="11"/>
  <c r="H845" i="11"/>
  <c r="W844" i="11"/>
  <c r="W845" i="11"/>
  <c r="AD844" i="11"/>
  <c r="AD845" i="11"/>
  <c r="AS844" i="11"/>
  <c r="AS845" i="11"/>
  <c r="AT844" i="11"/>
  <c r="AK844" i="11" s="1"/>
  <c r="AT845" i="11"/>
  <c r="AI845" i="11" s="1"/>
  <c r="H851" i="11"/>
  <c r="AF851" i="11"/>
  <c r="AR851" i="11" s="1"/>
  <c r="AD851" i="11"/>
  <c r="AS851" i="11"/>
  <c r="AT851" i="11"/>
  <c r="AE851" i="11" s="1"/>
  <c r="H822" i="11"/>
  <c r="H823" i="11"/>
  <c r="H824" i="11"/>
  <c r="H825" i="11"/>
  <c r="W822" i="11"/>
  <c r="W823" i="11"/>
  <c r="W824" i="11"/>
  <c r="W825" i="11"/>
  <c r="AD822" i="11"/>
  <c r="AD823" i="11"/>
  <c r="AD824" i="11"/>
  <c r="AD825" i="11"/>
  <c r="AS822" i="11"/>
  <c r="AS823" i="11"/>
  <c r="AS824" i="11"/>
  <c r="AS825" i="11"/>
  <c r="AT822" i="11"/>
  <c r="AM822" i="11" s="1"/>
  <c r="AT823" i="11"/>
  <c r="AK823" i="11" s="1"/>
  <c r="AT824" i="11"/>
  <c r="AO824" i="11" s="1"/>
  <c r="AT825" i="11"/>
  <c r="AO825" i="11" s="1"/>
  <c r="H819" i="11"/>
  <c r="H820" i="11"/>
  <c r="H821" i="11"/>
  <c r="H828" i="11"/>
  <c r="W819" i="11"/>
  <c r="W820" i="11"/>
  <c r="W821" i="11"/>
  <c r="W828" i="11"/>
  <c r="AD819" i="11"/>
  <c r="AD820" i="11"/>
  <c r="AD828" i="11"/>
  <c r="AS819" i="11"/>
  <c r="AS820" i="11"/>
  <c r="AS821" i="11"/>
  <c r="AS828" i="11"/>
  <c r="AT819" i="11"/>
  <c r="AM819" i="11" s="1"/>
  <c r="AT820" i="11"/>
  <c r="AG820" i="11" s="1"/>
  <c r="AT821" i="11"/>
  <c r="AI821" i="11" s="1"/>
  <c r="AT828" i="11"/>
  <c r="AI828" i="11" s="1"/>
  <c r="H829" i="11"/>
  <c r="H830" i="11"/>
  <c r="W829" i="11"/>
  <c r="W830" i="11"/>
  <c r="AD829" i="11"/>
  <c r="AD830" i="11"/>
  <c r="AS829" i="11"/>
  <c r="AS830" i="11"/>
  <c r="AT829" i="11"/>
  <c r="AI829" i="11" s="1"/>
  <c r="AT830" i="11"/>
  <c r="AI830" i="11" s="1"/>
  <c r="H831" i="11"/>
  <c r="W831" i="11"/>
  <c r="AD831" i="11"/>
  <c r="AS831" i="11"/>
  <c r="AT831" i="11"/>
  <c r="AI831" i="11" s="1"/>
  <c r="H803" i="11"/>
  <c r="W803" i="11"/>
  <c r="AS803" i="11"/>
  <c r="AT803" i="11"/>
  <c r="AE803" i="11" s="1"/>
  <c r="H783" i="11"/>
  <c r="W783" i="11"/>
  <c r="AS783" i="11"/>
  <c r="AT783" i="11"/>
  <c r="AE783" i="11" s="1"/>
  <c r="H811" i="11"/>
  <c r="H812" i="11"/>
  <c r="H813" i="11"/>
  <c r="H814" i="11"/>
  <c r="W811" i="11"/>
  <c r="W812" i="11"/>
  <c r="W813" i="11"/>
  <c r="W814" i="11"/>
  <c r="AD811" i="11"/>
  <c r="AD812" i="11"/>
  <c r="AD813" i="11"/>
  <c r="AD814" i="11"/>
  <c r="AS811" i="11"/>
  <c r="AS812" i="11"/>
  <c r="AS813" i="11"/>
  <c r="AS814" i="11"/>
  <c r="AT811" i="11"/>
  <c r="AE811" i="11" s="1"/>
  <c r="AT812" i="11"/>
  <c r="AG812" i="11" s="1"/>
  <c r="AT813" i="11"/>
  <c r="AM813" i="11" s="1"/>
  <c r="AT814" i="11"/>
  <c r="AM814" i="11" s="1"/>
  <c r="M600" i="11"/>
  <c r="AG811" i="11" l="1"/>
  <c r="AX811" i="11" s="1"/>
  <c r="BA811" i="11" s="1"/>
  <c r="BB811" i="11" s="1"/>
  <c r="AI851" i="11"/>
  <c r="AU851" i="11"/>
  <c r="AI783" i="11"/>
  <c r="AI803" i="11"/>
  <c r="AX812" i="11"/>
  <c r="BA812" i="11" s="1"/>
  <c r="BB812" i="11" s="1"/>
  <c r="AX820" i="11"/>
  <c r="BA820" i="11" s="1"/>
  <c r="BB820" i="11" s="1"/>
  <c r="AX841" i="11"/>
  <c r="BA841" i="11" s="1"/>
  <c r="BB841" i="11" s="1"/>
  <c r="AX833" i="11"/>
  <c r="BA833" i="11" s="1"/>
  <c r="BB833" i="11" s="1"/>
  <c r="AF814" i="11"/>
  <c r="AR814" i="11" s="1"/>
  <c r="AF823" i="11"/>
  <c r="AR823" i="11" s="1"/>
  <c r="AF811" i="11"/>
  <c r="AR811" i="11" s="1"/>
  <c r="AF783" i="11"/>
  <c r="AR783" i="11" s="1"/>
  <c r="AF844" i="11"/>
  <c r="AR844" i="11" s="1"/>
  <c r="AF779" i="11"/>
  <c r="AR779" i="11" s="1"/>
  <c r="U783" i="11"/>
  <c r="AF831" i="11"/>
  <c r="AR831" i="11" s="1"/>
  <c r="AF830" i="11"/>
  <c r="AR830" i="11" s="1"/>
  <c r="AF828" i="11"/>
  <c r="AR828" i="11" s="1"/>
  <c r="AF829" i="11"/>
  <c r="AR829" i="11" s="1"/>
  <c r="AF821" i="11"/>
  <c r="AR821" i="11" s="1"/>
  <c r="AF835" i="11"/>
  <c r="AR835" i="11" s="1"/>
  <c r="AF813" i="11"/>
  <c r="AR813" i="11" s="1"/>
  <c r="AF824" i="11"/>
  <c r="AR824" i="11" s="1"/>
  <c r="AF792" i="11"/>
  <c r="AR792" i="11" s="1"/>
  <c r="AF825" i="11"/>
  <c r="AR825" i="11" s="1"/>
  <c r="AF842" i="11"/>
  <c r="AR842" i="11" s="1"/>
  <c r="AF834" i="11"/>
  <c r="AR834" i="11" s="1"/>
  <c r="AF839" i="11"/>
  <c r="AR839" i="11" s="1"/>
  <c r="U814" i="11"/>
  <c r="AF812" i="11"/>
  <c r="AR812" i="11" s="1"/>
  <c r="AF820" i="11"/>
  <c r="AR820" i="11" s="1"/>
  <c r="AF803" i="11"/>
  <c r="AR803" i="11" s="1"/>
  <c r="AF838" i="11"/>
  <c r="AR838" i="11" s="1"/>
  <c r="AF843" i="11"/>
  <c r="AR843" i="11" s="1"/>
  <c r="U811" i="11"/>
  <c r="AF841" i="11"/>
  <c r="AR841" i="11" s="1"/>
  <c r="AF822" i="11"/>
  <c r="AR822" i="11" s="1"/>
  <c r="U819" i="11"/>
  <c r="V819" i="11" s="1"/>
  <c r="AU819" i="11" s="1"/>
  <c r="AF819" i="11"/>
  <c r="AR819" i="11" s="1"/>
  <c r="AF840" i="11"/>
  <c r="AR840" i="11" s="1"/>
  <c r="AF845" i="11"/>
  <c r="AR845" i="11" s="1"/>
  <c r="AF833" i="11"/>
  <c r="AR833" i="11" s="1"/>
  <c r="U828" i="11"/>
  <c r="V828" i="11" s="1"/>
  <c r="AU828" i="11" s="1"/>
  <c r="U829" i="11"/>
  <c r="V829" i="11" s="1"/>
  <c r="AU829" i="11" s="1"/>
  <c r="U842" i="11"/>
  <c r="AU833" i="11"/>
  <c r="U808" i="11"/>
  <c r="V808" i="11" s="1"/>
  <c r="AI833" i="11"/>
  <c r="AM833" i="11"/>
  <c r="U792" i="11"/>
  <c r="V792" i="11" s="1"/>
  <c r="U779" i="11"/>
  <c r="V779" i="11" s="1"/>
  <c r="AU844" i="11"/>
  <c r="AM841" i="11"/>
  <c r="AI841" i="11"/>
  <c r="AU824" i="11"/>
  <c r="AO835" i="11"/>
  <c r="AK835" i="11"/>
  <c r="AG835" i="11"/>
  <c r="AO834" i="11"/>
  <c r="AK834" i="11"/>
  <c r="AG834" i="11"/>
  <c r="AO833" i="11"/>
  <c r="AK833" i="11"/>
  <c r="V835" i="11"/>
  <c r="AU835" i="11" s="1"/>
  <c r="V834" i="11"/>
  <c r="AU834" i="11" s="1"/>
  <c r="AG824" i="11"/>
  <c r="AM835" i="11"/>
  <c r="AI835" i="11"/>
  <c r="AM834" i="11"/>
  <c r="AU822" i="11"/>
  <c r="AO844" i="11"/>
  <c r="AO840" i="11"/>
  <c r="AK840" i="11"/>
  <c r="AG840" i="11"/>
  <c r="AO839" i="11"/>
  <c r="AK839" i="11"/>
  <c r="AG839" i="11"/>
  <c r="AO838" i="11"/>
  <c r="AK838" i="11"/>
  <c r="AG838" i="11"/>
  <c r="V840" i="11"/>
  <c r="AU840" i="11" s="1"/>
  <c r="V839" i="11"/>
  <c r="AU839" i="11" s="1"/>
  <c r="AU841" i="11"/>
  <c r="V838" i="11"/>
  <c r="AU838" i="11" s="1"/>
  <c r="AM840" i="11"/>
  <c r="AI840" i="11"/>
  <c r="AM839" i="11"/>
  <c r="AM838" i="11"/>
  <c r="AI824" i="11"/>
  <c r="AI844" i="11"/>
  <c r="AO843" i="11"/>
  <c r="AK843" i="11"/>
  <c r="AG843" i="11"/>
  <c r="AO842" i="11"/>
  <c r="AK842" i="11"/>
  <c r="AG842" i="11"/>
  <c r="AO841" i="11"/>
  <c r="AK841" i="11"/>
  <c r="V843" i="11"/>
  <c r="AU843" i="11" s="1"/>
  <c r="V845" i="11"/>
  <c r="AU845" i="11" s="1"/>
  <c r="AM843" i="11"/>
  <c r="AM842" i="11"/>
  <c r="AO819" i="11"/>
  <c r="AM845" i="11"/>
  <c r="AG845" i="11"/>
  <c r="AI825" i="11"/>
  <c r="AG819" i="11"/>
  <c r="AM844" i="11"/>
  <c r="AG844" i="11"/>
  <c r="AK845" i="11"/>
  <c r="AK825" i="11"/>
  <c r="AK824" i="11"/>
  <c r="AO845" i="11"/>
  <c r="AG825" i="11"/>
  <c r="AG851" i="11"/>
  <c r="AO851" i="11"/>
  <c r="AM851" i="11"/>
  <c r="AM825" i="11"/>
  <c r="V825" i="11"/>
  <c r="AU825" i="11" s="1"/>
  <c r="AK851" i="11"/>
  <c r="AO821" i="11"/>
  <c r="AI819" i="11"/>
  <c r="AM824" i="11"/>
  <c r="AK822" i="11"/>
  <c r="AG821" i="11"/>
  <c r="AM823" i="11"/>
  <c r="U823" i="11"/>
  <c r="V823" i="11" s="1"/>
  <c r="AU823" i="11" s="1"/>
  <c r="AO823" i="11"/>
  <c r="AO822" i="11"/>
  <c r="AO820" i="11"/>
  <c r="AG823" i="11"/>
  <c r="AG822" i="11"/>
  <c r="AI823" i="11"/>
  <c r="AM821" i="11"/>
  <c r="AM820" i="11"/>
  <c r="AI822" i="11"/>
  <c r="AI820" i="11"/>
  <c r="AK828" i="11"/>
  <c r="AK821" i="11"/>
  <c r="V821" i="11"/>
  <c r="AU821" i="11" s="1"/>
  <c r="AU831" i="11"/>
  <c r="AK820" i="11"/>
  <c r="V820" i="11"/>
  <c r="AU820" i="11" s="1"/>
  <c r="AK819" i="11"/>
  <c r="AM828" i="11"/>
  <c r="AG828" i="11"/>
  <c r="AO828" i="11"/>
  <c r="AM830" i="11"/>
  <c r="AG830" i="11"/>
  <c r="AM829" i="11"/>
  <c r="AG829" i="11"/>
  <c r="AK830" i="11"/>
  <c r="AM812" i="11"/>
  <c r="AI812" i="11"/>
  <c r="AK829" i="11"/>
  <c r="AO830" i="11"/>
  <c r="AO829" i="11"/>
  <c r="AG831" i="11"/>
  <c r="AO831" i="11"/>
  <c r="AM831" i="11"/>
  <c r="AO813" i="11"/>
  <c r="AO812" i="11"/>
  <c r="AK831" i="11"/>
  <c r="AM811" i="11"/>
  <c r="AI814" i="11"/>
  <c r="AO803" i="11"/>
  <c r="AM803" i="11"/>
  <c r="AI811" i="11"/>
  <c r="AG813" i="11"/>
  <c r="AI813" i="11"/>
  <c r="AK803" i="11"/>
  <c r="AG803" i="11"/>
  <c r="AO814" i="11"/>
  <c r="AG814" i="11"/>
  <c r="V813" i="11"/>
  <c r="AU813" i="11" s="1"/>
  <c r="V812" i="11"/>
  <c r="AU812" i="11" s="1"/>
  <c r="AO783" i="11"/>
  <c r="AO811" i="11"/>
  <c r="AM783" i="11"/>
  <c r="AK783" i="11"/>
  <c r="AG783" i="11"/>
  <c r="AK814" i="11"/>
  <c r="AK813" i="11"/>
  <c r="AK812" i="11"/>
  <c r="AK811" i="11"/>
  <c r="AX834" i="11" l="1"/>
  <c r="BA834" i="11" s="1"/>
  <c r="BB834" i="11" s="1"/>
  <c r="AX839" i="11"/>
  <c r="BA839" i="11" s="1"/>
  <c r="BB839" i="11" s="1"/>
  <c r="AX813" i="11"/>
  <c r="BA813" i="11" s="1"/>
  <c r="BB813" i="11" s="1"/>
  <c r="AX819" i="11"/>
  <c r="BA819" i="11" s="1"/>
  <c r="BB819" i="11" s="1"/>
  <c r="AX821" i="11"/>
  <c r="BA821" i="11" s="1"/>
  <c r="AX844" i="11"/>
  <c r="BA844" i="11" s="1"/>
  <c r="BB844" i="11" s="1"/>
  <c r="AX843" i="11"/>
  <c r="BA843" i="11" s="1"/>
  <c r="BB843" i="11" s="1"/>
  <c r="AX845" i="11"/>
  <c r="BA845" i="11" s="1"/>
  <c r="BB845" i="11" s="1"/>
  <c r="AX835" i="11"/>
  <c r="BA835" i="11" s="1"/>
  <c r="BB835" i="11" s="1"/>
  <c r="AX822" i="11"/>
  <c r="BA822" i="11" s="1"/>
  <c r="BB822" i="11" s="1"/>
  <c r="AX823" i="11"/>
  <c r="BA823" i="11" s="1"/>
  <c r="BB823" i="11" s="1"/>
  <c r="AX840" i="11"/>
  <c r="BA840" i="11" s="1"/>
  <c r="BB840" i="11" s="1"/>
  <c r="AX783" i="11"/>
  <c r="BA783" i="11" s="1"/>
  <c r="BB783" i="11" s="1"/>
  <c r="AX830" i="11"/>
  <c r="BA830" i="11" s="1"/>
  <c r="BB830" i="11" s="1"/>
  <c r="AX828" i="11"/>
  <c r="BA828" i="11" s="1"/>
  <c r="BB828" i="11" s="1"/>
  <c r="AX825" i="11"/>
  <c r="BA825" i="11" s="1"/>
  <c r="BB825" i="11" s="1"/>
  <c r="AX851" i="11"/>
  <c r="BA851" i="11" s="1"/>
  <c r="BB851" i="11" s="1"/>
  <c r="AX814" i="11"/>
  <c r="BA814" i="11" s="1"/>
  <c r="BB814" i="11" s="1"/>
  <c r="AX824" i="11"/>
  <c r="BA824" i="11" s="1"/>
  <c r="BB824" i="11" s="1"/>
  <c r="AX842" i="11"/>
  <c r="BA842" i="11" s="1"/>
  <c r="BB842" i="11" s="1"/>
  <c r="AX838" i="11"/>
  <c r="BA838" i="11" s="1"/>
  <c r="BB838" i="11" s="1"/>
  <c r="AX829" i="11"/>
  <c r="BA829" i="11" s="1"/>
  <c r="BB829" i="11" s="1"/>
  <c r="AX803" i="11"/>
  <c r="BA803" i="11" s="1"/>
  <c r="BB803" i="11" s="1"/>
  <c r="AX831" i="11"/>
  <c r="BA831" i="11" s="1"/>
  <c r="BB831" i="11" s="1"/>
  <c r="U803" i="11"/>
  <c r="V803" i="11" s="1"/>
  <c r="AU803" i="11" s="1"/>
  <c r="V811" i="11"/>
  <c r="AU811" i="11" s="1"/>
  <c r="V783" i="11"/>
  <c r="AU783" i="11" s="1"/>
  <c r="V814" i="11"/>
  <c r="AU814" i="11" s="1"/>
  <c r="U830" i="11"/>
  <c r="V830" i="11" s="1"/>
  <c r="AU830" i="11" s="1"/>
  <c r="V842" i="11"/>
  <c r="AU842" i="11" s="1"/>
  <c r="R806" i="11"/>
  <c r="T806" i="11" s="1"/>
  <c r="W805" i="11"/>
  <c r="W806" i="11"/>
  <c r="W807" i="11"/>
  <c r="AF808" i="11"/>
  <c r="AR808" i="11" s="1"/>
  <c r="W810" i="11"/>
  <c r="W815" i="11"/>
  <c r="W816" i="11"/>
  <c r="W817" i="11"/>
  <c r="W818" i="11"/>
  <c r="W832" i="11"/>
  <c r="U810" i="11"/>
  <c r="U815" i="11"/>
  <c r="U816" i="11"/>
  <c r="V816" i="11" s="1"/>
  <c r="U817" i="11"/>
  <c r="V817" i="11" s="1"/>
  <c r="H805" i="11"/>
  <c r="H806" i="11"/>
  <c r="H807" i="11"/>
  <c r="H808" i="11"/>
  <c r="H809" i="11"/>
  <c r="H810" i="11"/>
  <c r="H815" i="11"/>
  <c r="H816" i="11"/>
  <c r="H817" i="11"/>
  <c r="H818" i="11"/>
  <c r="H832" i="11"/>
  <c r="AD806" i="11"/>
  <c r="AD807" i="11"/>
  <c r="AD808" i="11"/>
  <c r="AD810" i="11"/>
  <c r="AD817" i="11"/>
  <c r="AD818" i="11"/>
  <c r="AD832" i="11"/>
  <c r="AS805" i="11"/>
  <c r="AS806" i="11"/>
  <c r="AS807" i="11"/>
  <c r="AS808" i="11"/>
  <c r="AS809" i="11"/>
  <c r="AS810" i="11"/>
  <c r="AS815" i="11"/>
  <c r="AS816" i="11"/>
  <c r="AS817" i="11"/>
  <c r="AS818" i="11"/>
  <c r="AS832" i="11"/>
  <c r="AT805" i="11"/>
  <c r="AM805" i="11" s="1"/>
  <c r="AT806" i="11"/>
  <c r="AG806" i="11" s="1"/>
  <c r="AT807" i="11"/>
  <c r="AG807" i="11" s="1"/>
  <c r="AT808" i="11"/>
  <c r="AG808" i="11" s="1"/>
  <c r="AT809" i="11"/>
  <c r="AT810" i="11"/>
  <c r="AG810" i="11" s="1"/>
  <c r="AT815" i="11"/>
  <c r="AK815" i="11" s="1"/>
  <c r="AT816" i="11"/>
  <c r="AO816" i="11" s="1"/>
  <c r="AT817" i="11"/>
  <c r="AG817" i="11" s="1"/>
  <c r="AT818" i="11"/>
  <c r="AK818" i="11" s="1"/>
  <c r="AT832" i="11"/>
  <c r="AE832" i="11" s="1"/>
  <c r="BB821" i="11" l="1"/>
  <c r="AO832" i="11"/>
  <c r="AX807" i="11"/>
  <c r="BA807" i="11" s="1"/>
  <c r="BB807" i="11" s="1"/>
  <c r="AX806" i="11"/>
  <c r="BA806" i="11" s="1"/>
  <c r="BB806" i="11" s="1"/>
  <c r="AX808" i="11"/>
  <c r="BA808" i="11" s="1"/>
  <c r="BB808" i="11" s="1"/>
  <c r="AX817" i="11"/>
  <c r="BA817" i="11" s="1"/>
  <c r="BB817" i="11" s="1"/>
  <c r="AX810" i="11"/>
  <c r="BA810" i="11" s="1"/>
  <c r="BB810" i="11" s="1"/>
  <c r="AF815" i="11"/>
  <c r="AR815" i="11" s="1"/>
  <c r="AF810" i="11"/>
  <c r="AR810" i="11" s="1"/>
  <c r="AF817" i="11"/>
  <c r="AR817" i="11" s="1"/>
  <c r="U806" i="11"/>
  <c r="V806" i="11" s="1"/>
  <c r="AU806" i="11" s="1"/>
  <c r="AF807" i="11"/>
  <c r="AR807" i="11" s="1"/>
  <c r="AF806" i="11"/>
  <c r="AR806" i="11" s="1"/>
  <c r="AF805" i="11"/>
  <c r="AR805" i="11" s="1"/>
  <c r="AF832" i="11"/>
  <c r="AR832" i="11" s="1"/>
  <c r="AF818" i="11"/>
  <c r="AR818" i="11" s="1"/>
  <c r="AF816" i="11"/>
  <c r="AR816" i="11" s="1"/>
  <c r="AM809" i="11"/>
  <c r="AG809" i="11"/>
  <c r="AO809" i="11"/>
  <c r="AK809" i="11"/>
  <c r="AI809" i="11"/>
  <c r="AU816" i="11"/>
  <c r="U805" i="11"/>
  <c r="V805" i="11" s="1"/>
  <c r="AU805" i="11" s="1"/>
  <c r="U807" i="11"/>
  <c r="V807" i="11" s="1"/>
  <c r="AU807" i="11" s="1"/>
  <c r="AO818" i="11"/>
  <c r="AO817" i="11"/>
  <c r="AI832" i="11"/>
  <c r="AI818" i="11"/>
  <c r="AG818" i="11"/>
  <c r="AU817" i="11"/>
  <c r="AK808" i="11"/>
  <c r="AG805" i="11"/>
  <c r="AM808" i="11"/>
  <c r="AK810" i="11"/>
  <c r="AU808" i="11"/>
  <c r="AI810" i="11"/>
  <c r="AM832" i="11"/>
  <c r="AM818" i="11"/>
  <c r="AI815" i="11"/>
  <c r="AM816" i="11"/>
  <c r="AG816" i="11"/>
  <c r="AO810" i="11"/>
  <c r="AO808" i="11"/>
  <c r="AM810" i="11"/>
  <c r="AO815" i="11"/>
  <c r="AI808" i="11"/>
  <c r="AM815" i="11"/>
  <c r="AG815" i="11"/>
  <c r="U832" i="11"/>
  <c r="V832" i="11" s="1"/>
  <c r="V815" i="11"/>
  <c r="AU815" i="11" s="1"/>
  <c r="AK807" i="11"/>
  <c r="AI817" i="11"/>
  <c r="V810" i="11"/>
  <c r="AU810" i="11" s="1"/>
  <c r="AK806" i="11"/>
  <c r="AI816" i="11"/>
  <c r="AU809" i="11"/>
  <c r="AO807" i="11"/>
  <c r="AM817" i="11"/>
  <c r="AG832" i="11"/>
  <c r="AK805" i="11"/>
  <c r="AK832" i="11"/>
  <c r="AM807" i="11"/>
  <c r="AK817" i="11"/>
  <c r="AO805" i="11"/>
  <c r="AI807" i="11"/>
  <c r="AI806" i="11"/>
  <c r="U818" i="11"/>
  <c r="V818" i="11" s="1"/>
  <c r="AU818" i="11" s="1"/>
  <c r="AM806" i="11"/>
  <c r="AK816" i="11"/>
  <c r="AO806" i="11"/>
  <c r="AI805" i="11"/>
  <c r="T796" i="11"/>
  <c r="AX815" i="11" l="1"/>
  <c r="BA815" i="11" s="1"/>
  <c r="BB815" i="11" s="1"/>
  <c r="AX805" i="11"/>
  <c r="BA805" i="11" s="1"/>
  <c r="BB805" i="11" s="1"/>
  <c r="AX818" i="11"/>
  <c r="BA818" i="11" s="1"/>
  <c r="BB818" i="11" s="1"/>
  <c r="AX816" i="11"/>
  <c r="BA816" i="11" s="1"/>
  <c r="BB816" i="11" s="1"/>
  <c r="AX809" i="11"/>
  <c r="BA809" i="11" s="1"/>
  <c r="BB809" i="11" s="1"/>
  <c r="AX832" i="11"/>
  <c r="BA832" i="11" s="1"/>
  <c r="BB832" i="11" s="1"/>
  <c r="AU832" i="11"/>
  <c r="W796" i="11"/>
  <c r="AD796" i="11"/>
  <c r="W797" i="11"/>
  <c r="AD797" i="11"/>
  <c r="W799" i="11"/>
  <c r="AD799" i="11"/>
  <c r="W800" i="11"/>
  <c r="AD800" i="11"/>
  <c r="W801" i="11"/>
  <c r="AD801" i="11"/>
  <c r="W802" i="11"/>
  <c r="AD802" i="11"/>
  <c r="W804" i="11"/>
  <c r="AD804" i="11"/>
  <c r="R799" i="11"/>
  <c r="T799" i="11" s="1"/>
  <c r="R797" i="11"/>
  <c r="T797" i="11" s="1"/>
  <c r="AD695" i="11"/>
  <c r="W695" i="11"/>
  <c r="AD653" i="11"/>
  <c r="W653" i="11"/>
  <c r="AD642" i="11"/>
  <c r="W642" i="11"/>
  <c r="AD618" i="11"/>
  <c r="W618" i="11"/>
  <c r="H802" i="11"/>
  <c r="H801" i="11"/>
  <c r="H800" i="11"/>
  <c r="H799" i="11"/>
  <c r="H798" i="11"/>
  <c r="H797" i="11"/>
  <c r="H796" i="11"/>
  <c r="H795" i="11"/>
  <c r="H804" i="11"/>
  <c r="AS796" i="11"/>
  <c r="AS797" i="11"/>
  <c r="AS798" i="11"/>
  <c r="AS799" i="11"/>
  <c r="AS800" i="11"/>
  <c r="AS801" i="11"/>
  <c r="AS802" i="11"/>
  <c r="AS804" i="11"/>
  <c r="AT796" i="11"/>
  <c r="AI796" i="11" s="1"/>
  <c r="AT797" i="11"/>
  <c r="AI797" i="11" s="1"/>
  <c r="AT798" i="11"/>
  <c r="AT799" i="11"/>
  <c r="AE799" i="11" s="1"/>
  <c r="AT800" i="11"/>
  <c r="AI800" i="11" s="1"/>
  <c r="AT801" i="11"/>
  <c r="AK801" i="11" s="1"/>
  <c r="AT802" i="11"/>
  <c r="AO802" i="11" s="1"/>
  <c r="AT804" i="11"/>
  <c r="AG804" i="11" s="1"/>
  <c r="AI799" i="11" l="1"/>
  <c r="AX804" i="11"/>
  <c r="BA804" i="11" s="1"/>
  <c r="BB804" i="11" s="1"/>
  <c r="AF618" i="11"/>
  <c r="AF800" i="11"/>
  <c r="AR800" i="11" s="1"/>
  <c r="AF642" i="11"/>
  <c r="AF797" i="11"/>
  <c r="AR797" i="11" s="1"/>
  <c r="AF653" i="11"/>
  <c r="AF796" i="11"/>
  <c r="AR796" i="11" s="1"/>
  <c r="AF802" i="11"/>
  <c r="AR802" i="11" s="1"/>
  <c r="AF695" i="11"/>
  <c r="AF801" i="11"/>
  <c r="AR801" i="11" s="1"/>
  <c r="AI798" i="11"/>
  <c r="AO798" i="11"/>
  <c r="AG798" i="11"/>
  <c r="AM798" i="11"/>
  <c r="AK798" i="11"/>
  <c r="AF804" i="11"/>
  <c r="AR804" i="11" s="1"/>
  <c r="AF799" i="11"/>
  <c r="AR799" i="11" s="1"/>
  <c r="U804" i="11"/>
  <c r="V804" i="11" s="1"/>
  <c r="AU804" i="11" s="1"/>
  <c r="U801" i="11"/>
  <c r="U796" i="11"/>
  <c r="V796" i="11" s="1"/>
  <c r="AU796" i="11" s="1"/>
  <c r="U802" i="11"/>
  <c r="V802" i="11" s="1"/>
  <c r="AU802" i="11" s="1"/>
  <c r="U695" i="11"/>
  <c r="V695" i="11" s="1"/>
  <c r="U653" i="11"/>
  <c r="V653" i="11" s="1"/>
  <c r="U642" i="11"/>
  <c r="V642" i="11" s="1"/>
  <c r="U618" i="11"/>
  <c r="V618" i="11" s="1"/>
  <c r="AM804" i="11"/>
  <c r="AK804" i="11"/>
  <c r="AI804" i="11"/>
  <c r="AO804" i="11"/>
  <c r="AG801" i="11"/>
  <c r="AO800" i="11"/>
  <c r="AK800" i="11"/>
  <c r="AG800" i="11"/>
  <c r="AK797" i="11"/>
  <c r="AM802" i="11"/>
  <c r="AI802" i="11"/>
  <c r="AM801" i="11"/>
  <c r="AI801" i="11"/>
  <c r="AK802" i="11"/>
  <c r="AG797" i="11"/>
  <c r="AO801" i="11"/>
  <c r="AG802" i="11"/>
  <c r="AO799" i="11"/>
  <c r="AK799" i="11"/>
  <c r="AG799" i="11"/>
  <c r="AO797" i="11"/>
  <c r="AO796" i="11"/>
  <c r="AK796" i="11"/>
  <c r="AG796" i="11"/>
  <c r="AM799" i="11"/>
  <c r="AM797" i="11"/>
  <c r="AM800" i="11"/>
  <c r="AM796" i="11"/>
  <c r="AX800" i="11" l="1"/>
  <c r="BA800" i="11" s="1"/>
  <c r="BB800" i="11" s="1"/>
  <c r="AX798" i="11"/>
  <c r="BA798" i="11" s="1"/>
  <c r="BB798" i="11" s="1"/>
  <c r="AX796" i="11"/>
  <c r="BA796" i="11" s="1"/>
  <c r="BB796" i="11" s="1"/>
  <c r="AX801" i="11"/>
  <c r="BA801" i="11" s="1"/>
  <c r="BB801" i="11" s="1"/>
  <c r="AX802" i="11"/>
  <c r="BA802" i="11" s="1"/>
  <c r="BB802" i="11" s="1"/>
  <c r="AX797" i="11"/>
  <c r="BA797" i="11" s="1"/>
  <c r="BB797" i="11" s="1"/>
  <c r="AX799" i="11"/>
  <c r="BA799" i="11" s="1"/>
  <c r="BB799" i="11" s="1"/>
  <c r="V801" i="11"/>
  <c r="AU801" i="11" s="1"/>
  <c r="U797" i="11"/>
  <c r="V797" i="11" s="1"/>
  <c r="AU797" i="11" s="1"/>
  <c r="U799" i="11"/>
  <c r="V799" i="11" s="1"/>
  <c r="AU799" i="11" s="1"/>
  <c r="U800" i="11"/>
  <c r="V800" i="11" s="1"/>
  <c r="AU800" i="11" s="1"/>
  <c r="AU798" i="11"/>
  <c r="R773" i="11" l="1"/>
  <c r="T773" i="11" s="1"/>
  <c r="S794" i="11" l="1"/>
  <c r="T794" i="11" s="1"/>
  <c r="R766" i="11" l="1"/>
  <c r="T766" i="11" s="1"/>
  <c r="H766" i="11"/>
  <c r="W766" i="11"/>
  <c r="AS766" i="11"/>
  <c r="AT766" i="11"/>
  <c r="AE766" i="11" s="1"/>
  <c r="R775" i="11"/>
  <c r="T775" i="11" s="1"/>
  <c r="R8" i="11"/>
  <c r="S789" i="11"/>
  <c r="T789" i="11" s="1"/>
  <c r="S788" i="11"/>
  <c r="T788" i="11" s="1"/>
  <c r="R778" i="11"/>
  <c r="T778" i="11" s="1"/>
  <c r="R786" i="11"/>
  <c r="AD780" i="11"/>
  <c r="W780" i="11"/>
  <c r="AD761" i="11"/>
  <c r="W761" i="11"/>
  <c r="R784" i="11"/>
  <c r="T784" i="11" s="1"/>
  <c r="R790" i="11"/>
  <c r="T790" i="11" s="1"/>
  <c r="S791" i="11"/>
  <c r="T791" i="11" s="1"/>
  <c r="U795" i="11"/>
  <c r="AD782" i="11"/>
  <c r="W782" i="11"/>
  <c r="AD781" i="11"/>
  <c r="W781" i="11"/>
  <c r="R776" i="11"/>
  <c r="T776" i="11" s="1"/>
  <c r="R782" i="11"/>
  <c r="T782" i="11" s="1"/>
  <c r="AD787" i="11"/>
  <c r="W787" i="11"/>
  <c r="R787" i="11"/>
  <c r="T787" i="11" s="1"/>
  <c r="R774" i="11"/>
  <c r="T774" i="11" s="1"/>
  <c r="H792" i="11"/>
  <c r="H780" i="11"/>
  <c r="H781" i="11"/>
  <c r="H782" i="11"/>
  <c r="H784" i="11"/>
  <c r="H785" i="11"/>
  <c r="H786" i="11"/>
  <c r="H787" i="11"/>
  <c r="H788" i="11"/>
  <c r="H789" i="11"/>
  <c r="H790" i="11"/>
  <c r="H791" i="11"/>
  <c r="H793" i="11"/>
  <c r="H794" i="11"/>
  <c r="W784" i="11"/>
  <c r="W785" i="11"/>
  <c r="W786" i="11"/>
  <c r="W788" i="11"/>
  <c r="W789" i="11"/>
  <c r="W790" i="11"/>
  <c r="W791" i="11"/>
  <c r="W793" i="11"/>
  <c r="W794" i="11"/>
  <c r="W795" i="11"/>
  <c r="AD784" i="11"/>
  <c r="AD785" i="11"/>
  <c r="AD786" i="11"/>
  <c r="AD788" i="11"/>
  <c r="AD790" i="11"/>
  <c r="AD791" i="11"/>
  <c r="AD793" i="11"/>
  <c r="AD794" i="11"/>
  <c r="AS780" i="11"/>
  <c r="AS781" i="11"/>
  <c r="AS782" i="11"/>
  <c r="AS784" i="11"/>
  <c r="AS785" i="11"/>
  <c r="AS786" i="11"/>
  <c r="AS787" i="11"/>
  <c r="AS788" i="11"/>
  <c r="AS789" i="11"/>
  <c r="AS790" i="11"/>
  <c r="AS791" i="11"/>
  <c r="AS792" i="11"/>
  <c r="AS793" i="11"/>
  <c r="AS794" i="11"/>
  <c r="AS795" i="11"/>
  <c r="AT780" i="11"/>
  <c r="AG780" i="11" s="1"/>
  <c r="AT781" i="11"/>
  <c r="AG781" i="11" s="1"/>
  <c r="AT782" i="11"/>
  <c r="AG782" i="11" s="1"/>
  <c r="AT784" i="11"/>
  <c r="AG784" i="11" s="1"/>
  <c r="AT785" i="11"/>
  <c r="AG785" i="11" s="1"/>
  <c r="AT786" i="11"/>
  <c r="AT787" i="11"/>
  <c r="AE787" i="11" s="1"/>
  <c r="AT788" i="11"/>
  <c r="AG788" i="11" s="1"/>
  <c r="AT789" i="11"/>
  <c r="AG789" i="11" s="1"/>
  <c r="AT790" i="11"/>
  <c r="AT791" i="11"/>
  <c r="AG791" i="11" s="1"/>
  <c r="AT792" i="11"/>
  <c r="AT793" i="11"/>
  <c r="AT794" i="11"/>
  <c r="AG794" i="11" s="1"/>
  <c r="AT795" i="11"/>
  <c r="AG795" i="11" s="1"/>
  <c r="R752" i="11"/>
  <c r="T752" i="11" s="1"/>
  <c r="T786" i="11" l="1"/>
  <c r="AI787" i="11"/>
  <c r="AX781" i="11"/>
  <c r="BA781" i="11" s="1"/>
  <c r="BB781" i="11" s="1"/>
  <c r="AX780" i="11"/>
  <c r="BA780" i="11" s="1"/>
  <c r="BB780" i="11" s="1"/>
  <c r="AX791" i="11"/>
  <c r="BA791" i="11" s="1"/>
  <c r="BB791" i="11" s="1"/>
  <c r="AX789" i="11"/>
  <c r="BA789" i="11" s="1"/>
  <c r="BB789" i="11" s="1"/>
  <c r="AX794" i="11"/>
  <c r="BA794" i="11" s="1"/>
  <c r="BB794" i="11" s="1"/>
  <c r="AX795" i="11"/>
  <c r="BA795" i="11" s="1"/>
  <c r="BB795" i="11" s="1"/>
  <c r="AX788" i="11"/>
  <c r="BA788" i="11" s="1"/>
  <c r="BB788" i="11" s="1"/>
  <c r="AX785" i="11"/>
  <c r="BA785" i="11" s="1"/>
  <c r="BB785" i="11" s="1"/>
  <c r="AX784" i="11"/>
  <c r="BA784" i="11" s="1"/>
  <c r="BB784" i="11" s="1"/>
  <c r="AX782" i="11"/>
  <c r="BA782" i="11" s="1"/>
  <c r="BB782" i="11" s="1"/>
  <c r="AF795" i="11"/>
  <c r="AR795" i="11" s="1"/>
  <c r="AF791" i="11"/>
  <c r="AR791" i="11" s="1"/>
  <c r="AF790" i="11"/>
  <c r="AR790" i="11" s="1"/>
  <c r="AF787" i="11"/>
  <c r="AR787" i="11" s="1"/>
  <c r="AF789" i="11"/>
  <c r="AR789" i="11" s="1"/>
  <c r="AF794" i="11"/>
  <c r="AR794" i="11" s="1"/>
  <c r="AF788" i="11"/>
  <c r="AR788" i="11" s="1"/>
  <c r="AF786" i="11"/>
  <c r="AR786" i="11" s="1"/>
  <c r="AF785" i="11"/>
  <c r="AR785" i="11" s="1"/>
  <c r="AF784" i="11"/>
  <c r="AR784" i="11" s="1"/>
  <c r="AF793" i="11"/>
  <c r="AR793" i="11" s="1"/>
  <c r="AF780" i="11"/>
  <c r="AR780" i="11" s="1"/>
  <c r="AF782" i="11"/>
  <c r="AR782" i="11" s="1"/>
  <c r="AF781" i="11"/>
  <c r="AR781" i="11" s="1"/>
  <c r="AF766" i="11"/>
  <c r="AR766" i="11" s="1"/>
  <c r="AM792" i="11"/>
  <c r="AO792" i="11"/>
  <c r="AK792" i="11"/>
  <c r="AI792" i="11"/>
  <c r="AG792" i="11"/>
  <c r="U794" i="11"/>
  <c r="V794" i="11" s="1"/>
  <c r="AU794" i="11" s="1"/>
  <c r="U793" i="11"/>
  <c r="V793" i="11" s="1"/>
  <c r="AU793" i="11" s="1"/>
  <c r="U761" i="11"/>
  <c r="V761" i="11" s="1"/>
  <c r="U781" i="11"/>
  <c r="V781" i="11" s="1"/>
  <c r="AU781" i="11" s="1"/>
  <c r="AM766" i="11"/>
  <c r="AK766" i="11"/>
  <c r="AO766" i="11"/>
  <c r="AI766" i="11"/>
  <c r="AG766" i="11"/>
  <c r="U780" i="11"/>
  <c r="V780" i="11" s="1"/>
  <c r="AU780" i="11" s="1"/>
  <c r="V795" i="11"/>
  <c r="AU795" i="11" s="1"/>
  <c r="AO794" i="11"/>
  <c r="AK794" i="11"/>
  <c r="AM794" i="11"/>
  <c r="AI794" i="11"/>
  <c r="AO795" i="11"/>
  <c r="AM795" i="11"/>
  <c r="AK795" i="11"/>
  <c r="AI795" i="11"/>
  <c r="AM790" i="11"/>
  <c r="AK790" i="11"/>
  <c r="AI790" i="11"/>
  <c r="AG790" i="11"/>
  <c r="AO789" i="11"/>
  <c r="AK789" i="11"/>
  <c r="AO788" i="11"/>
  <c r="AM787" i="11"/>
  <c r="AG787" i="11"/>
  <c r="AO786" i="11"/>
  <c r="AO784" i="11"/>
  <c r="AM784" i="11"/>
  <c r="AK784" i="11"/>
  <c r="AI784" i="11"/>
  <c r="AK788" i="11"/>
  <c r="AI788" i="11"/>
  <c r="AK786" i="11"/>
  <c r="AG786" i="11"/>
  <c r="AO785" i="11"/>
  <c r="AM785" i="11"/>
  <c r="AK785" i="11"/>
  <c r="AI785" i="11"/>
  <c r="AM793" i="11"/>
  <c r="AG793" i="11"/>
  <c r="AO791" i="11"/>
  <c r="AI786" i="11"/>
  <c r="AO781" i="11"/>
  <c r="AM781" i="11"/>
  <c r="AK781" i="11"/>
  <c r="AI781" i="11"/>
  <c r="AO793" i="11"/>
  <c r="AK793" i="11"/>
  <c r="AI793" i="11"/>
  <c r="AM791" i="11"/>
  <c r="AK791" i="11"/>
  <c r="AI791" i="11"/>
  <c r="AO790" i="11"/>
  <c r="AM789" i="11"/>
  <c r="AI789" i="11"/>
  <c r="AM788" i="11"/>
  <c r="AO787" i="11"/>
  <c r="AK787" i="11"/>
  <c r="AM786" i="11"/>
  <c r="AO782" i="11"/>
  <c r="AM782" i="11"/>
  <c r="AK782" i="11"/>
  <c r="AI782" i="11"/>
  <c r="AO780" i="11"/>
  <c r="AM780" i="11"/>
  <c r="AK780" i="11"/>
  <c r="AI780" i="11"/>
  <c r="R771" i="11"/>
  <c r="T771" i="11" s="1"/>
  <c r="S764" i="11"/>
  <c r="T764" i="11" s="1"/>
  <c r="S763" i="11"/>
  <c r="T763" i="11" s="1"/>
  <c r="R645" i="11"/>
  <c r="T645" i="11" s="1"/>
  <c r="R770" i="11"/>
  <c r="T770" i="11" s="1"/>
  <c r="R772" i="11"/>
  <c r="T772" i="11" s="1"/>
  <c r="R769" i="11"/>
  <c r="T769" i="11" s="1"/>
  <c r="R767" i="11"/>
  <c r="T767" i="11" s="1"/>
  <c r="AX792" i="11" l="1"/>
  <c r="BA792" i="11" s="1"/>
  <c r="BB792" i="11" s="1"/>
  <c r="AX766" i="11"/>
  <c r="BA766" i="11" s="1"/>
  <c r="BB766" i="11" s="1"/>
  <c r="AX787" i="11"/>
  <c r="BA787" i="11" s="1"/>
  <c r="BB787" i="11" s="1"/>
  <c r="AX786" i="11"/>
  <c r="BA786" i="11" s="1"/>
  <c r="BB786" i="11" s="1"/>
  <c r="AX793" i="11"/>
  <c r="BA793" i="11" s="1"/>
  <c r="BB793" i="11" s="1"/>
  <c r="AX790" i="11"/>
  <c r="BA790" i="11" s="1"/>
  <c r="BB790" i="11" s="1"/>
  <c r="U788" i="11"/>
  <c r="V788" i="11" s="1"/>
  <c r="AU788" i="11" s="1"/>
  <c r="U782" i="11"/>
  <c r="V782" i="11" s="1"/>
  <c r="AU782" i="11" s="1"/>
  <c r="U766" i="11"/>
  <c r="V766" i="11" s="1"/>
  <c r="AU766" i="11" s="1"/>
  <c r="U789" i="11"/>
  <c r="V789" i="11" s="1"/>
  <c r="AU789" i="11" s="1"/>
  <c r="U790" i="11"/>
  <c r="V790" i="11" s="1"/>
  <c r="AU790" i="11" s="1"/>
  <c r="U791" i="11"/>
  <c r="V791" i="11" s="1"/>
  <c r="AU791" i="11" s="1"/>
  <c r="U785" i="11"/>
  <c r="V785" i="11" s="1"/>
  <c r="AU785" i="11" s="1"/>
  <c r="U786" i="11"/>
  <c r="V786" i="11" s="1"/>
  <c r="AU786" i="11" s="1"/>
  <c r="U787" i="11"/>
  <c r="V787" i="11" s="1"/>
  <c r="AU787" i="11" s="1"/>
  <c r="U784" i="11"/>
  <c r="V784" i="11" s="1"/>
  <c r="AU784" i="11" s="1"/>
  <c r="AU792" i="11"/>
  <c r="S747" i="11"/>
  <c r="S746" i="11"/>
  <c r="H765" i="11" l="1"/>
  <c r="R749" i="11" l="1"/>
  <c r="T749" i="11" s="1"/>
  <c r="H749" i="11"/>
  <c r="W749" i="11"/>
  <c r="AS749" i="11"/>
  <c r="AT749" i="11"/>
  <c r="AE749" i="11" s="1"/>
  <c r="AG749" i="11" l="1"/>
  <c r="AX749" i="11" s="1"/>
  <c r="BA749" i="11" s="1"/>
  <c r="BB749" i="11" s="1"/>
  <c r="AF749" i="11"/>
  <c r="AR749" i="11" s="1"/>
  <c r="AM749" i="11"/>
  <c r="AI749" i="11"/>
  <c r="AK749" i="11"/>
  <c r="AO749" i="11"/>
  <c r="U749" i="11" l="1"/>
  <c r="V749" i="11" s="1"/>
  <c r="AU749" i="11" s="1"/>
  <c r="R729" i="11"/>
  <c r="T729" i="11" s="1"/>
  <c r="R728" i="11"/>
  <c r="T728" i="11" s="1"/>
  <c r="R747" i="11" l="1"/>
  <c r="T747" i="11" s="1"/>
  <c r="R755" i="11" l="1"/>
  <c r="T755" i="11" s="1"/>
  <c r="R754" i="11"/>
  <c r="T754" i="11" s="1"/>
  <c r="R758" i="11" l="1"/>
  <c r="T758" i="11" s="1"/>
  <c r="R762" i="11" l="1"/>
  <c r="T762" i="11" s="1"/>
  <c r="R759" i="11"/>
  <c r="T759" i="11" s="1"/>
  <c r="R760" i="11"/>
  <c r="T760" i="11" s="1"/>
  <c r="S757" i="11" l="1"/>
  <c r="T757" i="11" s="1"/>
  <c r="R751" i="11"/>
  <c r="T751" i="11" s="1"/>
  <c r="AD753" i="11"/>
  <c r="W753" i="11"/>
  <c r="AD745" i="11"/>
  <c r="W745" i="11"/>
  <c r="AD733" i="11"/>
  <c r="W733" i="11"/>
  <c r="AF753" i="11" l="1"/>
  <c r="AR753" i="11" s="1"/>
  <c r="AF733" i="11"/>
  <c r="AR733" i="11" s="1"/>
  <c r="AF745" i="11"/>
  <c r="AR745" i="11" s="1"/>
  <c r="U753" i="11"/>
  <c r="V753" i="11" s="1"/>
  <c r="U745" i="11"/>
  <c r="V745" i="11" s="1"/>
  <c r="U733" i="11"/>
  <c r="V733" i="11" s="1"/>
  <c r="S607" i="11"/>
  <c r="T607" i="11" s="1"/>
  <c r="S612" i="11"/>
  <c r="T612" i="11" s="1"/>
  <c r="S632" i="11"/>
  <c r="T632" i="11" s="1"/>
  <c r="S630" i="11"/>
  <c r="T630" i="11" s="1"/>
  <c r="S629" i="11"/>
  <c r="T629" i="11" s="1"/>
  <c r="S626" i="11"/>
  <c r="T626" i="11" s="1"/>
  <c r="S610" i="11"/>
  <c r="T610" i="11" s="1"/>
  <c r="S608" i="11"/>
  <c r="T608" i="11" s="1"/>
  <c r="S609" i="11"/>
  <c r="T609" i="11" s="1"/>
  <c r="S606" i="11"/>
  <c r="T606" i="11" s="1"/>
  <c r="R743" i="11"/>
  <c r="T743" i="11" s="1"/>
  <c r="U760" i="11"/>
  <c r="U768" i="11"/>
  <c r="U769" i="11"/>
  <c r="U770" i="11"/>
  <c r="U771" i="11"/>
  <c r="U772" i="11"/>
  <c r="U773" i="11"/>
  <c r="U774" i="11"/>
  <c r="U775" i="11"/>
  <c r="U776" i="11"/>
  <c r="U777" i="11"/>
  <c r="U778" i="11"/>
  <c r="H742" i="11"/>
  <c r="W742" i="11"/>
  <c r="AS742" i="11"/>
  <c r="AT742" i="11"/>
  <c r="AE742" i="11" s="1"/>
  <c r="H752" i="11"/>
  <c r="H753" i="11"/>
  <c r="H754" i="11"/>
  <c r="H755" i="11"/>
  <c r="W752" i="11"/>
  <c r="W754" i="11"/>
  <c r="W755" i="11"/>
  <c r="AD752" i="11"/>
  <c r="AD754" i="11"/>
  <c r="AD755" i="11"/>
  <c r="AS752" i="11"/>
  <c r="AS753" i="11"/>
  <c r="AS754" i="11"/>
  <c r="AS755" i="11"/>
  <c r="AT752" i="11"/>
  <c r="AI752" i="11" s="1"/>
  <c r="AT753" i="11"/>
  <c r="AT754" i="11"/>
  <c r="AI754" i="11" s="1"/>
  <c r="AT755" i="11"/>
  <c r="AI755" i="11" s="1"/>
  <c r="H756" i="11"/>
  <c r="H757" i="11"/>
  <c r="H758" i="11"/>
  <c r="H759" i="11"/>
  <c r="W756" i="11"/>
  <c r="W757" i="11"/>
  <c r="W758" i="11"/>
  <c r="W759" i="11"/>
  <c r="AD756" i="11"/>
  <c r="AD757" i="11"/>
  <c r="AD758" i="11"/>
  <c r="AD759" i="11"/>
  <c r="AS756" i="11"/>
  <c r="AS757" i="11"/>
  <c r="AS758" i="11"/>
  <c r="AS759" i="11"/>
  <c r="AT756" i="11"/>
  <c r="AG756" i="11" s="1"/>
  <c r="AT757" i="11"/>
  <c r="AI757" i="11" s="1"/>
  <c r="AT758" i="11"/>
  <c r="AT759" i="11"/>
  <c r="AE759" i="11" s="1"/>
  <c r="H760" i="11"/>
  <c r="H761" i="11"/>
  <c r="H762" i="11"/>
  <c r="H763" i="11"/>
  <c r="W760" i="11"/>
  <c r="AF761" i="11"/>
  <c r="AR761" i="11" s="1"/>
  <c r="W762" i="11"/>
  <c r="W763" i="11"/>
  <c r="AD760" i="11"/>
  <c r="AD762" i="11"/>
  <c r="AD763" i="11"/>
  <c r="AS760" i="11"/>
  <c r="AS761" i="11"/>
  <c r="AS762" i="11"/>
  <c r="AS763" i="11"/>
  <c r="AT760" i="11"/>
  <c r="AE760" i="11" s="1"/>
  <c r="AT761" i="11"/>
  <c r="AG761" i="11" s="1"/>
  <c r="AT762" i="11"/>
  <c r="AI762" i="11" s="1"/>
  <c r="AT763" i="11"/>
  <c r="AG763" i="11" s="1"/>
  <c r="H764" i="11"/>
  <c r="H767" i="11"/>
  <c r="H768" i="11"/>
  <c r="W764" i="11"/>
  <c r="W765" i="11"/>
  <c r="W767" i="11"/>
  <c r="W768" i="11"/>
  <c r="AD764" i="11"/>
  <c r="AD765" i="11"/>
  <c r="AD767" i="11"/>
  <c r="AS764" i="11"/>
  <c r="AS765" i="11"/>
  <c r="AS767" i="11"/>
  <c r="AS768" i="11"/>
  <c r="AT764" i="11"/>
  <c r="AG764" i="11" s="1"/>
  <c r="AT765" i="11"/>
  <c r="AG765" i="11" s="1"/>
  <c r="AT767" i="11"/>
  <c r="AE767" i="11" s="1"/>
  <c r="AT768" i="11"/>
  <c r="AG768" i="11" s="1"/>
  <c r="H769" i="11"/>
  <c r="H770" i="11"/>
  <c r="H771" i="11"/>
  <c r="H772" i="11"/>
  <c r="W769" i="11"/>
  <c r="W770" i="11"/>
  <c r="W771" i="11"/>
  <c r="W772" i="11"/>
  <c r="AD769" i="11"/>
  <c r="AD770" i="11"/>
  <c r="AD771" i="11"/>
  <c r="AD772" i="11"/>
  <c r="AS769" i="11"/>
  <c r="AS770" i="11"/>
  <c r="AS771" i="11"/>
  <c r="AS772" i="11"/>
  <c r="AT769" i="11"/>
  <c r="AE769" i="11" s="1"/>
  <c r="AT770" i="11"/>
  <c r="AM770" i="11" s="1"/>
  <c r="AT771" i="11"/>
  <c r="AI771" i="11" s="1"/>
  <c r="AT772" i="11"/>
  <c r="AE772" i="11" s="1"/>
  <c r="H773" i="11"/>
  <c r="H774" i="11"/>
  <c r="H775" i="11"/>
  <c r="H776" i="11"/>
  <c r="W773" i="11"/>
  <c r="W774" i="11"/>
  <c r="W775" i="11"/>
  <c r="W776" i="11"/>
  <c r="AD773" i="11"/>
  <c r="AD774" i="11"/>
  <c r="AD775" i="11"/>
  <c r="AD776" i="11"/>
  <c r="AS773" i="11"/>
  <c r="AS774" i="11"/>
  <c r="AS775" i="11"/>
  <c r="AS776" i="11"/>
  <c r="AT773" i="11"/>
  <c r="AG773" i="11" s="1"/>
  <c r="AT774" i="11"/>
  <c r="AE774" i="11" s="1"/>
  <c r="AT775" i="11"/>
  <c r="AI775" i="11" s="1"/>
  <c r="AT776" i="11"/>
  <c r="AK776" i="11" s="1"/>
  <c r="H777" i="11"/>
  <c r="H778" i="11"/>
  <c r="W777" i="11"/>
  <c r="W778" i="11"/>
  <c r="AD777" i="11"/>
  <c r="AD778" i="11"/>
  <c r="AS777" i="11"/>
  <c r="AS778" i="11"/>
  <c r="AT777" i="11"/>
  <c r="AI777" i="11" s="1"/>
  <c r="AT778" i="11"/>
  <c r="AK778" i="11" s="1"/>
  <c r="H779" i="11"/>
  <c r="AS779" i="11"/>
  <c r="AT779" i="11"/>
  <c r="R682" i="11"/>
  <c r="T682" i="11" s="1"/>
  <c r="R746" i="11"/>
  <c r="T746" i="11" s="1"/>
  <c r="R744" i="11"/>
  <c r="T744" i="11" s="1"/>
  <c r="AD691" i="11"/>
  <c r="W691" i="11"/>
  <c r="AD686" i="11"/>
  <c r="W686" i="11"/>
  <c r="AD675" i="11"/>
  <c r="W675" i="11"/>
  <c r="S726" i="11"/>
  <c r="T726" i="11" s="1"/>
  <c r="R739" i="11"/>
  <c r="T739" i="11" s="1"/>
  <c r="R658" i="11"/>
  <c r="T658" i="11" s="1"/>
  <c r="R738" i="11"/>
  <c r="T738" i="11" s="1"/>
  <c r="R741" i="11"/>
  <c r="T741" i="11" s="1"/>
  <c r="R735" i="11"/>
  <c r="T735" i="11" s="1"/>
  <c r="R732" i="11"/>
  <c r="T732" i="11" s="1"/>
  <c r="R730" i="11"/>
  <c r="T730" i="11" s="1"/>
  <c r="R727" i="11"/>
  <c r="T727" i="11" s="1"/>
  <c r="S716" i="11"/>
  <c r="T716" i="11" s="1"/>
  <c r="R703" i="11"/>
  <c r="T703" i="11" s="1"/>
  <c r="R702" i="11"/>
  <c r="T702" i="11" s="1"/>
  <c r="R701" i="11"/>
  <c r="T701" i="11" s="1"/>
  <c r="S605" i="11"/>
  <c r="S515" i="11"/>
  <c r="S514" i="11"/>
  <c r="S511" i="11"/>
  <c r="S472" i="11"/>
  <c r="S462" i="11"/>
  <c r="R605" i="11"/>
  <c r="R515" i="11"/>
  <c r="R514" i="11"/>
  <c r="R511" i="11"/>
  <c r="R600" i="11"/>
  <c r="S588" i="11"/>
  <c r="S579" i="11"/>
  <c r="S600" i="11"/>
  <c r="S599" i="11"/>
  <c r="R640" i="11"/>
  <c r="T640" i="11" s="1"/>
  <c r="R599" i="11"/>
  <c r="R588" i="11"/>
  <c r="R579" i="11"/>
  <c r="T579" i="11" l="1"/>
  <c r="T514" i="11"/>
  <c r="T605" i="11"/>
  <c r="T515" i="11"/>
  <c r="T600" i="11"/>
  <c r="T599" i="11"/>
  <c r="T511" i="11"/>
  <c r="T588" i="11"/>
  <c r="AG759" i="11"/>
  <c r="AX759" i="11" s="1"/>
  <c r="BA759" i="11" s="1"/>
  <c r="BB759" i="11" s="1"/>
  <c r="AO772" i="11"/>
  <c r="AI769" i="11"/>
  <c r="AG767" i="11"/>
  <c r="AX767" i="11" s="1"/>
  <c r="BA767" i="11" s="1"/>
  <c r="BB767" i="11" s="1"/>
  <c r="AK742" i="11"/>
  <c r="AG774" i="11"/>
  <c r="AX774" i="11" s="1"/>
  <c r="BA774" i="11" s="1"/>
  <c r="BB774" i="11" s="1"/>
  <c r="AG760" i="11"/>
  <c r="AX760" i="11" s="1"/>
  <c r="BA760" i="11" s="1"/>
  <c r="BB760" i="11" s="1"/>
  <c r="AX756" i="11"/>
  <c r="BA756" i="11" s="1"/>
  <c r="BB756" i="11" s="1"/>
  <c r="AX763" i="11"/>
  <c r="BA763" i="11" s="1"/>
  <c r="BB763" i="11" s="1"/>
  <c r="AX761" i="11"/>
  <c r="BA761" i="11" s="1"/>
  <c r="BB761" i="11" s="1"/>
  <c r="AX764" i="11"/>
  <c r="BA764" i="11" s="1"/>
  <c r="BB764" i="11" s="1"/>
  <c r="AX765" i="11"/>
  <c r="BA765" i="11" s="1"/>
  <c r="BB765" i="11" s="1"/>
  <c r="AX768" i="11"/>
  <c r="BA768" i="11" s="1"/>
  <c r="BB768" i="11" s="1"/>
  <c r="AX773" i="11"/>
  <c r="BA773" i="11" s="1"/>
  <c r="BB773" i="11" s="1"/>
  <c r="AF764" i="11"/>
  <c r="AR764" i="11" s="1"/>
  <c r="AF775" i="11"/>
  <c r="AR775" i="11" s="1"/>
  <c r="AF769" i="11"/>
  <c r="AR769" i="11" s="1"/>
  <c r="AF765" i="11"/>
  <c r="AR765" i="11" s="1"/>
  <c r="AF770" i="11"/>
  <c r="AR770" i="11" s="1"/>
  <c r="AF774" i="11"/>
  <c r="AR774" i="11" s="1"/>
  <c r="AF675" i="11"/>
  <c r="AR675" i="11" s="1"/>
  <c r="AF768" i="11"/>
  <c r="AR768" i="11" s="1"/>
  <c r="AF771" i="11"/>
  <c r="AR771" i="11" s="1"/>
  <c r="AF773" i="11"/>
  <c r="AR773" i="11" s="1"/>
  <c r="AF755" i="11"/>
  <c r="AR755" i="11" s="1"/>
  <c r="AF686" i="11"/>
  <c r="AR686" i="11" s="1"/>
  <c r="AF754" i="11"/>
  <c r="AR754" i="11" s="1"/>
  <c r="AF759" i="11"/>
  <c r="AR759" i="11" s="1"/>
  <c r="AF752" i="11"/>
  <c r="AR752" i="11" s="1"/>
  <c r="AF758" i="11"/>
  <c r="AR758" i="11" s="1"/>
  <c r="AF767" i="11"/>
  <c r="AR767" i="11" s="1"/>
  <c r="AF691" i="11"/>
  <c r="AR691" i="11" s="1"/>
  <c r="AF778" i="11"/>
  <c r="AR778" i="11" s="1"/>
  <c r="AF763" i="11"/>
  <c r="AR763" i="11" s="1"/>
  <c r="AF757" i="11"/>
  <c r="AR757" i="11" s="1"/>
  <c r="AF772" i="11"/>
  <c r="AR772" i="11" s="1"/>
  <c r="AF777" i="11"/>
  <c r="AR777" i="11" s="1"/>
  <c r="AF762" i="11"/>
  <c r="AR762" i="11" s="1"/>
  <c r="AF756" i="11"/>
  <c r="AR756" i="11" s="1"/>
  <c r="AF760" i="11"/>
  <c r="AR760" i="11" s="1"/>
  <c r="AF776" i="11"/>
  <c r="AR776" i="11" s="1"/>
  <c r="AF742" i="11"/>
  <c r="AR742" i="11" s="1"/>
  <c r="AO779" i="11"/>
  <c r="AM779" i="11"/>
  <c r="AK779" i="11"/>
  <c r="AI779" i="11"/>
  <c r="AG779" i="11"/>
  <c r="U767" i="11"/>
  <c r="V767" i="11" s="1"/>
  <c r="V771" i="11"/>
  <c r="AU771" i="11" s="1"/>
  <c r="U752" i="11"/>
  <c r="V752" i="11" s="1"/>
  <c r="AU752" i="11" s="1"/>
  <c r="V769" i="11"/>
  <c r="U765" i="11"/>
  <c r="V765" i="11" s="1"/>
  <c r="AU765" i="11" s="1"/>
  <c r="U764" i="11"/>
  <c r="V764" i="11" s="1"/>
  <c r="AU764" i="11" s="1"/>
  <c r="U742" i="11"/>
  <c r="V742" i="11" s="1"/>
  <c r="U763" i="11"/>
  <c r="V763" i="11" s="1"/>
  <c r="AU763" i="11" s="1"/>
  <c r="U762" i="11"/>
  <c r="V762" i="11" s="1"/>
  <c r="AU762" i="11" s="1"/>
  <c r="V778" i="11"/>
  <c r="AU778" i="11" s="1"/>
  <c r="V776" i="11"/>
  <c r="AU776" i="11" s="1"/>
  <c r="U758" i="11"/>
  <c r="V758" i="11" s="1"/>
  <c r="AU758" i="11" s="1"/>
  <c r="U757" i="11"/>
  <c r="V757" i="11" s="1"/>
  <c r="AU757" i="11" s="1"/>
  <c r="U759" i="11"/>
  <c r="V759" i="11" s="1"/>
  <c r="V775" i="11"/>
  <c r="AU775" i="11" s="1"/>
  <c r="U756" i="11"/>
  <c r="U755" i="11"/>
  <c r="V755" i="11" s="1"/>
  <c r="AU755" i="11" s="1"/>
  <c r="U754" i="11"/>
  <c r="V754" i="11" s="1"/>
  <c r="AU754" i="11" s="1"/>
  <c r="AO753" i="11"/>
  <c r="AM753" i="11"/>
  <c r="AK753" i="11"/>
  <c r="AI753" i="11"/>
  <c r="AG753" i="11"/>
  <c r="AI742" i="11"/>
  <c r="AG742" i="11"/>
  <c r="AO742" i="11"/>
  <c r="AU753" i="11"/>
  <c r="AM742" i="11"/>
  <c r="AI759" i="11"/>
  <c r="AI761" i="11"/>
  <c r="AI763" i="11"/>
  <c r="AK755" i="11"/>
  <c r="AK754" i="11"/>
  <c r="AM755" i="11"/>
  <c r="AG755" i="11"/>
  <c r="AM754" i="11"/>
  <c r="AG754" i="11"/>
  <c r="AO770" i="11"/>
  <c r="AO759" i="11"/>
  <c r="AM752" i="11"/>
  <c r="AG752" i="11"/>
  <c r="AO756" i="11"/>
  <c r="AO755" i="11"/>
  <c r="AM768" i="11"/>
  <c r="AK757" i="11"/>
  <c r="AO754" i="11"/>
  <c r="AK752" i="11"/>
  <c r="AI756" i="11"/>
  <c r="AO752" i="11"/>
  <c r="AK759" i="11"/>
  <c r="AK756" i="11"/>
  <c r="AO763" i="11"/>
  <c r="AM759" i="11"/>
  <c r="AO761" i="11"/>
  <c r="AM758" i="11"/>
  <c r="AG758" i="11"/>
  <c r="AI768" i="11"/>
  <c r="AO760" i="11"/>
  <c r="AM757" i="11"/>
  <c r="AG757" i="11"/>
  <c r="AI767" i="11"/>
  <c r="AM760" i="11"/>
  <c r="AM756" i="11"/>
  <c r="AI765" i="11"/>
  <c r="AK758" i="11"/>
  <c r="AI764" i="11"/>
  <c r="AO758" i="11"/>
  <c r="AI758" i="11"/>
  <c r="AI760" i="11"/>
  <c r="AO757" i="11"/>
  <c r="AO778" i="11"/>
  <c r="AK763" i="11"/>
  <c r="AM772" i="11"/>
  <c r="AK761" i="11"/>
  <c r="AU761" i="11"/>
  <c r="AI772" i="11"/>
  <c r="AO768" i="11"/>
  <c r="AK760" i="11"/>
  <c r="V760" i="11"/>
  <c r="AI770" i="11"/>
  <c r="AO767" i="11"/>
  <c r="AM763" i="11"/>
  <c r="AK762" i="11"/>
  <c r="AG772" i="11"/>
  <c r="AO765" i="11"/>
  <c r="AM762" i="11"/>
  <c r="AG762" i="11"/>
  <c r="AG770" i="11"/>
  <c r="AO764" i="11"/>
  <c r="AM761" i="11"/>
  <c r="AO762" i="11"/>
  <c r="AK768" i="11"/>
  <c r="V768" i="11"/>
  <c r="AU768" i="11" s="1"/>
  <c r="AK767" i="11"/>
  <c r="AK765" i="11"/>
  <c r="AK764" i="11"/>
  <c r="V772" i="11"/>
  <c r="AM767" i="11"/>
  <c r="AM765" i="11"/>
  <c r="AO774" i="11"/>
  <c r="AM764" i="11"/>
  <c r="AO773" i="11"/>
  <c r="AI773" i="11"/>
  <c r="AK772" i="11"/>
  <c r="AK771" i="11"/>
  <c r="AK770" i="11"/>
  <c r="V770" i="11"/>
  <c r="AU770" i="11" s="1"/>
  <c r="AM771" i="11"/>
  <c r="AG771" i="11"/>
  <c r="AK769" i="11"/>
  <c r="AM774" i="11"/>
  <c r="AM773" i="11"/>
  <c r="AM769" i="11"/>
  <c r="AG769" i="11"/>
  <c r="AI774" i="11"/>
  <c r="AO771" i="11"/>
  <c r="AO769" i="11"/>
  <c r="AK775" i="11"/>
  <c r="AI778" i="11"/>
  <c r="AK774" i="11"/>
  <c r="V774" i="11"/>
  <c r="AK773" i="11"/>
  <c r="V773" i="11"/>
  <c r="AU773" i="11" s="1"/>
  <c r="AM776" i="11"/>
  <c r="AG776" i="11"/>
  <c r="AM775" i="11"/>
  <c r="AG775" i="11"/>
  <c r="AO776" i="11"/>
  <c r="AI776" i="11"/>
  <c r="V777" i="11"/>
  <c r="AU777" i="11" s="1"/>
  <c r="AO775" i="11"/>
  <c r="AM778" i="11"/>
  <c r="AG778" i="11"/>
  <c r="AM777" i="11"/>
  <c r="AG777" i="11"/>
  <c r="AK777" i="11"/>
  <c r="AO777" i="11"/>
  <c r="AU779" i="11"/>
  <c r="U691" i="11"/>
  <c r="U686" i="11"/>
  <c r="U675" i="11"/>
  <c r="AX770" i="11" l="1"/>
  <c r="BA770" i="11" s="1"/>
  <c r="BB770" i="11" s="1"/>
  <c r="AX758" i="11"/>
  <c r="BA758" i="11" s="1"/>
  <c r="BB758" i="11" s="1"/>
  <c r="AX752" i="11"/>
  <c r="BA752" i="11" s="1"/>
  <c r="BB752" i="11" s="1"/>
  <c r="AX762" i="11"/>
  <c r="BA762" i="11" s="1"/>
  <c r="BB762" i="11" s="1"/>
  <c r="AX778" i="11"/>
  <c r="BA778" i="11" s="1"/>
  <c r="BB778" i="11" s="1"/>
  <c r="AX753" i="11"/>
  <c r="BA753" i="11" s="1"/>
  <c r="BB753" i="11" s="1"/>
  <c r="AX769" i="11"/>
  <c r="BA769" i="11" s="1"/>
  <c r="BB769" i="11" s="1"/>
  <c r="AX772" i="11"/>
  <c r="BA772" i="11" s="1"/>
  <c r="BB772" i="11" s="1"/>
  <c r="AX779" i="11"/>
  <c r="BA779" i="11" s="1"/>
  <c r="BB779" i="11" s="1"/>
  <c r="AX777" i="11"/>
  <c r="BA777" i="11" s="1"/>
  <c r="BB777" i="11" s="1"/>
  <c r="AX742" i="11"/>
  <c r="BA742" i="11" s="1"/>
  <c r="BB742" i="11" s="1"/>
  <c r="AX755" i="11"/>
  <c r="BA755" i="11" s="1"/>
  <c r="BB755" i="11" s="1"/>
  <c r="AX771" i="11"/>
  <c r="BA771" i="11" s="1"/>
  <c r="BB771" i="11" s="1"/>
  <c r="AX775" i="11"/>
  <c r="BA775" i="11" s="1"/>
  <c r="BB775" i="11" s="1"/>
  <c r="AX776" i="11"/>
  <c r="BA776" i="11" s="1"/>
  <c r="BB776" i="11" s="1"/>
  <c r="AX757" i="11"/>
  <c r="BA757" i="11" s="1"/>
  <c r="BB757" i="11" s="1"/>
  <c r="AX754" i="11"/>
  <c r="BA754" i="11" s="1"/>
  <c r="BB754" i="11" s="1"/>
  <c r="AU769" i="11"/>
  <c r="AU742" i="11"/>
  <c r="V756" i="11"/>
  <c r="AU756" i="11" s="1"/>
  <c r="AU774" i="11"/>
  <c r="AU772" i="11"/>
  <c r="AU767" i="11"/>
  <c r="AU759" i="11"/>
  <c r="AU760" i="11"/>
  <c r="V675" i="11"/>
  <c r="V686" i="11"/>
  <c r="V691" i="11"/>
  <c r="H740" i="11" l="1"/>
  <c r="H741" i="11"/>
  <c r="U740" i="11"/>
  <c r="U741" i="11"/>
  <c r="W740" i="11"/>
  <c r="W741" i="11"/>
  <c r="AD740" i="11"/>
  <c r="AS740" i="11"/>
  <c r="AS741" i="11"/>
  <c r="AT740" i="11"/>
  <c r="AM740" i="11" s="1"/>
  <c r="AT741" i="11"/>
  <c r="AE741" i="11" s="1"/>
  <c r="AI741" i="11" l="1"/>
  <c r="AF740" i="11"/>
  <c r="AR740" i="11" s="1"/>
  <c r="AF741" i="11"/>
  <c r="AR741" i="11" s="1"/>
  <c r="AI740" i="11"/>
  <c r="AG741" i="11"/>
  <c r="AG740" i="11"/>
  <c r="AO741" i="11"/>
  <c r="AK741" i="11"/>
  <c r="AO740" i="11"/>
  <c r="AK740" i="11"/>
  <c r="V741" i="11"/>
  <c r="V740" i="11"/>
  <c r="AU740" i="11" s="1"/>
  <c r="AM741" i="11"/>
  <c r="S646" i="11"/>
  <c r="T646" i="11" l="1"/>
  <c r="AX740" i="11"/>
  <c r="BA740" i="11" s="1"/>
  <c r="BB740" i="11" s="1"/>
  <c r="AX741" i="11"/>
  <c r="BA741" i="11" s="1"/>
  <c r="BB741" i="11" s="1"/>
  <c r="AU741" i="11"/>
  <c r="R721" i="11"/>
  <c r="T721" i="11" s="1"/>
  <c r="R705" i="11"/>
  <c r="T705" i="11" s="1"/>
  <c r="R700" i="11"/>
  <c r="T700" i="11" s="1"/>
  <c r="R674" i="11"/>
  <c r="T674" i="11" s="1"/>
  <c r="R668" i="11"/>
  <c r="T668" i="11" s="1"/>
  <c r="R654" i="11"/>
  <c r="T654" i="11" s="1"/>
  <c r="R685" i="11"/>
  <c r="T685" i="11" s="1"/>
  <c r="R734" i="11"/>
  <c r="T734" i="11" s="1"/>
  <c r="R723" i="11"/>
  <c r="T723" i="11" s="1"/>
  <c r="S707" i="11"/>
  <c r="T707" i="11" s="1"/>
  <c r="S694" i="11"/>
  <c r="T694" i="11" s="1"/>
  <c r="S684" i="11"/>
  <c r="T684" i="11" s="1"/>
  <c r="S677" i="11"/>
  <c r="T677" i="11" s="1"/>
  <c r="S666" i="11"/>
  <c r="T666" i="11" s="1"/>
  <c r="S655" i="11"/>
  <c r="T655" i="11" s="1"/>
  <c r="S643" i="11"/>
  <c r="T643" i="11" s="1"/>
  <c r="S637" i="11"/>
  <c r="T637" i="11" s="1"/>
  <c r="S622" i="11"/>
  <c r="T622" i="11" s="1"/>
  <c r="S602" i="11"/>
  <c r="T602" i="11" s="1"/>
  <c r="S589" i="11"/>
  <c r="T589" i="11" s="1"/>
  <c r="S582" i="11"/>
  <c r="T582" i="11" s="1"/>
  <c r="S574" i="11"/>
  <c r="T574" i="11" s="1"/>
  <c r="S560" i="11"/>
  <c r="T560" i="11" s="1"/>
  <c r="S549" i="11"/>
  <c r="T549" i="11" s="1"/>
  <c r="S540" i="11"/>
  <c r="T540" i="11" s="1"/>
  <c r="S531" i="11"/>
  <c r="T531" i="11" s="1"/>
  <c r="S512" i="11"/>
  <c r="T512" i="11" s="1"/>
  <c r="S499" i="11"/>
  <c r="T499" i="11" s="1"/>
  <c r="S487" i="11"/>
  <c r="T487" i="11" s="1"/>
  <c r="S473" i="11"/>
  <c r="T473" i="11" s="1"/>
  <c r="S465" i="11"/>
  <c r="T465" i="11" s="1"/>
  <c r="S453" i="11"/>
  <c r="T453" i="11" s="1"/>
  <c r="S439" i="11"/>
  <c r="T439" i="11" s="1"/>
  <c r="S429" i="11"/>
  <c r="T429" i="11" s="1"/>
  <c r="S412" i="11"/>
  <c r="T412" i="11" s="1"/>
  <c r="AT735" i="11"/>
  <c r="AE735" i="11" s="1"/>
  <c r="AS735" i="11"/>
  <c r="W735" i="11"/>
  <c r="U735" i="11"/>
  <c r="H735" i="11"/>
  <c r="S711" i="11"/>
  <c r="S690" i="11"/>
  <c r="AD711" i="11"/>
  <c r="R711" i="11"/>
  <c r="R690" i="11"/>
  <c r="R715" i="11"/>
  <c r="T715" i="11" s="1"/>
  <c r="T690" i="11" l="1"/>
  <c r="T711" i="11"/>
  <c r="AO735" i="11"/>
  <c r="AF735" i="11"/>
  <c r="AR735" i="11" s="1"/>
  <c r="AI735" i="11"/>
  <c r="AK735" i="11"/>
  <c r="AM735" i="11"/>
  <c r="V735" i="11"/>
  <c r="AG735" i="11"/>
  <c r="S719" i="11"/>
  <c r="T719" i="11" s="1"/>
  <c r="H719" i="11"/>
  <c r="W719" i="11"/>
  <c r="AD719" i="11"/>
  <c r="AS719" i="11"/>
  <c r="AT719" i="11"/>
  <c r="AE719" i="11" s="1"/>
  <c r="AO719" i="11" l="1"/>
  <c r="AX735" i="11"/>
  <c r="BA735" i="11" s="1"/>
  <c r="BB735" i="11" s="1"/>
  <c r="AF719" i="11"/>
  <c r="AR719" i="11" s="1"/>
  <c r="AU735" i="11"/>
  <c r="AM719" i="11"/>
  <c r="AK719" i="11"/>
  <c r="AI719" i="11"/>
  <c r="AG719" i="11"/>
  <c r="R718" i="11"/>
  <c r="T718" i="11" s="1"/>
  <c r="U705" i="11"/>
  <c r="U721" i="11"/>
  <c r="R717" i="11"/>
  <c r="T717" i="11" s="1"/>
  <c r="AX719" i="11" l="1"/>
  <c r="BA719" i="11" s="1"/>
  <c r="BB719" i="11" s="1"/>
  <c r="U719" i="11"/>
  <c r="V719" i="11" s="1"/>
  <c r="AU719" i="11" s="1"/>
  <c r="S679" i="11"/>
  <c r="T679" i="11" s="1"/>
  <c r="S678" i="11"/>
  <c r="T678" i="11" s="1"/>
  <c r="R671" i="11"/>
  <c r="T671" i="11" s="1"/>
  <c r="R670" i="11"/>
  <c r="T670" i="11" s="1"/>
  <c r="R659" i="11"/>
  <c r="T659" i="11" s="1"/>
  <c r="S652" i="11"/>
  <c r="T652" i="11" s="1"/>
  <c r="S651" i="11"/>
  <c r="T651" i="11" s="1"/>
  <c r="S650" i="11"/>
  <c r="T650" i="11" s="1"/>
  <c r="U649" i="11" l="1"/>
  <c r="V649" i="11" s="1"/>
  <c r="S663" i="11"/>
  <c r="R663" i="11"/>
  <c r="R704" i="11"/>
  <c r="T704" i="11" s="1"/>
  <c r="R647" i="11"/>
  <c r="T647" i="11" s="1"/>
  <c r="R672" i="11"/>
  <c r="T672" i="11" s="1"/>
  <c r="R631" i="11"/>
  <c r="T631" i="11" s="1"/>
  <c r="R698" i="11"/>
  <c r="T698" i="11" s="1"/>
  <c r="R697" i="11"/>
  <c r="T697" i="11" s="1"/>
  <c r="R624" i="11"/>
  <c r="T624" i="11" s="1"/>
  <c r="R590" i="11"/>
  <c r="T590" i="11" s="1"/>
  <c r="T713" i="11"/>
  <c r="S712" i="11"/>
  <c r="T712" i="11" s="1"/>
  <c r="R708" i="11"/>
  <c r="T708" i="11" s="1"/>
  <c r="R669" i="11"/>
  <c r="T669" i="11" s="1"/>
  <c r="R709" i="11"/>
  <c r="T709" i="11" s="1"/>
  <c r="R665" i="11"/>
  <c r="T665" i="11" s="1"/>
  <c r="R636" i="11"/>
  <c r="T636" i="11" s="1"/>
  <c r="R591" i="11"/>
  <c r="T591" i="11" s="1"/>
  <c r="U700" i="11"/>
  <c r="U685" i="11"/>
  <c r="R673" i="11"/>
  <c r="T673" i="11" s="1"/>
  <c r="R676" i="11"/>
  <c r="T676" i="11" s="1"/>
  <c r="R688" i="11"/>
  <c r="T688" i="11" s="1"/>
  <c r="R681" i="11"/>
  <c r="T681" i="11" s="1"/>
  <c r="R667" i="11"/>
  <c r="T667" i="11" s="1"/>
  <c r="R644" i="11"/>
  <c r="T644" i="11" s="1"/>
  <c r="R638" i="11"/>
  <c r="T638" i="11" s="1"/>
  <c r="R623" i="11"/>
  <c r="T623" i="11" s="1"/>
  <c r="R603" i="11"/>
  <c r="T603" i="11" s="1"/>
  <c r="S696" i="11"/>
  <c r="T696" i="11" s="1"/>
  <c r="H704" i="11"/>
  <c r="W704" i="11"/>
  <c r="AD704" i="11"/>
  <c r="AS704" i="11"/>
  <c r="AT704" i="11"/>
  <c r="AE704" i="11" s="1"/>
  <c r="T663" i="11" l="1"/>
  <c r="AK704" i="11"/>
  <c r="U704" i="11"/>
  <c r="U713" i="11"/>
  <c r="AF704" i="11"/>
  <c r="AR704" i="11" s="1"/>
  <c r="U708" i="11"/>
  <c r="U697" i="11"/>
  <c r="AM704" i="11"/>
  <c r="AI704" i="11"/>
  <c r="AG704" i="11"/>
  <c r="AO704" i="11"/>
  <c r="H697" i="11"/>
  <c r="H698" i="11"/>
  <c r="H699" i="11"/>
  <c r="H700" i="11"/>
  <c r="H701" i="11"/>
  <c r="H702" i="11"/>
  <c r="H703" i="11"/>
  <c r="H705" i="11"/>
  <c r="U701" i="11"/>
  <c r="U702" i="11"/>
  <c r="U703" i="11"/>
  <c r="V705" i="11"/>
  <c r="W697" i="11"/>
  <c r="W698" i="11"/>
  <c r="W699" i="11"/>
  <c r="W700" i="11"/>
  <c r="W701" i="11"/>
  <c r="W702" i="11"/>
  <c r="W703" i="11"/>
  <c r="W705" i="11"/>
  <c r="AD697" i="11"/>
  <c r="AD698" i="11"/>
  <c r="AD699" i="11"/>
  <c r="AD700" i="11"/>
  <c r="AD701" i="11"/>
  <c r="AD702" i="11"/>
  <c r="AD703" i="11"/>
  <c r="AD705" i="11"/>
  <c r="AS697" i="11"/>
  <c r="AS698" i="11"/>
  <c r="AS699" i="11"/>
  <c r="AS700" i="11"/>
  <c r="AS701" i="11"/>
  <c r="AS702" i="11"/>
  <c r="AS703" i="11"/>
  <c r="AS705" i="11"/>
  <c r="AT697" i="11"/>
  <c r="AE697" i="11" s="1"/>
  <c r="AT698" i="11"/>
  <c r="AE698" i="11" s="1"/>
  <c r="AT699" i="11"/>
  <c r="AI699" i="11" s="1"/>
  <c r="AT700" i="11"/>
  <c r="AI700" i="11" s="1"/>
  <c r="AT701" i="11"/>
  <c r="AI701" i="11" s="1"/>
  <c r="AT702" i="11"/>
  <c r="AO702" i="11" s="1"/>
  <c r="AT703" i="11"/>
  <c r="AI703" i="11" s="1"/>
  <c r="AT705" i="11"/>
  <c r="AG705" i="11" s="1"/>
  <c r="H706" i="11"/>
  <c r="H707" i="11"/>
  <c r="H708" i="11"/>
  <c r="H709" i="11"/>
  <c r="H710" i="11"/>
  <c r="H711" i="11"/>
  <c r="H712" i="11"/>
  <c r="H713" i="11"/>
  <c r="U707" i="11"/>
  <c r="U710" i="11"/>
  <c r="U711" i="11"/>
  <c r="W706" i="11"/>
  <c r="W707" i="11"/>
  <c r="W708" i="11"/>
  <c r="W709" i="11"/>
  <c r="W710" i="11"/>
  <c r="W711" i="11"/>
  <c r="W712" i="11"/>
  <c r="W713" i="11"/>
  <c r="AD706" i="11"/>
  <c r="AD707" i="11"/>
  <c r="AD708" i="11"/>
  <c r="AD709" i="11"/>
  <c r="AD710" i="11"/>
  <c r="AD712" i="11"/>
  <c r="AD713" i="11"/>
  <c r="AS706" i="11"/>
  <c r="AS707" i="11"/>
  <c r="AS708" i="11"/>
  <c r="AS709" i="11"/>
  <c r="AS710" i="11"/>
  <c r="AS711" i="11"/>
  <c r="AS712" i="11"/>
  <c r="AS713" i="11"/>
  <c r="AT706" i="11"/>
  <c r="AI706" i="11" s="1"/>
  <c r="AT707" i="11"/>
  <c r="AI707" i="11" s="1"/>
  <c r="AT708" i="11"/>
  <c r="AE708" i="11" s="1"/>
  <c r="AT709" i="11"/>
  <c r="AE709" i="11" s="1"/>
  <c r="AT710" i="11"/>
  <c r="AG710" i="11" s="1"/>
  <c r="AT711" i="11"/>
  <c r="AG711" i="11" s="1"/>
  <c r="AT712" i="11"/>
  <c r="AE712" i="11" s="1"/>
  <c r="AT713" i="11"/>
  <c r="AE713" i="11" s="1"/>
  <c r="H714" i="11"/>
  <c r="H715" i="11"/>
  <c r="H716" i="11"/>
  <c r="H718" i="11"/>
  <c r="H717" i="11"/>
  <c r="H720" i="11"/>
  <c r="H721" i="11"/>
  <c r="H722" i="11"/>
  <c r="U715" i="11"/>
  <c r="U717" i="11"/>
  <c r="U720" i="11"/>
  <c r="U722" i="11"/>
  <c r="W714" i="11"/>
  <c r="W715" i="11"/>
  <c r="W716" i="11"/>
  <c r="W718" i="11"/>
  <c r="W717" i="11"/>
  <c r="W720" i="11"/>
  <c r="W721" i="11"/>
  <c r="W722" i="11"/>
  <c r="AD714" i="11"/>
  <c r="AD716" i="11"/>
  <c r="AD718" i="11"/>
  <c r="AD717" i="11"/>
  <c r="AD720" i="11"/>
  <c r="AD721" i="11"/>
  <c r="AD722" i="11"/>
  <c r="AS714" i="11"/>
  <c r="AS715" i="11"/>
  <c r="AS716" i="11"/>
  <c r="AS718" i="11"/>
  <c r="AS717" i="11"/>
  <c r="AS720" i="11"/>
  <c r="AS721" i="11"/>
  <c r="AS722" i="11"/>
  <c r="AT714" i="11"/>
  <c r="AI714" i="11" s="1"/>
  <c r="AT715" i="11"/>
  <c r="AI715" i="11" s="1"/>
  <c r="AT716" i="11"/>
  <c r="AI716" i="11" s="1"/>
  <c r="AT718" i="11"/>
  <c r="AI718" i="11" s="1"/>
  <c r="AT717" i="11"/>
  <c r="AM717" i="11" s="1"/>
  <c r="AT720" i="11"/>
  <c r="AG720" i="11" s="1"/>
  <c r="AT721" i="11"/>
  <c r="AI721" i="11" s="1"/>
  <c r="AT722" i="11"/>
  <c r="AG722" i="11" s="1"/>
  <c r="H723" i="11"/>
  <c r="H724" i="11"/>
  <c r="H725" i="11"/>
  <c r="H726" i="11"/>
  <c r="H727" i="11"/>
  <c r="H728" i="11"/>
  <c r="H729" i="11"/>
  <c r="H730" i="11"/>
  <c r="U725" i="11"/>
  <c r="U726" i="11"/>
  <c r="U727" i="11"/>
  <c r="U728" i="11"/>
  <c r="U730" i="11"/>
  <c r="W723" i="11"/>
  <c r="W724" i="11"/>
  <c r="W725" i="11"/>
  <c r="W726" i="11"/>
  <c r="W727" i="11"/>
  <c r="W728" i="11"/>
  <c r="W729" i="11"/>
  <c r="W730" i="11"/>
  <c r="AD723" i="11"/>
  <c r="AD724" i="11"/>
  <c r="AD725" i="11"/>
  <c r="AD726" i="11"/>
  <c r="AD728" i="11"/>
  <c r="AD729" i="11"/>
  <c r="AD730" i="11"/>
  <c r="AS723" i="11"/>
  <c r="AS724" i="11"/>
  <c r="AS725" i="11"/>
  <c r="AS726" i="11"/>
  <c r="AS727" i="11"/>
  <c r="AS728" i="11"/>
  <c r="AS729" i="11"/>
  <c r="AS730" i="11"/>
  <c r="AT723" i="11"/>
  <c r="AI723" i="11" s="1"/>
  <c r="AT724" i="11"/>
  <c r="AI724" i="11" s="1"/>
  <c r="AT725" i="11"/>
  <c r="AI725" i="11" s="1"/>
  <c r="AT726" i="11"/>
  <c r="AI726" i="11" s="1"/>
  <c r="AT727" i="11"/>
  <c r="AO727" i="11" s="1"/>
  <c r="AT728" i="11"/>
  <c r="AM728" i="11" s="1"/>
  <c r="AT729" i="11"/>
  <c r="AG729" i="11" s="1"/>
  <c r="AT730" i="11"/>
  <c r="AE730" i="11" s="1"/>
  <c r="H731" i="11"/>
  <c r="H732" i="11"/>
  <c r="H733" i="11"/>
  <c r="H734" i="11"/>
  <c r="H736" i="11"/>
  <c r="H737" i="11"/>
  <c r="H738" i="11"/>
  <c r="H739" i="11"/>
  <c r="U732" i="11"/>
  <c r="U736" i="11"/>
  <c r="U737" i="11"/>
  <c r="U738" i="11"/>
  <c r="U739" i="11"/>
  <c r="W731" i="11"/>
  <c r="W732" i="11"/>
  <c r="W734" i="11"/>
  <c r="W736" i="11"/>
  <c r="W737" i="11"/>
  <c r="W738" i="11"/>
  <c r="W739" i="11"/>
  <c r="AD731" i="11"/>
  <c r="AD732" i="11"/>
  <c r="AD734" i="11"/>
  <c r="AD736" i="11"/>
  <c r="AD737" i="11"/>
  <c r="AD738" i="11"/>
  <c r="AD739" i="11"/>
  <c r="AS731" i="11"/>
  <c r="AS732" i="11"/>
  <c r="AS733" i="11"/>
  <c r="AS734" i="11"/>
  <c r="AS736" i="11"/>
  <c r="AS737" i="11"/>
  <c r="AS738" i="11"/>
  <c r="AS739" i="11"/>
  <c r="AT731" i="11"/>
  <c r="AI731" i="11" s="1"/>
  <c r="AT732" i="11"/>
  <c r="AE732" i="11" s="1"/>
  <c r="AT733" i="11"/>
  <c r="AT734" i="11"/>
  <c r="AM734" i="11" s="1"/>
  <c r="AT736" i="11"/>
  <c r="AI736" i="11" s="1"/>
  <c r="AT737" i="11"/>
  <c r="AG737" i="11" s="1"/>
  <c r="AT738" i="11"/>
  <c r="AI738" i="11" s="1"/>
  <c r="AT739" i="11"/>
  <c r="AG739" i="11" s="1"/>
  <c r="H743" i="11"/>
  <c r="H744" i="11"/>
  <c r="H745" i="11"/>
  <c r="H746" i="11"/>
  <c r="U743" i="11"/>
  <c r="U744" i="11"/>
  <c r="U746" i="11"/>
  <c r="W744" i="11"/>
  <c r="W746" i="11"/>
  <c r="AD743" i="11"/>
  <c r="AD744" i="11"/>
  <c r="AD746" i="11"/>
  <c r="AS743" i="11"/>
  <c r="AS744" i="11"/>
  <c r="AS745" i="11"/>
  <c r="AS746" i="11"/>
  <c r="AT743" i="11"/>
  <c r="AE743" i="11" s="1"/>
  <c r="AT744" i="11"/>
  <c r="AI744" i="11" s="1"/>
  <c r="AT745" i="11"/>
  <c r="AT746" i="11"/>
  <c r="AI746" i="11" s="1"/>
  <c r="H747" i="11"/>
  <c r="H748" i="11"/>
  <c r="U747" i="11"/>
  <c r="U748" i="11"/>
  <c r="W747" i="11"/>
  <c r="W748" i="11"/>
  <c r="AD747" i="11"/>
  <c r="AD748" i="11"/>
  <c r="AS747" i="11"/>
  <c r="AS748" i="11"/>
  <c r="AT747" i="11"/>
  <c r="AK747" i="11" s="1"/>
  <c r="AT748" i="11"/>
  <c r="AO748" i="11" s="1"/>
  <c r="H750" i="11"/>
  <c r="U750" i="11"/>
  <c r="W750" i="11"/>
  <c r="AS750" i="11"/>
  <c r="AT750" i="11"/>
  <c r="AK750" i="11" s="1"/>
  <c r="H751" i="11"/>
  <c r="U751" i="11"/>
  <c r="W751" i="11"/>
  <c r="AD751" i="11"/>
  <c r="AS751" i="11"/>
  <c r="AT751" i="11"/>
  <c r="AI751" i="11" s="1"/>
  <c r="AG713" i="11" l="1"/>
  <c r="AX713" i="11" s="1"/>
  <c r="BA713" i="11" s="1"/>
  <c r="BB713" i="11" s="1"/>
  <c r="AI709" i="11"/>
  <c r="AG730" i="11"/>
  <c r="AX730" i="11" s="1"/>
  <c r="BA730" i="11" s="1"/>
  <c r="BB730" i="11" s="1"/>
  <c r="AI732" i="11"/>
  <c r="AM743" i="11"/>
  <c r="AM712" i="11"/>
  <c r="AI698" i="11"/>
  <c r="AI697" i="11"/>
  <c r="AI708" i="11"/>
  <c r="AX705" i="11"/>
  <c r="BA705" i="11" s="1"/>
  <c r="BB705" i="11" s="1"/>
  <c r="AX739" i="11"/>
  <c r="BA739" i="11" s="1"/>
  <c r="BB739" i="11" s="1"/>
  <c r="AX729" i="11"/>
  <c r="BA729" i="11" s="1"/>
  <c r="BB729" i="11" s="1"/>
  <c r="AX737" i="11"/>
  <c r="BA737" i="11" s="1"/>
  <c r="BB737" i="11" s="1"/>
  <c r="AX720" i="11"/>
  <c r="BA720" i="11" s="1"/>
  <c r="BB720" i="11" s="1"/>
  <c r="AX711" i="11"/>
  <c r="BA711" i="11" s="1"/>
  <c r="BB711" i="11" s="1"/>
  <c r="AX722" i="11"/>
  <c r="BA722" i="11" s="1"/>
  <c r="BB722" i="11" s="1"/>
  <c r="AX710" i="11"/>
  <c r="BA710" i="11" s="1"/>
  <c r="BB710" i="11" s="1"/>
  <c r="AX704" i="11"/>
  <c r="BA704" i="11" s="1"/>
  <c r="BB704" i="11" s="1"/>
  <c r="U712" i="11"/>
  <c r="V712" i="11" s="1"/>
  <c r="AF714" i="11"/>
  <c r="AR714" i="11" s="1"/>
  <c r="AF698" i="11"/>
  <c r="AR698" i="11" s="1"/>
  <c r="AF697" i="11"/>
  <c r="AR697" i="11" s="1"/>
  <c r="AF747" i="11"/>
  <c r="AR747" i="11" s="1"/>
  <c r="AF710" i="11"/>
  <c r="AR710" i="11" s="1"/>
  <c r="AF702" i="11"/>
  <c r="AR702" i="11" s="1"/>
  <c r="AF715" i="11"/>
  <c r="AR715" i="11" s="1"/>
  <c r="AF737" i="11"/>
  <c r="AR737" i="11" s="1"/>
  <c r="AF729" i="11"/>
  <c r="AR729" i="11" s="1"/>
  <c r="AF751" i="11"/>
  <c r="AR751" i="11" s="1"/>
  <c r="AF727" i="11"/>
  <c r="AR727" i="11" s="1"/>
  <c r="AF711" i="11"/>
  <c r="AR711" i="11" s="1"/>
  <c r="AF725" i="11"/>
  <c r="AR725" i="11" s="1"/>
  <c r="AF709" i="11"/>
  <c r="AR709" i="11" s="1"/>
  <c r="AF713" i="11"/>
  <c r="AR713" i="11" s="1"/>
  <c r="AF731" i="11"/>
  <c r="AR731" i="11" s="1"/>
  <c r="AF721" i="11"/>
  <c r="AR721" i="11" s="1"/>
  <c r="AF708" i="11"/>
  <c r="AR708" i="11" s="1"/>
  <c r="AF748" i="11"/>
  <c r="AR748" i="11" s="1"/>
  <c r="AF700" i="11"/>
  <c r="AR700" i="11" s="1"/>
  <c r="AF744" i="11"/>
  <c r="AR744" i="11" s="1"/>
  <c r="AF712" i="11"/>
  <c r="AR712" i="11" s="1"/>
  <c r="AF724" i="11"/>
  <c r="AR724" i="11" s="1"/>
  <c r="AF723" i="11"/>
  <c r="AR723" i="11" s="1"/>
  <c r="AF720" i="11"/>
  <c r="AR720" i="11" s="1"/>
  <c r="AF707" i="11"/>
  <c r="AR707" i="11" s="1"/>
  <c r="AF703" i="11"/>
  <c r="AR703" i="11" s="1"/>
  <c r="AF750" i="11"/>
  <c r="AR750" i="11" s="1"/>
  <c r="AF738" i="11"/>
  <c r="AR738" i="11" s="1"/>
  <c r="AF739" i="11"/>
  <c r="AR739" i="11" s="1"/>
  <c r="AF726" i="11"/>
  <c r="AR726" i="11" s="1"/>
  <c r="AF716" i="11"/>
  <c r="AR716" i="11" s="1"/>
  <c r="AF722" i="11"/>
  <c r="AR722" i="11" s="1"/>
  <c r="AF743" i="11"/>
  <c r="AR743" i="11" s="1"/>
  <c r="AF732" i="11"/>
  <c r="AR732" i="11" s="1"/>
  <c r="AF730" i="11"/>
  <c r="AR730" i="11" s="1"/>
  <c r="V738" i="11"/>
  <c r="AU738" i="11" s="1"/>
  <c r="V732" i="11"/>
  <c r="V730" i="11"/>
  <c r="AF734" i="11"/>
  <c r="AR734" i="11" s="1"/>
  <c r="AO745" i="11"/>
  <c r="AM745" i="11"/>
  <c r="AK745" i="11"/>
  <c r="AI745" i="11"/>
  <c r="AG745" i="11"/>
  <c r="AO733" i="11"/>
  <c r="AM733" i="11"/>
  <c r="AK733" i="11"/>
  <c r="AI733" i="11"/>
  <c r="AG733" i="11"/>
  <c r="V697" i="11"/>
  <c r="V713" i="11"/>
  <c r="V725" i="11"/>
  <c r="AU725" i="11" s="1"/>
  <c r="V708" i="11"/>
  <c r="V704" i="11"/>
  <c r="AU704" i="11" s="1"/>
  <c r="V726" i="11"/>
  <c r="AU726" i="11" s="1"/>
  <c r="V722" i="11"/>
  <c r="AU722" i="11" s="1"/>
  <c r="AF746" i="11"/>
  <c r="AR746" i="11" s="1"/>
  <c r="AF736" i="11"/>
  <c r="AR736" i="11" s="1"/>
  <c r="AF728" i="11"/>
  <c r="AR728" i="11" s="1"/>
  <c r="AF705" i="11"/>
  <c r="AR705" i="11" s="1"/>
  <c r="AF701" i="11"/>
  <c r="AR701" i="11" s="1"/>
  <c r="AF718" i="11"/>
  <c r="AR718" i="11" s="1"/>
  <c r="AF717" i="11"/>
  <c r="AR717" i="11" s="1"/>
  <c r="AF706" i="11"/>
  <c r="AR706" i="11" s="1"/>
  <c r="AF699" i="11"/>
  <c r="AR699" i="11" s="1"/>
  <c r="AU705" i="11"/>
  <c r="AI712" i="11"/>
  <c r="AI710" i="11"/>
  <c r="AM702" i="11"/>
  <c r="AI702" i="11"/>
  <c r="AO712" i="11"/>
  <c r="AG703" i="11"/>
  <c r="AG701" i="11"/>
  <c r="AG702" i="11"/>
  <c r="AM727" i="11"/>
  <c r="AG728" i="11"/>
  <c r="AO703" i="11"/>
  <c r="AG743" i="11"/>
  <c r="AO700" i="11"/>
  <c r="AM700" i="11"/>
  <c r="AM737" i="11"/>
  <c r="AG718" i="11"/>
  <c r="AO701" i="11"/>
  <c r="AG700" i="11"/>
  <c r="AM703" i="11"/>
  <c r="AM701" i="11"/>
  <c r="V703" i="11"/>
  <c r="AU703" i="11" s="1"/>
  <c r="V702" i="11"/>
  <c r="AU702" i="11" s="1"/>
  <c r="V701" i="11"/>
  <c r="AU701" i="11" s="1"/>
  <c r="V700" i="11"/>
  <c r="AU700" i="11" s="1"/>
  <c r="AO721" i="11"/>
  <c r="AG712" i="11"/>
  <c r="V711" i="11"/>
  <c r="AU711" i="11" s="1"/>
  <c r="AM699" i="11"/>
  <c r="AK703" i="11"/>
  <c r="AG699" i="11"/>
  <c r="U699" i="11"/>
  <c r="AM715" i="11"/>
  <c r="AG709" i="11"/>
  <c r="V707" i="11"/>
  <c r="AU707" i="11" s="1"/>
  <c r="AM698" i="11"/>
  <c r="AK702" i="11"/>
  <c r="AG698" i="11"/>
  <c r="U698" i="11"/>
  <c r="AK705" i="11"/>
  <c r="AI717" i="11"/>
  <c r="AG707" i="11"/>
  <c r="AM697" i="11"/>
  <c r="AK701" i="11"/>
  <c r="AG697" i="11"/>
  <c r="AG721" i="11"/>
  <c r="AO705" i="11"/>
  <c r="AK700" i="11"/>
  <c r="AI705" i="11"/>
  <c r="AK699" i="11"/>
  <c r="AM725" i="11"/>
  <c r="AO710" i="11"/>
  <c r="U709" i="11"/>
  <c r="AK698" i="11"/>
  <c r="AK697" i="11"/>
  <c r="AM710" i="11"/>
  <c r="AM705" i="11"/>
  <c r="AM709" i="11"/>
  <c r="AO699" i="11"/>
  <c r="AM707" i="11"/>
  <c r="AO698" i="11"/>
  <c r="V710" i="11"/>
  <c r="AU710" i="11" s="1"/>
  <c r="AO697" i="11"/>
  <c r="AK713" i="11"/>
  <c r="AI728" i="11"/>
  <c r="AG717" i="11"/>
  <c r="V720" i="11"/>
  <c r="AU720" i="11" s="1"/>
  <c r="AM708" i="11"/>
  <c r="AK712" i="11"/>
  <c r="AG708" i="11"/>
  <c r="AG725" i="11"/>
  <c r="AO717" i="11"/>
  <c r="AG715" i="11"/>
  <c r="AM706" i="11"/>
  <c r="AK710" i="11"/>
  <c r="AG706" i="11"/>
  <c r="U706" i="11"/>
  <c r="AO736" i="11"/>
  <c r="AO718" i="11"/>
  <c r="AO713" i="11"/>
  <c r="AK709" i="11"/>
  <c r="AI713" i="11"/>
  <c r="AO716" i="11"/>
  <c r="AK708" i="11"/>
  <c r="AK711" i="11"/>
  <c r="AM721" i="11"/>
  <c r="U718" i="11"/>
  <c r="AO711" i="11"/>
  <c r="AK707" i="11"/>
  <c r="AI711" i="11"/>
  <c r="AG736" i="11"/>
  <c r="AK706" i="11"/>
  <c r="AM718" i="11"/>
  <c r="AO709" i="11"/>
  <c r="AM713" i="11"/>
  <c r="V715" i="11"/>
  <c r="AU715" i="11" s="1"/>
  <c r="AO708" i="11"/>
  <c r="V721" i="11"/>
  <c r="AU721" i="11" s="1"/>
  <c r="AO728" i="11"/>
  <c r="AO707" i="11"/>
  <c r="AM711" i="11"/>
  <c r="V717" i="11"/>
  <c r="AU717" i="11" s="1"/>
  <c r="AO706" i="11"/>
  <c r="AK722" i="11"/>
  <c r="AM736" i="11"/>
  <c r="AI727" i="11"/>
  <c r="AM716" i="11"/>
  <c r="AK721" i="11"/>
  <c r="AG716" i="11"/>
  <c r="U716" i="11"/>
  <c r="AK720" i="11"/>
  <c r="AI737" i="11"/>
  <c r="V739" i="11"/>
  <c r="AU739" i="11" s="1"/>
  <c r="AG727" i="11"/>
  <c r="U729" i="11"/>
  <c r="AM714" i="11"/>
  <c r="AK717" i="11"/>
  <c r="AG714" i="11"/>
  <c r="U714" i="11"/>
  <c r="AG726" i="11"/>
  <c r="AO722" i="11"/>
  <c r="AK718" i="11"/>
  <c r="AI722" i="11"/>
  <c r="AK716" i="11"/>
  <c r="AI734" i="11"/>
  <c r="AO720" i="11"/>
  <c r="AK715" i="11"/>
  <c r="AI720" i="11"/>
  <c r="AO723" i="11"/>
  <c r="AK714" i="11"/>
  <c r="AM722" i="11"/>
  <c r="AO737" i="11"/>
  <c r="AM726" i="11"/>
  <c r="V728" i="11"/>
  <c r="AU728" i="11" s="1"/>
  <c r="AO715" i="11"/>
  <c r="AM720" i="11"/>
  <c r="V727" i="11"/>
  <c r="AU727" i="11" s="1"/>
  <c r="AO714" i="11"/>
  <c r="AK729" i="11"/>
  <c r="AO734" i="11"/>
  <c r="AG738" i="11"/>
  <c r="AM724" i="11"/>
  <c r="AK728" i="11"/>
  <c r="AG724" i="11"/>
  <c r="U724" i="11"/>
  <c r="AM723" i="11"/>
  <c r="AK727" i="11"/>
  <c r="AG723" i="11"/>
  <c r="U723" i="11"/>
  <c r="AM739" i="11"/>
  <c r="AO730" i="11"/>
  <c r="AK726" i="11"/>
  <c r="AI730" i="11"/>
  <c r="AO746" i="11"/>
  <c r="AM738" i="11"/>
  <c r="AG734" i="11"/>
  <c r="AO729" i="11"/>
  <c r="AK725" i="11"/>
  <c r="AI729" i="11"/>
  <c r="AK724" i="11"/>
  <c r="V736" i="11"/>
  <c r="AU736" i="11" s="1"/>
  <c r="AK723" i="11"/>
  <c r="AK730" i="11"/>
  <c r="AO744" i="11"/>
  <c r="AO743" i="11"/>
  <c r="AO726" i="11"/>
  <c r="AM730" i="11"/>
  <c r="U734" i="11"/>
  <c r="AI743" i="11"/>
  <c r="AO725" i="11"/>
  <c r="AM729" i="11"/>
  <c r="AG744" i="11"/>
  <c r="AO724" i="11"/>
  <c r="AU733" i="11"/>
  <c r="AM732" i="11"/>
  <c r="AK737" i="11"/>
  <c r="AG732" i="11"/>
  <c r="V737" i="11"/>
  <c r="AU737" i="11" s="1"/>
  <c r="AK738" i="11"/>
  <c r="AM731" i="11"/>
  <c r="AK736" i="11"/>
  <c r="AG731" i="11"/>
  <c r="U731" i="11"/>
  <c r="AO731" i="11"/>
  <c r="AK739" i="11"/>
  <c r="AO739" i="11"/>
  <c r="AK734" i="11"/>
  <c r="AI739" i="11"/>
  <c r="AM744" i="11"/>
  <c r="AO738" i="11"/>
  <c r="AK732" i="11"/>
  <c r="AK731" i="11"/>
  <c r="AO732" i="11"/>
  <c r="AO747" i="11"/>
  <c r="AK746" i="11"/>
  <c r="V746" i="11"/>
  <c r="AU746" i="11" s="1"/>
  <c r="AM748" i="11"/>
  <c r="AI748" i="11"/>
  <c r="AK744" i="11"/>
  <c r="V744" i="11"/>
  <c r="AU744" i="11" s="1"/>
  <c r="AI747" i="11"/>
  <c r="AK743" i="11"/>
  <c r="V743" i="11"/>
  <c r="V748" i="11"/>
  <c r="AU748" i="11" s="1"/>
  <c r="AU745" i="11"/>
  <c r="AG748" i="11"/>
  <c r="AM746" i="11"/>
  <c r="AG746" i="11"/>
  <c r="V747" i="11"/>
  <c r="AU747" i="11" s="1"/>
  <c r="AM747" i="11"/>
  <c r="AG747" i="11"/>
  <c r="AK748" i="11"/>
  <c r="AI750" i="11"/>
  <c r="AG750" i="11"/>
  <c r="V750" i="11"/>
  <c r="AU750" i="11" s="1"/>
  <c r="AM750" i="11"/>
  <c r="AM751" i="11"/>
  <c r="AO750" i="11"/>
  <c r="AG751" i="11"/>
  <c r="AO751" i="11"/>
  <c r="V751" i="11"/>
  <c r="AU751" i="11" s="1"/>
  <c r="AK751" i="11"/>
  <c r="H672" i="11"/>
  <c r="U672" i="11"/>
  <c r="W672" i="11"/>
  <c r="AD672" i="11"/>
  <c r="AS672" i="11"/>
  <c r="AT672" i="11"/>
  <c r="AE672" i="11" s="1"/>
  <c r="H663" i="11"/>
  <c r="U663" i="11"/>
  <c r="W663" i="11"/>
  <c r="AD663" i="11"/>
  <c r="AS663" i="11"/>
  <c r="AT663" i="11"/>
  <c r="AE663" i="11" s="1"/>
  <c r="H660" i="11"/>
  <c r="H661" i="11"/>
  <c r="H662" i="11"/>
  <c r="U660" i="11"/>
  <c r="U661" i="11"/>
  <c r="U662" i="11"/>
  <c r="W660" i="11"/>
  <c r="W661" i="11"/>
  <c r="W662" i="11"/>
  <c r="AD660" i="11"/>
  <c r="AD661" i="11"/>
  <c r="AD662" i="11"/>
  <c r="AS660" i="11"/>
  <c r="AS661" i="11"/>
  <c r="AS662" i="11"/>
  <c r="AT660" i="11"/>
  <c r="AT661" i="11"/>
  <c r="AT662" i="11"/>
  <c r="H646" i="11"/>
  <c r="H647" i="11"/>
  <c r="U646" i="11"/>
  <c r="U647" i="11"/>
  <c r="W646" i="11"/>
  <c r="W647" i="11"/>
  <c r="AD646" i="11"/>
  <c r="AD647" i="11"/>
  <c r="AS646" i="11"/>
  <c r="AS647" i="11"/>
  <c r="AT646" i="11"/>
  <c r="AT647" i="11"/>
  <c r="AE647" i="11" s="1"/>
  <c r="H677" i="11"/>
  <c r="H678" i="11"/>
  <c r="H679" i="11"/>
  <c r="H680" i="11"/>
  <c r="U677" i="11"/>
  <c r="U678" i="11"/>
  <c r="U679" i="11"/>
  <c r="U680" i="11"/>
  <c r="W677" i="11"/>
  <c r="W678" i="11"/>
  <c r="W679" i="11"/>
  <c r="W680" i="11"/>
  <c r="AD677" i="11"/>
  <c r="AD678" i="11"/>
  <c r="AD680" i="11"/>
  <c r="AS677" i="11"/>
  <c r="AS678" i="11"/>
  <c r="AS679" i="11"/>
  <c r="AS680" i="11"/>
  <c r="AT677" i="11"/>
  <c r="AT678" i="11"/>
  <c r="AT679" i="11"/>
  <c r="AT680" i="11"/>
  <c r="H681" i="11"/>
  <c r="H682" i="11"/>
  <c r="H683" i="11"/>
  <c r="H684" i="11"/>
  <c r="U681" i="11"/>
  <c r="U682" i="11"/>
  <c r="U683" i="11"/>
  <c r="U684" i="11"/>
  <c r="W681" i="11"/>
  <c r="W682" i="11"/>
  <c r="W683" i="11"/>
  <c r="W684" i="11"/>
  <c r="AD682" i="11"/>
  <c r="AD683" i="11"/>
  <c r="AD684" i="11"/>
  <c r="AS681" i="11"/>
  <c r="AS682" i="11"/>
  <c r="AS683" i="11"/>
  <c r="AS684" i="11"/>
  <c r="AT681" i="11"/>
  <c r="AT682" i="11"/>
  <c r="AT683" i="11"/>
  <c r="AT684" i="11"/>
  <c r="H685" i="11"/>
  <c r="H686" i="11"/>
  <c r="H687" i="11"/>
  <c r="H688" i="11"/>
  <c r="V685" i="11"/>
  <c r="U687" i="11"/>
  <c r="U688" i="11"/>
  <c r="W685" i="11"/>
  <c r="W687" i="11"/>
  <c r="W688" i="11"/>
  <c r="AD685" i="11"/>
  <c r="AD687" i="11"/>
  <c r="AS685" i="11"/>
  <c r="AS686" i="11"/>
  <c r="AS687" i="11"/>
  <c r="AS688" i="11"/>
  <c r="AT685" i="11"/>
  <c r="AT686" i="11"/>
  <c r="AT687" i="11"/>
  <c r="AT688" i="11"/>
  <c r="H689" i="11"/>
  <c r="H690" i="11"/>
  <c r="H691" i="11"/>
  <c r="H692" i="11"/>
  <c r="U689" i="11"/>
  <c r="U690" i="11"/>
  <c r="U692" i="11"/>
  <c r="W689" i="11"/>
  <c r="W690" i="11"/>
  <c r="W692" i="11"/>
  <c r="AD689" i="11"/>
  <c r="AD690" i="11"/>
  <c r="AD692" i="11"/>
  <c r="AS689" i="11"/>
  <c r="AS690" i="11"/>
  <c r="AS691" i="11"/>
  <c r="AS692" i="11"/>
  <c r="AT689" i="11"/>
  <c r="AT690" i="11"/>
  <c r="AT691" i="11"/>
  <c r="AT692" i="11"/>
  <c r="H693" i="11"/>
  <c r="H694" i="11"/>
  <c r="U693" i="11"/>
  <c r="U694" i="11"/>
  <c r="W693" i="11"/>
  <c r="W694" i="11"/>
  <c r="AD693" i="11"/>
  <c r="AD694" i="11"/>
  <c r="AS693" i="11"/>
  <c r="AS694" i="11"/>
  <c r="AT693" i="11"/>
  <c r="AT694" i="11"/>
  <c r="H695" i="11"/>
  <c r="AS695" i="11"/>
  <c r="AT695" i="11"/>
  <c r="H696" i="11"/>
  <c r="U696" i="11"/>
  <c r="W696" i="11"/>
  <c r="AD696" i="11"/>
  <c r="AS696" i="11"/>
  <c r="AT696" i="11"/>
  <c r="S252" i="11"/>
  <c r="R252" i="11"/>
  <c r="H659" i="11"/>
  <c r="H664" i="11"/>
  <c r="H665" i="11"/>
  <c r="H666" i="11"/>
  <c r="H667" i="11"/>
  <c r="U659" i="11"/>
  <c r="U664" i="11"/>
  <c r="U665" i="11"/>
  <c r="U666" i="11"/>
  <c r="U667" i="11"/>
  <c r="W659" i="11"/>
  <c r="W664" i="11"/>
  <c r="W665" i="11"/>
  <c r="W666" i="11"/>
  <c r="W667" i="11"/>
  <c r="AD659" i="11"/>
  <c r="AD664" i="11"/>
  <c r="AD665" i="11"/>
  <c r="AD666" i="11"/>
  <c r="AS659" i="11"/>
  <c r="AS664" i="11"/>
  <c r="AS665" i="11"/>
  <c r="AS666" i="11"/>
  <c r="AS667" i="11"/>
  <c r="AT659" i="11"/>
  <c r="AT664" i="11"/>
  <c r="AT665" i="11"/>
  <c r="AE665" i="11" s="1"/>
  <c r="AT666" i="11"/>
  <c r="AT667" i="11"/>
  <c r="H668" i="11"/>
  <c r="H669" i="11"/>
  <c r="H670" i="11"/>
  <c r="H671" i="11"/>
  <c r="H673" i="11"/>
  <c r="U668" i="11"/>
  <c r="U669" i="11"/>
  <c r="U670" i="11"/>
  <c r="U671" i="11"/>
  <c r="U673" i="11"/>
  <c r="W668" i="11"/>
  <c r="W669" i="11"/>
  <c r="W670" i="11"/>
  <c r="W671" i="11"/>
  <c r="W673" i="11"/>
  <c r="AD668" i="11"/>
  <c r="AD669" i="11"/>
  <c r="AD670" i="11"/>
  <c r="AD671" i="11"/>
  <c r="AD673" i="11"/>
  <c r="AS668" i="11"/>
  <c r="AS669" i="11"/>
  <c r="AS670" i="11"/>
  <c r="AS671" i="11"/>
  <c r="AS673" i="11"/>
  <c r="AT668" i="11"/>
  <c r="AT669" i="11"/>
  <c r="AE669" i="11" s="1"/>
  <c r="AT670" i="11"/>
  <c r="AT671" i="11"/>
  <c r="AT673" i="11"/>
  <c r="H674" i="11"/>
  <c r="H675" i="11"/>
  <c r="U674" i="11"/>
  <c r="W674" i="11"/>
  <c r="AD674" i="11"/>
  <c r="AS674" i="11"/>
  <c r="AS675" i="11"/>
  <c r="AT674" i="11"/>
  <c r="AT675" i="11"/>
  <c r="H676" i="11"/>
  <c r="U676" i="11"/>
  <c r="W676" i="11"/>
  <c r="AD676" i="11"/>
  <c r="AS676" i="11"/>
  <c r="AT676" i="11"/>
  <c r="S478" i="11"/>
  <c r="R641" i="11"/>
  <c r="T641" i="11" s="1"/>
  <c r="R635" i="11"/>
  <c r="T635" i="11" s="1"/>
  <c r="U648" i="11"/>
  <c r="U651" i="11"/>
  <c r="U652" i="11"/>
  <c r="U654" i="11"/>
  <c r="U638" i="11"/>
  <c r="R633" i="11"/>
  <c r="T633" i="11" s="1"/>
  <c r="S619" i="11"/>
  <c r="T619" i="11" s="1"/>
  <c r="W633" i="11"/>
  <c r="S639" i="11"/>
  <c r="T639" i="11" s="1"/>
  <c r="AD634" i="11"/>
  <c r="W634" i="11"/>
  <c r="H619" i="11"/>
  <c r="H631" i="11"/>
  <c r="W619" i="11"/>
  <c r="W631" i="11"/>
  <c r="AD619" i="11"/>
  <c r="AD631" i="11"/>
  <c r="AS619" i="11"/>
  <c r="AS631" i="11"/>
  <c r="AT619" i="11"/>
  <c r="AE619" i="11" s="1"/>
  <c r="AT631" i="11"/>
  <c r="AE631" i="11" s="1"/>
  <c r="H638" i="11"/>
  <c r="H639" i="11"/>
  <c r="H640" i="11"/>
  <c r="H641" i="11"/>
  <c r="H642" i="11"/>
  <c r="H643" i="11"/>
  <c r="H644" i="11"/>
  <c r="H645" i="11"/>
  <c r="H648" i="11"/>
  <c r="W638" i="11"/>
  <c r="W639" i="11"/>
  <c r="W640" i="11"/>
  <c r="W641" i="11"/>
  <c r="W643" i="11"/>
  <c r="W644" i="11"/>
  <c r="W645" i="11"/>
  <c r="W648" i="11"/>
  <c r="AD639" i="11"/>
  <c r="AD640" i="11"/>
  <c r="AD641" i="11"/>
  <c r="AD643" i="11"/>
  <c r="AD645" i="11"/>
  <c r="AD648" i="11"/>
  <c r="AS638" i="11"/>
  <c r="AS639" i="11"/>
  <c r="AS640" i="11"/>
  <c r="AS641" i="11"/>
  <c r="AS642" i="11"/>
  <c r="AS643" i="11"/>
  <c r="AS644" i="11"/>
  <c r="AS645" i="11"/>
  <c r="AS648" i="11"/>
  <c r="AT638" i="11"/>
  <c r="AT639" i="11"/>
  <c r="AT640" i="11"/>
  <c r="AT641" i="11"/>
  <c r="AT642" i="11"/>
  <c r="AT643" i="11"/>
  <c r="AT644" i="11"/>
  <c r="AT645" i="11"/>
  <c r="AT648" i="11"/>
  <c r="H649" i="11"/>
  <c r="H650" i="11"/>
  <c r="H651" i="11"/>
  <c r="H652" i="11"/>
  <c r="H653" i="11"/>
  <c r="H654" i="11"/>
  <c r="H655" i="11"/>
  <c r="H656" i="11"/>
  <c r="H657" i="11"/>
  <c r="W649" i="11"/>
  <c r="W650" i="11"/>
  <c r="W651" i="11"/>
  <c r="W652" i="11"/>
  <c r="W654" i="11"/>
  <c r="W655" i="11"/>
  <c r="W656" i="11"/>
  <c r="W657" i="11"/>
  <c r="AD649" i="11"/>
  <c r="AD650" i="11"/>
  <c r="AD651" i="11"/>
  <c r="AD652" i="11"/>
  <c r="AD654" i="11"/>
  <c r="AD655" i="11"/>
  <c r="AD656" i="11"/>
  <c r="AD657" i="11"/>
  <c r="AS649" i="11"/>
  <c r="AS650" i="11"/>
  <c r="AS651" i="11"/>
  <c r="AS652" i="11"/>
  <c r="AS653" i="11"/>
  <c r="AS654" i="11"/>
  <c r="AS655" i="11"/>
  <c r="AS656" i="11"/>
  <c r="AS657" i="11"/>
  <c r="AT649" i="11"/>
  <c r="AT650" i="11"/>
  <c r="AT651" i="11"/>
  <c r="AT652" i="11"/>
  <c r="AT653" i="11"/>
  <c r="AT654" i="11"/>
  <c r="AT655" i="11"/>
  <c r="AT656" i="11"/>
  <c r="AT657" i="11"/>
  <c r="H624" i="11"/>
  <c r="H625" i="11"/>
  <c r="H626" i="11"/>
  <c r="H627" i="11"/>
  <c r="H628" i="11"/>
  <c r="H629" i="11"/>
  <c r="H630" i="11"/>
  <c r="W624" i="11"/>
  <c r="W625" i="11"/>
  <c r="W626" i="11"/>
  <c r="W627" i="11"/>
  <c r="W628" i="11"/>
  <c r="W629" i="11"/>
  <c r="W630" i="11"/>
  <c r="AD624" i="11"/>
  <c r="AD625" i="11"/>
  <c r="AD626" i="11"/>
  <c r="AD627" i="11"/>
  <c r="AD628" i="11"/>
  <c r="AD629" i="11"/>
  <c r="AD630" i="11"/>
  <c r="AS624" i="11"/>
  <c r="AS625" i="11"/>
  <c r="AS626" i="11"/>
  <c r="AS627" i="11"/>
  <c r="AS628" i="11"/>
  <c r="AS629" i="11"/>
  <c r="AS630" i="11"/>
  <c r="AT624" i="11"/>
  <c r="AE624" i="11" s="1"/>
  <c r="AT625" i="11"/>
  <c r="AT626" i="11"/>
  <c r="AT627" i="11"/>
  <c r="AT628" i="11"/>
  <c r="AT629" i="11"/>
  <c r="AT630" i="11"/>
  <c r="R580" i="11"/>
  <c r="T580" i="11" s="1"/>
  <c r="S597" i="11"/>
  <c r="T597" i="11" s="1"/>
  <c r="S595" i="11"/>
  <c r="T595" i="11" s="1"/>
  <c r="S617" i="11"/>
  <c r="T617" i="11" s="1"/>
  <c r="S616" i="11"/>
  <c r="T616" i="11" s="1"/>
  <c r="R620" i="11"/>
  <c r="T620" i="11" s="1"/>
  <c r="S613" i="11"/>
  <c r="T613" i="11" s="1"/>
  <c r="R604" i="11"/>
  <c r="T604" i="11" s="1"/>
  <c r="AD621" i="11"/>
  <c r="W621" i="11"/>
  <c r="AD596" i="11"/>
  <c r="W596" i="11"/>
  <c r="W615" i="11"/>
  <c r="W616" i="11"/>
  <c r="W617" i="11"/>
  <c r="W620" i="11"/>
  <c r="W622" i="11"/>
  <c r="W623" i="11"/>
  <c r="W632" i="11"/>
  <c r="W635" i="11"/>
  <c r="W636" i="11"/>
  <c r="W637" i="11"/>
  <c r="W658" i="11"/>
  <c r="H616" i="11"/>
  <c r="H617" i="11"/>
  <c r="H618" i="11"/>
  <c r="H620" i="11"/>
  <c r="H621" i="11"/>
  <c r="H622" i="11"/>
  <c r="H623" i="11"/>
  <c r="AD616" i="11"/>
  <c r="AD620" i="11"/>
  <c r="AD622" i="11"/>
  <c r="AS616" i="11"/>
  <c r="AS617" i="11"/>
  <c r="AS618" i="11"/>
  <c r="AS620" i="11"/>
  <c r="AS621" i="11"/>
  <c r="AS622" i="11"/>
  <c r="AS623" i="11"/>
  <c r="AT616" i="11"/>
  <c r="AT617" i="11"/>
  <c r="AT618" i="11"/>
  <c r="AT620" i="11"/>
  <c r="AT621" i="11"/>
  <c r="AT622" i="11"/>
  <c r="AT623" i="11"/>
  <c r="H632" i="11"/>
  <c r="H633" i="11"/>
  <c r="H634" i="11"/>
  <c r="H635" i="11"/>
  <c r="H636" i="11"/>
  <c r="H637" i="11"/>
  <c r="H658" i="11"/>
  <c r="AD632" i="11"/>
  <c r="AD633" i="11"/>
  <c r="AD635" i="11"/>
  <c r="AD636" i="11"/>
  <c r="AD637" i="11"/>
  <c r="AD658" i="11"/>
  <c r="AS632" i="11"/>
  <c r="AS633" i="11"/>
  <c r="AS634" i="11"/>
  <c r="AS635" i="11"/>
  <c r="AS636" i="11"/>
  <c r="AS637" i="11"/>
  <c r="AS658" i="11"/>
  <c r="AT632" i="11"/>
  <c r="AT633" i="11"/>
  <c r="AE633" i="11" s="1"/>
  <c r="AT634" i="11"/>
  <c r="AT635" i="11"/>
  <c r="AT636" i="11"/>
  <c r="AE636" i="11" s="1"/>
  <c r="AT637" i="11"/>
  <c r="AT658" i="11"/>
  <c r="S442" i="11"/>
  <c r="S437" i="11"/>
  <c r="T252" i="11" l="1"/>
  <c r="AX723" i="11"/>
  <c r="BA723" i="11" s="1"/>
  <c r="BB723" i="11" s="1"/>
  <c r="AX747" i="11"/>
  <c r="BA747" i="11" s="1"/>
  <c r="BB747" i="11" s="1"/>
  <c r="AX725" i="11"/>
  <c r="BA725" i="11" s="1"/>
  <c r="BB725" i="11" s="1"/>
  <c r="AX718" i="11"/>
  <c r="BA718" i="11" s="1"/>
  <c r="BB718" i="11" s="1"/>
  <c r="AX708" i="11"/>
  <c r="BA708" i="11" s="1"/>
  <c r="BB708" i="11" s="1"/>
  <c r="AX746" i="11"/>
  <c r="BA746" i="11" s="1"/>
  <c r="BB746" i="11" s="1"/>
  <c r="AX724" i="11"/>
  <c r="BA724" i="11" s="1"/>
  <c r="BB724" i="11" s="1"/>
  <c r="AX698" i="11"/>
  <c r="BA698" i="11" s="1"/>
  <c r="BB698" i="11" s="1"/>
  <c r="AX728" i="11"/>
  <c r="BA728" i="11" s="1"/>
  <c r="BB728" i="11" s="1"/>
  <c r="AX736" i="11"/>
  <c r="BA736" i="11" s="1"/>
  <c r="BB736" i="11" s="1"/>
  <c r="AX750" i="11"/>
  <c r="BA750" i="11" s="1"/>
  <c r="BB750" i="11" s="1"/>
  <c r="AX714" i="11"/>
  <c r="BA714" i="11" s="1"/>
  <c r="BB714" i="11" s="1"/>
  <c r="AX712" i="11"/>
  <c r="BA712" i="11" s="1"/>
  <c r="BB712" i="11" s="1"/>
  <c r="AX743" i="11"/>
  <c r="BA743" i="11" s="1"/>
  <c r="BB743" i="11" s="1"/>
  <c r="AX727" i="11"/>
  <c r="BA727" i="11" s="1"/>
  <c r="BB727" i="11" s="1"/>
  <c r="AX717" i="11"/>
  <c r="BA717" i="11" s="1"/>
  <c r="BB717" i="11" s="1"/>
  <c r="AX733" i="11"/>
  <c r="BA733" i="11" s="1"/>
  <c r="BB733" i="11" s="1"/>
  <c r="AX738" i="11"/>
  <c r="BA738" i="11" s="1"/>
  <c r="BB738" i="11" s="1"/>
  <c r="AX702" i="11"/>
  <c r="BA702" i="11" s="1"/>
  <c r="BB702" i="11" s="1"/>
  <c r="AX697" i="11"/>
  <c r="BA697" i="11" s="1"/>
  <c r="BB697" i="11" s="1"/>
  <c r="AX731" i="11"/>
  <c r="BA731" i="11" s="1"/>
  <c r="BB731" i="11" s="1"/>
  <c r="AX707" i="11"/>
  <c r="BA707" i="11" s="1"/>
  <c r="BB707" i="11" s="1"/>
  <c r="AX732" i="11"/>
  <c r="BA732" i="11" s="1"/>
  <c r="BB732" i="11" s="1"/>
  <c r="AX744" i="11"/>
  <c r="BA744" i="11" s="1"/>
  <c r="BB744" i="11" s="1"/>
  <c r="AX734" i="11"/>
  <c r="BA734" i="11" s="1"/>
  <c r="BB734" i="11" s="1"/>
  <c r="AX716" i="11"/>
  <c r="BA716" i="11" s="1"/>
  <c r="BB716" i="11" s="1"/>
  <c r="AX701" i="11"/>
  <c r="BA701" i="11" s="1"/>
  <c r="BB701" i="11" s="1"/>
  <c r="AX699" i="11"/>
  <c r="BA699" i="11" s="1"/>
  <c r="BB699" i="11" s="1"/>
  <c r="AX726" i="11"/>
  <c r="BA726" i="11" s="1"/>
  <c r="BB726" i="11" s="1"/>
  <c r="AX715" i="11"/>
  <c r="BA715" i="11" s="1"/>
  <c r="BB715" i="11" s="1"/>
  <c r="AX751" i="11"/>
  <c r="BA751" i="11" s="1"/>
  <c r="BB751" i="11" s="1"/>
  <c r="AX709" i="11"/>
  <c r="BA709" i="11" s="1"/>
  <c r="BB709" i="11" s="1"/>
  <c r="AX703" i="11"/>
  <c r="BA703" i="11" s="1"/>
  <c r="BB703" i="11" s="1"/>
  <c r="AX706" i="11"/>
  <c r="BA706" i="11" s="1"/>
  <c r="BB706" i="11" s="1"/>
  <c r="AX748" i="11"/>
  <c r="BA748" i="11" s="1"/>
  <c r="BB748" i="11" s="1"/>
  <c r="AX700" i="11"/>
  <c r="BA700" i="11" s="1"/>
  <c r="BB700" i="11" s="1"/>
  <c r="AX721" i="11"/>
  <c r="BA721" i="11" s="1"/>
  <c r="BB721" i="11" s="1"/>
  <c r="AX745" i="11"/>
  <c r="BA745" i="11" s="1"/>
  <c r="BB745" i="11" s="1"/>
  <c r="U616" i="11"/>
  <c r="V616" i="11" s="1"/>
  <c r="U617" i="11"/>
  <c r="V617" i="11" s="1"/>
  <c r="AF683" i="11"/>
  <c r="AR683" i="11" s="1"/>
  <c r="AF620" i="11"/>
  <c r="AR620" i="11" s="1"/>
  <c r="AF633" i="11"/>
  <c r="AR633" i="11" s="1"/>
  <c r="AF676" i="11"/>
  <c r="AR676" i="11" s="1"/>
  <c r="AF689" i="11"/>
  <c r="AR689" i="11" s="1"/>
  <c r="AF667" i="11"/>
  <c r="AR667" i="11" s="1"/>
  <c r="AF678" i="11"/>
  <c r="AR678" i="11" s="1"/>
  <c r="AF665" i="11"/>
  <c r="AR665" i="11" s="1"/>
  <c r="AF596" i="11"/>
  <c r="AR596" i="11" s="1"/>
  <c r="AF626" i="11"/>
  <c r="AR626" i="11" s="1"/>
  <c r="AF650" i="11"/>
  <c r="AR650" i="11" s="1"/>
  <c r="AF645" i="11"/>
  <c r="AR645" i="11" s="1"/>
  <c r="AF671" i="11"/>
  <c r="AR671" i="11" s="1"/>
  <c r="AF638" i="11"/>
  <c r="AR638" i="11" s="1"/>
  <c r="AF622" i="11"/>
  <c r="AR622" i="11" s="1"/>
  <c r="AF679" i="11"/>
  <c r="AR679" i="11" s="1"/>
  <c r="AF662" i="11"/>
  <c r="AR662" i="11" s="1"/>
  <c r="AF630" i="11"/>
  <c r="AR630" i="11" s="1"/>
  <c r="AF631" i="11"/>
  <c r="AR631" i="11" s="1"/>
  <c r="U633" i="11"/>
  <c r="V633" i="11" s="1"/>
  <c r="AF628" i="11"/>
  <c r="AR628" i="11" s="1"/>
  <c r="AF670" i="11"/>
  <c r="AR670" i="11" s="1"/>
  <c r="AF632" i="11"/>
  <c r="AR632" i="11" s="1"/>
  <c r="AF623" i="11"/>
  <c r="AR623" i="11" s="1"/>
  <c r="AF682" i="11"/>
  <c r="AR682" i="11" s="1"/>
  <c r="AF617" i="11"/>
  <c r="AR617" i="11" s="1"/>
  <c r="AF656" i="11"/>
  <c r="AR656" i="11" s="1"/>
  <c r="AF655" i="11"/>
  <c r="AR655" i="11" s="1"/>
  <c r="AF694" i="11"/>
  <c r="AR694" i="11" s="1"/>
  <c r="AF652" i="11"/>
  <c r="AR652" i="11" s="1"/>
  <c r="AF627" i="11"/>
  <c r="AR627" i="11" s="1"/>
  <c r="AF643" i="11"/>
  <c r="AR643" i="11" s="1"/>
  <c r="U635" i="11"/>
  <c r="V635" i="11" s="1"/>
  <c r="AF669" i="11"/>
  <c r="AR669" i="11" s="1"/>
  <c r="AF649" i="11"/>
  <c r="AR649" i="11" s="1"/>
  <c r="AF644" i="11"/>
  <c r="AR644" i="11" s="1"/>
  <c r="U641" i="11"/>
  <c r="AF654" i="11"/>
  <c r="AR654" i="11" s="1"/>
  <c r="AF651" i="11"/>
  <c r="AR651" i="11" s="1"/>
  <c r="AF621" i="11"/>
  <c r="AR621" i="11" s="1"/>
  <c r="AF636" i="11"/>
  <c r="AR636" i="11" s="1"/>
  <c r="AF634" i="11"/>
  <c r="AR634" i="11" s="1"/>
  <c r="AF674" i="11"/>
  <c r="AR674" i="11" s="1"/>
  <c r="AF692" i="11"/>
  <c r="AR692" i="11" s="1"/>
  <c r="AF687" i="11"/>
  <c r="AR687" i="11" s="1"/>
  <c r="AF672" i="11"/>
  <c r="AR672" i="11" s="1"/>
  <c r="AF681" i="11"/>
  <c r="AR681" i="11" s="1"/>
  <c r="AF696" i="11"/>
  <c r="AR696" i="11" s="1"/>
  <c r="AF616" i="11"/>
  <c r="AR616" i="11" s="1"/>
  <c r="AF661" i="11"/>
  <c r="AR661" i="11" s="1"/>
  <c r="AF666" i="11"/>
  <c r="AR666" i="11" s="1"/>
  <c r="AF677" i="11"/>
  <c r="AR677" i="11" s="1"/>
  <c r="AF660" i="11"/>
  <c r="AR660" i="11" s="1"/>
  <c r="AF663" i="11"/>
  <c r="AR663" i="11" s="1"/>
  <c r="AF629" i="11"/>
  <c r="AR629" i="11" s="1"/>
  <c r="AF619" i="11"/>
  <c r="AR619" i="11" s="1"/>
  <c r="AF693" i="11"/>
  <c r="AR693" i="11" s="1"/>
  <c r="AF648" i="11"/>
  <c r="AR648" i="11" s="1"/>
  <c r="AF673" i="11"/>
  <c r="AR673" i="11" s="1"/>
  <c r="AF659" i="11"/>
  <c r="AR659" i="11" s="1"/>
  <c r="AF625" i="11"/>
  <c r="AR625" i="11" s="1"/>
  <c r="AF637" i="11"/>
  <c r="AR637" i="11" s="1"/>
  <c r="AF641" i="11"/>
  <c r="AR641" i="11" s="1"/>
  <c r="AF668" i="11"/>
  <c r="AR668" i="11" s="1"/>
  <c r="AF688" i="11"/>
  <c r="AR688" i="11" s="1"/>
  <c r="AF635" i="11"/>
  <c r="AR635" i="11" s="1"/>
  <c r="AF639" i="11"/>
  <c r="AR639" i="11" s="1"/>
  <c r="AF690" i="11"/>
  <c r="AR690" i="11" s="1"/>
  <c r="AF685" i="11"/>
  <c r="AR685" i="11" s="1"/>
  <c r="AF684" i="11"/>
  <c r="AR684" i="11" s="1"/>
  <c r="AF646" i="11"/>
  <c r="AR646" i="11" s="1"/>
  <c r="AU732" i="11"/>
  <c r="AU730" i="11"/>
  <c r="U632" i="11"/>
  <c r="V632" i="11" s="1"/>
  <c r="AU632" i="11" s="1"/>
  <c r="U630" i="11"/>
  <c r="V630" i="11" s="1"/>
  <c r="V651" i="11"/>
  <c r="AU651" i="11" s="1"/>
  <c r="U629" i="11"/>
  <c r="V629" i="11" s="1"/>
  <c r="AU629" i="11" s="1"/>
  <c r="V638" i="11"/>
  <c r="AU638" i="11" s="1"/>
  <c r="V729" i="11"/>
  <c r="AU729" i="11" s="1"/>
  <c r="V654" i="11"/>
  <c r="AU654" i="11" s="1"/>
  <c r="V652" i="11"/>
  <c r="AU652" i="11" s="1"/>
  <c r="U643" i="11"/>
  <c r="V643" i="11" s="1"/>
  <c r="AU643" i="11" s="1"/>
  <c r="V734" i="11"/>
  <c r="AU734" i="11" s="1"/>
  <c r="V731" i="11"/>
  <c r="AU731" i="11" s="1"/>
  <c r="U650" i="11"/>
  <c r="V650" i="11" s="1"/>
  <c r="AU650" i="11" s="1"/>
  <c r="V648" i="11"/>
  <c r="AU648" i="11" s="1"/>
  <c r="U640" i="11"/>
  <c r="V640" i="11" s="1"/>
  <c r="U596" i="11"/>
  <c r="V596" i="11" s="1"/>
  <c r="U634" i="11"/>
  <c r="V634" i="11" s="1"/>
  <c r="AU634" i="11" s="1"/>
  <c r="AU743" i="11"/>
  <c r="AU697" i="11"/>
  <c r="AU713" i="11"/>
  <c r="AU708" i="11"/>
  <c r="V692" i="11"/>
  <c r="AU692" i="11" s="1"/>
  <c r="V683" i="11"/>
  <c r="AU683" i="11" s="1"/>
  <c r="V699" i="11"/>
  <c r="AU699" i="11" s="1"/>
  <c r="V664" i="11"/>
  <c r="AU664" i="11" s="1"/>
  <c r="V662" i="11"/>
  <c r="AU662" i="11" s="1"/>
  <c r="V716" i="11"/>
  <c r="AU716" i="11" s="1"/>
  <c r="V671" i="11"/>
  <c r="AU671" i="11" s="1"/>
  <c r="V670" i="11"/>
  <c r="AU670" i="11" s="1"/>
  <c r="V669" i="11"/>
  <c r="V668" i="11"/>
  <c r="AU668" i="11" s="1"/>
  <c r="V706" i="11"/>
  <c r="AU706" i="11" s="1"/>
  <c r="V682" i="11"/>
  <c r="AU682" i="11" s="1"/>
  <c r="V667" i="11"/>
  <c r="AU667" i="11" s="1"/>
  <c r="V718" i="11"/>
  <c r="AU718" i="11" s="1"/>
  <c r="V666" i="11"/>
  <c r="AU666" i="11" s="1"/>
  <c r="V676" i="11"/>
  <c r="AU676" i="11" s="1"/>
  <c r="V665" i="11"/>
  <c r="V687" i="11"/>
  <c r="AU687" i="11" s="1"/>
  <c r="V659" i="11"/>
  <c r="AU659" i="11" s="1"/>
  <c r="V661" i="11"/>
  <c r="AU661" i="11" s="1"/>
  <c r="V723" i="11"/>
  <c r="AU723" i="11" s="1"/>
  <c r="V673" i="11"/>
  <c r="AU673" i="11" s="1"/>
  <c r="V694" i="11"/>
  <c r="AU694" i="11" s="1"/>
  <c r="V679" i="11"/>
  <c r="AU679" i="11" s="1"/>
  <c r="V698" i="11"/>
  <c r="AU698" i="11" s="1"/>
  <c r="V693" i="11"/>
  <c r="AU693" i="11" s="1"/>
  <c r="V660" i="11"/>
  <c r="AU660" i="11" s="1"/>
  <c r="V709" i="11"/>
  <c r="AU709" i="11" s="1"/>
  <c r="V724" i="11"/>
  <c r="AU724" i="11" s="1"/>
  <c r="V714" i="11"/>
  <c r="AU714" i="11" s="1"/>
  <c r="AO691" i="11"/>
  <c r="AM691" i="11"/>
  <c r="AK691" i="11"/>
  <c r="AI691" i="11"/>
  <c r="AG691" i="11"/>
  <c r="AI686" i="11"/>
  <c r="AG686" i="11"/>
  <c r="AO686" i="11"/>
  <c r="AM686" i="11"/>
  <c r="AK686" i="11"/>
  <c r="AM675" i="11"/>
  <c r="AI675" i="11"/>
  <c r="AG675" i="11"/>
  <c r="AO675" i="11"/>
  <c r="AK675" i="11"/>
  <c r="AF664" i="11"/>
  <c r="AR664" i="11" s="1"/>
  <c r="AF640" i="11"/>
  <c r="AR640" i="11" s="1"/>
  <c r="AF647" i="11"/>
  <c r="AR647" i="11" s="1"/>
  <c r="U631" i="11"/>
  <c r="V631" i="11" s="1"/>
  <c r="U624" i="11"/>
  <c r="V624" i="11" s="1"/>
  <c r="AF624" i="11"/>
  <c r="AR624" i="11" s="1"/>
  <c r="AU712" i="11"/>
  <c r="AF657" i="11"/>
  <c r="AR657" i="11" s="1"/>
  <c r="AF658" i="11"/>
  <c r="AR658" i="11" s="1"/>
  <c r="AF680" i="11"/>
  <c r="AR680" i="11" s="1"/>
  <c r="AI639" i="11"/>
  <c r="AK639" i="11"/>
  <c r="AM639" i="11"/>
  <c r="AO639" i="11"/>
  <c r="AI684" i="11"/>
  <c r="AM684" i="11"/>
  <c r="AO684" i="11"/>
  <c r="AK684" i="11"/>
  <c r="AI658" i="11"/>
  <c r="AM658" i="11"/>
  <c r="AO658" i="11"/>
  <c r="AK658" i="11"/>
  <c r="AI632" i="11"/>
  <c r="AO632" i="11"/>
  <c r="AM632" i="11"/>
  <c r="AK632" i="11"/>
  <c r="AI617" i="11"/>
  <c r="AO617" i="11"/>
  <c r="AM617" i="11"/>
  <c r="AK617" i="11"/>
  <c r="AI629" i="11"/>
  <c r="AO629" i="11"/>
  <c r="AM629" i="11"/>
  <c r="AK629" i="11"/>
  <c r="AI657" i="11"/>
  <c r="AO657" i="11"/>
  <c r="AK657" i="11"/>
  <c r="AM657" i="11"/>
  <c r="AI651" i="11"/>
  <c r="AO651" i="11"/>
  <c r="AK651" i="11"/>
  <c r="AM651" i="11"/>
  <c r="AI648" i="11"/>
  <c r="AM648" i="11"/>
  <c r="AO648" i="11"/>
  <c r="AK648" i="11"/>
  <c r="AI640" i="11"/>
  <c r="AM640" i="11"/>
  <c r="AO640" i="11"/>
  <c r="AK640" i="11"/>
  <c r="AI673" i="11"/>
  <c r="AO673" i="11"/>
  <c r="AM673" i="11"/>
  <c r="AK673" i="11"/>
  <c r="AI667" i="11"/>
  <c r="AO667" i="11"/>
  <c r="AM667" i="11"/>
  <c r="AK667" i="11"/>
  <c r="AI696" i="11"/>
  <c r="AM696" i="11"/>
  <c r="AO696" i="11"/>
  <c r="AK696" i="11"/>
  <c r="AI694" i="11"/>
  <c r="AM694" i="11"/>
  <c r="AO694" i="11"/>
  <c r="AK694" i="11"/>
  <c r="AI687" i="11"/>
  <c r="AO687" i="11"/>
  <c r="AK687" i="11"/>
  <c r="AM687" i="11"/>
  <c r="AI677" i="11"/>
  <c r="AO677" i="11"/>
  <c r="AM677" i="11"/>
  <c r="AK677" i="11"/>
  <c r="AI662" i="11"/>
  <c r="AO662" i="11"/>
  <c r="AK662" i="11"/>
  <c r="AM662" i="11"/>
  <c r="AI628" i="11"/>
  <c r="AO628" i="11"/>
  <c r="AM628" i="11"/>
  <c r="AK628" i="11"/>
  <c r="AI650" i="11"/>
  <c r="AO650" i="11"/>
  <c r="AM650" i="11"/>
  <c r="AK650" i="11"/>
  <c r="AI661" i="11"/>
  <c r="AO661" i="11"/>
  <c r="AM661" i="11"/>
  <c r="AK661" i="11"/>
  <c r="AI636" i="11"/>
  <c r="AO636" i="11"/>
  <c r="AM636" i="11"/>
  <c r="AK636" i="11"/>
  <c r="AI622" i="11"/>
  <c r="AO622" i="11"/>
  <c r="AK622" i="11"/>
  <c r="AM622" i="11"/>
  <c r="AI627" i="11"/>
  <c r="AO627" i="11"/>
  <c r="AM627" i="11"/>
  <c r="AK627" i="11"/>
  <c r="AI655" i="11"/>
  <c r="AO655" i="11"/>
  <c r="AM655" i="11"/>
  <c r="AK655" i="11"/>
  <c r="AI649" i="11"/>
  <c r="AO649" i="11"/>
  <c r="AM649" i="11"/>
  <c r="AK649" i="11"/>
  <c r="AI644" i="11"/>
  <c r="AO644" i="11"/>
  <c r="AK644" i="11"/>
  <c r="AM644" i="11"/>
  <c r="AI638" i="11"/>
  <c r="AO638" i="11"/>
  <c r="AM638" i="11"/>
  <c r="AK638" i="11"/>
  <c r="AI631" i="11"/>
  <c r="AO631" i="11"/>
  <c r="AM631" i="11"/>
  <c r="AK631" i="11"/>
  <c r="AI670" i="11"/>
  <c r="AM670" i="11"/>
  <c r="AO670" i="11"/>
  <c r="AK670" i="11"/>
  <c r="AI665" i="11"/>
  <c r="AM665" i="11"/>
  <c r="AK665" i="11"/>
  <c r="AO665" i="11"/>
  <c r="AI692" i="11"/>
  <c r="AO692" i="11"/>
  <c r="AM692" i="11"/>
  <c r="AK692" i="11"/>
  <c r="AI685" i="11"/>
  <c r="AO685" i="11"/>
  <c r="AM685" i="11"/>
  <c r="AK685" i="11"/>
  <c r="AI683" i="11"/>
  <c r="AO683" i="11"/>
  <c r="AM683" i="11"/>
  <c r="AK683" i="11"/>
  <c r="AI646" i="11"/>
  <c r="AM646" i="11"/>
  <c r="AO646" i="11"/>
  <c r="AK646" i="11"/>
  <c r="AI660" i="11"/>
  <c r="AM660" i="11"/>
  <c r="AO660" i="11"/>
  <c r="AK660" i="11"/>
  <c r="AI623" i="11"/>
  <c r="AO623" i="11"/>
  <c r="AK623" i="11"/>
  <c r="AM623" i="11"/>
  <c r="AI645" i="11"/>
  <c r="AO645" i="11"/>
  <c r="AK645" i="11"/>
  <c r="AM645" i="11"/>
  <c r="AI693" i="11"/>
  <c r="AO693" i="11"/>
  <c r="AK693" i="11"/>
  <c r="AM693" i="11"/>
  <c r="AI647" i="11"/>
  <c r="AO647" i="11"/>
  <c r="AM647" i="11"/>
  <c r="AK647" i="11"/>
  <c r="AI635" i="11"/>
  <c r="AO635" i="11"/>
  <c r="AK635" i="11"/>
  <c r="AM635" i="11"/>
  <c r="AI621" i="11"/>
  <c r="AO621" i="11"/>
  <c r="AM621" i="11"/>
  <c r="AK621" i="11"/>
  <c r="AI626" i="11"/>
  <c r="AM626" i="11"/>
  <c r="AO626" i="11"/>
  <c r="AK626" i="11"/>
  <c r="AI654" i="11"/>
  <c r="AO654" i="11"/>
  <c r="AM654" i="11"/>
  <c r="AK654" i="11"/>
  <c r="AI643" i="11"/>
  <c r="AO643" i="11"/>
  <c r="AM643" i="11"/>
  <c r="AK643" i="11"/>
  <c r="AI619" i="11"/>
  <c r="AM619" i="11"/>
  <c r="AO619" i="11"/>
  <c r="AK619" i="11"/>
  <c r="AI674" i="11"/>
  <c r="AO674" i="11"/>
  <c r="AM674" i="11"/>
  <c r="AK674" i="11"/>
  <c r="AI669" i="11"/>
  <c r="AO669" i="11"/>
  <c r="AK669" i="11"/>
  <c r="AM669" i="11"/>
  <c r="AI664" i="11"/>
  <c r="AM664" i="11"/>
  <c r="AK664" i="11"/>
  <c r="AO664" i="11"/>
  <c r="AI682" i="11"/>
  <c r="AM682" i="11"/>
  <c r="AO682" i="11"/>
  <c r="AK682" i="11"/>
  <c r="AI680" i="11"/>
  <c r="AO680" i="11"/>
  <c r="AK680" i="11"/>
  <c r="AM680" i="11"/>
  <c r="AI672" i="11"/>
  <c r="AM672" i="11"/>
  <c r="AO672" i="11"/>
  <c r="AK672" i="11"/>
  <c r="AI616" i="11"/>
  <c r="AO616" i="11"/>
  <c r="AM616" i="11"/>
  <c r="AK616" i="11"/>
  <c r="AI671" i="11"/>
  <c r="AO671" i="11"/>
  <c r="AK671" i="11"/>
  <c r="AM671" i="11"/>
  <c r="AI620" i="11"/>
  <c r="AO620" i="11"/>
  <c r="AM620" i="11"/>
  <c r="AK620" i="11"/>
  <c r="AI625" i="11"/>
  <c r="AM625" i="11"/>
  <c r="AO625" i="11"/>
  <c r="AK625" i="11"/>
  <c r="AI653" i="11"/>
  <c r="AO653" i="11"/>
  <c r="AK653" i="11"/>
  <c r="AM653" i="11"/>
  <c r="AI642" i="11"/>
  <c r="AO642" i="11"/>
  <c r="AM642" i="11"/>
  <c r="AK642" i="11"/>
  <c r="AI668" i="11"/>
  <c r="AO668" i="11"/>
  <c r="AM668" i="11"/>
  <c r="AK668" i="11"/>
  <c r="AI659" i="11"/>
  <c r="AO659" i="11"/>
  <c r="AM659" i="11"/>
  <c r="AK659" i="11"/>
  <c r="AI690" i="11"/>
  <c r="AO690" i="11"/>
  <c r="AM690" i="11"/>
  <c r="AK690" i="11"/>
  <c r="AI681" i="11"/>
  <c r="AO681" i="11"/>
  <c r="AK681" i="11"/>
  <c r="AM681" i="11"/>
  <c r="AI679" i="11"/>
  <c r="AO679" i="11"/>
  <c r="AM679" i="11"/>
  <c r="AK679" i="11"/>
  <c r="AI637" i="11"/>
  <c r="AO637" i="11"/>
  <c r="AM637" i="11"/>
  <c r="AK637" i="11"/>
  <c r="AI656" i="11"/>
  <c r="AO656" i="11"/>
  <c r="AM656" i="11"/>
  <c r="AK656" i="11"/>
  <c r="AI676" i="11"/>
  <c r="AM676" i="11"/>
  <c r="AO676" i="11"/>
  <c r="AK676" i="11"/>
  <c r="AI666" i="11"/>
  <c r="AO666" i="11"/>
  <c r="AM666" i="11"/>
  <c r="AK666" i="11"/>
  <c r="AI634" i="11"/>
  <c r="AM634" i="11"/>
  <c r="AO634" i="11"/>
  <c r="AK634" i="11"/>
  <c r="AI633" i="11"/>
  <c r="AM633" i="11"/>
  <c r="AO633" i="11"/>
  <c r="AK633" i="11"/>
  <c r="AI618" i="11"/>
  <c r="AO618" i="11"/>
  <c r="AM618" i="11"/>
  <c r="AK618" i="11"/>
  <c r="AI630" i="11"/>
  <c r="AO630" i="11"/>
  <c r="AM630" i="11"/>
  <c r="AK630" i="11"/>
  <c r="AI624" i="11"/>
  <c r="AO624" i="11"/>
  <c r="AM624" i="11"/>
  <c r="AK624" i="11"/>
  <c r="AI652" i="11"/>
  <c r="AM652" i="11"/>
  <c r="AO652" i="11"/>
  <c r="AK652" i="11"/>
  <c r="AI641" i="11"/>
  <c r="AO641" i="11"/>
  <c r="AM641" i="11"/>
  <c r="AK641" i="11"/>
  <c r="AI695" i="11"/>
  <c r="AO695" i="11"/>
  <c r="AM695" i="11"/>
  <c r="AK695" i="11"/>
  <c r="AI689" i="11"/>
  <c r="AK689" i="11"/>
  <c r="AO689" i="11"/>
  <c r="AM689" i="11"/>
  <c r="AI688" i="11"/>
  <c r="AM688" i="11"/>
  <c r="AK688" i="11"/>
  <c r="AO688" i="11"/>
  <c r="AI678" i="11"/>
  <c r="AO678" i="11"/>
  <c r="AM678" i="11"/>
  <c r="AK678" i="11"/>
  <c r="AI663" i="11"/>
  <c r="AO663" i="11"/>
  <c r="AK663" i="11"/>
  <c r="AM663" i="11"/>
  <c r="AG628" i="11"/>
  <c r="AG656" i="11"/>
  <c r="AG650" i="11"/>
  <c r="AG645" i="11"/>
  <c r="AG639" i="11"/>
  <c r="AG676" i="11"/>
  <c r="AG671" i="11"/>
  <c r="AG666" i="11"/>
  <c r="AG696" i="11"/>
  <c r="AG694" i="11"/>
  <c r="AG687" i="11"/>
  <c r="AG677" i="11"/>
  <c r="AG662" i="11"/>
  <c r="AG616" i="11"/>
  <c r="AG622" i="11"/>
  <c r="AG627" i="11"/>
  <c r="AG655" i="11"/>
  <c r="AG649" i="11"/>
  <c r="AG644" i="11"/>
  <c r="AG638" i="11"/>
  <c r="AG631" i="11"/>
  <c r="AG670" i="11"/>
  <c r="AG665" i="11"/>
  <c r="AG693" i="11"/>
  <c r="AG684" i="11"/>
  <c r="AG647" i="11"/>
  <c r="AG661" i="11"/>
  <c r="AG635" i="11"/>
  <c r="AG621" i="11"/>
  <c r="AG626" i="11"/>
  <c r="AG654" i="11"/>
  <c r="AG643" i="11"/>
  <c r="AG619" i="11"/>
  <c r="AG674" i="11"/>
  <c r="AG669" i="11"/>
  <c r="AG664" i="11"/>
  <c r="AG692" i="11"/>
  <c r="AG685" i="11"/>
  <c r="AG683" i="11"/>
  <c r="AG646" i="11"/>
  <c r="AG660" i="11"/>
  <c r="AG623" i="11"/>
  <c r="AG634" i="11"/>
  <c r="AG620" i="11"/>
  <c r="AG625" i="11"/>
  <c r="AG653" i="11"/>
  <c r="AG642" i="11"/>
  <c r="AG668" i="11"/>
  <c r="AG659" i="11"/>
  <c r="AG682" i="11"/>
  <c r="AG680" i="11"/>
  <c r="AG672" i="11"/>
  <c r="AG636" i="11"/>
  <c r="AG633" i="11"/>
  <c r="AG630" i="11"/>
  <c r="AG624" i="11"/>
  <c r="AG652" i="11"/>
  <c r="AG641" i="11"/>
  <c r="AG690" i="11"/>
  <c r="AG681" i="11"/>
  <c r="AG679" i="11"/>
  <c r="AG637" i="11"/>
  <c r="AG618" i="11"/>
  <c r="AG658" i="11"/>
  <c r="AG632" i="11"/>
  <c r="AG617" i="11"/>
  <c r="AG629" i="11"/>
  <c r="AG657" i="11"/>
  <c r="AG651" i="11"/>
  <c r="AG648" i="11"/>
  <c r="AG640" i="11"/>
  <c r="AG673" i="11"/>
  <c r="AG667" i="11"/>
  <c r="AG695" i="11"/>
  <c r="AG689" i="11"/>
  <c r="AG688" i="11"/>
  <c r="AG678" i="11"/>
  <c r="AG663" i="11"/>
  <c r="V672" i="11"/>
  <c r="V663" i="11"/>
  <c r="V647" i="11"/>
  <c r="V646" i="11"/>
  <c r="V680" i="11"/>
  <c r="V678" i="11"/>
  <c r="V677" i="11"/>
  <c r="AU686" i="11"/>
  <c r="V684" i="11"/>
  <c r="AU685" i="11"/>
  <c r="V681" i="11"/>
  <c r="AU691" i="11"/>
  <c r="V688" i="11"/>
  <c r="V690" i="11"/>
  <c r="V689" i="11"/>
  <c r="AR695" i="11"/>
  <c r="V696" i="11"/>
  <c r="V674" i="11"/>
  <c r="U636" i="11"/>
  <c r="AU649" i="11"/>
  <c r="AR642" i="11"/>
  <c r="U645" i="11"/>
  <c r="V645" i="11" s="1"/>
  <c r="U644" i="11"/>
  <c r="U657" i="11"/>
  <c r="U656" i="11"/>
  <c r="U655" i="11"/>
  <c r="AR653" i="11"/>
  <c r="U628" i="11"/>
  <c r="V628" i="11" s="1"/>
  <c r="U627" i="11"/>
  <c r="V627" i="11" s="1"/>
  <c r="U626" i="11"/>
  <c r="V626" i="11" s="1"/>
  <c r="U625" i="11"/>
  <c r="U621" i="11"/>
  <c r="V621" i="11" s="1"/>
  <c r="U658" i="11"/>
  <c r="AR618" i="11"/>
  <c r="U623" i="11"/>
  <c r="U622" i="11"/>
  <c r="V622" i="11" s="1"/>
  <c r="R583" i="11"/>
  <c r="T583" i="11" s="1"/>
  <c r="R594" i="11"/>
  <c r="T594" i="11" s="1"/>
  <c r="R587" i="11"/>
  <c r="T587" i="11" s="1"/>
  <c r="R592" i="11"/>
  <c r="T592" i="11" s="1"/>
  <c r="R581" i="11"/>
  <c r="T581" i="11" s="1"/>
  <c r="R567" i="11"/>
  <c r="T567" i="11" s="1"/>
  <c r="S598" i="11"/>
  <c r="T598" i="11" s="1"/>
  <c r="R584" i="11"/>
  <c r="T584" i="11" s="1"/>
  <c r="R585" i="11"/>
  <c r="T585" i="11" s="1"/>
  <c r="AX683" i="11" l="1"/>
  <c r="BA683" i="11" s="1"/>
  <c r="BB683" i="11" s="1"/>
  <c r="AX672" i="11"/>
  <c r="BA672" i="11" s="1"/>
  <c r="BB672" i="11" s="1"/>
  <c r="AX692" i="11"/>
  <c r="BA692" i="11" s="1"/>
  <c r="BB692" i="11" s="1"/>
  <c r="AX618" i="11"/>
  <c r="BA618" i="11" s="1"/>
  <c r="BB618" i="11" s="1"/>
  <c r="AX680" i="11"/>
  <c r="BA680" i="11" s="1"/>
  <c r="BB680" i="11" s="1"/>
  <c r="AX669" i="11"/>
  <c r="BA669" i="11" s="1"/>
  <c r="BB669" i="11" s="1"/>
  <c r="AX670" i="11"/>
  <c r="BA670" i="11" s="1"/>
  <c r="BB670" i="11" s="1"/>
  <c r="AX671" i="11"/>
  <c r="BA671" i="11" s="1"/>
  <c r="BB671" i="11" s="1"/>
  <c r="AX676" i="11"/>
  <c r="BA676" i="11" s="1"/>
  <c r="BB676" i="11" s="1"/>
  <c r="AX682" i="11"/>
  <c r="BA682" i="11" s="1"/>
  <c r="BB682" i="11" s="1"/>
  <c r="AX689" i="11"/>
  <c r="BA689" i="11" s="1"/>
  <c r="BB689" i="11" s="1"/>
  <c r="AX681" i="11"/>
  <c r="BA681" i="11" s="1"/>
  <c r="BB681" i="11" s="1"/>
  <c r="AX668" i="11"/>
  <c r="BA668" i="11" s="1"/>
  <c r="BB668" i="11" s="1"/>
  <c r="AX619" i="11"/>
  <c r="BA619" i="11" s="1"/>
  <c r="BB619" i="11" s="1"/>
  <c r="AX638" i="11"/>
  <c r="BA638" i="11" s="1"/>
  <c r="BB638" i="11" s="1"/>
  <c r="AX645" i="11"/>
  <c r="BA645" i="11" s="1"/>
  <c r="BB645" i="11" s="1"/>
  <c r="AX663" i="11"/>
  <c r="BA663" i="11" s="1"/>
  <c r="BB663" i="11" s="1"/>
  <c r="AX688" i="11"/>
  <c r="BA688" i="11" s="1"/>
  <c r="BB688" i="11" s="1"/>
  <c r="AX644" i="11"/>
  <c r="BA644" i="11" s="1"/>
  <c r="BB644" i="11" s="1"/>
  <c r="AX675" i="11"/>
  <c r="BA675" i="11" s="1"/>
  <c r="BB675" i="11" s="1"/>
  <c r="AX653" i="11"/>
  <c r="BA653" i="11" s="1"/>
  <c r="BB653" i="11" s="1"/>
  <c r="AX652" i="11"/>
  <c r="BA652" i="11" s="1"/>
  <c r="BB652" i="11" s="1"/>
  <c r="AX673" i="11"/>
  <c r="BA673" i="11" s="1"/>
  <c r="BB673" i="11" s="1"/>
  <c r="AX624" i="11"/>
  <c r="BA624" i="11" s="1"/>
  <c r="BB624" i="11" s="1"/>
  <c r="AX620" i="11"/>
  <c r="BA620" i="11" s="1"/>
  <c r="BB620" i="11" s="1"/>
  <c r="AX626" i="11"/>
  <c r="BA626" i="11" s="1"/>
  <c r="BB626" i="11" s="1"/>
  <c r="AX627" i="11"/>
  <c r="BA627" i="11" s="1"/>
  <c r="BB627" i="11" s="1"/>
  <c r="AX696" i="11"/>
  <c r="BA696" i="11" s="1"/>
  <c r="BB696" i="11" s="1"/>
  <c r="AX665" i="11"/>
  <c r="BA665" i="11" s="1"/>
  <c r="BB665" i="11" s="1"/>
  <c r="AX674" i="11"/>
  <c r="BA674" i="11" s="1"/>
  <c r="BB674" i="11" s="1"/>
  <c r="AX690" i="11"/>
  <c r="BA690" i="11" s="1"/>
  <c r="BB690" i="11" s="1"/>
  <c r="AX642" i="11"/>
  <c r="BA642" i="11" s="1"/>
  <c r="BB642" i="11" s="1"/>
  <c r="AX655" i="11"/>
  <c r="BA655" i="11" s="1"/>
  <c r="BB655" i="11" s="1"/>
  <c r="AX628" i="11"/>
  <c r="BA628" i="11" s="1"/>
  <c r="BB628" i="11" s="1"/>
  <c r="AX648" i="11"/>
  <c r="BA648" i="11" s="1"/>
  <c r="BB648" i="11" s="1"/>
  <c r="AX623" i="11"/>
  <c r="BA623" i="11" s="1"/>
  <c r="BB623" i="11" s="1"/>
  <c r="AX616" i="11"/>
  <c r="BA616" i="11" s="1"/>
  <c r="BB616" i="11" s="1"/>
  <c r="AX658" i="11"/>
  <c r="BA658" i="11" s="1"/>
  <c r="BB658" i="11" s="1"/>
  <c r="AX664" i="11"/>
  <c r="BA664" i="11" s="1"/>
  <c r="BB664" i="11" s="1"/>
  <c r="AX678" i="11"/>
  <c r="BA678" i="11" s="1"/>
  <c r="BB678" i="11" s="1"/>
  <c r="AX679" i="11"/>
  <c r="BA679" i="11" s="1"/>
  <c r="BB679" i="11" s="1"/>
  <c r="AX650" i="11"/>
  <c r="BA650" i="11" s="1"/>
  <c r="BB650" i="11" s="1"/>
  <c r="AX656" i="11"/>
  <c r="BA656" i="11" s="1"/>
  <c r="BB656" i="11" s="1"/>
  <c r="AX667" i="11"/>
  <c r="BA667" i="11" s="1"/>
  <c r="BB667" i="11" s="1"/>
  <c r="AX640" i="11"/>
  <c r="BA640" i="11" s="1"/>
  <c r="BB640" i="11" s="1"/>
  <c r="AX634" i="11"/>
  <c r="BA634" i="11" s="1"/>
  <c r="BB634" i="11" s="1"/>
  <c r="AX621" i="11"/>
  <c r="BA621" i="11" s="1"/>
  <c r="BB621" i="11" s="1"/>
  <c r="AX630" i="11"/>
  <c r="BA630" i="11" s="1"/>
  <c r="BB630" i="11" s="1"/>
  <c r="AX651" i="11"/>
  <c r="BA651" i="11" s="1"/>
  <c r="BB651" i="11" s="1"/>
  <c r="AX633" i="11"/>
  <c r="BA633" i="11" s="1"/>
  <c r="BB633" i="11" s="1"/>
  <c r="AX660" i="11"/>
  <c r="BA660" i="11" s="1"/>
  <c r="BB660" i="11" s="1"/>
  <c r="AX661" i="11"/>
  <c r="BA661" i="11" s="1"/>
  <c r="BB661" i="11" s="1"/>
  <c r="AX662" i="11"/>
  <c r="BA662" i="11" s="1"/>
  <c r="BB662" i="11" s="1"/>
  <c r="AX686" i="11"/>
  <c r="BA686" i="11" s="1"/>
  <c r="BB686" i="11" s="1"/>
  <c r="AX666" i="11"/>
  <c r="BA666" i="11" s="1"/>
  <c r="BB666" i="11" s="1"/>
  <c r="AX631" i="11"/>
  <c r="BA631" i="11" s="1"/>
  <c r="BB631" i="11" s="1"/>
  <c r="AX643" i="11"/>
  <c r="BA643" i="11" s="1"/>
  <c r="BB643" i="11" s="1"/>
  <c r="AX622" i="11"/>
  <c r="BA622" i="11" s="1"/>
  <c r="BB622" i="11" s="1"/>
  <c r="AX635" i="11"/>
  <c r="BA635" i="11" s="1"/>
  <c r="BB635" i="11" s="1"/>
  <c r="AX657" i="11"/>
  <c r="BA657" i="11" s="1"/>
  <c r="BB657" i="11" s="1"/>
  <c r="AX646" i="11"/>
  <c r="BA646" i="11" s="1"/>
  <c r="BB646" i="11" s="1"/>
  <c r="AX647" i="11"/>
  <c r="BA647" i="11" s="1"/>
  <c r="BB647" i="11" s="1"/>
  <c r="AX677" i="11"/>
  <c r="BA677" i="11" s="1"/>
  <c r="BB677" i="11" s="1"/>
  <c r="AX632" i="11"/>
  <c r="BA632" i="11" s="1"/>
  <c r="BB632" i="11" s="1"/>
  <c r="AX693" i="11"/>
  <c r="BA693" i="11" s="1"/>
  <c r="BB693" i="11" s="1"/>
  <c r="AX637" i="11"/>
  <c r="BA637" i="11" s="1"/>
  <c r="BB637" i="11" s="1"/>
  <c r="AX659" i="11"/>
  <c r="BA659" i="11" s="1"/>
  <c r="BB659" i="11" s="1"/>
  <c r="AX641" i="11"/>
  <c r="BA641" i="11" s="1"/>
  <c r="BB641" i="11" s="1"/>
  <c r="AX649" i="11"/>
  <c r="BA649" i="11" s="1"/>
  <c r="BB649" i="11" s="1"/>
  <c r="AX625" i="11"/>
  <c r="BA625" i="11" s="1"/>
  <c r="BB625" i="11" s="1"/>
  <c r="AX629" i="11"/>
  <c r="BA629" i="11" s="1"/>
  <c r="BB629" i="11" s="1"/>
  <c r="AX636" i="11"/>
  <c r="BA636" i="11" s="1"/>
  <c r="BB636" i="11" s="1"/>
  <c r="AX687" i="11"/>
  <c r="BA687" i="11" s="1"/>
  <c r="BB687" i="11" s="1"/>
  <c r="AX691" i="11"/>
  <c r="BA691" i="11" s="1"/>
  <c r="BB691" i="11" s="1"/>
  <c r="AX639" i="11"/>
  <c r="BA639" i="11" s="1"/>
  <c r="BB639" i="11" s="1"/>
  <c r="AX695" i="11"/>
  <c r="BA695" i="11" s="1"/>
  <c r="BB695" i="11" s="1"/>
  <c r="AX654" i="11"/>
  <c r="BA654" i="11" s="1"/>
  <c r="BB654" i="11" s="1"/>
  <c r="AX617" i="11"/>
  <c r="BA617" i="11" s="1"/>
  <c r="BB617" i="11" s="1"/>
  <c r="AX685" i="11"/>
  <c r="BA685" i="11" s="1"/>
  <c r="BB685" i="11" s="1"/>
  <c r="AX684" i="11"/>
  <c r="BA684" i="11" s="1"/>
  <c r="BB684" i="11" s="1"/>
  <c r="AX694" i="11"/>
  <c r="BA694" i="11" s="1"/>
  <c r="BB694" i="11" s="1"/>
  <c r="U619" i="11"/>
  <c r="V619" i="11" s="1"/>
  <c r="AU619" i="11" s="1"/>
  <c r="U592" i="11"/>
  <c r="U594" i="11"/>
  <c r="V594" i="11" s="1"/>
  <c r="U620" i="11"/>
  <c r="V620" i="11" s="1"/>
  <c r="AU620" i="11" s="1"/>
  <c r="U637" i="11"/>
  <c r="V637" i="11" s="1"/>
  <c r="AU637" i="11" s="1"/>
  <c r="V641" i="11"/>
  <c r="AU641" i="11" s="1"/>
  <c r="U639" i="11"/>
  <c r="V639" i="11" s="1"/>
  <c r="AU639" i="11" s="1"/>
  <c r="V623" i="11"/>
  <c r="AU623" i="11" s="1"/>
  <c r="V656" i="11"/>
  <c r="AU656" i="11" s="1"/>
  <c r="V657" i="11"/>
  <c r="AU657" i="11" s="1"/>
  <c r="V655" i="11"/>
  <c r="AU655" i="11" s="1"/>
  <c r="V625" i="11"/>
  <c r="AU625" i="11" s="1"/>
  <c r="V636" i="11"/>
  <c r="AU636" i="11" s="1"/>
  <c r="V644" i="11"/>
  <c r="AU644" i="11" s="1"/>
  <c r="AU665" i="11"/>
  <c r="AU669" i="11"/>
  <c r="V658" i="11"/>
  <c r="AU658" i="11" s="1"/>
  <c r="AU618" i="11"/>
  <c r="AU696" i="11"/>
  <c r="AU688" i="11"/>
  <c r="AU684" i="11"/>
  <c r="AU628" i="11"/>
  <c r="AU630" i="11"/>
  <c r="AU645" i="11"/>
  <c r="AU681" i="11"/>
  <c r="AU677" i="11"/>
  <c r="AU646" i="11"/>
  <c r="AU616" i="11"/>
  <c r="AU626" i="11"/>
  <c r="AU653" i="11"/>
  <c r="AU678" i="11"/>
  <c r="AU627" i="11"/>
  <c r="AU624" i="11"/>
  <c r="AU640" i="11"/>
  <c r="AU631" i="11"/>
  <c r="AU674" i="11"/>
  <c r="AU689" i="11"/>
  <c r="AU622" i="11"/>
  <c r="AU621" i="11"/>
  <c r="AU617" i="11"/>
  <c r="AU675" i="11"/>
  <c r="AU695" i="11"/>
  <c r="AU690" i="11"/>
  <c r="AU680" i="11"/>
  <c r="AU635" i="11"/>
  <c r="AU642" i="11"/>
  <c r="AU633" i="11"/>
  <c r="AU647" i="11"/>
  <c r="AU672" i="11"/>
  <c r="AU663" i="11"/>
  <c r="H584" i="11"/>
  <c r="H585" i="11"/>
  <c r="W584" i="11"/>
  <c r="W585" i="11"/>
  <c r="AD584" i="11"/>
  <c r="AD585" i="11"/>
  <c r="AS584" i="11"/>
  <c r="AS585" i="11"/>
  <c r="AT584" i="11"/>
  <c r="AE584" i="11" s="1"/>
  <c r="AT585" i="11"/>
  <c r="AE585" i="11" s="1"/>
  <c r="H591" i="11"/>
  <c r="H592" i="11"/>
  <c r="H593" i="11"/>
  <c r="H594" i="11"/>
  <c r="H595" i="11"/>
  <c r="H596" i="11"/>
  <c r="H597" i="11"/>
  <c r="H598" i="11"/>
  <c r="U591" i="11"/>
  <c r="V591" i="11" s="1"/>
  <c r="U593" i="11"/>
  <c r="V593" i="11" s="1"/>
  <c r="U595" i="11"/>
  <c r="U597" i="11"/>
  <c r="W591" i="11"/>
  <c r="W592" i="11"/>
  <c r="W593" i="11"/>
  <c r="W594" i="11"/>
  <c r="W595" i="11"/>
  <c r="W597" i="11"/>
  <c r="W598" i="11"/>
  <c r="AD591" i="11"/>
  <c r="AD592" i="11"/>
  <c r="AD593" i="11"/>
  <c r="AD595" i="11"/>
  <c r="AD597" i="11"/>
  <c r="AD598" i="11"/>
  <c r="AS591" i="11"/>
  <c r="AS592" i="11"/>
  <c r="AS593" i="11"/>
  <c r="AS594" i="11"/>
  <c r="AS595" i="11"/>
  <c r="AS596" i="11"/>
  <c r="AS597" i="11"/>
  <c r="AS598" i="11"/>
  <c r="AT591" i="11"/>
  <c r="AE591" i="11" s="1"/>
  <c r="AT592" i="11"/>
  <c r="AT593" i="11"/>
  <c r="AT594" i="11"/>
  <c r="AT595" i="11"/>
  <c r="AT596" i="11"/>
  <c r="AT597" i="11"/>
  <c r="AT598" i="11"/>
  <c r="H599" i="11"/>
  <c r="H600" i="11"/>
  <c r="H601" i="11"/>
  <c r="H602" i="11"/>
  <c r="H603" i="11"/>
  <c r="H604" i="11"/>
  <c r="H605" i="11"/>
  <c r="H606" i="11"/>
  <c r="U599" i="11"/>
  <c r="V599" i="11" s="1"/>
  <c r="U600" i="11"/>
  <c r="V600" i="11" s="1"/>
  <c r="U602" i="11"/>
  <c r="V602" i="11" s="1"/>
  <c r="U603" i="11"/>
  <c r="U605" i="11"/>
  <c r="U606" i="11"/>
  <c r="V606" i="11" s="1"/>
  <c r="W599" i="11"/>
  <c r="W600" i="11"/>
  <c r="W601" i="11"/>
  <c r="W602" i="11"/>
  <c r="W603" i="11"/>
  <c r="W604" i="11"/>
  <c r="W605" i="11"/>
  <c r="W606" i="11"/>
  <c r="AD599" i="11"/>
  <c r="AD600" i="11"/>
  <c r="AD601" i="11"/>
  <c r="AD602" i="11"/>
  <c r="AD604" i="11"/>
  <c r="AD605" i="11"/>
  <c r="AS599" i="11"/>
  <c r="AS600" i="11"/>
  <c r="AS601" i="11"/>
  <c r="AS602" i="11"/>
  <c r="AS603" i="11"/>
  <c r="AS604" i="11"/>
  <c r="AS605" i="11"/>
  <c r="AS606" i="11"/>
  <c r="AT599" i="11"/>
  <c r="AT600" i="11"/>
  <c r="AT601" i="11"/>
  <c r="AT602" i="11"/>
  <c r="AT603" i="11"/>
  <c r="AT604" i="11"/>
  <c r="AE604" i="11" s="1"/>
  <c r="AT605" i="11"/>
  <c r="AT606" i="11"/>
  <c r="H607" i="11"/>
  <c r="H608" i="11"/>
  <c r="H609" i="11"/>
  <c r="H610" i="11"/>
  <c r="H611" i="11"/>
  <c r="H612" i="11"/>
  <c r="H613" i="11"/>
  <c r="H614" i="11"/>
  <c r="U609" i="11"/>
  <c r="V609" i="11" s="1"/>
  <c r="U610" i="11"/>
  <c r="V610" i="11" s="1"/>
  <c r="U611" i="11"/>
  <c r="V611" i="11" s="1"/>
  <c r="U612" i="11"/>
  <c r="U613" i="11"/>
  <c r="U614" i="11"/>
  <c r="W607" i="11"/>
  <c r="W608" i="11"/>
  <c r="W609" i="11"/>
  <c r="W610" i="11"/>
  <c r="W611" i="11"/>
  <c r="W612" i="11"/>
  <c r="W613" i="11"/>
  <c r="W614" i="11"/>
  <c r="AD607" i="11"/>
  <c r="AD608" i="11"/>
  <c r="AD609" i="11"/>
  <c r="AD610" i="11"/>
  <c r="AD611" i="11"/>
  <c r="AD612" i="11"/>
  <c r="AD613" i="11"/>
  <c r="AD614" i="11"/>
  <c r="AS607" i="11"/>
  <c r="AS608" i="11"/>
  <c r="AS609" i="11"/>
  <c r="AS610" i="11"/>
  <c r="AS611" i="11"/>
  <c r="AS612" i="11"/>
  <c r="AS613" i="11"/>
  <c r="AS614" i="11"/>
  <c r="AT607" i="11"/>
  <c r="AT608" i="11"/>
  <c r="AT609" i="11"/>
  <c r="AT610" i="11"/>
  <c r="AT611" i="11"/>
  <c r="AT612" i="11"/>
  <c r="AT613" i="11"/>
  <c r="AT614" i="11"/>
  <c r="H615" i="11"/>
  <c r="U615" i="11"/>
  <c r="AF615" i="11"/>
  <c r="AD615" i="11"/>
  <c r="AS615" i="11"/>
  <c r="AT615" i="11"/>
  <c r="R586" i="11"/>
  <c r="T586" i="11" s="1"/>
  <c r="AD95" i="11"/>
  <c r="AD94" i="11"/>
  <c r="U598" i="11" l="1"/>
  <c r="V598" i="11" s="1"/>
  <c r="AU598" i="11" s="1"/>
  <c r="U584" i="11"/>
  <c r="V584" i="11" s="1"/>
  <c r="AF613" i="11"/>
  <c r="AR613" i="11" s="1"/>
  <c r="AF612" i="11"/>
  <c r="AR612" i="11" s="1"/>
  <c r="AF606" i="11"/>
  <c r="AR606" i="11" s="1"/>
  <c r="AF611" i="11"/>
  <c r="AR611" i="11" s="1"/>
  <c r="U585" i="11"/>
  <c r="V585" i="11" s="1"/>
  <c r="AF610" i="11"/>
  <c r="AR610" i="11" s="1"/>
  <c r="AF609" i="11"/>
  <c r="AR609" i="11" s="1"/>
  <c r="AF603" i="11"/>
  <c r="AR603" i="11" s="1"/>
  <c r="AF598" i="11"/>
  <c r="AR598" i="11" s="1"/>
  <c r="AF608" i="11"/>
  <c r="AR608" i="11" s="1"/>
  <c r="AF602" i="11"/>
  <c r="AR602" i="11" s="1"/>
  <c r="AF597" i="11"/>
  <c r="AR597" i="11" s="1"/>
  <c r="AF601" i="11"/>
  <c r="AR601" i="11" s="1"/>
  <c r="AF599" i="11"/>
  <c r="AR599" i="11" s="1"/>
  <c r="AF593" i="11"/>
  <c r="AR593" i="11" s="1"/>
  <c r="AF592" i="11"/>
  <c r="AR592" i="11" s="1"/>
  <c r="AF591" i="11"/>
  <c r="AR591" i="11" s="1"/>
  <c r="AF607" i="11"/>
  <c r="AR607" i="11" s="1"/>
  <c r="AF595" i="11"/>
  <c r="AR595" i="11" s="1"/>
  <c r="V614" i="11"/>
  <c r="AU614" i="11" s="1"/>
  <c r="AF605" i="11"/>
  <c r="AR605" i="11" s="1"/>
  <c r="AF600" i="11"/>
  <c r="AR600" i="11" s="1"/>
  <c r="AF614" i="11"/>
  <c r="AR614" i="11" s="1"/>
  <c r="AF584" i="11"/>
  <c r="AR584" i="11" s="1"/>
  <c r="AF585" i="11"/>
  <c r="AR585" i="11" s="1"/>
  <c r="AF604" i="11"/>
  <c r="AR604" i="11" s="1"/>
  <c r="AI613" i="11"/>
  <c r="AO613" i="11"/>
  <c r="AM613" i="11"/>
  <c r="AK613" i="11"/>
  <c r="AI607" i="11"/>
  <c r="AO607" i="11"/>
  <c r="AM607" i="11"/>
  <c r="AK607" i="11"/>
  <c r="AI602" i="11"/>
  <c r="AO602" i="11"/>
  <c r="AK602" i="11"/>
  <c r="AM602" i="11"/>
  <c r="AI595" i="11"/>
  <c r="AO595" i="11"/>
  <c r="AM595" i="11"/>
  <c r="AK595" i="11"/>
  <c r="AI601" i="11"/>
  <c r="AO601" i="11"/>
  <c r="AM601" i="11"/>
  <c r="AK601" i="11"/>
  <c r="AI611" i="11"/>
  <c r="AO611" i="11"/>
  <c r="AK611" i="11"/>
  <c r="AM611" i="11"/>
  <c r="AI606" i="11"/>
  <c r="AM606" i="11"/>
  <c r="AO606" i="11"/>
  <c r="AK606" i="11"/>
  <c r="AI600" i="11"/>
  <c r="AO600" i="11"/>
  <c r="AM600" i="11"/>
  <c r="AK600" i="11"/>
  <c r="AI593" i="11"/>
  <c r="AO593" i="11"/>
  <c r="AM593" i="11"/>
  <c r="AK593" i="11"/>
  <c r="AI585" i="11"/>
  <c r="AO585" i="11"/>
  <c r="AM585" i="11"/>
  <c r="AK585" i="11"/>
  <c r="AI612" i="11"/>
  <c r="AM612" i="11"/>
  <c r="AO612" i="11"/>
  <c r="AK612" i="11"/>
  <c r="AI594" i="11"/>
  <c r="AO594" i="11"/>
  <c r="AM594" i="11"/>
  <c r="AK594" i="11"/>
  <c r="AI610" i="11"/>
  <c r="AM610" i="11"/>
  <c r="AO610" i="11"/>
  <c r="AK610" i="11"/>
  <c r="AI605" i="11"/>
  <c r="AO605" i="11"/>
  <c r="AM605" i="11"/>
  <c r="AK605" i="11"/>
  <c r="AI599" i="11"/>
  <c r="AO599" i="11"/>
  <c r="AM599" i="11"/>
  <c r="AK599" i="11"/>
  <c r="AI598" i="11"/>
  <c r="AO598" i="11"/>
  <c r="AM598" i="11"/>
  <c r="AK598" i="11"/>
  <c r="AI592" i="11"/>
  <c r="AO592" i="11"/>
  <c r="AK592" i="11"/>
  <c r="AM592" i="11"/>
  <c r="AI584" i="11"/>
  <c r="AO584" i="11"/>
  <c r="AM584" i="11"/>
  <c r="AK584" i="11"/>
  <c r="AI615" i="11"/>
  <c r="AO615" i="11"/>
  <c r="AM615" i="11"/>
  <c r="AK615" i="11"/>
  <c r="AI609" i="11"/>
  <c r="AO609" i="11"/>
  <c r="AM609" i="11"/>
  <c r="AK609" i="11"/>
  <c r="AI604" i="11"/>
  <c r="AO604" i="11"/>
  <c r="AM604" i="11"/>
  <c r="AK604" i="11"/>
  <c r="AI597" i="11"/>
  <c r="AM597" i="11"/>
  <c r="AK597" i="11"/>
  <c r="AO597" i="11"/>
  <c r="AI591" i="11"/>
  <c r="AM591" i="11"/>
  <c r="AO591" i="11"/>
  <c r="AK591" i="11"/>
  <c r="AI614" i="11"/>
  <c r="AO614" i="11"/>
  <c r="AM614" i="11"/>
  <c r="AK614" i="11"/>
  <c r="AI608" i="11"/>
  <c r="AO608" i="11"/>
  <c r="AM608" i="11"/>
  <c r="AK608" i="11"/>
  <c r="AI603" i="11"/>
  <c r="AM603" i="11"/>
  <c r="AO603" i="11"/>
  <c r="AK603" i="11"/>
  <c r="AI596" i="11"/>
  <c r="AO596" i="11"/>
  <c r="AM596" i="11"/>
  <c r="AK596" i="11"/>
  <c r="AG614" i="11"/>
  <c r="AG608" i="11"/>
  <c r="AG603" i="11"/>
  <c r="AG596" i="11"/>
  <c r="AG613" i="11"/>
  <c r="AG607" i="11"/>
  <c r="AG602" i="11"/>
  <c r="AG595" i="11"/>
  <c r="AG612" i="11"/>
  <c r="AG601" i="11"/>
  <c r="AG594" i="11"/>
  <c r="AG611" i="11"/>
  <c r="AG606" i="11"/>
  <c r="AG600" i="11"/>
  <c r="AG593" i="11"/>
  <c r="AG585" i="11"/>
  <c r="AG610" i="11"/>
  <c r="AG605" i="11"/>
  <c r="AG599" i="11"/>
  <c r="AG598" i="11"/>
  <c r="AG592" i="11"/>
  <c r="AG584" i="11"/>
  <c r="AG615" i="11"/>
  <c r="AG609" i="11"/>
  <c r="AG604" i="11"/>
  <c r="AG597" i="11"/>
  <c r="AU591" i="11"/>
  <c r="AG591" i="11"/>
  <c r="AF594" i="11"/>
  <c r="AU593" i="11"/>
  <c r="AU594" i="11"/>
  <c r="AU610" i="11"/>
  <c r="AU596" i="11"/>
  <c r="AU602" i="11"/>
  <c r="AU599" i="11"/>
  <c r="V592" i="11"/>
  <c r="V605" i="11"/>
  <c r="V597" i="11"/>
  <c r="V603" i="11"/>
  <c r="V595" i="11"/>
  <c r="V612" i="11"/>
  <c r="AU600" i="11"/>
  <c r="AU611" i="11"/>
  <c r="U604" i="11"/>
  <c r="V613" i="11"/>
  <c r="U601" i="11"/>
  <c r="AU609" i="11"/>
  <c r="U608" i="11"/>
  <c r="U607" i="11"/>
  <c r="AR615" i="11"/>
  <c r="V615" i="11"/>
  <c r="R578" i="11"/>
  <c r="T578" i="11" s="1"/>
  <c r="AX613" i="11" l="1"/>
  <c r="BA613" i="11" s="1"/>
  <c r="BB613" i="11" s="1"/>
  <c r="AX598" i="11"/>
  <c r="BA598" i="11" s="1"/>
  <c r="BB598" i="11" s="1"/>
  <c r="AX599" i="11"/>
  <c r="BA599" i="11" s="1"/>
  <c r="BB599" i="11" s="1"/>
  <c r="AX596" i="11"/>
  <c r="BA596" i="11" s="1"/>
  <c r="BB596" i="11" s="1"/>
  <c r="AX607" i="11"/>
  <c r="BA607" i="11" s="1"/>
  <c r="BB607" i="11" s="1"/>
  <c r="AX605" i="11"/>
  <c r="BA605" i="11" s="1"/>
  <c r="BB605" i="11" s="1"/>
  <c r="AX603" i="11"/>
  <c r="BA603" i="11" s="1"/>
  <c r="BB603" i="11" s="1"/>
  <c r="AX610" i="11"/>
  <c r="BA610" i="11" s="1"/>
  <c r="BB610" i="11" s="1"/>
  <c r="AX614" i="11"/>
  <c r="BA614" i="11" s="1"/>
  <c r="BB614" i="11" s="1"/>
  <c r="AX608" i="11"/>
  <c r="BA608" i="11" s="1"/>
  <c r="BB608" i="11" s="1"/>
  <c r="AX585" i="11"/>
  <c r="BA585" i="11" s="1"/>
  <c r="BB585" i="11" s="1"/>
  <c r="AX591" i="11"/>
  <c r="BA591" i="11" s="1"/>
  <c r="BB591" i="11" s="1"/>
  <c r="AX592" i="11"/>
  <c r="BA592" i="11" s="1"/>
  <c r="BB592" i="11" s="1"/>
  <c r="AX600" i="11"/>
  <c r="BA600" i="11" s="1"/>
  <c r="BB600" i="11" s="1"/>
  <c r="AX597" i="11"/>
  <c r="BA597" i="11" s="1"/>
  <c r="BB597" i="11" s="1"/>
  <c r="AX606" i="11"/>
  <c r="BA606" i="11" s="1"/>
  <c r="BB606" i="11" s="1"/>
  <c r="AX604" i="11"/>
  <c r="BA604" i="11" s="1"/>
  <c r="BB604" i="11" s="1"/>
  <c r="AX611" i="11"/>
  <c r="BA611" i="11" s="1"/>
  <c r="BB611" i="11" s="1"/>
  <c r="AX593" i="11"/>
  <c r="BA593" i="11" s="1"/>
  <c r="BB593" i="11" s="1"/>
  <c r="AX594" i="11"/>
  <c r="BA594" i="11" s="1"/>
  <c r="BB594" i="11" s="1"/>
  <c r="AX609" i="11"/>
  <c r="BA609" i="11" s="1"/>
  <c r="BB609" i="11" s="1"/>
  <c r="AX615" i="11"/>
  <c r="BA615" i="11" s="1"/>
  <c r="BB615" i="11" s="1"/>
  <c r="AX612" i="11"/>
  <c r="BA612" i="11" s="1"/>
  <c r="BB612" i="11" s="1"/>
  <c r="AX584" i="11"/>
  <c r="BA584" i="11" s="1"/>
  <c r="BB584" i="11" s="1"/>
  <c r="AX595" i="11"/>
  <c r="BA595" i="11" s="1"/>
  <c r="BB595" i="11" s="1"/>
  <c r="AX601" i="11"/>
  <c r="BA601" i="11" s="1"/>
  <c r="BB601" i="11" s="1"/>
  <c r="AX602" i="11"/>
  <c r="BA602" i="11" s="1"/>
  <c r="BB602" i="11" s="1"/>
  <c r="AU584" i="11"/>
  <c r="AU585" i="11"/>
  <c r="U578" i="11"/>
  <c r="V578" i="11" s="1"/>
  <c r="V604" i="11"/>
  <c r="AU604" i="11" s="1"/>
  <c r="V607" i="11"/>
  <c r="AU607" i="11" s="1"/>
  <c r="V608" i="11"/>
  <c r="AU608" i="11" s="1"/>
  <c r="V601" i="11"/>
  <c r="AU601" i="11" s="1"/>
  <c r="AU612" i="11"/>
  <c r="AU595" i="11"/>
  <c r="AU606" i="11"/>
  <c r="AU605" i="11"/>
  <c r="AU613" i="11"/>
  <c r="AU615" i="11"/>
  <c r="AU603" i="11"/>
  <c r="AU597" i="11"/>
  <c r="AU592" i="11"/>
  <c r="AR594" i="11"/>
  <c r="R575" i="11"/>
  <c r="T575" i="11" s="1"/>
  <c r="R563" i="11"/>
  <c r="T563" i="11" s="1"/>
  <c r="R550" i="11"/>
  <c r="T550" i="11" s="1"/>
  <c r="R541" i="11"/>
  <c r="T541" i="11" s="1"/>
  <c r="R532" i="11"/>
  <c r="T532" i="11" s="1"/>
  <c r="R513" i="11"/>
  <c r="T513" i="11" s="1"/>
  <c r="R500" i="11"/>
  <c r="T500" i="11" s="1"/>
  <c r="R488" i="11"/>
  <c r="T488" i="11" s="1"/>
  <c r="R478" i="11"/>
  <c r="T478" i="11" s="1"/>
  <c r="R474" i="11"/>
  <c r="T474" i="11" s="1"/>
  <c r="R466" i="11"/>
  <c r="T466" i="11" s="1"/>
  <c r="U559" i="11"/>
  <c r="U567" i="11"/>
  <c r="U568" i="11"/>
  <c r="U569" i="11"/>
  <c r="U572" i="11"/>
  <c r="U573" i="11"/>
  <c r="U577" i="11"/>
  <c r="U582" i="11"/>
  <c r="U588" i="11"/>
  <c r="U589" i="11"/>
  <c r="U590" i="11"/>
  <c r="S508" i="11"/>
  <c r="T508" i="11" s="1"/>
  <c r="S566" i="11"/>
  <c r="T566" i="11" s="1"/>
  <c r="S571" i="11"/>
  <c r="T571" i="11" s="1"/>
  <c r="S570" i="11"/>
  <c r="T570" i="11" s="1"/>
  <c r="R576" i="11"/>
  <c r="T576" i="11" s="1"/>
  <c r="H566" i="11"/>
  <c r="W566" i="11"/>
  <c r="AD566" i="11"/>
  <c r="AS566" i="11"/>
  <c r="AT566" i="11"/>
  <c r="AE566" i="11" s="1"/>
  <c r="H579" i="11"/>
  <c r="H580" i="11"/>
  <c r="H581" i="11"/>
  <c r="H582" i="11"/>
  <c r="H583" i="11"/>
  <c r="W579" i="11"/>
  <c r="W580" i="11"/>
  <c r="W581" i="11"/>
  <c r="W582" i="11"/>
  <c r="W583" i="11"/>
  <c r="AD579" i="11"/>
  <c r="AD580" i="11"/>
  <c r="AD581" i="11"/>
  <c r="AD582" i="11"/>
  <c r="AD583" i="11"/>
  <c r="AS579" i="11"/>
  <c r="AS580" i="11"/>
  <c r="AS581" i="11"/>
  <c r="AS582" i="11"/>
  <c r="AS583" i="11"/>
  <c r="AT579" i="11"/>
  <c r="AT580" i="11"/>
  <c r="AT581" i="11"/>
  <c r="AT582" i="11"/>
  <c r="AT583" i="11"/>
  <c r="H586" i="11"/>
  <c r="H587" i="11"/>
  <c r="W586" i="11"/>
  <c r="W587" i="11"/>
  <c r="AD586" i="11"/>
  <c r="AD587" i="11"/>
  <c r="AS586" i="11"/>
  <c r="AS587" i="11"/>
  <c r="AT586" i="11"/>
  <c r="AT587" i="11"/>
  <c r="H588" i="11"/>
  <c r="H589" i="11"/>
  <c r="W588" i="11"/>
  <c r="W589" i="11"/>
  <c r="AD588" i="11"/>
  <c r="AD589" i="11"/>
  <c r="AS588" i="11"/>
  <c r="AS589" i="11"/>
  <c r="AT588" i="11"/>
  <c r="AT589" i="11"/>
  <c r="H590" i="11"/>
  <c r="W590" i="11"/>
  <c r="AD590" i="11"/>
  <c r="AS590" i="11"/>
  <c r="AT590" i="11"/>
  <c r="AE590" i="11" s="1"/>
  <c r="H567" i="11"/>
  <c r="H568" i="11"/>
  <c r="H569" i="11"/>
  <c r="W567" i="11"/>
  <c r="W568" i="11"/>
  <c r="W569" i="11"/>
  <c r="AD567" i="11"/>
  <c r="AD568" i="11"/>
  <c r="AD569" i="11"/>
  <c r="AS567" i="11"/>
  <c r="AS568" i="11"/>
  <c r="AS569" i="11"/>
  <c r="AT567" i="11"/>
  <c r="AT568" i="11"/>
  <c r="AT569" i="11"/>
  <c r="H570" i="11"/>
  <c r="H571" i="11"/>
  <c r="H572" i="11"/>
  <c r="W570" i="11"/>
  <c r="W571" i="11"/>
  <c r="W572" i="11"/>
  <c r="AD570" i="11"/>
  <c r="AD571" i="11"/>
  <c r="AD572" i="11"/>
  <c r="AS570" i="11"/>
  <c r="AS571" i="11"/>
  <c r="AS572" i="11"/>
  <c r="AT570" i="11"/>
  <c r="AE570" i="11" s="1"/>
  <c r="AT571" i="11"/>
  <c r="AE571" i="11" s="1"/>
  <c r="AT572" i="11"/>
  <c r="H573" i="11"/>
  <c r="H574" i="11"/>
  <c r="H575" i="11"/>
  <c r="W573" i="11"/>
  <c r="W574" i="11"/>
  <c r="W575" i="11"/>
  <c r="AD573" i="11"/>
  <c r="AD574" i="11"/>
  <c r="AD575" i="11"/>
  <c r="AS573" i="11"/>
  <c r="AS574" i="11"/>
  <c r="AS575" i="11"/>
  <c r="AT573" i="11"/>
  <c r="AT574" i="11"/>
  <c r="AT575" i="11"/>
  <c r="H576" i="11"/>
  <c r="H577" i="11"/>
  <c r="W576" i="11"/>
  <c r="W577" i="11"/>
  <c r="AD576" i="11"/>
  <c r="AD577" i="11"/>
  <c r="AS576" i="11"/>
  <c r="AS577" i="11"/>
  <c r="AT576" i="11"/>
  <c r="AE576" i="11" s="1"/>
  <c r="AT577" i="11"/>
  <c r="H578" i="11"/>
  <c r="W578" i="11"/>
  <c r="AD578" i="11"/>
  <c r="AS578" i="11"/>
  <c r="AT578" i="11"/>
  <c r="AD559" i="11"/>
  <c r="W559" i="11"/>
  <c r="AD548" i="11"/>
  <c r="W548" i="11"/>
  <c r="AF578" i="11" l="1"/>
  <c r="AR578" i="11" s="1"/>
  <c r="U566" i="11"/>
  <c r="V566" i="11" s="1"/>
  <c r="U571" i="11"/>
  <c r="V571" i="11" s="1"/>
  <c r="U570" i="11"/>
  <c r="V570" i="11" s="1"/>
  <c r="AF569" i="11"/>
  <c r="AR569" i="11" s="1"/>
  <c r="AF575" i="11"/>
  <c r="AR575" i="11" s="1"/>
  <c r="AF567" i="11"/>
  <c r="AR567" i="11" s="1"/>
  <c r="AF574" i="11"/>
  <c r="AR574" i="11" s="1"/>
  <c r="AF571" i="11"/>
  <c r="AR571" i="11" s="1"/>
  <c r="AF589" i="11"/>
  <c r="AR589" i="11" s="1"/>
  <c r="AF573" i="11"/>
  <c r="AR573" i="11" s="1"/>
  <c r="AF572" i="11"/>
  <c r="AR572" i="11" s="1"/>
  <c r="AF548" i="11"/>
  <c r="AR548" i="11" s="1"/>
  <c r="AF588" i="11"/>
  <c r="AR588" i="11" s="1"/>
  <c r="AF570" i="11"/>
  <c r="AR570" i="11" s="1"/>
  <c r="AF559" i="11"/>
  <c r="AR559" i="11" s="1"/>
  <c r="AF566" i="11"/>
  <c r="AR566" i="11" s="1"/>
  <c r="AF577" i="11"/>
  <c r="AR577" i="11" s="1"/>
  <c r="AF590" i="11"/>
  <c r="AR590" i="11" s="1"/>
  <c r="AF568" i="11"/>
  <c r="AR568" i="11" s="1"/>
  <c r="V582" i="11"/>
  <c r="AU582" i="11" s="1"/>
  <c r="V559" i="11"/>
  <c r="V589" i="11"/>
  <c r="AU589" i="11" s="1"/>
  <c r="V588" i="11"/>
  <c r="AU588" i="11" s="1"/>
  <c r="V573" i="11"/>
  <c r="AU573" i="11" s="1"/>
  <c r="V567" i="11"/>
  <c r="AU567" i="11" s="1"/>
  <c r="U548" i="11"/>
  <c r="V548" i="11" s="1"/>
  <c r="AF579" i="11"/>
  <c r="AR579" i="11" s="1"/>
  <c r="AF576" i="11"/>
  <c r="AR576" i="11" s="1"/>
  <c r="AF582" i="11"/>
  <c r="AR582" i="11" s="1"/>
  <c r="AI573" i="11"/>
  <c r="AO573" i="11"/>
  <c r="AM573" i="11"/>
  <c r="AK573" i="11"/>
  <c r="AI570" i="11"/>
  <c r="AO570" i="11"/>
  <c r="AM570" i="11"/>
  <c r="AK570" i="11"/>
  <c r="AI576" i="11"/>
  <c r="AM576" i="11"/>
  <c r="AO576" i="11"/>
  <c r="AK576" i="11"/>
  <c r="AI574" i="11"/>
  <c r="AO574" i="11"/>
  <c r="AM574" i="11"/>
  <c r="AK574" i="11"/>
  <c r="AI571" i="11"/>
  <c r="AO571" i="11"/>
  <c r="AM571" i="11"/>
  <c r="AK571" i="11"/>
  <c r="AI587" i="11"/>
  <c r="AO587" i="11"/>
  <c r="AM587" i="11"/>
  <c r="AK587" i="11"/>
  <c r="AI579" i="11"/>
  <c r="AO579" i="11"/>
  <c r="AM579" i="11"/>
  <c r="AK579" i="11"/>
  <c r="AI586" i="11"/>
  <c r="AO586" i="11"/>
  <c r="AM586" i="11"/>
  <c r="AK586" i="11"/>
  <c r="AI577" i="11"/>
  <c r="AM577" i="11"/>
  <c r="AO577" i="11"/>
  <c r="AK577" i="11"/>
  <c r="AI583" i="11"/>
  <c r="AM583" i="11"/>
  <c r="AO583" i="11"/>
  <c r="AK583" i="11"/>
  <c r="AI566" i="11"/>
  <c r="AO566" i="11"/>
  <c r="AM566" i="11"/>
  <c r="AK566" i="11"/>
  <c r="AI581" i="11"/>
  <c r="AO581" i="11"/>
  <c r="AK581" i="11"/>
  <c r="AM581" i="11"/>
  <c r="AI578" i="11"/>
  <c r="AO578" i="11"/>
  <c r="AM578" i="11"/>
  <c r="AK578" i="11"/>
  <c r="AI569" i="11"/>
  <c r="AO569" i="11"/>
  <c r="AM569" i="11"/>
  <c r="AK569" i="11"/>
  <c r="AI582" i="11"/>
  <c r="AM582" i="11"/>
  <c r="AO582" i="11"/>
  <c r="AK582" i="11"/>
  <c r="AI568" i="11"/>
  <c r="AO568" i="11"/>
  <c r="AM568" i="11"/>
  <c r="AK568" i="11"/>
  <c r="AI589" i="11"/>
  <c r="AO589" i="11"/>
  <c r="AM589" i="11"/>
  <c r="AK589" i="11"/>
  <c r="AI575" i="11"/>
  <c r="AO575" i="11"/>
  <c r="AM575" i="11"/>
  <c r="AK575" i="11"/>
  <c r="AI572" i="11"/>
  <c r="AO572" i="11"/>
  <c r="AM572" i="11"/>
  <c r="AK572" i="11"/>
  <c r="AI567" i="11"/>
  <c r="AM567" i="11"/>
  <c r="AK567" i="11"/>
  <c r="AO567" i="11"/>
  <c r="AI590" i="11"/>
  <c r="AM590" i="11"/>
  <c r="AO590" i="11"/>
  <c r="AK590" i="11"/>
  <c r="AI588" i="11"/>
  <c r="AO588" i="11"/>
  <c r="AM588" i="11"/>
  <c r="AK588" i="11"/>
  <c r="AI580" i="11"/>
  <c r="AO580" i="11"/>
  <c r="AM580" i="11"/>
  <c r="AK580" i="11"/>
  <c r="AG588" i="11"/>
  <c r="AG580" i="11"/>
  <c r="AG574" i="11"/>
  <c r="AG571" i="11"/>
  <c r="AG587" i="11"/>
  <c r="AG579" i="11"/>
  <c r="AG575" i="11"/>
  <c r="AG572" i="11"/>
  <c r="AG567" i="11"/>
  <c r="AG590" i="11"/>
  <c r="AG586" i="11"/>
  <c r="AG576" i="11"/>
  <c r="AG573" i="11"/>
  <c r="AG570" i="11"/>
  <c r="AG577" i="11"/>
  <c r="AG583" i="11"/>
  <c r="AG566" i="11"/>
  <c r="AG569" i="11"/>
  <c r="AG582" i="11"/>
  <c r="AG578" i="11"/>
  <c r="AG568" i="11"/>
  <c r="AG589" i="11"/>
  <c r="AG581" i="11"/>
  <c r="U587" i="11"/>
  <c r="V587" i="11" s="1"/>
  <c r="AF587" i="11"/>
  <c r="U586" i="11"/>
  <c r="V586" i="11" s="1"/>
  <c r="U580" i="11"/>
  <c r="U583" i="11"/>
  <c r="U581" i="11"/>
  <c r="AF586" i="11"/>
  <c r="AF581" i="11"/>
  <c r="AF583" i="11"/>
  <c r="AR583" i="11" s="1"/>
  <c r="AF580" i="11"/>
  <c r="U574" i="11"/>
  <c r="V574" i="11" s="1"/>
  <c r="U579" i="11"/>
  <c r="V590" i="11"/>
  <c r="V569" i="11"/>
  <c r="V568" i="11"/>
  <c r="AU578" i="11"/>
  <c r="V572" i="11"/>
  <c r="V577" i="11"/>
  <c r="AX582" i="11" l="1"/>
  <c r="BA582" i="11" s="1"/>
  <c r="BB582" i="11" s="1"/>
  <c r="AX575" i="11"/>
  <c r="BA575" i="11" s="1"/>
  <c r="BB575" i="11" s="1"/>
  <c r="AX579" i="11"/>
  <c r="BA579" i="11" s="1"/>
  <c r="BB579" i="11" s="1"/>
  <c r="AX566" i="11"/>
  <c r="BA566" i="11" s="1"/>
  <c r="BB566" i="11" s="1"/>
  <c r="AX571" i="11"/>
  <c r="BA571" i="11" s="1"/>
  <c r="BB571" i="11" s="1"/>
  <c r="AX569" i="11"/>
  <c r="BA569" i="11" s="1"/>
  <c r="BB569" i="11" s="1"/>
  <c r="AX583" i="11"/>
  <c r="BA583" i="11" s="1"/>
  <c r="BB583" i="11" s="1"/>
  <c r="AX577" i="11"/>
  <c r="BA577" i="11" s="1"/>
  <c r="BB577" i="11" s="1"/>
  <c r="AX574" i="11"/>
  <c r="BA574" i="11" s="1"/>
  <c r="BB574" i="11" s="1"/>
  <c r="AX580" i="11"/>
  <c r="BA580" i="11" s="1"/>
  <c r="BB580" i="11" s="1"/>
  <c r="AX570" i="11"/>
  <c r="BA570" i="11" s="1"/>
  <c r="BB570" i="11" s="1"/>
  <c r="AX588" i="11"/>
  <c r="BA588" i="11" s="1"/>
  <c r="BB588" i="11" s="1"/>
  <c r="AX587" i="11"/>
  <c r="BA587" i="11" s="1"/>
  <c r="BB587" i="11" s="1"/>
  <c r="AX573" i="11"/>
  <c r="BA573" i="11" s="1"/>
  <c r="BB573" i="11" s="1"/>
  <c r="AX576" i="11"/>
  <c r="BA576" i="11" s="1"/>
  <c r="BB576" i="11" s="1"/>
  <c r="AX586" i="11"/>
  <c r="BA586" i="11" s="1"/>
  <c r="BB586" i="11" s="1"/>
  <c r="AX581" i="11"/>
  <c r="BA581" i="11" s="1"/>
  <c r="BB581" i="11" s="1"/>
  <c r="AX590" i="11"/>
  <c r="BA590" i="11" s="1"/>
  <c r="BB590" i="11" s="1"/>
  <c r="AX567" i="11"/>
  <c r="BA567" i="11" s="1"/>
  <c r="BB567" i="11" s="1"/>
  <c r="AX589" i="11"/>
  <c r="BA589" i="11" s="1"/>
  <c r="BB589" i="11" s="1"/>
  <c r="AX568" i="11"/>
  <c r="BA568" i="11" s="1"/>
  <c r="BB568" i="11" s="1"/>
  <c r="AX578" i="11"/>
  <c r="BA578" i="11" s="1"/>
  <c r="BB578" i="11" s="1"/>
  <c r="AX572" i="11"/>
  <c r="BA572" i="11" s="1"/>
  <c r="BB572" i="11" s="1"/>
  <c r="U576" i="11"/>
  <c r="V576" i="11" s="1"/>
  <c r="AU576" i="11" s="1"/>
  <c r="V580" i="11"/>
  <c r="AU580" i="11" s="1"/>
  <c r="V583" i="11"/>
  <c r="AU583" i="11" s="1"/>
  <c r="V579" i="11"/>
  <c r="AU579" i="11" s="1"/>
  <c r="V581" i="11"/>
  <c r="AU581" i="11" s="1"/>
  <c r="AU577" i="11"/>
  <c r="AU569" i="11"/>
  <c r="AU586" i="11"/>
  <c r="AU587" i="11"/>
  <c r="AU572" i="11"/>
  <c r="AU574" i="11"/>
  <c r="AU568" i="11"/>
  <c r="AU570" i="11"/>
  <c r="AU590" i="11"/>
  <c r="AU566" i="11"/>
  <c r="AU571" i="11"/>
  <c r="AR587" i="11"/>
  <c r="U575" i="11"/>
  <c r="V575" i="11" s="1"/>
  <c r="AR586" i="11"/>
  <c r="AR580" i="11"/>
  <c r="AR581" i="11"/>
  <c r="R555" i="11"/>
  <c r="T555" i="11" s="1"/>
  <c r="R565" i="11"/>
  <c r="T565" i="11" s="1"/>
  <c r="H555" i="11"/>
  <c r="H565" i="11"/>
  <c r="W555" i="11"/>
  <c r="W565" i="11"/>
  <c r="AD555" i="11"/>
  <c r="AD565" i="11"/>
  <c r="AS555" i="11"/>
  <c r="AS565" i="11"/>
  <c r="AT555" i="11"/>
  <c r="AE555" i="11" s="1"/>
  <c r="AT565" i="11"/>
  <c r="AE565" i="11" s="1"/>
  <c r="U565" i="11" l="1"/>
  <c r="V565" i="11" s="1"/>
  <c r="U555" i="11"/>
  <c r="V555" i="11" s="1"/>
  <c r="AF565" i="11"/>
  <c r="AR565" i="11" s="1"/>
  <c r="AF555" i="11"/>
  <c r="AR555" i="11" s="1"/>
  <c r="AI555" i="11"/>
  <c r="AO555" i="11"/>
  <c r="AM555" i="11"/>
  <c r="AK555" i="11"/>
  <c r="AI565" i="11"/>
  <c r="AO565" i="11"/>
  <c r="AM565" i="11"/>
  <c r="AK565" i="11"/>
  <c r="AU575" i="11"/>
  <c r="AG565" i="11"/>
  <c r="AG555" i="11"/>
  <c r="AX565" i="11" l="1"/>
  <c r="BA565" i="11" s="1"/>
  <c r="BB565" i="11" s="1"/>
  <c r="AX555" i="11"/>
  <c r="BA555" i="11" s="1"/>
  <c r="BB555" i="11" s="1"/>
  <c r="AU565" i="11"/>
  <c r="AU555" i="11"/>
  <c r="R561" i="11"/>
  <c r="T561" i="11" s="1"/>
  <c r="R558" i="11" l="1"/>
  <c r="T558" i="11" s="1"/>
  <c r="S564" i="11"/>
  <c r="T564" i="11" s="1"/>
  <c r="R557" i="11" l="1"/>
  <c r="T557" i="11" s="1"/>
  <c r="R551" i="11"/>
  <c r="T551" i="11" s="1"/>
  <c r="R542" i="11"/>
  <c r="T542" i="11" s="1"/>
  <c r="R547" i="11"/>
  <c r="T547" i="11" s="1"/>
  <c r="R544" i="11"/>
  <c r="T544" i="11" s="1"/>
  <c r="R554" i="11"/>
  <c r="T554" i="11" s="1"/>
  <c r="R533" i="11"/>
  <c r="T533" i="11" s="1"/>
  <c r="R543" i="11"/>
  <c r="T543" i="11" s="1"/>
  <c r="R546" i="11"/>
  <c r="T546" i="11" s="1"/>
  <c r="AT554" i="11" l="1"/>
  <c r="AE554" i="11" s="1"/>
  <c r="AS554" i="11"/>
  <c r="AD554" i="11"/>
  <c r="W554" i="11"/>
  <c r="H554" i="11"/>
  <c r="AF554" i="11" l="1"/>
  <c r="AR554" i="11" s="1"/>
  <c r="AI554" i="11"/>
  <c r="AO554" i="11"/>
  <c r="AM554" i="11"/>
  <c r="AK554" i="11"/>
  <c r="AG554" i="11"/>
  <c r="U554" i="11"/>
  <c r="AX554" i="11" l="1"/>
  <c r="BA554" i="11" s="1"/>
  <c r="BB554" i="11" s="1"/>
  <c r="V554" i="11"/>
  <c r="AU554" i="11" s="1"/>
  <c r="AT557" i="11"/>
  <c r="AT558" i="11"/>
  <c r="AT559" i="11"/>
  <c r="AS557" i="11"/>
  <c r="AS558" i="11"/>
  <c r="AS559" i="11"/>
  <c r="AD557" i="11"/>
  <c r="AD558" i="11"/>
  <c r="W557" i="11"/>
  <c r="W558" i="11"/>
  <c r="U558" i="11"/>
  <c r="H557" i="11"/>
  <c r="H558" i="11"/>
  <c r="H559" i="11"/>
  <c r="AT560" i="11"/>
  <c r="AT561" i="11"/>
  <c r="AE561" i="11" s="1"/>
  <c r="AT562" i="11"/>
  <c r="AS560" i="11"/>
  <c r="AS561" i="11"/>
  <c r="AS562" i="11"/>
  <c r="AD560" i="11"/>
  <c r="AD561" i="11"/>
  <c r="AD562" i="11"/>
  <c r="W560" i="11"/>
  <c r="W561" i="11"/>
  <c r="W562" i="11"/>
  <c r="U560" i="11"/>
  <c r="U561" i="11"/>
  <c r="U562" i="11"/>
  <c r="H560" i="11"/>
  <c r="H561" i="11"/>
  <c r="H562" i="11"/>
  <c r="AT563" i="11"/>
  <c r="AT564" i="11"/>
  <c r="AS563" i="11"/>
  <c r="AS564" i="11"/>
  <c r="AD563" i="11"/>
  <c r="AD564" i="11"/>
  <c r="W563" i="11"/>
  <c r="W564" i="11"/>
  <c r="U564" i="11"/>
  <c r="H563" i="11"/>
  <c r="H564" i="11"/>
  <c r="AD539" i="11"/>
  <c r="W539" i="11"/>
  <c r="U539" i="11"/>
  <c r="S461" i="11"/>
  <c r="T461" i="11" s="1"/>
  <c r="S460" i="11"/>
  <c r="T460" i="11" s="1"/>
  <c r="R518" i="11"/>
  <c r="T518" i="11" s="1"/>
  <c r="U524" i="11"/>
  <c r="U525" i="11"/>
  <c r="U529" i="11"/>
  <c r="U533" i="11"/>
  <c r="U534" i="11"/>
  <c r="U535" i="11"/>
  <c r="U536" i="11"/>
  <c r="U538" i="11"/>
  <c r="U540" i="11"/>
  <c r="U541" i="11"/>
  <c r="U542" i="11"/>
  <c r="U543" i="11"/>
  <c r="U544" i="11"/>
  <c r="U545" i="11"/>
  <c r="U546" i="11"/>
  <c r="U547" i="11"/>
  <c r="U549" i="11"/>
  <c r="U550" i="11"/>
  <c r="U551" i="11"/>
  <c r="U552" i="11"/>
  <c r="U553" i="11"/>
  <c r="U556" i="11"/>
  <c r="R523" i="11"/>
  <c r="T523" i="11" s="1"/>
  <c r="S530" i="11"/>
  <c r="T530" i="11" s="1"/>
  <c r="S528" i="11"/>
  <c r="T528" i="11" s="1"/>
  <c r="S527" i="11"/>
  <c r="T527" i="11" s="1"/>
  <c r="R521" i="11"/>
  <c r="T521" i="11" s="1"/>
  <c r="R522" i="11"/>
  <c r="T522" i="11" s="1"/>
  <c r="R537" i="11"/>
  <c r="T537" i="11" s="1"/>
  <c r="R526" i="11"/>
  <c r="T526" i="11" s="1"/>
  <c r="R516" i="11"/>
  <c r="T516" i="11" s="1"/>
  <c r="R489" i="11"/>
  <c r="T489" i="11" s="1"/>
  <c r="R483" i="11"/>
  <c r="T483" i="11" s="1"/>
  <c r="H526" i="11"/>
  <c r="W526" i="11"/>
  <c r="AD526" i="11"/>
  <c r="AS526" i="11"/>
  <c r="AT526" i="11"/>
  <c r="AE526" i="11" s="1"/>
  <c r="H525" i="11"/>
  <c r="W525" i="11"/>
  <c r="AD525" i="11"/>
  <c r="AS525" i="11"/>
  <c r="AT525" i="11"/>
  <c r="H529" i="11"/>
  <c r="H528" i="11"/>
  <c r="H527" i="11"/>
  <c r="H524" i="11"/>
  <c r="H523" i="11"/>
  <c r="H522" i="11"/>
  <c r="H521" i="11"/>
  <c r="W522" i="11"/>
  <c r="W523" i="11"/>
  <c r="W524" i="11"/>
  <c r="W527" i="11"/>
  <c r="AD522" i="11"/>
  <c r="AD523" i="11"/>
  <c r="AD524" i="11"/>
  <c r="AD527" i="11"/>
  <c r="AS522" i="11"/>
  <c r="AS523" i="11"/>
  <c r="AS524" i="11"/>
  <c r="AS527" i="11"/>
  <c r="AT522" i="11"/>
  <c r="AE522" i="11" s="1"/>
  <c r="AT523" i="11"/>
  <c r="AT524" i="11"/>
  <c r="AT527" i="11"/>
  <c r="H530" i="11"/>
  <c r="H531" i="11"/>
  <c r="W528" i="11"/>
  <c r="W529" i="11"/>
  <c r="W530" i="11"/>
  <c r="W531" i="11"/>
  <c r="AD528" i="11"/>
  <c r="AD529" i="11"/>
  <c r="AD530" i="11"/>
  <c r="AD531" i="11"/>
  <c r="AS528" i="11"/>
  <c r="AS529" i="11"/>
  <c r="AS530" i="11"/>
  <c r="AS531" i="11"/>
  <c r="AT528" i="11"/>
  <c r="AT529" i="11"/>
  <c r="AT530" i="11"/>
  <c r="AT531" i="11"/>
  <c r="H532" i="11"/>
  <c r="H533" i="11"/>
  <c r="H534" i="11"/>
  <c r="H535" i="11"/>
  <c r="W532" i="11"/>
  <c r="W533" i="11"/>
  <c r="W534" i="11"/>
  <c r="W535" i="11"/>
  <c r="AD532" i="11"/>
  <c r="AD533" i="11"/>
  <c r="AD534" i="11"/>
  <c r="AD535" i="11"/>
  <c r="AS532" i="11"/>
  <c r="AS533" i="11"/>
  <c r="AS534" i="11"/>
  <c r="AS535" i="11"/>
  <c r="AT532" i="11"/>
  <c r="AT533" i="11"/>
  <c r="AE533" i="11" s="1"/>
  <c r="AT534" i="11"/>
  <c r="AT535" i="11"/>
  <c r="H536" i="11"/>
  <c r="H537" i="11"/>
  <c r="H538" i="11"/>
  <c r="H539" i="11"/>
  <c r="W536" i="11"/>
  <c r="W537" i="11"/>
  <c r="W538" i="11"/>
  <c r="AD536" i="11"/>
  <c r="AD537" i="11"/>
  <c r="AD538" i="11"/>
  <c r="AS536" i="11"/>
  <c r="AS537" i="11"/>
  <c r="AS538" i="11"/>
  <c r="AS539" i="11"/>
  <c r="AT536" i="11"/>
  <c r="AT537" i="11"/>
  <c r="AE537" i="11" s="1"/>
  <c r="AT538" i="11"/>
  <c r="AT539" i="11"/>
  <c r="H540" i="11"/>
  <c r="H541" i="11"/>
  <c r="H542" i="11"/>
  <c r="H543" i="11"/>
  <c r="W540" i="11"/>
  <c r="W541" i="11"/>
  <c r="W542" i="11"/>
  <c r="W543" i="11"/>
  <c r="AD540" i="11"/>
  <c r="AD541" i="11"/>
  <c r="AD542" i="11"/>
  <c r="AD543" i="11"/>
  <c r="AS540" i="11"/>
  <c r="AS541" i="11"/>
  <c r="AS542" i="11"/>
  <c r="AS543" i="11"/>
  <c r="AT540" i="11"/>
  <c r="AT541" i="11"/>
  <c r="AT542" i="11"/>
  <c r="AT543" i="11"/>
  <c r="H544" i="11"/>
  <c r="H545" i="11"/>
  <c r="H546" i="11"/>
  <c r="H547" i="11"/>
  <c r="W544" i="11"/>
  <c r="W545" i="11"/>
  <c r="W546" i="11"/>
  <c r="W547" i="11"/>
  <c r="AD544" i="11"/>
  <c r="AD545" i="11"/>
  <c r="AD546" i="11"/>
  <c r="AD547" i="11"/>
  <c r="AS544" i="11"/>
  <c r="AS545" i="11"/>
  <c r="AS546" i="11"/>
  <c r="AS547" i="11"/>
  <c r="AT544" i="11"/>
  <c r="AT545" i="11"/>
  <c r="AT546" i="11"/>
  <c r="AE546" i="11" s="1"/>
  <c r="AT547" i="11"/>
  <c r="H548" i="11"/>
  <c r="H549" i="11"/>
  <c r="H550" i="11"/>
  <c r="H551" i="11"/>
  <c r="W549" i="11"/>
  <c r="W550" i="11"/>
  <c r="W551" i="11"/>
  <c r="AD549" i="11"/>
  <c r="AD550" i="11"/>
  <c r="AD551" i="11"/>
  <c r="AS548" i="11"/>
  <c r="AS549" i="11"/>
  <c r="AS550" i="11"/>
  <c r="AS551" i="11"/>
  <c r="AT548" i="11"/>
  <c r="AT549" i="11"/>
  <c r="AT550" i="11"/>
  <c r="AT551" i="11"/>
  <c r="H552" i="11"/>
  <c r="H553" i="11"/>
  <c r="W552" i="11"/>
  <c r="W553" i="11"/>
  <c r="AD552" i="11"/>
  <c r="AD553" i="11"/>
  <c r="AS552" i="11"/>
  <c r="AS553" i="11"/>
  <c r="AT552" i="11"/>
  <c r="AT553" i="11"/>
  <c r="H556" i="11"/>
  <c r="W556" i="11"/>
  <c r="AD556" i="11"/>
  <c r="AS556" i="11"/>
  <c r="AT556" i="11"/>
  <c r="R505" i="11"/>
  <c r="T505" i="11" s="1"/>
  <c r="AF558" i="11" l="1"/>
  <c r="AR558" i="11" s="1"/>
  <c r="AF539" i="11"/>
  <c r="AR539" i="11" s="1"/>
  <c r="AF557" i="11"/>
  <c r="AR557" i="11" s="1"/>
  <c r="AF527" i="11"/>
  <c r="AR527" i="11" s="1"/>
  <c r="AF524" i="11"/>
  <c r="AR524" i="11" s="1"/>
  <c r="AF549" i="11"/>
  <c r="AR549" i="11" s="1"/>
  <c r="AF523" i="11"/>
  <c r="AR523" i="11" s="1"/>
  <c r="AF535" i="11"/>
  <c r="AR535" i="11" s="1"/>
  <c r="AF531" i="11"/>
  <c r="AR531" i="11" s="1"/>
  <c r="AF522" i="11"/>
  <c r="AR522" i="11" s="1"/>
  <c r="AF534" i="11"/>
  <c r="AR534" i="11" s="1"/>
  <c r="AF530" i="11"/>
  <c r="AR530" i="11" s="1"/>
  <c r="AF526" i="11"/>
  <c r="AR526" i="11" s="1"/>
  <c r="AF553" i="11"/>
  <c r="AR553" i="11" s="1"/>
  <c r="AF552" i="11"/>
  <c r="AR552" i="11" s="1"/>
  <c r="AF538" i="11"/>
  <c r="AR538" i="11" s="1"/>
  <c r="AF533" i="11"/>
  <c r="AR533" i="11" s="1"/>
  <c r="AF529" i="11"/>
  <c r="AR529" i="11" s="1"/>
  <c r="U526" i="11"/>
  <c r="V526" i="11" s="1"/>
  <c r="AF537" i="11"/>
  <c r="AR537" i="11" s="1"/>
  <c r="AF532" i="11"/>
  <c r="AR532" i="11" s="1"/>
  <c r="AF528" i="11"/>
  <c r="AR528" i="11" s="1"/>
  <c r="U537" i="11"/>
  <c r="AF564" i="11"/>
  <c r="AR564" i="11" s="1"/>
  <c r="AF536" i="11"/>
  <c r="AR536" i="11" s="1"/>
  <c r="AF525" i="11"/>
  <c r="AR525" i="11" s="1"/>
  <c r="U522" i="11"/>
  <c r="V522" i="11" s="1"/>
  <c r="AF563" i="11"/>
  <c r="AR563" i="11" s="1"/>
  <c r="AF556" i="11"/>
  <c r="AR556" i="11" s="1"/>
  <c r="AF547" i="11"/>
  <c r="AR547" i="11" s="1"/>
  <c r="AF543" i="11"/>
  <c r="AR543" i="11" s="1"/>
  <c r="AF551" i="11"/>
  <c r="AR551" i="11" s="1"/>
  <c r="AF545" i="11"/>
  <c r="AR545" i="11" s="1"/>
  <c r="AF541" i="11"/>
  <c r="AR541" i="11" s="1"/>
  <c r="AF562" i="11"/>
  <c r="AR562" i="11" s="1"/>
  <c r="AF546" i="11"/>
  <c r="AR546" i="11" s="1"/>
  <c r="AF542" i="11"/>
  <c r="AR542" i="11" s="1"/>
  <c r="AF550" i="11"/>
  <c r="AR550" i="11" s="1"/>
  <c r="AF544" i="11"/>
  <c r="AR544" i="11" s="1"/>
  <c r="AF540" i="11"/>
  <c r="AR540" i="11" s="1"/>
  <c r="AF561" i="11"/>
  <c r="AR561" i="11" s="1"/>
  <c r="AF560" i="11"/>
  <c r="AR560" i="11" s="1"/>
  <c r="V550" i="11"/>
  <c r="AU550" i="11" s="1"/>
  <c r="V544" i="11"/>
  <c r="AU544" i="11" s="1"/>
  <c r="V539" i="11"/>
  <c r="AU539" i="11" s="1"/>
  <c r="V529" i="11"/>
  <c r="AU529" i="11" s="1"/>
  <c r="V542" i="11"/>
  <c r="AU542" i="11" s="1"/>
  <c r="V560" i="11"/>
  <c r="AU560" i="11" s="1"/>
  <c r="V533" i="11"/>
  <c r="V525" i="11"/>
  <c r="AU525" i="11" s="1"/>
  <c r="V524" i="11"/>
  <c r="AU524" i="11" s="1"/>
  <c r="V547" i="11"/>
  <c r="AU547" i="11" s="1"/>
  <c r="V546" i="11"/>
  <c r="V553" i="11"/>
  <c r="AU553" i="11" s="1"/>
  <c r="V534" i="11"/>
  <c r="AU534" i="11" s="1"/>
  <c r="AI552" i="11"/>
  <c r="AM552" i="11"/>
  <c r="AO552" i="11"/>
  <c r="AK552" i="11"/>
  <c r="AI550" i="11"/>
  <c r="AO550" i="11"/>
  <c r="AM550" i="11"/>
  <c r="AK550" i="11"/>
  <c r="AI547" i="11"/>
  <c r="AM547" i="11"/>
  <c r="AO547" i="11"/>
  <c r="AK547" i="11"/>
  <c r="AI540" i="11"/>
  <c r="AM540" i="11"/>
  <c r="AO540" i="11"/>
  <c r="AK540" i="11"/>
  <c r="AI529" i="11"/>
  <c r="AO529" i="11"/>
  <c r="AM529" i="11"/>
  <c r="AK529" i="11"/>
  <c r="AI527" i="11"/>
  <c r="AO527" i="11"/>
  <c r="AM527" i="11"/>
  <c r="AK527" i="11"/>
  <c r="AI525" i="11"/>
  <c r="AM525" i="11"/>
  <c r="AK525" i="11"/>
  <c r="AO525" i="11"/>
  <c r="AI524" i="11"/>
  <c r="AM524" i="11"/>
  <c r="AK524" i="11"/>
  <c r="AO524" i="11"/>
  <c r="AI562" i="11"/>
  <c r="AM562" i="11"/>
  <c r="AO562" i="11"/>
  <c r="AK562" i="11"/>
  <c r="AI559" i="11"/>
  <c r="AO559" i="11"/>
  <c r="AM559" i="11"/>
  <c r="AK559" i="11"/>
  <c r="AI548" i="11"/>
  <c r="AO548" i="11"/>
  <c r="AK548" i="11"/>
  <c r="AM548" i="11"/>
  <c r="AI545" i="11"/>
  <c r="AO545" i="11"/>
  <c r="AM545" i="11"/>
  <c r="AK545" i="11"/>
  <c r="AI538" i="11"/>
  <c r="AO538" i="11"/>
  <c r="AM538" i="11"/>
  <c r="AK538" i="11"/>
  <c r="AI534" i="11"/>
  <c r="AM534" i="11"/>
  <c r="AO534" i="11"/>
  <c r="AK534" i="11"/>
  <c r="AI523" i="11"/>
  <c r="AO523" i="11"/>
  <c r="AM523" i="11"/>
  <c r="AK523" i="11"/>
  <c r="AI561" i="11"/>
  <c r="AO561" i="11"/>
  <c r="AM561" i="11"/>
  <c r="AK561" i="11"/>
  <c r="AI558" i="11"/>
  <c r="AO558" i="11"/>
  <c r="AM558" i="11"/>
  <c r="AK558" i="11"/>
  <c r="AI528" i="11"/>
  <c r="AO528" i="11"/>
  <c r="AM528" i="11"/>
  <c r="AK528" i="11"/>
  <c r="AI544" i="11"/>
  <c r="AO544" i="11"/>
  <c r="AM544" i="11"/>
  <c r="AK544" i="11"/>
  <c r="AI543" i="11"/>
  <c r="AO543" i="11"/>
  <c r="AM543" i="11"/>
  <c r="AK543" i="11"/>
  <c r="AI533" i="11"/>
  <c r="AO533" i="11"/>
  <c r="AM533" i="11"/>
  <c r="AK533" i="11"/>
  <c r="AI522" i="11"/>
  <c r="AO522" i="11"/>
  <c r="AM522" i="11"/>
  <c r="AK522" i="11"/>
  <c r="AI560" i="11"/>
  <c r="AO560" i="11"/>
  <c r="AK560" i="11"/>
  <c r="AM560" i="11"/>
  <c r="AI557" i="11"/>
  <c r="AO557" i="11"/>
  <c r="AM557" i="11"/>
  <c r="AK557" i="11"/>
  <c r="AI549" i="11"/>
  <c r="AO549" i="11"/>
  <c r="AM549" i="11"/>
  <c r="AK549" i="11"/>
  <c r="AI542" i="11"/>
  <c r="AO542" i="11"/>
  <c r="AM542" i="11"/>
  <c r="AK542" i="11"/>
  <c r="AI536" i="11"/>
  <c r="AO536" i="11"/>
  <c r="AM536" i="11"/>
  <c r="AK536" i="11"/>
  <c r="AI532" i="11"/>
  <c r="AO532" i="11"/>
  <c r="AM532" i="11"/>
  <c r="AK532" i="11"/>
  <c r="AI531" i="11"/>
  <c r="AM531" i="11"/>
  <c r="AO531" i="11"/>
  <c r="AK531" i="11"/>
  <c r="AI526" i="11"/>
  <c r="AO526" i="11"/>
  <c r="AM526" i="11"/>
  <c r="AK526" i="11"/>
  <c r="AI564" i="11"/>
  <c r="AO564" i="11"/>
  <c r="AM564" i="11"/>
  <c r="AK564" i="11"/>
  <c r="AI546" i="11"/>
  <c r="AO546" i="11"/>
  <c r="AM546" i="11"/>
  <c r="AK546" i="11"/>
  <c r="AI539" i="11"/>
  <c r="AO539" i="11"/>
  <c r="AK539" i="11"/>
  <c r="AM539" i="11"/>
  <c r="AI535" i="11"/>
  <c r="AO535" i="11"/>
  <c r="AM535" i="11"/>
  <c r="AK535" i="11"/>
  <c r="AI537" i="11"/>
  <c r="AO537" i="11"/>
  <c r="AM537" i="11"/>
  <c r="AK537" i="11"/>
  <c r="AI556" i="11"/>
  <c r="AM556" i="11"/>
  <c r="AO556" i="11"/>
  <c r="AK556" i="11"/>
  <c r="AI553" i="11"/>
  <c r="AM553" i="11"/>
  <c r="AO553" i="11"/>
  <c r="AK553" i="11"/>
  <c r="AI551" i="11"/>
  <c r="AO551" i="11"/>
  <c r="AK551" i="11"/>
  <c r="AM551" i="11"/>
  <c r="AI541" i="11"/>
  <c r="AO541" i="11"/>
  <c r="AM541" i="11"/>
  <c r="AK541" i="11"/>
  <c r="AI530" i="11"/>
  <c r="AO530" i="11"/>
  <c r="AM530" i="11"/>
  <c r="AK530" i="11"/>
  <c r="AI563" i="11"/>
  <c r="AM563" i="11"/>
  <c r="AO563" i="11"/>
  <c r="AK563" i="11"/>
  <c r="AG556" i="11"/>
  <c r="AG553" i="11"/>
  <c r="AG551" i="11"/>
  <c r="AG541" i="11"/>
  <c r="AG530" i="11"/>
  <c r="AG563" i="11"/>
  <c r="AG552" i="11"/>
  <c r="AG550" i="11"/>
  <c r="AG547" i="11"/>
  <c r="AG540" i="11"/>
  <c r="AG529" i="11"/>
  <c r="AG527" i="11"/>
  <c r="AG525" i="11"/>
  <c r="AG562" i="11"/>
  <c r="AG559" i="11"/>
  <c r="AG549" i="11"/>
  <c r="AG539" i="11"/>
  <c r="AG548" i="11"/>
  <c r="AG545" i="11"/>
  <c r="AG538" i="11"/>
  <c r="AG534" i="11"/>
  <c r="AG523" i="11"/>
  <c r="AG561" i="11"/>
  <c r="AG558" i="11"/>
  <c r="AG528" i="11"/>
  <c r="AG544" i="11"/>
  <c r="AG543" i="11"/>
  <c r="AG537" i="11"/>
  <c r="AG533" i="11"/>
  <c r="AG522" i="11"/>
  <c r="AG560" i="11"/>
  <c r="AG557" i="11"/>
  <c r="AG546" i="11"/>
  <c r="AG535" i="11"/>
  <c r="AG524" i="11"/>
  <c r="AG542" i="11"/>
  <c r="AG536" i="11"/>
  <c r="AG532" i="11"/>
  <c r="AG531" i="11"/>
  <c r="AG526" i="11"/>
  <c r="AG564" i="11"/>
  <c r="U557" i="11"/>
  <c r="V558" i="11"/>
  <c r="AU559" i="11"/>
  <c r="V561" i="11"/>
  <c r="U563" i="11"/>
  <c r="V562" i="11"/>
  <c r="V564" i="11"/>
  <c r="U531" i="11"/>
  <c r="V531" i="11" s="1"/>
  <c r="U532" i="11"/>
  <c r="V535" i="11"/>
  <c r="V538" i="11"/>
  <c r="V536" i="11"/>
  <c r="V543" i="11"/>
  <c r="V541" i="11"/>
  <c r="V540" i="11"/>
  <c r="V545" i="11"/>
  <c r="AU548" i="11"/>
  <c r="V551" i="11"/>
  <c r="V549" i="11"/>
  <c r="V552" i="11"/>
  <c r="V556" i="11"/>
  <c r="S450" i="11"/>
  <c r="T450" i="11" s="1"/>
  <c r="S415" i="11"/>
  <c r="AX528" i="11" l="1"/>
  <c r="BA528" i="11" s="1"/>
  <c r="BB528" i="11" s="1"/>
  <c r="AX548" i="11"/>
  <c r="BA548" i="11" s="1"/>
  <c r="BB548" i="11" s="1"/>
  <c r="AX537" i="11"/>
  <c r="BA537" i="11" s="1"/>
  <c r="BB537" i="11" s="1"/>
  <c r="AX562" i="11"/>
  <c r="BA562" i="11" s="1"/>
  <c r="BB562" i="11" s="1"/>
  <c r="AX525" i="11"/>
  <c r="BA525" i="11" s="1"/>
  <c r="BB525" i="11" s="1"/>
  <c r="AX543" i="11"/>
  <c r="BA543" i="11" s="1"/>
  <c r="BB543" i="11" s="1"/>
  <c r="AX527" i="11"/>
  <c r="BA527" i="11" s="1"/>
  <c r="BB527" i="11" s="1"/>
  <c r="AX544" i="11"/>
  <c r="BA544" i="11" s="1"/>
  <c r="BB544" i="11" s="1"/>
  <c r="AX529" i="11"/>
  <c r="BA529" i="11" s="1"/>
  <c r="BB529" i="11" s="1"/>
  <c r="AX532" i="11"/>
  <c r="BA532" i="11" s="1"/>
  <c r="BB532" i="11" s="1"/>
  <c r="AX536" i="11"/>
  <c r="BA536" i="11" s="1"/>
  <c r="BB536" i="11" s="1"/>
  <c r="AX547" i="11"/>
  <c r="BA547" i="11" s="1"/>
  <c r="BB547" i="11" s="1"/>
  <c r="AX558" i="11"/>
  <c r="BA558" i="11" s="1"/>
  <c r="BB558" i="11" s="1"/>
  <c r="AX524" i="11"/>
  <c r="BA524" i="11" s="1"/>
  <c r="BB524" i="11" s="1"/>
  <c r="AX550" i="11"/>
  <c r="BA550" i="11" s="1"/>
  <c r="BB550" i="11" s="1"/>
  <c r="AX542" i="11"/>
  <c r="BA542" i="11" s="1"/>
  <c r="BB542" i="11" s="1"/>
  <c r="AX561" i="11"/>
  <c r="BA561" i="11" s="1"/>
  <c r="BB561" i="11" s="1"/>
  <c r="AX535" i="11"/>
  <c r="BA535" i="11" s="1"/>
  <c r="BB535" i="11" s="1"/>
  <c r="AX552" i="11"/>
  <c r="BA552" i="11" s="1"/>
  <c r="BB552" i="11" s="1"/>
  <c r="AX563" i="11"/>
  <c r="BA563" i="11" s="1"/>
  <c r="BB563" i="11" s="1"/>
  <c r="AX534" i="11"/>
  <c r="BA534" i="11" s="1"/>
  <c r="BB534" i="11" s="1"/>
  <c r="AX530" i="11"/>
  <c r="BA530" i="11" s="1"/>
  <c r="BB530" i="11" s="1"/>
  <c r="AX546" i="11"/>
  <c r="BA546" i="11" s="1"/>
  <c r="BB546" i="11" s="1"/>
  <c r="AX557" i="11"/>
  <c r="BA557" i="11" s="1"/>
  <c r="BB557" i="11" s="1"/>
  <c r="AX538" i="11"/>
  <c r="BA538" i="11" s="1"/>
  <c r="BB538" i="11" s="1"/>
  <c r="AX541" i="11"/>
  <c r="BA541" i="11" s="1"/>
  <c r="BB541" i="11" s="1"/>
  <c r="AX523" i="11"/>
  <c r="BA523" i="11" s="1"/>
  <c r="BB523" i="11" s="1"/>
  <c r="AX560" i="11"/>
  <c r="BA560" i="11" s="1"/>
  <c r="BB560" i="11" s="1"/>
  <c r="AX545" i="11"/>
  <c r="BA545" i="11" s="1"/>
  <c r="BB545" i="11" s="1"/>
  <c r="AX551" i="11"/>
  <c r="BA551" i="11" s="1"/>
  <c r="BB551" i="11" s="1"/>
  <c r="AX531" i="11"/>
  <c r="BA531" i="11" s="1"/>
  <c r="BB531" i="11" s="1"/>
  <c r="AX553" i="11"/>
  <c r="BA553" i="11" s="1"/>
  <c r="BB553" i="11" s="1"/>
  <c r="AX539" i="11"/>
  <c r="BA539" i="11" s="1"/>
  <c r="BB539" i="11" s="1"/>
  <c r="AX556" i="11"/>
  <c r="BA556" i="11" s="1"/>
  <c r="BB556" i="11" s="1"/>
  <c r="AX533" i="11"/>
  <c r="BA533" i="11" s="1"/>
  <c r="BB533" i="11" s="1"/>
  <c r="AX549" i="11"/>
  <c r="BA549" i="11" s="1"/>
  <c r="BB549" i="11" s="1"/>
  <c r="AX540" i="11"/>
  <c r="BA540" i="11" s="1"/>
  <c r="BB540" i="11" s="1"/>
  <c r="AX564" i="11"/>
  <c r="BA564" i="11" s="1"/>
  <c r="BB564" i="11" s="1"/>
  <c r="AX559" i="11"/>
  <c r="BA559" i="11" s="1"/>
  <c r="BB559" i="11" s="1"/>
  <c r="AX522" i="11"/>
  <c r="BA522" i="11" s="1"/>
  <c r="BB522" i="11" s="1"/>
  <c r="AX526" i="11"/>
  <c r="BA526" i="11" s="1"/>
  <c r="BB526" i="11" s="1"/>
  <c r="AU546" i="11"/>
  <c r="AU533" i="11"/>
  <c r="U528" i="11"/>
  <c r="V528" i="11" s="1"/>
  <c r="AU528" i="11" s="1"/>
  <c r="V557" i="11"/>
  <c r="AU557" i="11" s="1"/>
  <c r="U523" i="11"/>
  <c r="V523" i="11" s="1"/>
  <c r="U530" i="11"/>
  <c r="V530" i="11" s="1"/>
  <c r="AU530" i="11" s="1"/>
  <c r="V563" i="11"/>
  <c r="AU563" i="11" s="1"/>
  <c r="V532" i="11"/>
  <c r="AU532" i="11" s="1"/>
  <c r="AU561" i="11"/>
  <c r="AU558" i="11"/>
  <c r="AU536" i="11"/>
  <c r="AU531" i="11"/>
  <c r="AU556" i="11"/>
  <c r="AU543" i="11"/>
  <c r="AU535" i="11"/>
  <c r="AU562" i="11"/>
  <c r="AU540" i="11"/>
  <c r="AU538" i="11"/>
  <c r="AU552" i="11"/>
  <c r="AU549" i="11"/>
  <c r="AU551" i="11"/>
  <c r="AU545" i="11"/>
  <c r="AU541" i="11"/>
  <c r="AU522" i="11"/>
  <c r="AU564" i="11"/>
  <c r="AU526" i="11"/>
  <c r="U527" i="11"/>
  <c r="V527" i="11" s="1"/>
  <c r="V537" i="11"/>
  <c r="R442" i="11"/>
  <c r="T442" i="11" s="1"/>
  <c r="S501" i="11"/>
  <c r="T501" i="11" s="1"/>
  <c r="S494" i="11"/>
  <c r="T494" i="11" s="1"/>
  <c r="S491" i="11"/>
  <c r="T491" i="11" s="1"/>
  <c r="R510" i="11"/>
  <c r="T510" i="11" s="1"/>
  <c r="R497" i="11"/>
  <c r="T497" i="11" s="1"/>
  <c r="R486" i="11"/>
  <c r="T486" i="11" s="1"/>
  <c r="R503" i="11"/>
  <c r="T503" i="11" s="1"/>
  <c r="R502" i="11"/>
  <c r="T502" i="11" s="1"/>
  <c r="S464" i="11"/>
  <c r="T464" i="11" s="1"/>
  <c r="R492" i="11"/>
  <c r="T492" i="11" s="1"/>
  <c r="R481" i="11"/>
  <c r="T481" i="11" s="1"/>
  <c r="AD495" i="11"/>
  <c r="W495" i="11"/>
  <c r="U495" i="11"/>
  <c r="AD485" i="11"/>
  <c r="W485" i="11"/>
  <c r="U482" i="11"/>
  <c r="U483" i="11"/>
  <c r="U484" i="11"/>
  <c r="U489" i="11"/>
  <c r="U490" i="11"/>
  <c r="U493" i="11"/>
  <c r="U496" i="11"/>
  <c r="U498" i="11"/>
  <c r="U504" i="11"/>
  <c r="U505" i="11"/>
  <c r="U506" i="11"/>
  <c r="U509" i="11"/>
  <c r="U511" i="11"/>
  <c r="U514" i="11"/>
  <c r="U515" i="11"/>
  <c r="U516" i="11"/>
  <c r="U517" i="11"/>
  <c r="U518" i="11"/>
  <c r="U519" i="11"/>
  <c r="U520" i="11"/>
  <c r="U521" i="11"/>
  <c r="H492" i="11"/>
  <c r="W492" i="11"/>
  <c r="AD492" i="11"/>
  <c r="AS492" i="11"/>
  <c r="AT492" i="11"/>
  <c r="AE492" i="11" s="1"/>
  <c r="H464" i="11"/>
  <c r="W464" i="11"/>
  <c r="AD464" i="11"/>
  <c r="AS464" i="11"/>
  <c r="AT464" i="11"/>
  <c r="AE464" i="11" s="1"/>
  <c r="H452" i="11"/>
  <c r="U452" i="11"/>
  <c r="W452" i="11"/>
  <c r="AD452" i="11"/>
  <c r="AS452" i="11"/>
  <c r="AT452" i="11"/>
  <c r="H494" i="11"/>
  <c r="H495" i="11"/>
  <c r="H496" i="11"/>
  <c r="H486" i="11"/>
  <c r="H487" i="11"/>
  <c r="H488" i="11"/>
  <c r="H489" i="11"/>
  <c r="H490" i="11"/>
  <c r="W486" i="11"/>
  <c r="W487" i="11"/>
  <c r="W488" i="11"/>
  <c r="W489" i="11"/>
  <c r="W490" i="11"/>
  <c r="AD486" i="11"/>
  <c r="AD487" i="11"/>
  <c r="AD488" i="11"/>
  <c r="AD489" i="11"/>
  <c r="AD490" i="11"/>
  <c r="AS486" i="11"/>
  <c r="AS487" i="11"/>
  <c r="AS488" i="11"/>
  <c r="AS489" i="11"/>
  <c r="AS490" i="11"/>
  <c r="AT486" i="11"/>
  <c r="AT487" i="11"/>
  <c r="AT488" i="11"/>
  <c r="AT489" i="11"/>
  <c r="AT490" i="11"/>
  <c r="H491" i="11"/>
  <c r="H493" i="11"/>
  <c r="W491" i="11"/>
  <c r="W493" i="11"/>
  <c r="W494" i="11"/>
  <c r="W496" i="11"/>
  <c r="AD491" i="11"/>
  <c r="AD493" i="11"/>
  <c r="AD494" i="11"/>
  <c r="AD496" i="11"/>
  <c r="AS491" i="11"/>
  <c r="AS493" i="11"/>
  <c r="AS494" i="11"/>
  <c r="AS495" i="11"/>
  <c r="AS496" i="11"/>
  <c r="AT491" i="11"/>
  <c r="AT493" i="11"/>
  <c r="AT494" i="11"/>
  <c r="AT495" i="11"/>
  <c r="AT496" i="11"/>
  <c r="H497" i="11"/>
  <c r="H498" i="11"/>
  <c r="H499" i="11"/>
  <c r="H500" i="11"/>
  <c r="H501" i="11"/>
  <c r="W497" i="11"/>
  <c r="W498" i="11"/>
  <c r="W499" i="11"/>
  <c r="W500" i="11"/>
  <c r="W501" i="11"/>
  <c r="AD497" i="11"/>
  <c r="AD498" i="11"/>
  <c r="AD499" i="11"/>
  <c r="AD500" i="11"/>
  <c r="AD501" i="11"/>
  <c r="AS497" i="11"/>
  <c r="AS498" i="11"/>
  <c r="AS499" i="11"/>
  <c r="AS500" i="11"/>
  <c r="AS501" i="11"/>
  <c r="AT497" i="11"/>
  <c r="AT498" i="11"/>
  <c r="AT499" i="11"/>
  <c r="AT500" i="11"/>
  <c r="AT501" i="11"/>
  <c r="H502" i="11"/>
  <c r="H503" i="11"/>
  <c r="H504" i="11"/>
  <c r="H505" i="11"/>
  <c r="H506" i="11"/>
  <c r="W502" i="11"/>
  <c r="W503" i="11"/>
  <c r="W504" i="11"/>
  <c r="W505" i="11"/>
  <c r="W506" i="11"/>
  <c r="AD502" i="11"/>
  <c r="AD503" i="11"/>
  <c r="AD504" i="11"/>
  <c r="AD505" i="11"/>
  <c r="AD506" i="11"/>
  <c r="AS502" i="11"/>
  <c r="AS503" i="11"/>
  <c r="AS504" i="11"/>
  <c r="AS505" i="11"/>
  <c r="AS506" i="11"/>
  <c r="AT502" i="11"/>
  <c r="AE502" i="11" s="1"/>
  <c r="AT503" i="11"/>
  <c r="AE503" i="11" s="1"/>
  <c r="AT504" i="11"/>
  <c r="AT505" i="11"/>
  <c r="AT506" i="11"/>
  <c r="H507" i="11"/>
  <c r="H508" i="11"/>
  <c r="H509" i="11"/>
  <c r="H510" i="11"/>
  <c r="H511" i="11"/>
  <c r="W507" i="11"/>
  <c r="W508" i="11"/>
  <c r="W509" i="11"/>
  <c r="W510" i="11"/>
  <c r="W511" i="11"/>
  <c r="AD507" i="11"/>
  <c r="AD508" i="11"/>
  <c r="AD509" i="11"/>
  <c r="AD510" i="11"/>
  <c r="AD511" i="11"/>
  <c r="AS507" i="11"/>
  <c r="AS508" i="11"/>
  <c r="AS509" i="11"/>
  <c r="AS510" i="11"/>
  <c r="AS511" i="11"/>
  <c r="AT507" i="11"/>
  <c r="AT508" i="11"/>
  <c r="AT509" i="11"/>
  <c r="AT510" i="11"/>
  <c r="AT511" i="11"/>
  <c r="H512" i="11"/>
  <c r="H513" i="11"/>
  <c r="H514" i="11"/>
  <c r="H515" i="11"/>
  <c r="H516" i="11"/>
  <c r="W512" i="11"/>
  <c r="W513" i="11"/>
  <c r="W514" i="11"/>
  <c r="W515" i="11"/>
  <c r="W516" i="11"/>
  <c r="AD512" i="11"/>
  <c r="AD513" i="11"/>
  <c r="AD514" i="11"/>
  <c r="AD515" i="11"/>
  <c r="AD516" i="11"/>
  <c r="AS512" i="11"/>
  <c r="AS513" i="11"/>
  <c r="AS514" i="11"/>
  <c r="AS515" i="11"/>
  <c r="AS516" i="11"/>
  <c r="AT512" i="11"/>
  <c r="AT513" i="11"/>
  <c r="AT514" i="11"/>
  <c r="AT515" i="11"/>
  <c r="AT516" i="11"/>
  <c r="AE516" i="11" s="1"/>
  <c r="R472" i="11"/>
  <c r="T472" i="11" s="1"/>
  <c r="R462" i="11"/>
  <c r="T462" i="11" s="1"/>
  <c r="R475" i="11"/>
  <c r="T475" i="11" s="1"/>
  <c r="R479" i="11"/>
  <c r="T479" i="11" s="1"/>
  <c r="R456" i="11"/>
  <c r="T456" i="11" s="1"/>
  <c r="R435" i="11"/>
  <c r="T435" i="11" s="1"/>
  <c r="R436" i="11"/>
  <c r="T436" i="11" s="1"/>
  <c r="R455" i="11"/>
  <c r="T455" i="11" s="1"/>
  <c r="R476" i="11"/>
  <c r="T476" i="11" s="1"/>
  <c r="R467" i="11"/>
  <c r="T467" i="11" s="1"/>
  <c r="R431" i="11"/>
  <c r="T431" i="11" s="1"/>
  <c r="S389" i="11"/>
  <c r="T389" i="11" s="1"/>
  <c r="S469" i="11"/>
  <c r="T469" i="11" s="1"/>
  <c r="S434" i="11"/>
  <c r="T434" i="11" s="1"/>
  <c r="R454" i="11"/>
  <c r="T454" i="11" s="1"/>
  <c r="AD471" i="11"/>
  <c r="W471" i="11"/>
  <c r="U471" i="11"/>
  <c r="H481" i="11"/>
  <c r="H482" i="11"/>
  <c r="H483" i="11"/>
  <c r="H484" i="11"/>
  <c r="H485" i="11"/>
  <c r="H517" i="11"/>
  <c r="H518" i="11"/>
  <c r="H519" i="11"/>
  <c r="H520" i="11"/>
  <c r="W481" i="11"/>
  <c r="W482" i="11"/>
  <c r="W483" i="11"/>
  <c r="W484" i="11"/>
  <c r="W517" i="11"/>
  <c r="W518" i="11"/>
  <c r="W519" i="11"/>
  <c r="W520" i="11"/>
  <c r="W521" i="11"/>
  <c r="AD481" i="11"/>
  <c r="AD482" i="11"/>
  <c r="AD483" i="11"/>
  <c r="AD484" i="11"/>
  <c r="AD517" i="11"/>
  <c r="AD518" i="11"/>
  <c r="AD519" i="11"/>
  <c r="AD520" i="11"/>
  <c r="AD521" i="11"/>
  <c r="AS481" i="11"/>
  <c r="AS482" i="11"/>
  <c r="AS483" i="11"/>
  <c r="AS484" i="11"/>
  <c r="AS485" i="11"/>
  <c r="AS517" i="11"/>
  <c r="AS518" i="11"/>
  <c r="AS519" i="11"/>
  <c r="AS520" i="11"/>
  <c r="AS521" i="11"/>
  <c r="AT481" i="11"/>
  <c r="AT482" i="11"/>
  <c r="AT483" i="11"/>
  <c r="AT484" i="11"/>
  <c r="AT485" i="11"/>
  <c r="AT517" i="11"/>
  <c r="AT518" i="11"/>
  <c r="AT519" i="11"/>
  <c r="AT520" i="11"/>
  <c r="AT521" i="11"/>
  <c r="AE521" i="11" s="1"/>
  <c r="R444" i="11"/>
  <c r="T444" i="11" s="1"/>
  <c r="R451" i="11"/>
  <c r="T451" i="11" s="1"/>
  <c r="R443" i="11"/>
  <c r="T443" i="11" s="1"/>
  <c r="U464" i="11" l="1"/>
  <c r="V464" i="11" s="1"/>
  <c r="U491" i="11"/>
  <c r="V491" i="11" s="1"/>
  <c r="U494" i="11"/>
  <c r="V494" i="11" s="1"/>
  <c r="AF491" i="11"/>
  <c r="AR491" i="11" s="1"/>
  <c r="AF483" i="11"/>
  <c r="AR483" i="11" s="1"/>
  <c r="AF506" i="11"/>
  <c r="AR506" i="11" s="1"/>
  <c r="AF493" i="11"/>
  <c r="AR493" i="11" s="1"/>
  <c r="U502" i="11"/>
  <c r="AF504" i="11"/>
  <c r="AR504" i="11" s="1"/>
  <c r="AF490" i="11"/>
  <c r="AR490" i="11" s="1"/>
  <c r="AF471" i="11"/>
  <c r="AR471" i="11" s="1"/>
  <c r="AF515" i="11"/>
  <c r="AR515" i="11" s="1"/>
  <c r="AF503" i="11"/>
  <c r="AR503" i="11" s="1"/>
  <c r="AF489" i="11"/>
  <c r="AR489" i="11" s="1"/>
  <c r="AF505" i="11"/>
  <c r="AR505" i="11" s="1"/>
  <c r="AF514" i="11"/>
  <c r="AR514" i="11" s="1"/>
  <c r="AF502" i="11"/>
  <c r="AR502" i="11" s="1"/>
  <c r="AF488" i="11"/>
  <c r="AR488" i="11" s="1"/>
  <c r="U510" i="11"/>
  <c r="V510" i="11" s="1"/>
  <c r="AF487" i="11"/>
  <c r="AR487" i="11" s="1"/>
  <c r="AF512" i="11"/>
  <c r="AR512" i="11" s="1"/>
  <c r="AF486" i="11"/>
  <c r="AR486" i="11" s="1"/>
  <c r="AF464" i="11"/>
  <c r="AR464" i="11" s="1"/>
  <c r="AF485" i="11"/>
  <c r="AR485" i="11" s="1"/>
  <c r="AF516" i="11"/>
  <c r="AR516" i="11" s="1"/>
  <c r="AF482" i="11"/>
  <c r="AR482" i="11" s="1"/>
  <c r="AF501" i="11"/>
  <c r="AR501" i="11" s="1"/>
  <c r="AF500" i="11"/>
  <c r="AR500" i="11" s="1"/>
  <c r="AF481" i="11"/>
  <c r="AR481" i="11" s="1"/>
  <c r="AF499" i="11"/>
  <c r="AR499" i="11" s="1"/>
  <c r="AF495" i="11"/>
  <c r="AR495" i="11" s="1"/>
  <c r="U501" i="11"/>
  <c r="V501" i="11" s="1"/>
  <c r="AF521" i="11"/>
  <c r="AR521" i="11" s="1"/>
  <c r="AF520" i="11"/>
  <c r="AR520" i="11" s="1"/>
  <c r="AF510" i="11"/>
  <c r="AR510" i="11" s="1"/>
  <c r="AF498" i="11"/>
  <c r="AR498" i="11" s="1"/>
  <c r="AF513" i="11"/>
  <c r="AR513" i="11" s="1"/>
  <c r="AF509" i="11"/>
  <c r="AR509" i="11" s="1"/>
  <c r="AF497" i="11"/>
  <c r="AR497" i="11" s="1"/>
  <c r="AF508" i="11"/>
  <c r="AR508" i="11" s="1"/>
  <c r="AF492" i="11"/>
  <c r="AR492" i="11" s="1"/>
  <c r="U481" i="11"/>
  <c r="V481" i="11" s="1"/>
  <c r="AF519" i="11"/>
  <c r="AR519" i="11" s="1"/>
  <c r="AF518" i="11"/>
  <c r="AR518" i="11" s="1"/>
  <c r="AF517" i="11"/>
  <c r="AR517" i="11" s="1"/>
  <c r="AF507" i="11"/>
  <c r="AR507" i="11" s="1"/>
  <c r="AF496" i="11"/>
  <c r="AR496" i="11" s="1"/>
  <c r="AF452" i="11"/>
  <c r="AR452" i="11" s="1"/>
  <c r="U492" i="11"/>
  <c r="AF484" i="11"/>
  <c r="AR484" i="11" s="1"/>
  <c r="AF494" i="11"/>
  <c r="AR494" i="11" s="1"/>
  <c r="V495" i="11"/>
  <c r="AU495" i="11" s="1"/>
  <c r="V471" i="11"/>
  <c r="V521" i="11"/>
  <c r="V520" i="11"/>
  <c r="AU520" i="11" s="1"/>
  <c r="V484" i="11"/>
  <c r="AU484" i="11" s="1"/>
  <c r="V518" i="11"/>
  <c r="AU518" i="11" s="1"/>
  <c r="V483" i="11"/>
  <c r="AU483" i="11" s="1"/>
  <c r="V517" i="11"/>
  <c r="AU517" i="11" s="1"/>
  <c r="V482" i="11"/>
  <c r="AU482" i="11" s="1"/>
  <c r="V493" i="11"/>
  <c r="AU493" i="11" s="1"/>
  <c r="V519" i="11"/>
  <c r="AU519" i="11" s="1"/>
  <c r="V498" i="11"/>
  <c r="AU498" i="11" s="1"/>
  <c r="V452" i="11"/>
  <c r="AU452" i="11" s="1"/>
  <c r="AI521" i="11"/>
  <c r="AO521" i="11"/>
  <c r="AM521" i="11"/>
  <c r="AK521" i="11"/>
  <c r="AI484" i="11"/>
  <c r="AO484" i="11"/>
  <c r="AM484" i="11"/>
  <c r="AK484" i="11"/>
  <c r="AI519" i="11"/>
  <c r="AM519" i="11"/>
  <c r="AK519" i="11"/>
  <c r="AO519" i="11"/>
  <c r="AI516" i="11"/>
  <c r="AO516" i="11"/>
  <c r="AM516" i="11"/>
  <c r="AK516" i="11"/>
  <c r="AI481" i="11"/>
  <c r="AO481" i="11"/>
  <c r="AM481" i="11"/>
  <c r="AK481" i="11"/>
  <c r="AI485" i="11"/>
  <c r="AO485" i="11"/>
  <c r="AM485" i="11"/>
  <c r="AK485" i="11"/>
  <c r="AI513" i="11"/>
  <c r="AO513" i="11"/>
  <c r="AM513" i="11"/>
  <c r="AK513" i="11"/>
  <c r="AI509" i="11"/>
  <c r="AO509" i="11"/>
  <c r="AK509" i="11"/>
  <c r="AM509" i="11"/>
  <c r="AI506" i="11"/>
  <c r="AO506" i="11"/>
  <c r="AM506" i="11"/>
  <c r="AK506" i="11"/>
  <c r="AI501" i="11"/>
  <c r="AO501" i="11"/>
  <c r="AM501" i="11"/>
  <c r="AK501" i="11"/>
  <c r="AI491" i="11"/>
  <c r="AO491" i="11"/>
  <c r="AM491" i="11"/>
  <c r="AK491" i="11"/>
  <c r="AI488" i="11"/>
  <c r="AO488" i="11"/>
  <c r="AM488" i="11"/>
  <c r="AK488" i="11"/>
  <c r="AU527" i="11"/>
  <c r="AI505" i="11"/>
  <c r="AM505" i="11"/>
  <c r="AO505" i="11"/>
  <c r="AK505" i="11"/>
  <c r="AI500" i="11"/>
  <c r="AO500" i="11"/>
  <c r="AM500" i="11"/>
  <c r="AK500" i="11"/>
  <c r="AI487" i="11"/>
  <c r="AO487" i="11"/>
  <c r="AM487" i="11"/>
  <c r="AK487" i="11"/>
  <c r="AI464" i="11"/>
  <c r="AO464" i="11"/>
  <c r="AM464" i="11"/>
  <c r="AK464" i="11"/>
  <c r="AU523" i="11"/>
  <c r="AI508" i="11"/>
  <c r="AO508" i="11"/>
  <c r="AM508" i="11"/>
  <c r="AK508" i="11"/>
  <c r="AI520" i="11"/>
  <c r="AO520" i="11"/>
  <c r="AM520" i="11"/>
  <c r="AK520" i="11"/>
  <c r="AI483" i="11"/>
  <c r="AM483" i="11"/>
  <c r="AK483" i="11"/>
  <c r="AO483" i="11"/>
  <c r="AI507" i="11"/>
  <c r="AO507" i="11"/>
  <c r="AM507" i="11"/>
  <c r="AK507" i="11"/>
  <c r="AI504" i="11"/>
  <c r="AM504" i="11"/>
  <c r="AO504" i="11"/>
  <c r="AK504" i="11"/>
  <c r="AI499" i="11"/>
  <c r="AO499" i="11"/>
  <c r="AM499" i="11"/>
  <c r="AK499" i="11"/>
  <c r="AI496" i="11"/>
  <c r="AO496" i="11"/>
  <c r="AM496" i="11"/>
  <c r="AK496" i="11"/>
  <c r="AI486" i="11"/>
  <c r="AO486" i="11"/>
  <c r="AM486" i="11"/>
  <c r="AK486" i="11"/>
  <c r="AI452" i="11"/>
  <c r="AO452" i="11"/>
  <c r="AM452" i="11"/>
  <c r="AK452" i="11"/>
  <c r="AI498" i="11"/>
  <c r="AM498" i="11"/>
  <c r="AO498" i="11"/>
  <c r="AK498" i="11"/>
  <c r="AI495" i="11"/>
  <c r="AO495" i="11"/>
  <c r="AM495" i="11"/>
  <c r="AK495" i="11"/>
  <c r="AI512" i="11"/>
  <c r="AO512" i="11"/>
  <c r="AM512" i="11"/>
  <c r="AK512" i="11"/>
  <c r="AI482" i="11"/>
  <c r="AM482" i="11"/>
  <c r="AK482" i="11"/>
  <c r="AO482" i="11"/>
  <c r="AI515" i="11"/>
  <c r="AO515" i="11"/>
  <c r="AM515" i="11"/>
  <c r="AK515" i="11"/>
  <c r="AI511" i="11"/>
  <c r="AO511" i="11"/>
  <c r="AM511" i="11"/>
  <c r="AK511" i="11"/>
  <c r="AI502" i="11"/>
  <c r="AO502" i="11"/>
  <c r="AM502" i="11"/>
  <c r="AK502" i="11"/>
  <c r="AI497" i="11"/>
  <c r="AO497" i="11"/>
  <c r="AM497" i="11"/>
  <c r="AK497" i="11"/>
  <c r="AI494" i="11"/>
  <c r="AO494" i="11"/>
  <c r="AK494" i="11"/>
  <c r="AM494" i="11"/>
  <c r="AI490" i="11"/>
  <c r="AM490" i="11"/>
  <c r="AO490" i="11"/>
  <c r="AK490" i="11"/>
  <c r="AI492" i="11"/>
  <c r="AO492" i="11"/>
  <c r="AM492" i="11"/>
  <c r="AK492" i="11"/>
  <c r="AI503" i="11"/>
  <c r="AO503" i="11"/>
  <c r="AM503" i="11"/>
  <c r="AK503" i="11"/>
  <c r="AI518" i="11"/>
  <c r="AM518" i="11"/>
  <c r="AO518" i="11"/>
  <c r="AK518" i="11"/>
  <c r="AI517" i="11"/>
  <c r="AO517" i="11"/>
  <c r="AM517" i="11"/>
  <c r="AK517" i="11"/>
  <c r="AI514" i="11"/>
  <c r="AO514" i="11"/>
  <c r="AM514" i="11"/>
  <c r="AK514" i="11"/>
  <c r="AI510" i="11"/>
  <c r="AO510" i="11"/>
  <c r="AM510" i="11"/>
  <c r="AK510" i="11"/>
  <c r="AI493" i="11"/>
  <c r="AO493" i="11"/>
  <c r="AM493" i="11"/>
  <c r="AK493" i="11"/>
  <c r="AI489" i="11"/>
  <c r="AM489" i="11"/>
  <c r="AO489" i="11"/>
  <c r="AK489" i="11"/>
  <c r="AU537" i="11"/>
  <c r="AG507" i="11"/>
  <c r="AG504" i="11"/>
  <c r="AG499" i="11"/>
  <c r="AG496" i="11"/>
  <c r="AG486" i="11"/>
  <c r="AG452" i="11"/>
  <c r="AG484" i="11"/>
  <c r="AG515" i="11"/>
  <c r="AG511" i="11"/>
  <c r="AG502" i="11"/>
  <c r="AG497" i="11"/>
  <c r="AG494" i="11"/>
  <c r="AG490" i="11"/>
  <c r="AG492" i="11"/>
  <c r="AG520" i="11"/>
  <c r="AG483" i="11"/>
  <c r="AG519" i="11"/>
  <c r="AG503" i="11"/>
  <c r="AG481" i="11"/>
  <c r="AG517" i="11"/>
  <c r="AG514" i="11"/>
  <c r="AG510" i="11"/>
  <c r="AG493" i="11"/>
  <c r="AG489" i="11"/>
  <c r="AG521" i="11"/>
  <c r="AG482" i="11"/>
  <c r="AG516" i="11"/>
  <c r="AG498" i="11"/>
  <c r="AG495" i="11"/>
  <c r="AG518" i="11"/>
  <c r="AG485" i="11"/>
  <c r="AG513" i="11"/>
  <c r="AG509" i="11"/>
  <c r="AG506" i="11"/>
  <c r="AG501" i="11"/>
  <c r="AG491" i="11"/>
  <c r="AG488" i="11"/>
  <c r="AG512" i="11"/>
  <c r="AG508" i="11"/>
  <c r="AG505" i="11"/>
  <c r="AG500" i="11"/>
  <c r="AG487" i="11"/>
  <c r="AG464" i="11"/>
  <c r="AF511" i="11"/>
  <c r="AR511" i="11" s="1"/>
  <c r="U488" i="11"/>
  <c r="U499" i="11"/>
  <c r="V499" i="11" s="1"/>
  <c r="U487" i="11"/>
  <c r="V487" i="11" s="1"/>
  <c r="U500" i="11"/>
  <c r="U485" i="11"/>
  <c r="V489" i="11"/>
  <c r="V490" i="11"/>
  <c r="V496" i="11"/>
  <c r="V505" i="11"/>
  <c r="V504" i="11"/>
  <c r="V506" i="11"/>
  <c r="U507" i="11"/>
  <c r="U508" i="11"/>
  <c r="V508" i="11" s="1"/>
  <c r="V509" i="11"/>
  <c r="V511" i="11"/>
  <c r="U512" i="11"/>
  <c r="V512" i="11" s="1"/>
  <c r="V515" i="11"/>
  <c r="U513" i="11"/>
  <c r="V514" i="11"/>
  <c r="V516" i="11"/>
  <c r="R470" i="11"/>
  <c r="T470" i="11" s="1"/>
  <c r="R463" i="11"/>
  <c r="T463" i="11" s="1"/>
  <c r="R447" i="11"/>
  <c r="T447" i="11" s="1"/>
  <c r="AX494" i="11" l="1"/>
  <c r="BA494" i="11" s="1"/>
  <c r="BB494" i="11" s="1"/>
  <c r="AX508" i="11"/>
  <c r="BA508" i="11" s="1"/>
  <c r="BB508" i="11" s="1"/>
  <c r="AX497" i="11"/>
  <c r="BA497" i="11" s="1"/>
  <c r="BB497" i="11" s="1"/>
  <c r="AX521" i="11"/>
  <c r="BA521" i="11" s="1"/>
  <c r="BB521" i="11" s="1"/>
  <c r="AX502" i="11"/>
  <c r="BA502" i="11" s="1"/>
  <c r="BB502" i="11" s="1"/>
  <c r="AX512" i="11"/>
  <c r="BA512" i="11" s="1"/>
  <c r="BB512" i="11" s="1"/>
  <c r="AX488" i="11"/>
  <c r="BA488" i="11" s="1"/>
  <c r="BB488" i="11" s="1"/>
  <c r="AX493" i="11"/>
  <c r="BA493" i="11" s="1"/>
  <c r="BB493" i="11" s="1"/>
  <c r="AX507" i="11"/>
  <c r="BA507" i="11" s="1"/>
  <c r="BB507" i="11" s="1"/>
  <c r="AX511" i="11"/>
  <c r="BA511" i="11" s="1"/>
  <c r="BB511" i="11" s="1"/>
  <c r="AX501" i="11"/>
  <c r="BA501" i="11" s="1"/>
  <c r="BB501" i="11" s="1"/>
  <c r="AX514" i="11"/>
  <c r="BA514" i="11" s="1"/>
  <c r="BB514" i="11" s="1"/>
  <c r="AX515" i="11"/>
  <c r="BA515" i="11" s="1"/>
  <c r="BB515" i="11" s="1"/>
  <c r="AX491" i="11"/>
  <c r="BA491" i="11" s="1"/>
  <c r="BB491" i="11" s="1"/>
  <c r="AX506" i="11"/>
  <c r="BA506" i="11" s="1"/>
  <c r="BB506" i="11" s="1"/>
  <c r="AX484" i="11"/>
  <c r="BA484" i="11" s="1"/>
  <c r="BB484" i="11" s="1"/>
  <c r="AX510" i="11"/>
  <c r="BA510" i="11" s="1"/>
  <c r="BB510" i="11" s="1"/>
  <c r="AX517" i="11"/>
  <c r="BA517" i="11" s="1"/>
  <c r="BB517" i="11" s="1"/>
  <c r="AX509" i="11"/>
  <c r="BA509" i="11" s="1"/>
  <c r="BB509" i="11" s="1"/>
  <c r="AX481" i="11"/>
  <c r="BA481" i="11" s="1"/>
  <c r="BB481" i="11" s="1"/>
  <c r="AX452" i="11"/>
  <c r="BA452" i="11" s="1"/>
  <c r="BB452" i="11" s="1"/>
  <c r="AX505" i="11"/>
  <c r="BA505" i="11" s="1"/>
  <c r="BB505" i="11" s="1"/>
  <c r="AX486" i="11"/>
  <c r="BA486" i="11" s="1"/>
  <c r="BB486" i="11" s="1"/>
  <c r="AX464" i="11"/>
  <c r="BA464" i="11" s="1"/>
  <c r="BB464" i="11" s="1"/>
  <c r="AX498" i="11"/>
  <c r="BA498" i="11" s="1"/>
  <c r="BB498" i="11" s="1"/>
  <c r="AX520" i="11"/>
  <c r="BA520" i="11" s="1"/>
  <c r="BB520" i="11" s="1"/>
  <c r="AX503" i="11"/>
  <c r="BA503" i="11" s="1"/>
  <c r="BB503" i="11" s="1"/>
  <c r="AX485" i="11"/>
  <c r="BA485" i="11" s="1"/>
  <c r="BB485" i="11" s="1"/>
  <c r="AX496" i="11"/>
  <c r="BA496" i="11" s="1"/>
  <c r="BB496" i="11" s="1"/>
  <c r="AX489" i="11"/>
  <c r="BA489" i="11" s="1"/>
  <c r="BB489" i="11" s="1"/>
  <c r="AX518" i="11"/>
  <c r="BA518" i="11" s="1"/>
  <c r="BB518" i="11" s="1"/>
  <c r="AX499" i="11"/>
  <c r="BA499" i="11" s="1"/>
  <c r="BB499" i="11" s="1"/>
  <c r="AX513" i="11"/>
  <c r="BA513" i="11" s="1"/>
  <c r="BB513" i="11" s="1"/>
  <c r="AX519" i="11"/>
  <c r="BA519" i="11" s="1"/>
  <c r="BB519" i="11" s="1"/>
  <c r="AX495" i="11"/>
  <c r="BA495" i="11" s="1"/>
  <c r="BB495" i="11" s="1"/>
  <c r="AX483" i="11"/>
  <c r="BA483" i="11" s="1"/>
  <c r="BB483" i="11" s="1"/>
  <c r="AX504" i="11"/>
  <c r="BA504" i="11" s="1"/>
  <c r="BB504" i="11" s="1"/>
  <c r="AX516" i="11"/>
  <c r="BA516" i="11" s="1"/>
  <c r="BB516" i="11" s="1"/>
  <c r="AX492" i="11"/>
  <c r="BA492" i="11" s="1"/>
  <c r="BB492" i="11" s="1"/>
  <c r="AX487" i="11"/>
  <c r="BA487" i="11" s="1"/>
  <c r="BB487" i="11" s="1"/>
  <c r="AX500" i="11"/>
  <c r="BA500" i="11" s="1"/>
  <c r="BB500" i="11" s="1"/>
  <c r="AX482" i="11"/>
  <c r="BA482" i="11" s="1"/>
  <c r="BB482" i="11" s="1"/>
  <c r="AX490" i="11"/>
  <c r="BA490" i="11" s="1"/>
  <c r="BB490" i="11" s="1"/>
  <c r="AU521" i="11"/>
  <c r="U463" i="11"/>
  <c r="V463" i="11" s="1"/>
  <c r="U470" i="11"/>
  <c r="U486" i="11"/>
  <c r="V486" i="11" s="1"/>
  <c r="AU486" i="11" s="1"/>
  <c r="V500" i="11"/>
  <c r="AU500" i="11" s="1"/>
  <c r="V513" i="11"/>
  <c r="AU513" i="11" s="1"/>
  <c r="U497" i="11"/>
  <c r="V497" i="11" s="1"/>
  <c r="AU497" i="11" s="1"/>
  <c r="V507" i="11"/>
  <c r="AU507" i="11" s="1"/>
  <c r="V485" i="11"/>
  <c r="AU485" i="11" s="1"/>
  <c r="AU489" i="11"/>
  <c r="AU509" i="11"/>
  <c r="AU504" i="11"/>
  <c r="AU496" i="11"/>
  <c r="AU490" i="11"/>
  <c r="AU510" i="11"/>
  <c r="AU501" i="11"/>
  <c r="AU512" i="11"/>
  <c r="AU481" i="11"/>
  <c r="AU487" i="11"/>
  <c r="AU491" i="11"/>
  <c r="AU511" i="11"/>
  <c r="AU505" i="11"/>
  <c r="AU464" i="11"/>
  <c r="AU494" i="11"/>
  <c r="AU499" i="11"/>
  <c r="AU506" i="11"/>
  <c r="AU508" i="11"/>
  <c r="AU516" i="11"/>
  <c r="AU514" i="11"/>
  <c r="AU515" i="11"/>
  <c r="V502" i="11"/>
  <c r="V488" i="11"/>
  <c r="V492" i="11"/>
  <c r="U503" i="11"/>
  <c r="H451" i="11"/>
  <c r="U451" i="11"/>
  <c r="W451" i="11"/>
  <c r="AD451" i="11"/>
  <c r="AS451" i="11"/>
  <c r="AT451" i="11"/>
  <c r="AE451" i="11" s="1"/>
  <c r="H445" i="11"/>
  <c r="U445" i="11"/>
  <c r="W445" i="11"/>
  <c r="AD445" i="11"/>
  <c r="AS445" i="11"/>
  <c r="AT445" i="11"/>
  <c r="H443" i="11"/>
  <c r="U443" i="11"/>
  <c r="W443" i="11"/>
  <c r="AD443" i="11"/>
  <c r="AS443" i="11"/>
  <c r="AT443" i="11"/>
  <c r="AE443" i="11" s="1"/>
  <c r="H444" i="11"/>
  <c r="U444" i="11"/>
  <c r="W444" i="11"/>
  <c r="AD444" i="11"/>
  <c r="AS444" i="11"/>
  <c r="AT444" i="11"/>
  <c r="AE444" i="11" s="1"/>
  <c r="H416" i="11"/>
  <c r="H417" i="11"/>
  <c r="U416" i="11"/>
  <c r="U417" i="11"/>
  <c r="W416" i="11"/>
  <c r="W417" i="11"/>
  <c r="AD416" i="11"/>
  <c r="AD417" i="11"/>
  <c r="AS416" i="11"/>
  <c r="AS417" i="11"/>
  <c r="AT416" i="11"/>
  <c r="AT417" i="11"/>
  <c r="H455" i="11"/>
  <c r="H456" i="11"/>
  <c r="H457" i="11"/>
  <c r="H458" i="11"/>
  <c r="H459" i="11"/>
  <c r="U455" i="11"/>
  <c r="U456" i="11"/>
  <c r="U457" i="11"/>
  <c r="U458" i="11"/>
  <c r="U459" i="11"/>
  <c r="W455" i="11"/>
  <c r="W456" i="11"/>
  <c r="W457" i="11"/>
  <c r="W458" i="11"/>
  <c r="W459" i="11"/>
  <c r="AD455" i="11"/>
  <c r="AD456" i="11"/>
  <c r="AD457" i="11"/>
  <c r="AD458" i="11"/>
  <c r="AD459" i="11"/>
  <c r="AS455" i="11"/>
  <c r="AS456" i="11"/>
  <c r="AS457" i="11"/>
  <c r="AS458" i="11"/>
  <c r="AS459" i="11"/>
  <c r="AT455" i="11"/>
  <c r="AE455" i="11" s="1"/>
  <c r="AT456" i="11"/>
  <c r="AE456" i="11" s="1"/>
  <c r="AT457" i="11"/>
  <c r="AT458" i="11"/>
  <c r="AT459" i="11"/>
  <c r="H460" i="11"/>
  <c r="H461" i="11"/>
  <c r="H462" i="11"/>
  <c r="H463" i="11"/>
  <c r="H465" i="11"/>
  <c r="U460" i="11"/>
  <c r="U461" i="11"/>
  <c r="U462" i="11"/>
  <c r="U465" i="11"/>
  <c r="W460" i="11"/>
  <c r="W461" i="11"/>
  <c r="W462" i="11"/>
  <c r="W463" i="11"/>
  <c r="W465" i="11"/>
  <c r="AD460" i="11"/>
  <c r="AD462" i="11"/>
  <c r="AD463" i="11"/>
  <c r="AD465" i="11"/>
  <c r="AS460" i="11"/>
  <c r="AS461" i="11"/>
  <c r="AS462" i="11"/>
  <c r="AS463" i="11"/>
  <c r="AS465" i="11"/>
  <c r="AT460" i="11"/>
  <c r="AT461" i="11"/>
  <c r="AT462" i="11"/>
  <c r="AT463" i="11"/>
  <c r="AT465" i="11"/>
  <c r="H466" i="11"/>
  <c r="H467" i="11"/>
  <c r="H468" i="11"/>
  <c r="H469" i="11"/>
  <c r="H470" i="11"/>
  <c r="U467" i="11"/>
  <c r="U469" i="11"/>
  <c r="W466" i="11"/>
  <c r="W467" i="11"/>
  <c r="W468" i="11"/>
  <c r="W469" i="11"/>
  <c r="W470" i="11"/>
  <c r="AD466" i="11"/>
  <c r="AD467" i="11"/>
  <c r="AD469" i="11"/>
  <c r="AD470" i="11"/>
  <c r="AS466" i="11"/>
  <c r="AS467" i="11"/>
  <c r="AS468" i="11"/>
  <c r="AS469" i="11"/>
  <c r="AS470" i="11"/>
  <c r="AT466" i="11"/>
  <c r="AT467" i="11"/>
  <c r="AE467" i="11" s="1"/>
  <c r="AT468" i="11"/>
  <c r="AT469" i="11"/>
  <c r="AT470" i="11"/>
  <c r="H471" i="11"/>
  <c r="H472" i="11"/>
  <c r="H473" i="11"/>
  <c r="H474" i="11"/>
  <c r="H475" i="11"/>
  <c r="U472" i="11"/>
  <c r="U473" i="11"/>
  <c r="U474" i="11"/>
  <c r="U475" i="11"/>
  <c r="W472" i="11"/>
  <c r="W473" i="11"/>
  <c r="W474" i="11"/>
  <c r="W475" i="11"/>
  <c r="AD472" i="11"/>
  <c r="AD473" i="11"/>
  <c r="AD474" i="11"/>
  <c r="AD475" i="11"/>
  <c r="AS471" i="11"/>
  <c r="AS472" i="11"/>
  <c r="AS473" i="11"/>
  <c r="AS474" i="11"/>
  <c r="AS475" i="11"/>
  <c r="AT471" i="11"/>
  <c r="AT472" i="11"/>
  <c r="AT473" i="11"/>
  <c r="AT474" i="11"/>
  <c r="AT475" i="11"/>
  <c r="H476" i="11"/>
  <c r="H477" i="11"/>
  <c r="U476" i="11"/>
  <c r="U477" i="11"/>
  <c r="W476" i="11"/>
  <c r="W477" i="11"/>
  <c r="AD476" i="11"/>
  <c r="AD477" i="11"/>
  <c r="AS476" i="11"/>
  <c r="AS477" i="11"/>
  <c r="AT476" i="11"/>
  <c r="AE476" i="11" s="1"/>
  <c r="AT477" i="11"/>
  <c r="H478" i="11"/>
  <c r="H479" i="11"/>
  <c r="U478" i="11"/>
  <c r="W478" i="11"/>
  <c r="W479" i="11"/>
  <c r="AD478" i="11"/>
  <c r="AD479" i="11"/>
  <c r="AS478" i="11"/>
  <c r="AS479" i="11"/>
  <c r="AT478" i="11"/>
  <c r="AT479" i="11"/>
  <c r="AE479" i="11" s="1"/>
  <c r="H480" i="11"/>
  <c r="U480" i="11"/>
  <c r="W480" i="11"/>
  <c r="AD480" i="11"/>
  <c r="AS480" i="11"/>
  <c r="AT480" i="11"/>
  <c r="R421" i="11"/>
  <c r="T421" i="11" s="1"/>
  <c r="AF463" i="11" l="1"/>
  <c r="AR463" i="11" s="1"/>
  <c r="AF443" i="11"/>
  <c r="AR443" i="11" s="1"/>
  <c r="AF451" i="11"/>
  <c r="AR451" i="11" s="1"/>
  <c r="AF461" i="11"/>
  <c r="AR461" i="11" s="1"/>
  <c r="AF470" i="11"/>
  <c r="AR470" i="11" s="1"/>
  <c r="AF460" i="11"/>
  <c r="AR460" i="11" s="1"/>
  <c r="AF469" i="11"/>
  <c r="AR469" i="11" s="1"/>
  <c r="AF480" i="11"/>
  <c r="AR480" i="11" s="1"/>
  <c r="AF468" i="11"/>
  <c r="AR468" i="11" s="1"/>
  <c r="AF467" i="11"/>
  <c r="AR467" i="11" s="1"/>
  <c r="AF478" i="11"/>
  <c r="AR478" i="11" s="1"/>
  <c r="AF466" i="11"/>
  <c r="AR466" i="11" s="1"/>
  <c r="AF444" i="11"/>
  <c r="AR444" i="11" s="1"/>
  <c r="AF475" i="11"/>
  <c r="AR475" i="11" s="1"/>
  <c r="AF445" i="11"/>
  <c r="AR445" i="11" s="1"/>
  <c r="AF465" i="11"/>
  <c r="AR465" i="11" s="1"/>
  <c r="AF459" i="11"/>
  <c r="AR459" i="11" s="1"/>
  <c r="AF474" i="11"/>
  <c r="AR474" i="11" s="1"/>
  <c r="AF473" i="11"/>
  <c r="AR473" i="11" s="1"/>
  <c r="AF458" i="11"/>
  <c r="AR458" i="11" s="1"/>
  <c r="AF417" i="11"/>
  <c r="AR417" i="11" s="1"/>
  <c r="AF472" i="11"/>
  <c r="AR472" i="11" s="1"/>
  <c r="AF457" i="11"/>
  <c r="AR457" i="11" s="1"/>
  <c r="AF416" i="11"/>
  <c r="AR416" i="11" s="1"/>
  <c r="AF477" i="11"/>
  <c r="AR477" i="11" s="1"/>
  <c r="AF456" i="11"/>
  <c r="AR456" i="11" s="1"/>
  <c r="AF479" i="11"/>
  <c r="AR479" i="11" s="1"/>
  <c r="AF476" i="11"/>
  <c r="AR476" i="11" s="1"/>
  <c r="AF455" i="11"/>
  <c r="AR455" i="11" s="1"/>
  <c r="V461" i="11"/>
  <c r="AU461" i="11" s="1"/>
  <c r="V460" i="11"/>
  <c r="AU460" i="11" s="1"/>
  <c r="V445" i="11"/>
  <c r="AU445" i="11" s="1"/>
  <c r="V467" i="11"/>
  <c r="V462" i="11"/>
  <c r="AU462" i="11" s="1"/>
  <c r="V503" i="11"/>
  <c r="AU503" i="11" s="1"/>
  <c r="V417" i="11"/>
  <c r="AU417" i="11" s="1"/>
  <c r="V459" i="11"/>
  <c r="AU459" i="11" s="1"/>
  <c r="AU468" i="11"/>
  <c r="V474" i="11"/>
  <c r="AU474" i="11" s="1"/>
  <c r="V458" i="11"/>
  <c r="AU458" i="11" s="1"/>
  <c r="V469" i="11"/>
  <c r="AU469" i="11" s="1"/>
  <c r="V475" i="11"/>
  <c r="AU475" i="11" s="1"/>
  <c r="V472" i="11"/>
  <c r="AU472" i="11" s="1"/>
  <c r="V457" i="11"/>
  <c r="AU457" i="11" s="1"/>
  <c r="V443" i="11"/>
  <c r="V456" i="11"/>
  <c r="V451" i="11"/>
  <c r="V480" i="11"/>
  <c r="AU480" i="11" s="1"/>
  <c r="V455" i="11"/>
  <c r="V473" i="11"/>
  <c r="AU473" i="11" s="1"/>
  <c r="V465" i="11"/>
  <c r="AU465" i="11" s="1"/>
  <c r="AF462" i="11"/>
  <c r="AR462" i="11" s="1"/>
  <c r="AI467" i="11"/>
  <c r="AO467" i="11"/>
  <c r="AK467" i="11"/>
  <c r="AM467" i="11"/>
  <c r="AI474" i="11"/>
  <c r="AO474" i="11"/>
  <c r="AM474" i="11"/>
  <c r="AK474" i="11"/>
  <c r="AI468" i="11"/>
  <c r="AO468" i="11"/>
  <c r="AM468" i="11"/>
  <c r="AK468" i="11"/>
  <c r="AI461" i="11"/>
  <c r="AO461" i="11"/>
  <c r="AM461" i="11"/>
  <c r="AK461" i="11"/>
  <c r="AI457" i="11"/>
  <c r="AO457" i="11"/>
  <c r="AM457" i="11"/>
  <c r="AK457" i="11"/>
  <c r="AI451" i="11"/>
  <c r="AO451" i="11"/>
  <c r="AK451" i="11"/>
  <c r="AM451" i="11"/>
  <c r="AI475" i="11"/>
  <c r="AM475" i="11"/>
  <c r="AO475" i="11"/>
  <c r="AK475" i="11"/>
  <c r="AI460" i="11"/>
  <c r="AO460" i="11"/>
  <c r="AM460" i="11"/>
  <c r="AK460" i="11"/>
  <c r="AI456" i="11"/>
  <c r="AO456" i="11"/>
  <c r="AM456" i="11"/>
  <c r="AK456" i="11"/>
  <c r="AI445" i="11"/>
  <c r="AO445" i="11"/>
  <c r="AM445" i="11"/>
  <c r="AK445" i="11"/>
  <c r="AI455" i="11"/>
  <c r="AO455" i="11"/>
  <c r="AM455" i="11"/>
  <c r="AK455" i="11"/>
  <c r="AI473" i="11"/>
  <c r="AO473" i="11"/>
  <c r="AM473" i="11"/>
  <c r="AK473" i="11"/>
  <c r="AI465" i="11"/>
  <c r="AO465" i="11"/>
  <c r="AM465" i="11"/>
  <c r="AK465" i="11"/>
  <c r="AI417" i="11"/>
  <c r="AM417" i="11"/>
  <c r="AK417" i="11"/>
  <c r="AO417" i="11"/>
  <c r="AI443" i="11"/>
  <c r="AO443" i="11"/>
  <c r="AM443" i="11"/>
  <c r="AK443" i="11"/>
  <c r="AU492" i="11"/>
  <c r="AI479" i="11"/>
  <c r="AO479" i="11"/>
  <c r="AK479" i="11"/>
  <c r="AM479" i="11"/>
  <c r="AI463" i="11"/>
  <c r="AO463" i="11"/>
  <c r="AM463" i="11"/>
  <c r="AK463" i="11"/>
  <c r="AI416" i="11"/>
  <c r="AO416" i="11"/>
  <c r="AM416" i="11"/>
  <c r="AK416" i="11"/>
  <c r="AU488" i="11"/>
  <c r="AI480" i="11"/>
  <c r="AO480" i="11"/>
  <c r="AK480" i="11"/>
  <c r="AM480" i="11"/>
  <c r="AI466" i="11"/>
  <c r="AO466" i="11"/>
  <c r="AK466" i="11"/>
  <c r="AM466" i="11"/>
  <c r="AI478" i="11"/>
  <c r="AO478" i="11"/>
  <c r="AM478" i="11"/>
  <c r="AK478" i="11"/>
  <c r="AI477" i="11"/>
  <c r="AO477" i="11"/>
  <c r="AM477" i="11"/>
  <c r="AK477" i="11"/>
  <c r="AI472" i="11"/>
  <c r="AO472" i="11"/>
  <c r="AM472" i="11"/>
  <c r="AK472" i="11"/>
  <c r="AI470" i="11"/>
  <c r="AO470" i="11"/>
  <c r="AM470" i="11"/>
  <c r="AK470" i="11"/>
  <c r="AI459" i="11"/>
  <c r="AO459" i="11"/>
  <c r="AM459" i="11"/>
  <c r="AK459" i="11"/>
  <c r="AI476" i="11"/>
  <c r="AM476" i="11"/>
  <c r="AO476" i="11"/>
  <c r="AK476" i="11"/>
  <c r="AI471" i="11"/>
  <c r="AO471" i="11"/>
  <c r="AM471" i="11"/>
  <c r="AK471" i="11"/>
  <c r="AI469" i="11"/>
  <c r="AO469" i="11"/>
  <c r="AM469" i="11"/>
  <c r="AK469" i="11"/>
  <c r="AI462" i="11"/>
  <c r="AM462" i="11"/>
  <c r="AO462" i="11"/>
  <c r="AK462" i="11"/>
  <c r="AI458" i="11"/>
  <c r="AO458" i="11"/>
  <c r="AM458" i="11"/>
  <c r="AK458" i="11"/>
  <c r="AI444" i="11"/>
  <c r="AO444" i="11"/>
  <c r="AM444" i="11"/>
  <c r="AK444" i="11"/>
  <c r="AU502" i="11"/>
  <c r="AG475" i="11"/>
  <c r="AG467" i="11"/>
  <c r="AG460" i="11"/>
  <c r="AG456" i="11"/>
  <c r="AG445" i="11"/>
  <c r="AG466" i="11"/>
  <c r="AG455" i="11"/>
  <c r="AG474" i="11"/>
  <c r="AG473" i="11"/>
  <c r="AG465" i="11"/>
  <c r="AG417" i="11"/>
  <c r="AG443" i="11"/>
  <c r="AG479" i="11"/>
  <c r="AG478" i="11"/>
  <c r="AG477" i="11"/>
  <c r="AG472" i="11"/>
  <c r="AG470" i="11"/>
  <c r="AG463" i="11"/>
  <c r="AG459" i="11"/>
  <c r="AG416" i="11"/>
  <c r="AG480" i="11"/>
  <c r="AG476" i="11"/>
  <c r="AG471" i="11"/>
  <c r="AG469" i="11"/>
  <c r="AG462" i="11"/>
  <c r="AG458" i="11"/>
  <c r="AG444" i="11"/>
  <c r="AG468" i="11"/>
  <c r="AG461" i="11"/>
  <c r="AG457" i="11"/>
  <c r="AG451" i="11"/>
  <c r="AU463" i="11"/>
  <c r="V416" i="11"/>
  <c r="V444" i="11"/>
  <c r="V476" i="11"/>
  <c r="U466" i="11"/>
  <c r="V470" i="11"/>
  <c r="AU471" i="11"/>
  <c r="V477" i="11"/>
  <c r="V478" i="11"/>
  <c r="U479" i="11"/>
  <c r="AD430" i="11"/>
  <c r="W430" i="11"/>
  <c r="U430" i="11"/>
  <c r="V430" i="11" s="1"/>
  <c r="AD410" i="11"/>
  <c r="W410" i="11"/>
  <c r="U410" i="11"/>
  <c r="V410" i="11" s="1"/>
  <c r="R437" i="11"/>
  <c r="T437" i="11" s="1"/>
  <c r="R438" i="11"/>
  <c r="T438" i="11" s="1"/>
  <c r="R428" i="11"/>
  <c r="T428" i="11" s="1"/>
  <c r="R441" i="11"/>
  <c r="T441" i="11" s="1"/>
  <c r="R415" i="11"/>
  <c r="T415" i="11" s="1"/>
  <c r="S390" i="11"/>
  <c r="T390" i="11" s="1"/>
  <c r="S388" i="11"/>
  <c r="R388" i="11"/>
  <c r="S433" i="11"/>
  <c r="T433" i="11" s="1"/>
  <c r="S427" i="11"/>
  <c r="S426" i="11"/>
  <c r="T426" i="11" s="1"/>
  <c r="R440" i="11"/>
  <c r="T440" i="11" s="1"/>
  <c r="R427" i="11"/>
  <c r="R404" i="11"/>
  <c r="T404" i="11" s="1"/>
  <c r="R391" i="11"/>
  <c r="T391" i="11" s="1"/>
  <c r="R374" i="11"/>
  <c r="T374" i="11" s="1"/>
  <c r="R358" i="11"/>
  <c r="T358" i="11" s="1"/>
  <c r="R346" i="11"/>
  <c r="T346" i="11" s="1"/>
  <c r="R324" i="11"/>
  <c r="T324" i="11" s="1"/>
  <c r="R313" i="11"/>
  <c r="T313" i="11" s="1"/>
  <c r="S414" i="11"/>
  <c r="T414" i="11" s="1"/>
  <c r="T388" i="11" l="1"/>
  <c r="T427" i="11"/>
  <c r="AX451" i="11"/>
  <c r="BA451" i="11" s="1"/>
  <c r="BB451" i="11" s="1"/>
  <c r="AX459" i="11"/>
  <c r="BA459" i="11" s="1"/>
  <c r="BB459" i="11" s="1"/>
  <c r="AX466" i="11"/>
  <c r="BA466" i="11" s="1"/>
  <c r="BB466" i="11" s="1"/>
  <c r="AX470" i="11"/>
  <c r="BA470" i="11" s="1"/>
  <c r="BB470" i="11" s="1"/>
  <c r="AX456" i="11"/>
  <c r="BA456" i="11" s="1"/>
  <c r="BB456" i="11" s="1"/>
  <c r="AX472" i="11"/>
  <c r="BA472" i="11" s="1"/>
  <c r="BB472" i="11" s="1"/>
  <c r="AX445" i="11"/>
  <c r="BA445" i="11" s="1"/>
  <c r="BB445" i="11" s="1"/>
  <c r="AX477" i="11"/>
  <c r="BA477" i="11" s="1"/>
  <c r="BB477" i="11" s="1"/>
  <c r="AX460" i="11"/>
  <c r="BA460" i="11" s="1"/>
  <c r="BB460" i="11" s="1"/>
  <c r="AX478" i="11"/>
  <c r="BA478" i="11" s="1"/>
  <c r="BB478" i="11" s="1"/>
  <c r="AX457" i="11"/>
  <c r="BA457" i="11" s="1"/>
  <c r="BB457" i="11" s="1"/>
  <c r="AX468" i="11"/>
  <c r="BA468" i="11" s="1"/>
  <c r="BB468" i="11" s="1"/>
  <c r="AX479" i="11"/>
  <c r="BA479" i="11" s="1"/>
  <c r="BB479" i="11" s="1"/>
  <c r="AX461" i="11"/>
  <c r="BA461" i="11" s="1"/>
  <c r="BB461" i="11" s="1"/>
  <c r="AX443" i="11"/>
  <c r="BA443" i="11" s="1"/>
  <c r="BB443" i="11" s="1"/>
  <c r="AX444" i="11"/>
  <c r="BA444" i="11" s="1"/>
  <c r="BB444" i="11" s="1"/>
  <c r="AX463" i="11"/>
  <c r="BA463" i="11" s="1"/>
  <c r="BB463" i="11" s="1"/>
  <c r="AX462" i="11"/>
  <c r="BA462" i="11" s="1"/>
  <c r="BB462" i="11" s="1"/>
  <c r="AX469" i="11"/>
  <c r="BA469" i="11" s="1"/>
  <c r="BB469" i="11" s="1"/>
  <c r="AX417" i="11"/>
  <c r="BA417" i="11" s="1"/>
  <c r="BB417" i="11" s="1"/>
  <c r="AX465" i="11"/>
  <c r="BA465" i="11" s="1"/>
  <c r="BB465" i="11" s="1"/>
  <c r="AX475" i="11"/>
  <c r="BA475" i="11" s="1"/>
  <c r="BB475" i="11" s="1"/>
  <c r="AX473" i="11"/>
  <c r="BA473" i="11" s="1"/>
  <c r="BB473" i="11" s="1"/>
  <c r="AX467" i="11"/>
  <c r="BA467" i="11" s="1"/>
  <c r="BB467" i="11" s="1"/>
  <c r="AX474" i="11"/>
  <c r="BA474" i="11" s="1"/>
  <c r="BB474" i="11" s="1"/>
  <c r="AX476" i="11"/>
  <c r="BA476" i="11" s="1"/>
  <c r="BB476" i="11" s="1"/>
  <c r="AX480" i="11"/>
  <c r="BA480" i="11" s="1"/>
  <c r="BB480" i="11" s="1"/>
  <c r="AX458" i="11"/>
  <c r="BA458" i="11" s="1"/>
  <c r="BB458" i="11" s="1"/>
  <c r="AX471" i="11"/>
  <c r="BA471" i="11" s="1"/>
  <c r="BB471" i="11" s="1"/>
  <c r="AX455" i="11"/>
  <c r="BA455" i="11" s="1"/>
  <c r="BB455" i="11" s="1"/>
  <c r="AX416" i="11"/>
  <c r="BA416" i="11" s="1"/>
  <c r="BB416" i="11" s="1"/>
  <c r="AU451" i="11"/>
  <c r="AU456" i="11"/>
  <c r="U414" i="11"/>
  <c r="V414" i="11" s="1"/>
  <c r="U415" i="11"/>
  <c r="AF430" i="11"/>
  <c r="AR430" i="11" s="1"/>
  <c r="AF410" i="11"/>
  <c r="AR410" i="11" s="1"/>
  <c r="AU443" i="11"/>
  <c r="V466" i="11"/>
  <c r="AU466" i="11" s="1"/>
  <c r="AU455" i="11"/>
  <c r="V479" i="11"/>
  <c r="AU479" i="11" s="1"/>
  <c r="AU467" i="11"/>
  <c r="AU476" i="11"/>
  <c r="AU477" i="11"/>
  <c r="AU470" i="11"/>
  <c r="AU478" i="11"/>
  <c r="AU416" i="11"/>
  <c r="AU444" i="11"/>
  <c r="H415" i="11"/>
  <c r="W415" i="11"/>
  <c r="AD415" i="11"/>
  <c r="AS415" i="11"/>
  <c r="AT415" i="11"/>
  <c r="H414" i="11"/>
  <c r="W414" i="11"/>
  <c r="AD414" i="11"/>
  <c r="AS414" i="11"/>
  <c r="AT414" i="11"/>
  <c r="AE414" i="11" s="1"/>
  <c r="AF415" i="11" l="1"/>
  <c r="AR415" i="11" s="1"/>
  <c r="AF414" i="11"/>
  <c r="AR414" i="11" s="1"/>
  <c r="AI415" i="11"/>
  <c r="AO415" i="11"/>
  <c r="AM415" i="11"/>
  <c r="AK415" i="11"/>
  <c r="AI414" i="11"/>
  <c r="AO414" i="11"/>
  <c r="AM414" i="11"/>
  <c r="AK414" i="11"/>
  <c r="AG415" i="11"/>
  <c r="AU414" i="11"/>
  <c r="AG414" i="11"/>
  <c r="V415" i="11"/>
  <c r="S423" i="11"/>
  <c r="T423" i="11" s="1"/>
  <c r="S422" i="11"/>
  <c r="T422" i="11" s="1"/>
  <c r="U424" i="11"/>
  <c r="R425" i="11"/>
  <c r="T425" i="11" s="1"/>
  <c r="S362" i="11"/>
  <c r="T362" i="11" s="1"/>
  <c r="AD396" i="11"/>
  <c r="AD395" i="11"/>
  <c r="H446" i="11"/>
  <c r="H447" i="11"/>
  <c r="U446" i="11"/>
  <c r="U447" i="11"/>
  <c r="W446" i="11"/>
  <c r="W447" i="11"/>
  <c r="AD446" i="11"/>
  <c r="AD447" i="11"/>
  <c r="AS446" i="11"/>
  <c r="AS447" i="11"/>
  <c r="AT446" i="11"/>
  <c r="AT447" i="11"/>
  <c r="H448" i="11"/>
  <c r="H449" i="11"/>
  <c r="U448" i="11"/>
  <c r="U449" i="11"/>
  <c r="W448" i="11"/>
  <c r="W449" i="11"/>
  <c r="AD448" i="11"/>
  <c r="AD449" i="11"/>
  <c r="AS448" i="11"/>
  <c r="AS449" i="11"/>
  <c r="AT448" i="11"/>
  <c r="AT449" i="11"/>
  <c r="H450" i="11"/>
  <c r="H453" i="11"/>
  <c r="U450" i="11"/>
  <c r="U453" i="11"/>
  <c r="W450" i="11"/>
  <c r="W453" i="11"/>
  <c r="AD450" i="11"/>
  <c r="AD453" i="11"/>
  <c r="AS450" i="11"/>
  <c r="AS453" i="11"/>
  <c r="AT450" i="11"/>
  <c r="AT453" i="11"/>
  <c r="H454" i="11"/>
  <c r="U454" i="11"/>
  <c r="W454" i="11"/>
  <c r="AD454" i="11"/>
  <c r="AS454" i="11"/>
  <c r="AT454" i="11"/>
  <c r="H428" i="11"/>
  <c r="H429" i="11"/>
  <c r="H430" i="11"/>
  <c r="U428" i="11"/>
  <c r="W428" i="11"/>
  <c r="W429" i="11"/>
  <c r="AD428" i="11"/>
  <c r="AD429" i="11"/>
  <c r="AS428" i="11"/>
  <c r="AS429" i="11"/>
  <c r="AS430" i="11"/>
  <c r="AT428" i="11"/>
  <c r="AT429" i="11"/>
  <c r="AT430" i="11"/>
  <c r="H431" i="11"/>
  <c r="H432" i="11"/>
  <c r="H433" i="11"/>
  <c r="U431" i="11"/>
  <c r="U432" i="11"/>
  <c r="U433" i="11"/>
  <c r="W431" i="11"/>
  <c r="W432" i="11"/>
  <c r="W433" i="11"/>
  <c r="AD431" i="11"/>
  <c r="AD432" i="11"/>
  <c r="AD433" i="11"/>
  <c r="AS431" i="11"/>
  <c r="AS432" i="11"/>
  <c r="AS433" i="11"/>
  <c r="AT431" i="11"/>
  <c r="AE431" i="11" s="1"/>
  <c r="AT432" i="11"/>
  <c r="AT433" i="11"/>
  <c r="H434" i="11"/>
  <c r="H435" i="11"/>
  <c r="H436" i="11"/>
  <c r="U434" i="11"/>
  <c r="U435" i="11"/>
  <c r="U436" i="11"/>
  <c r="W434" i="11"/>
  <c r="W435" i="11"/>
  <c r="W436" i="11"/>
  <c r="AD434" i="11"/>
  <c r="AD435" i="11"/>
  <c r="AD436" i="11"/>
  <c r="AS434" i="11"/>
  <c r="AS435" i="11"/>
  <c r="AS436" i="11"/>
  <c r="AT434" i="11"/>
  <c r="AT435" i="11"/>
  <c r="AE435" i="11" s="1"/>
  <c r="AT436" i="11"/>
  <c r="AE436" i="11" s="1"/>
  <c r="H437" i="11"/>
  <c r="H438" i="11"/>
  <c r="H439" i="11"/>
  <c r="U437" i="11"/>
  <c r="U438" i="11"/>
  <c r="U439" i="11"/>
  <c r="W437" i="11"/>
  <c r="W438" i="11"/>
  <c r="W439" i="11"/>
  <c r="AD437" i="11"/>
  <c r="AD438" i="11"/>
  <c r="AD439" i="11"/>
  <c r="AS437" i="11"/>
  <c r="AS438" i="11"/>
  <c r="AS439" i="11"/>
  <c r="AT437" i="11"/>
  <c r="AT438" i="11"/>
  <c r="AT439" i="11"/>
  <c r="H440" i="11"/>
  <c r="H441" i="11"/>
  <c r="U440" i="11"/>
  <c r="U441" i="11"/>
  <c r="W440" i="11"/>
  <c r="W441" i="11"/>
  <c r="AD440" i="11"/>
  <c r="AD441" i="11"/>
  <c r="AS440" i="11"/>
  <c r="AS441" i="11"/>
  <c r="AT440" i="11"/>
  <c r="AT441" i="11"/>
  <c r="H442" i="11"/>
  <c r="U442" i="11"/>
  <c r="W442" i="11"/>
  <c r="AD442" i="11"/>
  <c r="AS442" i="11"/>
  <c r="AT442" i="11"/>
  <c r="R420" i="11"/>
  <c r="T420" i="11" s="1"/>
  <c r="R409" i="11"/>
  <c r="T409" i="11" s="1"/>
  <c r="H418" i="11"/>
  <c r="AX414" i="11" l="1"/>
  <c r="BA414" i="11" s="1"/>
  <c r="BB414" i="11" s="1"/>
  <c r="AX415" i="11"/>
  <c r="BA415" i="11" s="1"/>
  <c r="BB415" i="11" s="1"/>
  <c r="U422" i="11"/>
  <c r="V422" i="11" s="1"/>
  <c r="AF453" i="11"/>
  <c r="AR453" i="11" s="1"/>
  <c r="AF436" i="11"/>
  <c r="AR436" i="11" s="1"/>
  <c r="AF450" i="11"/>
  <c r="AR450" i="11" s="1"/>
  <c r="AF441" i="11"/>
  <c r="AR441" i="11" s="1"/>
  <c r="AF435" i="11"/>
  <c r="AR435" i="11" s="1"/>
  <c r="AF449" i="11"/>
  <c r="AR449" i="11" s="1"/>
  <c r="AF440" i="11"/>
  <c r="AR440" i="11" s="1"/>
  <c r="AF434" i="11"/>
  <c r="AR434" i="11" s="1"/>
  <c r="AF429" i="11"/>
  <c r="AR429" i="11" s="1"/>
  <c r="AF454" i="11"/>
  <c r="AR454" i="11" s="1"/>
  <c r="AF448" i="11"/>
  <c r="AR448" i="11" s="1"/>
  <c r="AF428" i="11"/>
  <c r="AR428" i="11" s="1"/>
  <c r="AF447" i="11"/>
  <c r="AR447" i="11" s="1"/>
  <c r="AF442" i="11"/>
  <c r="AR442" i="11" s="1"/>
  <c r="AF446" i="11"/>
  <c r="AR446" i="11" s="1"/>
  <c r="AF439" i="11"/>
  <c r="AR439" i="11" s="1"/>
  <c r="U409" i="11"/>
  <c r="AF438" i="11"/>
  <c r="AR438" i="11" s="1"/>
  <c r="AF437" i="11"/>
  <c r="AR437" i="11" s="1"/>
  <c r="AF433" i="11"/>
  <c r="AR433" i="11" s="1"/>
  <c r="AF432" i="11"/>
  <c r="AR432" i="11" s="1"/>
  <c r="U420" i="11"/>
  <c r="V420" i="11" s="1"/>
  <c r="AF431" i="11"/>
  <c r="AR431" i="11" s="1"/>
  <c r="V439" i="11"/>
  <c r="AU439" i="11" s="1"/>
  <c r="V437" i="11"/>
  <c r="AU437" i="11" s="1"/>
  <c r="V447" i="11"/>
  <c r="AU447" i="11" s="1"/>
  <c r="V436" i="11"/>
  <c r="V428" i="11"/>
  <c r="AU428" i="11" s="1"/>
  <c r="V446" i="11"/>
  <c r="AU446" i="11" s="1"/>
  <c r="V433" i="11"/>
  <c r="AU433" i="11" s="1"/>
  <c r="V431" i="11"/>
  <c r="V450" i="11"/>
  <c r="AU450" i="11" s="1"/>
  <c r="V454" i="11"/>
  <c r="AU454" i="11" s="1"/>
  <c r="V448" i="11"/>
  <c r="AU448" i="11" s="1"/>
  <c r="AI440" i="11"/>
  <c r="AM440" i="11"/>
  <c r="AO440" i="11"/>
  <c r="AK440" i="11"/>
  <c r="AI438" i="11"/>
  <c r="AO438" i="11"/>
  <c r="AM438" i="11"/>
  <c r="AK438" i="11"/>
  <c r="AI428" i="11"/>
  <c r="AO428" i="11"/>
  <c r="AM428" i="11"/>
  <c r="AK428" i="11"/>
  <c r="AI450" i="11"/>
  <c r="AO450" i="11"/>
  <c r="AM450" i="11"/>
  <c r="AK450" i="11"/>
  <c r="AU415" i="11"/>
  <c r="AI447" i="11"/>
  <c r="AM447" i="11"/>
  <c r="AO447" i="11"/>
  <c r="AK447" i="11"/>
  <c r="AI446" i="11"/>
  <c r="AO446" i="11"/>
  <c r="AM446" i="11"/>
  <c r="AK446" i="11"/>
  <c r="AI437" i="11"/>
  <c r="AO437" i="11"/>
  <c r="AK437" i="11"/>
  <c r="AM437" i="11"/>
  <c r="AI435" i="11"/>
  <c r="AO435" i="11"/>
  <c r="AM435" i="11"/>
  <c r="AK435" i="11"/>
  <c r="AI433" i="11"/>
  <c r="AM433" i="11"/>
  <c r="AO433" i="11"/>
  <c r="AK433" i="11"/>
  <c r="AI449" i="11"/>
  <c r="AO449" i="11"/>
  <c r="AM449" i="11"/>
  <c r="AK449" i="11"/>
  <c r="AI436" i="11"/>
  <c r="AO436" i="11"/>
  <c r="AM436" i="11"/>
  <c r="AK436" i="11"/>
  <c r="AI442" i="11"/>
  <c r="AO442" i="11"/>
  <c r="AM442" i="11"/>
  <c r="AK442" i="11"/>
  <c r="AI434" i="11"/>
  <c r="AO434" i="11"/>
  <c r="AM434" i="11"/>
  <c r="AK434" i="11"/>
  <c r="AI432" i="11"/>
  <c r="AM432" i="11"/>
  <c r="AO432" i="11"/>
  <c r="AK432" i="11"/>
  <c r="AI430" i="11"/>
  <c r="AO430" i="11"/>
  <c r="AM430" i="11"/>
  <c r="AK430" i="11"/>
  <c r="AI454" i="11"/>
  <c r="AM454" i="11"/>
  <c r="AO454" i="11"/>
  <c r="AK454" i="11"/>
  <c r="AI448" i="11"/>
  <c r="AO448" i="11"/>
  <c r="AM448" i="11"/>
  <c r="AK448" i="11"/>
  <c r="AI441" i="11"/>
  <c r="AO441" i="11"/>
  <c r="AM441" i="11"/>
  <c r="AK441" i="11"/>
  <c r="AI439" i="11"/>
  <c r="AM439" i="11"/>
  <c r="AO439" i="11"/>
  <c r="AK439" i="11"/>
  <c r="AI431" i="11"/>
  <c r="AO431" i="11"/>
  <c r="AM431" i="11"/>
  <c r="AK431" i="11"/>
  <c r="AI429" i="11"/>
  <c r="AO429" i="11"/>
  <c r="AM429" i="11"/>
  <c r="AK429" i="11"/>
  <c r="AI453" i="11"/>
  <c r="AM453" i="11"/>
  <c r="AO453" i="11"/>
  <c r="AK453" i="11"/>
  <c r="AG441" i="11"/>
  <c r="AG439" i="11"/>
  <c r="AG429" i="11"/>
  <c r="AG440" i="11"/>
  <c r="AG438" i="11"/>
  <c r="AG428" i="11"/>
  <c r="AG450" i="11"/>
  <c r="AG437" i="11"/>
  <c r="AG447" i="11"/>
  <c r="AG436" i="11"/>
  <c r="AG446" i="11"/>
  <c r="AG435" i="11"/>
  <c r="AG433" i="11"/>
  <c r="AG449" i="11"/>
  <c r="AG434" i="11"/>
  <c r="AG432" i="11"/>
  <c r="AG430" i="11"/>
  <c r="AG454" i="11"/>
  <c r="AG448" i="11"/>
  <c r="AG442" i="11"/>
  <c r="AG431" i="11"/>
  <c r="AG453" i="11"/>
  <c r="U429" i="11"/>
  <c r="V429" i="11" s="1"/>
  <c r="V424" i="11"/>
  <c r="V449" i="11"/>
  <c r="AU430" i="11"/>
  <c r="V453" i="11"/>
  <c r="V432" i="11"/>
  <c r="V435" i="11"/>
  <c r="V434" i="11"/>
  <c r="V440" i="11"/>
  <c r="V438" i="11"/>
  <c r="V441" i="11"/>
  <c r="V442" i="11"/>
  <c r="H409" i="11"/>
  <c r="H410" i="11"/>
  <c r="H411" i="11"/>
  <c r="U411" i="11"/>
  <c r="W409" i="11"/>
  <c r="W411" i="11"/>
  <c r="AD409" i="11"/>
  <c r="AD411" i="11"/>
  <c r="AS409" i="11"/>
  <c r="AS410" i="11"/>
  <c r="AS411" i="11"/>
  <c r="AT409" i="11"/>
  <c r="AT410" i="11"/>
  <c r="AT411" i="11"/>
  <c r="H412" i="11"/>
  <c r="H413" i="11"/>
  <c r="U412" i="11"/>
  <c r="V412" i="11" s="1"/>
  <c r="U413" i="11"/>
  <c r="U418" i="11"/>
  <c r="W412" i="11"/>
  <c r="W413" i="11"/>
  <c r="W418" i="11"/>
  <c r="AD412" i="11"/>
  <c r="AD413" i="11"/>
  <c r="AD418" i="11"/>
  <c r="AS412" i="11"/>
  <c r="AS413" i="11"/>
  <c r="AS418" i="11"/>
  <c r="AT412" i="11"/>
  <c r="AT413" i="11"/>
  <c r="AT418" i="11"/>
  <c r="H419" i="11"/>
  <c r="H420" i="11"/>
  <c r="H421" i="11"/>
  <c r="U419" i="11"/>
  <c r="U421" i="11"/>
  <c r="W419" i="11"/>
  <c r="W420" i="11"/>
  <c r="W421" i="11"/>
  <c r="AD419" i="11"/>
  <c r="AD420" i="11"/>
  <c r="AD421" i="11"/>
  <c r="AS419" i="11"/>
  <c r="AS420" i="11"/>
  <c r="AS421" i="11"/>
  <c r="AT419" i="11"/>
  <c r="AT420" i="11"/>
  <c r="AT421" i="11"/>
  <c r="H422" i="11"/>
  <c r="H423" i="11"/>
  <c r="H424" i="11"/>
  <c r="W422" i="11"/>
  <c r="W423" i="11"/>
  <c r="W424" i="11"/>
  <c r="AD422" i="11"/>
  <c r="AD423" i="11"/>
  <c r="AD424" i="11"/>
  <c r="AS422" i="11"/>
  <c r="AS423" i="11"/>
  <c r="AS424" i="11"/>
  <c r="AT422" i="11"/>
  <c r="AT423" i="11"/>
  <c r="AT424" i="11"/>
  <c r="H425" i="11"/>
  <c r="H426" i="11"/>
  <c r="U426" i="11"/>
  <c r="W425" i="11"/>
  <c r="W426" i="11"/>
  <c r="AD425" i="11"/>
  <c r="AD426" i="11"/>
  <c r="AS425" i="11"/>
  <c r="AS426" i="11"/>
  <c r="AT425" i="11"/>
  <c r="AT426" i="11"/>
  <c r="H427" i="11"/>
  <c r="U427" i="11"/>
  <c r="W427" i="11"/>
  <c r="AD427" i="11"/>
  <c r="AS427" i="11"/>
  <c r="AT427" i="11"/>
  <c r="AX453" i="11" l="1"/>
  <c r="BA453" i="11" s="1"/>
  <c r="BB453" i="11" s="1"/>
  <c r="AX447" i="11"/>
  <c r="BA447" i="11" s="1"/>
  <c r="BB447" i="11" s="1"/>
  <c r="AX431" i="11"/>
  <c r="BA431" i="11" s="1"/>
  <c r="BB431" i="11" s="1"/>
  <c r="AX437" i="11"/>
  <c r="BA437" i="11" s="1"/>
  <c r="BB437" i="11" s="1"/>
  <c r="AX450" i="11"/>
  <c r="BA450" i="11" s="1"/>
  <c r="BB450" i="11" s="1"/>
  <c r="AX436" i="11"/>
  <c r="BA436" i="11" s="1"/>
  <c r="BB436" i="11" s="1"/>
  <c r="AX448" i="11"/>
  <c r="BA448" i="11" s="1"/>
  <c r="BB448" i="11" s="1"/>
  <c r="AX438" i="11"/>
  <c r="BA438" i="11" s="1"/>
  <c r="BB438" i="11" s="1"/>
  <c r="AX454" i="11"/>
  <c r="BA454" i="11" s="1"/>
  <c r="BB454" i="11" s="1"/>
  <c r="AX440" i="11"/>
  <c r="BA440" i="11" s="1"/>
  <c r="BB440" i="11" s="1"/>
  <c r="AX430" i="11"/>
  <c r="BA430" i="11" s="1"/>
  <c r="BB430" i="11" s="1"/>
  <c r="AX429" i="11"/>
  <c r="BA429" i="11" s="1"/>
  <c r="BB429" i="11" s="1"/>
  <c r="AX439" i="11"/>
  <c r="BA439" i="11" s="1"/>
  <c r="BB439" i="11" s="1"/>
  <c r="AX441" i="11"/>
  <c r="BA441" i="11" s="1"/>
  <c r="BB441" i="11" s="1"/>
  <c r="AX434" i="11"/>
  <c r="BA434" i="11" s="1"/>
  <c r="BB434" i="11" s="1"/>
  <c r="AX449" i="11"/>
  <c r="BA449" i="11" s="1"/>
  <c r="BB449" i="11" s="1"/>
  <c r="AX432" i="11"/>
  <c r="BA432" i="11" s="1"/>
  <c r="BB432" i="11" s="1"/>
  <c r="AX442" i="11"/>
  <c r="BA442" i="11" s="1"/>
  <c r="BB442" i="11" s="1"/>
  <c r="AX435" i="11"/>
  <c r="BA435" i="11" s="1"/>
  <c r="BB435" i="11" s="1"/>
  <c r="AX428" i="11"/>
  <c r="BA428" i="11" s="1"/>
  <c r="BB428" i="11" s="1"/>
  <c r="AX433" i="11"/>
  <c r="BA433" i="11" s="1"/>
  <c r="BB433" i="11" s="1"/>
  <c r="AX446" i="11"/>
  <c r="BA446" i="11" s="1"/>
  <c r="BB446" i="11" s="1"/>
  <c r="U425" i="11"/>
  <c r="V425" i="11" s="1"/>
  <c r="AU425" i="11" s="1"/>
  <c r="AF424" i="11"/>
  <c r="AR424" i="11" s="1"/>
  <c r="AF423" i="11"/>
  <c r="AR423" i="11" s="1"/>
  <c r="AF422" i="11"/>
  <c r="AR422" i="11" s="1"/>
  <c r="AF418" i="11"/>
  <c r="AR418" i="11" s="1"/>
  <c r="AF427" i="11"/>
  <c r="AR427" i="11" s="1"/>
  <c r="AF412" i="11"/>
  <c r="AR412" i="11" s="1"/>
  <c r="AF425" i="11"/>
  <c r="AR425" i="11" s="1"/>
  <c r="AF419" i="11"/>
  <c r="AR419" i="11" s="1"/>
  <c r="AF413" i="11"/>
  <c r="AR413" i="11" s="1"/>
  <c r="AF411" i="11"/>
  <c r="AR411" i="11" s="1"/>
  <c r="AF421" i="11"/>
  <c r="AR421" i="11" s="1"/>
  <c r="AF409" i="11"/>
  <c r="AR409" i="11" s="1"/>
  <c r="AF426" i="11"/>
  <c r="AR426" i="11" s="1"/>
  <c r="AF420" i="11"/>
  <c r="AR420" i="11" s="1"/>
  <c r="AU431" i="11"/>
  <c r="V426" i="11"/>
  <c r="AU426" i="11" s="1"/>
  <c r="AU436" i="11"/>
  <c r="V419" i="11"/>
  <c r="AU419" i="11" s="1"/>
  <c r="U423" i="11"/>
  <c r="V423" i="11" s="1"/>
  <c r="V413" i="11"/>
  <c r="AU413" i="11" s="1"/>
  <c r="AU438" i="11"/>
  <c r="AU434" i="11"/>
  <c r="AI425" i="11"/>
  <c r="AO425" i="11"/>
  <c r="AM425" i="11"/>
  <c r="AK425" i="11"/>
  <c r="AI423" i="11"/>
  <c r="AO423" i="11"/>
  <c r="AM423" i="11"/>
  <c r="AK423" i="11"/>
  <c r="AI421" i="11"/>
  <c r="AO421" i="11"/>
  <c r="AM421" i="11"/>
  <c r="AK421" i="11"/>
  <c r="AU442" i="11"/>
  <c r="AU435" i="11"/>
  <c r="AU432" i="11"/>
  <c r="AU453" i="11"/>
  <c r="AI420" i="11"/>
  <c r="AO420" i="11"/>
  <c r="AM420" i="11"/>
  <c r="AK420" i="11"/>
  <c r="AI418" i="11"/>
  <c r="AM418" i="11"/>
  <c r="AO418" i="11"/>
  <c r="AK418" i="11"/>
  <c r="AI411" i="11"/>
  <c r="AM411" i="11"/>
  <c r="AO411" i="11"/>
  <c r="AK411" i="11"/>
  <c r="AU440" i="11"/>
  <c r="AU429" i="11"/>
  <c r="AI426" i="11"/>
  <c r="AO426" i="11"/>
  <c r="AM426" i="11"/>
  <c r="AK426" i="11"/>
  <c r="AI419" i="11"/>
  <c r="AO419" i="11"/>
  <c r="AM419" i="11"/>
  <c r="AK419" i="11"/>
  <c r="AI413" i="11"/>
  <c r="AO413" i="11"/>
  <c r="AM413" i="11"/>
  <c r="AK413" i="11"/>
  <c r="AI410" i="11"/>
  <c r="AM410" i="11"/>
  <c r="AO410" i="11"/>
  <c r="AK410" i="11"/>
  <c r="AU441" i="11"/>
  <c r="AI427" i="11"/>
  <c r="AO427" i="11"/>
  <c r="AM427" i="11"/>
  <c r="AK427" i="11"/>
  <c r="AI424" i="11"/>
  <c r="AO424" i="11"/>
  <c r="AM424" i="11"/>
  <c r="AK424" i="11"/>
  <c r="AI422" i="11"/>
  <c r="AO422" i="11"/>
  <c r="AK422" i="11"/>
  <c r="AM422" i="11"/>
  <c r="AI412" i="11"/>
  <c r="AO412" i="11"/>
  <c r="AM412" i="11"/>
  <c r="AK412" i="11"/>
  <c r="AI409" i="11"/>
  <c r="AO409" i="11"/>
  <c r="AM409" i="11"/>
  <c r="AK409" i="11"/>
  <c r="AU449" i="11"/>
  <c r="AG419" i="11"/>
  <c r="AG413" i="11"/>
  <c r="AG410" i="11"/>
  <c r="AG412" i="11"/>
  <c r="AG409" i="11"/>
  <c r="AG425" i="11"/>
  <c r="AG421" i="11"/>
  <c r="AG427" i="11"/>
  <c r="AG426" i="11"/>
  <c r="AG424" i="11"/>
  <c r="AG423" i="11"/>
  <c r="AG422" i="11"/>
  <c r="AG420" i="11"/>
  <c r="AG418" i="11"/>
  <c r="AG411" i="11"/>
  <c r="AU412" i="11"/>
  <c r="AU410" i="11"/>
  <c r="AU420" i="11"/>
  <c r="V411" i="11"/>
  <c r="AU422" i="11"/>
  <c r="V409" i="11"/>
  <c r="V418" i="11"/>
  <c r="AU424" i="11"/>
  <c r="V421" i="11"/>
  <c r="V427" i="11"/>
  <c r="AX418" i="11" l="1"/>
  <c r="BA418" i="11" s="1"/>
  <c r="BB418" i="11" s="1"/>
  <c r="AX423" i="11"/>
  <c r="BA423" i="11" s="1"/>
  <c r="BB423" i="11" s="1"/>
  <c r="AX422" i="11"/>
  <c r="BA422" i="11" s="1"/>
  <c r="BB422" i="11" s="1"/>
  <c r="AX424" i="11"/>
  <c r="BA424" i="11" s="1"/>
  <c r="BB424" i="11" s="1"/>
  <c r="AX426" i="11"/>
  <c r="BA426" i="11" s="1"/>
  <c r="BB426" i="11" s="1"/>
  <c r="AX427" i="11"/>
  <c r="BA427" i="11" s="1"/>
  <c r="BB427" i="11" s="1"/>
  <c r="AX421" i="11"/>
  <c r="BA421" i="11" s="1"/>
  <c r="BB421" i="11" s="1"/>
  <c r="AX425" i="11"/>
  <c r="BA425" i="11" s="1"/>
  <c r="BB425" i="11" s="1"/>
  <c r="AX412" i="11"/>
  <c r="BA412" i="11" s="1"/>
  <c r="BB412" i="11" s="1"/>
  <c r="AX410" i="11"/>
  <c r="BA410" i="11" s="1"/>
  <c r="BB410" i="11" s="1"/>
  <c r="AX413" i="11"/>
  <c r="BA413" i="11" s="1"/>
  <c r="BB413" i="11" s="1"/>
  <c r="AX420" i="11"/>
  <c r="BA420" i="11" s="1"/>
  <c r="BB420" i="11" s="1"/>
  <c r="AX409" i="11"/>
  <c r="BA409" i="11" s="1"/>
  <c r="BB409" i="11" s="1"/>
  <c r="AX419" i="11"/>
  <c r="BA419" i="11" s="1"/>
  <c r="BB419" i="11" s="1"/>
  <c r="AX411" i="11"/>
  <c r="BA411" i="11" s="1"/>
  <c r="BB411" i="11" s="1"/>
  <c r="AU423" i="11"/>
  <c r="AU418" i="11"/>
  <c r="AU427" i="11"/>
  <c r="AU409" i="11"/>
  <c r="AU411" i="11"/>
  <c r="AU421" i="11"/>
  <c r="W401" i="11"/>
  <c r="S402" i="11"/>
  <c r="T402" i="11" s="1"/>
  <c r="S401" i="11"/>
  <c r="T401" i="11" s="1"/>
  <c r="S356" i="11"/>
  <c r="T356" i="11" s="1"/>
  <c r="R386" i="11"/>
  <c r="T386" i="11" s="1"/>
  <c r="R403" i="11"/>
  <c r="T403" i="11" s="1"/>
  <c r="R400" i="11"/>
  <c r="T400" i="11" s="1"/>
  <c r="AD398" i="11"/>
  <c r="W398" i="11"/>
  <c r="U398" i="11"/>
  <c r="S395" i="11"/>
  <c r="S393" i="11"/>
  <c r="R396" i="11"/>
  <c r="T396" i="11" s="1"/>
  <c r="R395" i="11"/>
  <c r="R393" i="11"/>
  <c r="R342" i="11"/>
  <c r="T342" i="11" s="1"/>
  <c r="AD268" i="11"/>
  <c r="H403" i="11"/>
  <c r="H404" i="11"/>
  <c r="H386" i="11"/>
  <c r="W386" i="11"/>
  <c r="AD386" i="11"/>
  <c r="AS386" i="11"/>
  <c r="AT386" i="11"/>
  <c r="AE386" i="11" s="1"/>
  <c r="R397" i="11"/>
  <c r="T397" i="11" s="1"/>
  <c r="T393" i="11" l="1"/>
  <c r="T395" i="11"/>
  <c r="U356" i="11"/>
  <c r="V356" i="11" s="1"/>
  <c r="AF386" i="11"/>
  <c r="AR386" i="11" s="1"/>
  <c r="AF398" i="11"/>
  <c r="AR398" i="11" s="1"/>
  <c r="U403" i="11"/>
  <c r="U401" i="11"/>
  <c r="V401" i="11" s="1"/>
  <c r="U402" i="11"/>
  <c r="U397" i="11"/>
  <c r="U396" i="11"/>
  <c r="V396" i="11" s="1"/>
  <c r="V398" i="11"/>
  <c r="AI386" i="11"/>
  <c r="AO386" i="11"/>
  <c r="AM386" i="11"/>
  <c r="AK386" i="11"/>
  <c r="AG386" i="11"/>
  <c r="AD341" i="11"/>
  <c r="AD216" i="11"/>
  <c r="AD267" i="11"/>
  <c r="AD176" i="11"/>
  <c r="U405" i="11"/>
  <c r="U406" i="11"/>
  <c r="U407" i="11"/>
  <c r="U391" i="11"/>
  <c r="R387" i="11"/>
  <c r="T387" i="11" s="1"/>
  <c r="R380" i="11"/>
  <c r="T380" i="11" s="1"/>
  <c r="R375" i="11"/>
  <c r="T375" i="11" s="1"/>
  <c r="R385" i="11"/>
  <c r="T385" i="11" s="1"/>
  <c r="R392" i="11"/>
  <c r="T392" i="11" s="1"/>
  <c r="R394" i="11"/>
  <c r="T394" i="11" s="1"/>
  <c r="U378" i="11"/>
  <c r="S399" i="11"/>
  <c r="T399" i="11" s="1"/>
  <c r="S381" i="11"/>
  <c r="T381" i="11" s="1"/>
  <c r="H398" i="11"/>
  <c r="H399" i="11"/>
  <c r="H400" i="11"/>
  <c r="H401" i="11"/>
  <c r="H402" i="11"/>
  <c r="H405" i="11"/>
  <c r="H406" i="11"/>
  <c r="H407" i="11"/>
  <c r="H408" i="11"/>
  <c r="W399" i="11"/>
  <c r="W400" i="11"/>
  <c r="AF401" i="11"/>
  <c r="W402" i="11"/>
  <c r="W403" i="11"/>
  <c r="W404" i="11"/>
  <c r="W405" i="11"/>
  <c r="W406" i="11"/>
  <c r="W407" i="11"/>
  <c r="W408" i="11"/>
  <c r="AD399" i="11"/>
  <c r="AD400" i="11"/>
  <c r="AD401" i="11"/>
  <c r="AD402" i="11"/>
  <c r="AD403" i="11"/>
  <c r="AD404" i="11"/>
  <c r="AD405" i="11"/>
  <c r="AD406" i="11"/>
  <c r="AD407" i="11"/>
  <c r="AD408" i="11"/>
  <c r="AS398" i="11"/>
  <c r="AS399" i="11"/>
  <c r="AS400" i="11"/>
  <c r="AS401" i="11"/>
  <c r="AS402" i="11"/>
  <c r="AS403" i="11"/>
  <c r="AS404" i="11"/>
  <c r="AS405" i="11"/>
  <c r="AS406" i="11"/>
  <c r="AS407" i="11"/>
  <c r="AS408" i="11"/>
  <c r="AT398" i="11"/>
  <c r="AT399" i="11"/>
  <c r="AT400" i="11"/>
  <c r="AE400" i="11" s="1"/>
  <c r="AT401" i="11"/>
  <c r="AE401" i="11" s="1"/>
  <c r="AT402" i="11"/>
  <c r="AE402" i="11" s="1"/>
  <c r="AT403" i="11"/>
  <c r="AT404" i="11"/>
  <c r="AT405" i="11"/>
  <c r="AT406" i="11"/>
  <c r="AT407" i="11"/>
  <c r="AT408" i="11"/>
  <c r="H356" i="11"/>
  <c r="W356" i="11"/>
  <c r="AD356" i="11"/>
  <c r="AS356" i="11"/>
  <c r="AT356" i="11"/>
  <c r="AE356" i="11" s="1"/>
  <c r="U374" i="11"/>
  <c r="S263" i="11"/>
  <c r="S261" i="11"/>
  <c r="R263" i="11"/>
  <c r="R261" i="11"/>
  <c r="R361" i="11"/>
  <c r="T361" i="11" s="1"/>
  <c r="R350" i="11"/>
  <c r="T350" i="11" s="1"/>
  <c r="R345" i="11"/>
  <c r="T345" i="11" s="1"/>
  <c r="S341" i="11"/>
  <c r="T341" i="11" s="1"/>
  <c r="S336" i="11"/>
  <c r="R336" i="11"/>
  <c r="T333" i="11"/>
  <c r="U373" i="11"/>
  <c r="U376" i="11"/>
  <c r="U377" i="11"/>
  <c r="U379" i="11"/>
  <c r="U383" i="11"/>
  <c r="U384" i="11"/>
  <c r="U388" i="11"/>
  <c r="U390" i="11"/>
  <c r="S370" i="11"/>
  <c r="T370" i="11" s="1"/>
  <c r="S369" i="11"/>
  <c r="T369" i="11" s="1"/>
  <c r="S368" i="11"/>
  <c r="T368" i="11" s="1"/>
  <c r="R363" i="11"/>
  <c r="T363" i="11" s="1"/>
  <c r="R359" i="11"/>
  <c r="T359" i="11" s="1"/>
  <c r="S364" i="11"/>
  <c r="T364" i="11" s="1"/>
  <c r="S365" i="11"/>
  <c r="T365" i="11" s="1"/>
  <c r="S357" i="11"/>
  <c r="T357" i="11" s="1"/>
  <c r="AD360" i="11"/>
  <c r="W360" i="11"/>
  <c r="U360" i="11"/>
  <c r="R366" i="11"/>
  <c r="T366" i="11" s="1"/>
  <c r="H373" i="11"/>
  <c r="H374" i="11"/>
  <c r="H375" i="11"/>
  <c r="H376" i="11"/>
  <c r="W373" i="11"/>
  <c r="W374" i="11"/>
  <c r="W375" i="11"/>
  <c r="W376" i="11"/>
  <c r="AD373" i="11"/>
  <c r="AD374" i="11"/>
  <c r="AD375" i="11"/>
  <c r="AD376" i="11"/>
  <c r="AS373" i="11"/>
  <c r="AS374" i="11"/>
  <c r="AS375" i="11"/>
  <c r="AS376" i="11"/>
  <c r="AT373" i="11"/>
  <c r="AT374" i="11"/>
  <c r="AT375" i="11"/>
  <c r="AE375" i="11" s="1"/>
  <c r="AT376" i="11"/>
  <c r="H377" i="11"/>
  <c r="H378" i="11"/>
  <c r="H379" i="11"/>
  <c r="H380" i="11"/>
  <c r="W377" i="11"/>
  <c r="W378" i="11"/>
  <c r="W379" i="11"/>
  <c r="W380" i="11"/>
  <c r="AD377" i="11"/>
  <c r="AD378" i="11"/>
  <c r="AD379" i="11"/>
  <c r="AD380" i="11"/>
  <c r="AS377" i="11"/>
  <c r="AS378" i="11"/>
  <c r="AS379" i="11"/>
  <c r="AS380" i="11"/>
  <c r="AT377" i="11"/>
  <c r="AT378" i="11"/>
  <c r="AT379" i="11"/>
  <c r="AT380" i="11"/>
  <c r="H381" i="11"/>
  <c r="H382" i="11"/>
  <c r="H383" i="11"/>
  <c r="H384" i="11"/>
  <c r="W381" i="11"/>
  <c r="W382" i="11"/>
  <c r="W383" i="11"/>
  <c r="W384" i="11"/>
  <c r="AD381" i="11"/>
  <c r="AD382" i="11"/>
  <c r="AD383" i="11"/>
  <c r="AD384" i="11"/>
  <c r="AS381" i="11"/>
  <c r="AS382" i="11"/>
  <c r="AS383" i="11"/>
  <c r="AS384" i="11"/>
  <c r="AT381" i="11"/>
  <c r="AT382" i="11"/>
  <c r="AT383" i="11"/>
  <c r="AT384" i="11"/>
  <c r="H385" i="11"/>
  <c r="H387" i="11"/>
  <c r="H388" i="11"/>
  <c r="H389" i="11"/>
  <c r="W385" i="11"/>
  <c r="W387" i="11"/>
  <c r="W388" i="11"/>
  <c r="W389" i="11"/>
  <c r="AD385" i="11"/>
  <c r="AD387" i="11"/>
  <c r="AD388" i="11"/>
  <c r="AD389" i="11"/>
  <c r="AS385" i="11"/>
  <c r="AS387" i="11"/>
  <c r="AS388" i="11"/>
  <c r="AS389" i="11"/>
  <c r="AT385" i="11"/>
  <c r="AE385" i="11" s="1"/>
  <c r="AT387" i="11"/>
  <c r="AT388" i="11"/>
  <c r="AT389" i="11"/>
  <c r="H390" i="11"/>
  <c r="H391" i="11"/>
  <c r="H392" i="11"/>
  <c r="H393" i="11"/>
  <c r="W390" i="11"/>
  <c r="W391" i="11"/>
  <c r="W392" i="11"/>
  <c r="W393" i="11"/>
  <c r="AD390" i="11"/>
  <c r="AD391" i="11"/>
  <c r="AD392" i="11"/>
  <c r="AD393" i="11"/>
  <c r="AS390" i="11"/>
  <c r="AS391" i="11"/>
  <c r="AS392" i="11"/>
  <c r="AS393" i="11"/>
  <c r="AT390" i="11"/>
  <c r="AT391" i="11"/>
  <c r="AT392" i="11"/>
  <c r="AE392" i="11" s="1"/>
  <c r="AT393" i="11"/>
  <c r="H394" i="11"/>
  <c r="H395" i="11"/>
  <c r="W394" i="11"/>
  <c r="W395" i="11"/>
  <c r="AD394" i="11"/>
  <c r="AS394" i="11"/>
  <c r="AS395" i="11"/>
  <c r="AT394" i="11"/>
  <c r="AE394" i="11" s="1"/>
  <c r="AT395" i="11"/>
  <c r="H396" i="11"/>
  <c r="W396" i="11"/>
  <c r="AS396" i="11"/>
  <c r="AT396" i="11"/>
  <c r="H397" i="11"/>
  <c r="W397" i="11"/>
  <c r="AD397" i="11"/>
  <c r="AS397" i="11"/>
  <c r="AT397" i="11"/>
  <c r="H360" i="11"/>
  <c r="AS360" i="11"/>
  <c r="AT360" i="11"/>
  <c r="AD300" i="11"/>
  <c r="AD278" i="11"/>
  <c r="AD269" i="11"/>
  <c r="AD253" i="11"/>
  <c r="AD244" i="11"/>
  <c r="AD239" i="11"/>
  <c r="AD230" i="11"/>
  <c r="AD210" i="11"/>
  <c r="AD192" i="11"/>
  <c r="AD191" i="11"/>
  <c r="AD322" i="11"/>
  <c r="W322" i="11"/>
  <c r="AD347" i="11"/>
  <c r="W347" i="11"/>
  <c r="R348" i="11"/>
  <c r="T348" i="11" s="1"/>
  <c r="T261" i="11" l="1"/>
  <c r="T263" i="11"/>
  <c r="T336" i="11"/>
  <c r="AX386" i="11"/>
  <c r="BA386" i="11" s="1"/>
  <c r="BB386" i="11" s="1"/>
  <c r="U341" i="11"/>
  <c r="AF395" i="11"/>
  <c r="AR395" i="11" s="1"/>
  <c r="AF394" i="11"/>
  <c r="AR394" i="11" s="1"/>
  <c r="AF392" i="11"/>
  <c r="AR392" i="11" s="1"/>
  <c r="AF387" i="11"/>
  <c r="AR387" i="11" s="1"/>
  <c r="AF382" i="11"/>
  <c r="AR382" i="11" s="1"/>
  <c r="AF378" i="11"/>
  <c r="AR378" i="11" s="1"/>
  <c r="AF373" i="11"/>
  <c r="AR373" i="11" s="1"/>
  <c r="U365" i="11"/>
  <c r="AF385" i="11"/>
  <c r="AR385" i="11" s="1"/>
  <c r="AF381" i="11"/>
  <c r="AR381" i="11" s="1"/>
  <c r="AF377" i="11"/>
  <c r="AR377" i="11" s="1"/>
  <c r="U364" i="11"/>
  <c r="U333" i="11"/>
  <c r="V333" i="11" s="1"/>
  <c r="AF396" i="11"/>
  <c r="AR396" i="11" s="1"/>
  <c r="AF390" i="11"/>
  <c r="AR390" i="11" s="1"/>
  <c r="U359" i="11"/>
  <c r="V359" i="11" s="1"/>
  <c r="AF391" i="11"/>
  <c r="AR391" i="11" s="1"/>
  <c r="AF347" i="11"/>
  <c r="AR347" i="11" s="1"/>
  <c r="U363" i="11"/>
  <c r="AF356" i="11"/>
  <c r="AR356" i="11" s="1"/>
  <c r="AF408" i="11"/>
  <c r="AR408" i="11" s="1"/>
  <c r="AF407" i="11"/>
  <c r="AR407" i="11" s="1"/>
  <c r="AF406" i="11"/>
  <c r="AR406" i="11" s="1"/>
  <c r="AF405" i="11"/>
  <c r="AR405" i="11" s="1"/>
  <c r="U361" i="11"/>
  <c r="AF404" i="11"/>
  <c r="AR404" i="11" s="1"/>
  <c r="AF403" i="11"/>
  <c r="AR403" i="11" s="1"/>
  <c r="AF322" i="11"/>
  <c r="AR322" i="11" s="1"/>
  <c r="AF402" i="11"/>
  <c r="AR402" i="11" s="1"/>
  <c r="U366" i="11"/>
  <c r="AF400" i="11"/>
  <c r="AR400" i="11" s="1"/>
  <c r="U399" i="11"/>
  <c r="V399" i="11" s="1"/>
  <c r="U350" i="11"/>
  <c r="AF360" i="11"/>
  <c r="AR360" i="11" s="1"/>
  <c r="AF399" i="11"/>
  <c r="AR399" i="11" s="1"/>
  <c r="AF376" i="11"/>
  <c r="AR376" i="11" s="1"/>
  <c r="AF397" i="11"/>
  <c r="AR397" i="11" s="1"/>
  <c r="AF389" i="11"/>
  <c r="AR389" i="11" s="1"/>
  <c r="AF384" i="11"/>
  <c r="AR384" i="11" s="1"/>
  <c r="AF380" i="11"/>
  <c r="AR380" i="11" s="1"/>
  <c r="AF375" i="11"/>
  <c r="AR375" i="11" s="1"/>
  <c r="AF393" i="11"/>
  <c r="AR393" i="11" s="1"/>
  <c r="AF388" i="11"/>
  <c r="AR388" i="11" s="1"/>
  <c r="AF383" i="11"/>
  <c r="AR383" i="11" s="1"/>
  <c r="AF379" i="11"/>
  <c r="AR379" i="11" s="1"/>
  <c r="AF374" i="11"/>
  <c r="AR374" i="11" s="1"/>
  <c r="V376" i="11"/>
  <c r="AU376" i="11" s="1"/>
  <c r="U393" i="11"/>
  <c r="V393" i="11" s="1"/>
  <c r="AU393" i="11" s="1"/>
  <c r="V406" i="11"/>
  <c r="AU406" i="11" s="1"/>
  <c r="V405" i="11"/>
  <c r="AU405" i="11" s="1"/>
  <c r="U386" i="11"/>
  <c r="V386" i="11" s="1"/>
  <c r="AU386" i="11" s="1"/>
  <c r="U395" i="11"/>
  <c r="V395" i="11" s="1"/>
  <c r="AU395" i="11" s="1"/>
  <c r="U322" i="11"/>
  <c r="V322" i="11" s="1"/>
  <c r="V360" i="11"/>
  <c r="AU360" i="11" s="1"/>
  <c r="V384" i="11"/>
  <c r="AU384" i="11" s="1"/>
  <c r="V378" i="11"/>
  <c r="AU378" i="11" s="1"/>
  <c r="AI393" i="11"/>
  <c r="AO393" i="11"/>
  <c r="AM393" i="11"/>
  <c r="AK393" i="11"/>
  <c r="AI390" i="11"/>
  <c r="AM390" i="11"/>
  <c r="AO390" i="11"/>
  <c r="AK390" i="11"/>
  <c r="AI397" i="11"/>
  <c r="AM397" i="11"/>
  <c r="AO397" i="11"/>
  <c r="AK397" i="11"/>
  <c r="AI395" i="11"/>
  <c r="AO395" i="11"/>
  <c r="AK395" i="11"/>
  <c r="AM395" i="11"/>
  <c r="AI387" i="11"/>
  <c r="AO387" i="11"/>
  <c r="AM387" i="11"/>
  <c r="AK387" i="11"/>
  <c r="AI379" i="11"/>
  <c r="AO379" i="11"/>
  <c r="AK379" i="11"/>
  <c r="AM379" i="11"/>
  <c r="AI373" i="11"/>
  <c r="AO373" i="11"/>
  <c r="AM373" i="11"/>
  <c r="AK373" i="11"/>
  <c r="AI405" i="11"/>
  <c r="AO405" i="11"/>
  <c r="AM405" i="11"/>
  <c r="AK405" i="11"/>
  <c r="AI399" i="11"/>
  <c r="AO399" i="11"/>
  <c r="AM399" i="11"/>
  <c r="AK399" i="11"/>
  <c r="AI385" i="11"/>
  <c r="AO385" i="11"/>
  <c r="AM385" i="11"/>
  <c r="AK385" i="11"/>
  <c r="AI384" i="11"/>
  <c r="AO384" i="11"/>
  <c r="AM384" i="11"/>
  <c r="AK384" i="11"/>
  <c r="AI378" i="11"/>
  <c r="AO378" i="11"/>
  <c r="AM378" i="11"/>
  <c r="AK378" i="11"/>
  <c r="AI404" i="11"/>
  <c r="AO404" i="11"/>
  <c r="AM404" i="11"/>
  <c r="AK404" i="11"/>
  <c r="AI398" i="11"/>
  <c r="AO398" i="11"/>
  <c r="AM398" i="11"/>
  <c r="AK398" i="11"/>
  <c r="AI394" i="11"/>
  <c r="AO394" i="11"/>
  <c r="AK394" i="11"/>
  <c r="AM394" i="11"/>
  <c r="AI392" i="11"/>
  <c r="AO392" i="11"/>
  <c r="AM392" i="11"/>
  <c r="AK392" i="11"/>
  <c r="AI377" i="11"/>
  <c r="AO377" i="11"/>
  <c r="AM377" i="11"/>
  <c r="AK377" i="11"/>
  <c r="AI403" i="11"/>
  <c r="AO403" i="11"/>
  <c r="AM403" i="11"/>
  <c r="AK403" i="11"/>
  <c r="AI391" i="11"/>
  <c r="AO391" i="11"/>
  <c r="AM391" i="11"/>
  <c r="AK391" i="11"/>
  <c r="AI376" i="11"/>
  <c r="AO376" i="11"/>
  <c r="AM376" i="11"/>
  <c r="AK376" i="11"/>
  <c r="AI408" i="11"/>
  <c r="AO408" i="11"/>
  <c r="AM408" i="11"/>
  <c r="AK408" i="11"/>
  <c r="AI402" i="11"/>
  <c r="AO402" i="11"/>
  <c r="AM402" i="11"/>
  <c r="AK402" i="11"/>
  <c r="AI383" i="11"/>
  <c r="AO383" i="11"/>
  <c r="AM383" i="11"/>
  <c r="AK383" i="11"/>
  <c r="AI382" i="11"/>
  <c r="AM382" i="11"/>
  <c r="AO382" i="11"/>
  <c r="AK382" i="11"/>
  <c r="AI396" i="11"/>
  <c r="AM396" i="11"/>
  <c r="AO396" i="11"/>
  <c r="AK396" i="11"/>
  <c r="AI389" i="11"/>
  <c r="AO389" i="11"/>
  <c r="AM389" i="11"/>
  <c r="AK389" i="11"/>
  <c r="AI381" i="11"/>
  <c r="AM381" i="11"/>
  <c r="AO381" i="11"/>
  <c r="AK381" i="11"/>
  <c r="AI375" i="11"/>
  <c r="AM375" i="11"/>
  <c r="AK375" i="11"/>
  <c r="AO375" i="11"/>
  <c r="AI407" i="11"/>
  <c r="AO407" i="11"/>
  <c r="AK407" i="11"/>
  <c r="AM407" i="11"/>
  <c r="AI401" i="11"/>
  <c r="AO401" i="11"/>
  <c r="AM401" i="11"/>
  <c r="AK401" i="11"/>
  <c r="AI360" i="11"/>
  <c r="AO360" i="11"/>
  <c r="AM360" i="11"/>
  <c r="AK360" i="11"/>
  <c r="AI388" i="11"/>
  <c r="AO388" i="11"/>
  <c r="AM388" i="11"/>
  <c r="AK388" i="11"/>
  <c r="AI380" i="11"/>
  <c r="AO380" i="11"/>
  <c r="AM380" i="11"/>
  <c r="AK380" i="11"/>
  <c r="AI374" i="11"/>
  <c r="AM374" i="11"/>
  <c r="AO374" i="11"/>
  <c r="AK374" i="11"/>
  <c r="AI356" i="11"/>
  <c r="AO356" i="11"/>
  <c r="AM356" i="11"/>
  <c r="AK356" i="11"/>
  <c r="AI406" i="11"/>
  <c r="AO406" i="11"/>
  <c r="AM406" i="11"/>
  <c r="AK406" i="11"/>
  <c r="AI400" i="11"/>
  <c r="AO400" i="11"/>
  <c r="AM400" i="11"/>
  <c r="AK400" i="11"/>
  <c r="AG360" i="11"/>
  <c r="AG388" i="11"/>
  <c r="AG380" i="11"/>
  <c r="AG374" i="11"/>
  <c r="AU356" i="11"/>
  <c r="AG356" i="11"/>
  <c r="AG406" i="11"/>
  <c r="AG400" i="11"/>
  <c r="AG387" i="11"/>
  <c r="AG379" i="11"/>
  <c r="AG373" i="11"/>
  <c r="AG405" i="11"/>
  <c r="AG399" i="11"/>
  <c r="AG383" i="11"/>
  <c r="AG397" i="11"/>
  <c r="AG395" i="11"/>
  <c r="AG394" i="11"/>
  <c r="AG393" i="11"/>
  <c r="AG385" i="11"/>
  <c r="AG384" i="11"/>
  <c r="AG378" i="11"/>
  <c r="AG404" i="11"/>
  <c r="AG398" i="11"/>
  <c r="AG392" i="11"/>
  <c r="AG377" i="11"/>
  <c r="AG403" i="11"/>
  <c r="AG382" i="11"/>
  <c r="AG376" i="11"/>
  <c r="AG408" i="11"/>
  <c r="AG402" i="11"/>
  <c r="AG396" i="11"/>
  <c r="AG391" i="11"/>
  <c r="AG390" i="11"/>
  <c r="AG389" i="11"/>
  <c r="AG381" i="11"/>
  <c r="AG375" i="11"/>
  <c r="AG407" i="11"/>
  <c r="AU401" i="11"/>
  <c r="AG401" i="11"/>
  <c r="V402" i="11"/>
  <c r="AU398" i="11"/>
  <c r="V407" i="11"/>
  <c r="V403" i="11"/>
  <c r="AR401" i="11"/>
  <c r="U408" i="11"/>
  <c r="U404" i="11"/>
  <c r="U400" i="11"/>
  <c r="V374" i="11"/>
  <c r="V373" i="11"/>
  <c r="V379" i="11"/>
  <c r="V377" i="11"/>
  <c r="V383" i="11"/>
  <c r="V388" i="11"/>
  <c r="AU396" i="11"/>
  <c r="V391" i="11"/>
  <c r="V390" i="11"/>
  <c r="V397" i="11"/>
  <c r="U347" i="11"/>
  <c r="R351" i="11"/>
  <c r="T351" i="11" s="1"/>
  <c r="R352" i="11"/>
  <c r="T352" i="11" s="1"/>
  <c r="R353" i="11"/>
  <c r="T353" i="11" s="1"/>
  <c r="S349" i="11"/>
  <c r="T349" i="11" s="1"/>
  <c r="H353" i="11"/>
  <c r="W353" i="11"/>
  <c r="AD353" i="11"/>
  <c r="AS353" i="11"/>
  <c r="AT353" i="11"/>
  <c r="AE353" i="11" s="1"/>
  <c r="H352" i="11"/>
  <c r="W352" i="11"/>
  <c r="AD352" i="11"/>
  <c r="AS352" i="11"/>
  <c r="AT352" i="11"/>
  <c r="AE352" i="11" s="1"/>
  <c r="H333" i="11"/>
  <c r="W333" i="11"/>
  <c r="AD333" i="11"/>
  <c r="AS333" i="11"/>
  <c r="AT333" i="11"/>
  <c r="R314" i="11"/>
  <c r="T314" i="11" s="1"/>
  <c r="R320" i="11"/>
  <c r="T320" i="11" s="1"/>
  <c r="S326" i="11"/>
  <c r="T326" i="11" s="1"/>
  <c r="S325" i="11"/>
  <c r="T325" i="11" s="1"/>
  <c r="AD338" i="11"/>
  <c r="W338" i="11"/>
  <c r="U338" i="11"/>
  <c r="U324" i="11"/>
  <c r="S335" i="11"/>
  <c r="T335" i="11" s="1"/>
  <c r="S321" i="11"/>
  <c r="T321" i="11" s="1"/>
  <c r="R317" i="11"/>
  <c r="T317" i="11" s="1"/>
  <c r="R332" i="11"/>
  <c r="T332" i="11" s="1"/>
  <c r="R331" i="11"/>
  <c r="T331" i="11" s="1"/>
  <c r="R327" i="11"/>
  <c r="T327" i="11" s="1"/>
  <c r="R319" i="11"/>
  <c r="T319" i="11" s="1"/>
  <c r="R318" i="11"/>
  <c r="T318" i="11" s="1"/>
  <c r="U328" i="11"/>
  <c r="U329" i="11"/>
  <c r="U330" i="11"/>
  <c r="U334" i="11"/>
  <c r="U339" i="11"/>
  <c r="U340" i="11"/>
  <c r="U342" i="11"/>
  <c r="U343" i="11"/>
  <c r="U344" i="11"/>
  <c r="U346" i="11"/>
  <c r="U354" i="11"/>
  <c r="U358" i="11"/>
  <c r="U362" i="11"/>
  <c r="U367" i="11"/>
  <c r="U370" i="11"/>
  <c r="V370" i="11" s="1"/>
  <c r="U371" i="11"/>
  <c r="U372" i="11"/>
  <c r="H331" i="11"/>
  <c r="H332" i="11"/>
  <c r="W331" i="11"/>
  <c r="W332" i="11"/>
  <c r="AD331" i="11"/>
  <c r="AD332" i="11"/>
  <c r="AS331" i="11"/>
  <c r="AS332" i="11"/>
  <c r="AT331" i="11"/>
  <c r="AE331" i="11" s="1"/>
  <c r="AT332" i="11"/>
  <c r="AE332" i="11" s="1"/>
  <c r="H318" i="11"/>
  <c r="H319" i="11"/>
  <c r="H320" i="11"/>
  <c r="H321" i="11"/>
  <c r="H322" i="11"/>
  <c r="H323" i="11"/>
  <c r="H324" i="11"/>
  <c r="H325" i="11"/>
  <c r="W318" i="11"/>
  <c r="W319" i="11"/>
  <c r="W320" i="11"/>
  <c r="W321" i="11"/>
  <c r="W323" i="11"/>
  <c r="W324" i="11"/>
  <c r="W325" i="11"/>
  <c r="AD318" i="11"/>
  <c r="AD319" i="11"/>
  <c r="AD320" i="11"/>
  <c r="AD321" i="11"/>
  <c r="AD323" i="11"/>
  <c r="AD324" i="11"/>
  <c r="AD325" i="11"/>
  <c r="AS318" i="11"/>
  <c r="AS319" i="11"/>
  <c r="AS320" i="11"/>
  <c r="AS321" i="11"/>
  <c r="AS322" i="11"/>
  <c r="AS323" i="11"/>
  <c r="AS324" i="11"/>
  <c r="AS325" i="11"/>
  <c r="AT318" i="11"/>
  <c r="AE318" i="11" s="1"/>
  <c r="AT319" i="11"/>
  <c r="AE319" i="11" s="1"/>
  <c r="AT320" i="11"/>
  <c r="AT321" i="11"/>
  <c r="AT322" i="11"/>
  <c r="AT323" i="11"/>
  <c r="AT324" i="11"/>
  <c r="AT325" i="11"/>
  <c r="H326" i="11"/>
  <c r="H327" i="11"/>
  <c r="H328" i="11"/>
  <c r="H329" i="11"/>
  <c r="H330" i="11"/>
  <c r="H334" i="11"/>
  <c r="H335" i="11"/>
  <c r="H336" i="11"/>
  <c r="W326" i="11"/>
  <c r="W327" i="11"/>
  <c r="W328" i="11"/>
  <c r="W329" i="11"/>
  <c r="W330" i="11"/>
  <c r="W334" i="11"/>
  <c r="W335" i="11"/>
  <c r="W336" i="11"/>
  <c r="AD326" i="11"/>
  <c r="AD327" i="11"/>
  <c r="AD328" i="11"/>
  <c r="AD329" i="11"/>
  <c r="AD330" i="11"/>
  <c r="AD334" i="11"/>
  <c r="AD335" i="11"/>
  <c r="AD336" i="11"/>
  <c r="AS326" i="11"/>
  <c r="AS327" i="11"/>
  <c r="AS328" i="11"/>
  <c r="AS329" i="11"/>
  <c r="AS330" i="11"/>
  <c r="AS334" i="11"/>
  <c r="AS335" i="11"/>
  <c r="AS336" i="11"/>
  <c r="AT326" i="11"/>
  <c r="AT327" i="11"/>
  <c r="AE327" i="11" s="1"/>
  <c r="AT328" i="11"/>
  <c r="AT329" i="11"/>
  <c r="AT330" i="11"/>
  <c r="AT334" i="11"/>
  <c r="AT335" i="11"/>
  <c r="AT336" i="11"/>
  <c r="H337" i="11"/>
  <c r="H338" i="11"/>
  <c r="H339" i="11"/>
  <c r="H340" i="11"/>
  <c r="H341" i="11"/>
  <c r="H342" i="11"/>
  <c r="H343" i="11"/>
  <c r="H344" i="11"/>
  <c r="W337" i="11"/>
  <c r="W339" i="11"/>
  <c r="W340" i="11"/>
  <c r="W341" i="11"/>
  <c r="W342" i="11"/>
  <c r="W343" i="11"/>
  <c r="W344" i="11"/>
  <c r="AD337" i="11"/>
  <c r="AD339" i="11"/>
  <c r="AD340" i="11"/>
  <c r="AD342" i="11"/>
  <c r="AD343" i="11"/>
  <c r="AD344" i="11"/>
  <c r="AS337" i="11"/>
  <c r="AS338" i="11"/>
  <c r="AS339" i="11"/>
  <c r="AS340" i="11"/>
  <c r="AS341" i="11"/>
  <c r="AS342" i="11"/>
  <c r="AS343" i="11"/>
  <c r="AS344" i="11"/>
  <c r="AT337" i="11"/>
  <c r="AT338" i="11"/>
  <c r="AT339" i="11"/>
  <c r="AT340" i="11"/>
  <c r="AT341" i="11"/>
  <c r="AT342" i="11"/>
  <c r="AT343" i="11"/>
  <c r="AT344" i="11"/>
  <c r="H345" i="11"/>
  <c r="H346" i="11"/>
  <c r="H347" i="11"/>
  <c r="H348" i="11"/>
  <c r="H349" i="11"/>
  <c r="H350" i="11"/>
  <c r="H351" i="11"/>
  <c r="H354" i="11"/>
  <c r="W345" i="11"/>
  <c r="W346" i="11"/>
  <c r="W348" i="11"/>
  <c r="W349" i="11"/>
  <c r="W350" i="11"/>
  <c r="W351" i="11"/>
  <c r="W354" i="11"/>
  <c r="AD345" i="11"/>
  <c r="AD346" i="11"/>
  <c r="AD348" i="11"/>
  <c r="AD349" i="11"/>
  <c r="AD350" i="11"/>
  <c r="AD351" i="11"/>
  <c r="AD354" i="11"/>
  <c r="AS345" i="11"/>
  <c r="AS346" i="11"/>
  <c r="AS347" i="11"/>
  <c r="AS348" i="11"/>
  <c r="AS349" i="11"/>
  <c r="AS350" i="11"/>
  <c r="AS351" i="11"/>
  <c r="AS354" i="11"/>
  <c r="AT345" i="11"/>
  <c r="AT346" i="11"/>
  <c r="AT347" i="11"/>
  <c r="AT348" i="11"/>
  <c r="AT349" i="11"/>
  <c r="AT350" i="11"/>
  <c r="AT351" i="11"/>
  <c r="AE351" i="11" s="1"/>
  <c r="AT354" i="11"/>
  <c r="H355" i="11"/>
  <c r="H357" i="11"/>
  <c r="H358" i="11"/>
  <c r="H359" i="11"/>
  <c r="H361" i="11"/>
  <c r="H362" i="11"/>
  <c r="H363" i="11"/>
  <c r="H364" i="11"/>
  <c r="W355" i="11"/>
  <c r="W357" i="11"/>
  <c r="W358" i="11"/>
  <c r="W359" i="11"/>
  <c r="W361" i="11"/>
  <c r="W362" i="11"/>
  <c r="W363" i="11"/>
  <c r="W364" i="11"/>
  <c r="AD355" i="11"/>
  <c r="AD357" i="11"/>
  <c r="AD358" i="11"/>
  <c r="AD359" i="11"/>
  <c r="AD361" i="11"/>
  <c r="AD362" i="11"/>
  <c r="AD363" i="11"/>
  <c r="AD364" i="11"/>
  <c r="AS355" i="11"/>
  <c r="AS357" i="11"/>
  <c r="AS358" i="11"/>
  <c r="AS359" i="11"/>
  <c r="AS361" i="11"/>
  <c r="AS362" i="11"/>
  <c r="AS363" i="11"/>
  <c r="AS364" i="11"/>
  <c r="AT355" i="11"/>
  <c r="AT357" i="11"/>
  <c r="AT358" i="11"/>
  <c r="AT359" i="11"/>
  <c r="AT361" i="11"/>
  <c r="AT362" i="11"/>
  <c r="AT363" i="11"/>
  <c r="AT364" i="11"/>
  <c r="H365" i="11"/>
  <c r="H366" i="11"/>
  <c r="H367" i="11"/>
  <c r="H368" i="11"/>
  <c r="W365" i="11"/>
  <c r="W366" i="11"/>
  <c r="W367" i="11"/>
  <c r="W368" i="11"/>
  <c r="AD365" i="11"/>
  <c r="AD366" i="11"/>
  <c r="AD367" i="11"/>
  <c r="AD368" i="11"/>
  <c r="AS365" i="11"/>
  <c r="AS366" i="11"/>
  <c r="AS367" i="11"/>
  <c r="AS368" i="11"/>
  <c r="AT365" i="11"/>
  <c r="AT366" i="11"/>
  <c r="AE366" i="11" s="1"/>
  <c r="AT367" i="11"/>
  <c r="AT368" i="11"/>
  <c r="H369" i="11"/>
  <c r="H370" i="11"/>
  <c r="W369" i="11"/>
  <c r="W370" i="11"/>
  <c r="AD369" i="11"/>
  <c r="AD370" i="11"/>
  <c r="AS369" i="11"/>
  <c r="AS370" i="11"/>
  <c r="AT369" i="11"/>
  <c r="AT370" i="11"/>
  <c r="H371" i="11"/>
  <c r="W371" i="11"/>
  <c r="AD371" i="11"/>
  <c r="AS371" i="11"/>
  <c r="AT371" i="11"/>
  <c r="H372" i="11"/>
  <c r="W372" i="11"/>
  <c r="AD372" i="11"/>
  <c r="AS372" i="11"/>
  <c r="AT372" i="11"/>
  <c r="AD299" i="11"/>
  <c r="W299" i="11"/>
  <c r="AD279" i="11"/>
  <c r="W279" i="11"/>
  <c r="AD272" i="11"/>
  <c r="W272" i="11"/>
  <c r="AX400" i="11" l="1"/>
  <c r="BA400" i="11" s="1"/>
  <c r="BB400" i="11" s="1"/>
  <c r="AX375" i="11"/>
  <c r="BA375" i="11" s="1"/>
  <c r="BB375" i="11" s="1"/>
  <c r="AX398" i="11"/>
  <c r="BA398" i="11" s="1"/>
  <c r="BB398" i="11" s="1"/>
  <c r="AX404" i="11"/>
  <c r="BA404" i="11" s="1"/>
  <c r="BB404" i="11" s="1"/>
  <c r="AX387" i="11"/>
  <c r="BA387" i="11" s="1"/>
  <c r="BB387" i="11" s="1"/>
  <c r="AX381" i="11"/>
  <c r="BA381" i="11" s="1"/>
  <c r="BB381" i="11" s="1"/>
  <c r="AX378" i="11"/>
  <c r="BA378" i="11" s="1"/>
  <c r="BB378" i="11" s="1"/>
  <c r="AX389" i="11"/>
  <c r="BA389" i="11" s="1"/>
  <c r="BB389" i="11" s="1"/>
  <c r="AX384" i="11"/>
  <c r="BA384" i="11" s="1"/>
  <c r="BB384" i="11" s="1"/>
  <c r="AX406" i="11"/>
  <c r="BA406" i="11" s="1"/>
  <c r="BB406" i="11" s="1"/>
  <c r="AX356" i="11"/>
  <c r="BA356" i="11" s="1"/>
  <c r="BB356" i="11" s="1"/>
  <c r="AX391" i="11"/>
  <c r="BA391" i="11" s="1"/>
  <c r="BB391" i="11" s="1"/>
  <c r="AX396" i="11"/>
  <c r="BA396" i="11" s="1"/>
  <c r="BB396" i="11" s="1"/>
  <c r="AX393" i="11"/>
  <c r="BA393" i="11" s="1"/>
  <c r="BB393" i="11" s="1"/>
  <c r="AX374" i="11"/>
  <c r="BA374" i="11" s="1"/>
  <c r="BB374" i="11" s="1"/>
  <c r="AX402" i="11"/>
  <c r="BA402" i="11" s="1"/>
  <c r="BB402" i="11" s="1"/>
  <c r="AX394" i="11"/>
  <c r="BA394" i="11" s="1"/>
  <c r="BB394" i="11" s="1"/>
  <c r="AX380" i="11"/>
  <c r="BA380" i="11" s="1"/>
  <c r="BB380" i="11" s="1"/>
  <c r="AX385" i="11"/>
  <c r="BA385" i="11" s="1"/>
  <c r="BB385" i="11" s="1"/>
  <c r="AX388" i="11"/>
  <c r="BA388" i="11" s="1"/>
  <c r="BB388" i="11" s="1"/>
  <c r="AX408" i="11"/>
  <c r="BA408" i="11" s="1"/>
  <c r="BB408" i="11" s="1"/>
  <c r="AX395" i="11"/>
  <c r="BA395" i="11" s="1"/>
  <c r="BB395" i="11" s="1"/>
  <c r="AX360" i="11"/>
  <c r="BA360" i="11" s="1"/>
  <c r="BB360" i="11" s="1"/>
  <c r="AX390" i="11"/>
  <c r="BA390" i="11" s="1"/>
  <c r="BB390" i="11" s="1"/>
  <c r="AX376" i="11"/>
  <c r="BA376" i="11" s="1"/>
  <c r="BB376" i="11" s="1"/>
  <c r="AX397" i="11"/>
  <c r="BA397" i="11" s="1"/>
  <c r="BB397" i="11" s="1"/>
  <c r="AX382" i="11"/>
  <c r="BA382" i="11" s="1"/>
  <c r="BB382" i="11" s="1"/>
  <c r="AX383" i="11"/>
  <c r="BA383" i="11" s="1"/>
  <c r="BB383" i="11" s="1"/>
  <c r="AX405" i="11"/>
  <c r="BA405" i="11" s="1"/>
  <c r="BB405" i="11" s="1"/>
  <c r="AX403" i="11"/>
  <c r="BA403" i="11" s="1"/>
  <c r="BB403" i="11" s="1"/>
  <c r="AX401" i="11"/>
  <c r="BA401" i="11" s="1"/>
  <c r="BB401" i="11" s="1"/>
  <c r="AX392" i="11"/>
  <c r="BA392" i="11" s="1"/>
  <c r="BB392" i="11" s="1"/>
  <c r="AX373" i="11"/>
  <c r="BA373" i="11" s="1"/>
  <c r="BB373" i="11" s="1"/>
  <c r="AX399" i="11"/>
  <c r="BA399" i="11" s="1"/>
  <c r="BB399" i="11" s="1"/>
  <c r="AX377" i="11"/>
  <c r="BA377" i="11" s="1"/>
  <c r="BB377" i="11" s="1"/>
  <c r="AX407" i="11"/>
  <c r="BA407" i="11" s="1"/>
  <c r="BB407" i="11" s="1"/>
  <c r="AX379" i="11"/>
  <c r="BA379" i="11" s="1"/>
  <c r="BB379" i="11" s="1"/>
  <c r="U369" i="11"/>
  <c r="V369" i="11" s="1"/>
  <c r="AU369" i="11" s="1"/>
  <c r="U368" i="11"/>
  <c r="V368" i="11" s="1"/>
  <c r="AU368" i="11" s="1"/>
  <c r="U326" i="11"/>
  <c r="V326" i="11" s="1"/>
  <c r="AF337" i="11"/>
  <c r="AR337" i="11" s="1"/>
  <c r="AF333" i="11"/>
  <c r="AR333" i="11" s="1"/>
  <c r="AF350" i="11"/>
  <c r="AR350" i="11" s="1"/>
  <c r="AF362" i="11"/>
  <c r="AR362" i="11" s="1"/>
  <c r="AF367" i="11"/>
  <c r="AR367" i="11" s="1"/>
  <c r="AF366" i="11"/>
  <c r="AR366" i="11" s="1"/>
  <c r="AF346" i="11"/>
  <c r="AR346" i="11" s="1"/>
  <c r="AF359" i="11"/>
  <c r="AR359" i="11" s="1"/>
  <c r="AF324" i="11"/>
  <c r="AR324" i="11" s="1"/>
  <c r="AF365" i="11"/>
  <c r="AR365" i="11" s="1"/>
  <c r="AF361" i="11"/>
  <c r="AR361" i="11" s="1"/>
  <c r="AF345" i="11"/>
  <c r="AR345" i="11" s="1"/>
  <c r="AF325" i="11"/>
  <c r="AR325" i="11" s="1"/>
  <c r="AF372" i="11"/>
  <c r="AR372" i="11" s="1"/>
  <c r="AF358" i="11"/>
  <c r="AR358" i="11" s="1"/>
  <c r="AF323" i="11"/>
  <c r="AR323" i="11" s="1"/>
  <c r="AF353" i="11"/>
  <c r="AR353" i="11" s="1"/>
  <c r="AF321" i="11"/>
  <c r="AR321" i="11" s="1"/>
  <c r="AF320" i="11"/>
  <c r="AR320" i="11" s="1"/>
  <c r="AF335" i="11"/>
  <c r="AR335" i="11" s="1"/>
  <c r="AF319" i="11"/>
  <c r="AR319" i="11" s="1"/>
  <c r="AF332" i="11"/>
  <c r="AR332" i="11" s="1"/>
  <c r="AF370" i="11"/>
  <c r="AR370" i="11" s="1"/>
  <c r="AF344" i="11"/>
  <c r="AR344" i="11" s="1"/>
  <c r="AF334" i="11"/>
  <c r="AR334" i="11" s="1"/>
  <c r="AF318" i="11"/>
  <c r="AR318" i="11" s="1"/>
  <c r="AF331" i="11"/>
  <c r="AR331" i="11" s="1"/>
  <c r="AF352" i="11"/>
  <c r="AR352" i="11" s="1"/>
  <c r="AF279" i="11"/>
  <c r="AR279" i="11" s="1"/>
  <c r="AF369" i="11"/>
  <c r="AR369" i="11" s="1"/>
  <c r="AF343" i="11"/>
  <c r="AR343" i="11" s="1"/>
  <c r="AF330" i="11"/>
  <c r="AR330" i="11" s="1"/>
  <c r="AF349" i="11"/>
  <c r="AR349" i="11" s="1"/>
  <c r="AF355" i="11"/>
  <c r="AR355" i="11" s="1"/>
  <c r="AF342" i="11"/>
  <c r="AR342" i="11" s="1"/>
  <c r="AF329" i="11"/>
  <c r="AR329" i="11" s="1"/>
  <c r="AF272" i="11"/>
  <c r="AR272" i="11" s="1"/>
  <c r="AF357" i="11"/>
  <c r="AR357" i="11" s="1"/>
  <c r="AF341" i="11"/>
  <c r="AR341" i="11" s="1"/>
  <c r="AF328" i="11"/>
  <c r="AR328" i="11" s="1"/>
  <c r="U318" i="11"/>
  <c r="V318" i="11" s="1"/>
  <c r="AF368" i="11"/>
  <c r="AR368" i="11" s="1"/>
  <c r="AF348" i="11"/>
  <c r="AR348" i="11" s="1"/>
  <c r="AF338" i="11"/>
  <c r="AR338" i="11" s="1"/>
  <c r="AF336" i="11"/>
  <c r="AR336" i="11" s="1"/>
  <c r="AF371" i="11"/>
  <c r="AR371" i="11" s="1"/>
  <c r="AF354" i="11"/>
  <c r="AR354" i="11" s="1"/>
  <c r="AF340" i="11"/>
  <c r="AR340" i="11" s="1"/>
  <c r="AF327" i="11"/>
  <c r="AR327" i="11" s="1"/>
  <c r="AF364" i="11"/>
  <c r="AR364" i="11" s="1"/>
  <c r="AF363" i="11"/>
  <c r="AR363" i="11" s="1"/>
  <c r="AF299" i="11"/>
  <c r="AR299" i="11" s="1"/>
  <c r="AF351" i="11"/>
  <c r="AR351" i="11" s="1"/>
  <c r="AF339" i="11"/>
  <c r="AR339" i="11" s="1"/>
  <c r="AF326" i="11"/>
  <c r="AR326" i="11" s="1"/>
  <c r="U327" i="11"/>
  <c r="V327" i="11" s="1"/>
  <c r="U381" i="11"/>
  <c r="V381" i="11" s="1"/>
  <c r="AU381" i="11" s="1"/>
  <c r="U336" i="11"/>
  <c r="V336" i="11" s="1"/>
  <c r="V339" i="11"/>
  <c r="AU339" i="11" s="1"/>
  <c r="V404" i="11"/>
  <c r="AU404" i="11" s="1"/>
  <c r="U385" i="11"/>
  <c r="V385" i="11" s="1"/>
  <c r="AU385" i="11" s="1"/>
  <c r="V371" i="11"/>
  <c r="AU371" i="11" s="1"/>
  <c r="U279" i="11"/>
  <c r="V279" i="11" s="1"/>
  <c r="U380" i="11"/>
  <c r="V380" i="11" s="1"/>
  <c r="AU380" i="11" s="1"/>
  <c r="V328" i="11"/>
  <c r="AU328" i="11" s="1"/>
  <c r="U394" i="11"/>
  <c r="V394" i="11" s="1"/>
  <c r="AU394" i="11" s="1"/>
  <c r="V354" i="11"/>
  <c r="AU354" i="11" s="1"/>
  <c r="V346" i="11"/>
  <c r="AU346" i="11" s="1"/>
  <c r="V400" i="11"/>
  <c r="AU400" i="11" s="1"/>
  <c r="V329" i="11"/>
  <c r="AU329" i="11" s="1"/>
  <c r="U323" i="11"/>
  <c r="U389" i="11"/>
  <c r="V389" i="11" s="1"/>
  <c r="AU389" i="11" s="1"/>
  <c r="V340" i="11"/>
  <c r="AU340" i="11" s="1"/>
  <c r="V338" i="11"/>
  <c r="AU338" i="11" s="1"/>
  <c r="U375" i="11"/>
  <c r="V375" i="11" s="1"/>
  <c r="AU375" i="11" s="1"/>
  <c r="V408" i="11"/>
  <c r="AU408" i="11" s="1"/>
  <c r="V347" i="11"/>
  <c r="AU347" i="11" s="1"/>
  <c r="U392" i="11"/>
  <c r="V392" i="11" s="1"/>
  <c r="AU392" i="11" s="1"/>
  <c r="V358" i="11"/>
  <c r="AU358" i="11" s="1"/>
  <c r="AI344" i="11"/>
  <c r="AO344" i="11"/>
  <c r="AM344" i="11"/>
  <c r="AK344" i="11"/>
  <c r="AI334" i="11"/>
  <c r="AO334" i="11"/>
  <c r="AM334" i="11"/>
  <c r="AK334" i="11"/>
  <c r="AI371" i="11"/>
  <c r="AO371" i="11"/>
  <c r="AM371" i="11"/>
  <c r="AK371" i="11"/>
  <c r="AI368" i="11"/>
  <c r="AM368" i="11"/>
  <c r="AO368" i="11"/>
  <c r="AK368" i="11"/>
  <c r="AI342" i="11"/>
  <c r="AO342" i="11"/>
  <c r="AM342" i="11"/>
  <c r="AK342" i="11"/>
  <c r="AI329" i="11"/>
  <c r="AM329" i="11"/>
  <c r="AO329" i="11"/>
  <c r="AK329" i="11"/>
  <c r="AI359" i="11"/>
  <c r="AO359" i="11"/>
  <c r="AM359" i="11"/>
  <c r="AK359" i="11"/>
  <c r="AI340" i="11"/>
  <c r="AO340" i="11"/>
  <c r="AM340" i="11"/>
  <c r="AK340" i="11"/>
  <c r="AI336" i="11"/>
  <c r="AO336" i="11"/>
  <c r="AM336" i="11"/>
  <c r="AK336" i="11"/>
  <c r="AI327" i="11"/>
  <c r="AO327" i="11"/>
  <c r="AM327" i="11"/>
  <c r="AK327" i="11"/>
  <c r="AI358" i="11"/>
  <c r="AO358" i="11"/>
  <c r="AM358" i="11"/>
  <c r="AK358" i="11"/>
  <c r="AI349" i="11"/>
  <c r="AO349" i="11"/>
  <c r="AM349" i="11"/>
  <c r="AK349" i="11"/>
  <c r="AI339" i="11"/>
  <c r="AM339" i="11"/>
  <c r="AO339" i="11"/>
  <c r="AK339" i="11"/>
  <c r="AI335" i="11"/>
  <c r="AO335" i="11"/>
  <c r="AK335" i="11"/>
  <c r="AM335" i="11"/>
  <c r="AI326" i="11"/>
  <c r="AO326" i="11"/>
  <c r="AM326" i="11"/>
  <c r="AK326" i="11"/>
  <c r="AI325" i="11"/>
  <c r="AM325" i="11"/>
  <c r="AO325" i="11"/>
  <c r="AK325" i="11"/>
  <c r="AI319" i="11"/>
  <c r="AO319" i="11"/>
  <c r="AM319" i="11"/>
  <c r="AK319" i="11"/>
  <c r="AU374" i="11"/>
  <c r="AI324" i="11"/>
  <c r="AM324" i="11"/>
  <c r="AO324" i="11"/>
  <c r="AK324" i="11"/>
  <c r="AI318" i="11"/>
  <c r="AO318" i="11"/>
  <c r="AM318" i="11"/>
  <c r="AK318" i="11"/>
  <c r="AI352" i="11"/>
  <c r="AM352" i="11"/>
  <c r="AO352" i="11"/>
  <c r="AK352" i="11"/>
  <c r="AU399" i="11"/>
  <c r="AI364" i="11"/>
  <c r="AO364" i="11"/>
  <c r="AM364" i="11"/>
  <c r="AK364" i="11"/>
  <c r="AI355" i="11"/>
  <c r="AO355" i="11"/>
  <c r="AM355" i="11"/>
  <c r="AK355" i="11"/>
  <c r="AI347" i="11"/>
  <c r="AO347" i="11"/>
  <c r="AM347" i="11"/>
  <c r="AK347" i="11"/>
  <c r="AI343" i="11"/>
  <c r="AO343" i="11"/>
  <c r="AM343" i="11"/>
  <c r="AK343" i="11"/>
  <c r="AI337" i="11"/>
  <c r="AO337" i="11"/>
  <c r="AM337" i="11"/>
  <c r="AK337" i="11"/>
  <c r="AI330" i="11"/>
  <c r="AO330" i="11"/>
  <c r="AM330" i="11"/>
  <c r="AK330" i="11"/>
  <c r="AI323" i="11"/>
  <c r="AO323" i="11"/>
  <c r="AK323" i="11"/>
  <c r="AM323" i="11"/>
  <c r="AI333" i="11"/>
  <c r="AO333" i="11"/>
  <c r="AM333" i="11"/>
  <c r="AK333" i="11"/>
  <c r="AU377" i="11"/>
  <c r="AU373" i="11"/>
  <c r="AU403" i="11"/>
  <c r="AI367" i="11"/>
  <c r="AM367" i="11"/>
  <c r="AO367" i="11"/>
  <c r="AK367" i="11"/>
  <c r="AU388" i="11"/>
  <c r="AU379" i="11"/>
  <c r="AU407" i="11"/>
  <c r="AI348" i="11"/>
  <c r="AO348" i="11"/>
  <c r="AM348" i="11"/>
  <c r="AK348" i="11"/>
  <c r="AI363" i="11"/>
  <c r="AO363" i="11"/>
  <c r="AM363" i="11"/>
  <c r="AK363" i="11"/>
  <c r="AI332" i="11"/>
  <c r="AO332" i="11"/>
  <c r="AM332" i="11"/>
  <c r="AK332" i="11"/>
  <c r="AI372" i="11"/>
  <c r="AO372" i="11"/>
  <c r="AM372" i="11"/>
  <c r="AK372" i="11"/>
  <c r="AI366" i="11"/>
  <c r="AO366" i="11"/>
  <c r="AM366" i="11"/>
  <c r="AK366" i="11"/>
  <c r="AI361" i="11"/>
  <c r="AO361" i="11"/>
  <c r="AM361" i="11"/>
  <c r="AK361" i="11"/>
  <c r="AI351" i="11"/>
  <c r="AO351" i="11"/>
  <c r="AM351" i="11"/>
  <c r="AK351" i="11"/>
  <c r="AI345" i="11"/>
  <c r="AM345" i="11"/>
  <c r="AO345" i="11"/>
  <c r="AK345" i="11"/>
  <c r="AI341" i="11"/>
  <c r="AO341" i="11"/>
  <c r="AM341" i="11"/>
  <c r="AK341" i="11"/>
  <c r="AI328" i="11"/>
  <c r="AM328" i="11"/>
  <c r="AO328" i="11"/>
  <c r="AK328" i="11"/>
  <c r="AI321" i="11"/>
  <c r="AO321" i="11"/>
  <c r="AM321" i="11"/>
  <c r="AK321" i="11"/>
  <c r="AI331" i="11"/>
  <c r="AO331" i="11"/>
  <c r="AM331" i="11"/>
  <c r="AK331" i="11"/>
  <c r="AI353" i="11"/>
  <c r="AO353" i="11"/>
  <c r="AM353" i="11"/>
  <c r="AK353" i="11"/>
  <c r="AU390" i="11"/>
  <c r="AI357" i="11"/>
  <c r="AO357" i="11"/>
  <c r="AM357" i="11"/>
  <c r="AK357" i="11"/>
  <c r="AI338" i="11"/>
  <c r="AO338" i="11"/>
  <c r="AM338" i="11"/>
  <c r="AK338" i="11"/>
  <c r="AI370" i="11"/>
  <c r="AO370" i="11"/>
  <c r="AM370" i="11"/>
  <c r="AK370" i="11"/>
  <c r="AI369" i="11"/>
  <c r="AO369" i="11"/>
  <c r="AM369" i="11"/>
  <c r="AK369" i="11"/>
  <c r="AI362" i="11"/>
  <c r="AO362" i="11"/>
  <c r="AM362" i="11"/>
  <c r="AK362" i="11"/>
  <c r="AI354" i="11"/>
  <c r="AM354" i="11"/>
  <c r="AO354" i="11"/>
  <c r="AK354" i="11"/>
  <c r="AI346" i="11"/>
  <c r="AM346" i="11"/>
  <c r="AO346" i="11"/>
  <c r="AK346" i="11"/>
  <c r="AI322" i="11"/>
  <c r="AO322" i="11"/>
  <c r="AM322" i="11"/>
  <c r="AK322" i="11"/>
  <c r="AI365" i="11"/>
  <c r="AO365" i="11"/>
  <c r="AK365" i="11"/>
  <c r="AM365" i="11"/>
  <c r="AI350" i="11"/>
  <c r="AO350" i="11"/>
  <c r="AK350" i="11"/>
  <c r="AM350" i="11"/>
  <c r="AI320" i="11"/>
  <c r="AO320" i="11"/>
  <c r="AM320" i="11"/>
  <c r="AK320" i="11"/>
  <c r="AU397" i="11"/>
  <c r="AU391" i="11"/>
  <c r="AU383" i="11"/>
  <c r="AU402" i="11"/>
  <c r="AG365" i="11"/>
  <c r="AG359" i="11"/>
  <c r="AG350" i="11"/>
  <c r="AG340" i="11"/>
  <c r="AG336" i="11"/>
  <c r="AG327" i="11"/>
  <c r="AG320" i="11"/>
  <c r="AG339" i="11"/>
  <c r="AG335" i="11"/>
  <c r="AG326" i="11"/>
  <c r="AG325" i="11"/>
  <c r="AG319" i="11"/>
  <c r="AG349" i="11"/>
  <c r="AG344" i="11"/>
  <c r="AG324" i="11"/>
  <c r="AG318" i="11"/>
  <c r="AG352" i="11"/>
  <c r="AG372" i="11"/>
  <c r="AG366" i="11"/>
  <c r="AG348" i="11"/>
  <c r="AG338" i="11"/>
  <c r="AG334" i="11"/>
  <c r="AG371" i="11"/>
  <c r="AG370" i="11"/>
  <c r="AG368" i="11"/>
  <c r="AG363" i="11"/>
  <c r="AG355" i="11"/>
  <c r="AG347" i="11"/>
  <c r="AG343" i="11"/>
  <c r="AG337" i="11"/>
  <c r="AG330" i="11"/>
  <c r="AG323" i="11"/>
  <c r="AG333" i="11"/>
  <c r="AG358" i="11"/>
  <c r="AG364" i="11"/>
  <c r="AG357" i="11"/>
  <c r="AG369" i="11"/>
  <c r="AG367" i="11"/>
  <c r="AG362" i="11"/>
  <c r="AG354" i="11"/>
  <c r="AG346" i="11"/>
  <c r="AG342" i="11"/>
  <c r="AG329" i="11"/>
  <c r="AG322" i="11"/>
  <c r="AG332" i="11"/>
  <c r="AG361" i="11"/>
  <c r="AG351" i="11"/>
  <c r="AG345" i="11"/>
  <c r="AG341" i="11"/>
  <c r="AG328" i="11"/>
  <c r="AG321" i="11"/>
  <c r="AG331" i="11"/>
  <c r="AG353" i="11"/>
  <c r="U387" i="11"/>
  <c r="V387" i="11" s="1"/>
  <c r="U382" i="11"/>
  <c r="V382" i="11" s="1"/>
  <c r="AU333" i="11"/>
  <c r="AU322" i="11"/>
  <c r="V324" i="11"/>
  <c r="V334" i="11"/>
  <c r="V330" i="11"/>
  <c r="V342" i="11"/>
  <c r="V341" i="11"/>
  <c r="V344" i="11"/>
  <c r="V343" i="11"/>
  <c r="V350" i="11"/>
  <c r="U337" i="11"/>
  <c r="U348" i="11"/>
  <c r="AU370" i="11"/>
  <c r="V362" i="11"/>
  <c r="V361" i="11"/>
  <c r="U345" i="11"/>
  <c r="V364" i="11"/>
  <c r="AU359" i="11"/>
  <c r="V363" i="11"/>
  <c r="U357" i="11"/>
  <c r="U355" i="11"/>
  <c r="V367" i="11"/>
  <c r="V366" i="11"/>
  <c r="V365" i="11"/>
  <c r="V372" i="11"/>
  <c r="U299" i="11"/>
  <c r="V299" i="11" s="1"/>
  <c r="U272" i="11"/>
  <c r="V272" i="11" s="1"/>
  <c r="S316" i="11"/>
  <c r="T316" i="11" s="1"/>
  <c r="S307" i="11"/>
  <c r="T307" i="11" s="1"/>
  <c r="S306" i="11"/>
  <c r="T306" i="11" s="1"/>
  <c r="S297" i="11"/>
  <c r="T297" i="11" s="1"/>
  <c r="R301" i="11"/>
  <c r="T301" i="11" s="1"/>
  <c r="R309" i="11"/>
  <c r="T309" i="11" s="1"/>
  <c r="R302" i="11"/>
  <c r="T302" i="11" s="1"/>
  <c r="R315" i="11"/>
  <c r="T315" i="11" s="1"/>
  <c r="R304" i="11"/>
  <c r="T304" i="11" s="1"/>
  <c r="AX321" i="11" l="1"/>
  <c r="BA321" i="11" s="1"/>
  <c r="BB321" i="11" s="1"/>
  <c r="AX335" i="11"/>
  <c r="BA335" i="11" s="1"/>
  <c r="BB335" i="11" s="1"/>
  <c r="AX354" i="11"/>
  <c r="BA354" i="11" s="1"/>
  <c r="BB354" i="11" s="1"/>
  <c r="AX348" i="11"/>
  <c r="BA348" i="11" s="1"/>
  <c r="BB348" i="11" s="1"/>
  <c r="AX339" i="11"/>
  <c r="BA339" i="11" s="1"/>
  <c r="BB339" i="11" s="1"/>
  <c r="AX366" i="11"/>
  <c r="BA366" i="11" s="1"/>
  <c r="BB366" i="11" s="1"/>
  <c r="AX320" i="11"/>
  <c r="BA320" i="11" s="1"/>
  <c r="BB320" i="11" s="1"/>
  <c r="AX346" i="11"/>
  <c r="BA346" i="11" s="1"/>
  <c r="BB346" i="11" s="1"/>
  <c r="AX364" i="11"/>
  <c r="BA364" i="11" s="1"/>
  <c r="BB364" i="11" s="1"/>
  <c r="AX358" i="11"/>
  <c r="BA358" i="11" s="1"/>
  <c r="BB358" i="11" s="1"/>
  <c r="AX327" i="11"/>
  <c r="BA327" i="11" s="1"/>
  <c r="BB327" i="11" s="1"/>
  <c r="AX370" i="11"/>
  <c r="BA370" i="11" s="1"/>
  <c r="BB370" i="11" s="1"/>
  <c r="AX345" i="11"/>
  <c r="BA345" i="11" s="1"/>
  <c r="BB345" i="11" s="1"/>
  <c r="AX351" i="11"/>
  <c r="BA351" i="11" s="1"/>
  <c r="BB351" i="11" s="1"/>
  <c r="AX333" i="11"/>
  <c r="BA333" i="11" s="1"/>
  <c r="BB333" i="11" s="1"/>
  <c r="AX372" i="11"/>
  <c r="BA372" i="11" s="1"/>
  <c r="BB372" i="11" s="1"/>
  <c r="AX357" i="11"/>
  <c r="BA357" i="11" s="1"/>
  <c r="BB357" i="11" s="1"/>
  <c r="AX352" i="11"/>
  <c r="BA352" i="11" s="1"/>
  <c r="BB352" i="11" s="1"/>
  <c r="AX336" i="11"/>
  <c r="BA336" i="11" s="1"/>
  <c r="BB336" i="11" s="1"/>
  <c r="AX341" i="11"/>
  <c r="BA341" i="11" s="1"/>
  <c r="BB341" i="11" s="1"/>
  <c r="AX340" i="11"/>
  <c r="BA340" i="11" s="1"/>
  <c r="BB340" i="11" s="1"/>
  <c r="AX323" i="11"/>
  <c r="BA323" i="11" s="1"/>
  <c r="BB323" i="11" s="1"/>
  <c r="AX361" i="11"/>
  <c r="BA361" i="11" s="1"/>
  <c r="BB361" i="11" s="1"/>
  <c r="AX330" i="11"/>
  <c r="BA330" i="11" s="1"/>
  <c r="BB330" i="11" s="1"/>
  <c r="AX332" i="11"/>
  <c r="BA332" i="11" s="1"/>
  <c r="BB332" i="11" s="1"/>
  <c r="AX337" i="11"/>
  <c r="BA337" i="11" s="1"/>
  <c r="BB337" i="11" s="1"/>
  <c r="AX318" i="11"/>
  <c r="BA318" i="11" s="1"/>
  <c r="BB318" i="11" s="1"/>
  <c r="AX350" i="11"/>
  <c r="BA350" i="11" s="1"/>
  <c r="BB350" i="11" s="1"/>
  <c r="AX343" i="11"/>
  <c r="BA343" i="11" s="1"/>
  <c r="BB343" i="11" s="1"/>
  <c r="AX359" i="11"/>
  <c r="BA359" i="11" s="1"/>
  <c r="BB359" i="11" s="1"/>
  <c r="AX353" i="11"/>
  <c r="BA353" i="11" s="1"/>
  <c r="BB353" i="11" s="1"/>
  <c r="AX324" i="11"/>
  <c r="BA324" i="11" s="1"/>
  <c r="BB324" i="11" s="1"/>
  <c r="AX365" i="11"/>
  <c r="BA365" i="11" s="1"/>
  <c r="BB365" i="11" s="1"/>
  <c r="AX369" i="11"/>
  <c r="BA369" i="11" s="1"/>
  <c r="BB369" i="11" s="1"/>
  <c r="AX338" i="11"/>
  <c r="BA338" i="11" s="1"/>
  <c r="BB338" i="11" s="1"/>
  <c r="AX328" i="11"/>
  <c r="BA328" i="11" s="1"/>
  <c r="BB328" i="11" s="1"/>
  <c r="AX322" i="11"/>
  <c r="BA322" i="11" s="1"/>
  <c r="BB322" i="11" s="1"/>
  <c r="AX347" i="11"/>
  <c r="BA347" i="11" s="1"/>
  <c r="BB347" i="11" s="1"/>
  <c r="AX329" i="11"/>
  <c r="BA329" i="11" s="1"/>
  <c r="BB329" i="11" s="1"/>
  <c r="AX355" i="11"/>
  <c r="BA355" i="11" s="1"/>
  <c r="BB355" i="11" s="1"/>
  <c r="AX344" i="11"/>
  <c r="BA344" i="11" s="1"/>
  <c r="BB344" i="11" s="1"/>
  <c r="AX342" i="11"/>
  <c r="BA342" i="11" s="1"/>
  <c r="BB342" i="11" s="1"/>
  <c r="AX363" i="11"/>
  <c r="BA363" i="11" s="1"/>
  <c r="BB363" i="11" s="1"/>
  <c r="AX349" i="11"/>
  <c r="BA349" i="11" s="1"/>
  <c r="BB349" i="11" s="1"/>
  <c r="AX368" i="11"/>
  <c r="BA368" i="11" s="1"/>
  <c r="BB368" i="11" s="1"/>
  <c r="AX319" i="11"/>
  <c r="BA319" i="11" s="1"/>
  <c r="BB319" i="11" s="1"/>
  <c r="AX362" i="11"/>
  <c r="BA362" i="11" s="1"/>
  <c r="BB362" i="11" s="1"/>
  <c r="AX371" i="11"/>
  <c r="BA371" i="11" s="1"/>
  <c r="BB371" i="11" s="1"/>
  <c r="AX325" i="11"/>
  <c r="BA325" i="11" s="1"/>
  <c r="BB325" i="11" s="1"/>
  <c r="AX331" i="11"/>
  <c r="BA331" i="11" s="1"/>
  <c r="BB331" i="11" s="1"/>
  <c r="AX367" i="11"/>
  <c r="BA367" i="11" s="1"/>
  <c r="BB367" i="11" s="1"/>
  <c r="AX334" i="11"/>
  <c r="BA334" i="11" s="1"/>
  <c r="BB334" i="11" s="1"/>
  <c r="AX326" i="11"/>
  <c r="BA326" i="11" s="1"/>
  <c r="BB326" i="11" s="1"/>
  <c r="U316" i="11"/>
  <c r="V323" i="11"/>
  <c r="AU323" i="11" s="1"/>
  <c r="U351" i="11"/>
  <c r="V351" i="11" s="1"/>
  <c r="AU351" i="11" s="1"/>
  <c r="V345" i="11"/>
  <c r="AU345" i="11" s="1"/>
  <c r="U320" i="11"/>
  <c r="V320" i="11" s="1"/>
  <c r="AU320" i="11" s="1"/>
  <c r="U353" i="11"/>
  <c r="V353" i="11" s="1"/>
  <c r="AU353" i="11" s="1"/>
  <c r="U332" i="11"/>
  <c r="V332" i="11" s="1"/>
  <c r="AU332" i="11" s="1"/>
  <c r="U335" i="11"/>
  <c r="V335" i="11" s="1"/>
  <c r="U331" i="11"/>
  <c r="V331" i="11" s="1"/>
  <c r="AU331" i="11" s="1"/>
  <c r="V355" i="11"/>
  <c r="AU355" i="11" s="1"/>
  <c r="V357" i="11"/>
  <c r="AU357" i="11" s="1"/>
  <c r="V348" i="11"/>
  <c r="AU348" i="11" s="1"/>
  <c r="U349" i="11"/>
  <c r="V349" i="11" s="1"/>
  <c r="AU349" i="11" s="1"/>
  <c r="U319" i="11"/>
  <c r="V319" i="11" s="1"/>
  <c r="AU319" i="11" s="1"/>
  <c r="U321" i="11"/>
  <c r="V321" i="11" s="1"/>
  <c r="AU321" i="11" s="1"/>
  <c r="U325" i="11"/>
  <c r="V325" i="11" s="1"/>
  <c r="AU325" i="11" s="1"/>
  <c r="V337" i="11"/>
  <c r="AU337" i="11" s="1"/>
  <c r="AU365" i="11"/>
  <c r="AU382" i="11"/>
  <c r="AU372" i="11"/>
  <c r="AU341" i="11"/>
  <c r="AU334" i="11"/>
  <c r="AU343" i="11"/>
  <c r="AU387" i="11"/>
  <c r="AU367" i="11"/>
  <c r="AU364" i="11"/>
  <c r="AU361" i="11"/>
  <c r="AU350" i="11"/>
  <c r="AU326" i="11"/>
  <c r="AU366" i="11"/>
  <c r="AU362" i="11"/>
  <c r="AU318" i="11"/>
  <c r="AU327" i="11"/>
  <c r="AU330" i="11"/>
  <c r="AU324" i="11"/>
  <c r="AU363" i="11"/>
  <c r="AU344" i="11"/>
  <c r="AU342" i="11"/>
  <c r="AU336" i="11"/>
  <c r="U352" i="11"/>
  <c r="V352" i="11" s="1"/>
  <c r="H316" i="11"/>
  <c r="W316" i="11"/>
  <c r="AD316" i="11"/>
  <c r="AS316" i="11"/>
  <c r="AT316" i="11"/>
  <c r="H317" i="11"/>
  <c r="U317" i="11"/>
  <c r="W317" i="11"/>
  <c r="AD317" i="11"/>
  <c r="AS317" i="11"/>
  <c r="AT317" i="11"/>
  <c r="H312" i="11"/>
  <c r="H313" i="11"/>
  <c r="U312" i="11"/>
  <c r="U313" i="11"/>
  <c r="W312" i="11"/>
  <c r="W313" i="11"/>
  <c r="AD312" i="11"/>
  <c r="AD313" i="11"/>
  <c r="AS312" i="11"/>
  <c r="AS313" i="11"/>
  <c r="AT312" i="11"/>
  <c r="AT313" i="11"/>
  <c r="S292" i="11"/>
  <c r="T292" i="11" s="1"/>
  <c r="S291" i="11"/>
  <c r="T291" i="11" s="1"/>
  <c r="AD298" i="11"/>
  <c r="R298" i="11"/>
  <c r="T298" i="11" s="1"/>
  <c r="S300" i="11"/>
  <c r="S278" i="11"/>
  <c r="S269" i="11"/>
  <c r="S253" i="11"/>
  <c r="S244" i="11"/>
  <c r="S239" i="11"/>
  <c r="S230" i="11"/>
  <c r="S210" i="11"/>
  <c r="S192" i="11"/>
  <c r="S191" i="11"/>
  <c r="S164" i="11"/>
  <c r="R300" i="11"/>
  <c r="R278" i="11"/>
  <c r="R269" i="11"/>
  <c r="R244" i="11"/>
  <c r="R230" i="11"/>
  <c r="R210" i="11"/>
  <c r="R191" i="11"/>
  <c r="R164" i="11"/>
  <c r="R253" i="11"/>
  <c r="R239" i="11"/>
  <c r="R192" i="11"/>
  <c r="S227" i="11"/>
  <c r="S226" i="11"/>
  <c r="AD294" i="11"/>
  <c r="AD293" i="11"/>
  <c r="AD288" i="11"/>
  <c r="AD264" i="11"/>
  <c r="AD256" i="11"/>
  <c r="AD255" i="11"/>
  <c r="AD237" i="11"/>
  <c r="AD236" i="11"/>
  <c r="AD234" i="11"/>
  <c r="AD222" i="11"/>
  <c r="AD221" i="11"/>
  <c r="AD219" i="11"/>
  <c r="AD198" i="11"/>
  <c r="AD194" i="11"/>
  <c r="AD183" i="11"/>
  <c r="AD182" i="11"/>
  <c r="AD180" i="11"/>
  <c r="AD175" i="11"/>
  <c r="AD163" i="11"/>
  <c r="AD155" i="11"/>
  <c r="AD152" i="11"/>
  <c r="T253" i="11" l="1"/>
  <c r="T164" i="11"/>
  <c r="T210" i="11"/>
  <c r="T230" i="11"/>
  <c r="T191" i="11"/>
  <c r="T244" i="11"/>
  <c r="T269" i="11"/>
  <c r="T300" i="11"/>
  <c r="T192" i="11"/>
  <c r="T239" i="11"/>
  <c r="T278" i="11"/>
  <c r="AF316" i="11"/>
  <c r="AR316" i="11" s="1"/>
  <c r="AF317" i="11"/>
  <c r="AR317" i="11" s="1"/>
  <c r="AF313" i="11"/>
  <c r="AR313" i="11" s="1"/>
  <c r="AF312" i="11"/>
  <c r="AR312" i="11" s="1"/>
  <c r="V312" i="11"/>
  <c r="AU312" i="11" s="1"/>
  <c r="V313" i="11"/>
  <c r="AU313" i="11" s="1"/>
  <c r="AI313" i="11"/>
  <c r="AO313" i="11"/>
  <c r="AM313" i="11"/>
  <c r="AK313" i="11"/>
  <c r="AI316" i="11"/>
  <c r="AO316" i="11"/>
  <c r="AM316" i="11"/>
  <c r="AK316" i="11"/>
  <c r="AU352" i="11"/>
  <c r="AI312" i="11"/>
  <c r="AO312" i="11"/>
  <c r="AM312" i="11"/>
  <c r="AK312" i="11"/>
  <c r="AI317" i="11"/>
  <c r="AO317" i="11"/>
  <c r="AM317" i="11"/>
  <c r="AK317" i="11"/>
  <c r="AU335" i="11"/>
  <c r="AG313" i="11"/>
  <c r="AG312" i="11"/>
  <c r="AG316" i="11"/>
  <c r="AG317" i="11"/>
  <c r="V316" i="11"/>
  <c r="V317" i="11"/>
  <c r="S294" i="11"/>
  <c r="T294" i="11" s="1"/>
  <c r="S293" i="11"/>
  <c r="T293" i="11" s="1"/>
  <c r="R284" i="11"/>
  <c r="T284" i="11" s="1"/>
  <c r="AX317" i="11" l="1"/>
  <c r="BA317" i="11" s="1"/>
  <c r="BB317" i="11" s="1"/>
  <c r="AX316" i="11"/>
  <c r="BA316" i="11" s="1"/>
  <c r="BB316" i="11" s="1"/>
  <c r="AX313" i="11"/>
  <c r="BA313" i="11" s="1"/>
  <c r="BB313" i="11" s="1"/>
  <c r="AX312" i="11"/>
  <c r="BA312" i="11" s="1"/>
  <c r="BB312" i="11" s="1"/>
  <c r="U284" i="11"/>
  <c r="V284" i="11" s="1"/>
  <c r="AU317" i="11"/>
  <c r="AU316" i="11"/>
  <c r="R288" i="11"/>
  <c r="T288" i="11" s="1"/>
  <c r="S285" i="11"/>
  <c r="T285" i="11" s="1"/>
  <c r="H284" i="11"/>
  <c r="H283" i="11"/>
  <c r="H285" i="11"/>
  <c r="AT284" i="11"/>
  <c r="AE284" i="11" s="1"/>
  <c r="AT283" i="11"/>
  <c r="AT285" i="11"/>
  <c r="AE285" i="11" s="1"/>
  <c r="AS284" i="11"/>
  <c r="AS283" i="11"/>
  <c r="AS285" i="11"/>
  <c r="AD284" i="11"/>
  <c r="AD283" i="11"/>
  <c r="AD285" i="11"/>
  <c r="W284" i="11"/>
  <c r="W283" i="11"/>
  <c r="W285" i="11"/>
  <c r="U283" i="11"/>
  <c r="V283" i="11" s="1"/>
  <c r="R171" i="11"/>
  <c r="T171" i="11" s="1"/>
  <c r="M259" i="11"/>
  <c r="R264" i="11"/>
  <c r="T264" i="11" s="1"/>
  <c r="R274" i="11"/>
  <c r="T274" i="11" s="1"/>
  <c r="R275" i="11"/>
  <c r="T275" i="11" s="1"/>
  <c r="R276" i="11"/>
  <c r="T276" i="11" s="1"/>
  <c r="R271" i="11"/>
  <c r="T271" i="11" s="1"/>
  <c r="R270" i="11"/>
  <c r="T270" i="11" s="1"/>
  <c r="U306" i="11"/>
  <c r="U307" i="11"/>
  <c r="U308" i="11"/>
  <c r="U309" i="11"/>
  <c r="U314" i="11"/>
  <c r="U315" i="11"/>
  <c r="R281" i="11"/>
  <c r="T281" i="11" s="1"/>
  <c r="AD233" i="11"/>
  <c r="W233" i="11"/>
  <c r="AD217" i="11"/>
  <c r="W217" i="11"/>
  <c r="R241" i="11"/>
  <c r="T241" i="11" s="1"/>
  <c r="R242" i="11"/>
  <c r="T242" i="11" s="1"/>
  <c r="H241" i="11"/>
  <c r="H242" i="11"/>
  <c r="H258" i="11"/>
  <c r="H259" i="11"/>
  <c r="H282" i="11"/>
  <c r="H305" i="11"/>
  <c r="H306" i="11"/>
  <c r="H307" i="11"/>
  <c r="H308" i="11"/>
  <c r="H309" i="11"/>
  <c r="H310" i="11"/>
  <c r="H311" i="11"/>
  <c r="H314" i="11"/>
  <c r="H315" i="11"/>
  <c r="W241" i="11"/>
  <c r="W242" i="11"/>
  <c r="W258" i="11"/>
  <c r="W259" i="11"/>
  <c r="W282" i="11"/>
  <c r="W305" i="11"/>
  <c r="W306" i="11"/>
  <c r="W307" i="11"/>
  <c r="W308" i="11"/>
  <c r="W309" i="11"/>
  <c r="W310" i="11"/>
  <c r="W311" i="11"/>
  <c r="W314" i="11"/>
  <c r="W315" i="11"/>
  <c r="AD241" i="11"/>
  <c r="AD242" i="11"/>
  <c r="AD258" i="11"/>
  <c r="AD259" i="11"/>
  <c r="AD282" i="11"/>
  <c r="AD305" i="11"/>
  <c r="AD306" i="11"/>
  <c r="AD307" i="11"/>
  <c r="AD308" i="11"/>
  <c r="AD309" i="11"/>
  <c r="AD310" i="11"/>
  <c r="AD311" i="11"/>
  <c r="AD314" i="11"/>
  <c r="AD315" i="11"/>
  <c r="AS241" i="11"/>
  <c r="AS242" i="11"/>
  <c r="AS258" i="11"/>
  <c r="AS259" i="11"/>
  <c r="AS282" i="11"/>
  <c r="AS305" i="11"/>
  <c r="AS306" i="11"/>
  <c r="AS307" i="11"/>
  <c r="AS308" i="11"/>
  <c r="AS309" i="11"/>
  <c r="AS310" i="11"/>
  <c r="AS311" i="11"/>
  <c r="AS314" i="11"/>
  <c r="AS315" i="11"/>
  <c r="AT241" i="11"/>
  <c r="AE241" i="11" s="1"/>
  <c r="AT242" i="11"/>
  <c r="AE242" i="11" s="1"/>
  <c r="AT258" i="11"/>
  <c r="AT259" i="11"/>
  <c r="AE259" i="11" s="1"/>
  <c r="AT282" i="11"/>
  <c r="AT305" i="11"/>
  <c r="AT306" i="11"/>
  <c r="AT307" i="11"/>
  <c r="AT308" i="11"/>
  <c r="AT309" i="11"/>
  <c r="AE309" i="11" s="1"/>
  <c r="AT310" i="11"/>
  <c r="AT311" i="11"/>
  <c r="AT314" i="11"/>
  <c r="AT315" i="11"/>
  <c r="AE315" i="11" s="1"/>
  <c r="R259" i="11" l="1"/>
  <c r="AF310" i="11"/>
  <c r="AR310" i="11" s="1"/>
  <c r="AF285" i="11"/>
  <c r="AR285" i="11" s="1"/>
  <c r="U285" i="11"/>
  <c r="V285" i="11" s="1"/>
  <c r="AF283" i="11"/>
  <c r="AR283" i="11" s="1"/>
  <c r="AF314" i="11"/>
  <c r="AR314" i="11" s="1"/>
  <c r="AF308" i="11"/>
  <c r="AR308" i="11" s="1"/>
  <c r="AF284" i="11"/>
  <c r="AR284" i="11" s="1"/>
  <c r="AF306" i="11"/>
  <c r="AR306" i="11" s="1"/>
  <c r="U242" i="11"/>
  <c r="V242" i="11" s="1"/>
  <c r="AF307" i="11"/>
  <c r="AR307" i="11" s="1"/>
  <c r="U241" i="11"/>
  <c r="V241" i="11" s="1"/>
  <c r="AF311" i="11"/>
  <c r="AR311" i="11" s="1"/>
  <c r="AF309" i="11"/>
  <c r="AR309" i="11" s="1"/>
  <c r="AF282" i="11"/>
  <c r="AR282" i="11" s="1"/>
  <c r="AF305" i="11"/>
  <c r="AR305" i="11" s="1"/>
  <c r="AF259" i="11"/>
  <c r="AR259" i="11" s="1"/>
  <c r="AF258" i="11"/>
  <c r="AR258" i="11" s="1"/>
  <c r="AF242" i="11"/>
  <c r="AR242" i="11" s="1"/>
  <c r="AF315" i="11"/>
  <c r="AR315" i="11" s="1"/>
  <c r="AF241" i="11"/>
  <c r="AR241" i="11" s="1"/>
  <c r="V315" i="11"/>
  <c r="V314" i="11"/>
  <c r="AU314" i="11" s="1"/>
  <c r="U311" i="11"/>
  <c r="V311" i="11" s="1"/>
  <c r="AU311" i="11" s="1"/>
  <c r="U310" i="11"/>
  <c r="V310" i="11" s="1"/>
  <c r="AU310" i="11" s="1"/>
  <c r="V309" i="11"/>
  <c r="V308" i="11"/>
  <c r="AU308" i="11" s="1"/>
  <c r="U282" i="11"/>
  <c r="V282" i="11" s="1"/>
  <c r="V307" i="11"/>
  <c r="AU307" i="11" s="1"/>
  <c r="U217" i="11"/>
  <c r="V217" i="11" s="1"/>
  <c r="V306" i="11"/>
  <c r="AU306" i="11" s="1"/>
  <c r="U305" i="11"/>
  <c r="V305" i="11" s="1"/>
  <c r="AU305" i="11" s="1"/>
  <c r="U233" i="11"/>
  <c r="V233" i="11" s="1"/>
  <c r="U258" i="11"/>
  <c r="V258" i="11" s="1"/>
  <c r="AI308" i="11"/>
  <c r="AO308" i="11"/>
  <c r="AM308" i="11"/>
  <c r="AK308" i="11"/>
  <c r="AI258" i="11"/>
  <c r="AO258" i="11"/>
  <c r="AM258" i="11"/>
  <c r="AK258" i="11"/>
  <c r="AI314" i="11"/>
  <c r="AO314" i="11"/>
  <c r="AM314" i="11"/>
  <c r="AK314" i="11"/>
  <c r="AI306" i="11"/>
  <c r="AO306" i="11"/>
  <c r="AM306" i="11"/>
  <c r="AK306" i="11"/>
  <c r="AI241" i="11"/>
  <c r="AO241" i="11"/>
  <c r="AM241" i="11"/>
  <c r="AK241" i="11"/>
  <c r="AI283" i="11"/>
  <c r="AO283" i="11"/>
  <c r="AM283" i="11"/>
  <c r="AK283" i="11"/>
  <c r="AI311" i="11"/>
  <c r="AO311" i="11"/>
  <c r="AM311" i="11"/>
  <c r="AK311" i="11"/>
  <c r="AI284" i="11"/>
  <c r="AO284" i="11"/>
  <c r="AM284" i="11"/>
  <c r="AK284" i="11"/>
  <c r="AI310" i="11"/>
  <c r="AM310" i="11"/>
  <c r="AO310" i="11"/>
  <c r="AK310" i="11"/>
  <c r="AI282" i="11"/>
  <c r="AM282" i="11"/>
  <c r="AO282" i="11"/>
  <c r="AK282" i="11"/>
  <c r="AI309" i="11"/>
  <c r="AM309" i="11"/>
  <c r="AK309" i="11"/>
  <c r="AO309" i="11"/>
  <c r="AI259" i="11"/>
  <c r="AM259" i="11"/>
  <c r="AO259" i="11"/>
  <c r="AK259" i="11"/>
  <c r="AI305" i="11"/>
  <c r="AO305" i="11"/>
  <c r="AM305" i="11"/>
  <c r="AK305" i="11"/>
  <c r="AI315" i="11"/>
  <c r="AO315" i="11"/>
  <c r="AM315" i="11"/>
  <c r="AK315" i="11"/>
  <c r="AI307" i="11"/>
  <c r="AO307" i="11"/>
  <c r="AK307" i="11"/>
  <c r="AM307" i="11"/>
  <c r="AI242" i="11"/>
  <c r="AO242" i="11"/>
  <c r="AM242" i="11"/>
  <c r="AK242" i="11"/>
  <c r="AI285" i="11"/>
  <c r="AO285" i="11"/>
  <c r="AM285" i="11"/>
  <c r="AK285" i="11"/>
  <c r="AG241" i="11"/>
  <c r="AG310" i="11"/>
  <c r="AG282" i="11"/>
  <c r="AG309" i="11"/>
  <c r="AG259" i="11"/>
  <c r="AG308" i="11"/>
  <c r="AG258" i="11"/>
  <c r="AG315" i="11"/>
  <c r="AG307" i="11"/>
  <c r="AG242" i="11"/>
  <c r="AG285" i="11"/>
  <c r="AG314" i="11"/>
  <c r="AG283" i="11"/>
  <c r="AG306" i="11"/>
  <c r="AG311" i="11"/>
  <c r="AG305" i="11"/>
  <c r="AU284" i="11"/>
  <c r="AG284" i="11"/>
  <c r="AU283" i="11"/>
  <c r="S265" i="11"/>
  <c r="T265" i="11" s="1"/>
  <c r="S266" i="11"/>
  <c r="T266" i="11" s="1"/>
  <c r="R214" i="11"/>
  <c r="T214" i="11" s="1"/>
  <c r="R212" i="11"/>
  <c r="T212" i="11" s="1"/>
  <c r="AD138" i="11"/>
  <c r="AD109" i="11"/>
  <c r="AD56" i="11"/>
  <c r="AT269" i="11"/>
  <c r="AT270" i="11"/>
  <c r="AT271" i="11"/>
  <c r="AT272" i="11"/>
  <c r="AT273" i="11"/>
  <c r="AT274" i="11"/>
  <c r="AT275" i="11"/>
  <c r="AT276" i="11"/>
  <c r="AT277" i="11"/>
  <c r="AT278" i="11"/>
  <c r="AT279" i="11"/>
  <c r="AT280" i="11"/>
  <c r="AT281" i="11"/>
  <c r="AT286" i="11"/>
  <c r="AT287" i="11"/>
  <c r="AT288" i="11"/>
  <c r="AE288" i="11" s="1"/>
  <c r="AS269" i="11"/>
  <c r="AS270" i="11"/>
  <c r="AS271" i="11"/>
  <c r="AS272" i="11"/>
  <c r="AS273" i="11"/>
  <c r="AS274" i="11"/>
  <c r="AS275" i="11"/>
  <c r="AS276" i="11"/>
  <c r="AS277" i="11"/>
  <c r="AS278" i="11"/>
  <c r="AS279" i="11"/>
  <c r="AS280" i="11"/>
  <c r="AS281" i="11"/>
  <c r="AS286" i="11"/>
  <c r="AS287" i="11"/>
  <c r="AS288" i="11"/>
  <c r="AD270" i="11"/>
  <c r="AD271" i="11"/>
  <c r="AD273" i="11"/>
  <c r="AD274" i="11"/>
  <c r="AD275" i="11"/>
  <c r="AD276" i="11"/>
  <c r="AD277" i="11"/>
  <c r="AD280" i="11"/>
  <c r="AD281" i="11"/>
  <c r="AD286" i="11"/>
  <c r="AD287" i="11"/>
  <c r="W269" i="11"/>
  <c r="W270" i="11"/>
  <c r="W271" i="11"/>
  <c r="W273" i="11"/>
  <c r="W274" i="11"/>
  <c r="W275" i="11"/>
  <c r="W276" i="11"/>
  <c r="W277" i="11"/>
  <c r="W278" i="11"/>
  <c r="W280" i="11"/>
  <c r="W281" i="11"/>
  <c r="W286" i="11"/>
  <c r="W287" i="11"/>
  <c r="W288" i="11"/>
  <c r="U269" i="11"/>
  <c r="H269" i="11"/>
  <c r="H270" i="11"/>
  <c r="H271" i="11"/>
  <c r="H272" i="11"/>
  <c r="H273" i="11"/>
  <c r="H274" i="11"/>
  <c r="H275" i="11"/>
  <c r="H276" i="11"/>
  <c r="H277" i="11"/>
  <c r="H278" i="11"/>
  <c r="H279" i="11"/>
  <c r="H280" i="11"/>
  <c r="H281" i="11"/>
  <c r="H286" i="11"/>
  <c r="H287" i="11"/>
  <c r="H288" i="11"/>
  <c r="AT289" i="11"/>
  <c r="AT290" i="11"/>
  <c r="AT291" i="11"/>
  <c r="AT292" i="11"/>
  <c r="AS289" i="11"/>
  <c r="AS290" i="11"/>
  <c r="AS291" i="11"/>
  <c r="AS292" i="11"/>
  <c r="AD289" i="11"/>
  <c r="AD290" i="11"/>
  <c r="AD291" i="11"/>
  <c r="AD292" i="11"/>
  <c r="W289" i="11"/>
  <c r="W290" i="11"/>
  <c r="W291" i="11"/>
  <c r="W292" i="11"/>
  <c r="U289" i="11"/>
  <c r="U290" i="11"/>
  <c r="H289" i="11"/>
  <c r="H290" i="11"/>
  <c r="H291" i="11"/>
  <c r="H292" i="11"/>
  <c r="AT293" i="11"/>
  <c r="AE293" i="11" s="1"/>
  <c r="AT294" i="11"/>
  <c r="AE294" i="11" s="1"/>
  <c r="AT295" i="11"/>
  <c r="AT296" i="11"/>
  <c r="AS293" i="11"/>
  <c r="AS294" i="11"/>
  <c r="AS295" i="11"/>
  <c r="AS296" i="11"/>
  <c r="AD295" i="11"/>
  <c r="AD296" i="11"/>
  <c r="W293" i="11"/>
  <c r="W294" i="11"/>
  <c r="W295" i="11"/>
  <c r="W296" i="11"/>
  <c r="U294" i="11"/>
  <c r="U296" i="11"/>
  <c r="V296" i="11" s="1"/>
  <c r="H293" i="11"/>
  <c r="H294" i="11"/>
  <c r="H295" i="11"/>
  <c r="H296" i="11"/>
  <c r="AT297" i="11"/>
  <c r="AT298" i="11"/>
  <c r="AT299" i="11"/>
  <c r="AT300" i="11"/>
  <c r="AS297" i="11"/>
  <c r="AS298" i="11"/>
  <c r="AS299" i="11"/>
  <c r="AS300" i="11"/>
  <c r="AD297" i="11"/>
  <c r="W297" i="11"/>
  <c r="W298" i="11"/>
  <c r="W300" i="11"/>
  <c r="U297" i="11"/>
  <c r="U298" i="11"/>
  <c r="U300" i="11"/>
  <c r="V300" i="11" s="1"/>
  <c r="H297" i="11"/>
  <c r="H298" i="11"/>
  <c r="H299" i="11"/>
  <c r="H300" i="11"/>
  <c r="AT301" i="11"/>
  <c r="AE301" i="11" s="1"/>
  <c r="AT302" i="11"/>
  <c r="AE302" i="11" s="1"/>
  <c r="AS301" i="11"/>
  <c r="AS302" i="11"/>
  <c r="AD301" i="11"/>
  <c r="AD302" i="11"/>
  <c r="W301" i="11"/>
  <c r="W302" i="11"/>
  <c r="U302" i="11"/>
  <c r="H301" i="11"/>
  <c r="H302" i="11"/>
  <c r="AT303" i="11"/>
  <c r="AS303" i="11"/>
  <c r="AD303" i="11"/>
  <c r="W303" i="11"/>
  <c r="H303" i="11"/>
  <c r="AT304" i="11"/>
  <c r="AS304" i="11"/>
  <c r="AD304" i="11"/>
  <c r="W304" i="11"/>
  <c r="U304" i="11"/>
  <c r="V304" i="11" s="1"/>
  <c r="H304" i="11"/>
  <c r="AT268" i="11"/>
  <c r="AS268" i="11"/>
  <c r="W268" i="11"/>
  <c r="U268" i="11"/>
  <c r="V268" i="11" s="1"/>
  <c r="H268" i="11"/>
  <c r="R206" i="11"/>
  <c r="T206" i="11" s="1"/>
  <c r="R254" i="11"/>
  <c r="T254" i="11" s="1"/>
  <c r="S250" i="11"/>
  <c r="T250" i="11" s="1"/>
  <c r="S249" i="11"/>
  <c r="T249" i="11" s="1"/>
  <c r="R238" i="11"/>
  <c r="T238" i="11" s="1"/>
  <c r="R208" i="11"/>
  <c r="T208" i="11" s="1"/>
  <c r="R246" i="11"/>
  <c r="T246" i="11" s="1"/>
  <c r="R224" i="11"/>
  <c r="T224" i="11" s="1"/>
  <c r="R205" i="11"/>
  <c r="T205" i="11" s="1"/>
  <c r="S201" i="11"/>
  <c r="T201" i="11" s="1"/>
  <c r="S197" i="11"/>
  <c r="R197" i="11"/>
  <c r="S202" i="11"/>
  <c r="T202" i="11" s="1"/>
  <c r="S188" i="11"/>
  <c r="T188" i="11" s="1"/>
  <c r="R185" i="11"/>
  <c r="S185" i="11"/>
  <c r="S186" i="11"/>
  <c r="T186" i="11" s="1"/>
  <c r="R256" i="11"/>
  <c r="T256" i="11" s="1"/>
  <c r="R234" i="11"/>
  <c r="T234" i="11" s="1"/>
  <c r="R255" i="11"/>
  <c r="T255" i="11" s="1"/>
  <c r="R222" i="11"/>
  <c r="T222" i="11" s="1"/>
  <c r="R221" i="11"/>
  <c r="T221" i="11" s="1"/>
  <c r="R194" i="11"/>
  <c r="T194" i="11" s="1"/>
  <c r="R236" i="11"/>
  <c r="T236" i="11" s="1"/>
  <c r="R219" i="11"/>
  <c r="T219" i="11" s="1"/>
  <c r="R198" i="11"/>
  <c r="T198" i="11" s="1"/>
  <c r="R227" i="11"/>
  <c r="T227" i="11" s="1"/>
  <c r="R226" i="11"/>
  <c r="T226" i="11" s="1"/>
  <c r="S232" i="11"/>
  <c r="T232" i="11" s="1"/>
  <c r="S223" i="11"/>
  <c r="T223" i="11" s="1"/>
  <c r="S220" i="11"/>
  <c r="T220" i="11" s="1"/>
  <c r="S157" i="11"/>
  <c r="T157" i="11" s="1"/>
  <c r="S245" i="11"/>
  <c r="T245" i="11" s="1"/>
  <c r="S240" i="11"/>
  <c r="T240" i="11" s="1"/>
  <c r="S229" i="11"/>
  <c r="T229" i="11" s="1"/>
  <c r="S215" i="11"/>
  <c r="T215" i="11" s="1"/>
  <c r="S190" i="11"/>
  <c r="T190" i="11" s="1"/>
  <c r="S189" i="11"/>
  <c r="T189" i="11" s="1"/>
  <c r="S178" i="11"/>
  <c r="T178" i="11" s="1"/>
  <c r="S218" i="11"/>
  <c r="T218" i="11" s="1"/>
  <c r="R199" i="11"/>
  <c r="T199" i="11" s="1"/>
  <c r="R216" i="11"/>
  <c r="T216" i="11" s="1"/>
  <c r="AD196" i="11"/>
  <c r="AD165" i="11"/>
  <c r="M207" i="11"/>
  <c r="S172" i="11"/>
  <c r="T172" i="11" s="1"/>
  <c r="S170" i="11"/>
  <c r="T170" i="11" s="1"/>
  <c r="R204" i="11"/>
  <c r="T204" i="11" s="1"/>
  <c r="R203" i="11"/>
  <c r="T203" i="11" s="1"/>
  <c r="R177" i="11"/>
  <c r="T177" i="11" s="1"/>
  <c r="AT31" i="11"/>
  <c r="AT32" i="11"/>
  <c r="AT33" i="11"/>
  <c r="AE33" i="11" s="1"/>
  <c r="AT34" i="11"/>
  <c r="AE34" i="11" s="1"/>
  <c r="AT35" i="11"/>
  <c r="AT36" i="11"/>
  <c r="AT37" i="11"/>
  <c r="AT38" i="11"/>
  <c r="AT39" i="11"/>
  <c r="AT40" i="11"/>
  <c r="AT41" i="11"/>
  <c r="AT42" i="11"/>
  <c r="AT43" i="11"/>
  <c r="AT44" i="11"/>
  <c r="AT45" i="11"/>
  <c r="AT46" i="11"/>
  <c r="AE46" i="11" s="1"/>
  <c r="AT47" i="11"/>
  <c r="AT48" i="11"/>
  <c r="AE48" i="11" s="1"/>
  <c r="AT49" i="11"/>
  <c r="AT50" i="11"/>
  <c r="AT51" i="11"/>
  <c r="AT52" i="11"/>
  <c r="AT53" i="11"/>
  <c r="AE53" i="11" s="1"/>
  <c r="AT54" i="11"/>
  <c r="AT55" i="11"/>
  <c r="AT56" i="11"/>
  <c r="AT57" i="11"/>
  <c r="AT58" i="11"/>
  <c r="AT59" i="11"/>
  <c r="AT60" i="11"/>
  <c r="AE60" i="11" s="1"/>
  <c r="AT61" i="11"/>
  <c r="AE61" i="11" s="1"/>
  <c r="AT62" i="11"/>
  <c r="AE62" i="11" s="1"/>
  <c r="AT63" i="11"/>
  <c r="AT64" i="11"/>
  <c r="AT65" i="11"/>
  <c r="AE65" i="11" s="1"/>
  <c r="AT66" i="11"/>
  <c r="AE66" i="11" s="1"/>
  <c r="AT67" i="11"/>
  <c r="AT68" i="11"/>
  <c r="AT69" i="11"/>
  <c r="AT70" i="11"/>
  <c r="AT71" i="11"/>
  <c r="AT72" i="11"/>
  <c r="AT73" i="11"/>
  <c r="AT74" i="11"/>
  <c r="AT75" i="11"/>
  <c r="AE75" i="11" s="1"/>
  <c r="AT76" i="11"/>
  <c r="AE76" i="11" s="1"/>
  <c r="AT77" i="11"/>
  <c r="AT78" i="11"/>
  <c r="AT79" i="11"/>
  <c r="AT80" i="11"/>
  <c r="AT81" i="11"/>
  <c r="AE81" i="11" s="1"/>
  <c r="AT82" i="11"/>
  <c r="AT83" i="11"/>
  <c r="AT84" i="11"/>
  <c r="AT85" i="11"/>
  <c r="AT86" i="11"/>
  <c r="AT87" i="11"/>
  <c r="AE87" i="11" s="1"/>
  <c r="AT88" i="11"/>
  <c r="AE88" i="11" s="1"/>
  <c r="AT89" i="11"/>
  <c r="AT90" i="11"/>
  <c r="AT91" i="11"/>
  <c r="AT92" i="11"/>
  <c r="AE92" i="11" s="1"/>
  <c r="AT93" i="11"/>
  <c r="AT94" i="11"/>
  <c r="AT95" i="11"/>
  <c r="AT96" i="11"/>
  <c r="AT97" i="11"/>
  <c r="AT98" i="11"/>
  <c r="AT99" i="11"/>
  <c r="AT100" i="11"/>
  <c r="AT101" i="11"/>
  <c r="AT102" i="11"/>
  <c r="AT103" i="11"/>
  <c r="AT104" i="11"/>
  <c r="AT105" i="11"/>
  <c r="AE105" i="11" s="1"/>
  <c r="AT106" i="11"/>
  <c r="AT107" i="11"/>
  <c r="AT108" i="11"/>
  <c r="AT109" i="11"/>
  <c r="AT110" i="11"/>
  <c r="AT111" i="11"/>
  <c r="AT112" i="11"/>
  <c r="AT113" i="11"/>
  <c r="AT114" i="11"/>
  <c r="AT115" i="11"/>
  <c r="AE115" i="11" s="1"/>
  <c r="AT116" i="11"/>
  <c r="AE116" i="11" s="1"/>
  <c r="AT117" i="11"/>
  <c r="AE117" i="11" s="1"/>
  <c r="AT118" i="11"/>
  <c r="AE118" i="11" s="1"/>
  <c r="AT119" i="11"/>
  <c r="AT120" i="11"/>
  <c r="AT121" i="11"/>
  <c r="AT122" i="11"/>
  <c r="AT123" i="11"/>
  <c r="AT124" i="11"/>
  <c r="AT125" i="11"/>
  <c r="AT126" i="11"/>
  <c r="AT127" i="11"/>
  <c r="AT128" i="11"/>
  <c r="AT129" i="11"/>
  <c r="AT130" i="11"/>
  <c r="AT131" i="11"/>
  <c r="AE131" i="11" s="1"/>
  <c r="AT132" i="11"/>
  <c r="AT133" i="11"/>
  <c r="AT134" i="11"/>
  <c r="AT135" i="11"/>
  <c r="AE135" i="11" s="1"/>
  <c r="AT136" i="11"/>
  <c r="AT137" i="11"/>
  <c r="AT138" i="11"/>
  <c r="AT139" i="11"/>
  <c r="AT140" i="11"/>
  <c r="AT141" i="11"/>
  <c r="AT142" i="11"/>
  <c r="AT143" i="11"/>
  <c r="AT144" i="11"/>
  <c r="AT145" i="11"/>
  <c r="AT146" i="11"/>
  <c r="AE146" i="11" s="1"/>
  <c r="AT147" i="11"/>
  <c r="AE147" i="11" s="1"/>
  <c r="AT148" i="11"/>
  <c r="AE148" i="11" s="1"/>
  <c r="AT149" i="11"/>
  <c r="AT150" i="11"/>
  <c r="AT151" i="11"/>
  <c r="AT152" i="11"/>
  <c r="AE152" i="11" s="1"/>
  <c r="AT153" i="11"/>
  <c r="AT154" i="11"/>
  <c r="AT155" i="11"/>
  <c r="AE155" i="11" s="1"/>
  <c r="AT156" i="11"/>
  <c r="AT157" i="11"/>
  <c r="AT158" i="11"/>
  <c r="AT159" i="11"/>
  <c r="AT160" i="11"/>
  <c r="AT161" i="11"/>
  <c r="AT162" i="11"/>
  <c r="AT163" i="11"/>
  <c r="AE163" i="11" s="1"/>
  <c r="AT164" i="11"/>
  <c r="AT165" i="11"/>
  <c r="AT166" i="11"/>
  <c r="AE166" i="11" s="1"/>
  <c r="AT167" i="11"/>
  <c r="AT168" i="11"/>
  <c r="AT169" i="11"/>
  <c r="AE169" i="11" s="1"/>
  <c r="AT170" i="11"/>
  <c r="AE170" i="11" s="1"/>
  <c r="AT171" i="11"/>
  <c r="AE171" i="11" s="1"/>
  <c r="AT172" i="11"/>
  <c r="AE172" i="11" s="1"/>
  <c r="AT173" i="11"/>
  <c r="AT174" i="11"/>
  <c r="AT175" i="11"/>
  <c r="AE175" i="11" s="1"/>
  <c r="AT176" i="11"/>
  <c r="AT177" i="11"/>
  <c r="AE177" i="11" s="1"/>
  <c r="AT178" i="11"/>
  <c r="AT179" i="11"/>
  <c r="AT180" i="11"/>
  <c r="AE180" i="11" s="1"/>
  <c r="AT181" i="11"/>
  <c r="AT182" i="11"/>
  <c r="AE182" i="11" s="1"/>
  <c r="AT183" i="11"/>
  <c r="AE183" i="11" s="1"/>
  <c r="AT184" i="11"/>
  <c r="AT185" i="11"/>
  <c r="AT186" i="11"/>
  <c r="AT187" i="11"/>
  <c r="AT188" i="11"/>
  <c r="AT189" i="11"/>
  <c r="AT190" i="11"/>
  <c r="AT191" i="11"/>
  <c r="AT192" i="11"/>
  <c r="AT193" i="11"/>
  <c r="AT194" i="11"/>
  <c r="AE194" i="11" s="1"/>
  <c r="AT195" i="11"/>
  <c r="AT196" i="11"/>
  <c r="AT197" i="11"/>
  <c r="AT198" i="11"/>
  <c r="AE198" i="11" s="1"/>
  <c r="AT199" i="11"/>
  <c r="AT200" i="11"/>
  <c r="AT201" i="11"/>
  <c r="AT202" i="11"/>
  <c r="AT203" i="11"/>
  <c r="AE203" i="11" s="1"/>
  <c r="AT204" i="11"/>
  <c r="AE204" i="11" s="1"/>
  <c r="AT205" i="11"/>
  <c r="AT206" i="11"/>
  <c r="AT207" i="11"/>
  <c r="AT208" i="11"/>
  <c r="AT209" i="11"/>
  <c r="AT210" i="11"/>
  <c r="AT211" i="11"/>
  <c r="AT212" i="11"/>
  <c r="AT213" i="11"/>
  <c r="AT214" i="11"/>
  <c r="AT215" i="11"/>
  <c r="AT216" i="11"/>
  <c r="AT217" i="11"/>
  <c r="AT218" i="11"/>
  <c r="AT219" i="11"/>
  <c r="AE219" i="11" s="1"/>
  <c r="AT220" i="11"/>
  <c r="AT221" i="11"/>
  <c r="AE221" i="11" s="1"/>
  <c r="AT222" i="11"/>
  <c r="AE222" i="11" s="1"/>
  <c r="AT223" i="11"/>
  <c r="AT224" i="11"/>
  <c r="AT225" i="11"/>
  <c r="AT226" i="11"/>
  <c r="AT227" i="11"/>
  <c r="AT228" i="11"/>
  <c r="AT229" i="11"/>
  <c r="AT230" i="11"/>
  <c r="AT231" i="11"/>
  <c r="AT232" i="11"/>
  <c r="AT233" i="11"/>
  <c r="AT234" i="11"/>
  <c r="AE234" i="11" s="1"/>
  <c r="AT235" i="11"/>
  <c r="AT236" i="11"/>
  <c r="AE236" i="11" s="1"/>
  <c r="AT237" i="11"/>
  <c r="AT238" i="11"/>
  <c r="AT239" i="11"/>
  <c r="AT240" i="11"/>
  <c r="AT243" i="11"/>
  <c r="AT244" i="11"/>
  <c r="AT245" i="11"/>
  <c r="AT246" i="11"/>
  <c r="AT247" i="11"/>
  <c r="AT248" i="11"/>
  <c r="AT249" i="11"/>
  <c r="AT250" i="11"/>
  <c r="AT251" i="11"/>
  <c r="AT252" i="11"/>
  <c r="AT253" i="11"/>
  <c r="AT254" i="11"/>
  <c r="AT255" i="11"/>
  <c r="AE255" i="11" s="1"/>
  <c r="AT256" i="11"/>
  <c r="AE256" i="11" s="1"/>
  <c r="AT257" i="11"/>
  <c r="AT260" i="11"/>
  <c r="AT261" i="11"/>
  <c r="AT262" i="11"/>
  <c r="AT263" i="11"/>
  <c r="AT264" i="11"/>
  <c r="AE264" i="11" s="1"/>
  <c r="AT265" i="11"/>
  <c r="AT266" i="11"/>
  <c r="AS235" i="11"/>
  <c r="AS231" i="11"/>
  <c r="AS228" i="11"/>
  <c r="AS213" i="11"/>
  <c r="AS211" i="11"/>
  <c r="AS209" i="11"/>
  <c r="T185" i="11" l="1"/>
  <c r="T197" i="11"/>
  <c r="T259" i="11"/>
  <c r="U259" i="11" s="1"/>
  <c r="V259" i="11" s="1"/>
  <c r="AU259" i="11" s="1"/>
  <c r="AX242" i="11"/>
  <c r="BA242" i="11" s="1"/>
  <c r="BB242" i="11" s="1"/>
  <c r="AX307" i="11"/>
  <c r="BA307" i="11" s="1"/>
  <c r="BB307" i="11" s="1"/>
  <c r="AX315" i="11"/>
  <c r="BA315" i="11" s="1"/>
  <c r="BB315" i="11" s="1"/>
  <c r="AX258" i="11"/>
  <c r="BA258" i="11" s="1"/>
  <c r="BB258" i="11" s="1"/>
  <c r="AX308" i="11"/>
  <c r="BA308" i="11" s="1"/>
  <c r="BB308" i="11" s="1"/>
  <c r="AX284" i="11"/>
  <c r="BA284" i="11" s="1"/>
  <c r="BB284" i="11" s="1"/>
  <c r="AX259" i="11"/>
  <c r="BA259" i="11" s="1"/>
  <c r="BB259" i="11" s="1"/>
  <c r="AX305" i="11"/>
  <c r="BA305" i="11" s="1"/>
  <c r="BB305" i="11" s="1"/>
  <c r="AX311" i="11"/>
  <c r="BA311" i="11" s="1"/>
  <c r="BB311" i="11" s="1"/>
  <c r="AX309" i="11"/>
  <c r="BA309" i="11" s="1"/>
  <c r="BB309" i="11" s="1"/>
  <c r="AX306" i="11"/>
  <c r="BA306" i="11" s="1"/>
  <c r="BB306" i="11" s="1"/>
  <c r="AX283" i="11"/>
  <c r="BA283" i="11" s="1"/>
  <c r="BB283" i="11" s="1"/>
  <c r="AX282" i="11"/>
  <c r="BA282" i="11" s="1"/>
  <c r="BB282" i="11" s="1"/>
  <c r="AX314" i="11"/>
  <c r="BA314" i="11" s="1"/>
  <c r="BB314" i="11" s="1"/>
  <c r="AX285" i="11"/>
  <c r="BA285" i="11" s="1"/>
  <c r="BB285" i="11" s="1"/>
  <c r="AX310" i="11"/>
  <c r="BA310" i="11" s="1"/>
  <c r="BB310" i="11" s="1"/>
  <c r="AX241" i="11"/>
  <c r="BA241" i="11" s="1"/>
  <c r="BB241" i="11" s="1"/>
  <c r="AU315" i="11"/>
  <c r="AU285" i="11"/>
  <c r="U250" i="11"/>
  <c r="V250" i="11" s="1"/>
  <c r="R207" i="11"/>
  <c r="T207" i="11" s="1"/>
  <c r="U203" i="11"/>
  <c r="V203" i="11" s="1"/>
  <c r="U204" i="11"/>
  <c r="V204" i="11" s="1"/>
  <c r="AF301" i="11"/>
  <c r="AR301" i="11" s="1"/>
  <c r="AF297" i="11"/>
  <c r="AR297" i="11" s="1"/>
  <c r="AF278" i="11"/>
  <c r="AR278" i="11" s="1"/>
  <c r="AF277" i="11"/>
  <c r="AR277" i="11" s="1"/>
  <c r="AF276" i="11"/>
  <c r="AR276" i="11" s="1"/>
  <c r="AF304" i="11"/>
  <c r="AR304" i="11" s="1"/>
  <c r="AF274" i="11"/>
  <c r="AR274" i="11" s="1"/>
  <c r="U254" i="11"/>
  <c r="AF273" i="11"/>
  <c r="AR273" i="11" s="1"/>
  <c r="AF271" i="11"/>
  <c r="AR271" i="11" s="1"/>
  <c r="U266" i="11"/>
  <c r="AF270" i="11"/>
  <c r="AR270" i="11" s="1"/>
  <c r="U265" i="11"/>
  <c r="AF275" i="11"/>
  <c r="AR275" i="11" s="1"/>
  <c r="AF302" i="11"/>
  <c r="AR302" i="11" s="1"/>
  <c r="AF292" i="11"/>
  <c r="AR292" i="11" s="1"/>
  <c r="U255" i="11"/>
  <c r="AF290" i="11"/>
  <c r="AR290" i="11" s="1"/>
  <c r="AF296" i="11"/>
  <c r="AR296" i="11" s="1"/>
  <c r="AF289" i="11"/>
  <c r="AR289" i="11" s="1"/>
  <c r="AF288" i="11"/>
  <c r="AR288" i="11" s="1"/>
  <c r="U256" i="11"/>
  <c r="V256" i="11" s="1"/>
  <c r="AF303" i="11"/>
  <c r="AR303" i="11" s="1"/>
  <c r="AF295" i="11"/>
  <c r="AR295" i="11" s="1"/>
  <c r="AF287" i="11"/>
  <c r="AR287" i="11" s="1"/>
  <c r="AF291" i="11"/>
  <c r="AR291" i="11" s="1"/>
  <c r="AF286" i="11"/>
  <c r="AR286" i="11" s="1"/>
  <c r="AF300" i="11"/>
  <c r="AR300" i="11" s="1"/>
  <c r="AF293" i="11"/>
  <c r="AR293" i="11" s="1"/>
  <c r="AF281" i="11"/>
  <c r="AR281" i="11" s="1"/>
  <c r="AF269" i="11"/>
  <c r="AR269" i="11" s="1"/>
  <c r="AF294" i="11"/>
  <c r="AR294" i="11" s="1"/>
  <c r="AF298" i="11"/>
  <c r="AR298" i="11" s="1"/>
  <c r="AF280" i="11"/>
  <c r="AR280" i="11" s="1"/>
  <c r="AU258" i="11"/>
  <c r="AU282" i="11"/>
  <c r="AU242" i="11"/>
  <c r="AU241" i="11"/>
  <c r="AU309" i="11"/>
  <c r="AI231" i="11"/>
  <c r="AM231" i="11"/>
  <c r="AO231" i="11"/>
  <c r="AK231" i="11"/>
  <c r="AI219" i="11"/>
  <c r="AO219" i="11"/>
  <c r="AM219" i="11"/>
  <c r="AK219" i="11"/>
  <c r="AI157" i="11"/>
  <c r="AO157" i="11"/>
  <c r="AM157" i="11"/>
  <c r="AK157" i="11"/>
  <c r="AI147" i="11"/>
  <c r="AO147" i="11"/>
  <c r="AM147" i="11"/>
  <c r="AK147" i="11"/>
  <c r="AI86" i="11"/>
  <c r="AO86" i="11"/>
  <c r="AM86" i="11"/>
  <c r="AK86" i="11"/>
  <c r="AI189" i="11"/>
  <c r="AO189" i="11"/>
  <c r="AM189" i="11"/>
  <c r="AK189" i="11"/>
  <c r="AI183" i="11"/>
  <c r="AO183" i="11"/>
  <c r="AM183" i="11"/>
  <c r="AK183" i="11"/>
  <c r="AI177" i="11"/>
  <c r="AO177" i="11"/>
  <c r="AM177" i="11"/>
  <c r="AK177" i="11"/>
  <c r="AI169" i="11"/>
  <c r="AO169" i="11"/>
  <c r="AM169" i="11"/>
  <c r="AK169" i="11"/>
  <c r="AI122" i="11"/>
  <c r="AO122" i="11"/>
  <c r="AM122" i="11"/>
  <c r="AK122" i="11"/>
  <c r="AI199" i="11"/>
  <c r="AO199" i="11"/>
  <c r="AM199" i="11"/>
  <c r="AK199" i="11"/>
  <c r="AI140" i="11"/>
  <c r="AO140" i="11"/>
  <c r="AM140" i="11"/>
  <c r="AK140" i="11"/>
  <c r="AI79" i="11"/>
  <c r="AO79" i="11"/>
  <c r="AM79" i="11"/>
  <c r="AK79" i="11"/>
  <c r="AI230" i="11"/>
  <c r="AO230" i="11"/>
  <c r="AM230" i="11"/>
  <c r="AK230" i="11"/>
  <c r="AI226" i="11"/>
  <c r="AO226" i="11"/>
  <c r="AM226" i="11"/>
  <c r="AK226" i="11"/>
  <c r="AI222" i="11"/>
  <c r="AO222" i="11"/>
  <c r="AM222" i="11"/>
  <c r="AK222" i="11"/>
  <c r="AI218" i="11"/>
  <c r="AO218" i="11"/>
  <c r="AM218" i="11"/>
  <c r="AK218" i="11"/>
  <c r="AI162" i="11"/>
  <c r="AO162" i="11"/>
  <c r="AM162" i="11"/>
  <c r="AK162" i="11"/>
  <c r="AI160" i="11"/>
  <c r="AO160" i="11"/>
  <c r="AK160" i="11"/>
  <c r="AM160" i="11"/>
  <c r="AI156" i="11"/>
  <c r="AO156" i="11"/>
  <c r="AM156" i="11"/>
  <c r="AK156" i="11"/>
  <c r="AI152" i="11"/>
  <c r="AM152" i="11"/>
  <c r="AO152" i="11"/>
  <c r="AK152" i="11"/>
  <c r="AI150" i="11"/>
  <c r="AO150" i="11"/>
  <c r="AK150" i="11"/>
  <c r="AM150" i="11"/>
  <c r="AI146" i="11"/>
  <c r="AO146" i="11"/>
  <c r="AM146" i="11"/>
  <c r="AK146" i="11"/>
  <c r="AI95" i="11"/>
  <c r="AO95" i="11"/>
  <c r="AM95" i="11"/>
  <c r="AK95" i="11"/>
  <c r="AI91" i="11"/>
  <c r="AO91" i="11"/>
  <c r="AM91" i="11"/>
  <c r="AK91" i="11"/>
  <c r="AI89" i="11"/>
  <c r="AO89" i="11"/>
  <c r="AM89" i="11"/>
  <c r="AK89" i="11"/>
  <c r="AI85" i="11"/>
  <c r="AO85" i="11"/>
  <c r="AM85" i="11"/>
  <c r="AK85" i="11"/>
  <c r="AI266" i="11"/>
  <c r="AM266" i="11"/>
  <c r="AK266" i="11"/>
  <c r="AO266" i="11"/>
  <c r="AI264" i="11"/>
  <c r="AO264" i="11"/>
  <c r="AM264" i="11"/>
  <c r="AK264" i="11"/>
  <c r="AI262" i="11"/>
  <c r="AO262" i="11"/>
  <c r="AM262" i="11"/>
  <c r="AK262" i="11"/>
  <c r="AI260" i="11"/>
  <c r="AM260" i="11"/>
  <c r="AO260" i="11"/>
  <c r="AK260" i="11"/>
  <c r="AI256" i="11"/>
  <c r="AO256" i="11"/>
  <c r="AM256" i="11"/>
  <c r="AK256" i="11"/>
  <c r="AI254" i="11"/>
  <c r="AO254" i="11"/>
  <c r="AM254" i="11"/>
  <c r="AK254" i="11"/>
  <c r="AI252" i="11"/>
  <c r="AO252" i="11"/>
  <c r="AM252" i="11"/>
  <c r="AK252" i="11"/>
  <c r="AI250" i="11"/>
  <c r="AO250" i="11"/>
  <c r="AK250" i="11"/>
  <c r="AM250" i="11"/>
  <c r="AI248" i="11"/>
  <c r="AO248" i="11"/>
  <c r="AM248" i="11"/>
  <c r="AK248" i="11"/>
  <c r="AI246" i="11"/>
  <c r="AM246" i="11"/>
  <c r="AO246" i="11"/>
  <c r="AK246" i="11"/>
  <c r="AI244" i="11"/>
  <c r="AO244" i="11"/>
  <c r="AK244" i="11"/>
  <c r="AM244" i="11"/>
  <c r="AI240" i="11"/>
  <c r="AO240" i="11"/>
  <c r="AM240" i="11"/>
  <c r="AK240" i="11"/>
  <c r="AI238" i="11"/>
  <c r="AM238" i="11"/>
  <c r="AO238" i="11"/>
  <c r="AK238" i="11"/>
  <c r="AI236" i="11"/>
  <c r="AO236" i="11"/>
  <c r="AM236" i="11"/>
  <c r="AK236" i="11"/>
  <c r="AI234" i="11"/>
  <c r="AO234" i="11"/>
  <c r="AM234" i="11"/>
  <c r="AK234" i="11"/>
  <c r="AI196" i="11"/>
  <c r="AO196" i="11"/>
  <c r="AK196" i="11"/>
  <c r="AM196" i="11"/>
  <c r="AI194" i="11"/>
  <c r="AO194" i="11"/>
  <c r="AM194" i="11"/>
  <c r="AK194" i="11"/>
  <c r="AI192" i="11"/>
  <c r="AO192" i="11"/>
  <c r="AM192" i="11"/>
  <c r="AK192" i="11"/>
  <c r="AI190" i="11"/>
  <c r="AO190" i="11"/>
  <c r="AM190" i="11"/>
  <c r="AK190" i="11"/>
  <c r="AI188" i="11"/>
  <c r="AM188" i="11"/>
  <c r="AO188" i="11"/>
  <c r="AK188" i="11"/>
  <c r="AI186" i="11"/>
  <c r="AO186" i="11"/>
  <c r="AK186" i="11"/>
  <c r="AM186" i="11"/>
  <c r="AI184" i="11"/>
  <c r="AO184" i="11"/>
  <c r="AK184" i="11"/>
  <c r="AM184" i="11"/>
  <c r="AI182" i="11"/>
  <c r="AO182" i="11"/>
  <c r="AM182" i="11"/>
  <c r="AK182" i="11"/>
  <c r="AI180" i="11"/>
  <c r="AM180" i="11"/>
  <c r="AO180" i="11"/>
  <c r="AK180" i="11"/>
  <c r="AI178" i="11"/>
  <c r="AK178" i="11"/>
  <c r="AM178" i="11"/>
  <c r="AO178" i="11"/>
  <c r="AI176" i="11"/>
  <c r="AO176" i="11"/>
  <c r="AM176" i="11"/>
  <c r="AK176" i="11"/>
  <c r="AI174" i="11"/>
  <c r="AO174" i="11"/>
  <c r="AM174" i="11"/>
  <c r="AK174" i="11"/>
  <c r="AI172" i="11"/>
  <c r="AO172" i="11"/>
  <c r="AM172" i="11"/>
  <c r="AK172" i="11"/>
  <c r="AI170" i="11"/>
  <c r="AM170" i="11"/>
  <c r="AO170" i="11"/>
  <c r="AK170" i="11"/>
  <c r="AI168" i="11"/>
  <c r="AO168" i="11"/>
  <c r="AK168" i="11"/>
  <c r="AM168" i="11"/>
  <c r="AI166" i="11"/>
  <c r="AO166" i="11"/>
  <c r="AK166" i="11"/>
  <c r="AM166" i="11"/>
  <c r="AI137" i="11"/>
  <c r="AO137" i="11"/>
  <c r="AM137" i="11"/>
  <c r="AK137" i="11"/>
  <c r="AI135" i="11"/>
  <c r="AM135" i="11"/>
  <c r="AO135" i="11"/>
  <c r="AK135" i="11"/>
  <c r="AI133" i="11"/>
  <c r="AO133" i="11"/>
  <c r="AM133" i="11"/>
  <c r="AK133" i="11"/>
  <c r="AI131" i="11"/>
  <c r="AO131" i="11"/>
  <c r="AM131" i="11"/>
  <c r="AK131" i="11"/>
  <c r="AI129" i="11"/>
  <c r="AO129" i="11"/>
  <c r="AM129" i="11"/>
  <c r="AK129" i="11"/>
  <c r="AI127" i="11"/>
  <c r="AM127" i="11"/>
  <c r="AO127" i="11"/>
  <c r="AK127" i="11"/>
  <c r="AI125" i="11"/>
  <c r="AO125" i="11"/>
  <c r="AM125" i="11"/>
  <c r="AK125" i="11"/>
  <c r="AI123" i="11"/>
  <c r="AO123" i="11"/>
  <c r="AM123" i="11"/>
  <c r="AK123" i="11"/>
  <c r="AI121" i="11"/>
  <c r="AO121" i="11"/>
  <c r="AM121" i="11"/>
  <c r="AK121" i="11"/>
  <c r="AI119" i="11"/>
  <c r="AO119" i="11"/>
  <c r="AM119" i="11"/>
  <c r="AK119" i="11"/>
  <c r="AI117" i="11"/>
  <c r="AM117" i="11"/>
  <c r="AO117" i="11"/>
  <c r="AK117" i="11"/>
  <c r="AI115" i="11"/>
  <c r="AO115" i="11"/>
  <c r="AM115" i="11"/>
  <c r="AK115" i="11"/>
  <c r="AI113" i="11"/>
  <c r="AO113" i="11"/>
  <c r="AM113" i="11"/>
  <c r="AK113" i="11"/>
  <c r="AI111" i="11"/>
  <c r="AO111" i="11"/>
  <c r="AM111" i="11"/>
  <c r="AK111" i="11"/>
  <c r="AI109" i="11"/>
  <c r="AO109" i="11"/>
  <c r="AM109" i="11"/>
  <c r="AK109" i="11"/>
  <c r="AI107" i="11"/>
  <c r="AO107" i="11"/>
  <c r="AM107" i="11"/>
  <c r="AK107" i="11"/>
  <c r="AI105" i="11"/>
  <c r="AO105" i="11"/>
  <c r="AM105" i="11"/>
  <c r="AK105" i="11"/>
  <c r="AI103" i="11"/>
  <c r="AO103" i="11"/>
  <c r="AM103" i="11"/>
  <c r="AK103" i="11"/>
  <c r="AI101" i="11"/>
  <c r="AO101" i="11"/>
  <c r="AM101" i="11"/>
  <c r="AK101" i="11"/>
  <c r="AI99" i="11"/>
  <c r="AO99" i="11"/>
  <c r="AM99" i="11"/>
  <c r="AK99" i="11"/>
  <c r="AI97" i="11"/>
  <c r="AO97" i="11"/>
  <c r="AM97" i="11"/>
  <c r="AK97" i="11"/>
  <c r="AI70" i="11"/>
  <c r="AO70" i="11"/>
  <c r="AK70" i="11"/>
  <c r="AM70" i="11"/>
  <c r="AI68" i="11"/>
  <c r="AO68" i="11"/>
  <c r="AM68" i="11"/>
  <c r="AK68" i="11"/>
  <c r="AI66" i="11"/>
  <c r="AO66" i="11"/>
  <c r="AM66" i="11"/>
  <c r="AK66" i="11"/>
  <c r="AI64" i="11"/>
  <c r="AO64" i="11"/>
  <c r="AM64" i="11"/>
  <c r="AK64" i="11"/>
  <c r="AI62" i="11"/>
  <c r="AO62" i="11"/>
  <c r="AM62" i="11"/>
  <c r="AK62" i="11"/>
  <c r="AI60" i="11"/>
  <c r="AO60" i="11"/>
  <c r="AK60" i="11"/>
  <c r="AM60" i="11"/>
  <c r="AI58" i="11"/>
  <c r="AO58" i="11"/>
  <c r="AK58" i="11"/>
  <c r="AM58" i="11"/>
  <c r="AI56" i="11"/>
  <c r="AO56" i="11"/>
  <c r="AM56" i="11"/>
  <c r="AK56" i="11"/>
  <c r="AI54" i="11"/>
  <c r="AO54" i="11"/>
  <c r="AM54" i="11"/>
  <c r="AK54" i="11"/>
  <c r="AI52" i="11"/>
  <c r="AO52" i="11"/>
  <c r="AK52" i="11"/>
  <c r="AM52" i="11"/>
  <c r="AI50" i="11"/>
  <c r="AM50" i="11"/>
  <c r="AO50" i="11"/>
  <c r="AK50" i="11"/>
  <c r="AI48" i="11"/>
  <c r="AO48" i="11"/>
  <c r="AM48" i="11"/>
  <c r="AK48" i="11"/>
  <c r="AI46" i="11"/>
  <c r="AO46" i="11"/>
  <c r="AM46" i="11"/>
  <c r="AK46" i="11"/>
  <c r="AI44" i="11"/>
  <c r="AO44" i="11"/>
  <c r="AM44" i="11"/>
  <c r="AK44" i="11"/>
  <c r="AI42" i="11"/>
  <c r="AO42" i="11"/>
  <c r="AK42" i="11"/>
  <c r="AM42" i="11"/>
  <c r="AI40" i="11"/>
  <c r="AO40" i="11"/>
  <c r="AK40" i="11"/>
  <c r="AM40" i="11"/>
  <c r="AI38" i="11"/>
  <c r="AO38" i="11"/>
  <c r="AM38" i="11"/>
  <c r="AK38" i="11"/>
  <c r="AI36" i="11"/>
  <c r="AO36" i="11"/>
  <c r="AM36" i="11"/>
  <c r="AK36" i="11"/>
  <c r="AI34" i="11"/>
  <c r="AO34" i="11"/>
  <c r="AK34" i="11"/>
  <c r="AM34" i="11"/>
  <c r="AI32" i="11"/>
  <c r="AO32" i="11"/>
  <c r="AM32" i="11"/>
  <c r="AK32" i="11"/>
  <c r="AI298" i="11"/>
  <c r="AO298" i="11"/>
  <c r="AM298" i="11"/>
  <c r="AK298" i="11"/>
  <c r="AI296" i="11"/>
  <c r="AO296" i="11"/>
  <c r="AM296" i="11"/>
  <c r="AK296" i="11"/>
  <c r="AI291" i="11"/>
  <c r="AO291" i="11"/>
  <c r="AM291" i="11"/>
  <c r="AK291" i="11"/>
  <c r="AI286" i="11"/>
  <c r="AO286" i="11"/>
  <c r="AM286" i="11"/>
  <c r="AK286" i="11"/>
  <c r="AI276" i="11"/>
  <c r="AO276" i="11"/>
  <c r="AM276" i="11"/>
  <c r="AK276" i="11"/>
  <c r="AI270" i="11"/>
  <c r="AO270" i="11"/>
  <c r="AM270" i="11"/>
  <c r="AK270" i="11"/>
  <c r="AI233" i="11"/>
  <c r="AO233" i="11"/>
  <c r="AM233" i="11"/>
  <c r="AK233" i="11"/>
  <c r="AI225" i="11"/>
  <c r="AO225" i="11"/>
  <c r="AM225" i="11"/>
  <c r="AK225" i="11"/>
  <c r="AI161" i="11"/>
  <c r="AO161" i="11"/>
  <c r="AM161" i="11"/>
  <c r="AK161" i="11"/>
  <c r="AI155" i="11"/>
  <c r="AO155" i="11"/>
  <c r="AM155" i="11"/>
  <c r="AK155" i="11"/>
  <c r="AI145" i="11"/>
  <c r="AM145" i="11"/>
  <c r="AO145" i="11"/>
  <c r="AK145" i="11"/>
  <c r="AI90" i="11"/>
  <c r="AO90" i="11"/>
  <c r="AM90" i="11"/>
  <c r="AK90" i="11"/>
  <c r="AI84" i="11"/>
  <c r="AO84" i="11"/>
  <c r="AM84" i="11"/>
  <c r="AK84" i="11"/>
  <c r="AI265" i="11"/>
  <c r="AO265" i="11"/>
  <c r="AM265" i="11"/>
  <c r="AK265" i="11"/>
  <c r="AI257" i="11"/>
  <c r="AO257" i="11"/>
  <c r="AM257" i="11"/>
  <c r="AK257" i="11"/>
  <c r="AI249" i="11"/>
  <c r="AO249" i="11"/>
  <c r="AM249" i="11"/>
  <c r="AK249" i="11"/>
  <c r="AI243" i="11"/>
  <c r="AO243" i="11"/>
  <c r="AM243" i="11"/>
  <c r="AK243" i="11"/>
  <c r="AI217" i="11"/>
  <c r="AM217" i="11"/>
  <c r="AO217" i="11"/>
  <c r="AK217" i="11"/>
  <c r="AI215" i="11"/>
  <c r="AO215" i="11"/>
  <c r="AM215" i="11"/>
  <c r="AK215" i="11"/>
  <c r="AI213" i="11"/>
  <c r="AO213" i="11"/>
  <c r="AM213" i="11"/>
  <c r="AK213" i="11"/>
  <c r="AI211" i="11"/>
  <c r="AO211" i="11"/>
  <c r="AM211" i="11"/>
  <c r="AK211" i="11"/>
  <c r="AI208" i="11"/>
  <c r="AO208" i="11"/>
  <c r="AM208" i="11"/>
  <c r="AK208" i="11"/>
  <c r="AI206" i="11"/>
  <c r="AO206" i="11"/>
  <c r="AM206" i="11"/>
  <c r="AK206" i="11"/>
  <c r="AI204" i="11"/>
  <c r="AO204" i="11"/>
  <c r="AK204" i="11"/>
  <c r="AM204" i="11"/>
  <c r="AI202" i="11"/>
  <c r="AK202" i="11"/>
  <c r="AO202" i="11"/>
  <c r="AM202" i="11"/>
  <c r="AI200" i="11"/>
  <c r="AO200" i="11"/>
  <c r="AM200" i="11"/>
  <c r="AK200" i="11"/>
  <c r="AI198" i="11"/>
  <c r="AO198" i="11"/>
  <c r="AM198" i="11"/>
  <c r="AK198" i="11"/>
  <c r="AI143" i="11"/>
  <c r="AO143" i="11"/>
  <c r="AM143" i="11"/>
  <c r="AK143" i="11"/>
  <c r="AI141" i="11"/>
  <c r="AO141" i="11"/>
  <c r="AM141" i="11"/>
  <c r="AK141" i="11"/>
  <c r="AI139" i="11"/>
  <c r="AO139" i="11"/>
  <c r="AM139" i="11"/>
  <c r="AK139" i="11"/>
  <c r="AI82" i="11"/>
  <c r="AO82" i="11"/>
  <c r="AM82" i="11"/>
  <c r="AK82" i="11"/>
  <c r="AI80" i="11"/>
  <c r="AO80" i="11"/>
  <c r="AM80" i="11"/>
  <c r="AK80" i="11"/>
  <c r="AI78" i="11"/>
  <c r="AO78" i="11"/>
  <c r="AK78" i="11"/>
  <c r="AM78" i="11"/>
  <c r="AI76" i="11"/>
  <c r="AK76" i="11"/>
  <c r="AM76" i="11"/>
  <c r="AO76" i="11"/>
  <c r="AI74" i="11"/>
  <c r="AM74" i="11"/>
  <c r="AK74" i="11"/>
  <c r="AO74" i="11"/>
  <c r="AI72" i="11"/>
  <c r="AO72" i="11"/>
  <c r="AM72" i="11"/>
  <c r="AK72" i="11"/>
  <c r="AI304" i="11"/>
  <c r="AO304" i="11"/>
  <c r="AM304" i="11"/>
  <c r="AK304" i="11"/>
  <c r="AI297" i="11"/>
  <c r="AO297" i="11"/>
  <c r="AM297" i="11"/>
  <c r="AK297" i="11"/>
  <c r="AI295" i="11"/>
  <c r="AO295" i="11"/>
  <c r="AM295" i="11"/>
  <c r="AK295" i="11"/>
  <c r="AI290" i="11"/>
  <c r="AO290" i="11"/>
  <c r="AM290" i="11"/>
  <c r="AK290" i="11"/>
  <c r="AI281" i="11"/>
  <c r="AO281" i="11"/>
  <c r="AM281" i="11"/>
  <c r="AK281" i="11"/>
  <c r="AI275" i="11"/>
  <c r="AO275" i="11"/>
  <c r="AM275" i="11"/>
  <c r="AK275" i="11"/>
  <c r="AI269" i="11"/>
  <c r="AO269" i="11"/>
  <c r="AM269" i="11"/>
  <c r="AK269" i="11"/>
  <c r="AI223" i="11"/>
  <c r="AM223" i="11"/>
  <c r="AK223" i="11"/>
  <c r="AO223" i="11"/>
  <c r="AI165" i="11"/>
  <c r="AO165" i="11"/>
  <c r="AM165" i="11"/>
  <c r="AK165" i="11"/>
  <c r="AI153" i="11"/>
  <c r="AM153" i="11"/>
  <c r="AK153" i="11"/>
  <c r="AO153" i="11"/>
  <c r="AI92" i="11"/>
  <c r="AO92" i="11"/>
  <c r="AM92" i="11"/>
  <c r="AK92" i="11"/>
  <c r="AI268" i="11"/>
  <c r="AO268" i="11"/>
  <c r="AM268" i="11"/>
  <c r="AK268" i="11"/>
  <c r="AI294" i="11"/>
  <c r="AO294" i="11"/>
  <c r="AM294" i="11"/>
  <c r="AK294" i="11"/>
  <c r="AI289" i="11"/>
  <c r="AM289" i="11"/>
  <c r="AO289" i="11"/>
  <c r="AK289" i="11"/>
  <c r="AI280" i="11"/>
  <c r="AO280" i="11"/>
  <c r="AK280" i="11"/>
  <c r="AM280" i="11"/>
  <c r="AI274" i="11"/>
  <c r="AM274" i="11"/>
  <c r="AO274" i="11"/>
  <c r="AK274" i="11"/>
  <c r="AI227" i="11"/>
  <c r="AO227" i="11"/>
  <c r="AM227" i="11"/>
  <c r="AK227" i="11"/>
  <c r="AI159" i="11"/>
  <c r="AO159" i="11"/>
  <c r="AM159" i="11"/>
  <c r="AK159" i="11"/>
  <c r="AI151" i="11"/>
  <c r="AO151" i="11"/>
  <c r="AM151" i="11"/>
  <c r="AK151" i="11"/>
  <c r="AI96" i="11"/>
  <c r="AO96" i="11"/>
  <c r="AK96" i="11"/>
  <c r="AM96" i="11"/>
  <c r="AI88" i="11"/>
  <c r="AO88" i="11"/>
  <c r="AK88" i="11"/>
  <c r="AM88" i="11"/>
  <c r="AI261" i="11"/>
  <c r="AO261" i="11"/>
  <c r="AM261" i="11"/>
  <c r="AK261" i="11"/>
  <c r="AI251" i="11"/>
  <c r="AO251" i="11"/>
  <c r="AK251" i="11"/>
  <c r="AM251" i="11"/>
  <c r="AI237" i="11"/>
  <c r="AM237" i="11"/>
  <c r="AO237" i="11"/>
  <c r="AK237" i="11"/>
  <c r="AI193" i="11"/>
  <c r="AO193" i="11"/>
  <c r="AM193" i="11"/>
  <c r="AK193" i="11"/>
  <c r="AI181" i="11"/>
  <c r="AO181" i="11"/>
  <c r="AM181" i="11"/>
  <c r="AK181" i="11"/>
  <c r="AI173" i="11"/>
  <c r="AO173" i="11"/>
  <c r="AM173" i="11"/>
  <c r="AK173" i="11"/>
  <c r="AI136" i="11"/>
  <c r="AO136" i="11"/>
  <c r="AM136" i="11"/>
  <c r="AK136" i="11"/>
  <c r="AI130" i="11"/>
  <c r="AO130" i="11"/>
  <c r="AK130" i="11"/>
  <c r="AM130" i="11"/>
  <c r="AI124" i="11"/>
  <c r="AO124" i="11"/>
  <c r="AK124" i="11"/>
  <c r="AM124" i="11"/>
  <c r="AI118" i="11"/>
  <c r="AO118" i="11"/>
  <c r="AM118" i="11"/>
  <c r="AK118" i="11"/>
  <c r="AI116" i="11"/>
  <c r="AO116" i="11"/>
  <c r="AM116" i="11"/>
  <c r="AK116" i="11"/>
  <c r="AI114" i="11"/>
  <c r="AO114" i="11"/>
  <c r="AK114" i="11"/>
  <c r="AM114" i="11"/>
  <c r="AI112" i="11"/>
  <c r="AO112" i="11"/>
  <c r="AK112" i="11"/>
  <c r="AM112" i="11"/>
  <c r="AI110" i="11"/>
  <c r="AO110" i="11"/>
  <c r="AM110" i="11"/>
  <c r="AK110" i="11"/>
  <c r="AI108" i="11"/>
  <c r="AO108" i="11"/>
  <c r="AM108" i="11"/>
  <c r="AK108" i="11"/>
  <c r="AI106" i="11"/>
  <c r="AO106" i="11"/>
  <c r="AK106" i="11"/>
  <c r="AM106" i="11"/>
  <c r="AI104" i="11"/>
  <c r="AO104" i="11"/>
  <c r="AM104" i="11"/>
  <c r="AK104" i="11"/>
  <c r="AI100" i="11"/>
  <c r="AM100" i="11"/>
  <c r="AO100" i="11"/>
  <c r="AK100" i="11"/>
  <c r="AI98" i="11"/>
  <c r="AO98" i="11"/>
  <c r="AM98" i="11"/>
  <c r="AK98" i="11"/>
  <c r="AI69" i="11"/>
  <c r="AO69" i="11"/>
  <c r="AM69" i="11"/>
  <c r="AK69" i="11"/>
  <c r="AI67" i="11"/>
  <c r="AM67" i="11"/>
  <c r="AO67" i="11"/>
  <c r="AK67" i="11"/>
  <c r="AI65" i="11"/>
  <c r="AO65" i="11"/>
  <c r="AM65" i="11"/>
  <c r="AK65" i="11"/>
  <c r="AI63" i="11"/>
  <c r="AO63" i="11"/>
  <c r="AM63" i="11"/>
  <c r="AK63" i="11"/>
  <c r="AI61" i="11"/>
  <c r="AO61" i="11"/>
  <c r="AM61" i="11"/>
  <c r="AK61" i="11"/>
  <c r="AI59" i="11"/>
  <c r="AO59" i="11"/>
  <c r="AM59" i="11"/>
  <c r="AK59" i="11"/>
  <c r="AI57" i="11"/>
  <c r="AM57" i="11"/>
  <c r="AO57" i="11"/>
  <c r="AK57" i="11"/>
  <c r="AI55" i="11"/>
  <c r="AO55" i="11"/>
  <c r="AM55" i="11"/>
  <c r="AK55" i="11"/>
  <c r="AI53" i="11"/>
  <c r="AO53" i="11"/>
  <c r="AM53" i="11"/>
  <c r="AK53" i="11"/>
  <c r="AI51" i="11"/>
  <c r="AO51" i="11"/>
  <c r="AM51" i="11"/>
  <c r="AK51" i="11"/>
  <c r="AI49" i="11"/>
  <c r="AM49" i="11"/>
  <c r="AO49" i="11"/>
  <c r="AK49" i="11"/>
  <c r="AI47" i="11"/>
  <c r="AO47" i="11"/>
  <c r="AM47" i="11"/>
  <c r="AK47" i="11"/>
  <c r="AI45" i="11"/>
  <c r="AO45" i="11"/>
  <c r="AM45" i="11"/>
  <c r="AK45" i="11"/>
  <c r="AI43" i="11"/>
  <c r="AO43" i="11"/>
  <c r="AM43" i="11"/>
  <c r="AK43" i="11"/>
  <c r="AI41" i="11"/>
  <c r="AO41" i="11"/>
  <c r="AM41" i="11"/>
  <c r="AK41" i="11"/>
  <c r="AI39" i="11"/>
  <c r="AO39" i="11"/>
  <c r="AM39" i="11"/>
  <c r="AK39" i="11"/>
  <c r="AI37" i="11"/>
  <c r="AO37" i="11"/>
  <c r="AM37" i="11"/>
  <c r="AK37" i="11"/>
  <c r="AI35" i="11"/>
  <c r="AO35" i="11"/>
  <c r="AM35" i="11"/>
  <c r="AK35" i="11"/>
  <c r="AI33" i="11"/>
  <c r="AM33" i="11"/>
  <c r="AO33" i="11"/>
  <c r="AK33" i="11"/>
  <c r="AI31" i="11"/>
  <c r="AO31" i="11"/>
  <c r="AM31" i="11"/>
  <c r="AK31" i="11"/>
  <c r="AI302" i="11"/>
  <c r="AM302" i="11"/>
  <c r="AO302" i="11"/>
  <c r="AK302" i="11"/>
  <c r="AI293" i="11"/>
  <c r="AO293" i="11"/>
  <c r="AK293" i="11"/>
  <c r="AM293" i="11"/>
  <c r="AI279" i="11"/>
  <c r="AO279" i="11"/>
  <c r="AM279" i="11"/>
  <c r="AK279" i="11"/>
  <c r="AI273" i="11"/>
  <c r="AM273" i="11"/>
  <c r="AO273" i="11"/>
  <c r="AK273" i="11"/>
  <c r="AI255" i="11"/>
  <c r="AO255" i="11"/>
  <c r="AM255" i="11"/>
  <c r="AK255" i="11"/>
  <c r="AI247" i="11"/>
  <c r="AO247" i="11"/>
  <c r="AM247" i="11"/>
  <c r="AK247" i="11"/>
  <c r="AI239" i="11"/>
  <c r="AO239" i="11"/>
  <c r="AM239" i="11"/>
  <c r="AK239" i="11"/>
  <c r="AI195" i="11"/>
  <c r="AM195" i="11"/>
  <c r="AO195" i="11"/>
  <c r="AK195" i="11"/>
  <c r="AI187" i="11"/>
  <c r="AO187" i="11"/>
  <c r="AM187" i="11"/>
  <c r="AK187" i="11"/>
  <c r="AI179" i="11"/>
  <c r="AO179" i="11"/>
  <c r="AM179" i="11"/>
  <c r="AK179" i="11"/>
  <c r="AI171" i="11"/>
  <c r="AM171" i="11"/>
  <c r="AK171" i="11"/>
  <c r="AO171" i="11"/>
  <c r="AI126" i="11"/>
  <c r="AO126" i="11"/>
  <c r="AM126" i="11"/>
  <c r="AK126" i="11"/>
  <c r="AI214" i="11"/>
  <c r="AO214" i="11"/>
  <c r="AK214" i="11"/>
  <c r="AM214" i="11"/>
  <c r="AI210" i="11"/>
  <c r="AO210" i="11"/>
  <c r="AM210" i="11"/>
  <c r="AK210" i="11"/>
  <c r="AI209" i="11"/>
  <c r="AO209" i="11"/>
  <c r="AM209" i="11"/>
  <c r="AK209" i="11"/>
  <c r="AI205" i="11"/>
  <c r="AO205" i="11"/>
  <c r="AM205" i="11"/>
  <c r="AK205" i="11"/>
  <c r="AI201" i="11"/>
  <c r="AM201" i="11"/>
  <c r="AK201" i="11"/>
  <c r="AO201" i="11"/>
  <c r="AI142" i="11"/>
  <c r="AO142" i="11"/>
  <c r="AK142" i="11"/>
  <c r="AM142" i="11"/>
  <c r="AI138" i="11"/>
  <c r="AO138" i="11"/>
  <c r="AM138" i="11"/>
  <c r="AK138" i="11"/>
  <c r="AI81" i="11"/>
  <c r="AO81" i="11"/>
  <c r="AM81" i="11"/>
  <c r="AK81" i="11"/>
  <c r="AI77" i="11"/>
  <c r="AO77" i="11"/>
  <c r="AM77" i="11"/>
  <c r="AK77" i="11"/>
  <c r="AI75" i="11"/>
  <c r="AO75" i="11"/>
  <c r="AM75" i="11"/>
  <c r="AK75" i="11"/>
  <c r="AI73" i="11"/>
  <c r="AO73" i="11"/>
  <c r="AM73" i="11"/>
  <c r="AK73" i="11"/>
  <c r="AI71" i="11"/>
  <c r="AO71" i="11"/>
  <c r="AM71" i="11"/>
  <c r="AK71" i="11"/>
  <c r="AI301" i="11"/>
  <c r="AO301" i="11"/>
  <c r="AM301" i="11"/>
  <c r="AK301" i="11"/>
  <c r="AI300" i="11"/>
  <c r="AO300" i="11"/>
  <c r="AM300" i="11"/>
  <c r="AK300" i="11"/>
  <c r="AI288" i="11"/>
  <c r="AM288" i="11"/>
  <c r="AO288" i="11"/>
  <c r="AK288" i="11"/>
  <c r="AI278" i="11"/>
  <c r="AO278" i="11"/>
  <c r="AK278" i="11"/>
  <c r="AM278" i="11"/>
  <c r="AI272" i="11"/>
  <c r="AO272" i="11"/>
  <c r="AM272" i="11"/>
  <c r="AK272" i="11"/>
  <c r="AI229" i="11"/>
  <c r="AO229" i="11"/>
  <c r="AM229" i="11"/>
  <c r="AK229" i="11"/>
  <c r="AI221" i="11"/>
  <c r="AO221" i="11"/>
  <c r="AK221" i="11"/>
  <c r="AM221" i="11"/>
  <c r="AI163" i="11"/>
  <c r="AO163" i="11"/>
  <c r="AM163" i="11"/>
  <c r="AK163" i="11"/>
  <c r="AI149" i="11"/>
  <c r="AO149" i="11"/>
  <c r="AM149" i="11"/>
  <c r="AK149" i="11"/>
  <c r="AI94" i="11"/>
  <c r="AO94" i="11"/>
  <c r="AK94" i="11"/>
  <c r="AM94" i="11"/>
  <c r="AI263" i="11"/>
  <c r="AO263" i="11"/>
  <c r="AK263" i="11"/>
  <c r="AM263" i="11"/>
  <c r="AI253" i="11"/>
  <c r="AO253" i="11"/>
  <c r="AM253" i="11"/>
  <c r="AK253" i="11"/>
  <c r="AI245" i="11"/>
  <c r="AO245" i="11"/>
  <c r="AM245" i="11"/>
  <c r="AK245" i="11"/>
  <c r="AI235" i="11"/>
  <c r="AO235" i="11"/>
  <c r="AM235" i="11"/>
  <c r="AK235" i="11"/>
  <c r="AI191" i="11"/>
  <c r="AO191" i="11"/>
  <c r="AM191" i="11"/>
  <c r="AK191" i="11"/>
  <c r="AI185" i="11"/>
  <c r="AO185" i="11"/>
  <c r="AM185" i="11"/>
  <c r="AK185" i="11"/>
  <c r="AI175" i="11"/>
  <c r="AO175" i="11"/>
  <c r="AM175" i="11"/>
  <c r="AK175" i="11"/>
  <c r="AI167" i="11"/>
  <c r="AO167" i="11"/>
  <c r="AM167" i="11"/>
  <c r="AK167" i="11"/>
  <c r="AI134" i="11"/>
  <c r="AO134" i="11"/>
  <c r="AM134" i="11"/>
  <c r="AK134" i="11"/>
  <c r="AI132" i="11"/>
  <c r="AO132" i="11"/>
  <c r="AM132" i="11"/>
  <c r="AK132" i="11"/>
  <c r="AI128" i="11"/>
  <c r="AM128" i="11"/>
  <c r="AO128" i="11"/>
  <c r="AK128" i="11"/>
  <c r="AI120" i="11"/>
  <c r="AM120" i="11"/>
  <c r="AO120" i="11"/>
  <c r="AK120" i="11"/>
  <c r="AI102" i="11"/>
  <c r="AM102" i="11"/>
  <c r="AO102" i="11"/>
  <c r="AK102" i="11"/>
  <c r="AI216" i="11"/>
  <c r="AM216" i="11"/>
  <c r="AO216" i="11"/>
  <c r="AK216" i="11"/>
  <c r="AI212" i="11"/>
  <c r="AO212" i="11"/>
  <c r="AM212" i="11"/>
  <c r="AK212" i="11"/>
  <c r="AI207" i="11"/>
  <c r="AO207" i="11"/>
  <c r="AM207" i="11"/>
  <c r="AK207" i="11"/>
  <c r="AI203" i="11"/>
  <c r="AO203" i="11"/>
  <c r="AM203" i="11"/>
  <c r="AK203" i="11"/>
  <c r="AI197" i="11"/>
  <c r="AO197" i="11"/>
  <c r="AM197" i="11"/>
  <c r="AK197" i="11"/>
  <c r="AI232" i="11"/>
  <c r="AO232" i="11"/>
  <c r="AM232" i="11"/>
  <c r="AK232" i="11"/>
  <c r="AI228" i="11"/>
  <c r="AO228" i="11"/>
  <c r="AM228" i="11"/>
  <c r="AK228" i="11"/>
  <c r="AI224" i="11"/>
  <c r="AM224" i="11"/>
  <c r="AO224" i="11"/>
  <c r="AK224" i="11"/>
  <c r="AI220" i="11"/>
  <c r="AO220" i="11"/>
  <c r="AK220" i="11"/>
  <c r="AM220" i="11"/>
  <c r="AI164" i="11"/>
  <c r="AO164" i="11"/>
  <c r="AM164" i="11"/>
  <c r="AK164" i="11"/>
  <c r="AI158" i="11"/>
  <c r="AO158" i="11"/>
  <c r="AM158" i="11"/>
  <c r="AK158" i="11"/>
  <c r="AI154" i="11"/>
  <c r="AO154" i="11"/>
  <c r="AM154" i="11"/>
  <c r="AK154" i="11"/>
  <c r="AI148" i="11"/>
  <c r="AO148" i="11"/>
  <c r="AK148" i="11"/>
  <c r="AM148" i="11"/>
  <c r="AI144" i="11"/>
  <c r="AM144" i="11"/>
  <c r="AO144" i="11"/>
  <c r="AK144" i="11"/>
  <c r="AI93" i="11"/>
  <c r="AM93" i="11"/>
  <c r="AO93" i="11"/>
  <c r="AK93" i="11"/>
  <c r="AI87" i="11"/>
  <c r="AO87" i="11"/>
  <c r="AM87" i="11"/>
  <c r="AK87" i="11"/>
  <c r="AI83" i="11"/>
  <c r="AO83" i="11"/>
  <c r="AM83" i="11"/>
  <c r="AK83" i="11"/>
  <c r="AI303" i="11"/>
  <c r="AM303" i="11"/>
  <c r="AK303" i="11"/>
  <c r="AO303" i="11"/>
  <c r="AI299" i="11"/>
  <c r="AO299" i="11"/>
  <c r="AM299" i="11"/>
  <c r="AK299" i="11"/>
  <c r="AI292" i="11"/>
  <c r="AO292" i="11"/>
  <c r="AM292" i="11"/>
  <c r="AK292" i="11"/>
  <c r="AI287" i="11"/>
  <c r="AO287" i="11"/>
  <c r="AM287" i="11"/>
  <c r="AK287" i="11"/>
  <c r="AI277" i="11"/>
  <c r="AO277" i="11"/>
  <c r="AM277" i="11"/>
  <c r="AK277" i="11"/>
  <c r="AI271" i="11"/>
  <c r="AO271" i="11"/>
  <c r="AM271" i="11"/>
  <c r="AK271" i="11"/>
  <c r="AG209" i="11"/>
  <c r="AG199" i="11"/>
  <c r="AG81" i="11"/>
  <c r="AG75" i="11"/>
  <c r="AG262" i="11"/>
  <c r="AG252" i="11"/>
  <c r="AG244" i="11"/>
  <c r="AG234" i="11"/>
  <c r="AG192" i="11"/>
  <c r="AG184" i="11"/>
  <c r="AG178" i="11"/>
  <c r="AG170" i="11"/>
  <c r="AG137" i="11"/>
  <c r="AG131" i="11"/>
  <c r="AG123" i="11"/>
  <c r="AG119" i="11"/>
  <c r="AG111" i="11"/>
  <c r="AG107" i="11"/>
  <c r="AG99" i="11"/>
  <c r="AG68" i="11"/>
  <c r="AG62" i="11"/>
  <c r="AG56" i="11"/>
  <c r="AG52" i="11"/>
  <c r="AG46" i="11"/>
  <c r="AG217" i="11"/>
  <c r="AG211" i="11"/>
  <c r="AG204" i="11"/>
  <c r="AG198" i="11"/>
  <c r="AG139" i="11"/>
  <c r="AG80" i="11"/>
  <c r="AG74" i="11"/>
  <c r="AG233" i="11"/>
  <c r="AG227" i="11"/>
  <c r="AG265" i="11"/>
  <c r="AG263" i="11"/>
  <c r="AG261" i="11"/>
  <c r="AG257" i="11"/>
  <c r="AG255" i="11"/>
  <c r="AG253" i="11"/>
  <c r="AG251" i="11"/>
  <c r="AG249" i="11"/>
  <c r="AG247" i="11"/>
  <c r="AG245" i="11"/>
  <c r="AG243" i="11"/>
  <c r="AG239" i="11"/>
  <c r="AG237" i="11"/>
  <c r="AG235" i="11"/>
  <c r="AG195" i="11"/>
  <c r="AG193" i="11"/>
  <c r="AG191" i="11"/>
  <c r="AG189" i="11"/>
  <c r="AG187" i="11"/>
  <c r="AG185" i="11"/>
  <c r="AG183" i="11"/>
  <c r="AG181" i="11"/>
  <c r="AG179" i="11"/>
  <c r="AG177" i="11"/>
  <c r="AG175" i="11"/>
  <c r="AG173" i="11"/>
  <c r="AG171" i="11"/>
  <c r="AG169" i="11"/>
  <c r="AG167" i="11"/>
  <c r="AG136" i="11"/>
  <c r="AG134" i="11"/>
  <c r="AG132" i="11"/>
  <c r="AG130" i="11"/>
  <c r="AG128" i="11"/>
  <c r="AG126" i="11"/>
  <c r="AG124" i="11"/>
  <c r="AG122" i="11"/>
  <c r="AG120" i="11"/>
  <c r="AG118" i="11"/>
  <c r="AG116" i="11"/>
  <c r="AG114" i="11"/>
  <c r="AG112" i="11"/>
  <c r="AG110" i="11"/>
  <c r="AG108" i="11"/>
  <c r="AG106" i="11"/>
  <c r="AG104" i="11"/>
  <c r="AG102" i="11"/>
  <c r="AG100" i="11"/>
  <c r="AG98" i="11"/>
  <c r="AG69" i="11"/>
  <c r="AG67" i="11"/>
  <c r="AG65" i="11"/>
  <c r="AG63" i="11"/>
  <c r="AG61" i="11"/>
  <c r="AG59" i="11"/>
  <c r="AG57" i="11"/>
  <c r="AG55" i="11"/>
  <c r="AG53" i="11"/>
  <c r="AG51" i="11"/>
  <c r="AG49" i="11"/>
  <c r="AG47" i="11"/>
  <c r="AG45" i="11"/>
  <c r="AG43" i="11"/>
  <c r="AG41" i="11"/>
  <c r="AG39" i="11"/>
  <c r="AG37" i="11"/>
  <c r="AG35" i="11"/>
  <c r="AG33" i="11"/>
  <c r="AG31" i="11"/>
  <c r="AG302" i="11"/>
  <c r="AG293" i="11"/>
  <c r="AG279" i="11"/>
  <c r="AG273" i="11"/>
  <c r="AG214" i="11"/>
  <c r="AG207" i="11"/>
  <c r="AG73" i="11"/>
  <c r="AG212" i="11"/>
  <c r="AG205" i="11"/>
  <c r="AG138" i="11"/>
  <c r="AG288" i="11"/>
  <c r="AG278" i="11"/>
  <c r="AG272" i="11"/>
  <c r="AG232" i="11"/>
  <c r="AG230" i="11"/>
  <c r="AG228" i="11"/>
  <c r="AG226" i="11"/>
  <c r="AG224" i="11"/>
  <c r="AG222" i="11"/>
  <c r="AG220" i="11"/>
  <c r="AG218" i="11"/>
  <c r="AG164" i="11"/>
  <c r="AG162" i="11"/>
  <c r="AG160" i="11"/>
  <c r="AG158" i="11"/>
  <c r="AG156" i="11"/>
  <c r="AG154" i="11"/>
  <c r="AG152" i="11"/>
  <c r="AG150" i="11"/>
  <c r="AG148" i="11"/>
  <c r="AG146" i="11"/>
  <c r="AG144" i="11"/>
  <c r="AG95" i="11"/>
  <c r="AG93" i="11"/>
  <c r="AG91" i="11"/>
  <c r="AG89" i="11"/>
  <c r="AG87" i="11"/>
  <c r="AG85" i="11"/>
  <c r="AG83" i="11"/>
  <c r="AG303" i="11"/>
  <c r="AG299" i="11"/>
  <c r="AG292" i="11"/>
  <c r="AG287" i="11"/>
  <c r="AG277" i="11"/>
  <c r="AG271" i="11"/>
  <c r="AG210" i="11"/>
  <c r="AG201" i="11"/>
  <c r="AG142" i="11"/>
  <c r="AG77" i="11"/>
  <c r="AG260" i="11"/>
  <c r="AG250" i="11"/>
  <c r="AG238" i="11"/>
  <c r="AG196" i="11"/>
  <c r="AG186" i="11"/>
  <c r="AG176" i="11"/>
  <c r="AG166" i="11"/>
  <c r="AG135" i="11"/>
  <c r="AG125" i="11"/>
  <c r="AG115" i="11"/>
  <c r="AG105" i="11"/>
  <c r="AG64" i="11"/>
  <c r="AG58" i="11"/>
  <c r="AG50" i="11"/>
  <c r="AG44" i="11"/>
  <c r="AG42" i="11"/>
  <c r="AG40" i="11"/>
  <c r="AG36" i="11"/>
  <c r="AG34" i="11"/>
  <c r="AG32" i="11"/>
  <c r="AG298" i="11"/>
  <c r="AG296" i="11"/>
  <c r="AG291" i="11"/>
  <c r="AG286" i="11"/>
  <c r="AG276" i="11"/>
  <c r="AG270" i="11"/>
  <c r="AG216" i="11"/>
  <c r="AG203" i="11"/>
  <c r="AG140" i="11"/>
  <c r="AG79" i="11"/>
  <c r="AG71" i="11"/>
  <c r="AG301" i="11"/>
  <c r="AG300" i="11"/>
  <c r="AG264" i="11"/>
  <c r="AG254" i="11"/>
  <c r="AG246" i="11"/>
  <c r="AG236" i="11"/>
  <c r="AG194" i="11"/>
  <c r="AG188" i="11"/>
  <c r="AG180" i="11"/>
  <c r="AG172" i="11"/>
  <c r="AG129" i="11"/>
  <c r="AG121" i="11"/>
  <c r="AG113" i="11"/>
  <c r="AG101" i="11"/>
  <c r="AG38" i="11"/>
  <c r="AG215" i="11"/>
  <c r="AG208" i="11"/>
  <c r="AG202" i="11"/>
  <c r="AG141" i="11"/>
  <c r="AG78" i="11"/>
  <c r="AG72" i="11"/>
  <c r="AG304" i="11"/>
  <c r="AG281" i="11"/>
  <c r="AG275" i="11"/>
  <c r="AG269" i="11"/>
  <c r="AG197" i="11"/>
  <c r="AG266" i="11"/>
  <c r="AG256" i="11"/>
  <c r="AG248" i="11"/>
  <c r="AG240" i="11"/>
  <c r="AG190" i="11"/>
  <c r="AG182" i="11"/>
  <c r="AG174" i="11"/>
  <c r="AG168" i="11"/>
  <c r="AG133" i="11"/>
  <c r="AG127" i="11"/>
  <c r="AG117" i="11"/>
  <c r="AG109" i="11"/>
  <c r="AG103" i="11"/>
  <c r="AG97" i="11"/>
  <c r="AG70" i="11"/>
  <c r="AG66" i="11"/>
  <c r="AG60" i="11"/>
  <c r="AG54" i="11"/>
  <c r="AG48" i="11"/>
  <c r="AG213" i="11"/>
  <c r="AG206" i="11"/>
  <c r="AG200" i="11"/>
  <c r="AG143" i="11"/>
  <c r="AG82" i="11"/>
  <c r="AG76" i="11"/>
  <c r="AG297" i="11"/>
  <c r="AG295" i="11"/>
  <c r="AG290" i="11"/>
  <c r="AG231" i="11"/>
  <c r="AG229" i="11"/>
  <c r="AG225" i="11"/>
  <c r="AG223" i="11"/>
  <c r="AG221" i="11"/>
  <c r="AG219" i="11"/>
  <c r="AG165" i="11"/>
  <c r="AG163" i="11"/>
  <c r="AG161" i="11"/>
  <c r="AG159" i="11"/>
  <c r="AG157" i="11"/>
  <c r="AG155" i="11"/>
  <c r="AG153" i="11"/>
  <c r="AG151" i="11"/>
  <c r="AG149" i="11"/>
  <c r="AG147" i="11"/>
  <c r="AG145" i="11"/>
  <c r="AG96" i="11"/>
  <c r="AG94" i="11"/>
  <c r="AG92" i="11"/>
  <c r="AG90" i="11"/>
  <c r="AG88" i="11"/>
  <c r="AG86" i="11"/>
  <c r="AG84" i="11"/>
  <c r="AG268" i="11"/>
  <c r="AG294" i="11"/>
  <c r="AG289" i="11"/>
  <c r="AG280" i="11"/>
  <c r="AG274" i="11"/>
  <c r="AF268" i="11"/>
  <c r="AR268" i="11" s="1"/>
  <c r="AU268" i="11"/>
  <c r="AU304" i="11"/>
  <c r="V302" i="11"/>
  <c r="V297" i="11"/>
  <c r="AU296" i="11"/>
  <c r="U293" i="11"/>
  <c r="AU300" i="11"/>
  <c r="V290" i="11"/>
  <c r="V289" i="11"/>
  <c r="V269" i="11"/>
  <c r="U281" i="11"/>
  <c r="U303" i="11"/>
  <c r="U301" i="11"/>
  <c r="V298" i="11"/>
  <c r="V294" i="11"/>
  <c r="U277" i="11"/>
  <c r="U273" i="11"/>
  <c r="U292" i="11"/>
  <c r="U288" i="11"/>
  <c r="U280" i="11"/>
  <c r="U276" i="11"/>
  <c r="AU272" i="11"/>
  <c r="AU299" i="11"/>
  <c r="U295" i="11"/>
  <c r="U291" i="11"/>
  <c r="U287" i="11"/>
  <c r="AU279" i="11"/>
  <c r="U275" i="11"/>
  <c r="U271" i="11"/>
  <c r="U286" i="11"/>
  <c r="U278" i="11"/>
  <c r="U274" i="11"/>
  <c r="U270" i="11"/>
  <c r="H203" i="11"/>
  <c r="H204" i="11"/>
  <c r="W203" i="11"/>
  <c r="W204" i="11"/>
  <c r="AD203" i="11"/>
  <c r="AD204" i="11"/>
  <c r="AS203" i="11"/>
  <c r="AS204" i="11"/>
  <c r="H250" i="11"/>
  <c r="H251" i="11"/>
  <c r="H252" i="11"/>
  <c r="H253" i="11"/>
  <c r="U251" i="11"/>
  <c r="U252" i="11"/>
  <c r="U253" i="11"/>
  <c r="W250" i="11"/>
  <c r="W251" i="11"/>
  <c r="W252" i="11"/>
  <c r="W253" i="11"/>
  <c r="AD250" i="11"/>
  <c r="AD251" i="11"/>
  <c r="AD252" i="11"/>
  <c r="AS250" i="11"/>
  <c r="AS251" i="11"/>
  <c r="AS252" i="11"/>
  <c r="AS253" i="11"/>
  <c r="H254" i="11"/>
  <c r="H255" i="11"/>
  <c r="H256" i="11"/>
  <c r="H257" i="11"/>
  <c r="U257" i="11"/>
  <c r="W254" i="11"/>
  <c r="W255" i="11"/>
  <c r="W256" i="11"/>
  <c r="W257" i="11"/>
  <c r="AD254" i="11"/>
  <c r="AD257" i="11"/>
  <c r="AS254" i="11"/>
  <c r="AS255" i="11"/>
  <c r="AS256" i="11"/>
  <c r="AS257" i="11"/>
  <c r="H260" i="11"/>
  <c r="H261" i="11"/>
  <c r="H262" i="11"/>
  <c r="H263" i="11"/>
  <c r="U260" i="11"/>
  <c r="U261" i="11"/>
  <c r="U262" i="11"/>
  <c r="V262" i="11" s="1"/>
  <c r="U263" i="11"/>
  <c r="V263" i="11" s="1"/>
  <c r="W260" i="11"/>
  <c r="W261" i="11"/>
  <c r="W262" i="11"/>
  <c r="W263" i="11"/>
  <c r="AD260" i="11"/>
  <c r="AD261" i="11"/>
  <c r="AD262" i="11"/>
  <c r="AD263" i="11"/>
  <c r="AS260" i="11"/>
  <c r="AS261" i="11"/>
  <c r="AS262" i="11"/>
  <c r="AS263" i="11"/>
  <c r="H264" i="11"/>
  <c r="H265" i="11"/>
  <c r="U264" i="11"/>
  <c r="W264" i="11"/>
  <c r="W265" i="11"/>
  <c r="AD265" i="11"/>
  <c r="AS264" i="11"/>
  <c r="AS265" i="11"/>
  <c r="H266" i="11"/>
  <c r="W266" i="11"/>
  <c r="AD266" i="11"/>
  <c r="AS266" i="11"/>
  <c r="H267" i="11"/>
  <c r="U267" i="11"/>
  <c r="V267" i="11" s="1"/>
  <c r="W267" i="11"/>
  <c r="AS267" i="11"/>
  <c r="AT267" i="11"/>
  <c r="AX31" i="11" l="1"/>
  <c r="BA31" i="11" s="1"/>
  <c r="BB31" i="11" s="1"/>
  <c r="AX35" i="11"/>
  <c r="BA35" i="11" s="1"/>
  <c r="BB35" i="11" s="1"/>
  <c r="AX33" i="11"/>
  <c r="BA33" i="11" s="1"/>
  <c r="BB33" i="11" s="1"/>
  <c r="AX37" i="11"/>
  <c r="BA37" i="11" s="1"/>
  <c r="BB37" i="11" s="1"/>
  <c r="AX32" i="11"/>
  <c r="BA32" i="11" s="1"/>
  <c r="BB32" i="11" s="1"/>
  <c r="AX36" i="11"/>
  <c r="BA36" i="11" s="1"/>
  <c r="BB36" i="11" s="1"/>
  <c r="AX34" i="11"/>
  <c r="BA34" i="11" s="1"/>
  <c r="BB34" i="11" s="1"/>
  <c r="AX38" i="11"/>
  <c r="BA38" i="11" s="1"/>
  <c r="BB38" i="11" s="1"/>
  <c r="AX108" i="11"/>
  <c r="BA108" i="11" s="1"/>
  <c r="BB108" i="11" s="1"/>
  <c r="AX144" i="11"/>
  <c r="BA144" i="11" s="1"/>
  <c r="BB144" i="11" s="1"/>
  <c r="AX249" i="11"/>
  <c r="BA249" i="11" s="1"/>
  <c r="BB249" i="11" s="1"/>
  <c r="AX211" i="11"/>
  <c r="BA211" i="11" s="1"/>
  <c r="BB211" i="11" s="1"/>
  <c r="AX223" i="11"/>
  <c r="BA223" i="11" s="1"/>
  <c r="BB223" i="11" s="1"/>
  <c r="AX266" i="11"/>
  <c r="BA266" i="11" s="1"/>
  <c r="BB266" i="11" s="1"/>
  <c r="AX113" i="11"/>
  <c r="BA113" i="11" s="1"/>
  <c r="BB113" i="11" s="1"/>
  <c r="AX140" i="11"/>
  <c r="BA140" i="11" s="1"/>
  <c r="BB140" i="11" s="1"/>
  <c r="AX50" i="11"/>
  <c r="BA50" i="11" s="1"/>
  <c r="BB50" i="11" s="1"/>
  <c r="AX201" i="11"/>
  <c r="BA201" i="11" s="1"/>
  <c r="BB201" i="11" s="1"/>
  <c r="AX146" i="11"/>
  <c r="BA146" i="11" s="1"/>
  <c r="BB146" i="11" s="1"/>
  <c r="AX230" i="11"/>
  <c r="BA230" i="11" s="1"/>
  <c r="BB230" i="11" s="1"/>
  <c r="AX302" i="11"/>
  <c r="BA302" i="11" s="1"/>
  <c r="BB302" i="11" s="1"/>
  <c r="AX59" i="11"/>
  <c r="BA59" i="11" s="1"/>
  <c r="BB59" i="11" s="1"/>
  <c r="AX118" i="11"/>
  <c r="BA118" i="11" s="1"/>
  <c r="BB118" i="11" s="1"/>
  <c r="AX179" i="11"/>
  <c r="BA179" i="11" s="1"/>
  <c r="BB179" i="11" s="1"/>
  <c r="AX251" i="11"/>
  <c r="BA251" i="11" s="1"/>
  <c r="BB251" i="11" s="1"/>
  <c r="AX217" i="11"/>
  <c r="BA217" i="11" s="1"/>
  <c r="BB217" i="11" s="1"/>
  <c r="AX192" i="11"/>
  <c r="BA192" i="11" s="1"/>
  <c r="BB192" i="11" s="1"/>
  <c r="AX208" i="11"/>
  <c r="BA208" i="11" s="1"/>
  <c r="BB208" i="11" s="1"/>
  <c r="AX79" i="11"/>
  <c r="BA79" i="11" s="1"/>
  <c r="BB79" i="11" s="1"/>
  <c r="AX57" i="11"/>
  <c r="BA57" i="11" s="1"/>
  <c r="BB57" i="11" s="1"/>
  <c r="AX184" i="11"/>
  <c r="BA184" i="11" s="1"/>
  <c r="BB184" i="11" s="1"/>
  <c r="AX92" i="11"/>
  <c r="BA92" i="11" s="1"/>
  <c r="BB92" i="11" s="1"/>
  <c r="AX94" i="11"/>
  <c r="BA94" i="11" s="1"/>
  <c r="BB94" i="11" s="1"/>
  <c r="AX225" i="11"/>
  <c r="BA225" i="11" s="1"/>
  <c r="BB225" i="11" s="1"/>
  <c r="AX66" i="11"/>
  <c r="BA66" i="11" s="1"/>
  <c r="BB66" i="11" s="1"/>
  <c r="AX197" i="11"/>
  <c r="BA197" i="11" s="1"/>
  <c r="BB197" i="11" s="1"/>
  <c r="AX121" i="11"/>
  <c r="BA121" i="11" s="1"/>
  <c r="BB121" i="11" s="1"/>
  <c r="AX203" i="11"/>
  <c r="BA203" i="11" s="1"/>
  <c r="BB203" i="11" s="1"/>
  <c r="AX58" i="11"/>
  <c r="BA58" i="11" s="1"/>
  <c r="BB58" i="11" s="1"/>
  <c r="AX210" i="11"/>
  <c r="BA210" i="11" s="1"/>
  <c r="BB210" i="11" s="1"/>
  <c r="AX148" i="11"/>
  <c r="BA148" i="11" s="1"/>
  <c r="BB148" i="11" s="1"/>
  <c r="AX232" i="11"/>
  <c r="BA232" i="11" s="1"/>
  <c r="BB232" i="11" s="1"/>
  <c r="AX61" i="11"/>
  <c r="BA61" i="11" s="1"/>
  <c r="BB61" i="11" s="1"/>
  <c r="AX120" i="11"/>
  <c r="BA120" i="11" s="1"/>
  <c r="BB120" i="11" s="1"/>
  <c r="AX181" i="11"/>
  <c r="BA181" i="11" s="1"/>
  <c r="BB181" i="11" s="1"/>
  <c r="AX253" i="11"/>
  <c r="BA253" i="11" s="1"/>
  <c r="BB253" i="11" s="1"/>
  <c r="AX46" i="11"/>
  <c r="BA46" i="11" s="1"/>
  <c r="BB46" i="11" s="1"/>
  <c r="AX234" i="11"/>
  <c r="BA234" i="11" s="1"/>
  <c r="BB234" i="11" s="1"/>
  <c r="AX169" i="11"/>
  <c r="BA169" i="11" s="1"/>
  <c r="BB169" i="11" s="1"/>
  <c r="AX44" i="11"/>
  <c r="BA44" i="11" s="1"/>
  <c r="BB44" i="11" s="1"/>
  <c r="AX116" i="11"/>
  <c r="BA116" i="11" s="1"/>
  <c r="BB116" i="11" s="1"/>
  <c r="AX60" i="11"/>
  <c r="BA60" i="11" s="1"/>
  <c r="BB60" i="11" s="1"/>
  <c r="AX96" i="11"/>
  <c r="BA96" i="11" s="1"/>
  <c r="BB96" i="11" s="1"/>
  <c r="AX229" i="11"/>
  <c r="BA229" i="11" s="1"/>
  <c r="BB229" i="11" s="1"/>
  <c r="AX70" i="11"/>
  <c r="BA70" i="11" s="1"/>
  <c r="BB70" i="11" s="1"/>
  <c r="AX129" i="11"/>
  <c r="BA129" i="11" s="1"/>
  <c r="BB129" i="11" s="1"/>
  <c r="AX64" i="11"/>
  <c r="BA64" i="11" s="1"/>
  <c r="BB64" i="11" s="1"/>
  <c r="AX271" i="11"/>
  <c r="BA271" i="11" s="1"/>
  <c r="BB271" i="11" s="1"/>
  <c r="AX150" i="11"/>
  <c r="BA150" i="11" s="1"/>
  <c r="BB150" i="11" s="1"/>
  <c r="AX272" i="11"/>
  <c r="BA272" i="11" s="1"/>
  <c r="BB272" i="11" s="1"/>
  <c r="AX63" i="11"/>
  <c r="BA63" i="11" s="1"/>
  <c r="BB63" i="11" s="1"/>
  <c r="AX122" i="11"/>
  <c r="BA122" i="11" s="1"/>
  <c r="BB122" i="11" s="1"/>
  <c r="AX183" i="11"/>
  <c r="BA183" i="11" s="1"/>
  <c r="BB183" i="11" s="1"/>
  <c r="AX255" i="11"/>
  <c r="BA255" i="11" s="1"/>
  <c r="BB255" i="11" s="1"/>
  <c r="AX52" i="11"/>
  <c r="BA52" i="11" s="1"/>
  <c r="BB52" i="11" s="1"/>
  <c r="AX244" i="11"/>
  <c r="BA244" i="11" s="1"/>
  <c r="BB244" i="11" s="1"/>
  <c r="AX239" i="11"/>
  <c r="BA239" i="11" s="1"/>
  <c r="BB239" i="11" s="1"/>
  <c r="AX172" i="11"/>
  <c r="BA172" i="11" s="1"/>
  <c r="BB172" i="11" s="1"/>
  <c r="AX65" i="11"/>
  <c r="BA65" i="11" s="1"/>
  <c r="BB65" i="11" s="1"/>
  <c r="AX90" i="11"/>
  <c r="BA90" i="11" s="1"/>
  <c r="BB90" i="11" s="1"/>
  <c r="AX152" i="11"/>
  <c r="BA152" i="11" s="1"/>
  <c r="BB152" i="11" s="1"/>
  <c r="AX147" i="11"/>
  <c r="BA147" i="11" s="1"/>
  <c r="BB147" i="11" s="1"/>
  <c r="AX103" i="11"/>
  <c r="BA103" i="11" s="1"/>
  <c r="BB103" i="11" s="1"/>
  <c r="AX275" i="11"/>
  <c r="BA275" i="11" s="1"/>
  <c r="BB275" i="11" s="1"/>
  <c r="AX180" i="11"/>
  <c r="BA180" i="11" s="1"/>
  <c r="BB180" i="11" s="1"/>
  <c r="AX270" i="11"/>
  <c r="BA270" i="11" s="1"/>
  <c r="BB270" i="11" s="1"/>
  <c r="AX115" i="11"/>
  <c r="BA115" i="11" s="1"/>
  <c r="BB115" i="11" s="1"/>
  <c r="AX287" i="11"/>
  <c r="BA287" i="11" s="1"/>
  <c r="BB287" i="11" s="1"/>
  <c r="AX154" i="11"/>
  <c r="BA154" i="11" s="1"/>
  <c r="BB154" i="11" s="1"/>
  <c r="AX288" i="11"/>
  <c r="BA288" i="11" s="1"/>
  <c r="BB288" i="11" s="1"/>
  <c r="AX67" i="11"/>
  <c r="BA67" i="11" s="1"/>
  <c r="BB67" i="11" s="1"/>
  <c r="AX126" i="11"/>
  <c r="BA126" i="11" s="1"/>
  <c r="BB126" i="11" s="1"/>
  <c r="AX187" i="11"/>
  <c r="BA187" i="11" s="1"/>
  <c r="BB187" i="11" s="1"/>
  <c r="AX261" i="11"/>
  <c r="BA261" i="11" s="1"/>
  <c r="BB261" i="11" s="1"/>
  <c r="AX62" i="11"/>
  <c r="BA62" i="11" s="1"/>
  <c r="BB62" i="11" s="1"/>
  <c r="AX262" i="11"/>
  <c r="BA262" i="11" s="1"/>
  <c r="BB262" i="11" s="1"/>
  <c r="AX49" i="11"/>
  <c r="BA49" i="11" s="1"/>
  <c r="BB49" i="11" s="1"/>
  <c r="AX145" i="11"/>
  <c r="BA145" i="11" s="1"/>
  <c r="BB145" i="11" s="1"/>
  <c r="AX231" i="11"/>
  <c r="BA231" i="11" s="1"/>
  <c r="BB231" i="11" s="1"/>
  <c r="AX278" i="11"/>
  <c r="BA278" i="11" s="1"/>
  <c r="BB278" i="11" s="1"/>
  <c r="AX290" i="11"/>
  <c r="BA290" i="11" s="1"/>
  <c r="BB290" i="11" s="1"/>
  <c r="AX149" i="11"/>
  <c r="BA149" i="11" s="1"/>
  <c r="BB149" i="11" s="1"/>
  <c r="AX295" i="11"/>
  <c r="BA295" i="11" s="1"/>
  <c r="BB295" i="11" s="1"/>
  <c r="AX109" i="11"/>
  <c r="BA109" i="11" s="1"/>
  <c r="BB109" i="11" s="1"/>
  <c r="AX281" i="11"/>
  <c r="BA281" i="11" s="1"/>
  <c r="BB281" i="11" s="1"/>
  <c r="AX188" i="11"/>
  <c r="BA188" i="11" s="1"/>
  <c r="BB188" i="11" s="1"/>
  <c r="AX276" i="11"/>
  <c r="BA276" i="11" s="1"/>
  <c r="BB276" i="11" s="1"/>
  <c r="AX125" i="11"/>
  <c r="BA125" i="11" s="1"/>
  <c r="BB125" i="11" s="1"/>
  <c r="AX292" i="11"/>
  <c r="BA292" i="11" s="1"/>
  <c r="BB292" i="11" s="1"/>
  <c r="AX156" i="11"/>
  <c r="BA156" i="11" s="1"/>
  <c r="BB156" i="11" s="1"/>
  <c r="AX69" i="11"/>
  <c r="BA69" i="11" s="1"/>
  <c r="BB69" i="11" s="1"/>
  <c r="AX128" i="11"/>
  <c r="BA128" i="11" s="1"/>
  <c r="BB128" i="11" s="1"/>
  <c r="AX189" i="11"/>
  <c r="BA189" i="11" s="1"/>
  <c r="BB189" i="11" s="1"/>
  <c r="AX263" i="11"/>
  <c r="BA263" i="11" s="1"/>
  <c r="BB263" i="11" s="1"/>
  <c r="AX68" i="11"/>
  <c r="BA68" i="11" s="1"/>
  <c r="BB68" i="11" s="1"/>
  <c r="AX75" i="11"/>
  <c r="BA75" i="11" s="1"/>
  <c r="BB75" i="11" s="1"/>
  <c r="AX214" i="11"/>
  <c r="BA214" i="11" s="1"/>
  <c r="BB214" i="11" s="1"/>
  <c r="AX269" i="11"/>
  <c r="BA269" i="11" s="1"/>
  <c r="BB269" i="11" s="1"/>
  <c r="AX56" i="11"/>
  <c r="BA56" i="11" s="1"/>
  <c r="BB56" i="11" s="1"/>
  <c r="AX274" i="11"/>
  <c r="BA274" i="11" s="1"/>
  <c r="BB274" i="11" s="1"/>
  <c r="AX151" i="11"/>
  <c r="BA151" i="11" s="1"/>
  <c r="BB151" i="11" s="1"/>
  <c r="AX297" i="11"/>
  <c r="BA297" i="11" s="1"/>
  <c r="BB297" i="11" s="1"/>
  <c r="AX117" i="11"/>
  <c r="BA117" i="11" s="1"/>
  <c r="BB117" i="11" s="1"/>
  <c r="AX304" i="11"/>
  <c r="BA304" i="11" s="1"/>
  <c r="BB304" i="11" s="1"/>
  <c r="AX194" i="11"/>
  <c r="BA194" i="11" s="1"/>
  <c r="BB194" i="11" s="1"/>
  <c r="AX286" i="11"/>
  <c r="BA286" i="11" s="1"/>
  <c r="BB286" i="11" s="1"/>
  <c r="AX135" i="11"/>
  <c r="BA135" i="11" s="1"/>
  <c r="BB135" i="11" s="1"/>
  <c r="AX299" i="11"/>
  <c r="BA299" i="11" s="1"/>
  <c r="BB299" i="11" s="1"/>
  <c r="AX158" i="11"/>
  <c r="BA158" i="11" s="1"/>
  <c r="BB158" i="11" s="1"/>
  <c r="AX138" i="11"/>
  <c r="BA138" i="11" s="1"/>
  <c r="BB138" i="11" s="1"/>
  <c r="AX39" i="11"/>
  <c r="BA39" i="11" s="1"/>
  <c r="BB39" i="11" s="1"/>
  <c r="AX98" i="11"/>
  <c r="BA98" i="11" s="1"/>
  <c r="BB98" i="11" s="1"/>
  <c r="AX130" i="11"/>
  <c r="BA130" i="11" s="1"/>
  <c r="BB130" i="11" s="1"/>
  <c r="AX191" i="11"/>
  <c r="BA191" i="11" s="1"/>
  <c r="BB191" i="11" s="1"/>
  <c r="AX265" i="11"/>
  <c r="BA265" i="11" s="1"/>
  <c r="BB265" i="11" s="1"/>
  <c r="AX99" i="11"/>
  <c r="BA99" i="11" s="1"/>
  <c r="BB99" i="11" s="1"/>
  <c r="AX81" i="11"/>
  <c r="BA81" i="11" s="1"/>
  <c r="BB81" i="11" s="1"/>
  <c r="AX220" i="11"/>
  <c r="BA220" i="11" s="1"/>
  <c r="BB220" i="11" s="1"/>
  <c r="AX97" i="11"/>
  <c r="BA97" i="11" s="1"/>
  <c r="BB97" i="11" s="1"/>
  <c r="AX185" i="11"/>
  <c r="BA185" i="11" s="1"/>
  <c r="BB185" i="11" s="1"/>
  <c r="AX257" i="11"/>
  <c r="BA257" i="11" s="1"/>
  <c r="BB257" i="11" s="1"/>
  <c r="AX72" i="11"/>
  <c r="BA72" i="11" s="1"/>
  <c r="BB72" i="11" s="1"/>
  <c r="AX303" i="11"/>
  <c r="BA303" i="11" s="1"/>
  <c r="BB303" i="11" s="1"/>
  <c r="AX193" i="11"/>
  <c r="BA193" i="11" s="1"/>
  <c r="BB193" i="11" s="1"/>
  <c r="AX300" i="11"/>
  <c r="BA300" i="11" s="1"/>
  <c r="BB300" i="11" s="1"/>
  <c r="AX101" i="11"/>
  <c r="BA101" i="11" s="1"/>
  <c r="BB101" i="11" s="1"/>
  <c r="AX105" i="11"/>
  <c r="BA105" i="11" s="1"/>
  <c r="BB105" i="11" s="1"/>
  <c r="AX124" i="11"/>
  <c r="BA124" i="11" s="1"/>
  <c r="BB124" i="11" s="1"/>
  <c r="AX153" i="11"/>
  <c r="BA153" i="11" s="1"/>
  <c r="BB153" i="11" s="1"/>
  <c r="AX291" i="11"/>
  <c r="BA291" i="11" s="1"/>
  <c r="BB291" i="11" s="1"/>
  <c r="AX160" i="11"/>
  <c r="BA160" i="11" s="1"/>
  <c r="BB160" i="11" s="1"/>
  <c r="AX132" i="11"/>
  <c r="BA132" i="11" s="1"/>
  <c r="BB132" i="11" s="1"/>
  <c r="AX107" i="11"/>
  <c r="BA107" i="11" s="1"/>
  <c r="BB107" i="11" s="1"/>
  <c r="AX289" i="11"/>
  <c r="BA289" i="11" s="1"/>
  <c r="BB289" i="11" s="1"/>
  <c r="AX155" i="11"/>
  <c r="BA155" i="11" s="1"/>
  <c r="BB155" i="11" s="1"/>
  <c r="AX82" i="11"/>
  <c r="BA82" i="11" s="1"/>
  <c r="BB82" i="11" s="1"/>
  <c r="AX133" i="11"/>
  <c r="BA133" i="11" s="1"/>
  <c r="BB133" i="11" s="1"/>
  <c r="AX78" i="11"/>
  <c r="BA78" i="11" s="1"/>
  <c r="BB78" i="11" s="1"/>
  <c r="AX246" i="11"/>
  <c r="BA246" i="11" s="1"/>
  <c r="BB246" i="11" s="1"/>
  <c r="AX296" i="11"/>
  <c r="BA296" i="11" s="1"/>
  <c r="BB296" i="11" s="1"/>
  <c r="AX176" i="11"/>
  <c r="BA176" i="11" s="1"/>
  <c r="BB176" i="11" s="1"/>
  <c r="AX83" i="11"/>
  <c r="BA83" i="11" s="1"/>
  <c r="BB83" i="11" s="1"/>
  <c r="AX162" i="11"/>
  <c r="BA162" i="11" s="1"/>
  <c r="BB162" i="11" s="1"/>
  <c r="AX212" i="11"/>
  <c r="BA212" i="11" s="1"/>
  <c r="BB212" i="11" s="1"/>
  <c r="AX43" i="11"/>
  <c r="BA43" i="11" s="1"/>
  <c r="BB43" i="11" s="1"/>
  <c r="AX102" i="11"/>
  <c r="BA102" i="11" s="1"/>
  <c r="BB102" i="11" s="1"/>
  <c r="AX134" i="11"/>
  <c r="BA134" i="11" s="1"/>
  <c r="BB134" i="11" s="1"/>
  <c r="AX195" i="11"/>
  <c r="BA195" i="11" s="1"/>
  <c r="BB195" i="11" s="1"/>
  <c r="AX233" i="11"/>
  <c r="BA233" i="11" s="1"/>
  <c r="BB233" i="11" s="1"/>
  <c r="AX111" i="11"/>
  <c r="BA111" i="11" s="1"/>
  <c r="BB111" i="11" s="1"/>
  <c r="AX209" i="11"/>
  <c r="BA209" i="11" s="1"/>
  <c r="BB209" i="11" s="1"/>
  <c r="AX238" i="11"/>
  <c r="BA238" i="11" s="1"/>
  <c r="BB238" i="11" s="1"/>
  <c r="AX54" i="11"/>
  <c r="BA54" i="11" s="1"/>
  <c r="BB54" i="11" s="1"/>
  <c r="AX216" i="11"/>
  <c r="BA216" i="11" s="1"/>
  <c r="BB216" i="11" s="1"/>
  <c r="AX280" i="11"/>
  <c r="BA280" i="11" s="1"/>
  <c r="BB280" i="11" s="1"/>
  <c r="AX127" i="11"/>
  <c r="BA127" i="11" s="1"/>
  <c r="BB127" i="11" s="1"/>
  <c r="AX166" i="11"/>
  <c r="BA166" i="11" s="1"/>
  <c r="BB166" i="11" s="1"/>
  <c r="AX41" i="11"/>
  <c r="BA41" i="11" s="1"/>
  <c r="BB41" i="11" s="1"/>
  <c r="AX227" i="11"/>
  <c r="BA227" i="11" s="1"/>
  <c r="BB227" i="11" s="1"/>
  <c r="AX294" i="11"/>
  <c r="BA294" i="11" s="1"/>
  <c r="BB294" i="11" s="1"/>
  <c r="AX157" i="11"/>
  <c r="BA157" i="11" s="1"/>
  <c r="BB157" i="11" s="1"/>
  <c r="AX143" i="11"/>
  <c r="BA143" i="11" s="1"/>
  <c r="BB143" i="11" s="1"/>
  <c r="AX168" i="11"/>
  <c r="BA168" i="11" s="1"/>
  <c r="BB168" i="11" s="1"/>
  <c r="AX141" i="11"/>
  <c r="BA141" i="11" s="1"/>
  <c r="BB141" i="11" s="1"/>
  <c r="AX254" i="11"/>
  <c r="BA254" i="11" s="1"/>
  <c r="BB254" i="11" s="1"/>
  <c r="AX298" i="11"/>
  <c r="BA298" i="11" s="1"/>
  <c r="BB298" i="11" s="1"/>
  <c r="AX186" i="11"/>
  <c r="BA186" i="11" s="1"/>
  <c r="BB186" i="11" s="1"/>
  <c r="AX85" i="11"/>
  <c r="BA85" i="11" s="1"/>
  <c r="BB85" i="11" s="1"/>
  <c r="AX164" i="11"/>
  <c r="BA164" i="11" s="1"/>
  <c r="BB164" i="11" s="1"/>
  <c r="AX73" i="11"/>
  <c r="BA73" i="11" s="1"/>
  <c r="BB73" i="11" s="1"/>
  <c r="AX45" i="11"/>
  <c r="BA45" i="11" s="1"/>
  <c r="BB45" i="11" s="1"/>
  <c r="AX104" i="11"/>
  <c r="BA104" i="11" s="1"/>
  <c r="BB104" i="11" s="1"/>
  <c r="AX136" i="11"/>
  <c r="BA136" i="11" s="1"/>
  <c r="BB136" i="11" s="1"/>
  <c r="AX235" i="11"/>
  <c r="BA235" i="11" s="1"/>
  <c r="BB235" i="11" s="1"/>
  <c r="AX74" i="11"/>
  <c r="BA74" i="11" s="1"/>
  <c r="BB74" i="11" s="1"/>
  <c r="AX119" i="11"/>
  <c r="BA119" i="11" s="1"/>
  <c r="BB119" i="11" s="1"/>
  <c r="AX182" i="11"/>
  <c r="BA182" i="11" s="1"/>
  <c r="BB182" i="11" s="1"/>
  <c r="AX256" i="11"/>
  <c r="BA256" i="11" s="1"/>
  <c r="BB256" i="11" s="1"/>
  <c r="AX277" i="11"/>
  <c r="BA277" i="11" s="1"/>
  <c r="BB277" i="11" s="1"/>
  <c r="AX252" i="11"/>
  <c r="BA252" i="11" s="1"/>
  <c r="BB252" i="11" s="1"/>
  <c r="AX76" i="11"/>
  <c r="BA76" i="11" s="1"/>
  <c r="BB76" i="11" s="1"/>
  <c r="AX236" i="11"/>
  <c r="BA236" i="11" s="1"/>
  <c r="BB236" i="11" s="1"/>
  <c r="AX205" i="11"/>
  <c r="BA205" i="11" s="1"/>
  <c r="BB205" i="11" s="1"/>
  <c r="AX100" i="11"/>
  <c r="BA100" i="11" s="1"/>
  <c r="BB100" i="11" s="1"/>
  <c r="AX199" i="11"/>
  <c r="BA199" i="11" s="1"/>
  <c r="BB199" i="11" s="1"/>
  <c r="AX159" i="11"/>
  <c r="BA159" i="11" s="1"/>
  <c r="BB159" i="11" s="1"/>
  <c r="AX200" i="11"/>
  <c r="BA200" i="11" s="1"/>
  <c r="BB200" i="11" s="1"/>
  <c r="AX174" i="11"/>
  <c r="BA174" i="11" s="1"/>
  <c r="BB174" i="11" s="1"/>
  <c r="AX202" i="11"/>
  <c r="BA202" i="11" s="1"/>
  <c r="BB202" i="11" s="1"/>
  <c r="AX264" i="11"/>
  <c r="BA264" i="11" s="1"/>
  <c r="BB264" i="11" s="1"/>
  <c r="AX196" i="11"/>
  <c r="BA196" i="11" s="1"/>
  <c r="BB196" i="11" s="1"/>
  <c r="AX87" i="11"/>
  <c r="BA87" i="11" s="1"/>
  <c r="BB87" i="11" s="1"/>
  <c r="AX218" i="11"/>
  <c r="BA218" i="11" s="1"/>
  <c r="BB218" i="11" s="1"/>
  <c r="AX207" i="11"/>
  <c r="BA207" i="11" s="1"/>
  <c r="BB207" i="11" s="1"/>
  <c r="AX47" i="11"/>
  <c r="BA47" i="11" s="1"/>
  <c r="BB47" i="11" s="1"/>
  <c r="AX106" i="11"/>
  <c r="BA106" i="11" s="1"/>
  <c r="BB106" i="11" s="1"/>
  <c r="AX167" i="11"/>
  <c r="BA167" i="11" s="1"/>
  <c r="BB167" i="11" s="1"/>
  <c r="AX237" i="11"/>
  <c r="BA237" i="11" s="1"/>
  <c r="BB237" i="11" s="1"/>
  <c r="AX80" i="11"/>
  <c r="BA80" i="11" s="1"/>
  <c r="BB80" i="11" s="1"/>
  <c r="AX123" i="11"/>
  <c r="BA123" i="11" s="1"/>
  <c r="BB123" i="11" s="1"/>
  <c r="AX139" i="11"/>
  <c r="BA139" i="11" s="1"/>
  <c r="BB139" i="11" s="1"/>
  <c r="AX206" i="11"/>
  <c r="BA206" i="11" s="1"/>
  <c r="BB206" i="11" s="1"/>
  <c r="AX131" i="11"/>
  <c r="BA131" i="11" s="1"/>
  <c r="BB131" i="11" s="1"/>
  <c r="AX190" i="11"/>
  <c r="BA190" i="11" s="1"/>
  <c r="BB190" i="11" s="1"/>
  <c r="AX301" i="11"/>
  <c r="BA301" i="11" s="1"/>
  <c r="BB301" i="11" s="1"/>
  <c r="AX250" i="11"/>
  <c r="BA250" i="11" s="1"/>
  <c r="BB250" i="11" s="1"/>
  <c r="AX91" i="11"/>
  <c r="BA91" i="11" s="1"/>
  <c r="BB91" i="11" s="1"/>
  <c r="AX222" i="11"/>
  <c r="BA222" i="11" s="1"/>
  <c r="BB222" i="11" s="1"/>
  <c r="AX273" i="11"/>
  <c r="BA273" i="11" s="1"/>
  <c r="BB273" i="11" s="1"/>
  <c r="AX51" i="11"/>
  <c r="BA51" i="11" s="1"/>
  <c r="BB51" i="11" s="1"/>
  <c r="AX110" i="11"/>
  <c r="BA110" i="11" s="1"/>
  <c r="BB110" i="11" s="1"/>
  <c r="AX171" i="11"/>
  <c r="BA171" i="11" s="1"/>
  <c r="BB171" i="11" s="1"/>
  <c r="AX243" i="11"/>
  <c r="BA243" i="11" s="1"/>
  <c r="BB243" i="11" s="1"/>
  <c r="AX198" i="11"/>
  <c r="BA198" i="11" s="1"/>
  <c r="BB198" i="11" s="1"/>
  <c r="AX137" i="11"/>
  <c r="BA137" i="11" s="1"/>
  <c r="BB137" i="11" s="1"/>
  <c r="AX161" i="11"/>
  <c r="BA161" i="11" s="1"/>
  <c r="BB161" i="11" s="1"/>
  <c r="AX84" i="11"/>
  <c r="BA84" i="11" s="1"/>
  <c r="BB84" i="11" s="1"/>
  <c r="AX163" i="11"/>
  <c r="BA163" i="11" s="1"/>
  <c r="BB163" i="11" s="1"/>
  <c r="AX86" i="11"/>
  <c r="BA86" i="11" s="1"/>
  <c r="AX165" i="11"/>
  <c r="BA165" i="11" s="1"/>
  <c r="BB165" i="11" s="1"/>
  <c r="AX213" i="11"/>
  <c r="BA213" i="11" s="1"/>
  <c r="BB213" i="11" s="1"/>
  <c r="AX240" i="11"/>
  <c r="BA240" i="11" s="1"/>
  <c r="BB240" i="11" s="1"/>
  <c r="AX215" i="11"/>
  <c r="BA215" i="11" s="1"/>
  <c r="BB215" i="11" s="1"/>
  <c r="AX40" i="11"/>
  <c r="BA40" i="11" s="1"/>
  <c r="BB40" i="11" s="1"/>
  <c r="AX260" i="11"/>
  <c r="BA260" i="11" s="1"/>
  <c r="BB260" i="11" s="1"/>
  <c r="AX93" i="11"/>
  <c r="BA93" i="11" s="1"/>
  <c r="BB93" i="11" s="1"/>
  <c r="AX224" i="11"/>
  <c r="BA224" i="11" s="1"/>
  <c r="BB224" i="11" s="1"/>
  <c r="AX279" i="11"/>
  <c r="BA279" i="11" s="1"/>
  <c r="BB279" i="11" s="1"/>
  <c r="AX53" i="11"/>
  <c r="BA53" i="11" s="1"/>
  <c r="BB53" i="11" s="1"/>
  <c r="AX112" i="11"/>
  <c r="BA112" i="11" s="1"/>
  <c r="BB112" i="11" s="1"/>
  <c r="AX173" i="11"/>
  <c r="BA173" i="11" s="1"/>
  <c r="BB173" i="11" s="1"/>
  <c r="AX245" i="11"/>
  <c r="BA245" i="11" s="1"/>
  <c r="BB245" i="11" s="1"/>
  <c r="AX204" i="11"/>
  <c r="BA204" i="11" s="1"/>
  <c r="BB204" i="11" s="1"/>
  <c r="AX170" i="11"/>
  <c r="BA170" i="11" s="1"/>
  <c r="BB170" i="11" s="1"/>
  <c r="AX89" i="11"/>
  <c r="BA89" i="11" s="1"/>
  <c r="BB89" i="11" s="1"/>
  <c r="AX88" i="11"/>
  <c r="BA88" i="11" s="1"/>
  <c r="BB88" i="11" s="1"/>
  <c r="AX219" i="11"/>
  <c r="BA219" i="11" s="1"/>
  <c r="BB219" i="11" s="1"/>
  <c r="AX48" i="11"/>
  <c r="BA48" i="11" s="1"/>
  <c r="BB48" i="11" s="1"/>
  <c r="AX248" i="11"/>
  <c r="BA248" i="11" s="1"/>
  <c r="BB248" i="11" s="1"/>
  <c r="AX71" i="11"/>
  <c r="BA71" i="11" s="1"/>
  <c r="BB71" i="11" s="1"/>
  <c r="AX42" i="11"/>
  <c r="BA42" i="11" s="1"/>
  <c r="BB42" i="11" s="1"/>
  <c r="AX77" i="11"/>
  <c r="BA77" i="11" s="1"/>
  <c r="BB77" i="11" s="1"/>
  <c r="AX95" i="11"/>
  <c r="BA95" i="11" s="1"/>
  <c r="BB95" i="11" s="1"/>
  <c r="AX226" i="11"/>
  <c r="BA226" i="11" s="1"/>
  <c r="BB226" i="11" s="1"/>
  <c r="AX293" i="11"/>
  <c r="BA293" i="11" s="1"/>
  <c r="BB293" i="11" s="1"/>
  <c r="AX55" i="11"/>
  <c r="BA55" i="11" s="1"/>
  <c r="BB55" i="11" s="1"/>
  <c r="AX114" i="11"/>
  <c r="BA114" i="11" s="1"/>
  <c r="BB114" i="11" s="1"/>
  <c r="AX175" i="11"/>
  <c r="BA175" i="11" s="1"/>
  <c r="BB175" i="11" s="1"/>
  <c r="AX247" i="11"/>
  <c r="BA247" i="11" s="1"/>
  <c r="BB247" i="11" s="1"/>
  <c r="AX178" i="11"/>
  <c r="BA178" i="11" s="1"/>
  <c r="BB178" i="11" s="1"/>
  <c r="AX268" i="11"/>
  <c r="BA268" i="11" s="1"/>
  <c r="BB268" i="11" s="1"/>
  <c r="AX221" i="11"/>
  <c r="BA221" i="11" s="1"/>
  <c r="BB221" i="11" s="1"/>
  <c r="AX142" i="11"/>
  <c r="BA142" i="11" s="1"/>
  <c r="BB142" i="11" s="1"/>
  <c r="AX228" i="11"/>
  <c r="BA228" i="11" s="1"/>
  <c r="BB228" i="11" s="1"/>
  <c r="AX177" i="11"/>
  <c r="BA177" i="11" s="1"/>
  <c r="BB177" i="11" s="1"/>
  <c r="AF265" i="11"/>
  <c r="AR265" i="11" s="1"/>
  <c r="AF264" i="11"/>
  <c r="AR264" i="11" s="1"/>
  <c r="AF253" i="11"/>
  <c r="AR253" i="11" s="1"/>
  <c r="AF252" i="11"/>
  <c r="AR252" i="11" s="1"/>
  <c r="AF256" i="11"/>
  <c r="AR256" i="11" s="1"/>
  <c r="AF251" i="11"/>
  <c r="AR251" i="11" s="1"/>
  <c r="AF257" i="11"/>
  <c r="AR257" i="11" s="1"/>
  <c r="AF266" i="11"/>
  <c r="AR266" i="11" s="1"/>
  <c r="AF263" i="11"/>
  <c r="AR263" i="11" s="1"/>
  <c r="AF255" i="11"/>
  <c r="AR255" i="11" s="1"/>
  <c r="AF250" i="11"/>
  <c r="AR250" i="11" s="1"/>
  <c r="AF262" i="11"/>
  <c r="AR262" i="11" s="1"/>
  <c r="AF254" i="11"/>
  <c r="AR254" i="11" s="1"/>
  <c r="AF261" i="11"/>
  <c r="AR261" i="11" s="1"/>
  <c r="AF267" i="11"/>
  <c r="AR267" i="11" s="1"/>
  <c r="AF203" i="11"/>
  <c r="AR203" i="11" s="1"/>
  <c r="AF260" i="11"/>
  <c r="AR260" i="11" s="1"/>
  <c r="AF204" i="11"/>
  <c r="AR204" i="11" s="1"/>
  <c r="V288" i="11"/>
  <c r="AU288" i="11" s="1"/>
  <c r="V292" i="11"/>
  <c r="AU292" i="11" s="1"/>
  <c r="V252" i="11"/>
  <c r="AU252" i="11" s="1"/>
  <c r="V274" i="11"/>
  <c r="AU274" i="11" s="1"/>
  <c r="V303" i="11"/>
  <c r="AU303" i="11" s="1"/>
  <c r="V270" i="11"/>
  <c r="AU270" i="11" s="1"/>
  <c r="V278" i="11"/>
  <c r="AU278" i="11" s="1"/>
  <c r="V301" i="11"/>
  <c r="AU301" i="11" s="1"/>
  <c r="V281" i="11"/>
  <c r="AU281" i="11" s="1"/>
  <c r="V276" i="11"/>
  <c r="AU276" i="11" s="1"/>
  <c r="V275" i="11"/>
  <c r="AU275" i="11" s="1"/>
  <c r="V287" i="11"/>
  <c r="AU287" i="11" s="1"/>
  <c r="V293" i="11"/>
  <c r="AU293" i="11" s="1"/>
  <c r="V271" i="11"/>
  <c r="AU271" i="11" s="1"/>
  <c r="V273" i="11"/>
  <c r="AU273" i="11" s="1"/>
  <c r="V286" i="11"/>
  <c r="AU286" i="11" s="1"/>
  <c r="V295" i="11"/>
  <c r="AU295" i="11" s="1"/>
  <c r="V291" i="11"/>
  <c r="AU291" i="11" s="1"/>
  <c r="V277" i="11"/>
  <c r="AU277" i="11" s="1"/>
  <c r="V280" i="11"/>
  <c r="AU280" i="11" s="1"/>
  <c r="AU298" i="11"/>
  <c r="AU289" i="11"/>
  <c r="AU302" i="11"/>
  <c r="AU297" i="11"/>
  <c r="AU290" i="11"/>
  <c r="AU269" i="11"/>
  <c r="AI267" i="11"/>
  <c r="AM267" i="11"/>
  <c r="AK267" i="11"/>
  <c r="AO267" i="11"/>
  <c r="AG267" i="11"/>
  <c r="AU294" i="11"/>
  <c r="AU250" i="11"/>
  <c r="AU263" i="11"/>
  <c r="AU256" i="11"/>
  <c r="AU262" i="11"/>
  <c r="AU203" i="11"/>
  <c r="AU204" i="11"/>
  <c r="V253" i="11"/>
  <c r="AU267" i="11"/>
  <c r="V251" i="11"/>
  <c r="V257" i="11"/>
  <c r="V255" i="11"/>
  <c r="V254" i="11"/>
  <c r="V261" i="11"/>
  <c r="V260" i="11"/>
  <c r="V265" i="11"/>
  <c r="V264" i="11"/>
  <c r="V266" i="11"/>
  <c r="BB86" i="11" l="1"/>
  <c r="AX267" i="11"/>
  <c r="BA267" i="11" s="1"/>
  <c r="BB267" i="11" s="1"/>
  <c r="AU260" i="11"/>
  <c r="AU265" i="11"/>
  <c r="AU261" i="11"/>
  <c r="AU254" i="11"/>
  <c r="AU266" i="11"/>
  <c r="AU255" i="11"/>
  <c r="AU251" i="11"/>
  <c r="AU264" i="11"/>
  <c r="AU257" i="11"/>
  <c r="AU253" i="11"/>
  <c r="H233" i="11" l="1"/>
  <c r="H234" i="11"/>
  <c r="H235" i="11"/>
  <c r="H236" i="11"/>
  <c r="U234" i="11"/>
  <c r="U235" i="11"/>
  <c r="U236" i="11"/>
  <c r="AF233" i="11"/>
  <c r="W234" i="11"/>
  <c r="W235" i="11"/>
  <c r="W236" i="11"/>
  <c r="AD235" i="11"/>
  <c r="AS233" i="11"/>
  <c r="AS234" i="11"/>
  <c r="AS236" i="11"/>
  <c r="H237" i="11"/>
  <c r="H238" i="11"/>
  <c r="H239" i="11"/>
  <c r="H240" i="11"/>
  <c r="U237" i="11"/>
  <c r="U238" i="11"/>
  <c r="U239" i="11"/>
  <c r="U240" i="11"/>
  <c r="W237" i="11"/>
  <c r="W238" i="11"/>
  <c r="W239" i="11"/>
  <c r="W240" i="11"/>
  <c r="AD238" i="11"/>
  <c r="AD240" i="11"/>
  <c r="AS237" i="11"/>
  <c r="AS238" i="11"/>
  <c r="AS239" i="11"/>
  <c r="AS240" i="11"/>
  <c r="H243" i="11"/>
  <c r="H244" i="11"/>
  <c r="H245" i="11"/>
  <c r="H246" i="11"/>
  <c r="U243" i="11"/>
  <c r="U244" i="11"/>
  <c r="U245" i="11"/>
  <c r="U246" i="11"/>
  <c r="W243" i="11"/>
  <c r="W244" i="11"/>
  <c r="W245" i="11"/>
  <c r="W246" i="11"/>
  <c r="AD243" i="11"/>
  <c r="AD245" i="11"/>
  <c r="AD246" i="11"/>
  <c r="AS243" i="11"/>
  <c r="AS244" i="11"/>
  <c r="AS245" i="11"/>
  <c r="AS246" i="11"/>
  <c r="H247" i="11"/>
  <c r="H248" i="11"/>
  <c r="U247" i="11"/>
  <c r="U248" i="11"/>
  <c r="W247" i="11"/>
  <c r="W248" i="11"/>
  <c r="AD247" i="11"/>
  <c r="AD248" i="11"/>
  <c r="AS247" i="11"/>
  <c r="AS248" i="11"/>
  <c r="H249" i="11"/>
  <c r="U249" i="11"/>
  <c r="W249" i="11"/>
  <c r="AD249" i="11"/>
  <c r="AS249" i="11"/>
  <c r="AF240" i="11" l="1"/>
  <c r="AR240" i="11" s="1"/>
  <c r="AF247" i="11"/>
  <c r="AR247" i="11" s="1"/>
  <c r="AF239" i="11"/>
  <c r="AR239" i="11" s="1"/>
  <c r="AF249" i="11"/>
  <c r="AR249" i="11" s="1"/>
  <c r="AF246" i="11"/>
  <c r="AR246" i="11" s="1"/>
  <c r="AF238" i="11"/>
  <c r="AR238" i="11" s="1"/>
  <c r="AF245" i="11"/>
  <c r="AR245" i="11" s="1"/>
  <c r="AF237" i="11"/>
  <c r="AR237" i="11" s="1"/>
  <c r="AF243" i="11"/>
  <c r="AR243" i="11" s="1"/>
  <c r="AF244" i="11"/>
  <c r="AR244" i="11" s="1"/>
  <c r="AF236" i="11"/>
  <c r="AR236" i="11" s="1"/>
  <c r="AF248" i="11"/>
  <c r="AR248" i="11" s="1"/>
  <c r="AF235" i="11"/>
  <c r="AR235" i="11" s="1"/>
  <c r="AF234" i="11"/>
  <c r="AR234" i="11" s="1"/>
  <c r="V236" i="11"/>
  <c r="AU236" i="11" s="1"/>
  <c r="V247" i="11"/>
  <c r="AU247" i="11" s="1"/>
  <c r="V234" i="11"/>
  <c r="AU234" i="11" s="1"/>
  <c r="V240" i="11"/>
  <c r="AU240" i="11" s="1"/>
  <c r="V246" i="11"/>
  <c r="AU246" i="11" s="1"/>
  <c r="V238" i="11"/>
  <c r="AU238" i="11" s="1"/>
  <c r="V237" i="11"/>
  <c r="AU237" i="11" s="1"/>
  <c r="V235" i="11"/>
  <c r="AU233" i="11"/>
  <c r="AR233" i="11"/>
  <c r="V239" i="11"/>
  <c r="V245" i="11"/>
  <c r="V244" i="11"/>
  <c r="V243" i="11"/>
  <c r="V248" i="11"/>
  <c r="V249" i="11"/>
  <c r="H177" i="11"/>
  <c r="U177" i="11"/>
  <c r="W177" i="11"/>
  <c r="AD177" i="11"/>
  <c r="AS177" i="11"/>
  <c r="H171" i="11"/>
  <c r="U171" i="11"/>
  <c r="W171" i="11"/>
  <c r="AD171" i="11"/>
  <c r="AS171" i="11"/>
  <c r="H172" i="11"/>
  <c r="U172" i="11"/>
  <c r="W172" i="11"/>
  <c r="AD172" i="11"/>
  <c r="AS172" i="11"/>
  <c r="H170" i="11"/>
  <c r="U170" i="11"/>
  <c r="W170" i="11"/>
  <c r="AD170" i="11"/>
  <c r="AS170" i="11"/>
  <c r="H221" i="11"/>
  <c r="H222" i="11"/>
  <c r="U221" i="11"/>
  <c r="U222" i="11"/>
  <c r="W221" i="11"/>
  <c r="W222" i="11"/>
  <c r="AS221" i="11"/>
  <c r="AS222" i="11"/>
  <c r="H223" i="11"/>
  <c r="H224" i="11"/>
  <c r="U223" i="11"/>
  <c r="U224" i="11"/>
  <c r="W223" i="11"/>
  <c r="W224" i="11"/>
  <c r="AD223" i="11"/>
  <c r="AD224" i="11"/>
  <c r="AS223" i="11"/>
  <c r="AS224" i="11"/>
  <c r="H225" i="11"/>
  <c r="H226" i="11"/>
  <c r="U225" i="11"/>
  <c r="U226" i="11"/>
  <c r="W225" i="11"/>
  <c r="W226" i="11"/>
  <c r="AD225" i="11"/>
  <c r="AD226" i="11"/>
  <c r="AS225" i="11"/>
  <c r="AS226" i="11"/>
  <c r="H227" i="11"/>
  <c r="H228" i="11"/>
  <c r="U227" i="11"/>
  <c r="U228" i="11"/>
  <c r="W227" i="11"/>
  <c r="W228" i="11"/>
  <c r="AD227" i="11"/>
  <c r="AD228" i="11"/>
  <c r="AS227" i="11"/>
  <c r="H229" i="11"/>
  <c r="H230" i="11"/>
  <c r="U229" i="11"/>
  <c r="U230" i="11"/>
  <c r="W229" i="11"/>
  <c r="W230" i="11"/>
  <c r="AD229" i="11"/>
  <c r="AS229" i="11"/>
  <c r="AS230" i="11"/>
  <c r="H231" i="11"/>
  <c r="U231" i="11"/>
  <c r="W231" i="11"/>
  <c r="AD231" i="11"/>
  <c r="H232" i="11"/>
  <c r="U232" i="11"/>
  <c r="W232" i="11"/>
  <c r="AD232" i="11"/>
  <c r="AS232" i="11"/>
  <c r="W184" i="11"/>
  <c r="W181" i="11"/>
  <c r="R9" i="11"/>
  <c r="S12" i="11"/>
  <c r="H185" i="11"/>
  <c r="W185" i="11"/>
  <c r="AD185" i="11"/>
  <c r="AS185" i="11"/>
  <c r="H186" i="11"/>
  <c r="W186" i="11"/>
  <c r="AD186" i="11"/>
  <c r="AS186" i="11"/>
  <c r="H187" i="11"/>
  <c r="W187" i="11"/>
  <c r="AD187" i="11"/>
  <c r="AS187" i="11"/>
  <c r="H199" i="11"/>
  <c r="H200" i="11"/>
  <c r="H201" i="11"/>
  <c r="H202" i="11"/>
  <c r="U199" i="11"/>
  <c r="U200" i="11"/>
  <c r="U201" i="11"/>
  <c r="U202" i="11"/>
  <c r="W199" i="11"/>
  <c r="W200" i="11"/>
  <c r="W201" i="11"/>
  <c r="W202" i="11"/>
  <c r="AD199" i="11"/>
  <c r="AD200" i="11"/>
  <c r="AD201" i="11"/>
  <c r="AD202" i="11"/>
  <c r="AS199" i="11"/>
  <c r="AS200" i="11"/>
  <c r="AS201" i="11"/>
  <c r="AS202" i="11"/>
  <c r="H205" i="11"/>
  <c r="H206" i="11"/>
  <c r="H207" i="11"/>
  <c r="H208" i="11"/>
  <c r="U205" i="11"/>
  <c r="U206" i="11"/>
  <c r="U207" i="11"/>
  <c r="U208" i="11"/>
  <c r="W205" i="11"/>
  <c r="W206" i="11"/>
  <c r="W207" i="11"/>
  <c r="W208" i="11"/>
  <c r="AD205" i="11"/>
  <c r="AD206" i="11"/>
  <c r="AD207" i="11"/>
  <c r="AD208" i="11"/>
  <c r="AS205" i="11"/>
  <c r="AS206" i="11"/>
  <c r="AS207" i="11"/>
  <c r="AS208" i="11"/>
  <c r="H209" i="11"/>
  <c r="H210" i="11"/>
  <c r="H211" i="11"/>
  <c r="H212" i="11"/>
  <c r="U209" i="11"/>
  <c r="U211" i="11"/>
  <c r="U212" i="11"/>
  <c r="W209" i="11"/>
  <c r="W210" i="11"/>
  <c r="W211" i="11"/>
  <c r="W212" i="11"/>
  <c r="AD209" i="11"/>
  <c r="AD211" i="11"/>
  <c r="AD212" i="11"/>
  <c r="AS210" i="11"/>
  <c r="AS212" i="11"/>
  <c r="H213" i="11"/>
  <c r="H214" i="11"/>
  <c r="H215" i="11"/>
  <c r="H216" i="11"/>
  <c r="U213" i="11"/>
  <c r="U214" i="11"/>
  <c r="U215" i="11"/>
  <c r="U216" i="11"/>
  <c r="W213" i="11"/>
  <c r="W214" i="11"/>
  <c r="W215" i="11"/>
  <c r="W216" i="11"/>
  <c r="AD213" i="11"/>
  <c r="AD214" i="11"/>
  <c r="AD215" i="11"/>
  <c r="AS214" i="11"/>
  <c r="AS215" i="11"/>
  <c r="AS216" i="11"/>
  <c r="H217" i="11"/>
  <c r="H218" i="11"/>
  <c r="U218" i="11"/>
  <c r="AF217" i="11"/>
  <c r="W218" i="11"/>
  <c r="AD218" i="11"/>
  <c r="AS217" i="11"/>
  <c r="AS218" i="11"/>
  <c r="H219" i="11"/>
  <c r="U219" i="11"/>
  <c r="W219" i="11"/>
  <c r="AS219" i="11"/>
  <c r="H220" i="11"/>
  <c r="U220" i="11"/>
  <c r="W220" i="11"/>
  <c r="AD220" i="11"/>
  <c r="AS220" i="11"/>
  <c r="AD132" i="11"/>
  <c r="AF186" i="11" l="1"/>
  <c r="AR186" i="11" s="1"/>
  <c r="AF170" i="11"/>
  <c r="AR170" i="11" s="1"/>
  <c r="AF171" i="11"/>
  <c r="AR171" i="11" s="1"/>
  <c r="AF231" i="11"/>
  <c r="AR231" i="11" s="1"/>
  <c r="AF202" i="11"/>
  <c r="AR202" i="11" s="1"/>
  <c r="AF208" i="11"/>
  <c r="AR208" i="11" s="1"/>
  <c r="AF207" i="11"/>
  <c r="AR207" i="11" s="1"/>
  <c r="AF201" i="11"/>
  <c r="AR201" i="11" s="1"/>
  <c r="AF218" i="11"/>
  <c r="AR218" i="11" s="1"/>
  <c r="AF206" i="11"/>
  <c r="AR206" i="11" s="1"/>
  <c r="AF200" i="11"/>
  <c r="AR200" i="11" s="1"/>
  <c r="AF222" i="11"/>
  <c r="AR222" i="11" s="1"/>
  <c r="AF205" i="11"/>
  <c r="AR205" i="11" s="1"/>
  <c r="AF199" i="11"/>
  <c r="AR199" i="11" s="1"/>
  <c r="AF221" i="11"/>
  <c r="AR221" i="11" s="1"/>
  <c r="AF211" i="11"/>
  <c r="AR211" i="11" s="1"/>
  <c r="AF209" i="11"/>
  <c r="AR209" i="11" s="1"/>
  <c r="AF232" i="11"/>
  <c r="AR232" i="11" s="1"/>
  <c r="AF228" i="11"/>
  <c r="AR228" i="11" s="1"/>
  <c r="AF226" i="11"/>
  <c r="AR226" i="11" s="1"/>
  <c r="AF224" i="11"/>
  <c r="AR224" i="11" s="1"/>
  <c r="AF220" i="11"/>
  <c r="AR220" i="11" s="1"/>
  <c r="AF212" i="11"/>
  <c r="AR212" i="11" s="1"/>
  <c r="AF215" i="11"/>
  <c r="AR215" i="11" s="1"/>
  <c r="AF230" i="11"/>
  <c r="AR230" i="11" s="1"/>
  <c r="AF227" i="11"/>
  <c r="AR227" i="11" s="1"/>
  <c r="AF225" i="11"/>
  <c r="AR225" i="11" s="1"/>
  <c r="AF223" i="11"/>
  <c r="AR223" i="11" s="1"/>
  <c r="AF216" i="11"/>
  <c r="AR216" i="11" s="1"/>
  <c r="AF214" i="11"/>
  <c r="AR214" i="11" s="1"/>
  <c r="AF229" i="11"/>
  <c r="AR229" i="11" s="1"/>
  <c r="AF219" i="11"/>
  <c r="AR219" i="11" s="1"/>
  <c r="AF213" i="11"/>
  <c r="AR213" i="11" s="1"/>
  <c r="AF187" i="11"/>
  <c r="AR187" i="11" s="1"/>
  <c r="AF185" i="11"/>
  <c r="AR185" i="11" s="1"/>
  <c r="AF172" i="11"/>
  <c r="AR172" i="11" s="1"/>
  <c r="AF177" i="11"/>
  <c r="AR177" i="11" s="1"/>
  <c r="U186" i="11"/>
  <c r="V186" i="11" s="1"/>
  <c r="V222" i="11"/>
  <c r="AU222" i="11" s="1"/>
  <c r="V207" i="11"/>
  <c r="AU207" i="11" s="1"/>
  <c r="V201" i="11"/>
  <c r="AU201" i="11" s="1"/>
  <c r="V221" i="11"/>
  <c r="AU221" i="11" s="1"/>
  <c r="V211" i="11"/>
  <c r="AU211" i="11" s="1"/>
  <c r="V228" i="11"/>
  <c r="AU228" i="11" s="1"/>
  <c r="V226" i="11"/>
  <c r="AU226" i="11" s="1"/>
  <c r="V224" i="11"/>
  <c r="AU224" i="11" s="1"/>
  <c r="V208" i="11"/>
  <c r="AU208" i="11" s="1"/>
  <c r="V209" i="11"/>
  <c r="AU209" i="11" s="1"/>
  <c r="V230" i="11"/>
  <c r="AU230" i="11" s="1"/>
  <c r="V227" i="11"/>
  <c r="AU227" i="11" s="1"/>
  <c r="V225" i="11"/>
  <c r="AU225" i="11" s="1"/>
  <c r="V223" i="11"/>
  <c r="AU223" i="11" s="1"/>
  <c r="U187" i="11"/>
  <c r="U185" i="11"/>
  <c r="V185" i="11" s="1"/>
  <c r="V229" i="11"/>
  <c r="AU229" i="11" s="1"/>
  <c r="V218" i="11"/>
  <c r="AU218" i="11" s="1"/>
  <c r="V216" i="11"/>
  <c r="AU216" i="11" s="1"/>
  <c r="AU249" i="11"/>
  <c r="AU248" i="11"/>
  <c r="AU243" i="11"/>
  <c r="AU244" i="11"/>
  <c r="AU239" i="11"/>
  <c r="AU235" i="11"/>
  <c r="AU245" i="11"/>
  <c r="AU217" i="11"/>
  <c r="U210" i="11"/>
  <c r="AF210" i="11"/>
  <c r="V177" i="11"/>
  <c r="V171" i="11"/>
  <c r="V172" i="11"/>
  <c r="V170" i="11"/>
  <c r="V231" i="11"/>
  <c r="V232" i="11"/>
  <c r="V202" i="11"/>
  <c r="V200" i="11"/>
  <c r="V199" i="11"/>
  <c r="V206" i="11"/>
  <c r="V205" i="11"/>
  <c r="V212" i="11"/>
  <c r="V215" i="11"/>
  <c r="V214" i="11"/>
  <c r="V213" i="11"/>
  <c r="AR217" i="11"/>
  <c r="V219" i="11"/>
  <c r="V220" i="11"/>
  <c r="H195" i="11"/>
  <c r="H196" i="11"/>
  <c r="U195" i="11"/>
  <c r="U196" i="11"/>
  <c r="W195" i="11"/>
  <c r="W196" i="11"/>
  <c r="AD195" i="11"/>
  <c r="AS195" i="11"/>
  <c r="AS196" i="11"/>
  <c r="H197" i="11"/>
  <c r="U197" i="11"/>
  <c r="W197" i="11"/>
  <c r="AD197" i="11"/>
  <c r="AS197" i="11"/>
  <c r="H194" i="11"/>
  <c r="U194" i="11"/>
  <c r="W194" i="11"/>
  <c r="AS194" i="11"/>
  <c r="H198" i="11"/>
  <c r="U198" i="11"/>
  <c r="W198" i="11"/>
  <c r="AS198" i="11"/>
  <c r="R174" i="11"/>
  <c r="T174" i="11" s="1"/>
  <c r="R153" i="11"/>
  <c r="T153" i="11" s="1"/>
  <c r="R54" i="11"/>
  <c r="T54" i="11" s="1"/>
  <c r="R120" i="11"/>
  <c r="T120" i="11" s="1"/>
  <c r="R179" i="11"/>
  <c r="T179" i="11" s="1"/>
  <c r="R160" i="11"/>
  <c r="T160" i="11" s="1"/>
  <c r="R176" i="11"/>
  <c r="T176" i="11" s="1"/>
  <c r="R183" i="11"/>
  <c r="T183" i="11" s="1"/>
  <c r="R182" i="11"/>
  <c r="T182" i="11" s="1"/>
  <c r="R180" i="11"/>
  <c r="T180" i="11" s="1"/>
  <c r="R163" i="11"/>
  <c r="T163" i="11" s="1"/>
  <c r="R175" i="11"/>
  <c r="T175" i="11" s="1"/>
  <c r="H188" i="11"/>
  <c r="H189" i="11"/>
  <c r="H190" i="11"/>
  <c r="H191" i="11"/>
  <c r="H192" i="11"/>
  <c r="H193" i="11"/>
  <c r="W188" i="11"/>
  <c r="W189" i="11"/>
  <c r="AD188" i="11"/>
  <c r="AD189" i="11"/>
  <c r="AS188" i="11"/>
  <c r="AS189" i="11"/>
  <c r="R168" i="11"/>
  <c r="T168" i="11" s="1"/>
  <c r="R167" i="11"/>
  <c r="T167" i="11" s="1"/>
  <c r="AF194" i="11" l="1"/>
  <c r="AR194" i="11" s="1"/>
  <c r="AF196" i="11"/>
  <c r="AR196" i="11" s="1"/>
  <c r="AF195" i="11"/>
  <c r="AR195" i="11" s="1"/>
  <c r="U163" i="11"/>
  <c r="V163" i="11" s="1"/>
  <c r="U180" i="11"/>
  <c r="V180" i="11" s="1"/>
  <c r="U175" i="11"/>
  <c r="V175" i="11" s="1"/>
  <c r="AF197" i="11"/>
  <c r="AR197" i="11" s="1"/>
  <c r="U182" i="11"/>
  <c r="AF198" i="11"/>
  <c r="AR198" i="11" s="1"/>
  <c r="AF189" i="11"/>
  <c r="AR189" i="11" s="1"/>
  <c r="U183" i="11"/>
  <c r="AF188" i="11"/>
  <c r="AR188" i="11" s="1"/>
  <c r="U160" i="11"/>
  <c r="V160" i="11" s="1"/>
  <c r="U189" i="11"/>
  <c r="V189" i="11" s="1"/>
  <c r="V196" i="11"/>
  <c r="AU196" i="11" s="1"/>
  <c r="U188" i="11"/>
  <c r="V188" i="11" s="1"/>
  <c r="V195" i="11"/>
  <c r="AU195" i="11" s="1"/>
  <c r="V210" i="11"/>
  <c r="AU210" i="11" s="1"/>
  <c r="V187" i="11"/>
  <c r="AU187" i="11" s="1"/>
  <c r="AU199" i="11"/>
  <c r="AU186" i="11"/>
  <c r="AU231" i="11"/>
  <c r="AU205" i="11"/>
  <c r="AU200" i="11"/>
  <c r="AU185" i="11"/>
  <c r="AU170" i="11"/>
  <c r="AU177" i="11"/>
  <c r="AU214" i="11"/>
  <c r="AU172" i="11"/>
  <c r="AU213" i="11"/>
  <c r="AU206" i="11"/>
  <c r="AU220" i="11"/>
  <c r="AU215" i="11"/>
  <c r="AU232" i="11"/>
  <c r="AU171" i="11"/>
  <c r="AU219" i="11"/>
  <c r="AU212" i="11"/>
  <c r="AU202" i="11"/>
  <c r="AR210" i="11"/>
  <c r="V197" i="11"/>
  <c r="V194" i="11"/>
  <c r="V198" i="11"/>
  <c r="AD59" i="11"/>
  <c r="U191" i="11"/>
  <c r="U192" i="11"/>
  <c r="W173" i="11"/>
  <c r="S173" i="11"/>
  <c r="T173" i="11" s="1"/>
  <c r="H176" i="11"/>
  <c r="H178" i="11"/>
  <c r="H179" i="11"/>
  <c r="H180" i="11"/>
  <c r="H181" i="11"/>
  <c r="H173" i="11"/>
  <c r="H174" i="11"/>
  <c r="H175" i="11"/>
  <c r="H182" i="11"/>
  <c r="H183" i="11"/>
  <c r="H184" i="11"/>
  <c r="W174" i="11"/>
  <c r="W175" i="11"/>
  <c r="W176" i="11"/>
  <c r="W178" i="11"/>
  <c r="W179" i="11"/>
  <c r="W180" i="11"/>
  <c r="AF181" i="11"/>
  <c r="W182" i="11"/>
  <c r="W183" i="11"/>
  <c r="AF184" i="11"/>
  <c r="W190" i="11"/>
  <c r="W191" i="11"/>
  <c r="W192" i="11"/>
  <c r="W193" i="11"/>
  <c r="AD173" i="11"/>
  <c r="AD174" i="11"/>
  <c r="AD178" i="11"/>
  <c r="AD179" i="11"/>
  <c r="AD181" i="11"/>
  <c r="AD184" i="11"/>
  <c r="AD190" i="11"/>
  <c r="AD193" i="11"/>
  <c r="AS173" i="11"/>
  <c r="AS174" i="11"/>
  <c r="AS175" i="11"/>
  <c r="AS176" i="11"/>
  <c r="AS178" i="11"/>
  <c r="AS179" i="11"/>
  <c r="AS180" i="11"/>
  <c r="AS181" i="11"/>
  <c r="AS182" i="11"/>
  <c r="AS183" i="11"/>
  <c r="AS184" i="11"/>
  <c r="AS190" i="11"/>
  <c r="AS191" i="11"/>
  <c r="AS192" i="11"/>
  <c r="AS193" i="11"/>
  <c r="S59" i="11"/>
  <c r="T59" i="11" s="1"/>
  <c r="AF176" i="11" l="1"/>
  <c r="AR176" i="11" s="1"/>
  <c r="AF179" i="11"/>
  <c r="AR179" i="11" s="1"/>
  <c r="AF193" i="11"/>
  <c r="AR193" i="11" s="1"/>
  <c r="AF191" i="11"/>
  <c r="AR191" i="11" s="1"/>
  <c r="AF190" i="11"/>
  <c r="AR190" i="11" s="1"/>
  <c r="AF174" i="11"/>
  <c r="AR174" i="11" s="1"/>
  <c r="AF183" i="11"/>
  <c r="AR183" i="11" s="1"/>
  <c r="AF178" i="11"/>
  <c r="AR178" i="11" s="1"/>
  <c r="AF182" i="11"/>
  <c r="AR182" i="11" s="1"/>
  <c r="U173" i="11"/>
  <c r="V173" i="11" s="1"/>
  <c r="AU173" i="11" s="1"/>
  <c r="AF175" i="11"/>
  <c r="AR175" i="11" s="1"/>
  <c r="AF173" i="11"/>
  <c r="AR173" i="11" s="1"/>
  <c r="AF192" i="11"/>
  <c r="AR192" i="11" s="1"/>
  <c r="AF180" i="11"/>
  <c r="AR180" i="11" s="1"/>
  <c r="AU160" i="11"/>
  <c r="V182" i="11"/>
  <c r="AU182" i="11" s="1"/>
  <c r="U176" i="11"/>
  <c r="V176" i="11" s="1"/>
  <c r="AU176" i="11" s="1"/>
  <c r="U193" i="11"/>
  <c r="V193" i="11" s="1"/>
  <c r="U190" i="11"/>
  <c r="V190" i="11" s="1"/>
  <c r="U184" i="11"/>
  <c r="V184" i="11" s="1"/>
  <c r="U179" i="11"/>
  <c r="V179" i="11" s="1"/>
  <c r="U174" i="11"/>
  <c r="V174" i="11" s="1"/>
  <c r="U181" i="11"/>
  <c r="V181" i="11" s="1"/>
  <c r="AU181" i="11" s="1"/>
  <c r="AU188" i="11"/>
  <c r="AU197" i="11"/>
  <c r="AU194" i="11"/>
  <c r="AU189" i="11"/>
  <c r="AU198" i="11"/>
  <c r="AU175" i="11"/>
  <c r="AU180" i="11"/>
  <c r="U178" i="11"/>
  <c r="V178" i="11" s="1"/>
  <c r="V191" i="11"/>
  <c r="V183" i="11"/>
  <c r="V192" i="11"/>
  <c r="AR184" i="11"/>
  <c r="AR181" i="11"/>
  <c r="U153" i="11"/>
  <c r="V153" i="11" s="1"/>
  <c r="AD148" i="11"/>
  <c r="AD147" i="11"/>
  <c r="AD131" i="11"/>
  <c r="AD115" i="11"/>
  <c r="AD105" i="11"/>
  <c r="AD87" i="11"/>
  <c r="AD76" i="11"/>
  <c r="AD66" i="11"/>
  <c r="AD48" i="11"/>
  <c r="AD33" i="11"/>
  <c r="AD14" i="11"/>
  <c r="AD11" i="11"/>
  <c r="AD92" i="11"/>
  <c r="AD75" i="11"/>
  <c r="AD65" i="11"/>
  <c r="AD53" i="11"/>
  <c r="AU193" i="11" l="1"/>
  <c r="AU191" i="11"/>
  <c r="AU153" i="11"/>
  <c r="AU174" i="11"/>
  <c r="AU183" i="11"/>
  <c r="AU184" i="11"/>
  <c r="AU179" i="11"/>
  <c r="AU178" i="11"/>
  <c r="AU192" i="11"/>
  <c r="AU190" i="11"/>
  <c r="R155" i="11"/>
  <c r="T155" i="11" s="1"/>
  <c r="R169" i="11"/>
  <c r="T169" i="11" s="1"/>
  <c r="R166" i="11"/>
  <c r="T166" i="11" s="1"/>
  <c r="S156" i="11"/>
  <c r="T156" i="11" s="1"/>
  <c r="R159" i="11"/>
  <c r="T159" i="11" s="1"/>
  <c r="H169" i="11"/>
  <c r="W120" i="11"/>
  <c r="W121" i="11"/>
  <c r="R162" i="11"/>
  <c r="R141" i="11"/>
  <c r="R102" i="11"/>
  <c r="R161" i="11"/>
  <c r="R140" i="11"/>
  <c r="R129" i="11"/>
  <c r="T129" i="11" s="1"/>
  <c r="R101" i="11"/>
  <c r="S162" i="11"/>
  <c r="S161" i="11"/>
  <c r="S141" i="11"/>
  <c r="S140" i="11"/>
  <c r="S102" i="11"/>
  <c r="S101" i="11"/>
  <c r="R134" i="11"/>
  <c r="S134" i="11"/>
  <c r="S133" i="11"/>
  <c r="S151" i="11"/>
  <c r="T151" i="11" s="1"/>
  <c r="S150" i="11"/>
  <c r="R150" i="11"/>
  <c r="S123" i="11"/>
  <c r="S122" i="11"/>
  <c r="T122" i="11" s="1"/>
  <c r="R123" i="11"/>
  <c r="R114" i="11"/>
  <c r="R113" i="11"/>
  <c r="T113" i="11" s="1"/>
  <c r="R111" i="11"/>
  <c r="S114" i="11"/>
  <c r="S111" i="11"/>
  <c r="R84" i="11"/>
  <c r="T84" i="11" s="1"/>
  <c r="R86" i="11"/>
  <c r="T86" i="11" s="1"/>
  <c r="T114" i="11" l="1"/>
  <c r="T161" i="11"/>
  <c r="T102" i="11"/>
  <c r="T141" i="11"/>
  <c r="T140" i="11"/>
  <c r="T150" i="11"/>
  <c r="T101" i="11"/>
  <c r="T123" i="11"/>
  <c r="T134" i="11"/>
  <c r="T162" i="11"/>
  <c r="T111" i="11"/>
  <c r="U166" i="11"/>
  <c r="V166" i="11" s="1"/>
  <c r="U169" i="11"/>
  <c r="V169" i="11" s="1"/>
  <c r="U167" i="11"/>
  <c r="V167" i="11" s="1"/>
  <c r="U168" i="11"/>
  <c r="V168" i="11" s="1"/>
  <c r="U165" i="11"/>
  <c r="R152" i="11"/>
  <c r="T152" i="11" s="1"/>
  <c r="R146" i="11"/>
  <c r="T146" i="11" s="1"/>
  <c r="W165" i="11"/>
  <c r="H161" i="11"/>
  <c r="H162" i="11"/>
  <c r="H163" i="11"/>
  <c r="H164" i="11"/>
  <c r="H165" i="11"/>
  <c r="H152" i="11"/>
  <c r="H153" i="11"/>
  <c r="H154" i="11"/>
  <c r="H155" i="11"/>
  <c r="H156" i="11"/>
  <c r="H157" i="11"/>
  <c r="H158" i="11"/>
  <c r="H159" i="11"/>
  <c r="H160" i="11"/>
  <c r="H166" i="11"/>
  <c r="H167" i="11"/>
  <c r="H168" i="11"/>
  <c r="W152" i="11"/>
  <c r="W153" i="11"/>
  <c r="W154" i="11"/>
  <c r="W155" i="11"/>
  <c r="W156" i="11"/>
  <c r="W157" i="11"/>
  <c r="W158" i="11"/>
  <c r="W159" i="11"/>
  <c r="W160" i="11"/>
  <c r="W161" i="11"/>
  <c r="W162" i="11"/>
  <c r="W163" i="11"/>
  <c r="W164" i="11"/>
  <c r="W166" i="11"/>
  <c r="W167" i="11"/>
  <c r="W168" i="11"/>
  <c r="W169" i="11"/>
  <c r="AD153" i="11"/>
  <c r="AD154" i="11"/>
  <c r="AD156" i="11"/>
  <c r="AD157" i="11"/>
  <c r="AD158" i="11"/>
  <c r="AD159" i="11"/>
  <c r="AD160" i="11"/>
  <c r="AD161" i="11"/>
  <c r="AD162" i="11"/>
  <c r="AD164" i="11"/>
  <c r="AD166" i="11"/>
  <c r="AD167" i="11"/>
  <c r="AD168" i="11"/>
  <c r="AD169" i="11"/>
  <c r="AS152" i="11"/>
  <c r="AS153" i="11"/>
  <c r="AS154" i="11"/>
  <c r="AS155" i="11"/>
  <c r="AS156" i="11"/>
  <c r="AS157" i="11"/>
  <c r="AS158" i="11"/>
  <c r="AS159" i="11"/>
  <c r="AS160" i="11"/>
  <c r="AS161" i="11"/>
  <c r="AS162" i="11"/>
  <c r="AS163" i="11"/>
  <c r="AS164" i="11"/>
  <c r="AS165" i="11"/>
  <c r="AS166" i="11"/>
  <c r="AS167" i="11"/>
  <c r="AS168" i="11"/>
  <c r="AS169" i="11"/>
  <c r="AU163" i="11"/>
  <c r="AF152" i="11" l="1"/>
  <c r="AR152" i="11" s="1"/>
  <c r="AF169" i="11"/>
  <c r="AR169" i="11" s="1"/>
  <c r="U152" i="11"/>
  <c r="V152" i="11" s="1"/>
  <c r="AU152" i="11" s="1"/>
  <c r="AF164" i="11"/>
  <c r="AR164" i="11" s="1"/>
  <c r="AF160" i="11"/>
  <c r="AR160" i="11" s="1"/>
  <c r="AF165" i="11"/>
  <c r="AR165" i="11" s="1"/>
  <c r="AF161" i="11"/>
  <c r="AR161" i="11" s="1"/>
  <c r="AF159" i="11"/>
  <c r="AR159" i="11" s="1"/>
  <c r="AF158" i="11"/>
  <c r="AR158" i="11" s="1"/>
  <c r="AF168" i="11"/>
  <c r="AR168" i="11" s="1"/>
  <c r="AF162" i="11"/>
  <c r="AR162" i="11" s="1"/>
  <c r="AF157" i="11"/>
  <c r="AR157" i="11" s="1"/>
  <c r="AF166" i="11"/>
  <c r="AR166" i="11" s="1"/>
  <c r="AF163" i="11"/>
  <c r="AR163" i="11" s="1"/>
  <c r="AF156" i="11"/>
  <c r="AR156" i="11" s="1"/>
  <c r="AF155" i="11"/>
  <c r="AR155" i="11" s="1"/>
  <c r="AF167" i="11"/>
  <c r="AR167" i="11" s="1"/>
  <c r="AF154" i="11"/>
  <c r="AR154" i="11" s="1"/>
  <c r="AF153" i="11"/>
  <c r="AR153" i="11" s="1"/>
  <c r="U155" i="11"/>
  <c r="V155" i="11" s="1"/>
  <c r="AU155" i="11" s="1"/>
  <c r="U154" i="11"/>
  <c r="V154" i="11" s="1"/>
  <c r="AU154" i="11" s="1"/>
  <c r="U164" i="11"/>
  <c r="V164" i="11" s="1"/>
  <c r="AU164" i="11" s="1"/>
  <c r="U162" i="11"/>
  <c r="V162" i="11" s="1"/>
  <c r="AU162" i="11" s="1"/>
  <c r="U156" i="11"/>
  <c r="V156" i="11" s="1"/>
  <c r="AU156" i="11" s="1"/>
  <c r="U161" i="11"/>
  <c r="V161" i="11" s="1"/>
  <c r="AU161" i="11" s="1"/>
  <c r="U159" i="11"/>
  <c r="V159" i="11" s="1"/>
  <c r="AU159" i="11" s="1"/>
  <c r="U158" i="11"/>
  <c r="V158" i="11" s="1"/>
  <c r="AU158" i="11" s="1"/>
  <c r="U157" i="11"/>
  <c r="V157" i="11" s="1"/>
  <c r="AU157" i="11" s="1"/>
  <c r="AU166" i="11"/>
  <c r="AU167" i="11"/>
  <c r="AU169" i="11"/>
  <c r="AU168" i="11"/>
  <c r="V165" i="11"/>
  <c r="AD126" i="11"/>
  <c r="AD119" i="11"/>
  <c r="S135" i="11"/>
  <c r="R133" i="11"/>
  <c r="T133" i="11" s="1"/>
  <c r="W149" i="11"/>
  <c r="S149" i="11"/>
  <c r="T149" i="11" s="1"/>
  <c r="AD143" i="11"/>
  <c r="W143" i="11"/>
  <c r="U143" i="11"/>
  <c r="H135" i="11"/>
  <c r="W135" i="11"/>
  <c r="AD135" i="11"/>
  <c r="AS135" i="11"/>
  <c r="T135" i="11" l="1"/>
  <c r="AF143" i="11"/>
  <c r="AR143" i="11" s="1"/>
  <c r="AF135" i="11"/>
  <c r="AR135" i="11" s="1"/>
  <c r="V143" i="11"/>
  <c r="AU143" i="11" s="1"/>
  <c r="AU165" i="11"/>
  <c r="S148" i="11"/>
  <c r="T148" i="11" s="1"/>
  <c r="S147" i="11"/>
  <c r="T147" i="11" s="1"/>
  <c r="U135" i="11" l="1"/>
  <c r="V135" i="11" s="1"/>
  <c r="AU135" i="11" s="1"/>
  <c r="R139" i="11"/>
  <c r="T139" i="11" s="1"/>
  <c r="S136" i="11"/>
  <c r="T136" i="11" s="1"/>
  <c r="U139" i="11" l="1"/>
  <c r="V139" i="11" s="1"/>
  <c r="S128" i="11"/>
  <c r="T128" i="11" s="1"/>
  <c r="S127" i="11"/>
  <c r="T127" i="11" s="1"/>
  <c r="S126" i="11"/>
  <c r="T126" i="11" s="1"/>
  <c r="S124" i="11"/>
  <c r="T124" i="11" s="1"/>
  <c r="U124" i="11" l="1"/>
  <c r="V124" i="11" s="1"/>
  <c r="U128" i="11"/>
  <c r="V128" i="11" s="1"/>
  <c r="U127" i="11"/>
  <c r="V127" i="11" s="1"/>
  <c r="U126" i="11"/>
  <c r="V126" i="11" s="1"/>
  <c r="AU139" i="11"/>
  <c r="R131" i="11"/>
  <c r="T131" i="11" s="1"/>
  <c r="R118" i="11"/>
  <c r="T118" i="11" s="1"/>
  <c r="S62" i="11"/>
  <c r="T62" i="11" s="1"/>
  <c r="S61" i="11"/>
  <c r="R117" i="11"/>
  <c r="T117" i="11" s="1"/>
  <c r="R116" i="11"/>
  <c r="T116" i="11" s="1"/>
  <c r="AS116" i="11"/>
  <c r="AS117" i="11"/>
  <c r="AD116" i="11"/>
  <c r="AD117" i="11"/>
  <c r="W116" i="11"/>
  <c r="W117" i="11"/>
  <c r="H116" i="11"/>
  <c r="H117" i="11"/>
  <c r="S119" i="11"/>
  <c r="T119" i="11" s="1"/>
  <c r="R125" i="11"/>
  <c r="T125" i="11" s="1"/>
  <c r="R115" i="11"/>
  <c r="T115" i="11" s="1"/>
  <c r="S112" i="11"/>
  <c r="T112" i="11" s="1"/>
  <c r="AF117" i="11" l="1"/>
  <c r="AR117" i="11" s="1"/>
  <c r="AF116" i="11"/>
  <c r="AR116" i="11" s="1"/>
  <c r="U116" i="11"/>
  <c r="V116" i="11" s="1"/>
  <c r="U117" i="11"/>
  <c r="V117" i="11" s="1"/>
  <c r="AU124" i="11"/>
  <c r="AU126" i="11"/>
  <c r="AU127" i="11"/>
  <c r="AU128" i="11"/>
  <c r="AU116" i="11" l="1"/>
  <c r="AU117" i="11"/>
  <c r="AD67" i="11"/>
  <c r="AD58" i="11"/>
  <c r="AD43" i="11"/>
  <c r="AD39" i="11"/>
  <c r="R61" i="11" l="1"/>
  <c r="T61" i="11" s="1"/>
  <c r="R26" i="11"/>
  <c r="T26" i="11" s="1"/>
  <c r="R25" i="11"/>
  <c r="T25" i="11" s="1"/>
  <c r="R81" i="11"/>
  <c r="T81" i="11" s="1"/>
  <c r="R46" i="11"/>
  <c r="T46" i="11" s="1"/>
  <c r="R88" i="11"/>
  <c r="T88" i="11" s="1"/>
  <c r="R60" i="11"/>
  <c r="T60" i="11" s="1"/>
  <c r="R24" i="11"/>
  <c r="T24" i="11" s="1"/>
  <c r="R23" i="11"/>
  <c r="T23" i="11" s="1"/>
  <c r="R76" i="11"/>
  <c r="T76" i="11" s="1"/>
  <c r="R48" i="11"/>
  <c r="T48" i="11" s="1"/>
  <c r="R11" i="11"/>
  <c r="T11" i="11" s="1"/>
  <c r="R105" i="11"/>
  <c r="T105" i="11" s="1"/>
  <c r="R87" i="11"/>
  <c r="T87" i="11" s="1"/>
  <c r="R66" i="11"/>
  <c r="T66" i="11" s="1"/>
  <c r="R33" i="11"/>
  <c r="T33" i="11" s="1"/>
  <c r="R14" i="11"/>
  <c r="T14" i="11" s="1"/>
  <c r="R2" i="11"/>
  <c r="T2" i="11" s="1"/>
  <c r="R75" i="11"/>
  <c r="T75" i="11" s="1"/>
  <c r="M18" i="11"/>
  <c r="M1455" i="11" s="1"/>
  <c r="R92" i="11"/>
  <c r="T92" i="11" s="1"/>
  <c r="R65" i="11"/>
  <c r="T65" i="11" s="1"/>
  <c r="R53" i="11"/>
  <c r="T53" i="11" s="1"/>
  <c r="R34" i="11"/>
  <c r="T34" i="11" s="1"/>
  <c r="R18" i="11" l="1"/>
  <c r="T18" i="11" s="1"/>
  <c r="R107" i="11"/>
  <c r="T107" i="11" s="1"/>
  <c r="S100" i="11"/>
  <c r="T100" i="11" s="1"/>
  <c r="R99" i="11"/>
  <c r="T99" i="11" s="1"/>
  <c r="U107" i="11" l="1"/>
  <c r="V107" i="11" s="1"/>
  <c r="U100" i="11"/>
  <c r="V100" i="11" s="1"/>
  <c r="AU100" i="11" l="1"/>
  <c r="AU107" i="11"/>
  <c r="R77" i="11"/>
  <c r="T77" i="11" s="1"/>
  <c r="R93" i="11"/>
  <c r="T93" i="11" s="1"/>
  <c r="R71" i="11"/>
  <c r="T71" i="11" s="1"/>
  <c r="R57" i="11"/>
  <c r="T57" i="11" s="1"/>
  <c r="S95" i="11" l="1"/>
  <c r="T95" i="11" s="1"/>
  <c r="S94" i="11"/>
  <c r="T94" i="11" s="1"/>
  <c r="R80" i="11"/>
  <c r="T80" i="11" s="1"/>
  <c r="S74" i="11"/>
  <c r="T74" i="11" s="1"/>
  <c r="S73" i="11"/>
  <c r="T73" i="11" s="1"/>
  <c r="S72" i="11"/>
  <c r="T72" i="11" s="1"/>
  <c r="R49" i="11"/>
  <c r="T49" i="11" s="1"/>
  <c r="R51" i="11"/>
  <c r="T51" i="11" s="1"/>
  <c r="R45" i="11"/>
  <c r="T45" i="11" s="1"/>
  <c r="S42" i="11"/>
  <c r="T42" i="11" s="1"/>
  <c r="S38" i="11"/>
  <c r="T38" i="11" s="1"/>
  <c r="R21" i="11"/>
  <c r="R22" i="11"/>
  <c r="S35" i="11"/>
  <c r="T35" i="11" s="1"/>
  <c r="S22" i="11"/>
  <c r="S21" i="11"/>
  <c r="R90" i="11"/>
  <c r="T90" i="11" s="1"/>
  <c r="AD96" i="11"/>
  <c r="W96" i="11"/>
  <c r="S98" i="11"/>
  <c r="T98" i="11" s="1"/>
  <c r="S97" i="11"/>
  <c r="T97" i="11" s="1"/>
  <c r="AD82" i="11"/>
  <c r="W82" i="11"/>
  <c r="S83" i="11"/>
  <c r="T83" i="11" s="1"/>
  <c r="H23" i="11"/>
  <c r="H24" i="11"/>
  <c r="H25" i="11"/>
  <c r="H26" i="11"/>
  <c r="H46" i="11"/>
  <c r="H60" i="11"/>
  <c r="H61" i="11"/>
  <c r="H62" i="11"/>
  <c r="H81" i="11"/>
  <c r="H88" i="11"/>
  <c r="W23" i="11"/>
  <c r="W24" i="11"/>
  <c r="W25" i="11"/>
  <c r="W26" i="11"/>
  <c r="W46" i="11"/>
  <c r="W60" i="11"/>
  <c r="W61" i="11"/>
  <c r="W62" i="11"/>
  <c r="W81" i="11"/>
  <c r="W88" i="11"/>
  <c r="AD23" i="11"/>
  <c r="AD24" i="11"/>
  <c r="AD25" i="11"/>
  <c r="AD26" i="11"/>
  <c r="AD46" i="11"/>
  <c r="AD60" i="11"/>
  <c r="AD61" i="11"/>
  <c r="AD62" i="11"/>
  <c r="AD81" i="11"/>
  <c r="AD88" i="11"/>
  <c r="AS23" i="11"/>
  <c r="AS24" i="11"/>
  <c r="AS25" i="11"/>
  <c r="AS26" i="11"/>
  <c r="AS46" i="11"/>
  <c r="AS60" i="11"/>
  <c r="AS61" i="11"/>
  <c r="AS62" i="11"/>
  <c r="AS81" i="11"/>
  <c r="AS88" i="11"/>
  <c r="AT23" i="11"/>
  <c r="AE23" i="11" s="1"/>
  <c r="AT24" i="11"/>
  <c r="AE24" i="11" s="1"/>
  <c r="AT25" i="11"/>
  <c r="AE25" i="11" s="1"/>
  <c r="AT26" i="11"/>
  <c r="AE26" i="11" s="1"/>
  <c r="U7" i="11"/>
  <c r="AD70" i="11"/>
  <c r="W70" i="11"/>
  <c r="S63" i="11"/>
  <c r="T63" i="11" s="1"/>
  <c r="T22" i="11" l="1"/>
  <c r="T21" i="11"/>
  <c r="AF25" i="11"/>
  <c r="AR25" i="11" s="1"/>
  <c r="AF24" i="11"/>
  <c r="AR24" i="11" s="1"/>
  <c r="AF23" i="11"/>
  <c r="AR23" i="11" s="1"/>
  <c r="AF81" i="11"/>
  <c r="AR81" i="11" s="1"/>
  <c r="U97" i="11"/>
  <c r="AF62" i="11"/>
  <c r="AR62" i="11" s="1"/>
  <c r="AF61" i="11"/>
  <c r="AR61" i="11" s="1"/>
  <c r="AF82" i="11"/>
  <c r="AR82" i="11" s="1"/>
  <c r="AF70" i="11"/>
  <c r="AR70" i="11" s="1"/>
  <c r="AF88" i="11"/>
  <c r="AR88" i="11" s="1"/>
  <c r="AF60" i="11"/>
  <c r="AR60" i="11" s="1"/>
  <c r="AF46" i="11"/>
  <c r="AR46" i="11" s="1"/>
  <c r="AF96" i="11"/>
  <c r="AR96" i="11" s="1"/>
  <c r="AF26" i="11"/>
  <c r="AR26" i="11" s="1"/>
  <c r="U24" i="11"/>
  <c r="V24" i="11" s="1"/>
  <c r="U23" i="11"/>
  <c r="V23" i="11" s="1"/>
  <c r="U88" i="11"/>
  <c r="V88" i="11" s="1"/>
  <c r="AU88" i="11" s="1"/>
  <c r="U81" i="11"/>
  <c r="V81" i="11" s="1"/>
  <c r="AU81" i="11" s="1"/>
  <c r="U62" i="11"/>
  <c r="V62" i="11" s="1"/>
  <c r="AU62" i="11" s="1"/>
  <c r="U61" i="11"/>
  <c r="V61" i="11" s="1"/>
  <c r="U25" i="11"/>
  <c r="V25" i="11" s="1"/>
  <c r="U60" i="11"/>
  <c r="V60" i="11" s="1"/>
  <c r="AU60" i="11" s="1"/>
  <c r="V7" i="11"/>
  <c r="U46" i="11"/>
  <c r="V46" i="11" s="1"/>
  <c r="AU46" i="11" s="1"/>
  <c r="U82" i="11"/>
  <c r="V82" i="11" s="1"/>
  <c r="AU82" i="11" s="1"/>
  <c r="U26" i="11"/>
  <c r="V26" i="11" s="1"/>
  <c r="AI26" i="11"/>
  <c r="AO26" i="11"/>
  <c r="AM26" i="11"/>
  <c r="AK26" i="11"/>
  <c r="AI23" i="11"/>
  <c r="AO23" i="11"/>
  <c r="AM23" i="11"/>
  <c r="AK23" i="11"/>
  <c r="AI25" i="11"/>
  <c r="AO25" i="11"/>
  <c r="AM25" i="11"/>
  <c r="AK25" i="11"/>
  <c r="AI24" i="11"/>
  <c r="AO24" i="11"/>
  <c r="AM24" i="11"/>
  <c r="AK24" i="11"/>
  <c r="AG26" i="11"/>
  <c r="AG25" i="11"/>
  <c r="AG24" i="11"/>
  <c r="AG23" i="11"/>
  <c r="U96" i="11"/>
  <c r="V96" i="11" s="1"/>
  <c r="U70" i="11"/>
  <c r="V70" i="11" s="1"/>
  <c r="R68" i="11"/>
  <c r="T68" i="11" s="1"/>
  <c r="R58" i="11"/>
  <c r="T58" i="11" s="1"/>
  <c r="R43" i="11"/>
  <c r="T43" i="11" s="1"/>
  <c r="S64" i="11"/>
  <c r="T64" i="11" s="1"/>
  <c r="S30" i="11"/>
  <c r="T30" i="11" s="1"/>
  <c r="S69" i="11"/>
  <c r="T69" i="11" s="1"/>
  <c r="S47" i="11"/>
  <c r="T47" i="11" s="1"/>
  <c r="S36" i="11"/>
  <c r="T36" i="11" s="1"/>
  <c r="S29" i="11"/>
  <c r="S52" i="11"/>
  <c r="T52" i="11" s="1"/>
  <c r="T29" i="11" l="1"/>
  <c r="S1455" i="11"/>
  <c r="AU61" i="11"/>
  <c r="T1455" i="11"/>
  <c r="AX24" i="11"/>
  <c r="BA24" i="11" s="1"/>
  <c r="BB24" i="11" s="1"/>
  <c r="AX25" i="11"/>
  <c r="BA25" i="11" s="1"/>
  <c r="BB25" i="11" s="1"/>
  <c r="AX23" i="11"/>
  <c r="BA23" i="11" s="1"/>
  <c r="BB23" i="11" s="1"/>
  <c r="AX26" i="11"/>
  <c r="BA26" i="11" s="1"/>
  <c r="BB26" i="11" s="1"/>
  <c r="AU24" i="11"/>
  <c r="AU25" i="11"/>
  <c r="AU23" i="11"/>
  <c r="AU26" i="11"/>
  <c r="V97" i="11"/>
  <c r="AU97" i="11" s="1"/>
  <c r="R1455" i="11"/>
  <c r="AU70" i="11"/>
  <c r="AU96" i="11"/>
  <c r="U8" i="11"/>
  <c r="U5" i="11"/>
  <c r="U6" i="11"/>
  <c r="U10" i="11" l="1"/>
  <c r="V10" i="11" s="1"/>
  <c r="V6" i="11"/>
  <c r="V5" i="11"/>
  <c r="U9" i="11"/>
  <c r="V9" i="11" s="1"/>
  <c r="U4" i="11"/>
  <c r="V4" i="11" s="1"/>
  <c r="V8" i="11"/>
  <c r="U37" i="11" l="1"/>
  <c r="U43" i="11"/>
  <c r="U67" i="11"/>
  <c r="U85" i="11"/>
  <c r="U86" i="11"/>
  <c r="U87" i="11"/>
  <c r="U89" i="11"/>
  <c r="U90" i="11"/>
  <c r="U91" i="11"/>
  <c r="U92" i="11"/>
  <c r="U94" i="11"/>
  <c r="U95" i="11"/>
  <c r="U98" i="11"/>
  <c r="U102" i="11"/>
  <c r="U103" i="11"/>
  <c r="U104" i="11"/>
  <c r="U106" i="11"/>
  <c r="U108" i="11"/>
  <c r="U110" i="11"/>
  <c r="U112" i="11"/>
  <c r="U114" i="11"/>
  <c r="U115" i="11"/>
  <c r="U118" i="11"/>
  <c r="U120" i="11"/>
  <c r="U121" i="11"/>
  <c r="U125" i="11"/>
  <c r="U129" i="11"/>
  <c r="U130" i="11"/>
  <c r="U131" i="11"/>
  <c r="U132" i="11"/>
  <c r="U133" i="11"/>
  <c r="U134" i="11"/>
  <c r="U137" i="11"/>
  <c r="U138" i="11"/>
  <c r="U141" i="11"/>
  <c r="U142" i="11"/>
  <c r="U145" i="11"/>
  <c r="U146" i="11"/>
  <c r="U147" i="11"/>
  <c r="U149" i="11"/>
  <c r="U150" i="11"/>
  <c r="H63" i="11"/>
  <c r="H64" i="11"/>
  <c r="H65" i="11"/>
  <c r="H66" i="11"/>
  <c r="H67" i="11"/>
  <c r="H68" i="11"/>
  <c r="H69" i="11"/>
  <c r="H70" i="11"/>
  <c r="H71" i="11"/>
  <c r="H72" i="11"/>
  <c r="H73" i="11"/>
  <c r="H74" i="11"/>
  <c r="H75" i="11"/>
  <c r="H76" i="11"/>
  <c r="H77" i="11"/>
  <c r="H78" i="11"/>
  <c r="H79" i="11"/>
  <c r="H80" i="11"/>
  <c r="H82" i="11"/>
  <c r="H83" i="11"/>
  <c r="H84" i="11"/>
  <c r="H85" i="11"/>
  <c r="H86" i="11"/>
  <c r="H87" i="11"/>
  <c r="H89" i="11"/>
  <c r="H90" i="11"/>
  <c r="H91" i="11"/>
  <c r="H92" i="11"/>
  <c r="U84" i="11"/>
  <c r="W63" i="11"/>
  <c r="W64" i="11"/>
  <c r="W65" i="11"/>
  <c r="W66" i="11"/>
  <c r="W67" i="11"/>
  <c r="W68" i="11"/>
  <c r="W69" i="11"/>
  <c r="W71" i="11"/>
  <c r="W72" i="11"/>
  <c r="W73" i="11"/>
  <c r="W74" i="11"/>
  <c r="W75" i="11"/>
  <c r="W76" i="11"/>
  <c r="W77" i="11"/>
  <c r="W78" i="11"/>
  <c r="W79" i="11"/>
  <c r="W80" i="11"/>
  <c r="W83" i="11"/>
  <c r="W84" i="11"/>
  <c r="W85" i="11"/>
  <c r="W86" i="11"/>
  <c r="W87" i="11"/>
  <c r="W89" i="11"/>
  <c r="W90" i="11"/>
  <c r="W91" i="11"/>
  <c r="W92" i="11"/>
  <c r="AD63" i="11"/>
  <c r="AD64" i="11"/>
  <c r="AD68" i="11"/>
  <c r="AD69" i="11"/>
  <c r="AD71" i="11"/>
  <c r="AD72" i="11"/>
  <c r="AD73" i="11"/>
  <c r="AD74" i="11"/>
  <c r="AD77" i="11"/>
  <c r="AD78" i="11"/>
  <c r="AD79" i="11"/>
  <c r="AD80" i="11"/>
  <c r="AD83" i="11"/>
  <c r="AD84" i="11"/>
  <c r="AD85" i="11"/>
  <c r="AD86" i="11"/>
  <c r="AD89" i="11"/>
  <c r="AD90" i="11"/>
  <c r="AD91" i="11"/>
  <c r="AS63" i="11"/>
  <c r="AS64" i="11"/>
  <c r="AS65" i="11"/>
  <c r="AS66" i="11"/>
  <c r="AS67" i="11"/>
  <c r="AS68" i="11"/>
  <c r="AS69" i="11"/>
  <c r="AS70" i="11"/>
  <c r="AS71" i="11"/>
  <c r="AS72" i="11"/>
  <c r="AS73" i="11"/>
  <c r="AS74" i="11"/>
  <c r="AS75" i="11"/>
  <c r="AS76" i="11"/>
  <c r="AS77" i="11"/>
  <c r="AS78" i="11"/>
  <c r="AS79" i="11"/>
  <c r="AS80" i="11"/>
  <c r="AS82" i="11"/>
  <c r="AS83" i="11"/>
  <c r="AS84" i="11"/>
  <c r="AS85" i="11"/>
  <c r="AS86" i="11"/>
  <c r="AS87" i="11"/>
  <c r="AS89" i="11"/>
  <c r="AS90" i="11"/>
  <c r="AS91" i="11"/>
  <c r="AS92" i="11"/>
  <c r="H93" i="11"/>
  <c r="H94" i="11"/>
  <c r="H95" i="11"/>
  <c r="H96" i="11"/>
  <c r="H97" i="11"/>
  <c r="H98" i="11"/>
  <c r="H99" i="11"/>
  <c r="H100" i="11"/>
  <c r="H101" i="11"/>
  <c r="H102" i="11"/>
  <c r="H103" i="11"/>
  <c r="H104" i="11"/>
  <c r="H105" i="11"/>
  <c r="H106" i="11"/>
  <c r="H107" i="11"/>
  <c r="H108" i="11"/>
  <c r="H109" i="11"/>
  <c r="H110" i="11"/>
  <c r="H111" i="11"/>
  <c r="H112" i="11"/>
  <c r="H113" i="11"/>
  <c r="H114" i="11"/>
  <c r="H115" i="11"/>
  <c r="H118" i="11"/>
  <c r="H119" i="11"/>
  <c r="H120" i="11"/>
  <c r="H121" i="11"/>
  <c r="H122" i="11"/>
  <c r="U93" i="11"/>
  <c r="U101" i="11"/>
  <c r="U105" i="11"/>
  <c r="U109" i="11"/>
  <c r="U113" i="11"/>
  <c r="U119" i="11"/>
  <c r="W93" i="11"/>
  <c r="W94" i="11"/>
  <c r="W95" i="11"/>
  <c r="W97" i="11"/>
  <c r="W98" i="11"/>
  <c r="W99" i="11"/>
  <c r="W100" i="11"/>
  <c r="W101" i="11"/>
  <c r="W102" i="11"/>
  <c r="W103" i="11"/>
  <c r="W104" i="11"/>
  <c r="W105" i="11"/>
  <c r="W106" i="11"/>
  <c r="W107" i="11"/>
  <c r="W108" i="11"/>
  <c r="W109" i="11"/>
  <c r="W110" i="11"/>
  <c r="W111" i="11"/>
  <c r="W112" i="11"/>
  <c r="W113" i="11"/>
  <c r="W114" i="11"/>
  <c r="W115" i="11"/>
  <c r="W118" i="11"/>
  <c r="W119" i="11"/>
  <c r="AF121" i="11"/>
  <c r="W122" i="11"/>
  <c r="AD93" i="11"/>
  <c r="AD97" i="11"/>
  <c r="AD98" i="11"/>
  <c r="AD99" i="11"/>
  <c r="AD100" i="11"/>
  <c r="AD101" i="11"/>
  <c r="AD102" i="11"/>
  <c r="AD103" i="11"/>
  <c r="AD104" i="11"/>
  <c r="AD106" i="11"/>
  <c r="AD107" i="11"/>
  <c r="AD108" i="11"/>
  <c r="AD110" i="11"/>
  <c r="AD111" i="11"/>
  <c r="AD112" i="11"/>
  <c r="AD113" i="11"/>
  <c r="AD114" i="11"/>
  <c r="AD118" i="11"/>
  <c r="AD120" i="11"/>
  <c r="AD121" i="11"/>
  <c r="AD12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8" i="11"/>
  <c r="AS119" i="11"/>
  <c r="AS120" i="11"/>
  <c r="AS121" i="11"/>
  <c r="AS122" i="11"/>
  <c r="H123" i="11"/>
  <c r="H124" i="11"/>
  <c r="H125" i="11"/>
  <c r="H126" i="11"/>
  <c r="U123" i="11"/>
  <c r="W123" i="11"/>
  <c r="W124" i="11"/>
  <c r="W125" i="11"/>
  <c r="W126" i="11"/>
  <c r="AD123" i="11"/>
  <c r="AD124" i="11"/>
  <c r="AD125" i="11"/>
  <c r="AS123" i="11"/>
  <c r="AS124" i="11"/>
  <c r="AS125" i="11"/>
  <c r="AS126" i="11"/>
  <c r="H127" i="11"/>
  <c r="H128" i="11"/>
  <c r="H129" i="11"/>
  <c r="H130" i="11"/>
  <c r="W127" i="11"/>
  <c r="W128" i="11"/>
  <c r="W129" i="11"/>
  <c r="W130" i="11"/>
  <c r="AD127" i="11"/>
  <c r="AD128" i="11"/>
  <c r="AD129" i="11"/>
  <c r="AD130" i="11"/>
  <c r="AS127" i="11"/>
  <c r="AS128" i="11"/>
  <c r="AS129" i="11"/>
  <c r="AS130" i="11"/>
  <c r="H131" i="11"/>
  <c r="H132" i="11"/>
  <c r="H133" i="11"/>
  <c r="H134" i="11"/>
  <c r="W131" i="11"/>
  <c r="W132" i="11"/>
  <c r="W133" i="11"/>
  <c r="W134" i="11"/>
  <c r="AD133" i="11"/>
  <c r="AD134" i="11"/>
  <c r="AS131" i="11"/>
  <c r="AS132" i="11"/>
  <c r="AS133" i="11"/>
  <c r="AS134" i="11"/>
  <c r="H136" i="11"/>
  <c r="H137" i="11"/>
  <c r="H138" i="11"/>
  <c r="H139" i="11"/>
  <c r="U136" i="11"/>
  <c r="W136" i="11"/>
  <c r="W137" i="11"/>
  <c r="W138" i="11"/>
  <c r="W139" i="11"/>
  <c r="AD136" i="11"/>
  <c r="AD137" i="11"/>
  <c r="AD139" i="11"/>
  <c r="AS136" i="11"/>
  <c r="AS137" i="11"/>
  <c r="AS138" i="11"/>
  <c r="AS139" i="11"/>
  <c r="H140" i="11"/>
  <c r="H141" i="11"/>
  <c r="H142" i="11"/>
  <c r="H143" i="11"/>
  <c r="U140" i="11"/>
  <c r="W140" i="11"/>
  <c r="W141" i="11"/>
  <c r="W142" i="11"/>
  <c r="AD140" i="11"/>
  <c r="AD141" i="11"/>
  <c r="AD142" i="11"/>
  <c r="AS140" i="11"/>
  <c r="AS141" i="11"/>
  <c r="AS142" i="11"/>
  <c r="AS143" i="11"/>
  <c r="H144" i="11"/>
  <c r="H145" i="11"/>
  <c r="H146" i="11"/>
  <c r="H147" i="11"/>
  <c r="U144" i="11"/>
  <c r="W144" i="11"/>
  <c r="W145" i="11"/>
  <c r="W146" i="11"/>
  <c r="W147" i="11"/>
  <c r="AD144" i="11"/>
  <c r="AD145" i="11"/>
  <c r="AD146" i="11"/>
  <c r="AS144" i="11"/>
  <c r="AS145" i="11"/>
  <c r="AS146" i="11"/>
  <c r="AS147" i="11"/>
  <c r="H148" i="11"/>
  <c r="H149" i="11"/>
  <c r="U148" i="11"/>
  <c r="W148" i="11"/>
  <c r="AF149" i="11"/>
  <c r="AD149" i="11"/>
  <c r="AS148" i="11"/>
  <c r="AS149" i="11"/>
  <c r="H150" i="11"/>
  <c r="W150" i="11"/>
  <c r="AD150" i="11"/>
  <c r="AS150" i="11"/>
  <c r="H31" i="11"/>
  <c r="H32" i="11"/>
  <c r="H33" i="11"/>
  <c r="H34" i="11"/>
  <c r="H35" i="11"/>
  <c r="H36" i="11"/>
  <c r="W31" i="11"/>
  <c r="W32" i="11"/>
  <c r="W33" i="11"/>
  <c r="W34" i="11"/>
  <c r="W35" i="11"/>
  <c r="W36" i="11"/>
  <c r="AD31" i="11"/>
  <c r="AD32" i="11"/>
  <c r="AD34" i="11"/>
  <c r="AD35" i="11"/>
  <c r="AD36" i="11"/>
  <c r="AS31" i="11"/>
  <c r="AS32" i="11"/>
  <c r="AS33" i="11"/>
  <c r="AS34" i="11"/>
  <c r="AS35" i="11"/>
  <c r="AS36" i="11"/>
  <c r="H37" i="11"/>
  <c r="H38" i="11"/>
  <c r="H39" i="11"/>
  <c r="H40" i="11"/>
  <c r="H41" i="11"/>
  <c r="H42" i="11"/>
  <c r="W37" i="11"/>
  <c r="W38" i="11"/>
  <c r="W39" i="11"/>
  <c r="W40" i="11"/>
  <c r="W41" i="11"/>
  <c r="W42" i="11"/>
  <c r="AD37" i="11"/>
  <c r="AD38" i="11"/>
  <c r="AD40" i="11"/>
  <c r="AD41" i="11"/>
  <c r="AD42" i="11"/>
  <c r="AS37" i="11"/>
  <c r="AS38" i="11"/>
  <c r="AS39" i="11"/>
  <c r="AS40" i="11"/>
  <c r="AS41" i="11"/>
  <c r="AS42" i="11"/>
  <c r="H43" i="11"/>
  <c r="H44" i="11"/>
  <c r="H45" i="11"/>
  <c r="H47" i="11"/>
  <c r="H48" i="11"/>
  <c r="H49" i="11"/>
  <c r="W43" i="11"/>
  <c r="W44" i="11"/>
  <c r="W45" i="11"/>
  <c r="W47" i="11"/>
  <c r="W48" i="11"/>
  <c r="W49" i="11"/>
  <c r="AD44" i="11"/>
  <c r="AD45" i="11"/>
  <c r="AD47" i="11"/>
  <c r="AD49" i="11"/>
  <c r="AS43" i="11"/>
  <c r="AS44" i="11"/>
  <c r="AS45" i="11"/>
  <c r="AS47" i="11"/>
  <c r="AS48" i="11"/>
  <c r="AS49" i="11"/>
  <c r="H50" i="11"/>
  <c r="H51" i="11"/>
  <c r="H52" i="11"/>
  <c r="H53" i="11"/>
  <c r="H54" i="11"/>
  <c r="H55" i="11"/>
  <c r="W50" i="11"/>
  <c r="W51" i="11"/>
  <c r="W52" i="11"/>
  <c r="W53" i="11"/>
  <c r="W54" i="11"/>
  <c r="W55" i="11"/>
  <c r="AD50" i="11"/>
  <c r="AD51" i="11"/>
  <c r="AD52" i="11"/>
  <c r="AD54" i="11"/>
  <c r="AD55" i="11"/>
  <c r="AS50" i="11"/>
  <c r="AS51" i="11"/>
  <c r="AS52" i="11"/>
  <c r="AS53" i="11"/>
  <c r="AS54" i="11"/>
  <c r="AS55" i="11"/>
  <c r="H56" i="11"/>
  <c r="H57" i="11"/>
  <c r="H58" i="11"/>
  <c r="W56" i="11"/>
  <c r="W57" i="11"/>
  <c r="W58" i="11"/>
  <c r="AD57" i="11"/>
  <c r="AS56" i="11"/>
  <c r="AS57" i="11"/>
  <c r="AS58" i="11"/>
  <c r="H59" i="11"/>
  <c r="W59" i="11"/>
  <c r="AS59" i="11"/>
  <c r="H151" i="11"/>
  <c r="W151" i="11"/>
  <c r="AD151" i="11"/>
  <c r="AS151" i="11"/>
  <c r="AF92" i="11" l="1"/>
  <c r="AR92" i="11" s="1"/>
  <c r="AF73" i="11"/>
  <c r="AR73" i="11" s="1"/>
  <c r="AF130" i="11"/>
  <c r="AR130" i="11" s="1"/>
  <c r="AF58" i="11"/>
  <c r="AR58" i="11" s="1"/>
  <c r="AF43" i="11"/>
  <c r="AR43" i="11" s="1"/>
  <c r="AF139" i="11"/>
  <c r="AR139" i="11" s="1"/>
  <c r="AF114" i="11"/>
  <c r="AR114" i="11" s="1"/>
  <c r="AF98" i="11"/>
  <c r="AR98" i="11" s="1"/>
  <c r="AF91" i="11"/>
  <c r="AR91" i="11" s="1"/>
  <c r="AF42" i="11"/>
  <c r="AR42" i="11" s="1"/>
  <c r="AF115" i="11"/>
  <c r="AR115" i="11" s="1"/>
  <c r="AF39" i="11"/>
  <c r="AR39" i="11" s="1"/>
  <c r="AF138" i="11"/>
  <c r="AR138" i="11" s="1"/>
  <c r="AF128" i="11"/>
  <c r="AR128" i="11" s="1"/>
  <c r="AF113" i="11"/>
  <c r="AR113" i="11" s="1"/>
  <c r="AF97" i="11"/>
  <c r="AR97" i="11" s="1"/>
  <c r="AF90" i="11"/>
  <c r="AR90" i="11" s="1"/>
  <c r="AF71" i="11"/>
  <c r="AR71" i="11" s="1"/>
  <c r="AF137" i="11"/>
  <c r="AR137" i="11" s="1"/>
  <c r="AF127" i="11"/>
  <c r="AR127" i="11" s="1"/>
  <c r="AF112" i="11"/>
  <c r="AR112" i="11" s="1"/>
  <c r="AF95" i="11"/>
  <c r="AR95" i="11" s="1"/>
  <c r="AF89" i="11"/>
  <c r="AR89" i="11" s="1"/>
  <c r="AF69" i="11"/>
  <c r="AR69" i="11" s="1"/>
  <c r="AF136" i="11"/>
  <c r="AR136" i="11" s="1"/>
  <c r="AF87" i="11"/>
  <c r="AR87" i="11" s="1"/>
  <c r="AF36" i="11"/>
  <c r="AR36" i="11" s="1"/>
  <c r="AF35" i="11"/>
  <c r="AR35" i="11" s="1"/>
  <c r="AF93" i="11"/>
  <c r="AR93" i="11" s="1"/>
  <c r="AF67" i="11"/>
  <c r="AR67" i="11" s="1"/>
  <c r="AF109" i="11"/>
  <c r="AR109" i="11" s="1"/>
  <c r="AF85" i="11"/>
  <c r="AR85" i="11" s="1"/>
  <c r="AF66" i="11"/>
  <c r="AR66" i="11" s="1"/>
  <c r="AF151" i="11"/>
  <c r="AR151" i="11" s="1"/>
  <c r="AF33" i="11"/>
  <c r="AR33" i="11" s="1"/>
  <c r="AF126" i="11"/>
  <c r="AR126" i="11" s="1"/>
  <c r="AF108" i="11"/>
  <c r="AR108" i="11" s="1"/>
  <c r="AF65" i="11"/>
  <c r="AR65" i="11" s="1"/>
  <c r="AF41" i="11"/>
  <c r="AR41" i="11" s="1"/>
  <c r="AF32" i="11"/>
  <c r="AR32" i="11" s="1"/>
  <c r="AF145" i="11"/>
  <c r="AR145" i="11" s="1"/>
  <c r="AF134" i="11"/>
  <c r="AR134" i="11" s="1"/>
  <c r="AF125" i="11"/>
  <c r="AR125" i="11" s="1"/>
  <c r="AF83" i="11"/>
  <c r="AR83" i="11" s="1"/>
  <c r="AF64" i="11"/>
  <c r="AR64" i="11" s="1"/>
  <c r="AF59" i="11"/>
  <c r="AR59" i="11" s="1"/>
  <c r="AF55" i="11"/>
  <c r="AR55" i="11" s="1"/>
  <c r="AF124" i="11"/>
  <c r="AR124" i="11" s="1"/>
  <c r="AF63" i="11"/>
  <c r="AR63" i="11" s="1"/>
  <c r="AF99" i="11"/>
  <c r="AR99" i="11" s="1"/>
  <c r="AF132" i="11"/>
  <c r="AR132" i="11" s="1"/>
  <c r="AF123" i="11"/>
  <c r="AR123" i="11" s="1"/>
  <c r="AF105" i="11"/>
  <c r="AR105" i="11" s="1"/>
  <c r="AF53" i="11"/>
  <c r="AR53" i="11" s="1"/>
  <c r="AF131" i="11"/>
  <c r="AR131" i="11" s="1"/>
  <c r="AF104" i="11"/>
  <c r="AR104" i="11" s="1"/>
  <c r="AF78" i="11"/>
  <c r="AR78" i="11" s="1"/>
  <c r="AF48" i="11"/>
  <c r="AR48" i="11" s="1"/>
  <c r="AF49" i="11"/>
  <c r="AR49" i="11" s="1"/>
  <c r="AF142" i="11"/>
  <c r="AR142" i="11" s="1"/>
  <c r="AF102" i="11"/>
  <c r="AR102" i="11" s="1"/>
  <c r="AF76" i="11"/>
  <c r="AR76" i="11" s="1"/>
  <c r="AF141" i="11"/>
  <c r="AR141" i="11" s="1"/>
  <c r="AF47" i="11"/>
  <c r="AR47" i="11" s="1"/>
  <c r="AF119" i="11"/>
  <c r="AR119" i="11" s="1"/>
  <c r="AF118" i="11"/>
  <c r="AR118" i="11" s="1"/>
  <c r="AF100" i="11"/>
  <c r="AR100" i="11" s="1"/>
  <c r="AF74" i="11"/>
  <c r="AR74" i="11" s="1"/>
  <c r="V102" i="11"/>
  <c r="AU102" i="11" s="1"/>
  <c r="U76" i="11"/>
  <c r="V76" i="11" s="1"/>
  <c r="AU76" i="11" s="1"/>
  <c r="U39" i="11"/>
  <c r="V39" i="11" s="1"/>
  <c r="AU39" i="11" s="1"/>
  <c r="V98" i="11"/>
  <c r="AU98" i="11" s="1"/>
  <c r="U55" i="11"/>
  <c r="V55" i="11" s="1"/>
  <c r="AU55" i="11" s="1"/>
  <c r="U38" i="11"/>
  <c r="V38" i="11" s="1"/>
  <c r="AU38" i="11" s="1"/>
  <c r="V130" i="11"/>
  <c r="AU130" i="11" s="1"/>
  <c r="V95" i="11"/>
  <c r="AU95" i="11" s="1"/>
  <c r="U74" i="11"/>
  <c r="V74" i="11" s="1"/>
  <c r="V37" i="11"/>
  <c r="AU37" i="11" s="1"/>
  <c r="V129" i="11"/>
  <c r="AU129" i="11" s="1"/>
  <c r="U73" i="11"/>
  <c r="V73" i="11" s="1"/>
  <c r="AU73" i="11" s="1"/>
  <c r="U36" i="11"/>
  <c r="V36" i="11" s="1"/>
  <c r="AU36" i="11" s="1"/>
  <c r="V92" i="11"/>
  <c r="AU92" i="11" s="1"/>
  <c r="U35" i="11"/>
  <c r="V35" i="11" s="1"/>
  <c r="AU35" i="11" s="1"/>
  <c r="V150" i="11"/>
  <c r="AU150" i="11" s="1"/>
  <c r="V121" i="11"/>
  <c r="AU121" i="11" s="1"/>
  <c r="V91" i="11"/>
  <c r="AU91" i="11" s="1"/>
  <c r="U71" i="11"/>
  <c r="V71" i="11" s="1"/>
  <c r="V90" i="11"/>
  <c r="AU90" i="11" s="1"/>
  <c r="U69" i="11"/>
  <c r="V69" i="11" s="1"/>
  <c r="V119" i="11"/>
  <c r="AU119" i="11" s="1"/>
  <c r="V147" i="11"/>
  <c r="AU147" i="11" s="1"/>
  <c r="V89" i="11"/>
  <c r="AU89" i="11" s="1"/>
  <c r="U49" i="11"/>
  <c r="V49" i="11" s="1"/>
  <c r="AU49" i="11" s="1"/>
  <c r="U32" i="11"/>
  <c r="V32" i="11" s="1"/>
  <c r="AU32" i="11" s="1"/>
  <c r="V148" i="11"/>
  <c r="AU148" i="11" s="1"/>
  <c r="V115" i="11"/>
  <c r="AU115" i="11" s="1"/>
  <c r="V67" i="11"/>
  <c r="AU67" i="11" s="1"/>
  <c r="V109" i="11"/>
  <c r="AU109" i="11" s="1"/>
  <c r="V114" i="11"/>
  <c r="AU114" i="11" s="1"/>
  <c r="V86" i="11"/>
  <c r="AU86" i="11" s="1"/>
  <c r="U66" i="11"/>
  <c r="V66" i="11" s="1"/>
  <c r="AU66" i="11" s="1"/>
  <c r="U47" i="11"/>
  <c r="V47" i="11" s="1"/>
  <c r="AU47" i="11" s="1"/>
  <c r="V105" i="11"/>
  <c r="AU105" i="11" s="1"/>
  <c r="V142" i="11"/>
  <c r="AU142" i="11" s="1"/>
  <c r="U65" i="11"/>
  <c r="V65" i="11" s="1"/>
  <c r="U64" i="11"/>
  <c r="V64" i="11" s="1"/>
  <c r="AU64" i="11" s="1"/>
  <c r="V93" i="11"/>
  <c r="AU93" i="11" s="1"/>
  <c r="U63" i="11"/>
  <c r="V63" i="11" s="1"/>
  <c r="AU63" i="11" s="1"/>
  <c r="V43" i="11"/>
  <c r="AU43" i="11" s="1"/>
  <c r="U59" i="11"/>
  <c r="V59" i="11" s="1"/>
  <c r="U42" i="11"/>
  <c r="V42" i="11" s="1"/>
  <c r="AU42" i="11" s="1"/>
  <c r="V134" i="11"/>
  <c r="AU134" i="11" s="1"/>
  <c r="U78" i="11"/>
  <c r="V78" i="11" s="1"/>
  <c r="AU78" i="11" s="1"/>
  <c r="U58" i="11"/>
  <c r="V58" i="11" s="1"/>
  <c r="AU58" i="11" s="1"/>
  <c r="AF146" i="11"/>
  <c r="AF120" i="11"/>
  <c r="AR120" i="11" s="1"/>
  <c r="AF133" i="11"/>
  <c r="U151" i="11"/>
  <c r="V151" i="11" s="1"/>
  <c r="AF150" i="11"/>
  <c r="AF144" i="11"/>
  <c r="AF148" i="11"/>
  <c r="AF147" i="11"/>
  <c r="AF140" i="11"/>
  <c r="U52" i="11"/>
  <c r="V52" i="11" s="1"/>
  <c r="AF52" i="11"/>
  <c r="AR52" i="11" s="1"/>
  <c r="AF129" i="11"/>
  <c r="AF122" i="11"/>
  <c r="AF111" i="11"/>
  <c r="AR111" i="11" s="1"/>
  <c r="U56" i="11"/>
  <c r="V56" i="11" s="1"/>
  <c r="AF56" i="11"/>
  <c r="AF103" i="11"/>
  <c r="U44" i="11"/>
  <c r="V44" i="11" s="1"/>
  <c r="AF44" i="11"/>
  <c r="U57" i="11"/>
  <c r="V57" i="11" s="1"/>
  <c r="AF57" i="11"/>
  <c r="U77" i="11"/>
  <c r="V77" i="11" s="1"/>
  <c r="AF77" i="11"/>
  <c r="U75" i="11"/>
  <c r="V75" i="11" s="1"/>
  <c r="AF75" i="11"/>
  <c r="U53" i="11"/>
  <c r="V53" i="11" s="1"/>
  <c r="U48" i="11"/>
  <c r="V48" i="11" s="1"/>
  <c r="U33" i="11"/>
  <c r="V33" i="11" s="1"/>
  <c r="U34" i="11"/>
  <c r="V34" i="11" s="1"/>
  <c r="AF34" i="11"/>
  <c r="AF107" i="11"/>
  <c r="AF101" i="11"/>
  <c r="AF110" i="11"/>
  <c r="AF106" i="11"/>
  <c r="AF86" i="11"/>
  <c r="U31" i="11"/>
  <c r="V31" i="11" s="1"/>
  <c r="AF94" i="11"/>
  <c r="U68" i="11"/>
  <c r="V68" i="11" s="1"/>
  <c r="AF68" i="11"/>
  <c r="AF84" i="11"/>
  <c r="U80" i="11"/>
  <c r="V80" i="11" s="1"/>
  <c r="U79" i="11"/>
  <c r="V79" i="11" s="1"/>
  <c r="AF80" i="11"/>
  <c r="AF79" i="11"/>
  <c r="AR79" i="11" s="1"/>
  <c r="U51" i="11"/>
  <c r="V51" i="11" s="1"/>
  <c r="U72" i="11"/>
  <c r="V72" i="11" s="1"/>
  <c r="AF72" i="11"/>
  <c r="AF37" i="11"/>
  <c r="AR37" i="11" s="1"/>
  <c r="U54" i="11"/>
  <c r="V54" i="11" s="1"/>
  <c r="U50" i="11"/>
  <c r="V50" i="11" s="1"/>
  <c r="U45" i="11"/>
  <c r="V45" i="11" s="1"/>
  <c r="AF54" i="11"/>
  <c r="AF51" i="11"/>
  <c r="AF50" i="11"/>
  <c r="AF45" i="11"/>
  <c r="AR45" i="11" s="1"/>
  <c r="U40" i="11"/>
  <c r="V40" i="11" s="1"/>
  <c r="AF40" i="11"/>
  <c r="AF38" i="11"/>
  <c r="AF31" i="11"/>
  <c r="AR121" i="11"/>
  <c r="U83" i="11"/>
  <c r="V83" i="11" s="1"/>
  <c r="V110" i="11"/>
  <c r="V85" i="11"/>
  <c r="V108" i="11"/>
  <c r="V103" i="11"/>
  <c r="V87" i="11"/>
  <c r="U122" i="11"/>
  <c r="V113" i="11"/>
  <c r="V101" i="11"/>
  <c r="V84" i="11"/>
  <c r="V112" i="11"/>
  <c r="U111" i="11"/>
  <c r="U99" i="11"/>
  <c r="V120" i="11"/>
  <c r="V106" i="11"/>
  <c r="V94" i="11"/>
  <c r="V118" i="11"/>
  <c r="V104" i="11"/>
  <c r="V125" i="11"/>
  <c r="V123" i="11"/>
  <c r="V133" i="11"/>
  <c r="V132" i="11"/>
  <c r="V131" i="11"/>
  <c r="V138" i="11"/>
  <c r="V137" i="11"/>
  <c r="V136" i="11"/>
  <c r="V141" i="11"/>
  <c r="V140" i="11"/>
  <c r="V146" i="11"/>
  <c r="V145" i="11"/>
  <c r="V144" i="11"/>
  <c r="V149" i="11"/>
  <c r="AR149" i="11"/>
  <c r="U41" i="11"/>
  <c r="V41" i="11" s="1"/>
  <c r="V122" i="11" l="1"/>
  <c r="AU122" i="11" s="1"/>
  <c r="V99" i="11"/>
  <c r="AU99" i="11" s="1"/>
  <c r="V111" i="11"/>
  <c r="AU111" i="11" s="1"/>
  <c r="AU146" i="11"/>
  <c r="AU125" i="11"/>
  <c r="AU59" i="11"/>
  <c r="AU131" i="11"/>
  <c r="AU118" i="11"/>
  <c r="AU113" i="11"/>
  <c r="AU74" i="11"/>
  <c r="AU83" i="11"/>
  <c r="AU45" i="11"/>
  <c r="AU79" i="11"/>
  <c r="AU108" i="11"/>
  <c r="AU149" i="11"/>
  <c r="AU140" i="11"/>
  <c r="AU136" i="11"/>
  <c r="AU132" i="11"/>
  <c r="AU94" i="11"/>
  <c r="AU87" i="11"/>
  <c r="AU85" i="11"/>
  <c r="AU69" i="11"/>
  <c r="AU40" i="11"/>
  <c r="AU33" i="11"/>
  <c r="AU77" i="11"/>
  <c r="AU123" i="11"/>
  <c r="AU84" i="11"/>
  <c r="AU54" i="11"/>
  <c r="AU31" i="11"/>
  <c r="AU144" i="11"/>
  <c r="AU141" i="11"/>
  <c r="AU137" i="11"/>
  <c r="AU133" i="11"/>
  <c r="AU106" i="11"/>
  <c r="AU112" i="11"/>
  <c r="AU103" i="11"/>
  <c r="AU65" i="11"/>
  <c r="AU50" i="11"/>
  <c r="AU80" i="11"/>
  <c r="AU68" i="11"/>
  <c r="AU41" i="11"/>
  <c r="AU145" i="11"/>
  <c r="AU138" i="11"/>
  <c r="AU120" i="11"/>
  <c r="AU71" i="11"/>
  <c r="AU48" i="11"/>
  <c r="AU75" i="11"/>
  <c r="AU44" i="11"/>
  <c r="AU52" i="11"/>
  <c r="AU56" i="11"/>
  <c r="AU151" i="11"/>
  <c r="AU110" i="11"/>
  <c r="AU104" i="11"/>
  <c r="AU101" i="11"/>
  <c r="AU72" i="11"/>
  <c r="AU51" i="11"/>
  <c r="AU34" i="11"/>
  <c r="AU53" i="11"/>
  <c r="AU57" i="11"/>
  <c r="AR146" i="11"/>
  <c r="AR148" i="11"/>
  <c r="AR129" i="11"/>
  <c r="AR140" i="11"/>
  <c r="AR133" i="11"/>
  <c r="AR150" i="11"/>
  <c r="AR56" i="11"/>
  <c r="AR144" i="11"/>
  <c r="AR147" i="11"/>
  <c r="AR103" i="11"/>
  <c r="AR57" i="11"/>
  <c r="AR75" i="11"/>
  <c r="AR34" i="11"/>
  <c r="AR122" i="11"/>
  <c r="AR44" i="11"/>
  <c r="AR77" i="11"/>
  <c r="AR101" i="11"/>
  <c r="AR107" i="11"/>
  <c r="AR110" i="11"/>
  <c r="AR86" i="11"/>
  <c r="AR106" i="11"/>
  <c r="AR94" i="11"/>
  <c r="AR84" i="11"/>
  <c r="AR68" i="11"/>
  <c r="AR80" i="11"/>
  <c r="AR54" i="11"/>
  <c r="AR50" i="11"/>
  <c r="AR38" i="11"/>
  <c r="AR72" i="11"/>
  <c r="AR51" i="11"/>
  <c r="AR31" i="11"/>
  <c r="AR40" i="11"/>
  <c r="K1455" i="11"/>
  <c r="U16" i="11"/>
  <c r="U15" i="11"/>
  <c r="U13" i="11"/>
  <c r="U12" i="11"/>
  <c r="AD7" i="11"/>
  <c r="W7" i="11"/>
  <c r="H10" i="11"/>
  <c r="W10" i="11"/>
  <c r="AD10" i="11"/>
  <c r="AS10" i="11"/>
  <c r="AT10" i="11"/>
  <c r="AT19" i="11"/>
  <c r="AT20" i="11"/>
  <c r="AS19" i="11"/>
  <c r="AS20" i="11"/>
  <c r="AD19" i="11"/>
  <c r="AD20" i="11"/>
  <c r="W19" i="11"/>
  <c r="W20" i="11"/>
  <c r="U19" i="11"/>
  <c r="U20" i="11"/>
  <c r="H19" i="11"/>
  <c r="H20" i="11"/>
  <c r="AT21" i="11"/>
  <c r="AT22" i="11"/>
  <c r="AS21" i="11"/>
  <c r="AS22" i="11"/>
  <c r="AD21" i="11"/>
  <c r="AD22" i="11"/>
  <c r="W21" i="11"/>
  <c r="W22" i="11"/>
  <c r="U21" i="11"/>
  <c r="U22" i="11"/>
  <c r="H21" i="11"/>
  <c r="H22" i="11"/>
  <c r="AT27" i="11"/>
  <c r="AT28" i="11"/>
  <c r="AS27" i="11"/>
  <c r="AS28" i="11"/>
  <c r="AD27" i="11"/>
  <c r="AD28" i="11"/>
  <c r="W27" i="11"/>
  <c r="W28" i="11"/>
  <c r="U27" i="11"/>
  <c r="U28" i="11"/>
  <c r="H27" i="11"/>
  <c r="H28" i="11"/>
  <c r="AT29" i="11"/>
  <c r="AS29" i="11"/>
  <c r="AD29" i="11"/>
  <c r="W29" i="11"/>
  <c r="H29" i="11"/>
  <c r="AT30" i="11"/>
  <c r="AS30" i="11"/>
  <c r="AD30" i="11"/>
  <c r="W30" i="11"/>
  <c r="H30" i="11"/>
  <c r="H2" i="11"/>
  <c r="U2" i="11"/>
  <c r="W2" i="11"/>
  <c r="AD2" i="11"/>
  <c r="AS2" i="11"/>
  <c r="AT2" i="11"/>
  <c r="H3" i="11"/>
  <c r="H4" i="11"/>
  <c r="H5" i="11"/>
  <c r="H6" i="11"/>
  <c r="W3" i="11"/>
  <c r="W4" i="11"/>
  <c r="W5" i="11"/>
  <c r="W6" i="11"/>
  <c r="AD3" i="11"/>
  <c r="AD4" i="11"/>
  <c r="AD5" i="11"/>
  <c r="AD6" i="11"/>
  <c r="AS3" i="11"/>
  <c r="AS4" i="11"/>
  <c r="AS5" i="11"/>
  <c r="AS6" i="11"/>
  <c r="AT3" i="11"/>
  <c r="AT4" i="11"/>
  <c r="AT5" i="11"/>
  <c r="AT6" i="11"/>
  <c r="H7" i="11"/>
  <c r="H8" i="11"/>
  <c r="H9" i="11"/>
  <c r="H11" i="11"/>
  <c r="U11" i="11"/>
  <c r="W8" i="11"/>
  <c r="W9" i="11"/>
  <c r="W11" i="11"/>
  <c r="AD8" i="11"/>
  <c r="AD9" i="11"/>
  <c r="AS7" i="11"/>
  <c r="AS8" i="11"/>
  <c r="AS9" i="11"/>
  <c r="AS11" i="11"/>
  <c r="AT7" i="11"/>
  <c r="AT8" i="11"/>
  <c r="AT9" i="11"/>
  <c r="AT11" i="11"/>
  <c r="AE11" i="11" s="1"/>
  <c r="H12" i="11"/>
  <c r="H13" i="11"/>
  <c r="H14" i="11"/>
  <c r="H15" i="11"/>
  <c r="U14" i="11"/>
  <c r="W12" i="11"/>
  <c r="W13" i="11"/>
  <c r="W14" i="11"/>
  <c r="W15" i="11"/>
  <c r="AD12" i="11"/>
  <c r="AD13" i="11"/>
  <c r="AD15" i="11"/>
  <c r="AS12" i="11"/>
  <c r="AS13" i="11"/>
  <c r="AS14" i="11"/>
  <c r="AS15" i="11"/>
  <c r="AT12" i="11"/>
  <c r="AT13" i="11"/>
  <c r="AT14" i="11"/>
  <c r="AE14" i="11" s="1"/>
  <c r="AT15" i="11"/>
  <c r="H16" i="11"/>
  <c r="H17" i="11"/>
  <c r="U17" i="11"/>
  <c r="W16" i="11"/>
  <c r="W17" i="11"/>
  <c r="AD16" i="11"/>
  <c r="AD17" i="11"/>
  <c r="AS16" i="11"/>
  <c r="AS17" i="11"/>
  <c r="AT16" i="11"/>
  <c r="AT17" i="11"/>
  <c r="H18" i="11"/>
  <c r="U18" i="11"/>
  <c r="W18" i="11"/>
  <c r="AD18" i="11"/>
  <c r="AS18" i="11"/>
  <c r="AT18" i="11"/>
  <c r="AE18" i="11" s="1"/>
  <c r="AN1450" i="11" l="1"/>
  <c r="AN1449" i="11"/>
  <c r="AJ1449" i="11"/>
  <c r="AJ1450" i="11"/>
  <c r="AP1450" i="11"/>
  <c r="AL1450" i="11"/>
  <c r="AL1449" i="11"/>
  <c r="AP1449" i="11"/>
  <c r="AH1450" i="11"/>
  <c r="AH1449" i="11"/>
  <c r="AN1433" i="11"/>
  <c r="AJ1433" i="11"/>
  <c r="AL1433" i="11"/>
  <c r="AH1433" i="11"/>
  <c r="AP1433" i="11"/>
  <c r="AN1445" i="11"/>
  <c r="AJ1445" i="11"/>
  <c r="AL1446" i="11"/>
  <c r="AL1448" i="11"/>
  <c r="AH1443" i="11"/>
  <c r="AN1443" i="11"/>
  <c r="AH1447" i="11"/>
  <c r="AH1444" i="11"/>
  <c r="AN1448" i="11"/>
  <c r="AJ1448" i="11"/>
  <c r="AN1442" i="11"/>
  <c r="AP1442" i="11"/>
  <c r="AH1448" i="11"/>
  <c r="AL1443" i="11"/>
  <c r="AP1445" i="11"/>
  <c r="AH1445" i="11"/>
  <c r="AP1448" i="11"/>
  <c r="AN1444" i="11"/>
  <c r="AH1446" i="11"/>
  <c r="AN1447" i="11"/>
  <c r="AP1447" i="11"/>
  <c r="AJ1447" i="11"/>
  <c r="AN1446" i="11"/>
  <c r="AL1447" i="11"/>
  <c r="AH1442" i="11"/>
  <c r="AP1444" i="11"/>
  <c r="AJ1446" i="11"/>
  <c r="AP1446" i="11"/>
  <c r="AP1443" i="11"/>
  <c r="AJ1442" i="11"/>
  <c r="AL1442" i="11"/>
  <c r="AJ1443" i="11"/>
  <c r="AL1444" i="11"/>
  <c r="AJ1444" i="11"/>
  <c r="AL1445" i="11"/>
  <c r="AN1453" i="11"/>
  <c r="AJ1452" i="11"/>
  <c r="AN1452" i="11"/>
  <c r="AP1451" i="11"/>
  <c r="AL1451" i="11"/>
  <c r="AP1452" i="11"/>
  <c r="AP1453" i="11"/>
  <c r="AJ1451" i="11"/>
  <c r="AL1454" i="11"/>
  <c r="AL1453" i="11"/>
  <c r="AH1451" i="11"/>
  <c r="AH1454" i="11"/>
  <c r="AN1454" i="11"/>
  <c r="AJ1453" i="11"/>
  <c r="AH1453" i="11"/>
  <c r="AN1451" i="11"/>
  <c r="AH1452" i="11"/>
  <c r="AP1454" i="11"/>
  <c r="AJ1454" i="11"/>
  <c r="AL1452" i="11"/>
  <c r="AN1414" i="11"/>
  <c r="AH1414" i="11"/>
  <c r="AJ1414" i="11"/>
  <c r="AN1413" i="11"/>
  <c r="AP1413" i="11"/>
  <c r="AP1414" i="11"/>
  <c r="AH1413" i="11"/>
  <c r="AJ1413" i="11"/>
  <c r="AL1414" i="11"/>
  <c r="AL1413" i="11"/>
  <c r="AP1422" i="11"/>
  <c r="AL1422" i="11"/>
  <c r="AL1421" i="11"/>
  <c r="AN1422" i="11"/>
  <c r="AH1421" i="11"/>
  <c r="AH1422" i="11"/>
  <c r="AP1421" i="11"/>
  <c r="AJ1422" i="11"/>
  <c r="AJ1421" i="11"/>
  <c r="AN1421" i="11"/>
  <c r="AJ1436" i="11"/>
  <c r="AP1432" i="11"/>
  <c r="AJ1434" i="11"/>
  <c r="AH1439" i="11"/>
  <c r="AJ1431" i="11"/>
  <c r="AN1431" i="11"/>
  <c r="AH1437" i="11"/>
  <c r="AN1441" i="11"/>
  <c r="AN1440" i="11"/>
  <c r="AP1438" i="11"/>
  <c r="AN1439" i="11"/>
  <c r="AJ1439" i="11"/>
  <c r="AP1429" i="11"/>
  <c r="AL1429" i="11"/>
  <c r="AL1437" i="11"/>
  <c r="AP1428" i="11"/>
  <c r="AL1434" i="11"/>
  <c r="AN1428" i="11"/>
  <c r="AH1438" i="11"/>
  <c r="AJ1429" i="11"/>
  <c r="AH1434" i="11"/>
  <c r="AP1441" i="11"/>
  <c r="AN1437" i="11"/>
  <c r="AH1440" i="11"/>
  <c r="AL1432" i="11"/>
  <c r="AL1428" i="11"/>
  <c r="AL1431" i="11"/>
  <c r="AL1435" i="11"/>
  <c r="AH1431" i="11"/>
  <c r="AJ1437" i="11"/>
  <c r="AH1430" i="11"/>
  <c r="AP1435" i="11"/>
  <c r="AP1431" i="11"/>
  <c r="AJ1428" i="11"/>
  <c r="AJ1438" i="11"/>
  <c r="AH1436" i="11"/>
  <c r="AL1436" i="11"/>
  <c r="AN1432" i="11"/>
  <c r="AJ1440" i="11"/>
  <c r="AL1441" i="11"/>
  <c r="AN1438" i="11"/>
  <c r="AH1432" i="11"/>
  <c r="AL1430" i="11"/>
  <c r="AP1430" i="11"/>
  <c r="AJ1432" i="11"/>
  <c r="AP1434" i="11"/>
  <c r="AJ1441" i="11"/>
  <c r="AH1428" i="11"/>
  <c r="AL1439" i="11"/>
  <c r="AN1434" i="11"/>
  <c r="AN1429" i="11"/>
  <c r="AN1436" i="11"/>
  <c r="AJ1435" i="11"/>
  <c r="AL1438" i="11"/>
  <c r="AJ1430" i="11"/>
  <c r="AH1441" i="11"/>
  <c r="AP1437" i="11"/>
  <c r="AN1430" i="11"/>
  <c r="AL1440" i="11"/>
  <c r="AH1435" i="11"/>
  <c r="AP1436" i="11"/>
  <c r="AP1440" i="11"/>
  <c r="AH1429" i="11"/>
  <c r="AP1439" i="11"/>
  <c r="AN1435" i="11"/>
  <c r="AL1398" i="11"/>
  <c r="AH1398" i="11"/>
  <c r="AJ1398" i="11"/>
  <c r="AN1398" i="11"/>
  <c r="AP1398" i="11"/>
  <c r="AJ1392" i="11"/>
  <c r="AH1392" i="11"/>
  <c r="AL1392" i="11"/>
  <c r="AP1392" i="11"/>
  <c r="AN1392" i="11"/>
  <c r="AH1387" i="11"/>
  <c r="AL1387" i="11"/>
  <c r="AJ1387" i="11"/>
  <c r="AP1387" i="11"/>
  <c r="AN1387" i="11"/>
  <c r="AN1424" i="11"/>
  <c r="AN1419" i="11"/>
  <c r="AN1408" i="11"/>
  <c r="AN1420" i="11"/>
  <c r="AP1424" i="11"/>
  <c r="AH1418" i="11"/>
  <c r="AP1420" i="11"/>
  <c r="AL1408" i="11"/>
  <c r="AN1427" i="11"/>
  <c r="AL1409" i="11"/>
  <c r="AH1407" i="11"/>
  <c r="AH1403" i="11"/>
  <c r="AN1423" i="11"/>
  <c r="AP1405" i="11"/>
  <c r="AJ1407" i="11"/>
  <c r="AH1408" i="11"/>
  <c r="AN1412" i="11"/>
  <c r="AJ1401" i="11"/>
  <c r="AJ1412" i="11"/>
  <c r="AJ1415" i="11"/>
  <c r="AJ1397" i="11"/>
  <c r="AP1410" i="11"/>
  <c r="AN1404" i="11"/>
  <c r="AL1401" i="11"/>
  <c r="AH1409" i="11"/>
  <c r="AP1400" i="11"/>
  <c r="AP1416" i="11"/>
  <c r="AL1399" i="11"/>
  <c r="AN1397" i="11"/>
  <c r="AP1426" i="11"/>
  <c r="AL1420" i="11"/>
  <c r="AN1399" i="11"/>
  <c r="AL1427" i="11"/>
  <c r="AN1425" i="11"/>
  <c r="AN1407" i="11"/>
  <c r="AL1407" i="11"/>
  <c r="AP1415" i="11"/>
  <c r="AJ1403" i="11"/>
  <c r="AH1399" i="11"/>
  <c r="AL1411" i="11"/>
  <c r="AH1415" i="11"/>
  <c r="AN1400" i="11"/>
  <c r="AL1412" i="11"/>
  <c r="AL1419" i="11"/>
  <c r="AP1403" i="11"/>
  <c r="AH1397" i="11"/>
  <c r="AJ1426" i="11"/>
  <c r="AH1426" i="11"/>
  <c r="AH1416" i="11"/>
  <c r="AN1418" i="11"/>
  <c r="AL1403" i="11"/>
  <c r="AL1418" i="11"/>
  <c r="AL1415" i="11"/>
  <c r="AJ1427" i="11"/>
  <c r="AP1404" i="11"/>
  <c r="AN1401" i="11"/>
  <c r="AP1425" i="11"/>
  <c r="AH1411" i="11"/>
  <c r="AL1400" i="11"/>
  <c r="AJ1402" i="11"/>
  <c r="AH1406" i="11"/>
  <c r="AP1402" i="11"/>
  <c r="AH1425" i="11"/>
  <c r="AP1417" i="11"/>
  <c r="AJ1424" i="11"/>
  <c r="AJ1405" i="11"/>
  <c r="AN1426" i="11"/>
  <c r="AP1412" i="11"/>
  <c r="AN1402" i="11"/>
  <c r="AL1426" i="11"/>
  <c r="AH1424" i="11"/>
  <c r="AH1423" i="11"/>
  <c r="AL1397" i="11"/>
  <c r="AL1425" i="11"/>
  <c r="AJ1411" i="11"/>
  <c r="AH1404" i="11"/>
  <c r="AP1408" i="11"/>
  <c r="AN1417" i="11"/>
  <c r="AP1411" i="11"/>
  <c r="AN1410" i="11"/>
  <c r="AL1423" i="11"/>
  <c r="AN1403" i="11"/>
  <c r="AP1397" i="11"/>
  <c r="AP1427" i="11"/>
  <c r="AJ1418" i="11"/>
  <c r="AL1402" i="11"/>
  <c r="AL1424" i="11"/>
  <c r="AH1410" i="11"/>
  <c r="AJ1400" i="11"/>
  <c r="AJ1423" i="11"/>
  <c r="AJ1406" i="11"/>
  <c r="AP1418" i="11"/>
  <c r="AN1411" i="11"/>
  <c r="AJ1417" i="11"/>
  <c r="AH1401" i="11"/>
  <c r="AH1412" i="11"/>
  <c r="AP1406" i="11"/>
  <c r="AL1405" i="11"/>
  <c r="AP1423" i="11"/>
  <c r="AP1419" i="11"/>
  <c r="AN1415" i="11"/>
  <c r="AP1401" i="11"/>
  <c r="AJ1404" i="11"/>
  <c r="AN1405" i="11"/>
  <c r="AP1407" i="11"/>
  <c r="AJ1399" i="11"/>
  <c r="AL1404" i="11"/>
  <c r="AJ1409" i="11"/>
  <c r="AH1400" i="11"/>
  <c r="AH1419" i="11"/>
  <c r="AJ1420" i="11"/>
  <c r="AH1405" i="11"/>
  <c r="AP1399" i="11"/>
  <c r="AL1417" i="11"/>
  <c r="AN1416" i="11"/>
  <c r="AN1409" i="11"/>
  <c r="AJ1408" i="11"/>
  <c r="AJ1425" i="11"/>
  <c r="AJ1416" i="11"/>
  <c r="AH1427" i="11"/>
  <c r="AJ1410" i="11"/>
  <c r="AH1417" i="11"/>
  <c r="AP1409" i="11"/>
  <c r="AJ1419" i="11"/>
  <c r="AH1420" i="11"/>
  <c r="AL1406" i="11"/>
  <c r="AL1410" i="11"/>
  <c r="AH1402" i="11"/>
  <c r="AL1416" i="11"/>
  <c r="AN1406" i="11"/>
  <c r="AN1378" i="11"/>
  <c r="AH1378" i="11"/>
  <c r="AL1378" i="11"/>
  <c r="AP1378" i="11"/>
  <c r="AJ1378" i="11"/>
  <c r="AN1393" i="11"/>
  <c r="AH1390" i="11"/>
  <c r="AP1396" i="11"/>
  <c r="AH1396" i="11"/>
  <c r="AJ1374" i="11"/>
  <c r="AH1386" i="11"/>
  <c r="AP1384" i="11"/>
  <c r="AP1383" i="11"/>
  <c r="AP1389" i="11"/>
  <c r="AP1393" i="11"/>
  <c r="AJ1390" i="11"/>
  <c r="AJ1372" i="11"/>
  <c r="AL1388" i="11"/>
  <c r="AP1377" i="11"/>
  <c r="AP1381" i="11"/>
  <c r="AH1393" i="11"/>
  <c r="AP1372" i="11"/>
  <c r="AL1381" i="11"/>
  <c r="AH1374" i="11"/>
  <c r="AP1385" i="11"/>
  <c r="AH1377" i="11"/>
  <c r="AP1379" i="11"/>
  <c r="AH1383" i="11"/>
  <c r="AN1379" i="11"/>
  <c r="AN1385" i="11"/>
  <c r="AN1390" i="11"/>
  <c r="AN1380" i="11"/>
  <c r="AL1386" i="11"/>
  <c r="AH1380" i="11"/>
  <c r="AN1382" i="11"/>
  <c r="AN1376" i="11"/>
  <c r="AN1373" i="11"/>
  <c r="AH1388" i="11"/>
  <c r="AH1379" i="11"/>
  <c r="AN1375" i="11"/>
  <c r="AN1394" i="11"/>
  <c r="AL1391" i="11"/>
  <c r="AN1386" i="11"/>
  <c r="AL1377" i="11"/>
  <c r="AJ1382" i="11"/>
  <c r="AN1391" i="11"/>
  <c r="AL1393" i="11"/>
  <c r="AH1375" i="11"/>
  <c r="AH1391" i="11"/>
  <c r="AL1382" i="11"/>
  <c r="AL1379" i="11"/>
  <c r="AJ1377" i="11"/>
  <c r="AJ1373" i="11"/>
  <c r="AH1373" i="11"/>
  <c r="AL1376" i="11"/>
  <c r="AP1373" i="11"/>
  <c r="AH1389" i="11"/>
  <c r="AH1395" i="11"/>
  <c r="AP1374" i="11"/>
  <c r="AJ1389" i="11"/>
  <c r="AJ1375" i="11"/>
  <c r="AJ1388" i="11"/>
  <c r="AJ1376" i="11"/>
  <c r="AN1377" i="11"/>
  <c r="AJ1386" i="11"/>
  <c r="AL1373" i="11"/>
  <c r="AN1384" i="11"/>
  <c r="AL1394" i="11"/>
  <c r="AP1382" i="11"/>
  <c r="AJ1381" i="11"/>
  <c r="AJ1391" i="11"/>
  <c r="AH1376" i="11"/>
  <c r="AL1372" i="11"/>
  <c r="AH1382" i="11"/>
  <c r="AL1375" i="11"/>
  <c r="AJ1385" i="11"/>
  <c r="AL1395" i="11"/>
  <c r="AP1394" i="11"/>
  <c r="AJ1396" i="11"/>
  <c r="AP1390" i="11"/>
  <c r="AN1372" i="11"/>
  <c r="AH1381" i="11"/>
  <c r="AH1372" i="11"/>
  <c r="AH1385" i="11"/>
  <c r="AJ1395" i="11"/>
  <c r="AJ1393" i="11"/>
  <c r="AL1380" i="11"/>
  <c r="AP1388" i="11"/>
  <c r="AP1380" i="11"/>
  <c r="AL1383" i="11"/>
  <c r="AP1375" i="11"/>
  <c r="AN1383" i="11"/>
  <c r="AJ1383" i="11"/>
  <c r="AN1381" i="11"/>
  <c r="AN1388" i="11"/>
  <c r="AN1396" i="11"/>
  <c r="AP1386" i="11"/>
  <c r="AP1391" i="11"/>
  <c r="AL1396" i="11"/>
  <c r="AH1384" i="11"/>
  <c r="AP1376" i="11"/>
  <c r="AP1395" i="11"/>
  <c r="AJ1394" i="11"/>
  <c r="AN1395" i="11"/>
  <c r="AL1385" i="11"/>
  <c r="AL1390" i="11"/>
  <c r="AN1389" i="11"/>
  <c r="AJ1380" i="11"/>
  <c r="AN1374" i="11"/>
  <c r="AL1374" i="11"/>
  <c r="AL1384" i="11"/>
  <c r="AJ1384" i="11"/>
  <c r="AH1394" i="11"/>
  <c r="AL1389" i="11"/>
  <c r="AJ1379" i="11"/>
  <c r="AJ1357" i="11"/>
  <c r="AN1356" i="11"/>
  <c r="AP1357" i="11"/>
  <c r="AL1356" i="11"/>
  <c r="AH1357" i="11"/>
  <c r="AH1356" i="11"/>
  <c r="AP1356" i="11"/>
  <c r="AL1357" i="11"/>
  <c r="AJ1356" i="11"/>
  <c r="AN1357" i="11"/>
  <c r="AH1365" i="11"/>
  <c r="AL1365" i="11"/>
  <c r="AN1365" i="11"/>
  <c r="AP1365" i="11"/>
  <c r="AJ1365" i="11"/>
  <c r="AN1347" i="11"/>
  <c r="AL1347" i="11"/>
  <c r="AJ1347" i="11"/>
  <c r="AH1347" i="11"/>
  <c r="AP1347" i="11"/>
  <c r="AJ1360" i="11"/>
  <c r="AL1354" i="11"/>
  <c r="AN1361" i="11"/>
  <c r="AH1361" i="11"/>
  <c r="AJ1358" i="11"/>
  <c r="AH1360" i="11"/>
  <c r="AN1367" i="11"/>
  <c r="AP1364" i="11"/>
  <c r="AN1368" i="11"/>
  <c r="AL1369" i="11"/>
  <c r="AP1367" i="11"/>
  <c r="AJ1362" i="11"/>
  <c r="AJ1363" i="11"/>
  <c r="AP1370" i="11"/>
  <c r="AN1358" i="11"/>
  <c r="AH1358" i="11"/>
  <c r="AH1359" i="11"/>
  <c r="AL1358" i="11"/>
  <c r="AP1363" i="11"/>
  <c r="AJ1371" i="11"/>
  <c r="AN1364" i="11"/>
  <c r="AJ1361" i="11"/>
  <c r="AP1360" i="11"/>
  <c r="AL1371" i="11"/>
  <c r="AJ1370" i="11"/>
  <c r="AP1359" i="11"/>
  <c r="AP1369" i="11"/>
  <c r="AN1359" i="11"/>
  <c r="AP1362" i="11"/>
  <c r="AJ1369" i="11"/>
  <c r="AJ1354" i="11"/>
  <c r="AN1354" i="11"/>
  <c r="AH1371" i="11"/>
  <c r="AP1366" i="11"/>
  <c r="AP1354" i="11"/>
  <c r="AN1370" i="11"/>
  <c r="AP1361" i="11"/>
  <c r="AH1370" i="11"/>
  <c r="AH1366" i="11"/>
  <c r="AN1371" i="11"/>
  <c r="AJ1364" i="11"/>
  <c r="AL1361" i="11"/>
  <c r="AL1362" i="11"/>
  <c r="AN1363" i="11"/>
  <c r="AH1362" i="11"/>
  <c r="AN1369" i="11"/>
  <c r="AN1362" i="11"/>
  <c r="AH1369" i="11"/>
  <c r="AH1368" i="11"/>
  <c r="AL1364" i="11"/>
  <c r="AN1360" i="11"/>
  <c r="AL1359" i="11"/>
  <c r="AH1363" i="11"/>
  <c r="AH1367" i="11"/>
  <c r="AJ1366" i="11"/>
  <c r="AP1368" i="11"/>
  <c r="AL1366" i="11"/>
  <c r="AL1355" i="11"/>
  <c r="AH1364" i="11"/>
  <c r="AP1355" i="11"/>
  <c r="AH1355" i="11"/>
  <c r="AP1358" i="11"/>
  <c r="AH1354" i="11"/>
  <c r="AJ1367" i="11"/>
  <c r="AJ1368" i="11"/>
  <c r="AN1366" i="11"/>
  <c r="AN1355" i="11"/>
  <c r="AL1360" i="11"/>
  <c r="AJ1359" i="11"/>
  <c r="AL1370" i="11"/>
  <c r="AP1371" i="11"/>
  <c r="AJ1355" i="11"/>
  <c r="AL1368" i="11"/>
  <c r="AL1367" i="11"/>
  <c r="AL1363" i="11"/>
  <c r="AN1334" i="11"/>
  <c r="AH1334" i="11"/>
  <c r="AL1334" i="11"/>
  <c r="AJ1334" i="11"/>
  <c r="AP1334" i="11"/>
  <c r="AP1327" i="11"/>
  <c r="AH1327" i="11"/>
  <c r="AL1327" i="11"/>
  <c r="AJ1327" i="11"/>
  <c r="AN1327" i="11"/>
  <c r="AL1326" i="11"/>
  <c r="AJ1326" i="11"/>
  <c r="AH1326" i="11"/>
  <c r="AN1326" i="11"/>
  <c r="AP1326" i="11"/>
  <c r="AH1319" i="11"/>
  <c r="AP1253" i="11"/>
  <c r="AJ1319" i="11"/>
  <c r="AN1253" i="11"/>
  <c r="AL1319" i="11"/>
  <c r="AL1253" i="11"/>
  <c r="AN1319" i="11"/>
  <c r="AJ1253" i="11"/>
  <c r="AP1319" i="11"/>
  <c r="AH1253" i="11"/>
  <c r="AP1296" i="11"/>
  <c r="AN1296" i="11"/>
  <c r="AL1296" i="11"/>
  <c r="AJ1296" i="11"/>
  <c r="AH1296" i="11"/>
  <c r="AL1344" i="11"/>
  <c r="AL1312" i="11"/>
  <c r="AN1312" i="11"/>
  <c r="AP1337" i="11"/>
  <c r="AN1331" i="11"/>
  <c r="AP1351" i="11"/>
  <c r="AN1320" i="11"/>
  <c r="AH1337" i="11"/>
  <c r="AH1343" i="11"/>
  <c r="AN1351" i="11"/>
  <c r="AH1353" i="11"/>
  <c r="AL1339" i="11"/>
  <c r="AJ1314" i="11"/>
  <c r="AP1348" i="11"/>
  <c r="AL1340" i="11"/>
  <c r="AP1313" i="11"/>
  <c r="AH1333" i="11"/>
  <c r="AP1321" i="11"/>
  <c r="AP1315" i="11"/>
  <c r="AH1350" i="11"/>
  <c r="AH1316" i="11"/>
  <c r="AN1350" i="11"/>
  <c r="AJ1315" i="11"/>
  <c r="AH1321" i="11"/>
  <c r="AJ1312" i="11"/>
  <c r="AN1345" i="11"/>
  <c r="AJ1336" i="11"/>
  <c r="AN1315" i="11"/>
  <c r="AN1348" i="11"/>
  <c r="AL1345" i="11"/>
  <c r="AJ1320" i="11"/>
  <c r="AN1343" i="11"/>
  <c r="AN1352" i="11"/>
  <c r="AL1323" i="11"/>
  <c r="AN1322" i="11"/>
  <c r="AJ1328" i="11"/>
  <c r="AJ1331" i="11"/>
  <c r="AH1322" i="11"/>
  <c r="AJ1316" i="11"/>
  <c r="AJ1340" i="11"/>
  <c r="AP1316" i="11"/>
  <c r="AL1318" i="11"/>
  <c r="AJ1321" i="11"/>
  <c r="AL1351" i="11"/>
  <c r="AP1352" i="11"/>
  <c r="AJ1313" i="11"/>
  <c r="AJ1351" i="11"/>
  <c r="AH1346" i="11"/>
  <c r="AH1330" i="11"/>
  <c r="AH1348" i="11"/>
  <c r="AP1318" i="11"/>
  <c r="AN1335" i="11"/>
  <c r="AN1328" i="11"/>
  <c r="AL1331" i="11"/>
  <c r="AH1314" i="11"/>
  <c r="AH1323" i="11"/>
  <c r="AN1325" i="11"/>
  <c r="AP1346" i="11"/>
  <c r="AH1312" i="11"/>
  <c r="AN1344" i="11"/>
  <c r="AP1350" i="11"/>
  <c r="AJ1333" i="11"/>
  <c r="AL1348" i="11"/>
  <c r="AJ1346" i="11"/>
  <c r="AJ1349" i="11"/>
  <c r="AN1342" i="11"/>
  <c r="AH1320" i="11"/>
  <c r="AH1328" i="11"/>
  <c r="AL1317" i="11"/>
  <c r="AN1346" i="11"/>
  <c r="AP1340" i="11"/>
  <c r="AL1311" i="11"/>
  <c r="AL1346" i="11"/>
  <c r="AH1311" i="11"/>
  <c r="AJ1341" i="11"/>
  <c r="AJ1329" i="11"/>
  <c r="AP1332" i="11"/>
  <c r="AJ1339" i="11"/>
  <c r="AN1323" i="11"/>
  <c r="AN1332" i="11"/>
  <c r="AL1329" i="11"/>
  <c r="AP1323" i="11"/>
  <c r="AN1336" i="11"/>
  <c r="AN1353" i="11"/>
  <c r="AJ1322" i="11"/>
  <c r="AH1351" i="11"/>
  <c r="AL1336" i="11"/>
  <c r="AP1339" i="11"/>
  <c r="AH1352" i="11"/>
  <c r="AP1333" i="11"/>
  <c r="AP1330" i="11"/>
  <c r="AH1335" i="11"/>
  <c r="AJ1325" i="11"/>
  <c r="AP1335" i="11"/>
  <c r="AJ1317" i="11"/>
  <c r="AN1339" i="11"/>
  <c r="AJ1345" i="11"/>
  <c r="AJ1323" i="11"/>
  <c r="AP1349" i="11"/>
  <c r="AH1349" i="11"/>
  <c r="AP1336" i="11"/>
  <c r="AP1325" i="11"/>
  <c r="AL1320" i="11"/>
  <c r="AP1341" i="11"/>
  <c r="AP1344" i="11"/>
  <c r="AN1313" i="11"/>
  <c r="AL1349" i="11"/>
  <c r="AH1325" i="11"/>
  <c r="AL1341" i="11"/>
  <c r="AL1332" i="11"/>
  <c r="AP1345" i="11"/>
  <c r="AH1318" i="11"/>
  <c r="AJ1318" i="11"/>
  <c r="AJ1348" i="11"/>
  <c r="AH1332" i="11"/>
  <c r="AP1324" i="11"/>
  <c r="AJ1335" i="11"/>
  <c r="AH1342" i="11"/>
  <c r="AH1313" i="11"/>
  <c r="AJ1344" i="11"/>
  <c r="AJ1353" i="11"/>
  <c r="AL1343" i="11"/>
  <c r="AL1353" i="11"/>
  <c r="AH1344" i="11"/>
  <c r="AH1339" i="11"/>
  <c r="AL1338" i="11"/>
  <c r="AH1317" i="11"/>
  <c r="AL1321" i="11"/>
  <c r="AN1316" i="11"/>
  <c r="AP1322" i="11"/>
  <c r="AP1328" i="11"/>
  <c r="AL1314" i="11"/>
  <c r="AJ1311" i="11"/>
  <c r="AN1321" i="11"/>
  <c r="AL1313" i="11"/>
  <c r="AJ1330" i="11"/>
  <c r="AP1320" i="11"/>
  <c r="AN1317" i="11"/>
  <c r="AP1311" i="11"/>
  <c r="AH1345" i="11"/>
  <c r="AH1340" i="11"/>
  <c r="AP1343" i="11"/>
  <c r="AJ1352" i="11"/>
  <c r="AL1350" i="11"/>
  <c r="AH1331" i="11"/>
  <c r="AN1329" i="11"/>
  <c r="AL1316" i="11"/>
  <c r="AN1314" i="11"/>
  <c r="AP1314" i="11"/>
  <c r="AP1353" i="11"/>
  <c r="AJ1332" i="11"/>
  <c r="AJ1337" i="11"/>
  <c r="AN1340" i="11"/>
  <c r="AN1337" i="11"/>
  <c r="AH1338" i="11"/>
  <c r="AL1315" i="11"/>
  <c r="AN1318" i="11"/>
  <c r="AP1342" i="11"/>
  <c r="AN1341" i="11"/>
  <c r="AL1333" i="11"/>
  <c r="AN1324" i="11"/>
  <c r="AP1312" i="11"/>
  <c r="AL1324" i="11"/>
  <c r="AL1322" i="11"/>
  <c r="AJ1338" i="11"/>
  <c r="AH1336" i="11"/>
  <c r="AL1352" i="11"/>
  <c r="AL1325" i="11"/>
  <c r="AN1333" i="11"/>
  <c r="AN1311" i="11"/>
  <c r="AJ1342" i="11"/>
  <c r="AN1330" i="11"/>
  <c r="AJ1343" i="11"/>
  <c r="AJ1324" i="11"/>
  <c r="AP1331" i="11"/>
  <c r="AL1328" i="11"/>
  <c r="AP1329" i="11"/>
  <c r="AL1330" i="11"/>
  <c r="AH1341" i="11"/>
  <c r="AP1338" i="11"/>
  <c r="AH1329" i="11"/>
  <c r="AL1335" i="11"/>
  <c r="AN1338" i="11"/>
  <c r="AP1317" i="11"/>
  <c r="AH1315" i="11"/>
  <c r="AL1342" i="11"/>
  <c r="AL1337" i="11"/>
  <c r="AH1324" i="11"/>
  <c r="AJ1350" i="11"/>
  <c r="AN1349" i="11"/>
  <c r="AP1304" i="11"/>
  <c r="AH1304" i="11"/>
  <c r="AJ1304" i="11"/>
  <c r="AN1304" i="11"/>
  <c r="AN1303" i="11"/>
  <c r="AJ1303" i="11"/>
  <c r="AP1303" i="11"/>
  <c r="AH1303" i="11"/>
  <c r="AL1303" i="11"/>
  <c r="AL1304" i="11"/>
  <c r="AN1301" i="11"/>
  <c r="AL1310" i="11"/>
  <c r="AP1295" i="11"/>
  <c r="AH1300" i="11"/>
  <c r="AN1307" i="11"/>
  <c r="AJ1305" i="11"/>
  <c r="AP1300" i="11"/>
  <c r="AN1302" i="11"/>
  <c r="AL1297" i="11"/>
  <c r="AN1294" i="11"/>
  <c r="AL1306" i="11"/>
  <c r="AL1309" i="11"/>
  <c r="AJ1299" i="11"/>
  <c r="AH1295" i="11"/>
  <c r="AH1293" i="11"/>
  <c r="AL1294" i="11"/>
  <c r="AJ1309" i="11"/>
  <c r="AH1309" i="11"/>
  <c r="AL1302" i="11"/>
  <c r="AJ1307" i="11"/>
  <c r="AP1308" i="11"/>
  <c r="AJ1292" i="11"/>
  <c r="AH1302" i="11"/>
  <c r="AN1306" i="11"/>
  <c r="AL1299" i="11"/>
  <c r="AP1309" i="11"/>
  <c r="AJ1301" i="11"/>
  <c r="AJ1297" i="11"/>
  <c r="AH1301" i="11"/>
  <c r="AL1298" i="11"/>
  <c r="AJ1295" i="11"/>
  <c r="AJ1293" i="11"/>
  <c r="AP1293" i="11"/>
  <c r="AP1302" i="11"/>
  <c r="AN1310" i="11"/>
  <c r="AH1297" i="11"/>
  <c r="AP1298" i="11"/>
  <c r="AN1293" i="11"/>
  <c r="AH1306" i="11"/>
  <c r="AJ1308" i="11"/>
  <c r="AH1298" i="11"/>
  <c r="AH1310" i="11"/>
  <c r="AP1301" i="11"/>
  <c r="AP1310" i="11"/>
  <c r="AN1297" i="11"/>
  <c r="AL1300" i="11"/>
  <c r="AN1292" i="11"/>
  <c r="AP1307" i="11"/>
  <c r="AN1295" i="11"/>
  <c r="AH1307" i="11"/>
  <c r="AL1308" i="11"/>
  <c r="AN1305" i="11"/>
  <c r="AN1309" i="11"/>
  <c r="AH1299" i="11"/>
  <c r="AN1299" i="11"/>
  <c r="AL1293" i="11"/>
  <c r="AL1292" i="11"/>
  <c r="AL1301" i="11"/>
  <c r="AL1305" i="11"/>
  <c r="AJ1298" i="11"/>
  <c r="AP1299" i="11"/>
  <c r="AH1292" i="11"/>
  <c r="AL1307" i="11"/>
  <c r="AP1306" i="11"/>
  <c r="AN1300" i="11"/>
  <c r="AJ1300" i="11"/>
  <c r="AH1294" i="11"/>
  <c r="AJ1306" i="11"/>
  <c r="AH1308" i="11"/>
  <c r="AP1305" i="11"/>
  <c r="AJ1310" i="11"/>
  <c r="AJ1302" i="11"/>
  <c r="AP1297" i="11"/>
  <c r="AJ1294" i="11"/>
  <c r="AH1305" i="11"/>
  <c r="AN1298" i="11"/>
  <c r="AN1308" i="11"/>
  <c r="AL1295" i="11"/>
  <c r="AP1294" i="11"/>
  <c r="AP1292" i="11"/>
  <c r="AN1283" i="11"/>
  <c r="AJ1282" i="11"/>
  <c r="AP1279" i="11"/>
  <c r="AL1283" i="11"/>
  <c r="AP1281" i="11"/>
  <c r="AJ1284" i="11"/>
  <c r="AJ1283" i="11"/>
  <c r="AJ1280" i="11"/>
  <c r="AJ1289" i="11"/>
  <c r="AP1288" i="11"/>
  <c r="AJ1277" i="11"/>
  <c r="AH1277" i="11"/>
  <c r="AJ1288" i="11"/>
  <c r="AN1288" i="11"/>
  <c r="AJ1279" i="11"/>
  <c r="AP1286" i="11"/>
  <c r="AJ1276" i="11"/>
  <c r="AP1282" i="11"/>
  <c r="AL1279" i="11"/>
  <c r="AP1276" i="11"/>
  <c r="AJ1291" i="11"/>
  <c r="AH1291" i="11"/>
  <c r="AN1278" i="11"/>
  <c r="AN1290" i="11"/>
  <c r="AL1287" i="11"/>
  <c r="AN1287" i="11"/>
  <c r="AP1275" i="11"/>
  <c r="AN1276" i="11"/>
  <c r="AH1280" i="11"/>
  <c r="AJ1287" i="11"/>
  <c r="AJ1286" i="11"/>
  <c r="AJ1290" i="11"/>
  <c r="AP1290" i="11"/>
  <c r="AH1283" i="11"/>
  <c r="AH1286" i="11"/>
  <c r="AP1278" i="11"/>
  <c r="AH1284" i="11"/>
  <c r="AN1286" i="11"/>
  <c r="AH1278" i="11"/>
  <c r="AL1290" i="11"/>
  <c r="AP1285" i="11"/>
  <c r="AH1282" i="11"/>
  <c r="AL1281" i="11"/>
  <c r="AH1279" i="11"/>
  <c r="AP1277" i="11"/>
  <c r="AN1289" i="11"/>
  <c r="AL1277" i="11"/>
  <c r="AH1285" i="11"/>
  <c r="AL1282" i="11"/>
  <c r="AN1282" i="11"/>
  <c r="AL1276" i="11"/>
  <c r="AL1291" i="11"/>
  <c r="AP1289" i="11"/>
  <c r="AP1284" i="11"/>
  <c r="AP1287" i="11"/>
  <c r="AN1284" i="11"/>
  <c r="AH1287" i="11"/>
  <c r="AN1279" i="11"/>
  <c r="AL1286" i="11"/>
  <c r="AP1280" i="11"/>
  <c r="AN1277" i="11"/>
  <c r="AH1290" i="11"/>
  <c r="AP1283" i="11"/>
  <c r="AN1291" i="11"/>
  <c r="AL1285" i="11"/>
  <c r="AL1288" i="11"/>
  <c r="AJ1281" i="11"/>
  <c r="AL1275" i="11"/>
  <c r="AH1275" i="11"/>
  <c r="AH1276" i="11"/>
  <c r="AL1280" i="11"/>
  <c r="AJ1278" i="11"/>
  <c r="AN1280" i="11"/>
  <c r="AL1278" i="11"/>
  <c r="AH1281" i="11"/>
  <c r="AH1289" i="11"/>
  <c r="AP1291" i="11"/>
  <c r="AJ1285" i="11"/>
  <c r="AL1284" i="11"/>
  <c r="AN1285" i="11"/>
  <c r="AN1281" i="11"/>
  <c r="AN1275" i="11"/>
  <c r="AJ1275" i="11"/>
  <c r="AL1289" i="11"/>
  <c r="AH1288" i="11"/>
  <c r="AN1273" i="11"/>
  <c r="AH1263" i="11"/>
  <c r="AL1265" i="11"/>
  <c r="AN1267" i="11"/>
  <c r="AN1269" i="11"/>
  <c r="AP1271" i="11"/>
  <c r="AL1273" i="11"/>
  <c r="AJ1265" i="11"/>
  <c r="AL1267" i="11"/>
  <c r="AL1269" i="11"/>
  <c r="AN1271" i="11"/>
  <c r="AJ1273" i="11"/>
  <c r="AP1263" i="11"/>
  <c r="AH1265" i="11"/>
  <c r="AJ1267" i="11"/>
  <c r="AJ1269" i="11"/>
  <c r="AL1271" i="11"/>
  <c r="AH1273" i="11"/>
  <c r="AH1267" i="11"/>
  <c r="AH1269" i="11"/>
  <c r="AJ1271" i="11"/>
  <c r="AL1263" i="11"/>
  <c r="AP1264" i="11"/>
  <c r="AP1266" i="11"/>
  <c r="AJ1263" i="11"/>
  <c r="AH1271" i="11"/>
  <c r="AN1264" i="11"/>
  <c r="AN1266" i="11"/>
  <c r="AP1268" i="11"/>
  <c r="AL1272" i="11"/>
  <c r="AP1274" i="11"/>
  <c r="AL1264" i="11"/>
  <c r="AL1266" i="11"/>
  <c r="AN1268" i="11"/>
  <c r="AP1270" i="11"/>
  <c r="AN1274" i="11"/>
  <c r="AJ1264" i="11"/>
  <c r="AJ1266" i="11"/>
  <c r="AL1268" i="11"/>
  <c r="AN1270" i="11"/>
  <c r="AP1272" i="11"/>
  <c r="AL1274" i="11"/>
  <c r="AH1264" i="11"/>
  <c r="AH1266" i="11"/>
  <c r="AJ1268" i="11"/>
  <c r="AL1270" i="11"/>
  <c r="AN1272" i="11"/>
  <c r="AJ1274" i="11"/>
  <c r="AJ1272" i="11"/>
  <c r="AH1268" i="11"/>
  <c r="AJ1270" i="11"/>
  <c r="AH1274" i="11"/>
  <c r="AP1265" i="11"/>
  <c r="AH1270" i="11"/>
  <c r="AP1273" i="11"/>
  <c r="AN1263" i="11"/>
  <c r="AN1265" i="11"/>
  <c r="AP1267" i="11"/>
  <c r="AP1269" i="11"/>
  <c r="AH1272" i="11"/>
  <c r="AH1250" i="11"/>
  <c r="AJ1249" i="11"/>
  <c r="AP1250" i="11"/>
  <c r="AH1249" i="11"/>
  <c r="AJ1250" i="11"/>
  <c r="AL1250" i="11"/>
  <c r="AL1249" i="11"/>
  <c r="AN1249" i="11"/>
  <c r="AN1250" i="11"/>
  <c r="AP1249" i="11"/>
  <c r="AJ1251" i="11"/>
  <c r="AP1251" i="11"/>
  <c r="AH1251" i="11"/>
  <c r="AL1251" i="11"/>
  <c r="AN1251" i="11"/>
  <c r="AH1243" i="11"/>
  <c r="AL1243" i="11"/>
  <c r="AN1243" i="11"/>
  <c r="AJ1243" i="11"/>
  <c r="AP1243" i="11"/>
  <c r="AN1231" i="11"/>
  <c r="AH1231" i="11"/>
  <c r="AJ1231" i="11"/>
  <c r="AL1231" i="11"/>
  <c r="AP1231" i="11"/>
  <c r="AH1232" i="11"/>
  <c r="AP1232" i="11"/>
  <c r="AN1232" i="11"/>
  <c r="AJ1232" i="11"/>
  <c r="AL1232" i="11"/>
  <c r="AP1237" i="11"/>
  <c r="AN1237" i="11"/>
  <c r="AL1237" i="11"/>
  <c r="AJ1237" i="11"/>
  <c r="AH1237" i="11"/>
  <c r="AP1227" i="11"/>
  <c r="AN1227" i="11"/>
  <c r="AL1227" i="11"/>
  <c r="AJ1227" i="11"/>
  <c r="AH1227" i="11"/>
  <c r="AP1169" i="11"/>
  <c r="AN1169" i="11"/>
  <c r="AL1169" i="11"/>
  <c r="AJ1169" i="11"/>
  <c r="AH1169" i="11"/>
  <c r="AJ1182" i="11"/>
  <c r="AN1182" i="11"/>
  <c r="AL1182" i="11"/>
  <c r="AH1182" i="11"/>
  <c r="AP1182" i="11"/>
  <c r="AN1155" i="11"/>
  <c r="AJ1155" i="11"/>
  <c r="AP1155" i="11"/>
  <c r="AL1155" i="11"/>
  <c r="AH1155" i="11"/>
  <c r="AJ1241" i="11"/>
  <c r="AJ1247" i="11"/>
  <c r="AH1256" i="11"/>
  <c r="AH1261" i="11"/>
  <c r="AH1262" i="11"/>
  <c r="AL1247" i="11"/>
  <c r="AP1248" i="11"/>
  <c r="AH1248" i="11"/>
  <c r="AJ1248" i="11"/>
  <c r="AL1248" i="11"/>
  <c r="AN1248" i="11"/>
  <c r="AP1252" i="11"/>
  <c r="AH1252" i="11"/>
  <c r="AL1252" i="11"/>
  <c r="AN1252" i="11"/>
  <c r="AJ1252" i="11"/>
  <c r="AL1254" i="11"/>
  <c r="AP1254" i="11"/>
  <c r="AH1254" i="11"/>
  <c r="AH1255" i="11"/>
  <c r="AP1256" i="11"/>
  <c r="AL1262" i="11"/>
  <c r="AN1257" i="11"/>
  <c r="AJ1257" i="11"/>
  <c r="AP1257" i="11"/>
  <c r="AP1258" i="11"/>
  <c r="AN1258" i="11"/>
  <c r="AL1258" i="11"/>
  <c r="AJ1258" i="11"/>
  <c r="AH1258" i="11"/>
  <c r="AL1259" i="11"/>
  <c r="AJ1259" i="11"/>
  <c r="AN1259" i="11"/>
  <c r="AH1259" i="11"/>
  <c r="AP1259" i="11"/>
  <c r="AN1260" i="11"/>
  <c r="AL1260" i="11"/>
  <c r="AP1260" i="11"/>
  <c r="AJ1260" i="11"/>
  <c r="AH1260" i="11"/>
  <c r="AJ1261" i="11"/>
  <c r="AN1261" i="11"/>
  <c r="AL1261" i="11"/>
  <c r="AP1261" i="11"/>
  <c r="AJ1262" i="11"/>
  <c r="AP1246" i="11"/>
  <c r="AN1254" i="11"/>
  <c r="AP1255" i="11"/>
  <c r="AN1256" i="11"/>
  <c r="AL1257" i="11"/>
  <c r="AN1262" i="11"/>
  <c r="AH1245" i="11"/>
  <c r="AN1246" i="11"/>
  <c r="AL1246" i="11"/>
  <c r="AP1247" i="11"/>
  <c r="AJ1254" i="11"/>
  <c r="AJ1255" i="11"/>
  <c r="AL1256" i="11"/>
  <c r="AP1262" i="11"/>
  <c r="AP1245" i="11"/>
  <c r="AH1246" i="11"/>
  <c r="AH1247" i="11"/>
  <c r="AN1247" i="11"/>
  <c r="AL1255" i="11"/>
  <c r="AN1255" i="11"/>
  <c r="AJ1256" i="11"/>
  <c r="AH1257" i="11"/>
  <c r="AP1241" i="11"/>
  <c r="AL1241" i="11"/>
  <c r="AN1241" i="11"/>
  <c r="AH1241" i="11"/>
  <c r="AN1242" i="11"/>
  <c r="AP1242" i="11"/>
  <c r="AJ1242" i="11"/>
  <c r="AH1242" i="11"/>
  <c r="AL1242" i="11"/>
  <c r="AH1244" i="11"/>
  <c r="AN1244" i="11"/>
  <c r="AJ1244" i="11"/>
  <c r="AL1244" i="11"/>
  <c r="AP1244" i="11"/>
  <c r="AL1245" i="11"/>
  <c r="AN1245" i="11"/>
  <c r="AJ1245" i="11"/>
  <c r="AJ1246" i="11"/>
  <c r="AH1229" i="11"/>
  <c r="AP1229" i="11"/>
  <c r="AL1229" i="11"/>
  <c r="AJ1229" i="11"/>
  <c r="AN1229" i="11"/>
  <c r="AJ1230" i="11"/>
  <c r="AL1230" i="11"/>
  <c r="AN1230" i="11"/>
  <c r="AH1230" i="11"/>
  <c r="AP1230" i="11"/>
  <c r="AP1233" i="11"/>
  <c r="AN1233" i="11"/>
  <c r="AL1233" i="11"/>
  <c r="AH1233" i="11"/>
  <c r="AJ1233" i="11"/>
  <c r="AJ1234" i="11"/>
  <c r="AH1234" i="11"/>
  <c r="AN1234" i="11"/>
  <c r="AL1234" i="11"/>
  <c r="AP1234" i="11"/>
  <c r="AN1235" i="11"/>
  <c r="AH1235" i="11"/>
  <c r="AJ1235" i="11"/>
  <c r="AP1235" i="11"/>
  <c r="AL1235" i="11"/>
  <c r="AP1236" i="11"/>
  <c r="AH1236" i="11"/>
  <c r="AJ1236" i="11"/>
  <c r="AN1236" i="11"/>
  <c r="AL1236" i="11"/>
  <c r="AH1238" i="11"/>
  <c r="AL1238" i="11"/>
  <c r="AP1238" i="11"/>
  <c r="AN1238" i="11"/>
  <c r="AJ1238" i="11"/>
  <c r="AP1239" i="11"/>
  <c r="AJ1239" i="11"/>
  <c r="AL1239" i="11"/>
  <c r="AH1239" i="11"/>
  <c r="AN1239" i="11"/>
  <c r="AN1240" i="11"/>
  <c r="AJ1240" i="11"/>
  <c r="AP1240" i="11"/>
  <c r="AL1240" i="11"/>
  <c r="AH1240" i="11"/>
  <c r="AN1215" i="11"/>
  <c r="AH1215" i="11"/>
  <c r="AN1216" i="11"/>
  <c r="AH1216" i="11"/>
  <c r="AJ1216" i="11"/>
  <c r="AP1216" i="11"/>
  <c r="AJ1215" i="11"/>
  <c r="AP1215" i="11"/>
  <c r="AL1216" i="11"/>
  <c r="AL1215" i="11"/>
  <c r="AL1198" i="11"/>
  <c r="AN1198" i="11"/>
  <c r="AH1198" i="11"/>
  <c r="AJ1198" i="11"/>
  <c r="AJ1197" i="11"/>
  <c r="AN1197" i="11"/>
  <c r="AP1197" i="11"/>
  <c r="AP1198" i="11"/>
  <c r="AH1197" i="11"/>
  <c r="AL1197" i="11"/>
  <c r="AH1209" i="11"/>
  <c r="AH1214" i="11"/>
  <c r="AH1220" i="11"/>
  <c r="AH1223" i="11"/>
  <c r="AJ1210" i="11"/>
  <c r="AJ1212" i="11"/>
  <c r="AJ1218" i="11"/>
  <c r="AJ1221" i="11"/>
  <c r="AJ1224" i="11"/>
  <c r="AL1212" i="11"/>
  <c r="AL1219" i="11"/>
  <c r="AL1223" i="11"/>
  <c r="AL1228" i="11"/>
  <c r="AN1211" i="11"/>
  <c r="AN1218" i="11"/>
  <c r="AN1226" i="11"/>
  <c r="AP1213" i="11"/>
  <c r="AP1220" i="11"/>
  <c r="AP1225" i="11"/>
  <c r="AH1210" i="11"/>
  <c r="AH1212" i="11"/>
  <c r="AH1213" i="11"/>
  <c r="AH1218" i="11"/>
  <c r="AH1221" i="11"/>
  <c r="AH1224" i="11"/>
  <c r="AJ1211" i="11"/>
  <c r="AJ1213" i="11"/>
  <c r="AJ1217" i="11"/>
  <c r="AJ1223" i="11"/>
  <c r="AJ1225" i="11"/>
  <c r="AL1218" i="11"/>
  <c r="AL1225" i="11"/>
  <c r="AN1208" i="11"/>
  <c r="AN1224" i="11"/>
  <c r="AP1217" i="11"/>
  <c r="AH1211" i="11"/>
  <c r="AH1222" i="11"/>
  <c r="AJ1208" i="11"/>
  <c r="AJ1222" i="11"/>
  <c r="AL1209" i="11"/>
  <c r="AL1226" i="11"/>
  <c r="AN1217" i="11"/>
  <c r="AP1211" i="11"/>
  <c r="AP1223" i="11"/>
  <c r="AH1226" i="11"/>
  <c r="AN1214" i="11"/>
  <c r="AL1213" i="11"/>
  <c r="AN1212" i="11"/>
  <c r="AN1223" i="11"/>
  <c r="AP1221" i="11"/>
  <c r="AJ1228" i="11"/>
  <c r="AN1222" i="11"/>
  <c r="AP1210" i="11"/>
  <c r="AN1213" i="11"/>
  <c r="AP1222" i="11"/>
  <c r="AL1211" i="11"/>
  <c r="AL1210" i="11"/>
  <c r="AN1220" i="11"/>
  <c r="AP1209" i="11"/>
  <c r="AP1226" i="11"/>
  <c r="AH1208" i="11"/>
  <c r="AH1217" i="11"/>
  <c r="AH1219" i="11"/>
  <c r="AH1225" i="11"/>
  <c r="AH1228" i="11"/>
  <c r="AJ1219" i="11"/>
  <c r="AJ1226" i="11"/>
  <c r="AL1217" i="11"/>
  <c r="AL1222" i="11"/>
  <c r="AN1209" i="11"/>
  <c r="AN1221" i="11"/>
  <c r="AN1225" i="11"/>
  <c r="AP1218" i="11"/>
  <c r="AL1214" i="11"/>
  <c r="AP1212" i="11"/>
  <c r="AJ1220" i="11"/>
  <c r="AL1220" i="11"/>
  <c r="AL1224" i="11"/>
  <c r="AN1219" i="11"/>
  <c r="AP1208" i="11"/>
  <c r="AP1214" i="11"/>
  <c r="AP1228" i="11"/>
  <c r="AJ1209" i="11"/>
  <c r="AL1208" i="11"/>
  <c r="AL1221" i="11"/>
  <c r="AN1210" i="11"/>
  <c r="AP1219" i="11"/>
  <c r="AP1224" i="11"/>
  <c r="AJ1214" i="11"/>
  <c r="AN1228" i="11"/>
  <c r="AH1178" i="11"/>
  <c r="AL1178" i="11"/>
  <c r="AN1178" i="11"/>
  <c r="AP1178" i="11"/>
  <c r="AJ1178" i="11"/>
  <c r="AH1194" i="11"/>
  <c r="AJ1207" i="11"/>
  <c r="AP1207" i="11"/>
  <c r="AH1207" i="11"/>
  <c r="AJ1196" i="11"/>
  <c r="AH1202" i="11"/>
  <c r="AL1204" i="11"/>
  <c r="AL1196" i="11"/>
  <c r="AP1202" i="11"/>
  <c r="AL1205" i="11"/>
  <c r="AH1199" i="11"/>
  <c r="AP1203" i="11"/>
  <c r="AJ1206" i="11"/>
  <c r="AJ1199" i="11"/>
  <c r="AL1201" i="11"/>
  <c r="AP1195" i="11"/>
  <c r="AL1200" i="11"/>
  <c r="AL1203" i="11"/>
  <c r="AN1206" i="11"/>
  <c r="AH1195" i="11"/>
  <c r="AN1201" i="11"/>
  <c r="AJ1203" i="11"/>
  <c r="AN1205" i="11"/>
  <c r="AP1196" i="11"/>
  <c r="AL1199" i="11"/>
  <c r="AJ1202" i="11"/>
  <c r="AJ1204" i="11"/>
  <c r="AN1194" i="11"/>
  <c r="AH1196" i="11"/>
  <c r="AN1199" i="11"/>
  <c r="AH1201" i="11"/>
  <c r="AL1202" i="11"/>
  <c r="AN1204" i="11"/>
  <c r="AP1206" i="11"/>
  <c r="AP1194" i="11"/>
  <c r="AL1195" i="11"/>
  <c r="AH1200" i="11"/>
  <c r="AH1204" i="11"/>
  <c r="AJ1194" i="11"/>
  <c r="AJ1195" i="11"/>
  <c r="AJ1200" i="11"/>
  <c r="AH1203" i="11"/>
  <c r="AL1194" i="11"/>
  <c r="AN1196" i="11"/>
  <c r="AN1200" i="11"/>
  <c r="AN1202" i="11"/>
  <c r="AL1206" i="11"/>
  <c r="AN1195" i="11"/>
  <c r="AP1201" i="11"/>
  <c r="AN1203" i="11"/>
  <c r="AH1205" i="11"/>
  <c r="AP1199" i="11"/>
  <c r="AP1200" i="11"/>
  <c r="AJ1201" i="11"/>
  <c r="AH1206" i="11"/>
  <c r="AP1204" i="11"/>
  <c r="AJ1205" i="11"/>
  <c r="AP1205" i="11"/>
  <c r="AL1207" i="11"/>
  <c r="AN1207" i="11"/>
  <c r="AN1170" i="11"/>
  <c r="AH1171" i="11"/>
  <c r="AL1171" i="11"/>
  <c r="AN1171" i="11"/>
  <c r="AL1170" i="11"/>
  <c r="AJ1171" i="11"/>
  <c r="AP1171" i="11"/>
  <c r="AJ1170" i="11"/>
  <c r="AH1170" i="11"/>
  <c r="AP1170" i="11"/>
  <c r="AJ1167" i="11"/>
  <c r="AH1167" i="11"/>
  <c r="AP1167" i="11"/>
  <c r="AL1193" i="11"/>
  <c r="AL1187" i="11"/>
  <c r="AN1187" i="11"/>
  <c r="AP1189" i="11"/>
  <c r="AJ1181" i="11"/>
  <c r="AJ1190" i="11"/>
  <c r="AH1176" i="11"/>
  <c r="AN1184" i="11"/>
  <c r="AL1185" i="11"/>
  <c r="AJ1189" i="11"/>
  <c r="AN1176" i="11"/>
  <c r="AH1179" i="11"/>
  <c r="AJ1192" i="11"/>
  <c r="AN1180" i="11"/>
  <c r="AL1177" i="11"/>
  <c r="AJ1173" i="11"/>
  <c r="AP1181" i="11"/>
  <c r="AP1193" i="11"/>
  <c r="AJ1168" i="11"/>
  <c r="AJ1184" i="11"/>
  <c r="AH1183" i="11"/>
  <c r="AH1166" i="11"/>
  <c r="AJ1166" i="11"/>
  <c r="AJ1193" i="11"/>
  <c r="AP1173" i="11"/>
  <c r="AN1186" i="11"/>
  <c r="AN1191" i="11"/>
  <c r="AN1167" i="11"/>
  <c r="AP1179" i="11"/>
  <c r="AL1176" i="11"/>
  <c r="AJ1179" i="11"/>
  <c r="AJ1172" i="11"/>
  <c r="AH1191" i="11"/>
  <c r="AH1190" i="11"/>
  <c r="AH1188" i="11"/>
  <c r="AJ1191" i="11"/>
  <c r="AN1179" i="11"/>
  <c r="AL1179" i="11"/>
  <c r="AL1174" i="11"/>
  <c r="AJ1185" i="11"/>
  <c r="AJ1188" i="11"/>
  <c r="AJ1183" i="11"/>
  <c r="AP1187" i="11"/>
  <c r="AN1174" i="11"/>
  <c r="AL1181" i="11"/>
  <c r="AL1167" i="11"/>
  <c r="AP1174" i="11"/>
  <c r="AP1166" i="11"/>
  <c r="AH1173" i="11"/>
  <c r="AH1184" i="11"/>
  <c r="AP1168" i="11"/>
  <c r="AH1189" i="11"/>
  <c r="AP1172" i="11"/>
  <c r="AL1175" i="11"/>
  <c r="AH1175" i="11"/>
  <c r="AL1173" i="11"/>
  <c r="AH1174" i="11"/>
  <c r="AL1184" i="11"/>
  <c r="AJ1174" i="11"/>
  <c r="AL1183" i="11"/>
  <c r="AL1191" i="11"/>
  <c r="AN1181" i="11"/>
  <c r="AJ1180" i="11"/>
  <c r="AL1188" i="11"/>
  <c r="AN1193" i="11"/>
  <c r="AH1186" i="11"/>
  <c r="AP1175" i="11"/>
  <c r="AN1177" i="11"/>
  <c r="AP1191" i="11"/>
  <c r="AP1180" i="11"/>
  <c r="AN1190" i="11"/>
  <c r="AN1172" i="11"/>
  <c r="AP1185" i="11"/>
  <c r="AH1181" i="11"/>
  <c r="AH1172" i="11"/>
  <c r="AP1186" i="11"/>
  <c r="AP1183" i="11"/>
  <c r="AH1192" i="11"/>
  <c r="AJ1177" i="11"/>
  <c r="AJ1176" i="11"/>
  <c r="AH1180" i="11"/>
  <c r="AH1187" i="11"/>
  <c r="AH1168" i="11"/>
  <c r="AH1193" i="11"/>
  <c r="AL1180" i="11"/>
  <c r="AL1168" i="11"/>
  <c r="AN1168" i="11"/>
  <c r="AJ1175" i="11"/>
  <c r="AP1177" i="11"/>
  <c r="AN1189" i="11"/>
  <c r="AN1185" i="11"/>
  <c r="AL1192" i="11"/>
  <c r="AN1183" i="11"/>
  <c r="AJ1187" i="11"/>
  <c r="AP1184" i="11"/>
  <c r="AL1189" i="11"/>
  <c r="AJ1186" i="11"/>
  <c r="AN1175" i="11"/>
  <c r="AN1188" i="11"/>
  <c r="AP1176" i="11"/>
  <c r="AP1188" i="11"/>
  <c r="AP1190" i="11"/>
  <c r="AN1192" i="11"/>
  <c r="AL1186" i="11"/>
  <c r="AN1166" i="11"/>
  <c r="AN1173" i="11"/>
  <c r="AH1185" i="11"/>
  <c r="AP1192" i="11"/>
  <c r="AL1190" i="11"/>
  <c r="AL1166" i="11"/>
  <c r="AH1177" i="11"/>
  <c r="AL1172" i="11"/>
  <c r="AL1153" i="11"/>
  <c r="AJ1153" i="11"/>
  <c r="AH1153" i="11"/>
  <c r="AN1153" i="11"/>
  <c r="AP1153" i="11"/>
  <c r="AJ1144" i="11"/>
  <c r="AN1144" i="11"/>
  <c r="AL1144" i="11"/>
  <c r="AH1144" i="11"/>
  <c r="AP1144" i="11"/>
  <c r="AP1143" i="11"/>
  <c r="AH1143" i="11"/>
  <c r="AJ1143" i="11"/>
  <c r="AL1143" i="11"/>
  <c r="AN1143" i="11"/>
  <c r="AP1158" i="11"/>
  <c r="AL1159" i="11"/>
  <c r="AP1165" i="11"/>
  <c r="AP1161" i="11"/>
  <c r="AP1162" i="11"/>
  <c r="AL1163" i="11"/>
  <c r="AH1161" i="11"/>
  <c r="AN1158" i="11"/>
  <c r="AP1159" i="11"/>
  <c r="AL1161" i="11"/>
  <c r="AH1162" i="11"/>
  <c r="AH1157" i="11"/>
  <c r="AN1165" i="11"/>
  <c r="AH1164" i="11"/>
  <c r="AH1159" i="11"/>
  <c r="AJ1162" i="11"/>
  <c r="AN1159" i="11"/>
  <c r="AN1156" i="11"/>
  <c r="AJ1164" i="11"/>
  <c r="AJ1161" i="11"/>
  <c r="AJ1160" i="11"/>
  <c r="AJ1163" i="11"/>
  <c r="AJ1154" i="11"/>
  <c r="AJ1159" i="11"/>
  <c r="AJ1157" i="11"/>
  <c r="AL1157" i="11"/>
  <c r="AP1156" i="11"/>
  <c r="AJ1158" i="11"/>
  <c r="AL1154" i="11"/>
  <c r="AL1162" i="11"/>
  <c r="AN1160" i="11"/>
  <c r="AH1165" i="11"/>
  <c r="AH1163" i="11"/>
  <c r="AJ1165" i="11"/>
  <c r="AN1157" i="11"/>
  <c r="AP1157" i="11"/>
  <c r="AP1160" i="11"/>
  <c r="AL1158" i="11"/>
  <c r="AL1164" i="11"/>
  <c r="AP1164" i="11"/>
  <c r="AP1154" i="11"/>
  <c r="AN1154" i="11"/>
  <c r="AL1160" i="11"/>
  <c r="AH1158" i="11"/>
  <c r="AH1156" i="11"/>
  <c r="AN1163" i="11"/>
  <c r="AH1160" i="11"/>
  <c r="AJ1156" i="11"/>
  <c r="AN1164" i="11"/>
  <c r="AL1165" i="11"/>
  <c r="AN1162" i="11"/>
  <c r="AH1154" i="11"/>
  <c r="AP1163" i="11"/>
  <c r="AN1161" i="11"/>
  <c r="AL1156" i="11"/>
  <c r="AP1116" i="11"/>
  <c r="AL1116" i="11"/>
  <c r="AJ1116" i="11"/>
  <c r="AN1116" i="11"/>
  <c r="AH1116" i="11"/>
  <c r="AL1134" i="11"/>
  <c r="AJ1145" i="11"/>
  <c r="AP1149" i="11"/>
  <c r="AN1132" i="11"/>
  <c r="AL1130" i="11"/>
  <c r="AP1145" i="11"/>
  <c r="AL1126" i="11"/>
  <c r="AL1123" i="11"/>
  <c r="AH1152" i="11"/>
  <c r="AJ1124" i="11"/>
  <c r="AN1146" i="11"/>
  <c r="AN1134" i="11"/>
  <c r="AN1148" i="11"/>
  <c r="AP1150" i="11"/>
  <c r="AH1129" i="11"/>
  <c r="AN1130" i="11"/>
  <c r="AP1126" i="11"/>
  <c r="AP1139" i="11"/>
  <c r="AJ1141" i="11"/>
  <c r="AH1151" i="11"/>
  <c r="AN1125" i="11"/>
  <c r="AH1138" i="11"/>
  <c r="AP1132" i="11"/>
  <c r="AJ1147" i="11"/>
  <c r="AL1127" i="11"/>
  <c r="AH1146" i="11"/>
  <c r="AN1135" i="11"/>
  <c r="AL1125" i="11"/>
  <c r="AJ1152" i="11"/>
  <c r="AJ1137" i="11"/>
  <c r="AH1127" i="11"/>
  <c r="AP1121" i="11"/>
  <c r="AP1128" i="11"/>
  <c r="AP1137" i="11"/>
  <c r="AN1128" i="11"/>
  <c r="AL1128" i="11"/>
  <c r="AJ1148" i="11"/>
  <c r="AN1147" i="11"/>
  <c r="AL1150" i="11"/>
  <c r="AL1129" i="11"/>
  <c r="AP1131" i="11"/>
  <c r="AJ1129" i="11"/>
  <c r="AJ1151" i="11"/>
  <c r="AP1123" i="11"/>
  <c r="AH1121" i="11"/>
  <c r="AH1141" i="11"/>
  <c r="AP1148" i="11"/>
  <c r="AJ1146" i="11"/>
  <c r="AN1151" i="11"/>
  <c r="AL1132" i="11"/>
  <c r="AH1147" i="11"/>
  <c r="AL1131" i="11"/>
  <c r="AL1121" i="11"/>
  <c r="AP1141" i="11"/>
  <c r="AJ1138" i="11"/>
  <c r="AP1125" i="11"/>
  <c r="AP1135" i="11"/>
  <c r="AN1123" i="11"/>
  <c r="AN1127" i="11"/>
  <c r="AN1149" i="11"/>
  <c r="AN1152" i="11"/>
  <c r="AL1147" i="11"/>
  <c r="AJ1149" i="11"/>
  <c r="AN1131" i="11"/>
  <c r="AL1120" i="11"/>
  <c r="AN1137" i="11"/>
  <c r="AN1121" i="11"/>
  <c r="AH1139" i="11"/>
  <c r="AP1142" i="11"/>
  <c r="AN1122" i="11"/>
  <c r="AP1147" i="11"/>
  <c r="AP1138" i="11"/>
  <c r="AJ1125" i="11"/>
  <c r="AH1145" i="11"/>
  <c r="AN1140" i="11"/>
  <c r="AN1138" i="11"/>
  <c r="AP1140" i="11"/>
  <c r="AJ1135" i="11"/>
  <c r="AL1124" i="11"/>
  <c r="AL1151" i="11"/>
  <c r="AP1152" i="11"/>
  <c r="AJ1123" i="11"/>
  <c r="AJ1142" i="11"/>
  <c r="AN1141" i="11"/>
  <c r="AJ1122" i="11"/>
  <c r="AL1137" i="11"/>
  <c r="AH1150" i="11"/>
  <c r="AL1139" i="11"/>
  <c r="AL1152" i="11"/>
  <c r="AJ1127" i="11"/>
  <c r="AP1151" i="11"/>
  <c r="AH1148" i="11"/>
  <c r="AJ1120" i="11"/>
  <c r="AL1122" i="11"/>
  <c r="AL1138" i="11"/>
  <c r="AH1134" i="11"/>
  <c r="AL1142" i="11"/>
  <c r="AH1137" i="11"/>
  <c r="AN1145" i="11"/>
  <c r="AN1129" i="11"/>
  <c r="AH1124" i="11"/>
  <c r="AJ1126" i="11"/>
  <c r="AN1142" i="11"/>
  <c r="AL1141" i="11"/>
  <c r="AH1140" i="11"/>
  <c r="AH1133" i="11"/>
  <c r="AH1132" i="11"/>
  <c r="AH1123" i="11"/>
  <c r="AP1129" i="11"/>
  <c r="AJ1131" i="11"/>
  <c r="AP1122" i="11"/>
  <c r="AH1128" i="11"/>
  <c r="AH1125" i="11"/>
  <c r="AH1135" i="11"/>
  <c r="AN1124" i="11"/>
  <c r="AJ1121" i="11"/>
  <c r="AJ1133" i="11"/>
  <c r="AP1120" i="11"/>
  <c r="AJ1128" i="11"/>
  <c r="AL1145" i="11"/>
  <c r="AL1146" i="11"/>
  <c r="AN1133" i="11"/>
  <c r="AJ1130" i="11"/>
  <c r="AJ1139" i="11"/>
  <c r="AN1126" i="11"/>
  <c r="AN1120" i="11"/>
  <c r="AN1139" i="11"/>
  <c r="AH1149" i="11"/>
  <c r="AP1134" i="11"/>
  <c r="AP1130" i="11"/>
  <c r="AP1133" i="11"/>
  <c r="AL1148" i="11"/>
  <c r="AL1133" i="11"/>
  <c r="AP1146" i="11"/>
  <c r="AH1120" i="11"/>
  <c r="AH1122" i="11"/>
  <c r="AP1124" i="11"/>
  <c r="AN1150" i="11"/>
  <c r="AH1130" i="11"/>
  <c r="AL1149" i="11"/>
  <c r="AJ1150" i="11"/>
  <c r="AH1126" i="11"/>
  <c r="AH1131" i="11"/>
  <c r="AJ1140" i="11"/>
  <c r="AL1135" i="11"/>
  <c r="AH1142" i="11"/>
  <c r="AP1127" i="11"/>
  <c r="AJ1132" i="11"/>
  <c r="AJ1134" i="11"/>
  <c r="AL1140" i="11"/>
  <c r="AP1099" i="11"/>
  <c r="AJ1091" i="11"/>
  <c r="AL1091" i="11"/>
  <c r="AN1099" i="11"/>
  <c r="AH1099" i="11"/>
  <c r="AN1091" i="11"/>
  <c r="AJ1099" i="11"/>
  <c r="AP1091" i="11"/>
  <c r="AL1099" i="11"/>
  <c r="AH1091" i="11"/>
  <c r="AJ1108" i="11"/>
  <c r="AH1108" i="11"/>
  <c r="AP1108" i="11"/>
  <c r="AN1108" i="11"/>
  <c r="AL1108" i="11"/>
  <c r="AJ1118" i="11"/>
  <c r="AL1115" i="11"/>
  <c r="AL1117" i="11"/>
  <c r="AN1115" i="11"/>
  <c r="AP1119" i="11"/>
  <c r="AP1117" i="11"/>
  <c r="AP1115" i="11"/>
  <c r="AJ1119" i="11"/>
  <c r="AN1117" i="11"/>
  <c r="AN1119" i="11"/>
  <c r="AP1114" i="11"/>
  <c r="AL1119" i="11"/>
  <c r="AN1114" i="11"/>
  <c r="AH1114" i="11"/>
  <c r="AJ1117" i="11"/>
  <c r="AJ1114" i="11"/>
  <c r="AL1118" i="11"/>
  <c r="AP1118" i="11"/>
  <c r="AH1118" i="11"/>
  <c r="AH1119" i="11"/>
  <c r="AH1115" i="11"/>
  <c r="AH1117" i="11"/>
  <c r="AL1114" i="11"/>
  <c r="AJ1115" i="11"/>
  <c r="AN1118" i="11"/>
  <c r="AJ1103" i="11"/>
  <c r="AP1103" i="11"/>
  <c r="AL1104" i="11"/>
  <c r="AL1103" i="11"/>
  <c r="AN1103" i="11"/>
  <c r="AH1103" i="11"/>
  <c r="AN1104" i="11"/>
  <c r="AH1104" i="11"/>
  <c r="AP1104" i="11"/>
  <c r="AJ1104" i="11"/>
  <c r="AL1105" i="11"/>
  <c r="AN1105" i="11"/>
  <c r="AN1106" i="11"/>
  <c r="AH1106" i="11"/>
  <c r="AP1105" i="11"/>
  <c r="AP1106" i="11"/>
  <c r="AH1105" i="11"/>
  <c r="AJ1106" i="11"/>
  <c r="AJ1105" i="11"/>
  <c r="AL1106" i="11"/>
  <c r="AP1107" i="11"/>
  <c r="AJ1107" i="11"/>
  <c r="AJ1109" i="11"/>
  <c r="AL1107" i="11"/>
  <c r="AL1109" i="11"/>
  <c r="AH1109" i="11"/>
  <c r="AN1109" i="11"/>
  <c r="AN1107" i="11"/>
  <c r="AP1109" i="11"/>
  <c r="AH1107" i="11"/>
  <c r="AP1111" i="11"/>
  <c r="AP1110" i="11"/>
  <c r="AL1111" i="11"/>
  <c r="AL1110" i="11"/>
  <c r="AJ1110" i="11"/>
  <c r="AJ1111" i="11"/>
  <c r="AN1111" i="11"/>
  <c r="AH1111" i="11"/>
  <c r="AN1110" i="11"/>
  <c r="AH1110" i="11"/>
  <c r="AJ1090" i="11"/>
  <c r="AL1090" i="11"/>
  <c r="AH1090" i="11"/>
  <c r="AP1090" i="11"/>
  <c r="AN1090" i="11"/>
  <c r="AJ1084" i="11"/>
  <c r="AH1084" i="11"/>
  <c r="AL1084" i="11"/>
  <c r="AP1084" i="11"/>
  <c r="AN1084" i="11"/>
  <c r="AH1112" i="11"/>
  <c r="AJ1094" i="11"/>
  <c r="AJ1098" i="11"/>
  <c r="AL1094" i="11"/>
  <c r="AP1100" i="11"/>
  <c r="AJ1102" i="11"/>
  <c r="AL1097" i="11"/>
  <c r="AJ1112" i="11"/>
  <c r="AL1095" i="11"/>
  <c r="AH1096" i="11"/>
  <c r="AL1101" i="11"/>
  <c r="AH1097" i="11"/>
  <c r="AH1113" i="11"/>
  <c r="AL1112" i="11"/>
  <c r="AL1102" i="11"/>
  <c r="AJ1096" i="11"/>
  <c r="AH1100" i="11"/>
  <c r="AN1097" i="11"/>
  <c r="AH1101" i="11"/>
  <c r="AN1096" i="11"/>
  <c r="AJ1097" i="11"/>
  <c r="AP1102" i="11"/>
  <c r="AP1098" i="11"/>
  <c r="AP1112" i="11"/>
  <c r="AJ1101" i="11"/>
  <c r="AP1096" i="11"/>
  <c r="AN1098" i="11"/>
  <c r="AL1100" i="11"/>
  <c r="AL1098" i="11"/>
  <c r="AN1095" i="11"/>
  <c r="AP1113" i="11"/>
  <c r="AP1095" i="11"/>
  <c r="AP1094" i="11"/>
  <c r="AJ1100" i="11"/>
  <c r="AN1101" i="11"/>
  <c r="AN1112" i="11"/>
  <c r="AL1113" i="11"/>
  <c r="AH1102" i="11"/>
  <c r="AJ1113" i="11"/>
  <c r="AP1097" i="11"/>
  <c r="AJ1095" i="11"/>
  <c r="AH1094" i="11"/>
  <c r="AN1113" i="11"/>
  <c r="AN1102" i="11"/>
  <c r="AN1094" i="11"/>
  <c r="AP1101" i="11"/>
  <c r="AN1100" i="11"/>
  <c r="AH1098" i="11"/>
  <c r="AH1095" i="11"/>
  <c r="AL1096" i="11"/>
  <c r="AN1075" i="11"/>
  <c r="AP1075" i="11"/>
  <c r="AH1075" i="11"/>
  <c r="AJ1075" i="11"/>
  <c r="AL1075" i="11"/>
  <c r="AJ1076" i="11"/>
  <c r="AH1076" i="11"/>
  <c r="AP1076" i="11"/>
  <c r="AN1076" i="11"/>
  <c r="AL1076" i="11"/>
  <c r="AJ1066" i="11"/>
  <c r="AN1067" i="11"/>
  <c r="AH1067" i="11"/>
  <c r="AH1066" i="11"/>
  <c r="AJ1067" i="11"/>
  <c r="AP1066" i="11"/>
  <c r="AN1066" i="11"/>
  <c r="AP1067" i="11"/>
  <c r="AL1067" i="11"/>
  <c r="AL1066" i="11"/>
  <c r="AH1061" i="11"/>
  <c r="AP1061" i="11"/>
  <c r="AJ1061" i="11"/>
  <c r="AN1061" i="11"/>
  <c r="AL1061" i="11"/>
  <c r="AP1053" i="11"/>
  <c r="AN1053" i="11"/>
  <c r="AL1053" i="11"/>
  <c r="AH1053" i="11"/>
  <c r="AJ1053" i="11"/>
  <c r="AH1039" i="11"/>
  <c r="AP1039" i="11"/>
  <c r="AL1039" i="11"/>
  <c r="AN1039" i="11"/>
  <c r="AJ1039" i="11"/>
  <c r="AJ1030" i="11"/>
  <c r="AP1030" i="11"/>
  <c r="AP1042" i="11"/>
  <c r="AH1030" i="11"/>
  <c r="AN1042" i="11"/>
  <c r="AN1030" i="11"/>
  <c r="AL1042" i="11"/>
  <c r="AL1030" i="11"/>
  <c r="AJ1042" i="11"/>
  <c r="AH1042" i="11"/>
  <c r="AP1002" i="11"/>
  <c r="AN1002" i="11"/>
  <c r="AL1002" i="11"/>
  <c r="AJ1002" i="11"/>
  <c r="AH1002" i="11"/>
  <c r="AN1045" i="11"/>
  <c r="AN1041" i="11"/>
  <c r="AL1044" i="11"/>
  <c r="AP1043" i="11"/>
  <c r="AP1045" i="11"/>
  <c r="AP1041" i="11"/>
  <c r="AJ1044" i="11"/>
  <c r="AP1044" i="11"/>
  <c r="AH1045" i="11"/>
  <c r="AH1044" i="11"/>
  <c r="AL1041" i="11"/>
  <c r="AN1043" i="11"/>
  <c r="AL1045" i="11"/>
  <c r="AJ1043" i="11"/>
  <c r="AN1044" i="11"/>
  <c r="AH1041" i="11"/>
  <c r="AJ1045" i="11"/>
  <c r="AL1043" i="11"/>
  <c r="AJ1041" i="11"/>
  <c r="AH1043" i="11"/>
  <c r="AP1047" i="11"/>
  <c r="AN1049" i="11"/>
  <c r="AP1050" i="11"/>
  <c r="AN1046" i="11"/>
  <c r="AJ1050" i="11"/>
  <c r="AP1048" i="11"/>
  <c r="AN1047" i="11"/>
  <c r="AL1050" i="11"/>
  <c r="AL1046" i="11"/>
  <c r="AH1050" i="11"/>
  <c r="AH1048" i="11"/>
  <c r="AN1048" i="11"/>
  <c r="AL1049" i="11"/>
  <c r="AN1050" i="11"/>
  <c r="AL1047" i="11"/>
  <c r="AP1049" i="11"/>
  <c r="AH1049" i="11"/>
  <c r="AP1046" i="11"/>
  <c r="AJ1049" i="11"/>
  <c r="AJ1046" i="11"/>
  <c r="AJ1047" i="11"/>
  <c r="AJ1048" i="11"/>
  <c r="AL1048" i="11"/>
  <c r="AH1046" i="11"/>
  <c r="AH1047" i="11"/>
  <c r="AP1054" i="11"/>
  <c r="AP1056" i="11"/>
  <c r="AJ1051" i="11"/>
  <c r="AP1055" i="11"/>
  <c r="AH1051" i="11"/>
  <c r="AN1051" i="11"/>
  <c r="AN1054" i="11"/>
  <c r="AL1051" i="11"/>
  <c r="AH1052" i="11"/>
  <c r="AN1055" i="11"/>
  <c r="AJ1056" i="11"/>
  <c r="AL1052" i="11"/>
  <c r="AJ1052" i="11"/>
  <c r="AH1056" i="11"/>
  <c r="AL1055" i="11"/>
  <c r="AH1054" i="11"/>
  <c r="AL1056" i="11"/>
  <c r="AN1052" i="11"/>
  <c r="AJ1055" i="11"/>
  <c r="AH1055" i="11"/>
  <c r="AP1051" i="11"/>
  <c r="AN1056" i="11"/>
  <c r="AP1052" i="11"/>
  <c r="AJ1054" i="11"/>
  <c r="AL1054" i="11"/>
  <c r="AP1058" i="11"/>
  <c r="AP1062" i="11"/>
  <c r="AP1059" i="11"/>
  <c r="AL1057" i="11"/>
  <c r="AN1058" i="11"/>
  <c r="AP1057" i="11"/>
  <c r="AN1057" i="11"/>
  <c r="AP1060" i="11"/>
  <c r="AL1062" i="11"/>
  <c r="AH1060" i="11"/>
  <c r="AN1059" i="11"/>
  <c r="AH1057" i="11"/>
  <c r="AJ1060" i="11"/>
  <c r="AL1058" i="11"/>
  <c r="AJ1059" i="11"/>
  <c r="AH1058" i="11"/>
  <c r="AN1060" i="11"/>
  <c r="AJ1062" i="11"/>
  <c r="AH1062" i="11"/>
  <c r="AL1059" i="11"/>
  <c r="AH1059" i="11"/>
  <c r="AN1062" i="11"/>
  <c r="AJ1058" i="11"/>
  <c r="AJ1057" i="11"/>
  <c r="AL1060" i="11"/>
  <c r="AN1069" i="11"/>
  <c r="AL1065" i="11"/>
  <c r="AP1068" i="11"/>
  <c r="AH1068" i="11"/>
  <c r="AH1069" i="11"/>
  <c r="AP1069" i="11"/>
  <c r="AL1063" i="11"/>
  <c r="AL1064" i="11"/>
  <c r="AN1068" i="11"/>
  <c r="AP1064" i="11"/>
  <c r="AP1065" i="11"/>
  <c r="AL1068" i="11"/>
  <c r="AH1064" i="11"/>
  <c r="AN1063" i="11"/>
  <c r="AL1069" i="11"/>
  <c r="AJ1065" i="11"/>
  <c r="AN1065" i="11"/>
  <c r="AN1064" i="11"/>
  <c r="AH1063" i="11"/>
  <c r="AJ1068" i="11"/>
  <c r="AP1063" i="11"/>
  <c r="AJ1069" i="11"/>
  <c r="AJ1064" i="11"/>
  <c r="AJ1063" i="11"/>
  <c r="AH1065" i="11"/>
  <c r="AP1071" i="11"/>
  <c r="AJ1074" i="11"/>
  <c r="AN1071" i="11"/>
  <c r="AN1073" i="11"/>
  <c r="AH1072" i="11"/>
  <c r="AL1071" i="11"/>
  <c r="AL1070" i="11"/>
  <c r="AP1074" i="11"/>
  <c r="AP1072" i="11"/>
  <c r="AP1070" i="11"/>
  <c r="AL1073" i="11"/>
  <c r="AN1072" i="11"/>
  <c r="AJ1072" i="11"/>
  <c r="AN1070" i="11"/>
  <c r="AN1074" i="11"/>
  <c r="AL1074" i="11"/>
  <c r="AH1070" i="11"/>
  <c r="AH1073" i="11"/>
  <c r="AL1072" i="11"/>
  <c r="AJ1073" i="11"/>
  <c r="AP1073" i="11"/>
  <c r="AJ1071" i="11"/>
  <c r="AJ1070" i="11"/>
  <c r="AH1071" i="11"/>
  <c r="AH1074" i="11"/>
  <c r="AP1080" i="11"/>
  <c r="AH1081" i="11"/>
  <c r="AP1079" i="11"/>
  <c r="AP1081" i="11"/>
  <c r="AH1080" i="11"/>
  <c r="AP1077" i="11"/>
  <c r="AN1081" i="11"/>
  <c r="AP1078" i="11"/>
  <c r="AN1080" i="11"/>
  <c r="AL1080" i="11"/>
  <c r="AL1078" i="11"/>
  <c r="AL1081" i="11"/>
  <c r="AH1079" i="11"/>
  <c r="AN1077" i="11"/>
  <c r="AJ1078" i="11"/>
  <c r="AJ1079" i="11"/>
  <c r="AN1078" i="11"/>
  <c r="AJ1081" i="11"/>
  <c r="AL1079" i="11"/>
  <c r="AH1077" i="11"/>
  <c r="AJ1077" i="11"/>
  <c r="AN1079" i="11"/>
  <c r="AJ1080" i="11"/>
  <c r="AH1078" i="11"/>
  <c r="AL1077" i="11"/>
  <c r="AP1085" i="11"/>
  <c r="AP1083" i="11"/>
  <c r="AL1087" i="11"/>
  <c r="AP1086" i="11"/>
  <c r="AN1087" i="11"/>
  <c r="AH1086" i="11"/>
  <c r="AN1085" i="11"/>
  <c r="AJ1087" i="11"/>
  <c r="AH1082" i="11"/>
  <c r="AN1086" i="11"/>
  <c r="AJ1082" i="11"/>
  <c r="AH1087" i="11"/>
  <c r="AH1085" i="11"/>
  <c r="AJ1083" i="11"/>
  <c r="AL1085" i="11"/>
  <c r="AL1083" i="11"/>
  <c r="AN1082" i="11"/>
  <c r="AL1086" i="11"/>
  <c r="AJ1085" i="11"/>
  <c r="AP1087" i="11"/>
  <c r="AL1082" i="11"/>
  <c r="AJ1086" i="11"/>
  <c r="AH1083" i="11"/>
  <c r="AP1082" i="11"/>
  <c r="AN1083" i="11"/>
  <c r="AH1088" i="11"/>
  <c r="AJ1088" i="11"/>
  <c r="AN1088" i="11"/>
  <c r="AL1089" i="11"/>
  <c r="AP1089" i="11"/>
  <c r="AJ1089" i="11"/>
  <c r="AN1089" i="11"/>
  <c r="AH1089" i="11"/>
  <c r="AP1088" i="11"/>
  <c r="AL1088" i="11"/>
  <c r="AH1092" i="11"/>
  <c r="AJ1092" i="11"/>
  <c r="AP1092" i="11"/>
  <c r="AN1092" i="11"/>
  <c r="AL1092" i="11"/>
  <c r="AN1093" i="11"/>
  <c r="AH1093" i="11"/>
  <c r="AP1093" i="11"/>
  <c r="AL1093" i="11"/>
  <c r="AJ1093" i="11"/>
  <c r="AL1029" i="11"/>
  <c r="AJ1022" i="11"/>
  <c r="AJ1028" i="11"/>
  <c r="AH1029" i="11"/>
  <c r="AN1028" i="11"/>
  <c r="AP1028" i="11"/>
  <c r="AJ1029" i="11"/>
  <c r="AL1028" i="11"/>
  <c r="AN1029" i="11"/>
  <c r="AH1028" i="11"/>
  <c r="AP1022" i="11"/>
  <c r="AL1022" i="11"/>
  <c r="AH1022" i="11"/>
  <c r="AP1029" i="11"/>
  <c r="AN1022" i="11"/>
  <c r="AJ1025" i="11"/>
  <c r="AP1023" i="11"/>
  <c r="AN1023" i="11"/>
  <c r="AL1023" i="11"/>
  <c r="AJ1023" i="11"/>
  <c r="AJ1024" i="11"/>
  <c r="AH1023" i="11"/>
  <c r="AN1024" i="11"/>
  <c r="AP1025" i="11"/>
  <c r="AH1025" i="11"/>
  <c r="AP1024" i="11"/>
  <c r="AL1024" i="11"/>
  <c r="AH1024" i="11"/>
  <c r="AN1025" i="11"/>
  <c r="AL1025" i="11"/>
  <c r="AJ1026" i="11"/>
  <c r="AP1026" i="11"/>
  <c r="AN1026" i="11"/>
  <c r="AL1026" i="11"/>
  <c r="AJ1027" i="11"/>
  <c r="AN1027" i="11"/>
  <c r="AH1026" i="11"/>
  <c r="AP1027" i="11"/>
  <c r="AL1027" i="11"/>
  <c r="AH1027" i="11"/>
  <c r="AN1032" i="11"/>
  <c r="AJ1031" i="11"/>
  <c r="AP1033" i="11"/>
  <c r="AL1033" i="11"/>
  <c r="AN1031" i="11"/>
  <c r="AP1031" i="11"/>
  <c r="AH1033" i="11"/>
  <c r="AL1031" i="11"/>
  <c r="AJ1032" i="11"/>
  <c r="AH1031" i="11"/>
  <c r="AJ1033" i="11"/>
  <c r="AN1033" i="11"/>
  <c r="AP1032" i="11"/>
  <c r="AL1032" i="11"/>
  <c r="AH1032" i="11"/>
  <c r="AH1036" i="11"/>
  <c r="AP1035" i="11"/>
  <c r="AN1035" i="11"/>
  <c r="AL1035" i="11"/>
  <c r="AJ1034" i="11"/>
  <c r="AH1035" i="11"/>
  <c r="AJ1035" i="11"/>
  <c r="AP1034" i="11"/>
  <c r="AJ1036" i="11"/>
  <c r="AL1034" i="11"/>
  <c r="AN1036" i="11"/>
  <c r="AN1034" i="11"/>
  <c r="AH1034" i="11"/>
  <c r="AP1036" i="11"/>
  <c r="AL1036" i="11"/>
  <c r="AJ1037" i="11"/>
  <c r="AP1037" i="11"/>
  <c r="AN1037" i="11"/>
  <c r="AH1037" i="11"/>
  <c r="AL1037" i="11"/>
  <c r="AJ1038" i="11"/>
  <c r="AL1038" i="11"/>
  <c r="AP1038" i="11"/>
  <c r="AN1038" i="11"/>
  <c r="AH1038" i="11"/>
  <c r="AN1040" i="11"/>
  <c r="AP1040" i="11"/>
  <c r="AJ1040" i="11"/>
  <c r="AH1040" i="11"/>
  <c r="AL1040" i="11"/>
  <c r="AE2" i="11"/>
  <c r="AH1019" i="11"/>
  <c r="AL1019" i="11"/>
  <c r="AJ1019" i="11"/>
  <c r="AP1019" i="11"/>
  <c r="AN1019" i="11"/>
  <c r="AJ1008" i="11"/>
  <c r="AL1009" i="11"/>
  <c r="AL1011" i="11"/>
  <c r="AJ1007" i="11"/>
  <c r="AL1006" i="11"/>
  <c r="AL1007" i="11"/>
  <c r="AH1018" i="11"/>
  <c r="AH1007" i="11"/>
  <c r="AN1005" i="11"/>
  <c r="AH1004" i="11"/>
  <c r="AN1021" i="11"/>
  <c r="AH1013" i="11"/>
  <c r="AJ1016" i="11"/>
  <c r="AJ1005" i="11"/>
  <c r="AP1005" i="11"/>
  <c r="AN1012" i="11"/>
  <c r="AP1011" i="11"/>
  <c r="AN1007" i="11"/>
  <c r="AL1014" i="11"/>
  <c r="AL1021" i="11"/>
  <c r="AL1015" i="11"/>
  <c r="AP1012" i="11"/>
  <c r="AH1011" i="11"/>
  <c r="AH1014" i="11"/>
  <c r="AP1016" i="11"/>
  <c r="AN1017" i="11"/>
  <c r="AN1014" i="11"/>
  <c r="AJ1018" i="11"/>
  <c r="AJ1010" i="11"/>
  <c r="AN1020" i="11"/>
  <c r="AN1008" i="11"/>
  <c r="AH1005" i="11"/>
  <c r="AP1015" i="11"/>
  <c r="AP1009" i="11"/>
  <c r="AH1015" i="11"/>
  <c r="AJ1021" i="11"/>
  <c r="AP1021" i="11"/>
  <c r="AL1010" i="11"/>
  <c r="AJ1017" i="11"/>
  <c r="AJ1013" i="11"/>
  <c r="AL1017" i="11"/>
  <c r="AN1018" i="11"/>
  <c r="AH1010" i="11"/>
  <c r="AP1010" i="11"/>
  <c r="AN1006" i="11"/>
  <c r="AL1016" i="11"/>
  <c r="AP1007" i="11"/>
  <c r="AN1015" i="11"/>
  <c r="AH1008" i="11"/>
  <c r="AN1004" i="11"/>
  <c r="AH1016" i="11"/>
  <c r="AP1013" i="11"/>
  <c r="AJ1006" i="11"/>
  <c r="AH1012" i="11"/>
  <c r="AP1020" i="11"/>
  <c r="AN1013" i="11"/>
  <c r="AP1004" i="11"/>
  <c r="AJ1014" i="11"/>
  <c r="AH1006" i="11"/>
  <c r="AL1004" i="11"/>
  <c r="AP1017" i="11"/>
  <c r="AJ1009" i="11"/>
  <c r="AP1018" i="11"/>
  <c r="AP1008" i="11"/>
  <c r="AJ1004" i="11"/>
  <c r="AL1020" i="11"/>
  <c r="AH1021" i="11"/>
  <c r="AH1009" i="11"/>
  <c r="AL1005" i="11"/>
  <c r="AJ1012" i="11"/>
  <c r="AJ1020" i="11"/>
  <c r="AN1009" i="11"/>
  <c r="AH1020" i="11"/>
  <c r="AH1017" i="11"/>
  <c r="AL1018" i="11"/>
  <c r="AJ1011" i="11"/>
  <c r="AP1006" i="11"/>
  <c r="AN1011" i="11"/>
  <c r="AJ1015" i="11"/>
  <c r="AN1016" i="11"/>
  <c r="AL1013" i="11"/>
  <c r="AP1014" i="11"/>
  <c r="AL1012" i="11"/>
  <c r="AN1010" i="11"/>
  <c r="AL1008" i="11"/>
  <c r="AP983" i="11"/>
  <c r="AL934" i="11"/>
  <c r="AN983" i="11"/>
  <c r="AJ934" i="11"/>
  <c r="AL983" i="11"/>
  <c r="AH934" i="11"/>
  <c r="AJ983" i="11"/>
  <c r="AN929" i="11"/>
  <c r="AH983" i="11"/>
  <c r="AL951" i="11"/>
  <c r="AN951" i="11"/>
  <c r="AH951" i="11"/>
  <c r="AP951" i="11"/>
  <c r="AJ951" i="11"/>
  <c r="AL929" i="11"/>
  <c r="AP934" i="11"/>
  <c r="AJ929" i="11"/>
  <c r="AN934" i="11"/>
  <c r="AH929" i="11"/>
  <c r="AP929" i="11"/>
  <c r="AH996" i="11"/>
  <c r="AL996" i="11"/>
  <c r="AJ996" i="11"/>
  <c r="AN996" i="11"/>
  <c r="AP996" i="11"/>
  <c r="AP988" i="11"/>
  <c r="AP987" i="11"/>
  <c r="AJ993" i="11"/>
  <c r="AH994" i="11"/>
  <c r="AL994" i="11"/>
  <c r="AJ987" i="11"/>
  <c r="AP993" i="11"/>
  <c r="AN990" i="11"/>
  <c r="AL990" i="11"/>
  <c r="AL993" i="11"/>
  <c r="AH987" i="11"/>
  <c r="AP989" i="11"/>
  <c r="AP994" i="11"/>
  <c r="AL988" i="11"/>
  <c r="AL992" i="11"/>
  <c r="AJ994" i="11"/>
  <c r="AJ988" i="11"/>
  <c r="AP990" i="11"/>
  <c r="AP992" i="11"/>
  <c r="AH990" i="11"/>
  <c r="AL989" i="11"/>
  <c r="AP991" i="11"/>
  <c r="AJ990" i="11"/>
  <c r="AL991" i="11"/>
  <c r="AJ989" i="11"/>
  <c r="AN993" i="11"/>
  <c r="AN991" i="11"/>
  <c r="AL987" i="11"/>
  <c r="AH988" i="11"/>
  <c r="AH989" i="11"/>
  <c r="AJ991" i="11"/>
  <c r="AJ992" i="11"/>
  <c r="AH991" i="11"/>
  <c r="AN994" i="11"/>
  <c r="AN989" i="11"/>
  <c r="AN987" i="11"/>
  <c r="AH993" i="11"/>
  <c r="AN992" i="11"/>
  <c r="AN988" i="11"/>
  <c r="AH992" i="11"/>
  <c r="AH995" i="11"/>
  <c r="AL998" i="11"/>
  <c r="AP998" i="11"/>
  <c r="AP999" i="11"/>
  <c r="AJ995" i="11"/>
  <c r="AP997" i="11"/>
  <c r="AL995" i="11"/>
  <c r="AP995" i="11"/>
  <c r="AL997" i="11"/>
  <c r="AJ998" i="11"/>
  <c r="AJ997" i="11"/>
  <c r="AH998" i="11"/>
  <c r="AN998" i="11"/>
  <c r="AH999" i="11"/>
  <c r="AH997" i="11"/>
  <c r="AN997" i="11"/>
  <c r="AL999" i="11"/>
  <c r="AN995" i="11"/>
  <c r="AN999" i="11"/>
  <c r="AJ999" i="11"/>
  <c r="AH1000" i="11"/>
  <c r="AJ1000" i="11"/>
  <c r="AN1001" i="11"/>
  <c r="AJ1001" i="11"/>
  <c r="AN1000" i="11"/>
  <c r="AP1000" i="11"/>
  <c r="AL1000" i="11"/>
  <c r="AL1001" i="11"/>
  <c r="AP1001" i="11"/>
  <c r="AH1001" i="11"/>
  <c r="AH1003" i="11"/>
  <c r="AJ1003" i="11"/>
  <c r="AL1003" i="11"/>
  <c r="AP1003" i="11"/>
  <c r="AN1003" i="11"/>
  <c r="AL981" i="11"/>
  <c r="AJ981" i="11"/>
  <c r="AP982" i="11"/>
  <c r="AN980" i="11"/>
  <c r="AL980" i="11"/>
  <c r="AP981" i="11"/>
  <c r="AJ980" i="11"/>
  <c r="AN982" i="11"/>
  <c r="AN979" i="11"/>
  <c r="AH981" i="11"/>
  <c r="AN981" i="11"/>
  <c r="AP979" i="11"/>
  <c r="AH979" i="11"/>
  <c r="AJ982" i="11"/>
  <c r="AH980" i="11"/>
  <c r="AL979" i="11"/>
  <c r="AL982" i="11"/>
  <c r="AH982" i="11"/>
  <c r="AJ979" i="11"/>
  <c r="AP980" i="11"/>
  <c r="AL984" i="11"/>
  <c r="AP984" i="11"/>
  <c r="AH984" i="11"/>
  <c r="AN984" i="11"/>
  <c r="AJ984" i="11"/>
  <c r="AH985" i="11"/>
  <c r="AL985" i="11"/>
  <c r="AN985" i="11"/>
  <c r="AP985" i="11"/>
  <c r="AJ985" i="11"/>
  <c r="AJ969" i="11"/>
  <c r="AH969" i="11"/>
  <c r="AL969" i="11"/>
  <c r="AP969" i="11"/>
  <c r="AN969" i="11"/>
  <c r="AL960" i="11"/>
  <c r="AJ967" i="11"/>
  <c r="AH975" i="11"/>
  <c r="AL978" i="11"/>
  <c r="AL971" i="11"/>
  <c r="AP972" i="11"/>
  <c r="AJ964" i="11"/>
  <c r="AP977" i="11"/>
  <c r="AJ968" i="11"/>
  <c r="AP966" i="11"/>
  <c r="AP978" i="11"/>
  <c r="AJ959" i="11"/>
  <c r="AL967" i="11"/>
  <c r="AJ977" i="11"/>
  <c r="AP960" i="11"/>
  <c r="AJ972" i="11"/>
  <c r="AH968" i="11"/>
  <c r="AJ965" i="11"/>
  <c r="AL977" i="11"/>
  <c r="AP961" i="11"/>
  <c r="AP964" i="11"/>
  <c r="AL961" i="11"/>
  <c r="AL986" i="11"/>
  <c r="AH967" i="11"/>
  <c r="AN960" i="11"/>
  <c r="AN964" i="11"/>
  <c r="AH970" i="11"/>
  <c r="AP973" i="11"/>
  <c r="AP976" i="11"/>
  <c r="AP963" i="11"/>
  <c r="AN963" i="11"/>
  <c r="AH971" i="11"/>
  <c r="AJ976" i="11"/>
  <c r="AJ966" i="11"/>
  <c r="AH976" i="11"/>
  <c r="AP962" i="11"/>
  <c r="AN975" i="11"/>
  <c r="AN978" i="11"/>
  <c r="AH965" i="11"/>
  <c r="AL970" i="11"/>
  <c r="AH977" i="11"/>
  <c r="AH963" i="11"/>
  <c r="AH959" i="11"/>
  <c r="AP970" i="11"/>
  <c r="AN967" i="11"/>
  <c r="AL959" i="11"/>
  <c r="AJ975" i="11"/>
  <c r="AJ960" i="11"/>
  <c r="AJ961" i="11"/>
  <c r="AP968" i="11"/>
  <c r="AN972" i="11"/>
  <c r="AN973" i="11"/>
  <c r="AL965" i="11"/>
  <c r="AN961" i="11"/>
  <c r="AJ963" i="11"/>
  <c r="AN959" i="11"/>
  <c r="AN968" i="11"/>
  <c r="AJ971" i="11"/>
  <c r="AL975" i="11"/>
  <c r="AH961" i="11"/>
  <c r="AL964" i="11"/>
  <c r="AN976" i="11"/>
  <c r="AP967" i="11"/>
  <c r="AJ970" i="11"/>
  <c r="AH986" i="11"/>
  <c r="AL974" i="11"/>
  <c r="AH960" i="11"/>
  <c r="AJ986" i="11"/>
  <c r="AL973" i="11"/>
  <c r="AP975" i="11"/>
  <c r="AL968" i="11"/>
  <c r="AH962" i="11"/>
  <c r="AN966" i="11"/>
  <c r="AN965" i="11"/>
  <c r="AL976" i="11"/>
  <c r="AP959" i="11"/>
  <c r="AP965" i="11"/>
  <c r="AJ978" i="11"/>
  <c r="AL963" i="11"/>
  <c r="AH973" i="11"/>
  <c r="AL972" i="11"/>
  <c r="AP974" i="11"/>
  <c r="AN970" i="11"/>
  <c r="AL966" i="11"/>
  <c r="AH978" i="11"/>
  <c r="AN962" i="11"/>
  <c r="AN986" i="11"/>
  <c r="AN974" i="11"/>
  <c r="AJ962" i="11"/>
  <c r="AN977" i="11"/>
  <c r="AH966" i="11"/>
  <c r="AH974" i="11"/>
  <c r="AP971" i="11"/>
  <c r="AN971" i="11"/>
  <c r="AL962" i="11"/>
  <c r="AH972" i="11"/>
  <c r="AJ973" i="11"/>
  <c r="AP986" i="11"/>
  <c r="AH964" i="11"/>
  <c r="AJ974" i="11"/>
  <c r="AP938" i="11"/>
  <c r="AH938" i="11"/>
  <c r="AN938" i="11"/>
  <c r="AL938" i="11"/>
  <c r="AJ938" i="11"/>
  <c r="AH932" i="11"/>
  <c r="AP932" i="11"/>
  <c r="AN932" i="11"/>
  <c r="AJ932" i="11"/>
  <c r="AL932" i="11"/>
  <c r="AH931" i="11"/>
  <c r="AP931" i="11"/>
  <c r="AN931" i="11"/>
  <c r="AL931" i="11"/>
  <c r="AJ931" i="11"/>
  <c r="AH930" i="11"/>
  <c r="AP930" i="11"/>
  <c r="AN930" i="11"/>
  <c r="AL930" i="11"/>
  <c r="AJ930" i="11"/>
  <c r="AP940" i="11"/>
  <c r="AJ943" i="11"/>
  <c r="AL940" i="11"/>
  <c r="AN941" i="11"/>
  <c r="AH940" i="11"/>
  <c r="AN942" i="11"/>
  <c r="AP941" i="11"/>
  <c r="AN943" i="11"/>
  <c r="AL941" i="11"/>
  <c r="AH941" i="11"/>
  <c r="AP943" i="11"/>
  <c r="AP942" i="11"/>
  <c r="AL942" i="11"/>
  <c r="AH942" i="11"/>
  <c r="AL943" i="11"/>
  <c r="AH943" i="11"/>
  <c r="AN940" i="11"/>
  <c r="AJ940" i="11"/>
  <c r="AJ941" i="11"/>
  <c r="AJ942" i="11"/>
  <c r="AL946" i="11"/>
  <c r="AJ947" i="11"/>
  <c r="AJ945" i="11"/>
  <c r="AP945" i="11"/>
  <c r="AH944" i="11"/>
  <c r="AL947" i="11"/>
  <c r="AN944" i="11"/>
  <c r="AP946" i="11"/>
  <c r="AL944" i="11"/>
  <c r="AJ944" i="11"/>
  <c r="AH946" i="11"/>
  <c r="AN945" i="11"/>
  <c r="AH947" i="11"/>
  <c r="AP944" i="11"/>
  <c r="AN947" i="11"/>
  <c r="AP947" i="11"/>
  <c r="AN946" i="11"/>
  <c r="AH945" i="11"/>
  <c r="AJ946" i="11"/>
  <c r="AL945" i="11"/>
  <c r="AH948" i="11"/>
  <c r="AJ950" i="11"/>
  <c r="AH949" i="11"/>
  <c r="AN955" i="11"/>
  <c r="AH955" i="11"/>
  <c r="AL955" i="11"/>
  <c r="AN950" i="11"/>
  <c r="AN953" i="11"/>
  <c r="AP949" i="11"/>
  <c r="AH953" i="11"/>
  <c r="AL949" i="11"/>
  <c r="AP954" i="11"/>
  <c r="AJ954" i="11"/>
  <c r="AH952" i="11"/>
  <c r="AP948" i="11"/>
  <c r="AH954" i="11"/>
  <c r="AP950" i="11"/>
  <c r="AN954" i="11"/>
  <c r="AN948" i="11"/>
  <c r="AP953" i="11"/>
  <c r="AH950" i="11"/>
  <c r="AN949" i="11"/>
  <c r="AL952" i="11"/>
  <c r="AN952" i="11"/>
  <c r="AJ953" i="11"/>
  <c r="AL948" i="11"/>
  <c r="AP952" i="11"/>
  <c r="AL950" i="11"/>
  <c r="AJ949" i="11"/>
  <c r="AL954" i="11"/>
  <c r="AL953" i="11"/>
  <c r="AJ952" i="11"/>
  <c r="AP955" i="11"/>
  <c r="AJ955" i="11"/>
  <c r="AJ948" i="11"/>
  <c r="AJ905" i="11"/>
  <c r="AL905" i="11"/>
  <c r="AH905" i="11"/>
  <c r="AN905" i="11"/>
  <c r="AP905" i="11"/>
  <c r="AH904" i="11"/>
  <c r="AN904" i="11"/>
  <c r="AL904" i="11"/>
  <c r="AP904" i="11"/>
  <c r="AJ904" i="11"/>
  <c r="AH935" i="11"/>
  <c r="AP924" i="11"/>
  <c r="AP935" i="11"/>
  <c r="AH933" i="11"/>
  <c r="AL957" i="11"/>
  <c r="AN939" i="11"/>
  <c r="AP956" i="11"/>
  <c r="AP927" i="11"/>
  <c r="AJ935" i="11"/>
  <c r="AH925" i="11"/>
  <c r="AJ936" i="11"/>
  <c r="AJ937" i="11"/>
  <c r="AL935" i="11"/>
  <c r="AJ925" i="11"/>
  <c r="AN956" i="11"/>
  <c r="AH937" i="11"/>
  <c r="AL933" i="11"/>
  <c r="AJ933" i="11"/>
  <c r="AN927" i="11"/>
  <c r="AP926" i="11"/>
  <c r="AL927" i="11"/>
  <c r="AL958" i="11"/>
  <c r="AN928" i="11"/>
  <c r="AL928" i="11"/>
  <c r="AJ928" i="11"/>
  <c r="AN923" i="11"/>
  <c r="AP957" i="11"/>
  <c r="AP928" i="11"/>
  <c r="AN957" i="11"/>
  <c r="AN936" i="11"/>
  <c r="AP925" i="11"/>
  <c r="AN925" i="11"/>
  <c r="AN958" i="11"/>
  <c r="AL937" i="11"/>
  <c r="AP958" i="11"/>
  <c r="AN935" i="11"/>
  <c r="AL926" i="11"/>
  <c r="AN937" i="11"/>
  <c r="AP936" i="11"/>
  <c r="AN924" i="11"/>
  <c r="AN926" i="11"/>
  <c r="AL956" i="11"/>
  <c r="AL923" i="11"/>
  <c r="AH927" i="11"/>
  <c r="AJ927" i="11"/>
  <c r="AJ958" i="11"/>
  <c r="AP939" i="11"/>
  <c r="AJ926" i="11"/>
  <c r="AH924" i="11"/>
  <c r="AP923" i="11"/>
  <c r="AH956" i="11"/>
  <c r="AH936" i="11"/>
  <c r="AL936" i="11"/>
  <c r="AJ939" i="11"/>
  <c r="AJ956" i="11"/>
  <c r="AP933" i="11"/>
  <c r="AL939" i="11"/>
  <c r="AJ957" i="11"/>
  <c r="AL924" i="11"/>
  <c r="AJ924" i="11"/>
  <c r="AH928" i="11"/>
  <c r="AH939" i="11"/>
  <c r="AH957" i="11"/>
  <c r="AH926" i="11"/>
  <c r="AH958" i="11"/>
  <c r="AJ923" i="11"/>
  <c r="AH923" i="11"/>
  <c r="AL925" i="11"/>
  <c r="AP937" i="11"/>
  <c r="AN933" i="11"/>
  <c r="AJ918" i="11"/>
  <c r="AH921" i="11"/>
  <c r="AN922" i="11"/>
  <c r="AH922" i="11"/>
  <c r="AL922" i="11"/>
  <c r="AL919" i="11"/>
  <c r="AP920" i="11"/>
  <c r="AP919" i="11"/>
  <c r="AN921" i="11"/>
  <c r="AP922" i="11"/>
  <c r="AL918" i="11"/>
  <c r="AJ920" i="11"/>
  <c r="AL921" i="11"/>
  <c r="AJ919" i="11"/>
  <c r="AH919" i="11"/>
  <c r="AH920" i="11"/>
  <c r="AP921" i="11"/>
  <c r="AP918" i="11"/>
  <c r="AH918" i="11"/>
  <c r="AN918" i="11"/>
  <c r="AL920" i="11"/>
  <c r="AJ922" i="11"/>
  <c r="AN919" i="11"/>
  <c r="AJ921" i="11"/>
  <c r="AN920" i="11"/>
  <c r="AP880" i="11"/>
  <c r="AP878" i="11"/>
  <c r="AN880" i="11"/>
  <c r="AH879" i="11"/>
  <c r="AL880" i="11"/>
  <c r="AH881" i="11"/>
  <c r="AP879" i="11"/>
  <c r="AL879" i="11"/>
  <c r="AH880" i="11"/>
  <c r="AH878" i="11"/>
  <c r="AN878" i="11"/>
  <c r="AJ878" i="11"/>
  <c r="AL878" i="11"/>
  <c r="AP881" i="11"/>
  <c r="AL881" i="11"/>
  <c r="AN881" i="11"/>
  <c r="AJ881" i="11"/>
  <c r="AJ879" i="11"/>
  <c r="AJ880" i="11"/>
  <c r="AN879" i="11"/>
  <c r="AL892" i="11"/>
  <c r="AH892" i="11"/>
  <c r="AL893" i="11"/>
  <c r="AL894" i="11"/>
  <c r="AJ895" i="11"/>
  <c r="AJ892" i="11"/>
  <c r="AN895" i="11"/>
  <c r="AP892" i="11"/>
  <c r="AJ893" i="11"/>
  <c r="AH895" i="11"/>
  <c r="AP893" i="11"/>
  <c r="AN893" i="11"/>
  <c r="AJ894" i="11"/>
  <c r="AP894" i="11"/>
  <c r="AN894" i="11"/>
  <c r="AH894" i="11"/>
  <c r="AH893" i="11"/>
  <c r="AL895" i="11"/>
  <c r="AP895" i="11"/>
  <c r="AN892" i="11"/>
  <c r="AL896" i="11"/>
  <c r="AL897" i="11"/>
  <c r="AH897" i="11"/>
  <c r="AL898" i="11"/>
  <c r="AN898" i="11"/>
  <c r="AJ896" i="11"/>
  <c r="AN896" i="11"/>
  <c r="AP896" i="11"/>
  <c r="AH896" i="11"/>
  <c r="AJ897" i="11"/>
  <c r="AL899" i="11"/>
  <c r="AP897" i="11"/>
  <c r="AP899" i="11"/>
  <c r="AJ898" i="11"/>
  <c r="AP898" i="11"/>
  <c r="AJ899" i="11"/>
  <c r="AN899" i="11"/>
  <c r="AH898" i="11"/>
  <c r="AN897" i="11"/>
  <c r="AH899" i="11"/>
  <c r="AL900" i="11"/>
  <c r="AP903" i="11"/>
  <c r="AL901" i="11"/>
  <c r="AL902" i="11"/>
  <c r="AN901" i="11"/>
  <c r="AP900" i="11"/>
  <c r="AJ903" i="11"/>
  <c r="AJ900" i="11"/>
  <c r="AJ901" i="11"/>
  <c r="AN903" i="11"/>
  <c r="AP901" i="11"/>
  <c r="AH903" i="11"/>
  <c r="AJ902" i="11"/>
  <c r="AL903" i="11"/>
  <c r="AP902" i="11"/>
  <c r="AH902" i="11"/>
  <c r="AH901" i="11"/>
  <c r="AN902" i="11"/>
  <c r="AH900" i="11"/>
  <c r="AN900" i="11"/>
  <c r="AL906" i="11"/>
  <c r="AN909" i="11"/>
  <c r="AL907" i="11"/>
  <c r="AH907" i="11"/>
  <c r="AL908" i="11"/>
  <c r="AH909" i="11"/>
  <c r="AP906" i="11"/>
  <c r="AP907" i="11"/>
  <c r="AH906" i="11"/>
  <c r="AP909" i="11"/>
  <c r="AP908" i="11"/>
  <c r="AJ907" i="11"/>
  <c r="AJ906" i="11"/>
  <c r="AN908" i="11"/>
  <c r="AN907" i="11"/>
  <c r="AJ909" i="11"/>
  <c r="AJ908" i="11"/>
  <c r="AH908" i="11"/>
  <c r="AL909" i="11"/>
  <c r="AN906" i="11"/>
  <c r="AL911" i="11"/>
  <c r="AL912" i="11"/>
  <c r="AL913" i="11"/>
  <c r="AN913" i="11"/>
  <c r="AP910" i="11"/>
  <c r="AN910" i="11"/>
  <c r="AJ911" i="11"/>
  <c r="AH913" i="11"/>
  <c r="AP911" i="11"/>
  <c r="AH910" i="11"/>
  <c r="AJ912" i="11"/>
  <c r="AP912" i="11"/>
  <c r="AN912" i="11"/>
  <c r="AL910" i="11"/>
  <c r="AP913" i="11"/>
  <c r="AH912" i="11"/>
  <c r="AJ913" i="11"/>
  <c r="AN911" i="11"/>
  <c r="AH911" i="11"/>
  <c r="AJ910" i="11"/>
  <c r="AJ914" i="11"/>
  <c r="AJ915" i="11"/>
  <c r="AP915" i="11"/>
  <c r="AP914" i="11"/>
  <c r="AN914" i="11"/>
  <c r="AH914" i="11"/>
  <c r="AH915" i="11"/>
  <c r="AL915" i="11"/>
  <c r="AN915" i="11"/>
  <c r="AL914" i="11"/>
  <c r="AJ916" i="11"/>
  <c r="AP916" i="11"/>
  <c r="AN916" i="11"/>
  <c r="AH916" i="11"/>
  <c r="AL916" i="11"/>
  <c r="AP917" i="11"/>
  <c r="AL917" i="11"/>
  <c r="AN917" i="11"/>
  <c r="AJ917" i="11"/>
  <c r="AH917" i="11"/>
  <c r="AP889" i="11"/>
  <c r="AN889" i="11"/>
  <c r="AL889" i="11"/>
  <c r="AJ889" i="11"/>
  <c r="AH889" i="11"/>
  <c r="AF12" i="11"/>
  <c r="AR12" i="11" s="1"/>
  <c r="AF22" i="11"/>
  <c r="AR22" i="11" s="1"/>
  <c r="AF20" i="11"/>
  <c r="AR20" i="11" s="1"/>
  <c r="AF7" i="11"/>
  <c r="AR7" i="11" s="1"/>
  <c r="AF27" i="11"/>
  <c r="AR27" i="11" s="1"/>
  <c r="AF6" i="11"/>
  <c r="AR6" i="11" s="1"/>
  <c r="AF4" i="11"/>
  <c r="AR4" i="11" s="1"/>
  <c r="AF9" i="11"/>
  <c r="AR9" i="11" s="1"/>
  <c r="AF3" i="11"/>
  <c r="AR3" i="11" s="1"/>
  <c r="AF17" i="11"/>
  <c r="AR17" i="11" s="1"/>
  <c r="AF16" i="11"/>
  <c r="AR16" i="11" s="1"/>
  <c r="AF8" i="11"/>
  <c r="AR8" i="11" s="1"/>
  <c r="AF5" i="11"/>
  <c r="AR5" i="11" s="1"/>
  <c r="AF14" i="11"/>
  <c r="AR14" i="11" s="1"/>
  <c r="AF13" i="11"/>
  <c r="AR13" i="11" s="1"/>
  <c r="AF10" i="11"/>
  <c r="AR10" i="11" s="1"/>
  <c r="AF15" i="11"/>
  <c r="AR15" i="11" s="1"/>
  <c r="AH874" i="11"/>
  <c r="AP798" i="11"/>
  <c r="AJ874" i="11"/>
  <c r="AN798" i="11"/>
  <c r="AN874" i="11"/>
  <c r="AJ798" i="11"/>
  <c r="AP874" i="11"/>
  <c r="AL798" i="11"/>
  <c r="AL874" i="11"/>
  <c r="AJ858" i="11"/>
  <c r="AL858" i="11"/>
  <c r="AH858" i="11"/>
  <c r="AP858" i="11"/>
  <c r="AN858" i="11"/>
  <c r="AP809" i="11"/>
  <c r="AL809" i="11"/>
  <c r="AJ809" i="11"/>
  <c r="AH809" i="11"/>
  <c r="AN809" i="11"/>
  <c r="AH798" i="11"/>
  <c r="AN875" i="11"/>
  <c r="AP875" i="11"/>
  <c r="AJ875" i="11"/>
  <c r="AL875" i="11"/>
  <c r="AH875" i="11"/>
  <c r="AP877" i="11"/>
  <c r="AJ876" i="11"/>
  <c r="AJ877" i="11"/>
  <c r="AL877" i="11"/>
  <c r="AP876" i="11"/>
  <c r="AL876" i="11"/>
  <c r="AN877" i="11"/>
  <c r="AH877" i="11"/>
  <c r="AN876" i="11"/>
  <c r="AH876" i="11"/>
  <c r="AH883" i="11"/>
  <c r="AP883" i="11"/>
  <c r="AJ883" i="11"/>
  <c r="AJ882" i="11"/>
  <c r="AH882" i="11"/>
  <c r="AN883" i="11"/>
  <c r="AL882" i="11"/>
  <c r="AN882" i="11"/>
  <c r="AP882" i="11"/>
  <c r="AL883" i="11"/>
  <c r="AJ884" i="11"/>
  <c r="AP884" i="11"/>
  <c r="AN885" i="11"/>
  <c r="AL884" i="11"/>
  <c r="AH885" i="11"/>
  <c r="AN884" i="11"/>
  <c r="AH884" i="11"/>
  <c r="AP885" i="11"/>
  <c r="AJ885" i="11"/>
  <c r="AL885" i="11"/>
  <c r="AH887" i="11"/>
  <c r="AL887" i="11"/>
  <c r="AL886" i="11"/>
  <c r="AH886" i="11"/>
  <c r="AP886" i="11"/>
  <c r="AJ886" i="11"/>
  <c r="AN887" i="11"/>
  <c r="AN886" i="11"/>
  <c r="AP887" i="11"/>
  <c r="AJ887" i="11"/>
  <c r="AJ888" i="11"/>
  <c r="AP888" i="11"/>
  <c r="AN888" i="11"/>
  <c r="AH888" i="11"/>
  <c r="AL888" i="11"/>
  <c r="AH890" i="11"/>
  <c r="AP890" i="11"/>
  <c r="AN890" i="11"/>
  <c r="AL890" i="11"/>
  <c r="AJ890" i="11"/>
  <c r="AN891" i="11"/>
  <c r="AH891" i="11"/>
  <c r="AP891" i="11"/>
  <c r="AL891" i="11"/>
  <c r="AJ891" i="11"/>
  <c r="AN837" i="11"/>
  <c r="AL837" i="11"/>
  <c r="AH837" i="11"/>
  <c r="AP837" i="11"/>
  <c r="AJ837" i="11"/>
  <c r="AL836" i="11"/>
  <c r="AJ836" i="11"/>
  <c r="AH836" i="11"/>
  <c r="AP836" i="11"/>
  <c r="AN836" i="11"/>
  <c r="AP827" i="11"/>
  <c r="AJ827" i="11"/>
  <c r="AL827" i="11"/>
  <c r="AN827" i="11"/>
  <c r="AH827" i="11"/>
  <c r="AH826" i="11"/>
  <c r="AL826" i="11"/>
  <c r="AJ826" i="11"/>
  <c r="AN826" i="11"/>
  <c r="AP826" i="11"/>
  <c r="AN857" i="11"/>
  <c r="AP857" i="11"/>
  <c r="AL857" i="11"/>
  <c r="AL855" i="11"/>
  <c r="AJ854" i="11"/>
  <c r="AN854" i="11"/>
  <c r="AH854" i="11"/>
  <c r="AJ857" i="11"/>
  <c r="AN856" i="11"/>
  <c r="AH857" i="11"/>
  <c r="AH856" i="11"/>
  <c r="AP855" i="11"/>
  <c r="AN855" i="11"/>
  <c r="AN853" i="11"/>
  <c r="AL854" i="11"/>
  <c r="AP856" i="11"/>
  <c r="AP854" i="11"/>
  <c r="AJ856" i="11"/>
  <c r="AP853" i="11"/>
  <c r="AJ855" i="11"/>
  <c r="AL853" i="11"/>
  <c r="AH853" i="11"/>
  <c r="AL856" i="11"/>
  <c r="AH855" i="11"/>
  <c r="AJ853" i="11"/>
  <c r="AJ861" i="11"/>
  <c r="AJ862" i="11"/>
  <c r="AH860" i="11"/>
  <c r="AL862" i="11"/>
  <c r="AJ860" i="11"/>
  <c r="AH861" i="11"/>
  <c r="AP859" i="11"/>
  <c r="AJ859" i="11"/>
  <c r="AP861" i="11"/>
  <c r="AP860" i="11"/>
  <c r="AL861" i="11"/>
  <c r="AH859" i="11"/>
  <c r="AL860" i="11"/>
  <c r="AN860" i="11"/>
  <c r="AN862" i="11"/>
  <c r="AN859" i="11"/>
  <c r="AN861" i="11"/>
  <c r="AP862" i="11"/>
  <c r="AL859" i="11"/>
  <c r="AH862" i="11"/>
  <c r="AJ863" i="11"/>
  <c r="AL865" i="11"/>
  <c r="AJ864" i="11"/>
  <c r="AN864" i="11"/>
  <c r="AN867" i="11"/>
  <c r="AP863" i="11"/>
  <c r="AP864" i="11"/>
  <c r="AJ865" i="11"/>
  <c r="AJ867" i="11"/>
  <c r="AN863" i="11"/>
  <c r="AH863" i="11"/>
  <c r="AJ866" i="11"/>
  <c r="AH865" i="11"/>
  <c r="AP865" i="11"/>
  <c r="AL864" i="11"/>
  <c r="AP866" i="11"/>
  <c r="AL863" i="11"/>
  <c r="AN866" i="11"/>
  <c r="AL867" i="11"/>
  <c r="AP867" i="11"/>
  <c r="AN865" i="11"/>
  <c r="AH867" i="11"/>
  <c r="AH864" i="11"/>
  <c r="AL866" i="11"/>
  <c r="AH866" i="11"/>
  <c r="AL869" i="11"/>
  <c r="AL868" i="11"/>
  <c r="AP869" i="11"/>
  <c r="AJ868" i="11"/>
  <c r="AP868" i="11"/>
  <c r="AN868" i="11"/>
  <c r="AH868" i="11"/>
  <c r="AJ869" i="11"/>
  <c r="AH869" i="11"/>
  <c r="AN869" i="11"/>
  <c r="AJ871" i="11"/>
  <c r="AJ870" i="11"/>
  <c r="AL870" i="11"/>
  <c r="AP870" i="11"/>
  <c r="AN871" i="11"/>
  <c r="AL871" i="11"/>
  <c r="AN870" i="11"/>
  <c r="AH871" i="11"/>
  <c r="AP871" i="11"/>
  <c r="AH870" i="11"/>
  <c r="AP872" i="11"/>
  <c r="AN872" i="11"/>
  <c r="AL872" i="11"/>
  <c r="AJ872" i="11"/>
  <c r="AH872" i="11"/>
  <c r="AN847" i="11"/>
  <c r="AP846" i="11"/>
  <c r="AJ847" i="11"/>
  <c r="AN846" i="11"/>
  <c r="AL847" i="11"/>
  <c r="AL848" i="11"/>
  <c r="AJ848" i="11"/>
  <c r="AP847" i="11"/>
  <c r="AP848" i="11"/>
  <c r="AH847" i="11"/>
  <c r="AL846" i="11"/>
  <c r="AH846" i="11"/>
  <c r="AN848" i="11"/>
  <c r="AJ846" i="11"/>
  <c r="AH848" i="11"/>
  <c r="AL850" i="11"/>
  <c r="AJ849" i="11"/>
  <c r="AP850" i="11"/>
  <c r="AN850" i="11"/>
  <c r="AN849" i="11"/>
  <c r="AJ850" i="11"/>
  <c r="AL849" i="11"/>
  <c r="AH850" i="11"/>
  <c r="AP849" i="11"/>
  <c r="AH849" i="11"/>
  <c r="AH873" i="11"/>
  <c r="AN852" i="11"/>
  <c r="AL873" i="11"/>
  <c r="AJ873" i="11"/>
  <c r="AJ852" i="11"/>
  <c r="AP852" i="11"/>
  <c r="AH852" i="11"/>
  <c r="AL852" i="11"/>
  <c r="AP873" i="11"/>
  <c r="AN873" i="11"/>
  <c r="AL779" i="11"/>
  <c r="AP779" i="11"/>
  <c r="AH779" i="11"/>
  <c r="AJ779" i="11"/>
  <c r="AP792" i="11"/>
  <c r="AJ792" i="11"/>
  <c r="AL792" i="11"/>
  <c r="AH792" i="11"/>
  <c r="AN792" i="11"/>
  <c r="AN779" i="11"/>
  <c r="AJ833" i="11"/>
  <c r="AH833" i="11"/>
  <c r="AN833" i="11"/>
  <c r="AJ835" i="11"/>
  <c r="AP834" i="11"/>
  <c r="AH834" i="11"/>
  <c r="AP835" i="11"/>
  <c r="AN834" i="11"/>
  <c r="AL835" i="11"/>
  <c r="AJ834" i="11"/>
  <c r="AH835" i="11"/>
  <c r="AP833" i="11"/>
  <c r="AN835" i="11"/>
  <c r="AL833" i="11"/>
  <c r="AL834" i="11"/>
  <c r="AP839" i="11"/>
  <c r="AL839" i="11"/>
  <c r="AL840" i="11"/>
  <c r="AH838" i="11"/>
  <c r="AJ838" i="11"/>
  <c r="AN838" i="11"/>
  <c r="AN839" i="11"/>
  <c r="AJ840" i="11"/>
  <c r="AN840" i="11"/>
  <c r="AL838" i="11"/>
  <c r="AP840" i="11"/>
  <c r="AJ839" i="11"/>
  <c r="AH840" i="11"/>
  <c r="AH839" i="11"/>
  <c r="AP838" i="11"/>
  <c r="AJ843" i="11"/>
  <c r="AJ841" i="11"/>
  <c r="AH841" i="11"/>
  <c r="AN841" i="11"/>
  <c r="AN842" i="11"/>
  <c r="AP842" i="11"/>
  <c r="AJ842" i="11"/>
  <c r="AP843" i="11"/>
  <c r="AL842" i="11"/>
  <c r="AL843" i="11"/>
  <c r="AH842" i="11"/>
  <c r="AH843" i="11"/>
  <c r="AP841" i="11"/>
  <c r="AL841" i="11"/>
  <c r="AN843" i="11"/>
  <c r="AJ844" i="11"/>
  <c r="AP844" i="11"/>
  <c r="AN845" i="11"/>
  <c r="AL845" i="11"/>
  <c r="AN844" i="11"/>
  <c r="AL844" i="11"/>
  <c r="AH844" i="11"/>
  <c r="AP845" i="11"/>
  <c r="AH845" i="11"/>
  <c r="AJ845" i="11"/>
  <c r="AH851" i="11"/>
  <c r="AJ851" i="11"/>
  <c r="AP851" i="11"/>
  <c r="AN851" i="11"/>
  <c r="AL851" i="11"/>
  <c r="AN825" i="11"/>
  <c r="AP822" i="11"/>
  <c r="AP824" i="11"/>
  <c r="AH824" i="11"/>
  <c r="AH825" i="11"/>
  <c r="AP825" i="11"/>
  <c r="AJ822" i="11"/>
  <c r="AJ823" i="11"/>
  <c r="AJ824" i="11"/>
  <c r="AN824" i="11"/>
  <c r="AP823" i="11"/>
  <c r="AN822" i="11"/>
  <c r="AL824" i="11"/>
  <c r="AH823" i="11"/>
  <c r="AL825" i="11"/>
  <c r="AL822" i="11"/>
  <c r="AJ825" i="11"/>
  <c r="AH822" i="11"/>
  <c r="AL823" i="11"/>
  <c r="AN823" i="11"/>
  <c r="AL819" i="11"/>
  <c r="AH819" i="11"/>
  <c r="AL820" i="11"/>
  <c r="AJ820" i="11"/>
  <c r="AL821" i="11"/>
  <c r="AP819" i="11"/>
  <c r="AN828" i="11"/>
  <c r="AJ819" i="11"/>
  <c r="AL828" i="11"/>
  <c r="AP820" i="11"/>
  <c r="AJ821" i="11"/>
  <c r="AH828" i="11"/>
  <c r="AP821" i="11"/>
  <c r="AH821" i="11"/>
  <c r="AN821" i="11"/>
  <c r="AN820" i="11"/>
  <c r="AN819" i="11"/>
  <c r="AJ828" i="11"/>
  <c r="AH820" i="11"/>
  <c r="AP828" i="11"/>
  <c r="AP829" i="11"/>
  <c r="AN829" i="11"/>
  <c r="AN830" i="11"/>
  <c r="AH829" i="11"/>
  <c r="AL830" i="11"/>
  <c r="AH830" i="11"/>
  <c r="AP830" i="11"/>
  <c r="AJ829" i="11"/>
  <c r="AJ830" i="11"/>
  <c r="AL829" i="11"/>
  <c r="AJ831" i="11"/>
  <c r="AH831" i="11"/>
  <c r="AP831" i="11"/>
  <c r="AN831" i="11"/>
  <c r="AL831" i="11"/>
  <c r="AL803" i="11"/>
  <c r="AJ803" i="11"/>
  <c r="AP803" i="11"/>
  <c r="AH803" i="11"/>
  <c r="AN803" i="11"/>
  <c r="AH783" i="11"/>
  <c r="AL783" i="11"/>
  <c r="AJ783" i="11"/>
  <c r="AP783" i="11"/>
  <c r="AN783" i="11"/>
  <c r="AP811" i="11"/>
  <c r="AH811" i="11"/>
  <c r="AL812" i="11"/>
  <c r="AH812" i="11"/>
  <c r="AL813" i="11"/>
  <c r="AL814" i="11"/>
  <c r="AJ811" i="11"/>
  <c r="AH814" i="11"/>
  <c r="AJ812" i="11"/>
  <c r="AN811" i="11"/>
  <c r="AJ813" i="11"/>
  <c r="AH813" i="11"/>
  <c r="AJ814" i="11"/>
  <c r="AP814" i="11"/>
  <c r="AN814" i="11"/>
  <c r="AP813" i="11"/>
  <c r="AP812" i="11"/>
  <c r="AN812" i="11"/>
  <c r="AL811" i="11"/>
  <c r="AN813" i="11"/>
  <c r="AJ810" i="11"/>
  <c r="AL808" i="11"/>
  <c r="AN815" i="11"/>
  <c r="AH806" i="11"/>
  <c r="AL818" i="11"/>
  <c r="AN832" i="11"/>
  <c r="AH805" i="11"/>
  <c r="AJ808" i="11"/>
  <c r="AL832" i="11"/>
  <c r="AH810" i="11"/>
  <c r="AL806" i="11"/>
  <c r="AN807" i="11"/>
  <c r="AN805" i="11"/>
  <c r="AN816" i="11"/>
  <c r="AJ815" i="11"/>
  <c r="AH808" i="11"/>
  <c r="AH807" i="11"/>
  <c r="AJ816" i="11"/>
  <c r="AL816" i="11"/>
  <c r="AN806" i="11"/>
  <c r="AP810" i="11"/>
  <c r="AL815" i="11"/>
  <c r="AJ817" i="11"/>
  <c r="AL817" i="11"/>
  <c r="AP817" i="11"/>
  <c r="AJ807" i="11"/>
  <c r="AP808" i="11"/>
  <c r="AH815" i="11"/>
  <c r="AJ818" i="11"/>
  <c r="AN818" i="11"/>
  <c r="AJ806" i="11"/>
  <c r="AL807" i="11"/>
  <c r="AN810" i="11"/>
  <c r="AP815" i="11"/>
  <c r="AH818" i="11"/>
  <c r="AP832" i="11"/>
  <c r="AP818" i="11"/>
  <c r="AH832" i="11"/>
  <c r="AP805" i="11"/>
  <c r="AN808" i="11"/>
  <c r="AH817" i="11"/>
  <c r="AL805" i="11"/>
  <c r="AJ832" i="11"/>
  <c r="AJ805" i="11"/>
  <c r="AH816" i="11"/>
  <c r="AP806" i="11"/>
  <c r="AL810" i="11"/>
  <c r="AP807" i="11"/>
  <c r="AN817" i="11"/>
  <c r="AP816" i="11"/>
  <c r="AN799" i="11"/>
  <c r="AJ796" i="11"/>
  <c r="AL800" i="11"/>
  <c r="AL796" i="11"/>
  <c r="AP800" i="11"/>
  <c r="AL797" i="11"/>
  <c r="AP796" i="11"/>
  <c r="AN802" i="11"/>
  <c r="AP797" i="11"/>
  <c r="AN797" i="11"/>
  <c r="AL804" i="11"/>
  <c r="AL799" i="11"/>
  <c r="AJ799" i="11"/>
  <c r="AN796" i="11"/>
  <c r="AH800" i="11"/>
  <c r="AJ800" i="11"/>
  <c r="AJ797" i="11"/>
  <c r="AN800" i="11"/>
  <c r="AJ802" i="11"/>
  <c r="AJ804" i="11"/>
  <c r="AP802" i="11"/>
  <c r="AH799" i="11"/>
  <c r="AH801" i="11"/>
  <c r="AP799" i="11"/>
  <c r="AJ801" i="11"/>
  <c r="AL802" i="11"/>
  <c r="AL801" i="11"/>
  <c r="AH804" i="11"/>
  <c r="AN801" i="11"/>
  <c r="AH797" i="11"/>
  <c r="AP804" i="11"/>
  <c r="AP801" i="11"/>
  <c r="AH802" i="11"/>
  <c r="AH796" i="11"/>
  <c r="AN804" i="11"/>
  <c r="V16" i="11"/>
  <c r="AU16" i="11" s="1"/>
  <c r="V2" i="11"/>
  <c r="V17" i="11"/>
  <c r="AU17" i="11" s="1"/>
  <c r="V11" i="11"/>
  <c r="V18" i="11"/>
  <c r="V14" i="11"/>
  <c r="AN766" i="11"/>
  <c r="AJ766" i="11"/>
  <c r="AP766" i="11"/>
  <c r="AL766" i="11"/>
  <c r="AH766" i="11"/>
  <c r="AL788" i="11"/>
  <c r="AN787" i="11"/>
  <c r="AJ791" i="11"/>
  <c r="AH785" i="11"/>
  <c r="AJ785" i="11"/>
  <c r="AH793" i="11"/>
  <c r="AN784" i="11"/>
  <c r="AP784" i="11"/>
  <c r="AP789" i="11"/>
  <c r="AH784" i="11"/>
  <c r="AL789" i="11"/>
  <c r="AL780" i="11"/>
  <c r="AP793" i="11"/>
  <c r="AH790" i="11"/>
  <c r="AP790" i="11"/>
  <c r="AP786" i="11"/>
  <c r="AL794" i="11"/>
  <c r="AP787" i="11"/>
  <c r="AP795" i="11"/>
  <c r="AP791" i="11"/>
  <c r="AL795" i="11"/>
  <c r="AH794" i="11"/>
  <c r="AP780" i="11"/>
  <c r="AN790" i="11"/>
  <c r="AN794" i="11"/>
  <c r="AJ787" i="11"/>
  <c r="AH789" i="11"/>
  <c r="AP794" i="11"/>
  <c r="AN782" i="11"/>
  <c r="AJ793" i="11"/>
  <c r="AJ789" i="11"/>
  <c r="AL782" i="11"/>
  <c r="AN789" i="11"/>
  <c r="AN786" i="11"/>
  <c r="AP781" i="11"/>
  <c r="AL781" i="11"/>
  <c r="AN788" i="11"/>
  <c r="AJ784" i="11"/>
  <c r="AN795" i="11"/>
  <c r="AN791" i="11"/>
  <c r="AJ780" i="11"/>
  <c r="AP788" i="11"/>
  <c r="AJ782" i="11"/>
  <c r="AN793" i="11"/>
  <c r="AL785" i="11"/>
  <c r="AJ794" i="11"/>
  <c r="AN781" i="11"/>
  <c r="AH791" i="11"/>
  <c r="AL790" i="11"/>
  <c r="AL786" i="11"/>
  <c r="AJ781" i="11"/>
  <c r="AH780" i="11"/>
  <c r="AL787" i="11"/>
  <c r="AL793" i="11"/>
  <c r="AH786" i="11"/>
  <c r="AL784" i="11"/>
  <c r="AP782" i="11"/>
  <c r="AJ790" i="11"/>
  <c r="AL791" i="11"/>
  <c r="AN785" i="11"/>
  <c r="AH788" i="11"/>
  <c r="AN780" i="11"/>
  <c r="AP785" i="11"/>
  <c r="AJ795" i="11"/>
  <c r="AJ788" i="11"/>
  <c r="AH795" i="11"/>
  <c r="AJ786" i="11"/>
  <c r="AH782" i="11"/>
  <c r="AH787" i="11"/>
  <c r="AH781" i="11"/>
  <c r="AH749" i="11"/>
  <c r="AN749" i="11"/>
  <c r="AP749" i="11"/>
  <c r="AL749" i="11"/>
  <c r="AJ749" i="11"/>
  <c r="AP753" i="11"/>
  <c r="AP733" i="11"/>
  <c r="AN753" i="11"/>
  <c r="AP745" i="11"/>
  <c r="AN745" i="11"/>
  <c r="AL753" i="11"/>
  <c r="AL745" i="11"/>
  <c r="AH753" i="11"/>
  <c r="AJ753" i="11"/>
  <c r="AH733" i="11"/>
  <c r="AN733" i="11"/>
  <c r="AJ733" i="11"/>
  <c r="AH745" i="11"/>
  <c r="AL733" i="11"/>
  <c r="AJ745" i="11"/>
  <c r="AJ742" i="11"/>
  <c r="AH742" i="11"/>
  <c r="AL742" i="11"/>
  <c r="AP742" i="11"/>
  <c r="AN742" i="11"/>
  <c r="AN752" i="11"/>
  <c r="AL755" i="11"/>
  <c r="AH752" i="11"/>
  <c r="AN754" i="11"/>
  <c r="AJ752" i="11"/>
  <c r="AH754" i="11"/>
  <c r="AN755" i="11"/>
  <c r="AP754" i="11"/>
  <c r="AP755" i="11"/>
  <c r="AL754" i="11"/>
  <c r="AP752" i="11"/>
  <c r="AL752" i="11"/>
  <c r="AJ755" i="11"/>
  <c r="AH755" i="11"/>
  <c r="AJ754" i="11"/>
  <c r="AL756" i="11"/>
  <c r="AH756" i="11"/>
  <c r="AL759" i="11"/>
  <c r="AJ759" i="11"/>
  <c r="AP756" i="11"/>
  <c r="AL758" i="11"/>
  <c r="AH759" i="11"/>
  <c r="AH757" i="11"/>
  <c r="AH758" i="11"/>
  <c r="AN757" i="11"/>
  <c r="AN758" i="11"/>
  <c r="AP758" i="11"/>
  <c r="AP757" i="11"/>
  <c r="AL757" i="11"/>
  <c r="AP759" i="11"/>
  <c r="AN756" i="11"/>
  <c r="AN759" i="11"/>
  <c r="AJ758" i="11"/>
  <c r="AJ757" i="11"/>
  <c r="AJ756" i="11"/>
  <c r="AL760" i="11"/>
  <c r="AJ761" i="11"/>
  <c r="AL761" i="11"/>
  <c r="AN762" i="11"/>
  <c r="AL763" i="11"/>
  <c r="AH763" i="11"/>
  <c r="AJ760" i="11"/>
  <c r="AP760" i="11"/>
  <c r="AH760" i="11"/>
  <c r="AH762" i="11"/>
  <c r="AH761" i="11"/>
  <c r="AN760" i="11"/>
  <c r="AP763" i="11"/>
  <c r="AP762" i="11"/>
  <c r="AP761" i="11"/>
  <c r="AL762" i="11"/>
  <c r="AJ763" i="11"/>
  <c r="AN761" i="11"/>
  <c r="AN763" i="11"/>
  <c r="AJ762" i="11"/>
  <c r="AL764" i="11"/>
  <c r="AL765" i="11"/>
  <c r="AP765" i="11"/>
  <c r="AL767" i="11"/>
  <c r="AN764" i="11"/>
  <c r="AL768" i="11"/>
  <c r="AP768" i="11"/>
  <c r="AJ765" i="11"/>
  <c r="AN767" i="11"/>
  <c r="AN765" i="11"/>
  <c r="AH764" i="11"/>
  <c r="AP767" i="11"/>
  <c r="AP764" i="11"/>
  <c r="AN768" i="11"/>
  <c r="AH767" i="11"/>
  <c r="AJ767" i="11"/>
  <c r="AJ768" i="11"/>
  <c r="AH765" i="11"/>
  <c r="AJ764" i="11"/>
  <c r="AH768" i="11"/>
  <c r="AL770" i="11"/>
  <c r="AJ769" i="11"/>
  <c r="AL772" i="11"/>
  <c r="AN772" i="11"/>
  <c r="AJ770" i="11"/>
  <c r="AP771" i="11"/>
  <c r="AP770" i="11"/>
  <c r="AN769" i="11"/>
  <c r="AH771" i="11"/>
  <c r="AJ772" i="11"/>
  <c r="AN771" i="11"/>
  <c r="AP772" i="11"/>
  <c r="AJ771" i="11"/>
  <c r="AH772" i="11"/>
  <c r="AL771" i="11"/>
  <c r="AP769" i="11"/>
  <c r="AH770" i="11"/>
  <c r="AN770" i="11"/>
  <c r="AH769" i="11"/>
  <c r="AL769" i="11"/>
  <c r="AL773" i="11"/>
  <c r="AL774" i="11"/>
  <c r="AH773" i="11"/>
  <c r="AN776" i="11"/>
  <c r="AL776" i="11"/>
  <c r="AJ773" i="11"/>
  <c r="AJ776" i="11"/>
  <c r="AP773" i="11"/>
  <c r="AN775" i="11"/>
  <c r="AJ774" i="11"/>
  <c r="AP776" i="11"/>
  <c r="AP774" i="11"/>
  <c r="AH775" i="11"/>
  <c r="AH776" i="11"/>
  <c r="AP775" i="11"/>
  <c r="AN773" i="11"/>
  <c r="AN774" i="11"/>
  <c r="AH774" i="11"/>
  <c r="AJ775" i="11"/>
  <c r="AL775" i="11"/>
  <c r="AJ778" i="11"/>
  <c r="AP778" i="11"/>
  <c r="AN778" i="11"/>
  <c r="AH778" i="11"/>
  <c r="AP777" i="11"/>
  <c r="AJ777" i="11"/>
  <c r="AH777" i="11"/>
  <c r="AN777" i="11"/>
  <c r="AL778" i="11"/>
  <c r="AL777" i="11"/>
  <c r="AJ675" i="11"/>
  <c r="AL691" i="11"/>
  <c r="AN686" i="11"/>
  <c r="AP686" i="11"/>
  <c r="AN691" i="11"/>
  <c r="AP691" i="11"/>
  <c r="AJ686" i="11"/>
  <c r="AH675" i="11"/>
  <c r="AH691" i="11"/>
  <c r="AN675" i="11"/>
  <c r="AJ691" i="11"/>
  <c r="AH686" i="11"/>
  <c r="AL675" i="11"/>
  <c r="AL686" i="11"/>
  <c r="AP675" i="11"/>
  <c r="AP741" i="11"/>
  <c r="AN740" i="11"/>
  <c r="AL741" i="11"/>
  <c r="AJ741" i="11"/>
  <c r="AP740" i="11"/>
  <c r="AL740" i="11"/>
  <c r="AH741" i="11"/>
  <c r="AH740" i="11"/>
  <c r="AN741" i="11"/>
  <c r="AJ740" i="11"/>
  <c r="AN735" i="11"/>
  <c r="AJ735" i="11"/>
  <c r="AP735" i="11"/>
  <c r="AL735" i="11"/>
  <c r="AH735" i="11"/>
  <c r="AN719" i="11"/>
  <c r="AH719" i="11"/>
  <c r="AL719" i="11"/>
  <c r="AJ719" i="11"/>
  <c r="AP719" i="11"/>
  <c r="AJ704" i="11"/>
  <c r="AH704" i="11"/>
  <c r="AP704" i="11"/>
  <c r="AN704" i="11"/>
  <c r="AL704" i="11"/>
  <c r="AJ701" i="11"/>
  <c r="AH702" i="11"/>
  <c r="AN703" i="11"/>
  <c r="AJ699" i="11"/>
  <c r="AP701" i="11"/>
  <c r="AN700" i="11"/>
  <c r="AN701" i="11"/>
  <c r="AJ702" i="11"/>
  <c r="AP705" i="11"/>
  <c r="AH698" i="11"/>
  <c r="AP702" i="11"/>
  <c r="AN702" i="11"/>
  <c r="AH699" i="11"/>
  <c r="AL699" i="11"/>
  <c r="AJ703" i="11"/>
  <c r="AH703" i="11"/>
  <c r="AH700" i="11"/>
  <c r="AP703" i="11"/>
  <c r="AL705" i="11"/>
  <c r="AL700" i="11"/>
  <c r="AP698" i="11"/>
  <c r="AN698" i="11"/>
  <c r="AJ697" i="11"/>
  <c r="AL701" i="11"/>
  <c r="AL698" i="11"/>
  <c r="AL702" i="11"/>
  <c r="AL697" i="11"/>
  <c r="AN705" i="11"/>
  <c r="AN697" i="11"/>
  <c r="AL703" i="11"/>
  <c r="AJ705" i="11"/>
  <c r="AJ698" i="11"/>
  <c r="AN699" i="11"/>
  <c r="AJ700" i="11"/>
  <c r="AP699" i="11"/>
  <c r="AP697" i="11"/>
  <c r="AP700" i="11"/>
  <c r="AH701" i="11"/>
  <c r="AH705" i="11"/>
  <c r="AH697" i="11"/>
  <c r="AJ710" i="11"/>
  <c r="AN711" i="11"/>
  <c r="AH710" i="11"/>
  <c r="AP710" i="11"/>
  <c r="AH707" i="11"/>
  <c r="AH706" i="11"/>
  <c r="AJ712" i="11"/>
  <c r="AL709" i="11"/>
  <c r="AL706" i="11"/>
  <c r="AP712" i="11"/>
  <c r="AJ711" i="11"/>
  <c r="AN713" i="11"/>
  <c r="AN707" i="11"/>
  <c r="AJ707" i="11"/>
  <c r="AN708" i="11"/>
  <c r="AN706" i="11"/>
  <c r="AP711" i="11"/>
  <c r="AL710" i="11"/>
  <c r="AN709" i="11"/>
  <c r="AL708" i="11"/>
  <c r="AP707" i="11"/>
  <c r="AJ713" i="11"/>
  <c r="AL711" i="11"/>
  <c r="AP706" i="11"/>
  <c r="AL712" i="11"/>
  <c r="AJ706" i="11"/>
  <c r="AH711" i="11"/>
  <c r="AP708" i="11"/>
  <c r="AJ709" i="11"/>
  <c r="AL713" i="11"/>
  <c r="AH709" i="11"/>
  <c r="AN710" i="11"/>
  <c r="AP709" i="11"/>
  <c r="AP713" i="11"/>
  <c r="AH712" i="11"/>
  <c r="AH713" i="11"/>
  <c r="AH708" i="11"/>
  <c r="AN712" i="11"/>
  <c r="AJ708" i="11"/>
  <c r="AL707" i="11"/>
  <c r="AJ717" i="11"/>
  <c r="AH718" i="11"/>
  <c r="AP720" i="11"/>
  <c r="AH714" i="11"/>
  <c r="AP717" i="11"/>
  <c r="AL722" i="11"/>
  <c r="AL716" i="11"/>
  <c r="AN715" i="11"/>
  <c r="AP721" i="11"/>
  <c r="AH720" i="11"/>
  <c r="AN720" i="11"/>
  <c r="AJ721" i="11"/>
  <c r="AN716" i="11"/>
  <c r="AN717" i="11"/>
  <c r="AJ714" i="11"/>
  <c r="AL717" i="11"/>
  <c r="AJ722" i="11"/>
  <c r="AN722" i="11"/>
  <c r="AL720" i="11"/>
  <c r="AL721" i="11"/>
  <c r="AL714" i="11"/>
  <c r="AP714" i="11"/>
  <c r="AL715" i="11"/>
  <c r="AJ715" i="11"/>
  <c r="AP722" i="11"/>
  <c r="AP715" i="11"/>
  <c r="AH721" i="11"/>
  <c r="AN714" i="11"/>
  <c r="AJ720" i="11"/>
  <c r="AJ718" i="11"/>
  <c r="AP716" i="11"/>
  <c r="AJ716" i="11"/>
  <c r="AP718" i="11"/>
  <c r="AN721" i="11"/>
  <c r="AH722" i="11"/>
  <c r="AH715" i="11"/>
  <c r="AH717" i="11"/>
  <c r="AH716" i="11"/>
  <c r="AN718" i="11"/>
  <c r="AL718" i="11"/>
  <c r="AJ727" i="11"/>
  <c r="AP729" i="11"/>
  <c r="AJ729" i="11"/>
  <c r="AL723" i="11"/>
  <c r="AP723" i="11"/>
  <c r="AJ723" i="11"/>
  <c r="AP727" i="11"/>
  <c r="AH728" i="11"/>
  <c r="AN724" i="11"/>
  <c r="AN726" i="11"/>
  <c r="AJ728" i="11"/>
  <c r="AP724" i="11"/>
  <c r="AN723" i="11"/>
  <c r="AN725" i="11"/>
  <c r="AP728" i="11"/>
  <c r="AN727" i="11"/>
  <c r="AN730" i="11"/>
  <c r="AH723" i="11"/>
  <c r="AP726" i="11"/>
  <c r="AH730" i="11"/>
  <c r="AJ724" i="11"/>
  <c r="AL726" i="11"/>
  <c r="AL727" i="11"/>
  <c r="AN728" i="11"/>
  <c r="AL724" i="11"/>
  <c r="AJ726" i="11"/>
  <c r="AH726" i="11"/>
  <c r="AN729" i="11"/>
  <c r="AL728" i="11"/>
  <c r="AH725" i="11"/>
  <c r="AH724" i="11"/>
  <c r="AL730" i="11"/>
  <c r="AJ725" i="11"/>
  <c r="AL725" i="11"/>
  <c r="AL729" i="11"/>
  <c r="AP725" i="11"/>
  <c r="AH729" i="11"/>
  <c r="AH727" i="11"/>
  <c r="AP730" i="11"/>
  <c r="AJ730" i="11"/>
  <c r="AJ736" i="11"/>
  <c r="AJ737" i="11"/>
  <c r="AH736" i="11"/>
  <c r="AP737" i="11"/>
  <c r="AL731" i="11"/>
  <c r="AJ739" i="11"/>
  <c r="AJ738" i="11"/>
  <c r="AH739" i="11"/>
  <c r="AP731" i="11"/>
  <c r="AP738" i="11"/>
  <c r="AJ731" i="11"/>
  <c r="AN731" i="11"/>
  <c r="AN738" i="11"/>
  <c r="AL734" i="11"/>
  <c r="AN734" i="11"/>
  <c r="AP739" i="11"/>
  <c r="AN732" i="11"/>
  <c r="AN739" i="11"/>
  <c r="AL736" i="11"/>
  <c r="AH734" i="11"/>
  <c r="AN737" i="11"/>
  <c r="AN736" i="11"/>
  <c r="AL737" i="11"/>
  <c r="AL739" i="11"/>
  <c r="AL738" i="11"/>
  <c r="AJ734" i="11"/>
  <c r="AJ732" i="11"/>
  <c r="AL732" i="11"/>
  <c r="AP736" i="11"/>
  <c r="AH732" i="11"/>
  <c r="AH731" i="11"/>
  <c r="AP732" i="11"/>
  <c r="AP734" i="11"/>
  <c r="AH737" i="11"/>
  <c r="AH738" i="11"/>
  <c r="AP743" i="11"/>
  <c r="AH743" i="11"/>
  <c r="AN743" i="11"/>
  <c r="AL746" i="11"/>
  <c r="AJ746" i="11"/>
  <c r="AJ743" i="11"/>
  <c r="AJ744" i="11"/>
  <c r="AN746" i="11"/>
  <c r="AL744" i="11"/>
  <c r="AP744" i="11"/>
  <c r="AL743" i="11"/>
  <c r="AH746" i="11"/>
  <c r="AP746" i="11"/>
  <c r="AH744" i="11"/>
  <c r="AN744" i="11"/>
  <c r="AJ747" i="11"/>
  <c r="AP748" i="11"/>
  <c r="AL748" i="11"/>
  <c r="AL747" i="11"/>
  <c r="AP747" i="11"/>
  <c r="AJ748" i="11"/>
  <c r="AN748" i="11"/>
  <c r="AH748" i="11"/>
  <c r="AN747" i="11"/>
  <c r="AH747" i="11"/>
  <c r="AP750" i="11"/>
  <c r="AH750" i="11"/>
  <c r="AJ750" i="11"/>
  <c r="AN750" i="11"/>
  <c r="AL750" i="11"/>
  <c r="AH751" i="11"/>
  <c r="AP751" i="11"/>
  <c r="AN751" i="11"/>
  <c r="AL751" i="11"/>
  <c r="AJ751" i="11"/>
  <c r="AI15" i="11"/>
  <c r="AP15" i="11"/>
  <c r="AN15" i="11"/>
  <c r="AM15" i="11"/>
  <c r="AK15" i="11"/>
  <c r="AO15" i="11"/>
  <c r="AL15" i="11"/>
  <c r="AJ15" i="11"/>
  <c r="AI16" i="11"/>
  <c r="AN16" i="11"/>
  <c r="AP16" i="11"/>
  <c r="AO16" i="11"/>
  <c r="AK16" i="11"/>
  <c r="AM16" i="11"/>
  <c r="AJ16" i="11"/>
  <c r="AL16" i="11"/>
  <c r="AI10" i="11"/>
  <c r="AN10" i="11"/>
  <c r="AP10" i="11"/>
  <c r="AO10" i="11"/>
  <c r="AM10" i="11"/>
  <c r="AL10" i="11"/>
  <c r="AK10" i="11"/>
  <c r="AJ10" i="11"/>
  <c r="AI6" i="11"/>
  <c r="AP6" i="11"/>
  <c r="AN6" i="11"/>
  <c r="AO6" i="11"/>
  <c r="AL6" i="11"/>
  <c r="AK6" i="11"/>
  <c r="AJ6" i="11"/>
  <c r="AM6" i="11"/>
  <c r="AI28" i="11"/>
  <c r="AN28" i="11"/>
  <c r="AP28" i="11"/>
  <c r="AO28" i="11"/>
  <c r="AM28" i="11"/>
  <c r="AL28" i="11"/>
  <c r="AK28" i="11"/>
  <c r="AJ28" i="11"/>
  <c r="AI3" i="11"/>
  <c r="AP3" i="11"/>
  <c r="AN3" i="11"/>
  <c r="AO3" i="11"/>
  <c r="AM3" i="11"/>
  <c r="AK3" i="11"/>
  <c r="AL3" i="11"/>
  <c r="AJ3" i="11"/>
  <c r="AI7" i="11"/>
  <c r="AP7" i="11"/>
  <c r="AN7" i="11"/>
  <c r="AO7" i="11"/>
  <c r="AJ7" i="11"/>
  <c r="AM7" i="11"/>
  <c r="AK7" i="11"/>
  <c r="AL7" i="11"/>
  <c r="AI5" i="11"/>
  <c r="AP5" i="11"/>
  <c r="AO5" i="11"/>
  <c r="AM5" i="11"/>
  <c r="AN5" i="11"/>
  <c r="AJ5" i="11"/>
  <c r="AK5" i="11"/>
  <c r="AL5" i="11"/>
  <c r="AI22" i="11"/>
  <c r="AN22" i="11"/>
  <c r="AP22" i="11"/>
  <c r="AK22" i="11"/>
  <c r="AL22" i="11"/>
  <c r="AM22" i="11"/>
  <c r="AJ22" i="11"/>
  <c r="AO22" i="11"/>
  <c r="AI13" i="11"/>
  <c r="AP13" i="11"/>
  <c r="AN13" i="11"/>
  <c r="AO13" i="11"/>
  <c r="AM13" i="11"/>
  <c r="AL13" i="11"/>
  <c r="AJ13" i="11"/>
  <c r="AK13" i="11"/>
  <c r="AI12" i="11"/>
  <c r="AN12" i="11"/>
  <c r="AP12" i="11"/>
  <c r="AO12" i="11"/>
  <c r="AL12" i="11"/>
  <c r="AM12" i="11"/>
  <c r="AJ12" i="11"/>
  <c r="AK12" i="11"/>
  <c r="AI29" i="11"/>
  <c r="AP29" i="11"/>
  <c r="AN29" i="11"/>
  <c r="AO29" i="11"/>
  <c r="AM29" i="11"/>
  <c r="AJ29" i="11"/>
  <c r="AL29" i="11"/>
  <c r="AK29" i="11"/>
  <c r="AI27" i="11"/>
  <c r="AP27" i="11"/>
  <c r="AN27" i="11"/>
  <c r="AO27" i="11"/>
  <c r="AM27" i="11"/>
  <c r="AK27" i="11"/>
  <c r="AL27" i="11"/>
  <c r="AJ27" i="11"/>
  <c r="AI11" i="11"/>
  <c r="AP11" i="11"/>
  <c r="AN11" i="11"/>
  <c r="AO11" i="11"/>
  <c r="AM11" i="11"/>
  <c r="AJ11" i="11"/>
  <c r="AL11" i="11"/>
  <c r="AK11" i="11"/>
  <c r="AI4" i="11"/>
  <c r="AN4" i="11"/>
  <c r="AP4" i="11"/>
  <c r="AO4" i="11"/>
  <c r="AK4" i="11"/>
  <c r="AL4" i="11"/>
  <c r="AM4" i="11"/>
  <c r="AJ4" i="11"/>
  <c r="AI2" i="11"/>
  <c r="AN2" i="11"/>
  <c r="AP2" i="11"/>
  <c r="AO2" i="11"/>
  <c r="AM2" i="11"/>
  <c r="AL2" i="11"/>
  <c r="AK2" i="11"/>
  <c r="AJ2" i="11"/>
  <c r="AN258" i="11"/>
  <c r="AP157" i="11"/>
  <c r="AN189" i="11"/>
  <c r="AL189" i="11"/>
  <c r="AP169" i="11"/>
  <c r="AJ169" i="11"/>
  <c r="AP140" i="11"/>
  <c r="AJ140" i="11"/>
  <c r="AN226" i="11"/>
  <c r="AL226" i="11"/>
  <c r="AP162" i="11"/>
  <c r="AJ162" i="11"/>
  <c r="AP152" i="11"/>
  <c r="AJ152" i="11"/>
  <c r="AP95" i="11"/>
  <c r="AL95" i="11"/>
  <c r="AN91" i="11"/>
  <c r="AP85" i="11"/>
  <c r="AP262" i="11"/>
  <c r="AL262" i="11"/>
  <c r="AN254" i="11"/>
  <c r="AJ254" i="11"/>
  <c r="AL252" i="11"/>
  <c r="AP248" i="11"/>
  <c r="AJ248" i="11"/>
  <c r="AJ246" i="11"/>
  <c r="AN240" i="11"/>
  <c r="AJ240" i="11"/>
  <c r="AP234" i="11"/>
  <c r="AJ234" i="11"/>
  <c r="AP192" i="11"/>
  <c r="AP186" i="11"/>
  <c r="AP180" i="11"/>
  <c r="AJ180" i="11"/>
  <c r="AP174" i="11"/>
  <c r="AL172" i="11"/>
  <c r="AN168" i="11"/>
  <c r="AL168" i="11"/>
  <c r="AL166" i="11"/>
  <c r="AP135" i="11"/>
  <c r="AJ135" i="11"/>
  <c r="AP129" i="11"/>
  <c r="AJ129" i="11"/>
  <c r="AJ127" i="11"/>
  <c r="AP123" i="11"/>
  <c r="AJ123" i="11"/>
  <c r="AL121" i="11"/>
  <c r="AN119" i="11"/>
  <c r="AP117" i="11"/>
  <c r="AJ117" i="11"/>
  <c r="AP111" i="11"/>
  <c r="AJ111" i="11"/>
  <c r="AL109" i="11"/>
  <c r="AP105" i="11"/>
  <c r="AL105" i="11"/>
  <c r="AL103" i="11"/>
  <c r="AP99" i="11"/>
  <c r="AJ99" i="11"/>
  <c r="AL97" i="11"/>
  <c r="AP68" i="11"/>
  <c r="AJ68" i="11"/>
  <c r="AJ62" i="11"/>
  <c r="AL231" i="11"/>
  <c r="AN157" i="11"/>
  <c r="AL147" i="11"/>
  <c r="AL86" i="11"/>
  <c r="AP189" i="11"/>
  <c r="AJ183" i="11"/>
  <c r="AN169" i="11"/>
  <c r="AN140" i="11"/>
  <c r="AL79" i="11"/>
  <c r="AP226" i="11"/>
  <c r="AN162" i="11"/>
  <c r="AJ160" i="11"/>
  <c r="AL156" i="11"/>
  <c r="AN152" i="11"/>
  <c r="AN95" i="11"/>
  <c r="AJ91" i="11"/>
  <c r="AN85" i="11"/>
  <c r="AJ266" i="11"/>
  <c r="AL264" i="11"/>
  <c r="AN262" i="11"/>
  <c r="AP254" i="11"/>
  <c r="AL250" i="11"/>
  <c r="AN248" i="11"/>
  <c r="AL246" i="11"/>
  <c r="AL244" i="11"/>
  <c r="AP240" i="11"/>
  <c r="AL238" i="11"/>
  <c r="AL236" i="11"/>
  <c r="AN234" i="11"/>
  <c r="AJ196" i="11"/>
  <c r="AL194" i="11"/>
  <c r="AJ190" i="11"/>
  <c r="AL188" i="11"/>
  <c r="AN186" i="11"/>
  <c r="AL184" i="11"/>
  <c r="AN180" i="11"/>
  <c r="AJ178" i="11"/>
  <c r="AL176" i="11"/>
  <c r="AN135" i="11"/>
  <c r="AL133" i="11"/>
  <c r="AN131" i="11"/>
  <c r="AN129" i="11"/>
  <c r="AN123" i="11"/>
  <c r="AJ121" i="11"/>
  <c r="AN117" i="11"/>
  <c r="AJ115" i="11"/>
  <c r="AN111" i="11"/>
  <c r="AJ109" i="11"/>
  <c r="AN105" i="11"/>
  <c r="AJ103" i="11"/>
  <c r="AN99" i="11"/>
  <c r="AN68" i="11"/>
  <c r="AJ66" i="11"/>
  <c r="AP62" i="11"/>
  <c r="AP56" i="11"/>
  <c r="AN50" i="11"/>
  <c r="AJ48" i="11"/>
  <c r="AP38" i="11"/>
  <c r="AJ36" i="11"/>
  <c r="AN32" i="11"/>
  <c r="AN291" i="11"/>
  <c r="AL306" i="11"/>
  <c r="AN225" i="11"/>
  <c r="AL225" i="11"/>
  <c r="AJ161" i="11"/>
  <c r="AP145" i="11"/>
  <c r="AL90" i="11"/>
  <c r="AP265" i="11"/>
  <c r="AJ257" i="11"/>
  <c r="AN249" i="11"/>
  <c r="AP243" i="11"/>
  <c r="AJ243" i="11"/>
  <c r="AL217" i="11"/>
  <c r="AP213" i="11"/>
  <c r="AJ213" i="11"/>
  <c r="AJ211" i="11"/>
  <c r="AN231" i="11"/>
  <c r="AJ231" i="11"/>
  <c r="AP147" i="11"/>
  <c r="AJ147" i="11"/>
  <c r="AN183" i="11"/>
  <c r="AL183" i="11"/>
  <c r="AP122" i="11"/>
  <c r="AJ122" i="11"/>
  <c r="AL199" i="11"/>
  <c r="AP79" i="11"/>
  <c r="AJ79" i="11"/>
  <c r="AL230" i="11"/>
  <c r="AP222" i="11"/>
  <c r="AJ222" i="11"/>
  <c r="AL218" i="11"/>
  <c r="AN160" i="11"/>
  <c r="AL160" i="11"/>
  <c r="AP150" i="11"/>
  <c r="AJ150" i="11"/>
  <c r="AL146" i="11"/>
  <c r="AP91" i="11"/>
  <c r="AJ89" i="11"/>
  <c r="AP266" i="11"/>
  <c r="AJ264" i="11"/>
  <c r="AP260" i="11"/>
  <c r="AJ260" i="11"/>
  <c r="AP252" i="11"/>
  <c r="AJ252" i="11"/>
  <c r="AP246" i="11"/>
  <c r="AP238" i="11"/>
  <c r="AJ238" i="11"/>
  <c r="AN196" i="11"/>
  <c r="AL196" i="11"/>
  <c r="AN192" i="11"/>
  <c r="AP190" i="11"/>
  <c r="AL190" i="11"/>
  <c r="AN188" i="11"/>
  <c r="AP184" i="11"/>
  <c r="AJ184" i="11"/>
  <c r="AL182" i="11"/>
  <c r="AP178" i="11"/>
  <c r="AN174" i="11"/>
  <c r="AP172" i="11"/>
  <c r="AJ172" i="11"/>
  <c r="AL170" i="11"/>
  <c r="AP168" i="11"/>
  <c r="AN166" i="11"/>
  <c r="AJ166" i="11"/>
  <c r="AJ137" i="11"/>
  <c r="AP133" i="11"/>
  <c r="AJ133" i="11"/>
  <c r="AJ131" i="11"/>
  <c r="AN127" i="11"/>
  <c r="AJ125" i="11"/>
  <c r="AP121" i="11"/>
  <c r="AJ119" i="11"/>
  <c r="AP115" i="11"/>
  <c r="AL115" i="11"/>
  <c r="AJ113" i="11"/>
  <c r="AP109" i="11"/>
  <c r="AJ107" i="11"/>
  <c r="AP103" i="11"/>
  <c r="AJ101" i="11"/>
  <c r="AP97" i="11"/>
  <c r="AJ97" i="11"/>
  <c r="AP66" i="11"/>
  <c r="AL64" i="11"/>
  <c r="AN62" i="11"/>
  <c r="AP60" i="11"/>
  <c r="AJ60" i="11"/>
  <c r="AL58" i="11"/>
  <c r="AP54" i="11"/>
  <c r="AJ54" i="11"/>
  <c r="AL50" i="11"/>
  <c r="AN48" i="11"/>
  <c r="AL46" i="11"/>
  <c r="AP42" i="11"/>
  <c r="AJ42" i="11"/>
  <c r="AP231" i="11"/>
  <c r="AL219" i="11"/>
  <c r="AN147" i="11"/>
  <c r="AP183" i="11"/>
  <c r="AL177" i="11"/>
  <c r="AN122" i="11"/>
  <c r="AJ199" i="11"/>
  <c r="AL140" i="11"/>
  <c r="AN79" i="11"/>
  <c r="AN222" i="11"/>
  <c r="AJ156" i="11"/>
  <c r="AL152" i="11"/>
  <c r="AN150" i="11"/>
  <c r="AN266" i="11"/>
  <c r="AN260" i="11"/>
  <c r="AL256" i="11"/>
  <c r="AN252" i="11"/>
  <c r="AJ250" i="11"/>
  <c r="AL248" i="11"/>
  <c r="AN246" i="11"/>
  <c r="AN238" i="11"/>
  <c r="AP196" i="11"/>
  <c r="AN190" i="11"/>
  <c r="AL186" i="11"/>
  <c r="AN184" i="11"/>
  <c r="AL180" i="11"/>
  <c r="AN178" i="11"/>
  <c r="AN172" i="11"/>
  <c r="AP166" i="11"/>
  <c r="AL137" i="11"/>
  <c r="AN133" i="11"/>
  <c r="AP127" i="11"/>
  <c r="AN121" i="11"/>
  <c r="AL119" i="11"/>
  <c r="AN115" i="11"/>
  <c r="AN109" i="11"/>
  <c r="AN103" i="11"/>
  <c r="AL101" i="11"/>
  <c r="AN97" i="11"/>
  <c r="AJ70" i="11"/>
  <c r="AL68" i="11"/>
  <c r="AN66" i="11"/>
  <c r="AN60" i="11"/>
  <c r="AN54" i="11"/>
  <c r="AJ52" i="11"/>
  <c r="AP48" i="11"/>
  <c r="AN44" i="11"/>
  <c r="AN42" i="11"/>
  <c r="AN36" i="11"/>
  <c r="AJ34" i="11"/>
  <c r="AL32" i="11"/>
  <c r="AN298" i="11"/>
  <c r="AN286" i="11"/>
  <c r="AJ276" i="11"/>
  <c r="AL307" i="11"/>
  <c r="AP284" i="11"/>
  <c r="AP314" i="11"/>
  <c r="AJ233" i="11"/>
  <c r="AP161" i="11"/>
  <c r="AL161" i="11"/>
  <c r="AJ155" i="11"/>
  <c r="AP90" i="11"/>
  <c r="AP257" i="11"/>
  <c r="AP217" i="11"/>
  <c r="AJ215" i="11"/>
  <c r="AN211" i="11"/>
  <c r="AL211" i="11"/>
  <c r="AN673" i="11"/>
  <c r="AJ677" i="11"/>
  <c r="AP644" i="11"/>
  <c r="AP646" i="11"/>
  <c r="AJ635" i="11"/>
  <c r="AN625" i="11"/>
  <c r="AL679" i="11"/>
  <c r="AP633" i="11"/>
  <c r="AP688" i="11"/>
  <c r="AL674" i="11"/>
  <c r="AL616" i="11"/>
  <c r="AN681" i="11"/>
  <c r="AJ632" i="11"/>
  <c r="AP694" i="11"/>
  <c r="AN627" i="11"/>
  <c r="AP685" i="11"/>
  <c r="AL693" i="11"/>
  <c r="AN632" i="11"/>
  <c r="AP667" i="11"/>
  <c r="AJ638" i="11"/>
  <c r="AP621" i="11"/>
  <c r="AP682" i="11"/>
  <c r="AJ642" i="11"/>
  <c r="AJ656" i="11"/>
  <c r="AL689" i="11"/>
  <c r="AN651" i="11"/>
  <c r="AL696" i="11"/>
  <c r="AJ622" i="11"/>
  <c r="AL670" i="11"/>
  <c r="AN693" i="11"/>
  <c r="AJ674" i="11"/>
  <c r="AP616" i="11"/>
  <c r="AP642" i="11"/>
  <c r="AN637" i="11"/>
  <c r="AJ641" i="11"/>
  <c r="AN684" i="11"/>
  <c r="AN687" i="11"/>
  <c r="AP636" i="11"/>
  <c r="AJ670" i="11"/>
  <c r="AL645" i="11"/>
  <c r="AP619" i="11"/>
  <c r="AN634" i="11"/>
  <c r="AP617" i="11"/>
  <c r="AP673" i="11"/>
  <c r="AJ628" i="11"/>
  <c r="AN649" i="11"/>
  <c r="AN683" i="11"/>
  <c r="AP671" i="11"/>
  <c r="AP659" i="11"/>
  <c r="AL618" i="11"/>
  <c r="AJ668" i="11"/>
  <c r="AL678" i="11"/>
  <c r="AN219" i="11"/>
  <c r="AJ219" i="11"/>
  <c r="AL157" i="11"/>
  <c r="AP86" i="11"/>
  <c r="AJ86" i="11"/>
  <c r="AP177" i="11"/>
  <c r="AJ177" i="11"/>
  <c r="AL169" i="11"/>
  <c r="AP199" i="11"/>
  <c r="AP230" i="11"/>
  <c r="AJ230" i="11"/>
  <c r="AN218" i="11"/>
  <c r="AJ218" i="11"/>
  <c r="AL162" i="11"/>
  <c r="AP160" i="11"/>
  <c r="AP156" i="11"/>
  <c r="AP146" i="11"/>
  <c r="AJ146" i="11"/>
  <c r="AJ95" i="11"/>
  <c r="AP89" i="11"/>
  <c r="AL89" i="11"/>
  <c r="AL85" i="11"/>
  <c r="AP264" i="11"/>
  <c r="AP256" i="11"/>
  <c r="AJ256" i="11"/>
  <c r="AL254" i="11"/>
  <c r="AP250" i="11"/>
  <c r="AP244" i="11"/>
  <c r="AJ244" i="11"/>
  <c r="AP236" i="11"/>
  <c r="AJ236" i="11"/>
  <c r="AL234" i="11"/>
  <c r="AP194" i="11"/>
  <c r="AJ194" i="11"/>
  <c r="AL192" i="11"/>
  <c r="AP188" i="11"/>
  <c r="AJ188" i="11"/>
  <c r="AN182" i="11"/>
  <c r="AJ182" i="11"/>
  <c r="AL178" i="11"/>
  <c r="AP176" i="11"/>
  <c r="AJ176" i="11"/>
  <c r="AL174" i="11"/>
  <c r="AP170" i="11"/>
  <c r="AJ170" i="11"/>
  <c r="AJ168" i="11"/>
  <c r="AP137" i="11"/>
  <c r="AP131" i="11"/>
  <c r="AL131" i="11"/>
  <c r="AP125" i="11"/>
  <c r="AL125" i="11"/>
  <c r="AP119" i="11"/>
  <c r="AP113" i="11"/>
  <c r="AL113" i="11"/>
  <c r="AP107" i="11"/>
  <c r="AL107" i="11"/>
  <c r="AP101" i="11"/>
  <c r="AP70" i="11"/>
  <c r="AL70" i="11"/>
  <c r="AL66" i="11"/>
  <c r="AN64" i="11"/>
  <c r="AJ64" i="11"/>
  <c r="AL62" i="11"/>
  <c r="AN58" i="11"/>
  <c r="AJ58" i="11"/>
  <c r="AL56" i="11"/>
  <c r="AN52" i="11"/>
  <c r="AL52" i="11"/>
  <c r="AN46" i="11"/>
  <c r="AJ46" i="11"/>
  <c r="AL44" i="11"/>
  <c r="AL42" i="11"/>
  <c r="AN40" i="11"/>
  <c r="AJ40" i="11"/>
  <c r="AL38" i="11"/>
  <c r="AN34" i="11"/>
  <c r="AL34" i="11"/>
  <c r="AP296" i="11"/>
  <c r="AJ296" i="11"/>
  <c r="AP276" i="11"/>
  <c r="AL276" i="11"/>
  <c r="AL270" i="11"/>
  <c r="AN305" i="11"/>
  <c r="AN161" i="11"/>
  <c r="AP219" i="11"/>
  <c r="AJ157" i="11"/>
  <c r="AN86" i="11"/>
  <c r="AJ189" i="11"/>
  <c r="AN177" i="11"/>
  <c r="AL122" i="11"/>
  <c r="AN199" i="11"/>
  <c r="AN230" i="11"/>
  <c r="AJ226" i="11"/>
  <c r="AL222" i="11"/>
  <c r="AP218" i="11"/>
  <c r="AN156" i="11"/>
  <c r="AL150" i="11"/>
  <c r="AN146" i="11"/>
  <c r="AL91" i="11"/>
  <c r="AN89" i="11"/>
  <c r="AJ85" i="11"/>
  <c r="AL266" i="11"/>
  <c r="AN264" i="11"/>
  <c r="AJ262" i="11"/>
  <c r="AL260" i="11"/>
  <c r="AN256" i="11"/>
  <c r="AN250" i="11"/>
  <c r="AN244" i="11"/>
  <c r="AL240" i="11"/>
  <c r="AN236" i="11"/>
  <c r="AN194" i="11"/>
  <c r="AJ192" i="11"/>
  <c r="AJ186" i="11"/>
  <c r="AP182" i="11"/>
  <c r="AN176" i="11"/>
  <c r="AJ174" i="11"/>
  <c r="AN170" i="11"/>
  <c r="AN137" i="11"/>
  <c r="AL135" i="11"/>
  <c r="AL129" i="11"/>
  <c r="AL127" i="11"/>
  <c r="AN125" i="11"/>
  <c r="AL123" i="11"/>
  <c r="AL117" i="11"/>
  <c r="AN113" i="11"/>
  <c r="AL111" i="11"/>
  <c r="AN107" i="11"/>
  <c r="AJ105" i="11"/>
  <c r="AN101" i="11"/>
  <c r="AL99" i="11"/>
  <c r="AN70" i="11"/>
  <c r="AP64" i="11"/>
  <c r="AL60" i="11"/>
  <c r="AP58" i="11"/>
  <c r="AP52" i="11"/>
  <c r="AL48" i="11"/>
  <c r="AP46" i="11"/>
  <c r="AP40" i="11"/>
  <c r="AP34" i="11"/>
  <c r="AN296" i="11"/>
  <c r="AL291" i="11"/>
  <c r="AL286" i="11"/>
  <c r="AN276" i="11"/>
  <c r="AJ270" i="11"/>
  <c r="AN311" i="11"/>
  <c r="AP233" i="11"/>
  <c r="AL233" i="11"/>
  <c r="AP225" i="11"/>
  <c r="AP155" i="11"/>
  <c r="AL145" i="11"/>
  <c r="AP84" i="11"/>
  <c r="AP249" i="11"/>
  <c r="AJ249" i="11"/>
  <c r="AL243" i="11"/>
  <c r="AP215" i="11"/>
  <c r="AN629" i="11"/>
  <c r="AN696" i="11"/>
  <c r="AN661" i="11"/>
  <c r="AL638" i="11"/>
  <c r="AL660" i="11"/>
  <c r="AN654" i="11"/>
  <c r="AP50" i="11"/>
  <c r="AJ44" i="11"/>
  <c r="AJ298" i="11"/>
  <c r="AL296" i="11"/>
  <c r="AN242" i="11"/>
  <c r="AN233" i="11"/>
  <c r="AJ84" i="11"/>
  <c r="AL257" i="11"/>
  <c r="AL213" i="11"/>
  <c r="AJ639" i="11"/>
  <c r="AP687" i="11"/>
  <c r="AJ644" i="11"/>
  <c r="AP645" i="11"/>
  <c r="AJ664" i="11"/>
  <c r="AL656" i="11"/>
  <c r="AP695" i="11"/>
  <c r="AN618" i="11"/>
  <c r="AP639" i="11"/>
  <c r="AP640" i="11"/>
  <c r="AJ650" i="11"/>
  <c r="AJ685" i="11"/>
  <c r="AP654" i="11"/>
  <c r="AN640" i="11"/>
  <c r="AL687" i="11"/>
  <c r="AP638" i="11"/>
  <c r="AP660" i="11"/>
  <c r="AP643" i="11"/>
  <c r="AL620" i="11"/>
  <c r="AL637" i="11"/>
  <c r="AL641" i="11"/>
  <c r="AJ651" i="11"/>
  <c r="AN650" i="11"/>
  <c r="AN638" i="11"/>
  <c r="AL683" i="11"/>
  <c r="AP674" i="11"/>
  <c r="AJ616" i="11"/>
  <c r="AN659" i="11"/>
  <c r="AP634" i="11"/>
  <c r="AP678" i="11"/>
  <c r="AJ696" i="11"/>
  <c r="AP649" i="11"/>
  <c r="AP683" i="11"/>
  <c r="AP626" i="11"/>
  <c r="AP680" i="11"/>
  <c r="AL659" i="11"/>
  <c r="AL633" i="11"/>
  <c r="AP651" i="11"/>
  <c r="AL677" i="11"/>
  <c r="AL655" i="11"/>
  <c r="AN647" i="11"/>
  <c r="AJ669" i="11"/>
  <c r="AJ625" i="11"/>
  <c r="AN633" i="11"/>
  <c r="AJ653" i="11"/>
  <c r="AL595" i="11"/>
  <c r="AN610" i="11"/>
  <c r="AP608" i="11"/>
  <c r="AN602" i="11"/>
  <c r="AN593" i="11"/>
  <c r="AP584" i="11"/>
  <c r="AJ611" i="11"/>
  <c r="AJ605" i="11"/>
  <c r="AL604" i="11"/>
  <c r="AL602" i="11"/>
  <c r="AP593" i="11"/>
  <c r="AP592" i="11"/>
  <c r="AL597" i="11"/>
  <c r="AN592" i="11"/>
  <c r="AL608" i="11"/>
  <c r="AP585" i="11"/>
  <c r="AP599" i="11"/>
  <c r="AP609" i="11"/>
  <c r="AJ596" i="11"/>
  <c r="AP587" i="11"/>
  <c r="AL569" i="11"/>
  <c r="AJ588" i="11"/>
  <c r="AJ577" i="11"/>
  <c r="AP589" i="11"/>
  <c r="AP574" i="11"/>
  <c r="AL581" i="11"/>
  <c r="AN573" i="11"/>
  <c r="AP580" i="11"/>
  <c r="AL586" i="11"/>
  <c r="AJ568" i="11"/>
  <c r="AN581" i="11"/>
  <c r="AJ575" i="11"/>
  <c r="AP565" i="11"/>
  <c r="AP547" i="11"/>
  <c r="AJ559" i="11"/>
  <c r="AL558" i="11"/>
  <c r="AP549" i="11"/>
  <c r="AP539" i="11"/>
  <c r="AP541" i="11"/>
  <c r="AJ552" i="11"/>
  <c r="AN524" i="11"/>
  <c r="AP558" i="11"/>
  <c r="AN522" i="11"/>
  <c r="AN539" i="11"/>
  <c r="AJ529" i="11"/>
  <c r="AP560" i="11"/>
  <c r="AJ564" i="11"/>
  <c r="AP530" i="11"/>
  <c r="AL534" i="11"/>
  <c r="AP533" i="11"/>
  <c r="AN531" i="11"/>
  <c r="AN553" i="11"/>
  <c r="AL527" i="11"/>
  <c r="AL523" i="11"/>
  <c r="AJ536" i="11"/>
  <c r="AP551" i="11"/>
  <c r="AN547" i="11"/>
  <c r="AJ562" i="11"/>
  <c r="AP561" i="11"/>
  <c r="AL549" i="11"/>
  <c r="AL539" i="11"/>
  <c r="AJ516" i="11"/>
  <c r="AP499" i="11"/>
  <c r="AP515" i="11"/>
  <c r="AP517" i="11"/>
  <c r="AJ521" i="11"/>
  <c r="AJ501" i="11"/>
  <c r="AP508" i="11"/>
  <c r="AJ496" i="11"/>
  <c r="AJ511" i="11"/>
  <c r="AP493" i="11"/>
  <c r="AL491" i="11"/>
  <c r="AJ486" i="11"/>
  <c r="AN511" i="11"/>
  <c r="AJ503" i="11"/>
  <c r="AN484" i="11"/>
  <c r="AL506" i="11"/>
  <c r="AL520" i="11"/>
  <c r="AN512" i="11"/>
  <c r="AL517" i="11"/>
  <c r="AP484" i="11"/>
  <c r="AN504" i="11"/>
  <c r="AN490" i="11"/>
  <c r="AJ510" i="11"/>
  <c r="AJ56" i="11"/>
  <c r="AJ32" i="11"/>
  <c r="AJ291" i="11"/>
  <c r="AJ286" i="11"/>
  <c r="AP270" i="11"/>
  <c r="AL309" i="11"/>
  <c r="AJ265" i="11"/>
  <c r="AL249" i="11"/>
  <c r="AL657" i="11"/>
  <c r="AP677" i="11"/>
  <c r="AJ645" i="11"/>
  <c r="AN690" i="11"/>
  <c r="AP666" i="11"/>
  <c r="AJ695" i="11"/>
  <c r="AL664" i="11"/>
  <c r="AP652" i="11"/>
  <c r="AL684" i="11"/>
  <c r="AJ640" i="11"/>
  <c r="AJ655" i="11"/>
  <c r="AN646" i="11"/>
  <c r="AN639" i="11"/>
  <c r="AJ662" i="11"/>
  <c r="AJ623" i="11"/>
  <c r="AL619" i="11"/>
  <c r="AL625" i="11"/>
  <c r="AP656" i="11"/>
  <c r="AN688" i="11"/>
  <c r="AL648" i="11"/>
  <c r="AN660" i="11"/>
  <c r="AL669" i="11"/>
  <c r="AL671" i="11"/>
  <c r="AP690" i="11"/>
  <c r="AP630" i="11"/>
  <c r="AJ678" i="11"/>
  <c r="AJ687" i="11"/>
  <c r="AJ649" i="11"/>
  <c r="AJ683" i="11"/>
  <c r="AJ626" i="11"/>
  <c r="AN616" i="11"/>
  <c r="AL681" i="11"/>
  <c r="AN630" i="11"/>
  <c r="AL663" i="11"/>
  <c r="AP648" i="11"/>
  <c r="AP628" i="11"/>
  <c r="AN631" i="11"/>
  <c r="AL635" i="11"/>
  <c r="AL653" i="11"/>
  <c r="AJ633" i="11"/>
  <c r="AP601" i="11"/>
  <c r="AJ608" i="11"/>
  <c r="AJ595" i="11"/>
  <c r="AP612" i="11"/>
  <c r="AJ584" i="11"/>
  <c r="AL606" i="11"/>
  <c r="AN598" i="11"/>
  <c r="AN591" i="11"/>
  <c r="AN595" i="11"/>
  <c r="AJ593" i="11"/>
  <c r="AJ592" i="11"/>
  <c r="AP603" i="11"/>
  <c r="AN603" i="11"/>
  <c r="AJ585" i="11"/>
  <c r="AJ609" i="11"/>
  <c r="AJ587" i="11"/>
  <c r="AL582" i="11"/>
  <c r="AP573" i="11"/>
  <c r="AL583" i="11"/>
  <c r="AP572" i="11"/>
  <c r="AL571" i="11"/>
  <c r="AP569" i="11"/>
  <c r="AP570" i="11"/>
  <c r="AN577" i="11"/>
  <c r="AN572" i="11"/>
  <c r="AJ580" i="11"/>
  <c r="AL577" i="11"/>
  <c r="AL589" i="11"/>
  <c r="AP576" i="11"/>
  <c r="AP578" i="11"/>
  <c r="AP590" i="11"/>
  <c r="AN565" i="11"/>
  <c r="AJ554" i="11"/>
  <c r="AJ540" i="11"/>
  <c r="AL548" i="11"/>
  <c r="AN528" i="11"/>
  <c r="AJ549" i="11"/>
  <c r="AJ539" i="11"/>
  <c r="AL530" i="11"/>
  <c r="AJ550" i="11"/>
  <c r="AJ558" i="11"/>
  <c r="AN549" i="11"/>
  <c r="AP556" i="11"/>
  <c r="AN525" i="11"/>
  <c r="AN523" i="11"/>
  <c r="AP542" i="11"/>
  <c r="AL546" i="11"/>
  <c r="AL552" i="11"/>
  <c r="AJ533" i="11"/>
  <c r="AJ526" i="11"/>
  <c r="AL551" i="11"/>
  <c r="AN533" i="11"/>
  <c r="AP526" i="11"/>
  <c r="AJ551" i="11"/>
  <c r="AL540" i="11"/>
  <c r="AL559" i="11"/>
  <c r="AJ561" i="11"/>
  <c r="AN536" i="11"/>
  <c r="AN537" i="11"/>
  <c r="AL481" i="11"/>
  <c r="AP505" i="11"/>
  <c r="AL496" i="11"/>
  <c r="AJ515" i="11"/>
  <c r="AJ517" i="11"/>
  <c r="AP516" i="11"/>
  <c r="AJ508" i="11"/>
  <c r="AL486" i="11"/>
  <c r="AN497" i="11"/>
  <c r="AL484" i="11"/>
  <c r="AL488" i="11"/>
  <c r="AN508" i="11"/>
  <c r="AL452" i="11"/>
  <c r="AL502" i="11"/>
  <c r="AL518" i="11"/>
  <c r="AJ484" i="11"/>
  <c r="AP491" i="11"/>
  <c r="AL483" i="11"/>
  <c r="AJ482" i="11"/>
  <c r="AP514" i="11"/>
  <c r="AN481" i="11"/>
  <c r="AP500" i="11"/>
  <c r="AJ499" i="11"/>
  <c r="AL492" i="11"/>
  <c r="AL493" i="11"/>
  <c r="AP485" i="11"/>
  <c r="AN487" i="11"/>
  <c r="AN499" i="11"/>
  <c r="AN482" i="11"/>
  <c r="AJ492" i="11"/>
  <c r="AP445" i="11"/>
  <c r="AL479" i="11"/>
  <c r="AN471" i="11"/>
  <c r="AP468" i="11"/>
  <c r="AJ479" i="11"/>
  <c r="AP477" i="11"/>
  <c r="AL469" i="11"/>
  <c r="AJ467" i="11"/>
  <c r="AN456" i="11"/>
  <c r="AN479" i="11"/>
  <c r="AN459" i="11"/>
  <c r="AJ460" i="11"/>
  <c r="AN443" i="11"/>
  <c r="AJ472" i="11"/>
  <c r="AP44" i="11"/>
  <c r="AL40" i="11"/>
  <c r="AL36" i="11"/>
  <c r="AL298" i="11"/>
  <c r="AJ284" i="11"/>
  <c r="AJ225" i="11"/>
  <c r="AN155" i="11"/>
  <c r="AN145" i="11"/>
  <c r="AN90" i="11"/>
  <c r="AN84" i="11"/>
  <c r="AN217" i="11"/>
  <c r="AN215" i="11"/>
  <c r="AN213" i="11"/>
  <c r="AP211" i="11"/>
  <c r="AN648" i="11"/>
  <c r="AL662" i="11"/>
  <c r="AL621" i="11"/>
  <c r="AP681" i="11"/>
  <c r="AJ666" i="11"/>
  <c r="AJ688" i="11"/>
  <c r="AL682" i="11"/>
  <c r="AP653" i="11"/>
  <c r="AJ652" i="11"/>
  <c r="AP632" i="11"/>
  <c r="AN677" i="11"/>
  <c r="AL649" i="11"/>
  <c r="AJ660" i="11"/>
  <c r="AJ684" i="11"/>
  <c r="AL673" i="11"/>
  <c r="AL661" i="11"/>
  <c r="AN670" i="11"/>
  <c r="AP693" i="11"/>
  <c r="AP664" i="11"/>
  <c r="AN653" i="11"/>
  <c r="AJ634" i="11"/>
  <c r="AP684" i="11"/>
  <c r="AN636" i="11"/>
  <c r="AL647" i="11"/>
  <c r="AN664" i="11"/>
  <c r="AJ690" i="11"/>
  <c r="AP641" i="11"/>
  <c r="AL658" i="11"/>
  <c r="AN662" i="11"/>
  <c r="AP631" i="11"/>
  <c r="AL646" i="11"/>
  <c r="AL654" i="11"/>
  <c r="AN620" i="11"/>
  <c r="AJ624" i="11"/>
  <c r="AL639" i="11"/>
  <c r="AJ648" i="11"/>
  <c r="AP661" i="11"/>
  <c r="AN626" i="11"/>
  <c r="AP624" i="11"/>
  <c r="AJ601" i="11"/>
  <c r="AN599" i="11"/>
  <c r="AN596" i="11"/>
  <c r="AN601" i="11"/>
  <c r="AL594" i="11"/>
  <c r="AJ604" i="11"/>
  <c r="AN613" i="11"/>
  <c r="AL593" i="11"/>
  <c r="AN584" i="11"/>
  <c r="AP594" i="11"/>
  <c r="AP615" i="11"/>
  <c r="AJ603" i="11"/>
  <c r="AP606" i="11"/>
  <c r="AL609" i="11"/>
  <c r="AJ613" i="11"/>
  <c r="AL612" i="11"/>
  <c r="AL598" i="11"/>
  <c r="AN597" i="11"/>
  <c r="AL573" i="11"/>
  <c r="AL579" i="11"/>
  <c r="AN568" i="11"/>
  <c r="AJ573" i="11"/>
  <c r="AJ572" i="11"/>
  <c r="AN587" i="11"/>
  <c r="AJ582" i="11"/>
  <c r="AL576" i="11"/>
  <c r="AL566" i="11"/>
  <c r="AP567" i="11"/>
  <c r="AN570" i="11"/>
  <c r="AP583" i="11"/>
  <c r="AL575" i="11"/>
  <c r="AN571" i="11"/>
  <c r="AJ578" i="11"/>
  <c r="AJ590" i="11"/>
  <c r="AJ555" i="11"/>
  <c r="AL555" i="11"/>
  <c r="AP554" i="11"/>
  <c r="AN527" i="11"/>
  <c r="AL545" i="11"/>
  <c r="AL543" i="11"/>
  <c r="AL542" i="11"/>
  <c r="AL535" i="11"/>
  <c r="AP563" i="11"/>
  <c r="AN540" i="11"/>
  <c r="AP559" i="11"/>
  <c r="AL528" i="11"/>
  <c r="AL536" i="11"/>
  <c r="AN541" i="11"/>
  <c r="AJ542" i="11"/>
  <c r="AN535" i="11"/>
  <c r="AP550" i="11"/>
  <c r="AJ548" i="11"/>
  <c r="AN558" i="11"/>
  <c r="AL522" i="11"/>
  <c r="AP564" i="11"/>
  <c r="AN530" i="11"/>
  <c r="AL562" i="11"/>
  <c r="AJ522" i="11"/>
  <c r="AN564" i="11"/>
  <c r="AL541" i="11"/>
  <c r="AP527" i="11"/>
  <c r="AN548" i="11"/>
  <c r="AP544" i="11"/>
  <c r="AL532" i="11"/>
  <c r="AL556" i="11"/>
  <c r="AL513" i="11"/>
  <c r="AJ505" i="11"/>
  <c r="AN452" i="11"/>
  <c r="AL511" i="11"/>
  <c r="AN510" i="11"/>
  <c r="AN485" i="11"/>
  <c r="AN505" i="11"/>
  <c r="AP507" i="11"/>
  <c r="AN56" i="11"/>
  <c r="AJ38" i="11"/>
  <c r="AP32" i="11"/>
  <c r="AP298" i="11"/>
  <c r="AP291" i="11"/>
  <c r="AP286" i="11"/>
  <c r="AN270" i="11"/>
  <c r="AN265" i="11"/>
  <c r="AN243" i="11"/>
  <c r="AL640" i="11"/>
  <c r="AJ636" i="11"/>
  <c r="AN692" i="11"/>
  <c r="AJ654" i="11"/>
  <c r="AN680" i="11"/>
  <c r="AJ681" i="11"/>
  <c r="AJ618" i="11"/>
  <c r="AP663" i="11"/>
  <c r="AL680" i="11"/>
  <c r="AL642" i="11"/>
  <c r="AN695" i="11"/>
  <c r="AP657" i="11"/>
  <c r="AL631" i="11"/>
  <c r="AL623" i="11"/>
  <c r="AN658" i="11"/>
  <c r="AJ667" i="11"/>
  <c r="AL622" i="11"/>
  <c r="AP665" i="11"/>
  <c r="AJ693" i="11"/>
  <c r="AP668" i="11"/>
  <c r="AP618" i="11"/>
  <c r="AJ658" i="11"/>
  <c r="AN667" i="11"/>
  <c r="AP622" i="11"/>
  <c r="AN665" i="11"/>
  <c r="AN621" i="11"/>
  <c r="AP620" i="11"/>
  <c r="AP679" i="11"/>
  <c r="AP689" i="11"/>
  <c r="AL632" i="11"/>
  <c r="AL628" i="11"/>
  <c r="AJ631" i="11"/>
  <c r="AP623" i="11"/>
  <c r="AJ619" i="11"/>
  <c r="AN642" i="11"/>
  <c r="AP676" i="11"/>
  <c r="AP658" i="11"/>
  <c r="AL667" i="11"/>
  <c r="AL636" i="11"/>
  <c r="AP670" i="11"/>
  <c r="AL643" i="11"/>
  <c r="AL672" i="11"/>
  <c r="AJ659" i="11"/>
  <c r="AL652" i="11"/>
  <c r="AN600" i="11"/>
  <c r="AJ598" i="11"/>
  <c r="AL611" i="11"/>
  <c r="AL605" i="11"/>
  <c r="AP591" i="11"/>
  <c r="AJ607" i="11"/>
  <c r="AN612" i="11"/>
  <c r="AL615" i="11"/>
  <c r="AL614" i="11"/>
  <c r="AL601" i="11"/>
  <c r="AJ610" i="11"/>
  <c r="AJ615" i="11"/>
  <c r="AL596" i="11"/>
  <c r="AL600" i="11"/>
  <c r="AP597" i="11"/>
  <c r="AJ602" i="11"/>
  <c r="AN594" i="11"/>
  <c r="AJ597" i="11"/>
  <c r="AL570" i="11"/>
  <c r="AP586" i="11"/>
  <c r="AJ589" i="11"/>
  <c r="AL574" i="11"/>
  <c r="AN578" i="11"/>
  <c r="AP588" i="11"/>
  <c r="AJ579" i="11"/>
  <c r="AN589" i="11"/>
  <c r="AN574" i="11"/>
  <c r="AJ581" i="11"/>
  <c r="AJ567" i="11"/>
  <c r="AJ576" i="11"/>
  <c r="AJ583" i="11"/>
  <c r="AL572" i="11"/>
  <c r="AL587" i="11"/>
  <c r="AP568" i="11"/>
  <c r="AL588" i="11"/>
  <c r="AL565" i="11"/>
  <c r="AN554" i="11"/>
  <c r="AP524" i="11"/>
  <c r="AJ538" i="11"/>
  <c r="AP522" i="11"/>
  <c r="AP532" i="11"/>
  <c r="AN556" i="11"/>
  <c r="AJ563" i="11"/>
  <c r="AL529" i="11"/>
  <c r="AP545" i="11"/>
  <c r="AN544" i="11"/>
  <c r="AN532" i="11"/>
  <c r="AN563" i="11"/>
  <c r="AL524" i="11"/>
  <c r="AL561" i="11"/>
  <c r="AP531" i="11"/>
  <c r="AJ535" i="11"/>
  <c r="AL547" i="11"/>
  <c r="AN545" i="11"/>
  <c r="AP528" i="11"/>
  <c r="AN560" i="11"/>
  <c r="AJ546" i="11"/>
  <c r="AP548" i="11"/>
  <c r="AP557" i="11"/>
  <c r="AP546" i="11"/>
  <c r="AJ527" i="11"/>
  <c r="AJ544" i="11"/>
  <c r="AN526" i="11"/>
  <c r="AL553" i="11"/>
  <c r="AN506" i="11"/>
  <c r="AL500" i="11"/>
  <c r="AP497" i="11"/>
  <c r="AJ493" i="11"/>
  <c r="AP513" i="11"/>
  <c r="AL487" i="11"/>
  <c r="AJ507" i="11"/>
  <c r="AL498" i="11"/>
  <c r="AL503" i="11"/>
  <c r="AJ481" i="11"/>
  <c r="AN500" i="11"/>
  <c r="AN507" i="11"/>
  <c r="AN495" i="11"/>
  <c r="AJ494" i="11"/>
  <c r="AL489" i="11"/>
  <c r="AP481" i="11"/>
  <c r="AL505" i="11"/>
  <c r="AL499" i="11"/>
  <c r="AJ502" i="11"/>
  <c r="AL510" i="11"/>
  <c r="AN509" i="11"/>
  <c r="AJ487" i="11"/>
  <c r="AL495" i="11"/>
  <c r="AN518" i="11"/>
  <c r="AJ50" i="11"/>
  <c r="AJ314" i="11"/>
  <c r="AL84" i="11"/>
  <c r="AN257" i="11"/>
  <c r="AP627" i="11"/>
  <c r="AJ646" i="11"/>
  <c r="AN671" i="11"/>
  <c r="AP637" i="11"/>
  <c r="AL630" i="11"/>
  <c r="AJ663" i="11"/>
  <c r="AP672" i="11"/>
  <c r="AL690" i="11"/>
  <c r="AJ657" i="11"/>
  <c r="AN628" i="11"/>
  <c r="AN645" i="11"/>
  <c r="AL617" i="11"/>
  <c r="AN694" i="11"/>
  <c r="AP655" i="11"/>
  <c r="AJ665" i="11"/>
  <c r="AN635" i="11"/>
  <c r="AJ682" i="11"/>
  <c r="AN668" i="11"/>
  <c r="AJ630" i="11"/>
  <c r="AJ617" i="11"/>
  <c r="AN655" i="11"/>
  <c r="AL626" i="11"/>
  <c r="AN682" i="11"/>
  <c r="AJ620" i="11"/>
  <c r="AN656" i="11"/>
  <c r="AJ689" i="11"/>
  <c r="AN617" i="11"/>
  <c r="AL650" i="11"/>
  <c r="AP647" i="11"/>
  <c r="AN674" i="11"/>
  <c r="AJ676" i="11"/>
  <c r="AN689" i="11"/>
  <c r="AP629" i="11"/>
  <c r="AP696" i="11"/>
  <c r="AN622" i="11"/>
  <c r="AP692" i="11"/>
  <c r="AN619" i="11"/>
  <c r="AJ671" i="11"/>
  <c r="AN679" i="11"/>
  <c r="AN641" i="11"/>
  <c r="AL634" i="11"/>
  <c r="AN585" i="11"/>
  <c r="AP613" i="11"/>
  <c r="AP600" i="11"/>
  <c r="AP598" i="11"/>
  <c r="AJ591" i="11"/>
  <c r="AP595" i="11"/>
  <c r="AJ594" i="11"/>
  <c r="AN609" i="11"/>
  <c r="AL603" i="11"/>
  <c r="AN611" i="11"/>
  <c r="AP605" i="11"/>
  <c r="AN604" i="11"/>
  <c r="AL613" i="11"/>
  <c r="AL585" i="11"/>
  <c r="AP614" i="11"/>
  <c r="AN606" i="11"/>
  <c r="AP610" i="11"/>
  <c r="AL584" i="11"/>
  <c r="AN614" i="11"/>
  <c r="AN576" i="11"/>
  <c r="AP566" i="11"/>
  <c r="AN575" i="11"/>
  <c r="AN579" i="11"/>
  <c r="AN569" i="11"/>
  <c r="AL580" i="11"/>
  <c r="AP577" i="11"/>
  <c r="AJ571" i="11"/>
  <c r="AL578" i="11"/>
  <c r="AL590" i="11"/>
  <c r="AP571" i="11"/>
  <c r="AP581" i="11"/>
  <c r="AN567" i="11"/>
  <c r="AJ586" i="11"/>
  <c r="AL568" i="11"/>
  <c r="AN555" i="11"/>
  <c r="AJ565" i="11"/>
  <c r="AL554" i="11"/>
  <c r="AJ524" i="11"/>
  <c r="AN534" i="11"/>
  <c r="AJ532" i="11"/>
  <c r="AJ556" i="11"/>
  <c r="AJ530" i="11"/>
  <c r="AP525" i="11"/>
  <c r="AJ545" i="11"/>
  <c r="AN543" i="11"/>
  <c r="AL531" i="11"/>
  <c r="AN552" i="11"/>
  <c r="AJ528" i="11"/>
  <c r="AJ531" i="11"/>
  <c r="AP553" i="11"/>
  <c r="AP540" i="11"/>
  <c r="AP538" i="11"/>
  <c r="AL544" i="11"/>
  <c r="AL557" i="11"/>
  <c r="AP535" i="11"/>
  <c r="AJ547" i="11"/>
  <c r="AN538" i="11"/>
  <c r="AJ557" i="11"/>
  <c r="AP537" i="11"/>
  <c r="AL563" i="11"/>
  <c r="AL525" i="11"/>
  <c r="AP534" i="11"/>
  <c r="AL560" i="11"/>
  <c r="AJ541" i="11"/>
  <c r="AL521" i="11"/>
  <c r="AL501" i="11"/>
  <c r="AN483" i="11"/>
  <c r="AJ497" i="11"/>
  <c r="AJ513" i="11"/>
  <c r="AP464" i="11"/>
  <c r="AL504" i="11"/>
  <c r="AL482" i="11"/>
  <c r="AN517" i="11"/>
  <c r="AN513" i="11"/>
  <c r="AJ500" i="11"/>
  <c r="AJ504" i="11"/>
  <c r="AP512" i="11"/>
  <c r="AL490" i="11"/>
  <c r="AP509" i="11"/>
  <c r="AP486" i="11"/>
  <c r="AN494" i="11"/>
  <c r="AP489" i="11"/>
  <c r="AN501" i="11"/>
  <c r="AL464" i="11"/>
  <c r="AP482" i="11"/>
  <c r="AL54" i="11"/>
  <c r="AN38" i="11"/>
  <c r="AP36" i="11"/>
  <c r="AL155" i="11"/>
  <c r="AJ145" i="11"/>
  <c r="AJ90" i="11"/>
  <c r="AL265" i="11"/>
  <c r="AJ217" i="11"/>
  <c r="AL215" i="11"/>
  <c r="AL694" i="11"/>
  <c r="AL627" i="11"/>
  <c r="AN623" i="11"/>
  <c r="AP669" i="11"/>
  <c r="AJ637" i="11"/>
  <c r="AN624" i="11"/>
  <c r="AJ643" i="11"/>
  <c r="AJ672" i="11"/>
  <c r="AN666" i="11"/>
  <c r="AN663" i="11"/>
  <c r="AL651" i="11"/>
  <c r="AP650" i="11"/>
  <c r="AL665" i="11"/>
  <c r="AP635" i="11"/>
  <c r="AN657" i="11"/>
  <c r="AN644" i="11"/>
  <c r="AN685" i="11"/>
  <c r="AJ621" i="11"/>
  <c r="AN672" i="11"/>
  <c r="AJ679" i="11"/>
  <c r="AN652" i="11"/>
  <c r="AL629" i="11"/>
  <c r="AP662" i="11"/>
  <c r="AL644" i="11"/>
  <c r="AL692" i="11"/>
  <c r="AN643" i="11"/>
  <c r="AJ680" i="11"/>
  <c r="AL676" i="11"/>
  <c r="AL688" i="11"/>
  <c r="AJ673" i="11"/>
  <c r="AJ661" i="11"/>
  <c r="AL685" i="11"/>
  <c r="AJ647" i="11"/>
  <c r="AL668" i="11"/>
  <c r="AL666" i="11"/>
  <c r="AN678" i="11"/>
  <c r="AJ629" i="11"/>
  <c r="AJ694" i="11"/>
  <c r="AJ627" i="11"/>
  <c r="AJ692" i="11"/>
  <c r="AN669" i="11"/>
  <c r="AP625" i="11"/>
  <c r="AN676" i="11"/>
  <c r="AL695" i="11"/>
  <c r="AL624" i="11"/>
  <c r="AP602" i="11"/>
  <c r="AJ612" i="11"/>
  <c r="AL591" i="11"/>
  <c r="AL607" i="11"/>
  <c r="AL592" i="11"/>
  <c r="AN608" i="11"/>
  <c r="AP611" i="11"/>
  <c r="AN605" i="11"/>
  <c r="AP604" i="11"/>
  <c r="AP607" i="11"/>
  <c r="AJ606" i="11"/>
  <c r="AL599" i="11"/>
  <c r="AN607" i="11"/>
  <c r="AJ599" i="11"/>
  <c r="AJ614" i="11"/>
  <c r="AJ600" i="11"/>
  <c r="AL610" i="11"/>
  <c r="AN615" i="11"/>
  <c r="AP596" i="11"/>
  <c r="AJ574" i="11"/>
  <c r="AJ566" i="11"/>
  <c r="AN590" i="11"/>
  <c r="AN586" i="11"/>
  <c r="AJ569" i="11"/>
  <c r="AJ570" i="11"/>
  <c r="AN566" i="11"/>
  <c r="AL567" i="11"/>
  <c r="AP579" i="11"/>
  <c r="AN582" i="11"/>
  <c r="AN588" i="11"/>
  <c r="AP582" i="11"/>
  <c r="AN580" i="11"/>
  <c r="AN583" i="11"/>
  <c r="AP575" i="11"/>
  <c r="AP555" i="11"/>
  <c r="AP562" i="11"/>
  <c r="AN561" i="11"/>
  <c r="AJ560" i="11"/>
  <c r="AN551" i="11"/>
  <c r="AP552" i="11"/>
  <c r="AJ525" i="11"/>
  <c r="AP523" i="11"/>
  <c r="AJ543" i="11"/>
  <c r="AL564" i="11"/>
  <c r="AL550" i="11"/>
  <c r="AN559" i="11"/>
  <c r="AL533" i="11"/>
  <c r="AL526" i="11"/>
  <c r="AJ553" i="11"/>
  <c r="AP529" i="11"/>
  <c r="AL538" i="11"/>
  <c r="AP543" i="11"/>
  <c r="AN542" i="11"/>
  <c r="AL537" i="11"/>
  <c r="AN529" i="11"/>
  <c r="AJ534" i="11"/>
  <c r="AP536" i="11"/>
  <c r="AJ537" i="11"/>
  <c r="AN550" i="11"/>
  <c r="AN562" i="11"/>
  <c r="AJ523" i="11"/>
  <c r="AN557" i="11"/>
  <c r="AN546" i="11"/>
  <c r="AN519" i="11"/>
  <c r="AN488" i="11"/>
  <c r="AL507" i="11"/>
  <c r="AL512" i="11"/>
  <c r="AP492" i="11"/>
  <c r="AP521" i="11"/>
  <c r="AP501" i="11"/>
  <c r="AJ464" i="11"/>
  <c r="AN496" i="11"/>
  <c r="AN515" i="11"/>
  <c r="AL514" i="11"/>
  <c r="AL509" i="11"/>
  <c r="AN464" i="11"/>
  <c r="AP496" i="11"/>
  <c r="AJ512" i="11"/>
  <c r="AP503" i="11"/>
  <c r="AN521" i="11"/>
  <c r="AJ509" i="11"/>
  <c r="AN520" i="11"/>
  <c r="AP498" i="11"/>
  <c r="AJ490" i="11"/>
  <c r="AJ489" i="11"/>
  <c r="AN491" i="11"/>
  <c r="AP520" i="11"/>
  <c r="AP502" i="11"/>
  <c r="AN514" i="11"/>
  <c r="AJ519" i="11"/>
  <c r="AP488" i="11"/>
  <c r="AP483" i="11"/>
  <c r="AP495" i="11"/>
  <c r="AL494" i="11"/>
  <c r="AJ475" i="11"/>
  <c r="AP417" i="11"/>
  <c r="AL459" i="11"/>
  <c r="AP494" i="11"/>
  <c r="AJ514" i="11"/>
  <c r="AN489" i="11"/>
  <c r="AJ488" i="11"/>
  <c r="AP452" i="11"/>
  <c r="AP490" i="11"/>
  <c r="AJ456" i="11"/>
  <c r="AL477" i="11"/>
  <c r="AL467" i="11"/>
  <c r="AN445" i="11"/>
  <c r="AL463" i="11"/>
  <c r="AL472" i="11"/>
  <c r="AL458" i="11"/>
  <c r="AL451" i="11"/>
  <c r="AJ443" i="11"/>
  <c r="AL445" i="11"/>
  <c r="AJ466" i="11"/>
  <c r="AN469" i="11"/>
  <c r="AL468" i="11"/>
  <c r="AL460" i="11"/>
  <c r="AN472" i="11"/>
  <c r="AN458" i="11"/>
  <c r="AL456" i="11"/>
  <c r="AP471" i="11"/>
  <c r="AJ415" i="11"/>
  <c r="AJ414" i="11"/>
  <c r="AN446" i="11"/>
  <c r="AJ430" i="11"/>
  <c r="AJ440" i="11"/>
  <c r="AJ437" i="11"/>
  <c r="AN454" i="11"/>
  <c r="AJ438" i="11"/>
  <c r="AP442" i="11"/>
  <c r="AP439" i="11"/>
  <c r="AN450" i="11"/>
  <c r="AP449" i="11"/>
  <c r="AL448" i="11"/>
  <c r="AN438" i="11"/>
  <c r="AJ434" i="11"/>
  <c r="AL439" i="11"/>
  <c r="AL447" i="11"/>
  <c r="AN449" i="11"/>
  <c r="AN431" i="11"/>
  <c r="AL411" i="11"/>
  <c r="AL422" i="11"/>
  <c r="AN419" i="11"/>
  <c r="AP412" i="11"/>
  <c r="AN411" i="11"/>
  <c r="AL427" i="11"/>
  <c r="AL418" i="11"/>
  <c r="AJ422" i="11"/>
  <c r="AN422" i="11"/>
  <c r="AL386" i="11"/>
  <c r="AL399" i="11"/>
  <c r="AL398" i="11"/>
  <c r="AL402" i="11"/>
  <c r="AN375" i="11"/>
  <c r="AP400" i="11"/>
  <c r="AJ395" i="11"/>
  <c r="AN385" i="11"/>
  <c r="AN408" i="11"/>
  <c r="AL407" i="11"/>
  <c r="AJ390" i="11"/>
  <c r="AN399" i="11"/>
  <c r="AP392" i="11"/>
  <c r="AN382" i="11"/>
  <c r="AN388" i="11"/>
  <c r="AP390" i="11"/>
  <c r="AN407" i="11"/>
  <c r="AN390" i="11"/>
  <c r="AL404" i="11"/>
  <c r="AP380" i="11"/>
  <c r="AN393" i="11"/>
  <c r="AN394" i="11"/>
  <c r="AP375" i="11"/>
  <c r="AJ329" i="11"/>
  <c r="AJ355" i="11"/>
  <c r="AN367" i="11"/>
  <c r="AN345" i="11"/>
  <c r="AN350" i="11"/>
  <c r="AL327" i="11"/>
  <c r="AP318" i="11"/>
  <c r="AL328" i="11"/>
  <c r="AJ338" i="11"/>
  <c r="AL365" i="11"/>
  <c r="AN368" i="11"/>
  <c r="AJ327" i="11"/>
  <c r="AL343" i="11"/>
  <c r="AJ328" i="11"/>
  <c r="AJ354" i="11"/>
  <c r="AN344" i="11"/>
  <c r="AN327" i="11"/>
  <c r="AP347" i="11"/>
  <c r="AL367" i="11"/>
  <c r="AN341" i="11"/>
  <c r="AP354" i="11"/>
  <c r="AP342" i="11"/>
  <c r="AL349" i="11"/>
  <c r="AJ343" i="11"/>
  <c r="AL348" i="11"/>
  <c r="AL345" i="11"/>
  <c r="AL369" i="11"/>
  <c r="AN339" i="11"/>
  <c r="AL355" i="11"/>
  <c r="AL361" i="11"/>
  <c r="AL362" i="11"/>
  <c r="AJ313" i="11"/>
  <c r="AN313" i="11"/>
  <c r="AL312" i="11"/>
  <c r="AP317" i="11"/>
  <c r="AN208" i="11"/>
  <c r="AN202" i="11"/>
  <c r="AN143" i="11"/>
  <c r="AL141" i="11"/>
  <c r="AP82" i="11"/>
  <c r="AL78" i="11"/>
  <c r="AN76" i="11"/>
  <c r="AP304" i="11"/>
  <c r="AJ297" i="11"/>
  <c r="AN290" i="11"/>
  <c r="AL281" i="11"/>
  <c r="AN259" i="11"/>
  <c r="AN223" i="11"/>
  <c r="AL165" i="11"/>
  <c r="AN92" i="11"/>
  <c r="AJ268" i="11"/>
  <c r="AP289" i="11"/>
  <c r="AP285" i="11"/>
  <c r="AN282" i="11"/>
  <c r="AJ258" i="11"/>
  <c r="AP159" i="11"/>
  <c r="AL151" i="11"/>
  <c r="AL96" i="11"/>
  <c r="AL261" i="11"/>
  <c r="AJ251" i="11"/>
  <c r="AN237" i="11"/>
  <c r="AJ193" i="11"/>
  <c r="AN173" i="11"/>
  <c r="AN124" i="11"/>
  <c r="AN114" i="11"/>
  <c r="AN108" i="11"/>
  <c r="AJ106" i="11"/>
  <c r="AL104" i="11"/>
  <c r="AP100" i="11"/>
  <c r="AN67" i="11"/>
  <c r="AL65" i="11"/>
  <c r="AN61" i="11"/>
  <c r="AP55" i="11"/>
  <c r="AN49" i="11"/>
  <c r="AL47" i="11"/>
  <c r="AN43" i="11"/>
  <c r="AP37" i="11"/>
  <c r="AN31" i="11"/>
  <c r="AL293" i="11"/>
  <c r="AL305" i="11"/>
  <c r="AN283" i="11"/>
  <c r="AN255" i="11"/>
  <c r="AL247" i="11"/>
  <c r="AP195" i="11"/>
  <c r="AN171" i="11"/>
  <c r="AN492" i="11"/>
  <c r="AN493" i="11"/>
  <c r="AL485" i="11"/>
  <c r="AP519" i="11"/>
  <c r="AJ452" i="11"/>
  <c r="AP518" i="11"/>
  <c r="AJ445" i="11"/>
  <c r="AN470" i="11"/>
  <c r="AN474" i="11"/>
  <c r="AP473" i="11"/>
  <c r="AP416" i="11"/>
  <c r="AP459" i="11"/>
  <c r="AN444" i="11"/>
  <c r="AJ463" i="11"/>
  <c r="AJ474" i="11"/>
  <c r="AJ478" i="11"/>
  <c r="AJ469" i="11"/>
  <c r="AP461" i="11"/>
  <c r="AL416" i="11"/>
  <c r="AN476" i="11"/>
  <c r="AP457" i="11"/>
  <c r="AP455" i="11"/>
  <c r="AJ471" i="11"/>
  <c r="AN414" i="11"/>
  <c r="AL415" i="11"/>
  <c r="AP433" i="11"/>
  <c r="AP454" i="11"/>
  <c r="AL438" i="11"/>
  <c r="AN433" i="11"/>
  <c r="AL434" i="11"/>
  <c r="AL431" i="11"/>
  <c r="AJ449" i="11"/>
  <c r="AP431" i="11"/>
  <c r="AL432" i="11"/>
  <c r="AP446" i="11"/>
  <c r="AP434" i="11"/>
  <c r="AL429" i="11"/>
  <c r="AN412" i="11"/>
  <c r="AL413" i="11"/>
  <c r="AJ409" i="11"/>
  <c r="AN426" i="11"/>
  <c r="AP424" i="11"/>
  <c r="AN409" i="11"/>
  <c r="AN420" i="11"/>
  <c r="AL412" i="11"/>
  <c r="AL393" i="11"/>
  <c r="AP385" i="11"/>
  <c r="AN392" i="11"/>
  <c r="AP383" i="11"/>
  <c r="AJ400" i="11"/>
  <c r="AN387" i="11"/>
  <c r="AJ384" i="11"/>
  <c r="AJ402" i="11"/>
  <c r="AJ388" i="11"/>
  <c r="AL397" i="11"/>
  <c r="AP377" i="11"/>
  <c r="AL396" i="11"/>
  <c r="AL388" i="11"/>
  <c r="AN395" i="11"/>
  <c r="AN384" i="11"/>
  <c r="AL403" i="11"/>
  <c r="AP382" i="11"/>
  <c r="AL401" i="11"/>
  <c r="AJ397" i="11"/>
  <c r="AP394" i="11"/>
  <c r="AN381" i="11"/>
  <c r="AJ380" i="11"/>
  <c r="AP397" i="11"/>
  <c r="AN403" i="11"/>
  <c r="AJ375" i="11"/>
  <c r="AP371" i="11"/>
  <c r="AP336" i="11"/>
  <c r="AN343" i="11"/>
  <c r="AL341" i="11"/>
  <c r="AP349" i="11"/>
  <c r="AP352" i="11"/>
  <c r="AL372" i="11"/>
  <c r="AP331" i="11"/>
  <c r="AJ370" i="11"/>
  <c r="AP320" i="11"/>
  <c r="AJ368" i="11"/>
  <c r="AN349" i="11"/>
  <c r="AN318" i="11"/>
  <c r="AN337" i="11"/>
  <c r="AP363" i="11"/>
  <c r="AN331" i="11"/>
  <c r="AN322" i="11"/>
  <c r="AP368" i="11"/>
  <c r="AJ358" i="11"/>
  <c r="AJ347" i="11"/>
  <c r="AN363" i="11"/>
  <c r="AP328" i="11"/>
  <c r="AL346" i="11"/>
  <c r="AN359" i="11"/>
  <c r="AL335" i="11"/>
  <c r="AL337" i="11"/>
  <c r="AP332" i="11"/>
  <c r="AN328" i="11"/>
  <c r="AN354" i="11"/>
  <c r="AL344" i="11"/>
  <c r="AP335" i="11"/>
  <c r="AP324" i="11"/>
  <c r="AP343" i="11"/>
  <c r="AP367" i="11"/>
  <c r="AP345" i="11"/>
  <c r="AP357" i="11"/>
  <c r="AP346" i="11"/>
  <c r="AL316" i="11"/>
  <c r="AJ317" i="11"/>
  <c r="AP206" i="11"/>
  <c r="AJ206" i="11"/>
  <c r="AL204" i="11"/>
  <c r="AP200" i="11"/>
  <c r="AJ200" i="11"/>
  <c r="AL198" i="11"/>
  <c r="AP141" i="11"/>
  <c r="AJ141" i="11"/>
  <c r="AL139" i="11"/>
  <c r="AP80" i="11"/>
  <c r="AJ80" i="11"/>
  <c r="AP74" i="11"/>
  <c r="AJ74" i="11"/>
  <c r="AL72" i="11"/>
  <c r="AP297" i="11"/>
  <c r="AL297" i="11"/>
  <c r="AL295" i="11"/>
  <c r="AP281" i="11"/>
  <c r="AJ275" i="11"/>
  <c r="AN269" i="11"/>
  <c r="AJ242" i="11"/>
  <c r="AN241" i="11"/>
  <c r="AP165" i="11"/>
  <c r="AJ165" i="11"/>
  <c r="AN268" i="11"/>
  <c r="AL268" i="11"/>
  <c r="AL294" i="11"/>
  <c r="AN289" i="11"/>
  <c r="AN307" i="11"/>
  <c r="AP258" i="11"/>
  <c r="AJ227" i="11"/>
  <c r="AN516" i="11"/>
  <c r="AL519" i="11"/>
  <c r="AP487" i="11"/>
  <c r="AL516" i="11"/>
  <c r="AJ495" i="11"/>
  <c r="AP510" i="11"/>
  <c r="AN455" i="11"/>
  <c r="AL476" i="11"/>
  <c r="AN468" i="11"/>
  <c r="AJ473" i="11"/>
  <c r="AJ416" i="11"/>
  <c r="AJ459" i="11"/>
  <c r="AP467" i="11"/>
  <c r="AN416" i="11"/>
  <c r="AL461" i="11"/>
  <c r="AP465" i="11"/>
  <c r="AP472" i="11"/>
  <c r="AP458" i="11"/>
  <c r="AJ461" i="11"/>
  <c r="AL455" i="11"/>
  <c r="AL471" i="11"/>
  <c r="AL444" i="11"/>
  <c r="AP451" i="11"/>
  <c r="AJ455" i="11"/>
  <c r="AJ480" i="11"/>
  <c r="AJ462" i="11"/>
  <c r="AP415" i="11"/>
  <c r="AP414" i="11"/>
  <c r="AP436" i="11"/>
  <c r="AJ454" i="11"/>
  <c r="AP450" i="11"/>
  <c r="AN439" i="11"/>
  <c r="AP430" i="11"/>
  <c r="AN453" i="11"/>
  <c r="AL446" i="11"/>
  <c r="AN442" i="11"/>
  <c r="AJ431" i="11"/>
  <c r="AP428" i="11"/>
  <c r="AJ446" i="11"/>
  <c r="AJ432" i="11"/>
  <c r="AL426" i="11"/>
  <c r="AJ412" i="11"/>
  <c r="AL420" i="11"/>
  <c r="AL410" i="11"/>
  <c r="AP413" i="11"/>
  <c r="AP409" i="11"/>
  <c r="AP426" i="11"/>
  <c r="AN413" i="11"/>
  <c r="AP418" i="11"/>
  <c r="AL409" i="11"/>
  <c r="AN397" i="11"/>
  <c r="AL384" i="11"/>
  <c r="AJ392" i="11"/>
  <c r="AJ383" i="11"/>
  <c r="AP360" i="11"/>
  <c r="AP393" i="11"/>
  <c r="AP373" i="11"/>
  <c r="AN404" i="11"/>
  <c r="AN383" i="11"/>
  <c r="AL380" i="11"/>
  <c r="AL387" i="11"/>
  <c r="AP384" i="11"/>
  <c r="AJ377" i="11"/>
  <c r="AN389" i="11"/>
  <c r="AP356" i="11"/>
  <c r="AP387" i="11"/>
  <c r="AJ378" i="11"/>
  <c r="AN376" i="11"/>
  <c r="AN360" i="11"/>
  <c r="AL373" i="11"/>
  <c r="AN377" i="11"/>
  <c r="AL375" i="11"/>
  <c r="AL374" i="11"/>
  <c r="AP379" i="11"/>
  <c r="AL391" i="11"/>
  <c r="AN401" i="11"/>
  <c r="AJ371" i="11"/>
  <c r="AN358" i="11"/>
  <c r="AN324" i="11"/>
  <c r="AJ337" i="11"/>
  <c r="AN321" i="11"/>
  <c r="AN371" i="11"/>
  <c r="AP326" i="11"/>
  <c r="AJ352" i="11"/>
  <c r="AN366" i="11"/>
  <c r="AJ331" i="11"/>
  <c r="AN362" i="11"/>
  <c r="AJ320" i="11"/>
  <c r="AL342" i="11"/>
  <c r="AL339" i="11"/>
  <c r="AJ330" i="11"/>
  <c r="AJ363" i="11"/>
  <c r="AL353" i="11"/>
  <c r="AL350" i="11"/>
  <c r="AJ342" i="11"/>
  <c r="AP339" i="11"/>
  <c r="AL324" i="11"/>
  <c r="AL330" i="11"/>
  <c r="AP372" i="11"/>
  <c r="AP353" i="11"/>
  <c r="AP365" i="11"/>
  <c r="AN340" i="11"/>
  <c r="AP325" i="11"/>
  <c r="AN333" i="11"/>
  <c r="AJ332" i="11"/>
  <c r="AL321" i="11"/>
  <c r="AL322" i="11"/>
  <c r="AN334" i="11"/>
  <c r="AJ335" i="11"/>
  <c r="AJ318" i="11"/>
  <c r="AN330" i="11"/>
  <c r="AJ348" i="11"/>
  <c r="AJ345" i="11"/>
  <c r="AJ357" i="11"/>
  <c r="AJ346" i="11"/>
  <c r="AJ312" i="11"/>
  <c r="AP316" i="11"/>
  <c r="AN206" i="11"/>
  <c r="AJ204" i="11"/>
  <c r="AN200" i="11"/>
  <c r="AJ198" i="11"/>
  <c r="AN141" i="11"/>
  <c r="AJ139" i="11"/>
  <c r="AN80" i="11"/>
  <c r="AL76" i="11"/>
  <c r="AN74" i="11"/>
  <c r="AN297" i="11"/>
  <c r="AJ295" i="11"/>
  <c r="AN281" i="11"/>
  <c r="AP242" i="11"/>
  <c r="AP282" i="11"/>
  <c r="AN306" i="11"/>
  <c r="AL223" i="11"/>
  <c r="AN165" i="11"/>
  <c r="AL153" i="11"/>
  <c r="AP268" i="11"/>
  <c r="AP280" i="11"/>
  <c r="AJ280" i="11"/>
  <c r="AJ305" i="11"/>
  <c r="AL311" i="11"/>
  <c r="AN151" i="11"/>
  <c r="AJ96" i="11"/>
  <c r="AN261" i="11"/>
  <c r="AN193" i="11"/>
  <c r="AL181" i="11"/>
  <c r="AP118" i="11"/>
  <c r="AL114" i="11"/>
  <c r="AN112" i="11"/>
  <c r="AL100" i="11"/>
  <c r="AJ491" i="11"/>
  <c r="AN498" i="11"/>
  <c r="AJ485" i="11"/>
  <c r="AL508" i="11"/>
  <c r="AL515" i="11"/>
  <c r="AL473" i="11"/>
  <c r="AN457" i="11"/>
  <c r="AN417" i="11"/>
  <c r="AP480" i="11"/>
  <c r="AL474" i="11"/>
  <c r="AN473" i="11"/>
  <c r="AJ465" i="11"/>
  <c r="AL470" i="11"/>
  <c r="AJ458" i="11"/>
  <c r="AL457" i="11"/>
  <c r="AL480" i="11"/>
  <c r="AP469" i="11"/>
  <c r="AL475" i="11"/>
  <c r="AN465" i="11"/>
  <c r="AN478" i="11"/>
  <c r="AJ444" i="11"/>
  <c r="AN415" i="11"/>
  <c r="AN428" i="11"/>
  <c r="AJ436" i="11"/>
  <c r="AP429" i="11"/>
  <c r="AP447" i="11"/>
  <c r="AN436" i="11"/>
  <c r="AN429" i="11"/>
  <c r="AN437" i="11"/>
  <c r="AL430" i="11"/>
  <c r="AJ453" i="11"/>
  <c r="AN435" i="11"/>
  <c r="AN430" i="11"/>
  <c r="AP453" i="11"/>
  <c r="AL454" i="11"/>
  <c r="AJ428" i="11"/>
  <c r="AL437" i="11"/>
  <c r="AP441" i="11"/>
  <c r="AP425" i="11"/>
  <c r="AP419" i="11"/>
  <c r="AN425" i="11"/>
  <c r="AP411" i="11"/>
  <c r="AP423" i="11"/>
  <c r="AJ413" i="11"/>
  <c r="AJ421" i="11"/>
  <c r="AN423" i="11"/>
  <c r="AN410" i="11"/>
  <c r="AL425" i="11"/>
  <c r="AL419" i="11"/>
  <c r="AP386" i="11"/>
  <c r="AL395" i="11"/>
  <c r="AN378" i="11"/>
  <c r="AP403" i="11"/>
  <c r="AL382" i="11"/>
  <c r="AP374" i="11"/>
  <c r="AJ393" i="11"/>
  <c r="AJ373" i="11"/>
  <c r="AL394" i="11"/>
  <c r="AJ382" i="11"/>
  <c r="AN374" i="11"/>
  <c r="AL379" i="11"/>
  <c r="AL378" i="11"/>
  <c r="AP391" i="11"/>
  <c r="AL381" i="11"/>
  <c r="AJ356" i="11"/>
  <c r="AJ387" i="11"/>
  <c r="AN398" i="11"/>
  <c r="AJ376" i="11"/>
  <c r="AJ396" i="11"/>
  <c r="AP388" i="11"/>
  <c r="AL405" i="11"/>
  <c r="AJ403" i="11"/>
  <c r="AP401" i="11"/>
  <c r="AP406" i="11"/>
  <c r="AP405" i="11"/>
  <c r="AJ408" i="11"/>
  <c r="AJ360" i="11"/>
  <c r="AL368" i="11"/>
  <c r="AJ349" i="11"/>
  <c r="AL318" i="11"/>
  <c r="AP330" i="11"/>
  <c r="AP348" i="11"/>
  <c r="AN369" i="11"/>
  <c r="AN329" i="11"/>
  <c r="AJ326" i="11"/>
  <c r="AN355" i="11"/>
  <c r="AN348" i="11"/>
  <c r="AP361" i="11"/>
  <c r="AJ362" i="11"/>
  <c r="AP344" i="11"/>
  <c r="AP359" i="11"/>
  <c r="AN326" i="11"/>
  <c r="AN352" i="11"/>
  <c r="AL323" i="11"/>
  <c r="AJ372" i="11"/>
  <c r="AN338" i="11"/>
  <c r="AN320" i="11"/>
  <c r="AL329" i="11"/>
  <c r="AJ339" i="11"/>
  <c r="AP333" i="11"/>
  <c r="AL366" i="11"/>
  <c r="AJ353" i="11"/>
  <c r="AJ365" i="11"/>
  <c r="AL340" i="11"/>
  <c r="AJ324" i="11"/>
  <c r="AJ367" i="11"/>
  <c r="AN372" i="11"/>
  <c r="AN353" i="11"/>
  <c r="AN365" i="11"/>
  <c r="AL371" i="11"/>
  <c r="AL326" i="11"/>
  <c r="AP323" i="11"/>
  <c r="AN332" i="11"/>
  <c r="AP321" i="11"/>
  <c r="AL338" i="11"/>
  <c r="AP350" i="11"/>
  <c r="AN312" i="11"/>
  <c r="AP312" i="11"/>
  <c r="AL317" i="11"/>
  <c r="AL208" i="11"/>
  <c r="AN204" i="11"/>
  <c r="AL202" i="11"/>
  <c r="AP198" i="11"/>
  <c r="AJ143" i="11"/>
  <c r="AP139" i="11"/>
  <c r="AL82" i="11"/>
  <c r="AP78" i="11"/>
  <c r="AJ78" i="11"/>
  <c r="AP72" i="11"/>
  <c r="AJ72" i="11"/>
  <c r="AL304" i="11"/>
  <c r="AP295" i="11"/>
  <c r="AL290" i="11"/>
  <c r="AP275" i="11"/>
  <c r="AL275" i="11"/>
  <c r="AJ269" i="11"/>
  <c r="AL315" i="11"/>
  <c r="AL310" i="11"/>
  <c r="AL308" i="11"/>
  <c r="AN153" i="11"/>
  <c r="AJ153" i="11"/>
  <c r="AL92" i="11"/>
  <c r="AJ294" i="11"/>
  <c r="AN280" i="11"/>
  <c r="AL274" i="11"/>
  <c r="AP305" i="11"/>
  <c r="AP283" i="11"/>
  <c r="AP227" i="11"/>
  <c r="AL227" i="11"/>
  <c r="AP96" i="11"/>
  <c r="AP251" i="11"/>
  <c r="AP181" i="11"/>
  <c r="AJ173" i="11"/>
  <c r="AP130" i="11"/>
  <c r="AJ130" i="11"/>
  <c r="AP116" i="11"/>
  <c r="AJ116" i="11"/>
  <c r="AP110" i="11"/>
  <c r="AJ520" i="11"/>
  <c r="AP504" i="11"/>
  <c r="AN503" i="11"/>
  <c r="AP506" i="11"/>
  <c r="AJ483" i="11"/>
  <c r="AN502" i="11"/>
  <c r="AJ457" i="11"/>
  <c r="AJ417" i="11"/>
  <c r="AP462" i="11"/>
  <c r="AN475" i="11"/>
  <c r="AL443" i="11"/>
  <c r="AP478" i="11"/>
  <c r="AN462" i="11"/>
  <c r="AL465" i="11"/>
  <c r="AN480" i="11"/>
  <c r="AJ451" i="11"/>
  <c r="AN463" i="11"/>
  <c r="AP476" i="11"/>
  <c r="AN467" i="11"/>
  <c r="AP475" i="11"/>
  <c r="AN466" i="11"/>
  <c r="AJ468" i="11"/>
  <c r="AN460" i="11"/>
  <c r="AL417" i="11"/>
  <c r="AP470" i="11"/>
  <c r="AJ450" i="11"/>
  <c r="AL442" i="11"/>
  <c r="AJ429" i="11"/>
  <c r="AJ447" i="11"/>
  <c r="AJ442" i="11"/>
  <c r="AL453" i="11"/>
  <c r="AL435" i="11"/>
  <c r="AJ448" i="11"/>
  <c r="AP438" i="11"/>
  <c r="AJ435" i="11"/>
  <c r="AL436" i="11"/>
  <c r="AN448" i="11"/>
  <c r="AL450" i="11"/>
  <c r="AP435" i="11"/>
  <c r="AJ441" i="11"/>
  <c r="AJ425" i="11"/>
  <c r="AJ419" i="11"/>
  <c r="AL423" i="11"/>
  <c r="AJ411" i="11"/>
  <c r="AN424" i="11"/>
  <c r="AJ423" i="11"/>
  <c r="AP410" i="11"/>
  <c r="AJ427" i="11"/>
  <c r="AP421" i="11"/>
  <c r="AJ410" i="11"/>
  <c r="AN421" i="11"/>
  <c r="AJ386" i="11"/>
  <c r="AN379" i="11"/>
  <c r="AP404" i="11"/>
  <c r="AJ391" i="11"/>
  <c r="AN396" i="11"/>
  <c r="AJ374" i="11"/>
  <c r="AL390" i="11"/>
  <c r="AP399" i="11"/>
  <c r="AL377" i="11"/>
  <c r="AP389" i="11"/>
  <c r="AN400" i="11"/>
  <c r="AN373" i="11"/>
  <c r="AP398" i="11"/>
  <c r="AL376" i="11"/>
  <c r="AP407" i="11"/>
  <c r="AL406" i="11"/>
  <c r="AJ379" i="11"/>
  <c r="AJ394" i="11"/>
  <c r="AL408" i="11"/>
  <c r="AP381" i="11"/>
  <c r="AN356" i="11"/>
  <c r="AL385" i="11"/>
  <c r="AP376" i="11"/>
  <c r="AJ401" i="11"/>
  <c r="AJ406" i="11"/>
  <c r="AJ405" i="11"/>
  <c r="AL383" i="11"/>
  <c r="AN380" i="11"/>
  <c r="AN342" i="11"/>
  <c r="AN335" i="11"/>
  <c r="AL352" i="11"/>
  <c r="AN346" i="11"/>
  <c r="AL359" i="11"/>
  <c r="AL325" i="11"/>
  <c r="AP337" i="11"/>
  <c r="AL363" i="11"/>
  <c r="AP341" i="11"/>
  <c r="AN357" i="11"/>
  <c r="AL354" i="11"/>
  <c r="AJ344" i="11"/>
  <c r="AJ359" i="11"/>
  <c r="AJ325" i="11"/>
  <c r="AP355" i="11"/>
  <c r="AJ333" i="11"/>
  <c r="AN361" i="11"/>
  <c r="AL370" i="11"/>
  <c r="AJ340" i="11"/>
  <c r="AN325" i="11"/>
  <c r="AP351" i="11"/>
  <c r="AP334" i="11"/>
  <c r="AJ336" i="11"/>
  <c r="AJ366" i="11"/>
  <c r="AL357" i="11"/>
  <c r="AL320" i="11"/>
  <c r="AP340" i="11"/>
  <c r="AN319" i="11"/>
  <c r="AP364" i="11"/>
  <c r="AJ323" i="11"/>
  <c r="AJ321" i="11"/>
  <c r="AP369" i="11"/>
  <c r="AJ350" i="11"/>
  <c r="AN317" i="11"/>
  <c r="AP313" i="11"/>
  <c r="AN316" i="11"/>
  <c r="AP204" i="11"/>
  <c r="AN198" i="11"/>
  <c r="AN139" i="11"/>
  <c r="AN78" i="11"/>
  <c r="AL74" i="11"/>
  <c r="AN72" i="11"/>
  <c r="AN295" i="11"/>
  <c r="AN275" i="11"/>
  <c r="AJ311" i="11"/>
  <c r="AP153" i="11"/>
  <c r="AP294" i="11"/>
  <c r="AJ289" i="11"/>
  <c r="AP274" i="11"/>
  <c r="AJ274" i="11"/>
  <c r="AJ259" i="11"/>
  <c r="AJ241" i="11"/>
  <c r="AN227" i="11"/>
  <c r="AL159" i="11"/>
  <c r="AN96" i="11"/>
  <c r="AJ88" i="11"/>
  <c r="AL237" i="11"/>
  <c r="AN181" i="11"/>
  <c r="AL173" i="11"/>
  <c r="AP136" i="11"/>
  <c r="AN130" i="11"/>
  <c r="AJ498" i="11"/>
  <c r="AP511" i="11"/>
  <c r="AJ518" i="11"/>
  <c r="AJ506" i="11"/>
  <c r="AN486" i="11"/>
  <c r="AL497" i="11"/>
  <c r="AN451" i="11"/>
  <c r="AL466" i="11"/>
  <c r="AP444" i="11"/>
  <c r="AP456" i="11"/>
  <c r="AP479" i="11"/>
  <c r="AJ477" i="11"/>
  <c r="AP443" i="11"/>
  <c r="AN477" i="11"/>
  <c r="AP466" i="11"/>
  <c r="AJ476" i="11"/>
  <c r="AP474" i="11"/>
  <c r="AP460" i="11"/>
  <c r="AP463" i="11"/>
  <c r="AL478" i="11"/>
  <c r="AL462" i="11"/>
  <c r="AN461" i="11"/>
  <c r="AJ470" i="11"/>
  <c r="AL414" i="11"/>
  <c r="AN447" i="11"/>
  <c r="AP432" i="11"/>
  <c r="AP440" i="11"/>
  <c r="AP437" i="11"/>
  <c r="AN432" i="11"/>
  <c r="AN440" i="11"/>
  <c r="AL449" i="11"/>
  <c r="AN441" i="11"/>
  <c r="AL428" i="11"/>
  <c r="AL433" i="11"/>
  <c r="AP448" i="11"/>
  <c r="AL440" i="11"/>
  <c r="AN434" i="11"/>
  <c r="AL441" i="11"/>
  <c r="AJ433" i="11"/>
  <c r="AJ439" i="11"/>
  <c r="AN418" i="11"/>
  <c r="AL424" i="11"/>
  <c r="AL421" i="11"/>
  <c r="AJ426" i="11"/>
  <c r="AJ424" i="11"/>
  <c r="AJ420" i="11"/>
  <c r="AP420" i="11"/>
  <c r="AP422" i="11"/>
  <c r="AJ418" i="11"/>
  <c r="AN427" i="11"/>
  <c r="AP427" i="11"/>
  <c r="AN386" i="11"/>
  <c r="AN405" i="11"/>
  <c r="AJ404" i="11"/>
  <c r="AP408" i="11"/>
  <c r="AL389" i="11"/>
  <c r="AL356" i="11"/>
  <c r="AP395" i="11"/>
  <c r="AJ399" i="11"/>
  <c r="AN391" i="11"/>
  <c r="AJ389" i="11"/>
  <c r="AJ398" i="11"/>
  <c r="AP402" i="11"/>
  <c r="AJ407" i="11"/>
  <c r="AL392" i="11"/>
  <c r="AN402" i="11"/>
  <c r="AJ381" i="11"/>
  <c r="AP378" i="11"/>
  <c r="AL360" i="11"/>
  <c r="AL400" i="11"/>
  <c r="AJ385" i="11"/>
  <c r="AP396" i="11"/>
  <c r="AN406" i="11"/>
  <c r="AP329" i="11"/>
  <c r="AP319" i="11"/>
  <c r="AN364" i="11"/>
  <c r="AL333" i="11"/>
  <c r="AJ361" i="11"/>
  <c r="AJ322" i="11"/>
  <c r="AN336" i="11"/>
  <c r="AN323" i="11"/>
  <c r="AL332" i="11"/>
  <c r="AJ341" i="11"/>
  <c r="AP338" i="11"/>
  <c r="AP322" i="11"/>
  <c r="AL334" i="11"/>
  <c r="AP327" i="11"/>
  <c r="AL347" i="11"/>
  <c r="AL351" i="11"/>
  <c r="AP362" i="11"/>
  <c r="AL336" i="11"/>
  <c r="AJ319" i="11"/>
  <c r="AL364" i="11"/>
  <c r="AJ351" i="11"/>
  <c r="AP370" i="11"/>
  <c r="AJ334" i="11"/>
  <c r="AL358" i="11"/>
  <c r="AN347" i="11"/>
  <c r="AN351" i="11"/>
  <c r="AN370" i="11"/>
  <c r="AP358" i="11"/>
  <c r="AL319" i="11"/>
  <c r="AJ364" i="11"/>
  <c r="AP366" i="11"/>
  <c r="AL331" i="11"/>
  <c r="AJ369" i="11"/>
  <c r="AJ316" i="11"/>
  <c r="AL313" i="11"/>
  <c r="AP208" i="11"/>
  <c r="AJ208" i="11"/>
  <c r="AL206" i="11"/>
  <c r="AP202" i="11"/>
  <c r="AJ202" i="11"/>
  <c r="AL200" i="11"/>
  <c r="AP143" i="11"/>
  <c r="AL143" i="11"/>
  <c r="AN82" i="11"/>
  <c r="AJ82" i="11"/>
  <c r="AL80" i="11"/>
  <c r="AP76" i="11"/>
  <c r="AJ76" i="11"/>
  <c r="AN304" i="11"/>
  <c r="AJ304" i="11"/>
  <c r="AP290" i="11"/>
  <c r="AJ290" i="11"/>
  <c r="AJ281" i="11"/>
  <c r="AP269" i="11"/>
  <c r="AL269" i="11"/>
  <c r="AP311" i="11"/>
  <c r="AP223" i="11"/>
  <c r="AJ223" i="11"/>
  <c r="AP92" i="11"/>
  <c r="AJ92" i="11"/>
  <c r="AN294" i="11"/>
  <c r="AL289" i="11"/>
  <c r="AL280" i="11"/>
  <c r="AN274" i="11"/>
  <c r="AJ285" i="11"/>
  <c r="AP259" i="11"/>
  <c r="AP241" i="11"/>
  <c r="AN159" i="11"/>
  <c r="AJ159" i="11"/>
  <c r="AP261" i="11"/>
  <c r="AP237" i="11"/>
  <c r="AP193" i="11"/>
  <c r="AN116" i="11"/>
  <c r="AP114" i="11"/>
  <c r="AP112" i="11"/>
  <c r="AJ110" i="11"/>
  <c r="AP98" i="11"/>
  <c r="AL69" i="11"/>
  <c r="AN63" i="11"/>
  <c r="AL61" i="11"/>
  <c r="AJ59" i="11"/>
  <c r="AN55" i="11"/>
  <c r="AP47" i="11"/>
  <c r="AL45" i="11"/>
  <c r="AL43" i="11"/>
  <c r="AP39" i="11"/>
  <c r="AJ39" i="11"/>
  <c r="AJ37" i="11"/>
  <c r="AN33" i="11"/>
  <c r="AL302" i="11"/>
  <c r="AL273" i="11"/>
  <c r="AJ282" i="11"/>
  <c r="AJ255" i="11"/>
  <c r="AP247" i="11"/>
  <c r="AN239" i="11"/>
  <c r="AN195" i="11"/>
  <c r="AP126" i="11"/>
  <c r="AJ126" i="11"/>
  <c r="AP209" i="11"/>
  <c r="AL205" i="11"/>
  <c r="AP142" i="11"/>
  <c r="AL142" i="11"/>
  <c r="AP77" i="11"/>
  <c r="AL77" i="11"/>
  <c r="AP71" i="11"/>
  <c r="AL71" i="11"/>
  <c r="AJ288" i="11"/>
  <c r="AL278" i="11"/>
  <c r="AN272" i="11"/>
  <c r="AP309" i="11"/>
  <c r="AP306" i="11"/>
  <c r="AP221" i="11"/>
  <c r="AL163" i="11"/>
  <c r="AP94" i="11"/>
  <c r="AJ94" i="11"/>
  <c r="AP245" i="11"/>
  <c r="AN191" i="11"/>
  <c r="AP185" i="11"/>
  <c r="AL175" i="11"/>
  <c r="AP134" i="11"/>
  <c r="AJ134" i="11"/>
  <c r="AP120" i="11"/>
  <c r="AP212" i="11"/>
  <c r="AJ212" i="11"/>
  <c r="AP207" i="11"/>
  <c r="AJ207" i="11"/>
  <c r="AJ203" i="11"/>
  <c r="AP232" i="11"/>
  <c r="AL232" i="11"/>
  <c r="AP220" i="11"/>
  <c r="AJ220" i="11"/>
  <c r="AL164" i="11"/>
  <c r="AN154" i="11"/>
  <c r="AJ154" i="11"/>
  <c r="AL148" i="11"/>
  <c r="AP93" i="11"/>
  <c r="AJ93" i="11"/>
  <c r="AP292" i="11"/>
  <c r="AJ292" i="11"/>
  <c r="AP271" i="11"/>
  <c r="AJ309" i="11"/>
  <c r="AJ306" i="11"/>
  <c r="AP151" i="11"/>
  <c r="AN88" i="11"/>
  <c r="AN251" i="11"/>
  <c r="AL136" i="11"/>
  <c r="AL130" i="11"/>
  <c r="AN110" i="11"/>
  <c r="AJ108" i="11"/>
  <c r="AP69" i="11"/>
  <c r="AJ69" i="11"/>
  <c r="AJ67" i="11"/>
  <c r="AP61" i="11"/>
  <c r="AP53" i="11"/>
  <c r="AL53" i="11"/>
  <c r="AN47" i="11"/>
  <c r="AP45" i="11"/>
  <c r="AJ45" i="11"/>
  <c r="AN41" i="11"/>
  <c r="AN39" i="11"/>
  <c r="AJ35" i="11"/>
  <c r="AP31" i="11"/>
  <c r="AP273" i="11"/>
  <c r="AJ273" i="11"/>
  <c r="AP310" i="11"/>
  <c r="AL255" i="11"/>
  <c r="AJ247" i="11"/>
  <c r="AP187" i="11"/>
  <c r="AJ187" i="11"/>
  <c r="AJ179" i="11"/>
  <c r="AL171" i="11"/>
  <c r="AN126" i="11"/>
  <c r="AN209" i="11"/>
  <c r="AN142" i="11"/>
  <c r="AJ138" i="11"/>
  <c r="AL75" i="11"/>
  <c r="AN71" i="11"/>
  <c r="AJ301" i="11"/>
  <c r="AL300" i="11"/>
  <c r="AP288" i="11"/>
  <c r="AL285" i="11"/>
  <c r="AL282" i="11"/>
  <c r="AJ308" i="11"/>
  <c r="AL229" i="11"/>
  <c r="AJ163" i="11"/>
  <c r="AN149" i="11"/>
  <c r="AN94" i="11"/>
  <c r="AN245" i="11"/>
  <c r="AJ235" i="11"/>
  <c r="AN185" i="11"/>
  <c r="AJ175" i="11"/>
  <c r="AL128" i="11"/>
  <c r="AN120" i="11"/>
  <c r="AJ102" i="11"/>
  <c r="AN212" i="11"/>
  <c r="AN207" i="11"/>
  <c r="AN232" i="11"/>
  <c r="AJ228" i="11"/>
  <c r="AL224" i="11"/>
  <c r="AN220" i="11"/>
  <c r="AL158" i="11"/>
  <c r="AP154" i="11"/>
  <c r="AL144" i="11"/>
  <c r="AN93" i="11"/>
  <c r="AL87" i="11"/>
  <c r="AP303" i="11"/>
  <c r="AJ303" i="11"/>
  <c r="AN292" i="11"/>
  <c r="AN271" i="11"/>
  <c r="AJ310" i="11"/>
  <c r="AN314" i="11"/>
  <c r="AL251" i="11"/>
  <c r="AJ181" i="11"/>
  <c r="AJ124" i="11"/>
  <c r="AL118" i="11"/>
  <c r="AP108" i="11"/>
  <c r="AL106" i="11"/>
  <c r="AN69" i="11"/>
  <c r="AJ65" i="11"/>
  <c r="AP59" i="11"/>
  <c r="AL59" i="11"/>
  <c r="AN53" i="11"/>
  <c r="AL51" i="11"/>
  <c r="AL49" i="11"/>
  <c r="AN45" i="11"/>
  <c r="AJ43" i="11"/>
  <c r="AJ41" i="11"/>
  <c r="AN37" i="11"/>
  <c r="AP302" i="11"/>
  <c r="AJ302" i="11"/>
  <c r="AN279" i="11"/>
  <c r="AN273" i="11"/>
  <c r="AN285" i="11"/>
  <c r="AL284" i="11"/>
  <c r="AP255" i="11"/>
  <c r="AJ239" i="11"/>
  <c r="AN187" i="11"/>
  <c r="AL179" i="11"/>
  <c r="AP214" i="11"/>
  <c r="AJ214" i="11"/>
  <c r="AL210" i="11"/>
  <c r="AP205" i="11"/>
  <c r="AJ205" i="11"/>
  <c r="AP138" i="11"/>
  <c r="AN77" i="11"/>
  <c r="AP75" i="11"/>
  <c r="AJ75" i="11"/>
  <c r="AL73" i="11"/>
  <c r="AP301" i="11"/>
  <c r="AN288" i="11"/>
  <c r="AL272" i="11"/>
  <c r="AN310" i="11"/>
  <c r="AP308" i="11"/>
  <c r="AL221" i="11"/>
  <c r="AP163" i="11"/>
  <c r="AJ149" i="11"/>
  <c r="AP263" i="11"/>
  <c r="AL263" i="11"/>
  <c r="AJ253" i="11"/>
  <c r="AP235" i="11"/>
  <c r="AJ191" i="11"/>
  <c r="AN175" i="11"/>
  <c r="AJ167" i="11"/>
  <c r="AN134" i="11"/>
  <c r="AP132" i="11"/>
  <c r="AJ132" i="11"/>
  <c r="AL120" i="11"/>
  <c r="AP102" i="11"/>
  <c r="AL216" i="11"/>
  <c r="AP203" i="11"/>
  <c r="AL203" i="11"/>
  <c r="AJ197" i="11"/>
  <c r="AP228" i="11"/>
  <c r="AP164" i="11"/>
  <c r="AJ164" i="11"/>
  <c r="AP148" i="11"/>
  <c r="AJ148" i="11"/>
  <c r="AP87" i="11"/>
  <c r="AJ87" i="11"/>
  <c r="AJ83" i="11"/>
  <c r="AN303" i="11"/>
  <c r="AL299" i="11"/>
  <c r="AP287" i="11"/>
  <c r="AJ287" i="11"/>
  <c r="AL277" i="11"/>
  <c r="AJ307" i="11"/>
  <c r="AN284" i="11"/>
  <c r="AL258" i="11"/>
  <c r="AL193" i="11"/>
  <c r="AJ136" i="11"/>
  <c r="AL124" i="11"/>
  <c r="AL116" i="11"/>
  <c r="AJ114" i="11"/>
  <c r="AL112" i="11"/>
  <c r="AP106" i="11"/>
  <c r="AJ104" i="11"/>
  <c r="AJ100" i="11"/>
  <c r="AL98" i="11"/>
  <c r="AP67" i="11"/>
  <c r="AL57" i="11"/>
  <c r="AL55" i="11"/>
  <c r="AP51" i="11"/>
  <c r="AJ51" i="11"/>
  <c r="AJ49" i="11"/>
  <c r="AP43" i="11"/>
  <c r="AP35" i="11"/>
  <c r="AL35" i="11"/>
  <c r="AN302" i="11"/>
  <c r="AJ293" i="11"/>
  <c r="AL279" i="11"/>
  <c r="AP307" i="11"/>
  <c r="AN247" i="11"/>
  <c r="AP179" i="11"/>
  <c r="AN214" i="11"/>
  <c r="AJ210" i="11"/>
  <c r="AN205" i="11"/>
  <c r="AL201" i="11"/>
  <c r="AN138" i="11"/>
  <c r="AL81" i="11"/>
  <c r="AN75" i="11"/>
  <c r="AJ73" i="11"/>
  <c r="AN301" i="11"/>
  <c r="AJ300" i="11"/>
  <c r="AP278" i="11"/>
  <c r="AJ278" i="11"/>
  <c r="AL242" i="11"/>
  <c r="AJ229" i="11"/>
  <c r="AJ221" i="11"/>
  <c r="AN163" i="11"/>
  <c r="AN263" i="11"/>
  <c r="AN235" i="11"/>
  <c r="AP175" i="11"/>
  <c r="AN132" i="11"/>
  <c r="AL102" i="11"/>
  <c r="AL212" i="11"/>
  <c r="AN164" i="11"/>
  <c r="AN148" i="11"/>
  <c r="AN87" i="11"/>
  <c r="AL83" i="11"/>
  <c r="AP299" i="11"/>
  <c r="AJ299" i="11"/>
  <c r="AJ277" i="11"/>
  <c r="AL271" i="11"/>
  <c r="AJ315" i="11"/>
  <c r="AJ151" i="11"/>
  <c r="AL88" i="11"/>
  <c r="AJ261" i="11"/>
  <c r="AJ237" i="11"/>
  <c r="AN136" i="11"/>
  <c r="AP124" i="11"/>
  <c r="AJ118" i="11"/>
  <c r="AL110" i="11"/>
  <c r="AP104" i="11"/>
  <c r="AP65" i="11"/>
  <c r="AL63" i="11"/>
  <c r="AJ61" i="11"/>
  <c r="AP57" i="11"/>
  <c r="AJ57" i="11"/>
  <c r="AJ55" i="11"/>
  <c r="AN51" i="11"/>
  <c r="AJ47" i="11"/>
  <c r="AP41" i="11"/>
  <c r="AL41" i="11"/>
  <c r="AN35" i="11"/>
  <c r="AL33" i="11"/>
  <c r="AL31" i="11"/>
  <c r="AP293" i="11"/>
  <c r="AN315" i="11"/>
  <c r="AL314" i="11"/>
  <c r="AP239" i="11"/>
  <c r="AL239" i="11"/>
  <c r="AL195" i="11"/>
  <c r="AL187" i="11"/>
  <c r="AN179" i="11"/>
  <c r="AJ171" i="11"/>
  <c r="AL126" i="11"/>
  <c r="AP210" i="11"/>
  <c r="AJ209" i="11"/>
  <c r="AP201" i="11"/>
  <c r="AJ201" i="11"/>
  <c r="AP81" i="11"/>
  <c r="AJ81" i="11"/>
  <c r="AJ77" i="11"/>
  <c r="AP73" i="11"/>
  <c r="AJ71" i="11"/>
  <c r="AP300" i="11"/>
  <c r="AN278" i="11"/>
  <c r="AJ283" i="11"/>
  <c r="AP229" i="11"/>
  <c r="AP149" i="11"/>
  <c r="AL149" i="11"/>
  <c r="AL94" i="11"/>
  <c r="AN253" i="11"/>
  <c r="AL253" i="11"/>
  <c r="AJ245" i="11"/>
  <c r="AP191" i="11"/>
  <c r="AL191" i="11"/>
  <c r="AL185" i="11"/>
  <c r="AP167" i="11"/>
  <c r="AL167" i="11"/>
  <c r="AL134" i="11"/>
  <c r="AP128" i="11"/>
  <c r="AJ128" i="11"/>
  <c r="AP216" i="11"/>
  <c r="AJ216" i="11"/>
  <c r="AL207" i="11"/>
  <c r="AN203" i="11"/>
  <c r="AP197" i="11"/>
  <c r="AL197" i="11"/>
  <c r="AN228" i="11"/>
  <c r="AN224" i="11"/>
  <c r="AJ224" i="11"/>
  <c r="AP158" i="11"/>
  <c r="AJ158" i="11"/>
  <c r="AL154" i="11"/>
  <c r="AP144" i="11"/>
  <c r="AJ144" i="11"/>
  <c r="AP83" i="11"/>
  <c r="AN299" i="11"/>
  <c r="AL292" i="11"/>
  <c r="AN287" i="11"/>
  <c r="AP277" i="11"/>
  <c r="AP315" i="11"/>
  <c r="AL283" i="11"/>
  <c r="AP88" i="11"/>
  <c r="AP173" i="11"/>
  <c r="AN118" i="11"/>
  <c r="AJ112" i="11"/>
  <c r="AL108" i="11"/>
  <c r="AN106" i="11"/>
  <c r="AN104" i="11"/>
  <c r="AN100" i="11"/>
  <c r="AN98" i="11"/>
  <c r="AJ98" i="11"/>
  <c r="AL67" i="11"/>
  <c r="AN65" i="11"/>
  <c r="AP63" i="11"/>
  <c r="AJ63" i="11"/>
  <c r="AN59" i="11"/>
  <c r="AN57" i="11"/>
  <c r="AJ53" i="11"/>
  <c r="AP49" i="11"/>
  <c r="AL39" i="11"/>
  <c r="AL37" i="11"/>
  <c r="AP33" i="11"/>
  <c r="AJ33" i="11"/>
  <c r="AJ31" i="11"/>
  <c r="AN293" i="11"/>
  <c r="AP279" i="11"/>
  <c r="AJ279" i="11"/>
  <c r="AN309" i="11"/>
  <c r="AN308" i="11"/>
  <c r="AJ195" i="11"/>
  <c r="AP171" i="11"/>
  <c r="AL214" i="11"/>
  <c r="AN210" i="11"/>
  <c r="AL209" i="11"/>
  <c r="AN201" i="11"/>
  <c r="AJ142" i="11"/>
  <c r="AL138" i="11"/>
  <c r="AN81" i="11"/>
  <c r="AN73" i="11"/>
  <c r="AL301" i="11"/>
  <c r="AN300" i="11"/>
  <c r="AL288" i="11"/>
  <c r="AP272" i="11"/>
  <c r="AJ272" i="11"/>
  <c r="AL259" i="11"/>
  <c r="AL241" i="11"/>
  <c r="AN229" i="11"/>
  <c r="AN221" i="11"/>
  <c r="AJ263" i="11"/>
  <c r="AP253" i="11"/>
  <c r="AL245" i="11"/>
  <c r="AL235" i="11"/>
  <c r="AJ185" i="11"/>
  <c r="AN167" i="11"/>
  <c r="AL132" i="11"/>
  <c r="AN128" i="11"/>
  <c r="AJ120" i="11"/>
  <c r="AN102" i="11"/>
  <c r="AN216" i="11"/>
  <c r="AN197" i="11"/>
  <c r="AJ232" i="11"/>
  <c r="AL228" i="11"/>
  <c r="AP224" i="11"/>
  <c r="AL220" i="11"/>
  <c r="AN158" i="11"/>
  <c r="AN144" i="11"/>
  <c r="AL93" i="11"/>
  <c r="AN83" i="11"/>
  <c r="AL303" i="11"/>
  <c r="AL287" i="11"/>
  <c r="AN277" i="11"/>
  <c r="AJ271" i="11"/>
  <c r="AL267" i="11"/>
  <c r="AP267" i="11"/>
  <c r="AJ267" i="11"/>
  <c r="AN267" i="11"/>
  <c r="AP26" i="11"/>
  <c r="AJ25" i="11"/>
  <c r="AJ24" i="11"/>
  <c r="AL26" i="11"/>
  <c r="AP23" i="11"/>
  <c r="AL23" i="11"/>
  <c r="AP24" i="11"/>
  <c r="AN26" i="11"/>
  <c r="AJ26" i="11"/>
  <c r="AN23" i="11"/>
  <c r="AP25" i="11"/>
  <c r="AL25" i="11"/>
  <c r="AN24" i="11"/>
  <c r="AN25" i="11"/>
  <c r="AL24" i="11"/>
  <c r="AJ23" i="11"/>
  <c r="AI21" i="11"/>
  <c r="AP21" i="11"/>
  <c r="AN21" i="11"/>
  <c r="AO21" i="11"/>
  <c r="AM21" i="11"/>
  <c r="AK21" i="11"/>
  <c r="AL21" i="11"/>
  <c r="AJ21" i="11"/>
  <c r="AI9" i="11"/>
  <c r="AP9" i="11"/>
  <c r="AN9" i="11"/>
  <c r="AO9" i="11"/>
  <c r="AM9" i="11"/>
  <c r="AK9" i="11"/>
  <c r="AL9" i="11"/>
  <c r="AJ9" i="11"/>
  <c r="AI20" i="11"/>
  <c r="AN20" i="11"/>
  <c r="AP20" i="11"/>
  <c r="AO20" i="11"/>
  <c r="AM20" i="11"/>
  <c r="AL20" i="11"/>
  <c r="AK20" i="11"/>
  <c r="AJ20" i="11"/>
  <c r="AI18" i="11"/>
  <c r="AP18" i="11"/>
  <c r="AN18" i="11"/>
  <c r="AO18" i="11"/>
  <c r="AM18" i="11"/>
  <c r="AL18" i="11"/>
  <c r="AJ18" i="11"/>
  <c r="AK18" i="11"/>
  <c r="AI17" i="11"/>
  <c r="AP17" i="11"/>
  <c r="AN17" i="11"/>
  <c r="AO17" i="11"/>
  <c r="AM17" i="11"/>
  <c r="AJ17" i="11"/>
  <c r="AK17" i="11"/>
  <c r="AL17" i="11"/>
  <c r="AI14" i="11"/>
  <c r="AP14" i="11"/>
  <c r="AN14" i="11"/>
  <c r="AO14" i="11"/>
  <c r="AL14" i="11"/>
  <c r="AM14" i="11"/>
  <c r="AK14" i="11"/>
  <c r="AJ14" i="11"/>
  <c r="AI8" i="11"/>
  <c r="AP8" i="11"/>
  <c r="AN8" i="11"/>
  <c r="AO8" i="11"/>
  <c r="AM8" i="11"/>
  <c r="AL8" i="11"/>
  <c r="AK8" i="11"/>
  <c r="AJ8" i="11"/>
  <c r="AI30" i="11"/>
  <c r="AN30" i="11"/>
  <c r="AP30" i="11"/>
  <c r="AO30" i="11"/>
  <c r="AL30" i="11"/>
  <c r="AM30" i="11"/>
  <c r="AK30" i="11"/>
  <c r="AJ30" i="11"/>
  <c r="AI19" i="11"/>
  <c r="AN19" i="11"/>
  <c r="AP19" i="11"/>
  <c r="AO19" i="11"/>
  <c r="AM19" i="11"/>
  <c r="AL19" i="11"/>
  <c r="AJ19" i="11"/>
  <c r="AK19" i="11"/>
  <c r="AH2" i="11"/>
  <c r="AG2" i="11"/>
  <c r="AH209" i="11"/>
  <c r="AH75" i="11"/>
  <c r="AH244" i="11"/>
  <c r="AH184" i="11"/>
  <c r="AH137" i="11"/>
  <c r="AH119" i="11"/>
  <c r="AH99" i="11"/>
  <c r="AH56" i="11"/>
  <c r="AH217" i="11"/>
  <c r="AH628" i="11"/>
  <c r="AH644" i="11"/>
  <c r="AH625" i="11"/>
  <c r="AH617" i="11"/>
  <c r="AH656" i="11"/>
  <c r="AH638" i="11"/>
  <c r="AH634" i="11"/>
  <c r="AH679" i="11"/>
  <c r="AH688" i="11"/>
  <c r="AH677" i="11"/>
  <c r="AH685" i="11"/>
  <c r="AH690" i="11"/>
  <c r="AH665" i="11"/>
  <c r="AH678" i="11"/>
  <c r="AH601" i="11"/>
  <c r="AH595" i="11"/>
  <c r="AH598" i="11"/>
  <c r="AH593" i="11"/>
  <c r="AH588" i="11"/>
  <c r="AH578" i="11"/>
  <c r="AH572" i="11"/>
  <c r="AH583" i="11"/>
  <c r="AH555" i="11"/>
  <c r="AH525" i="11"/>
  <c r="AH528" i="11"/>
  <c r="AH529" i="11"/>
  <c r="AH564" i="11"/>
  <c r="AH551" i="11"/>
  <c r="AH534" i="11"/>
  <c r="AH536" i="11"/>
  <c r="AH464" i="11"/>
  <c r="AH489" i="11"/>
  <c r="AH515" i="11"/>
  <c r="AH518" i="11"/>
  <c r="AH452" i="11"/>
  <c r="AH517" i="11"/>
  <c r="AH505" i="11"/>
  <c r="AH416" i="11"/>
  <c r="AH471" i="11"/>
  <c r="AH477" i="11"/>
  <c r="AH460" i="11"/>
  <c r="AH444" i="11"/>
  <c r="AH440" i="11"/>
  <c r="AH439" i="11"/>
  <c r="AH446" i="11"/>
  <c r="AH430" i="11"/>
  <c r="AH424" i="11"/>
  <c r="AH410" i="11"/>
  <c r="AH386" i="11"/>
  <c r="AH407" i="11"/>
  <c r="AH381" i="11"/>
  <c r="AH356" i="11"/>
  <c r="AH390" i="11"/>
  <c r="AH375" i="11"/>
  <c r="AH398" i="11"/>
  <c r="AH358" i="11"/>
  <c r="AH326" i="11"/>
  <c r="AH323" i="11"/>
  <c r="AH367" i="11"/>
  <c r="AH318" i="11"/>
  <c r="AH331" i="11"/>
  <c r="AH342" i="11"/>
  <c r="AH334" i="11"/>
  <c r="AH345" i="11"/>
  <c r="AH306" i="11"/>
  <c r="AH73" i="11"/>
  <c r="AH278" i="11"/>
  <c r="AH283" i="11"/>
  <c r="AH300" i="11"/>
  <c r="AH246" i="11"/>
  <c r="AH188" i="11"/>
  <c r="AH129" i="11"/>
  <c r="AH101" i="11"/>
  <c r="AH141" i="11"/>
  <c r="AH304" i="11"/>
  <c r="AH645" i="11"/>
  <c r="AH635" i="11"/>
  <c r="AH668" i="11"/>
  <c r="AH651" i="11"/>
  <c r="AH639" i="11"/>
  <c r="AH647" i="11"/>
  <c r="AH653" i="11"/>
  <c r="AH658" i="11"/>
  <c r="AH670" i="11"/>
  <c r="AH622" i="11"/>
  <c r="AH660" i="11"/>
  <c r="AH637" i="11"/>
  <c r="AH684" i="11"/>
  <c r="AH630" i="11"/>
  <c r="AH606" i="11"/>
  <c r="AH594" i="11"/>
  <c r="AH604" i="11"/>
  <c r="AH615" i="11"/>
  <c r="AH570" i="11"/>
  <c r="AH581" i="11"/>
  <c r="AH573" i="11"/>
  <c r="AH579" i="11"/>
  <c r="AH554" i="11"/>
  <c r="AH549" i="11"/>
  <c r="AH524" i="11"/>
  <c r="AH562" i="11"/>
  <c r="AH561" i="11"/>
  <c r="AH563" i="11"/>
  <c r="AH560" i="11"/>
  <c r="AH507" i="11"/>
  <c r="AH500" i="11"/>
  <c r="AH495" i="11"/>
  <c r="AH483" i="11"/>
  <c r="AH509" i="11"/>
  <c r="AH511" i="11"/>
  <c r="AH493" i="11"/>
  <c r="AH512" i="11"/>
  <c r="AH473" i="11"/>
  <c r="AH458" i="11"/>
  <c r="AH463" i="11"/>
  <c r="AH474" i="11"/>
  <c r="AH457" i="11"/>
  <c r="AH450" i="11"/>
  <c r="AH438" i="11"/>
  <c r="AH453" i="11"/>
  <c r="AH442" i="11"/>
  <c r="AH420" i="11"/>
  <c r="AH425" i="11"/>
  <c r="AH360" i="11"/>
  <c r="AH379" i="11"/>
  <c r="AH388" i="11"/>
  <c r="AH373" i="11"/>
  <c r="AH401" i="11"/>
  <c r="AH406" i="11"/>
  <c r="AH389" i="11"/>
  <c r="AH369" i="11"/>
  <c r="AH324" i="11"/>
  <c r="AH359" i="11"/>
  <c r="AH346" i="11"/>
  <c r="AH338" i="11"/>
  <c r="AH361" i="11"/>
  <c r="AH351" i="11"/>
  <c r="AH368" i="11"/>
  <c r="AH313" i="11"/>
  <c r="AH198" i="11"/>
  <c r="AH74" i="11"/>
  <c r="AH265" i="11"/>
  <c r="AH257" i="11"/>
  <c r="AH251" i="11"/>
  <c r="AH245" i="11"/>
  <c r="AH237" i="11"/>
  <c r="AH193" i="11"/>
  <c r="AH187" i="11"/>
  <c r="AH181" i="11"/>
  <c r="AH175" i="11"/>
  <c r="AH169" i="11"/>
  <c r="AH134" i="11"/>
  <c r="AH128" i="11"/>
  <c r="AH122" i="11"/>
  <c r="AH116" i="11"/>
  <c r="AH110" i="11"/>
  <c r="AH104" i="11"/>
  <c r="AH98" i="11"/>
  <c r="AH65" i="11"/>
  <c r="AH59" i="11"/>
  <c r="AH53" i="11"/>
  <c r="AH47" i="11"/>
  <c r="AH41" i="11"/>
  <c r="AH35" i="11"/>
  <c r="AH279" i="11"/>
  <c r="AH258" i="11"/>
  <c r="AH138" i="11"/>
  <c r="AH230" i="11"/>
  <c r="AH224" i="11"/>
  <c r="AH218" i="11"/>
  <c r="AH160" i="11"/>
  <c r="AH154" i="11"/>
  <c r="AH148" i="11"/>
  <c r="AH95" i="11"/>
  <c r="AH199" i="11"/>
  <c r="AH262" i="11"/>
  <c r="AH234" i="11"/>
  <c r="AH178" i="11"/>
  <c r="AH131" i="11"/>
  <c r="AH111" i="11"/>
  <c r="AH68" i="11"/>
  <c r="AH52" i="11"/>
  <c r="AH211" i="11"/>
  <c r="AH671" i="11"/>
  <c r="AH654" i="11"/>
  <c r="AH682" i="11"/>
  <c r="AH673" i="11"/>
  <c r="AH666" i="11"/>
  <c r="AH621" i="11"/>
  <c r="AH659" i="11"/>
  <c r="AH629" i="11"/>
  <c r="AH649" i="11"/>
  <c r="AH620" i="11"/>
  <c r="AH632" i="11"/>
  <c r="AH619" i="11"/>
  <c r="AH689" i="11"/>
  <c r="AH585" i="11"/>
  <c r="AH600" i="11"/>
  <c r="AH603" i="11"/>
  <c r="AH597" i="11"/>
  <c r="AH571" i="11"/>
  <c r="AH580" i="11"/>
  <c r="AH569" i="11"/>
  <c r="AH567" i="11"/>
  <c r="AH556" i="11"/>
  <c r="AH545" i="11"/>
  <c r="AH532" i="11"/>
  <c r="AH539" i="11"/>
  <c r="AH544" i="11"/>
  <c r="AH547" i="11"/>
  <c r="AH558" i="11"/>
  <c r="AH496" i="11"/>
  <c r="AH502" i="11"/>
  <c r="AH513" i="11"/>
  <c r="AH497" i="11"/>
  <c r="AH491" i="11"/>
  <c r="AH492" i="11"/>
  <c r="AH498" i="11"/>
  <c r="AH475" i="11"/>
  <c r="AH478" i="11"/>
  <c r="AH451" i="11"/>
  <c r="AH480" i="11"/>
  <c r="AH417" i="11"/>
  <c r="AH470" i="11"/>
  <c r="AH435" i="11"/>
  <c r="AH437" i="11"/>
  <c r="AH429" i="11"/>
  <c r="AH431" i="11"/>
  <c r="AH413" i="11"/>
  <c r="AH426" i="11"/>
  <c r="AH374" i="11"/>
  <c r="AH399" i="11"/>
  <c r="AH400" i="11"/>
  <c r="AH383" i="11"/>
  <c r="AH380" i="11"/>
  <c r="AH387" i="11"/>
  <c r="AH365" i="11"/>
  <c r="AH354" i="11"/>
  <c r="AH348" i="11"/>
  <c r="AH336" i="11"/>
  <c r="AH322" i="11"/>
  <c r="AH370" i="11"/>
  <c r="AH350" i="11"/>
  <c r="AH328" i="11"/>
  <c r="AH347" i="11"/>
  <c r="AH312" i="11"/>
  <c r="AH302" i="11"/>
  <c r="AH214" i="11"/>
  <c r="AH307" i="11"/>
  <c r="AH272" i="11"/>
  <c r="AH308" i="11"/>
  <c r="AH694" i="11"/>
  <c r="AH664" i="11"/>
  <c r="AH652" i="11"/>
  <c r="AH687" i="11"/>
  <c r="AH643" i="11"/>
  <c r="AH680" i="11"/>
  <c r="AH648" i="11"/>
  <c r="AH650" i="11"/>
  <c r="AH661" i="11"/>
  <c r="AH642" i="11"/>
  <c r="AH657" i="11"/>
  <c r="AH672" i="11"/>
  <c r="AH614" i="11"/>
  <c r="AH599" i="11"/>
  <c r="AH584" i="11"/>
  <c r="AH607" i="11"/>
  <c r="AH605" i="11"/>
  <c r="AH575" i="11"/>
  <c r="AH590" i="11"/>
  <c r="AH568" i="11"/>
  <c r="AH582" i="11"/>
  <c r="AH541" i="11"/>
  <c r="AH523" i="11"/>
  <c r="AH553" i="11"/>
  <c r="AH538" i="11"/>
  <c r="AH546" i="11"/>
  <c r="AH527" i="11"/>
  <c r="AH543" i="11"/>
  <c r="AH484" i="11"/>
  <c r="AH490" i="11"/>
  <c r="AH501" i="11"/>
  <c r="AH481" i="11"/>
  <c r="AH508" i="11"/>
  <c r="AH519" i="11"/>
  <c r="AH485" i="11"/>
  <c r="AH466" i="11"/>
  <c r="AH468" i="11"/>
  <c r="AH467" i="11"/>
  <c r="AH461" i="11"/>
  <c r="AH479" i="11"/>
  <c r="AH415" i="11"/>
  <c r="AH434" i="11"/>
  <c r="AH433" i="11"/>
  <c r="AH428" i="11"/>
  <c r="AH419" i="11"/>
  <c r="AH409" i="11"/>
  <c r="AH422" i="11"/>
  <c r="AH393" i="11"/>
  <c r="AH395" i="11"/>
  <c r="AH378" i="11"/>
  <c r="AH385" i="11"/>
  <c r="AH394" i="11"/>
  <c r="AH405" i="11"/>
  <c r="AH340" i="11"/>
  <c r="AH321" i="11"/>
  <c r="AH371" i="11"/>
  <c r="AH349" i="11"/>
  <c r="AH341" i="11"/>
  <c r="AH355" i="11"/>
  <c r="AH344" i="11"/>
  <c r="AH327" i="11"/>
  <c r="AH330" i="11"/>
  <c r="AH316" i="11"/>
  <c r="AH139" i="11"/>
  <c r="AH233" i="11"/>
  <c r="AH263" i="11"/>
  <c r="AH255" i="11"/>
  <c r="AH249" i="11"/>
  <c r="AH243" i="11"/>
  <c r="AH235" i="11"/>
  <c r="AH191" i="11"/>
  <c r="AH185" i="11"/>
  <c r="AH179" i="11"/>
  <c r="AH173" i="11"/>
  <c r="AH167" i="11"/>
  <c r="AH132" i="11"/>
  <c r="AH126" i="11"/>
  <c r="AH120" i="11"/>
  <c r="AH114" i="11"/>
  <c r="AH108" i="11"/>
  <c r="AH102" i="11"/>
  <c r="AH69" i="11"/>
  <c r="AH63" i="11"/>
  <c r="AH57" i="11"/>
  <c r="AH51" i="11"/>
  <c r="AH45" i="11"/>
  <c r="AH39" i="11"/>
  <c r="AH33" i="11"/>
  <c r="AH273" i="11"/>
  <c r="AH212" i="11"/>
  <c r="AH228" i="11"/>
  <c r="AH222" i="11"/>
  <c r="AH164" i="11"/>
  <c r="AH158" i="11"/>
  <c r="AH152" i="11"/>
  <c r="AH146" i="11"/>
  <c r="AH93" i="11"/>
  <c r="AH87" i="11"/>
  <c r="AH303" i="11"/>
  <c r="AH81" i="11"/>
  <c r="AH252" i="11"/>
  <c r="AH192" i="11"/>
  <c r="AH170" i="11"/>
  <c r="AH123" i="11"/>
  <c r="AH107" i="11"/>
  <c r="AH62" i="11"/>
  <c r="AH46" i="11"/>
  <c r="AH662" i="11"/>
  <c r="AH683" i="11"/>
  <c r="AH681" i="11"/>
  <c r="AH693" i="11"/>
  <c r="AH616" i="11"/>
  <c r="AH692" i="11"/>
  <c r="AH636" i="11"/>
  <c r="AH667" i="11"/>
  <c r="AH676" i="11"/>
  <c r="AH626" i="11"/>
  <c r="AH640" i="11"/>
  <c r="AH633" i="11"/>
  <c r="AH596" i="11"/>
  <c r="AH608" i="11"/>
  <c r="AH591" i="11"/>
  <c r="AH612" i="11"/>
  <c r="AH592" i="11"/>
  <c r="AH576" i="11"/>
  <c r="AH577" i="11"/>
  <c r="AH574" i="11"/>
  <c r="AH589" i="11"/>
  <c r="AH552" i="11"/>
  <c r="AH557" i="11"/>
  <c r="AH530" i="11"/>
  <c r="AH537" i="11"/>
  <c r="AH542" i="11"/>
  <c r="AH559" i="11"/>
  <c r="AH533" i="11"/>
  <c r="AH520" i="11"/>
  <c r="AH503" i="11"/>
  <c r="AH504" i="11"/>
  <c r="AH510" i="11"/>
  <c r="AH487" i="11"/>
  <c r="AH521" i="11"/>
  <c r="AH506" i="11"/>
  <c r="AH476" i="11"/>
  <c r="AH456" i="11"/>
  <c r="AH455" i="11"/>
  <c r="AH445" i="11"/>
  <c r="AH472" i="11"/>
  <c r="AH414" i="11"/>
  <c r="AH454" i="11"/>
  <c r="AH432" i="11"/>
  <c r="AH447" i="11"/>
  <c r="AH412" i="11"/>
  <c r="AH427" i="11"/>
  <c r="AH411" i="11"/>
  <c r="AH403" i="11"/>
  <c r="AH408" i="11"/>
  <c r="AH392" i="11"/>
  <c r="AH404" i="11"/>
  <c r="AH377" i="11"/>
  <c r="AH397" i="11"/>
  <c r="AH319" i="11"/>
  <c r="AH353" i="11"/>
  <c r="AH363" i="11"/>
  <c r="AH372" i="11"/>
  <c r="AH339" i="11"/>
  <c r="AH337" i="11"/>
  <c r="AH357" i="11"/>
  <c r="AH335" i="11"/>
  <c r="AH332" i="11"/>
  <c r="AH317" i="11"/>
  <c r="AH207" i="11"/>
  <c r="AH285" i="11"/>
  <c r="AH310" i="11"/>
  <c r="AH627" i="11"/>
  <c r="AH623" i="11"/>
  <c r="AH618" i="11"/>
  <c r="AH674" i="11"/>
  <c r="AH655" i="11"/>
  <c r="AH646" i="11"/>
  <c r="AH641" i="11"/>
  <c r="AH663" i="11"/>
  <c r="AH696" i="11"/>
  <c r="AH669" i="11"/>
  <c r="AH624" i="11"/>
  <c r="AH631" i="11"/>
  <c r="AH695" i="11"/>
  <c r="AH602" i="11"/>
  <c r="AH613" i="11"/>
  <c r="AH610" i="11"/>
  <c r="AH611" i="11"/>
  <c r="AH609" i="11"/>
  <c r="AH566" i="11"/>
  <c r="AH587" i="11"/>
  <c r="AH586" i="11"/>
  <c r="AH565" i="11"/>
  <c r="AH540" i="11"/>
  <c r="AH526" i="11"/>
  <c r="AH550" i="11"/>
  <c r="AH522" i="11"/>
  <c r="AH531" i="11"/>
  <c r="AH548" i="11"/>
  <c r="AH535" i="11"/>
  <c r="AH482" i="11"/>
  <c r="AH514" i="11"/>
  <c r="AH486" i="11"/>
  <c r="AH516" i="11"/>
  <c r="AH499" i="11"/>
  <c r="AH494" i="11"/>
  <c r="AH488" i="11"/>
  <c r="AH462" i="11"/>
  <c r="AH443" i="11"/>
  <c r="AH465" i="11"/>
  <c r="AH469" i="11"/>
  <c r="AH459" i="11"/>
  <c r="AH441" i="11"/>
  <c r="AH436" i="11"/>
  <c r="AH448" i="11"/>
  <c r="AH449" i="11"/>
  <c r="AH421" i="11"/>
  <c r="AH423" i="11"/>
  <c r="AH418" i="11"/>
  <c r="AH396" i="11"/>
  <c r="AH391" i="11"/>
  <c r="AH382" i="11"/>
  <c r="AH402" i="11"/>
  <c r="AH376" i="11"/>
  <c r="AH384" i="11"/>
  <c r="AH352" i="11"/>
  <c r="AH320" i="11"/>
  <c r="AH343" i="11"/>
  <c r="AH364" i="11"/>
  <c r="AH325" i="11"/>
  <c r="AH333" i="11"/>
  <c r="AH362" i="11"/>
  <c r="AH366" i="11"/>
  <c r="AH329" i="11"/>
  <c r="AH204" i="11"/>
  <c r="AH80" i="11"/>
  <c r="AH227" i="11"/>
  <c r="AH261" i="11"/>
  <c r="AH253" i="11"/>
  <c r="AH247" i="11"/>
  <c r="AH239" i="11"/>
  <c r="AH195" i="11"/>
  <c r="AH189" i="11"/>
  <c r="AH183" i="11"/>
  <c r="AH177" i="11"/>
  <c r="AH171" i="11"/>
  <c r="AH136" i="11"/>
  <c r="AH130" i="11"/>
  <c r="AH124" i="11"/>
  <c r="AH118" i="11"/>
  <c r="AH112" i="11"/>
  <c r="AH106" i="11"/>
  <c r="AH100" i="11"/>
  <c r="AH67" i="11"/>
  <c r="AH61" i="11"/>
  <c r="AH55" i="11"/>
  <c r="AH49" i="11"/>
  <c r="AH43" i="11"/>
  <c r="AH37" i="11"/>
  <c r="AH31" i="11"/>
  <c r="AH220" i="11"/>
  <c r="AH150" i="11"/>
  <c r="AH299" i="11"/>
  <c r="AH277" i="11"/>
  <c r="AH315" i="11"/>
  <c r="AH194" i="11"/>
  <c r="AH208" i="11"/>
  <c r="AH275" i="11"/>
  <c r="AH256" i="11"/>
  <c r="AH190" i="11"/>
  <c r="AH168" i="11"/>
  <c r="AH117" i="11"/>
  <c r="AH97" i="11"/>
  <c r="AH60" i="11"/>
  <c r="AH213" i="11"/>
  <c r="AH200" i="11"/>
  <c r="AH76" i="11"/>
  <c r="AH290" i="11"/>
  <c r="AH225" i="11"/>
  <c r="AH219" i="11"/>
  <c r="AH161" i="11"/>
  <c r="AH155" i="11"/>
  <c r="AH149" i="11"/>
  <c r="AH96" i="11"/>
  <c r="AH90" i="11"/>
  <c r="AH84" i="11"/>
  <c r="AH82" i="11"/>
  <c r="AH282" i="11"/>
  <c r="AH288" i="11"/>
  <c r="AH85" i="11"/>
  <c r="AH201" i="11"/>
  <c r="AH260" i="11"/>
  <c r="AH196" i="11"/>
  <c r="AH166" i="11"/>
  <c r="AH115" i="11"/>
  <c r="AH58" i="11"/>
  <c r="AH42" i="11"/>
  <c r="AH34" i="11"/>
  <c r="AH296" i="11"/>
  <c r="AH276" i="11"/>
  <c r="AH216" i="11"/>
  <c r="AH140" i="11"/>
  <c r="AH254" i="11"/>
  <c r="AH38" i="11"/>
  <c r="AH72" i="11"/>
  <c r="AH289" i="11"/>
  <c r="AH311" i="11"/>
  <c r="AH229" i="11"/>
  <c r="AH145" i="11"/>
  <c r="AH205" i="11"/>
  <c r="AH226" i="11"/>
  <c r="AH156" i="11"/>
  <c r="AH91" i="11"/>
  <c r="AH292" i="11"/>
  <c r="AH271" i="11"/>
  <c r="AH301" i="11"/>
  <c r="AH121" i="11"/>
  <c r="AH202" i="11"/>
  <c r="AH269" i="11"/>
  <c r="AH197" i="11"/>
  <c r="AH248" i="11"/>
  <c r="AH182" i="11"/>
  <c r="AH133" i="11"/>
  <c r="AH109" i="11"/>
  <c r="AH70" i="11"/>
  <c r="AH54" i="11"/>
  <c r="AH143" i="11"/>
  <c r="AH297" i="11"/>
  <c r="AH231" i="11"/>
  <c r="AH223" i="11"/>
  <c r="AH165" i="11"/>
  <c r="AH159" i="11"/>
  <c r="AH153" i="11"/>
  <c r="AH147" i="11"/>
  <c r="AH94" i="11"/>
  <c r="AH88" i="11"/>
  <c r="AH268" i="11"/>
  <c r="AH314" i="11"/>
  <c r="AH206" i="11"/>
  <c r="AH163" i="11"/>
  <c r="AH86" i="11"/>
  <c r="AH284" i="11"/>
  <c r="AH83" i="11"/>
  <c r="AH142" i="11"/>
  <c r="AH250" i="11"/>
  <c r="AH186" i="11"/>
  <c r="AH135" i="11"/>
  <c r="AH105" i="11"/>
  <c r="AH50" i="11"/>
  <c r="AH40" i="11"/>
  <c r="AH32" i="11"/>
  <c r="AH291" i="11"/>
  <c r="AH79" i="11"/>
  <c r="AH180" i="11"/>
  <c r="AH215" i="11"/>
  <c r="AH280" i="11"/>
  <c r="AH259" i="11"/>
  <c r="AH103" i="11"/>
  <c r="AH295" i="11"/>
  <c r="AH151" i="11"/>
  <c r="AH92" i="11"/>
  <c r="AH232" i="11"/>
  <c r="AH162" i="11"/>
  <c r="AH144" i="11"/>
  <c r="AH89" i="11"/>
  <c r="AH287" i="11"/>
  <c r="AH309" i="11"/>
  <c r="AH270" i="11"/>
  <c r="AH236" i="11"/>
  <c r="AH113" i="11"/>
  <c r="AH281" i="11"/>
  <c r="AH242" i="11"/>
  <c r="AH266" i="11"/>
  <c r="AH240" i="11"/>
  <c r="AH174" i="11"/>
  <c r="AH127" i="11"/>
  <c r="AH66" i="11"/>
  <c r="AH48" i="11"/>
  <c r="AH221" i="11"/>
  <c r="AH157" i="11"/>
  <c r="AH293" i="11"/>
  <c r="AH210" i="11"/>
  <c r="AH77" i="11"/>
  <c r="AH238" i="11"/>
  <c r="AH176" i="11"/>
  <c r="AH125" i="11"/>
  <c r="AH64" i="11"/>
  <c r="AH44" i="11"/>
  <c r="AH36" i="11"/>
  <c r="AH298" i="11"/>
  <c r="AH286" i="11"/>
  <c r="AH305" i="11"/>
  <c r="AH203" i="11"/>
  <c r="AH71" i="11"/>
  <c r="AH264" i="11"/>
  <c r="AH172" i="11"/>
  <c r="AH78" i="11"/>
  <c r="AH241" i="11"/>
  <c r="AH294" i="11"/>
  <c r="AH274" i="11"/>
  <c r="AH267" i="11"/>
  <c r="AH24" i="11"/>
  <c r="AH26" i="11"/>
  <c r="AH25" i="11"/>
  <c r="AH23" i="11"/>
  <c r="AH21" i="11"/>
  <c r="AG21" i="11"/>
  <c r="AH18" i="11"/>
  <c r="AG18" i="11"/>
  <c r="AH17" i="11"/>
  <c r="AG17" i="11"/>
  <c r="AH14" i="11"/>
  <c r="AG14" i="11"/>
  <c r="AH8" i="11"/>
  <c r="AG8" i="11"/>
  <c r="AH30" i="11"/>
  <c r="AG30" i="11"/>
  <c r="AH19" i="11"/>
  <c r="AG19" i="11"/>
  <c r="AH10" i="11"/>
  <c r="AG10" i="11"/>
  <c r="AH12" i="11"/>
  <c r="AG12" i="11"/>
  <c r="AH6" i="11"/>
  <c r="AG6" i="11"/>
  <c r="AH28" i="11"/>
  <c r="AG28" i="11"/>
  <c r="AH29" i="11"/>
  <c r="AG29" i="11"/>
  <c r="AH27" i="11"/>
  <c r="AG27" i="11"/>
  <c r="AH22" i="11"/>
  <c r="AG22" i="11"/>
  <c r="AH7" i="11"/>
  <c r="AG7" i="11"/>
  <c r="AH5" i="11"/>
  <c r="AG5" i="11"/>
  <c r="AH11" i="11"/>
  <c r="AG11" i="11"/>
  <c r="AH4" i="11"/>
  <c r="AG4" i="11"/>
  <c r="AH16" i="11"/>
  <c r="AG16" i="11"/>
  <c r="AH13" i="11"/>
  <c r="AG13" i="11"/>
  <c r="AH15" i="11"/>
  <c r="AG15" i="11"/>
  <c r="AH9" i="11"/>
  <c r="AG9" i="11"/>
  <c r="AH3" i="11"/>
  <c r="AG3" i="11"/>
  <c r="AH20" i="11"/>
  <c r="AG20" i="11"/>
  <c r="AF19" i="11"/>
  <c r="AF30" i="11"/>
  <c r="AF29" i="11"/>
  <c r="AF28" i="11"/>
  <c r="AR28" i="11" s="1"/>
  <c r="AF18" i="11"/>
  <c r="AR18" i="11" s="1"/>
  <c r="AF11" i="11"/>
  <c r="AF2" i="11"/>
  <c r="AR2" i="11" s="1"/>
  <c r="AF21" i="11"/>
  <c r="AR21" i="11" s="1"/>
  <c r="U3" i="11"/>
  <c r="AU10" i="11"/>
  <c r="V19" i="11"/>
  <c r="V20" i="11"/>
  <c r="V28" i="11"/>
  <c r="V27" i="11"/>
  <c r="U29" i="11"/>
  <c r="V21" i="11"/>
  <c r="V22" i="11"/>
  <c r="U30" i="11"/>
  <c r="AU6" i="11"/>
  <c r="AU5" i="11"/>
  <c r="AU4" i="11"/>
  <c r="AU9" i="11"/>
  <c r="AU8" i="11"/>
  <c r="AU7" i="11"/>
  <c r="V15" i="11"/>
  <c r="V13" i="11"/>
  <c r="V12" i="11"/>
  <c r="AQ1449" i="11" l="1"/>
  <c r="AQ1450" i="11"/>
  <c r="AQ1433" i="11"/>
  <c r="AQ1451" i="11"/>
  <c r="AQ1445" i="11"/>
  <c r="AQ1448" i="11"/>
  <c r="AQ1442" i="11"/>
  <c r="AQ1447" i="11"/>
  <c r="AQ1443" i="11"/>
  <c r="AQ1446" i="11"/>
  <c r="AQ1444" i="11"/>
  <c r="AQ1452" i="11"/>
  <c r="AQ1454" i="11"/>
  <c r="AQ1453" i="11"/>
  <c r="AQ1413" i="11"/>
  <c r="AQ1414" i="11"/>
  <c r="AQ1422" i="11"/>
  <c r="AQ1421" i="11"/>
  <c r="AQ1434" i="11"/>
  <c r="AQ1441" i="11"/>
  <c r="AQ1437" i="11"/>
  <c r="AQ1431" i="11"/>
  <c r="AQ1436" i="11"/>
  <c r="AQ1430" i="11"/>
  <c r="AQ1438" i="11"/>
  <c r="AQ1432" i="11"/>
  <c r="AQ1440" i="11"/>
  <c r="AQ1428" i="11"/>
  <c r="AQ1429" i="11"/>
  <c r="AQ1439" i="11"/>
  <c r="AQ1435" i="11"/>
  <c r="AQ1398" i="11"/>
  <c r="AQ1392" i="11"/>
  <c r="AQ1387" i="11"/>
  <c r="AQ1411" i="11"/>
  <c r="AQ1397" i="11"/>
  <c r="AQ1402" i="11"/>
  <c r="AQ1423" i="11"/>
  <c r="AQ1399" i="11"/>
  <c r="AQ1409" i="11"/>
  <c r="AQ1408" i="11"/>
  <c r="AQ1417" i="11"/>
  <c r="AQ1425" i="11"/>
  <c r="AQ1412" i="11"/>
  <c r="AQ1424" i="11"/>
  <c r="AQ1415" i="11"/>
  <c r="AQ1410" i="11"/>
  <c r="AQ1418" i="11"/>
  <c r="AQ1405" i="11"/>
  <c r="AQ1400" i="11"/>
  <c r="AQ1401" i="11"/>
  <c r="AQ1419" i="11"/>
  <c r="AQ1416" i="11"/>
  <c r="AQ1427" i="11"/>
  <c r="AQ1406" i="11"/>
  <c r="AQ1420" i="11"/>
  <c r="AQ1404" i="11"/>
  <c r="AQ1407" i="11"/>
  <c r="AQ1403" i="11"/>
  <c r="AQ1426" i="11"/>
  <c r="AQ1378" i="11"/>
  <c r="AQ1374" i="11"/>
  <c r="AQ1391" i="11"/>
  <c r="AQ1394" i="11"/>
  <c r="AQ1381" i="11"/>
  <c r="AQ1395" i="11"/>
  <c r="AQ1372" i="11"/>
  <c r="AQ1388" i="11"/>
  <c r="AQ1390" i="11"/>
  <c r="AQ1376" i="11"/>
  <c r="AQ1379" i="11"/>
  <c r="AQ1384" i="11"/>
  <c r="AQ1386" i="11"/>
  <c r="AQ1382" i="11"/>
  <c r="AQ1375" i="11"/>
  <c r="AQ1393" i="11"/>
  <c r="AQ1389" i="11"/>
  <c r="AQ1380" i="11"/>
  <c r="AQ1373" i="11"/>
  <c r="AQ1377" i="11"/>
  <c r="AQ1385" i="11"/>
  <c r="AQ1396" i="11"/>
  <c r="AQ1383" i="11"/>
  <c r="AQ1357" i="11"/>
  <c r="AQ1356" i="11"/>
  <c r="AQ1365" i="11"/>
  <c r="AQ1347" i="11"/>
  <c r="AQ1366" i="11"/>
  <c r="AQ1355" i="11"/>
  <c r="AQ1362" i="11"/>
  <c r="AQ1358" i="11"/>
  <c r="AQ1371" i="11"/>
  <c r="AQ1360" i="11"/>
  <c r="AQ1370" i="11"/>
  <c r="AQ1364" i="11"/>
  <c r="AQ1354" i="11"/>
  <c r="AQ1368" i="11"/>
  <c r="AQ1359" i="11"/>
  <c r="AQ1361" i="11"/>
  <c r="AQ1363" i="11"/>
  <c r="AQ1367" i="11"/>
  <c r="AQ1369" i="11"/>
  <c r="AQ1317" i="11"/>
  <c r="AQ1334" i="11"/>
  <c r="AQ1327" i="11"/>
  <c r="AQ1326" i="11"/>
  <c r="AQ1319" i="11"/>
  <c r="AQ1253" i="11"/>
  <c r="AQ1296" i="11"/>
  <c r="AQ1343" i="11"/>
  <c r="AQ1322" i="11"/>
  <c r="AQ1311" i="11"/>
  <c r="AQ1340" i="11"/>
  <c r="AQ1337" i="11"/>
  <c r="AQ1336" i="11"/>
  <c r="AQ1318" i="11"/>
  <c r="AQ1345" i="11"/>
  <c r="AQ1338" i="11"/>
  <c r="AQ1321" i="11"/>
  <c r="AQ1325" i="11"/>
  <c r="AQ1323" i="11"/>
  <c r="AQ1331" i="11"/>
  <c r="AQ1315" i="11"/>
  <c r="AQ1339" i="11"/>
  <c r="AQ1314" i="11"/>
  <c r="AQ1324" i="11"/>
  <c r="AQ1329" i="11"/>
  <c r="AQ1320" i="11"/>
  <c r="AQ1348" i="11"/>
  <c r="AQ1335" i="11"/>
  <c r="AQ1353" i="11"/>
  <c r="AQ1330" i="11"/>
  <c r="AQ1316" i="11"/>
  <c r="AQ1350" i="11"/>
  <c r="AQ1342" i="11"/>
  <c r="AQ1313" i="11"/>
  <c r="AQ1333" i="11"/>
  <c r="AQ1328" i="11"/>
  <c r="AQ1332" i="11"/>
  <c r="AQ1351" i="11"/>
  <c r="AQ1344" i="11"/>
  <c r="AQ1346" i="11"/>
  <c r="AQ1341" i="11"/>
  <c r="AQ1312" i="11"/>
  <c r="AQ1352" i="11"/>
  <c r="AQ1349" i="11"/>
  <c r="AQ1304" i="11"/>
  <c r="AQ1303" i="11"/>
  <c r="AQ1299" i="11"/>
  <c r="AQ1301" i="11"/>
  <c r="AQ1305" i="11"/>
  <c r="AQ1300" i="11"/>
  <c r="AQ1310" i="11"/>
  <c r="AQ1297" i="11"/>
  <c r="AQ1309" i="11"/>
  <c r="AQ1307" i="11"/>
  <c r="AQ1293" i="11"/>
  <c r="AQ1308" i="11"/>
  <c r="AQ1298" i="11"/>
  <c r="AQ1302" i="11"/>
  <c r="AQ1306" i="11"/>
  <c r="AQ1295" i="11"/>
  <c r="AQ1292" i="11"/>
  <c r="AQ1294" i="11"/>
  <c r="AQ1284" i="11"/>
  <c r="AQ1291" i="11"/>
  <c r="AQ1281" i="11"/>
  <c r="AQ1285" i="11"/>
  <c r="AQ1279" i="11"/>
  <c r="AQ1288" i="11"/>
  <c r="AQ1280" i="11"/>
  <c r="AQ1276" i="11"/>
  <c r="AQ1283" i="11"/>
  <c r="AQ1290" i="11"/>
  <c r="AQ1277" i="11"/>
  <c r="AQ1286" i="11"/>
  <c r="AQ1289" i="11"/>
  <c r="AQ1278" i="11"/>
  <c r="AQ1287" i="11"/>
  <c r="AQ1282" i="11"/>
  <c r="AQ1275" i="11"/>
  <c r="AQ1271" i="11"/>
  <c r="AQ1270" i="11"/>
  <c r="AQ1266" i="11"/>
  <c r="AQ1265" i="11"/>
  <c r="AQ1264" i="11"/>
  <c r="AQ1263" i="11"/>
  <c r="AQ1274" i="11"/>
  <c r="AQ1272" i="11"/>
  <c r="AQ1269" i="11"/>
  <c r="AQ1268" i="11"/>
  <c r="AQ1267" i="11"/>
  <c r="AQ1273" i="11"/>
  <c r="AQ1249" i="11"/>
  <c r="AQ1250" i="11"/>
  <c r="AQ1251" i="11"/>
  <c r="AQ1243" i="11"/>
  <c r="AQ1231" i="11"/>
  <c r="AQ1232" i="11"/>
  <c r="AQ1237" i="11"/>
  <c r="AQ1227" i="11"/>
  <c r="AQ1169" i="11"/>
  <c r="AQ1182" i="11"/>
  <c r="AQ1155" i="11"/>
  <c r="AQ1247" i="11"/>
  <c r="AQ1255" i="11"/>
  <c r="AQ1256" i="11"/>
  <c r="AQ1248" i="11"/>
  <c r="AQ1252" i="11"/>
  <c r="AQ1254" i="11"/>
  <c r="AQ1257" i="11"/>
  <c r="AQ1258" i="11"/>
  <c r="AQ1259" i="11"/>
  <c r="AQ1260" i="11"/>
  <c r="AQ1261" i="11"/>
  <c r="AQ1262" i="11"/>
  <c r="AQ1241" i="11"/>
  <c r="AQ1242" i="11"/>
  <c r="AQ1244" i="11"/>
  <c r="AQ1245" i="11"/>
  <c r="AQ1246" i="11"/>
  <c r="AQ1216" i="11"/>
  <c r="AQ1229" i="11"/>
  <c r="AQ1230" i="11"/>
  <c r="AQ1233" i="11"/>
  <c r="AQ1234" i="11"/>
  <c r="AQ1235" i="11"/>
  <c r="AQ1236" i="11"/>
  <c r="AQ1238" i="11"/>
  <c r="AQ1239" i="11"/>
  <c r="AQ1240" i="11"/>
  <c r="AQ1215" i="11"/>
  <c r="AQ1197" i="11"/>
  <c r="AQ1198" i="11"/>
  <c r="AQ1209" i="11"/>
  <c r="AQ1213" i="11"/>
  <c r="AQ1220" i="11"/>
  <c r="AQ1217" i="11"/>
  <c r="AQ1219" i="11"/>
  <c r="AQ1222" i="11"/>
  <c r="AQ1212" i="11"/>
  <c r="AQ1208" i="11"/>
  <c r="AQ1226" i="11"/>
  <c r="AQ1210" i="11"/>
  <c r="AQ1223" i="11"/>
  <c r="AQ1211" i="11"/>
  <c r="AQ1224" i="11"/>
  <c r="AQ1228" i="11"/>
  <c r="AQ1225" i="11"/>
  <c r="AQ1214" i="11"/>
  <c r="AQ1221" i="11"/>
  <c r="AQ1218" i="11"/>
  <c r="AQ1178" i="11"/>
  <c r="AQ1207" i="11"/>
  <c r="AQ1203" i="11"/>
  <c r="AQ1194" i="11"/>
  <c r="AQ1195" i="11"/>
  <c r="AQ1201" i="11"/>
  <c r="AQ1202" i="11"/>
  <c r="AQ1200" i="11"/>
  <c r="AQ1196" i="11"/>
  <c r="AQ1199" i="11"/>
  <c r="AQ1204" i="11"/>
  <c r="AQ1205" i="11"/>
  <c r="AQ1206" i="11"/>
  <c r="AQ1171" i="11"/>
  <c r="AQ1170" i="11"/>
  <c r="AQ1172" i="11"/>
  <c r="AQ1189" i="11"/>
  <c r="AQ1192" i="11"/>
  <c r="AQ1176" i="11"/>
  <c r="AQ1166" i="11"/>
  <c r="AQ1190" i="11"/>
  <c r="AQ1187" i="11"/>
  <c r="AQ1188" i="11"/>
  <c r="AQ1167" i="11"/>
  <c r="AQ1177" i="11"/>
  <c r="AQ1181" i="11"/>
  <c r="AQ1191" i="11"/>
  <c r="AQ1174" i="11"/>
  <c r="AQ1180" i="11"/>
  <c r="AQ1186" i="11"/>
  <c r="AQ1179" i="11"/>
  <c r="AQ1193" i="11"/>
  <c r="AQ1184" i="11"/>
  <c r="AQ1173" i="11"/>
  <c r="AQ1185" i="11"/>
  <c r="AQ1183" i="11"/>
  <c r="AQ1175" i="11"/>
  <c r="AQ1168" i="11"/>
  <c r="AQ1144" i="11"/>
  <c r="AQ1153" i="11"/>
  <c r="AQ1135" i="11"/>
  <c r="AQ1150" i="11"/>
  <c r="AQ1143" i="11"/>
  <c r="AQ1158" i="11"/>
  <c r="AQ1163" i="11"/>
  <c r="AQ1164" i="11"/>
  <c r="AQ1159" i="11"/>
  <c r="AQ1160" i="11"/>
  <c r="AQ1154" i="11"/>
  <c r="AQ1161" i="11"/>
  <c r="AQ1156" i="11"/>
  <c r="AQ1162" i="11"/>
  <c r="AQ1157" i="11"/>
  <c r="AQ1165" i="11"/>
  <c r="AQ1116" i="11"/>
  <c r="AQ1127" i="11"/>
  <c r="AQ1131" i="11"/>
  <c r="AQ1141" i="11"/>
  <c r="AQ1126" i="11"/>
  <c r="AQ1122" i="11"/>
  <c r="AQ1138" i="11"/>
  <c r="AQ1132" i="11"/>
  <c r="AQ1134" i="11"/>
  <c r="AQ1124" i="11"/>
  <c r="AQ1133" i="11"/>
  <c r="AQ1140" i="11"/>
  <c r="AQ1123" i="11"/>
  <c r="AQ1146" i="11"/>
  <c r="AQ1142" i="11"/>
  <c r="AQ1147" i="11"/>
  <c r="AQ1129" i="11"/>
  <c r="AQ1145" i="11"/>
  <c r="AQ1128" i="11"/>
  <c r="AQ1136" i="11"/>
  <c r="AQ1137" i="11"/>
  <c r="AQ1152" i="11"/>
  <c r="AQ1125" i="11"/>
  <c r="AQ1151" i="11"/>
  <c r="AQ1130" i="11"/>
  <c r="AQ1139" i="11"/>
  <c r="AQ1120" i="11"/>
  <c r="AQ1148" i="11"/>
  <c r="AQ1121" i="11"/>
  <c r="AQ1149" i="11"/>
  <c r="AQ1099" i="11"/>
  <c r="AQ1091" i="11"/>
  <c r="AQ1108" i="11"/>
  <c r="AQ1114" i="11"/>
  <c r="AQ1115" i="11"/>
  <c r="AQ1117" i="11"/>
  <c r="AQ1118" i="11"/>
  <c r="AQ1119" i="11"/>
  <c r="AQ1106" i="11"/>
  <c r="AQ1103" i="11"/>
  <c r="AQ1104" i="11"/>
  <c r="AQ1105" i="11"/>
  <c r="AQ1111" i="11"/>
  <c r="AQ1107" i="11"/>
  <c r="AQ1109" i="11"/>
  <c r="AQ1110" i="11"/>
  <c r="AQ1090" i="11"/>
  <c r="AQ1084" i="11"/>
  <c r="AQ1096" i="11"/>
  <c r="AQ1101" i="11"/>
  <c r="AQ1102" i="11"/>
  <c r="AQ1097" i="11"/>
  <c r="AQ1095" i="11"/>
  <c r="AQ1100" i="11"/>
  <c r="AQ1094" i="11"/>
  <c r="AQ1112" i="11"/>
  <c r="AQ1098" i="11"/>
  <c r="AQ1113" i="11"/>
  <c r="AQ1075" i="11"/>
  <c r="AQ1076" i="11"/>
  <c r="AQ1067" i="11"/>
  <c r="AQ1066" i="11"/>
  <c r="AQ1061" i="11"/>
  <c r="AQ1053" i="11"/>
  <c r="AQ1039" i="11"/>
  <c r="AQ1042" i="11"/>
  <c r="AQ1030" i="11"/>
  <c r="AQ1002" i="11"/>
  <c r="AQ1037" i="11"/>
  <c r="AQ1043" i="11"/>
  <c r="AQ1045" i="11"/>
  <c r="AQ1044" i="11"/>
  <c r="AQ1041" i="11"/>
  <c r="AQ1047" i="11"/>
  <c r="AQ1046" i="11"/>
  <c r="AQ1049" i="11"/>
  <c r="AQ1048" i="11"/>
  <c r="AQ1050" i="11"/>
  <c r="AQ1052" i="11"/>
  <c r="AQ1055" i="11"/>
  <c r="AQ1054" i="11"/>
  <c r="AQ1056" i="11"/>
  <c r="AQ1051" i="11"/>
  <c r="AQ1057" i="11"/>
  <c r="AQ1062" i="11"/>
  <c r="AQ1060" i="11"/>
  <c r="AQ1059" i="11"/>
  <c r="AQ1058" i="11"/>
  <c r="AQ1065" i="11"/>
  <c r="AQ1064" i="11"/>
  <c r="AQ1068" i="11"/>
  <c r="AQ1063" i="11"/>
  <c r="AQ1069" i="11"/>
  <c r="AQ1073" i="11"/>
  <c r="AQ1070" i="11"/>
  <c r="AQ1071" i="11"/>
  <c r="AQ1074" i="11"/>
  <c r="AQ1072" i="11"/>
  <c r="AQ1078" i="11"/>
  <c r="AQ1081" i="11"/>
  <c r="AQ1077" i="11"/>
  <c r="AQ1080" i="11"/>
  <c r="AQ1079" i="11"/>
  <c r="AQ1085" i="11"/>
  <c r="AQ1087" i="11"/>
  <c r="AQ1083" i="11"/>
  <c r="AQ1086" i="11"/>
  <c r="AQ1082" i="11"/>
  <c r="AQ1089" i="11"/>
  <c r="AQ1088" i="11"/>
  <c r="AQ1092" i="11"/>
  <c r="AQ1093" i="11"/>
  <c r="AQ1022" i="11"/>
  <c r="AQ1029" i="11"/>
  <c r="AQ1028" i="11"/>
  <c r="AQ1025" i="11"/>
  <c r="AQ1024" i="11"/>
  <c r="AQ1023" i="11"/>
  <c r="AQ1027" i="11"/>
  <c r="AQ1026" i="11"/>
  <c r="AQ1033" i="11"/>
  <c r="AQ1031" i="11"/>
  <c r="AQ1032" i="11"/>
  <c r="AQ1036" i="11"/>
  <c r="AQ1035" i="11"/>
  <c r="AQ1034" i="11"/>
  <c r="AQ1040" i="11"/>
  <c r="AQ1038" i="11"/>
  <c r="AQ1019" i="11"/>
  <c r="AQ1008" i="11"/>
  <c r="AQ1021" i="11"/>
  <c r="AQ1017" i="11"/>
  <c r="AQ1005" i="11"/>
  <c r="AQ1014" i="11"/>
  <c r="AQ1020" i="11"/>
  <c r="AQ1016" i="11"/>
  <c r="AQ1018" i="11"/>
  <c r="AQ1011" i="11"/>
  <c r="AQ1010" i="11"/>
  <c r="AQ1009" i="11"/>
  <c r="AQ1006" i="11"/>
  <c r="AQ1015" i="11"/>
  <c r="AQ1012" i="11"/>
  <c r="AQ1007" i="11"/>
  <c r="AQ1004" i="11"/>
  <c r="AQ1013" i="11"/>
  <c r="AQ951" i="11"/>
  <c r="AQ983" i="11"/>
  <c r="AQ934" i="11"/>
  <c r="AQ929" i="11"/>
  <c r="AQ1003" i="11"/>
  <c r="AQ996" i="11"/>
  <c r="AQ991" i="11"/>
  <c r="AQ990" i="11"/>
  <c r="AQ993" i="11"/>
  <c r="AQ994" i="11"/>
  <c r="AQ987" i="11"/>
  <c r="AQ988" i="11"/>
  <c r="AQ989" i="11"/>
  <c r="AQ992" i="11"/>
  <c r="AQ999" i="11"/>
  <c r="AQ995" i="11"/>
  <c r="AQ998" i="11"/>
  <c r="AQ997" i="11"/>
  <c r="AQ1001" i="11"/>
  <c r="AQ1000" i="11"/>
  <c r="AQ985" i="11"/>
  <c r="AQ982" i="11"/>
  <c r="AQ979" i="11"/>
  <c r="AQ980" i="11"/>
  <c r="AQ981" i="11"/>
  <c r="AQ984" i="11"/>
  <c r="AQ969" i="11"/>
  <c r="AQ964" i="11"/>
  <c r="AQ978" i="11"/>
  <c r="AQ974" i="11"/>
  <c r="AQ968" i="11"/>
  <c r="AQ976" i="11"/>
  <c r="AQ966" i="11"/>
  <c r="AQ977" i="11"/>
  <c r="AQ961" i="11"/>
  <c r="AQ962" i="11"/>
  <c r="AQ973" i="11"/>
  <c r="AQ960" i="11"/>
  <c r="AQ963" i="11"/>
  <c r="AQ967" i="11"/>
  <c r="AQ986" i="11"/>
  <c r="AQ970" i="11"/>
  <c r="AQ975" i="11"/>
  <c r="AQ971" i="11"/>
  <c r="AQ965" i="11"/>
  <c r="AQ959" i="11"/>
  <c r="AQ972" i="11"/>
  <c r="AQ930" i="11"/>
  <c r="AQ938" i="11"/>
  <c r="AQ932" i="11"/>
  <c r="AQ931" i="11"/>
  <c r="AQ950" i="11"/>
  <c r="AQ941" i="11"/>
  <c r="AQ942" i="11"/>
  <c r="AQ943" i="11"/>
  <c r="AQ940" i="11"/>
  <c r="AQ947" i="11"/>
  <c r="AQ946" i="11"/>
  <c r="AQ944" i="11"/>
  <c r="AQ945" i="11"/>
  <c r="AQ955" i="11"/>
  <c r="AQ954" i="11"/>
  <c r="AQ949" i="11"/>
  <c r="AQ952" i="11"/>
  <c r="AQ948" i="11"/>
  <c r="AQ953" i="11"/>
  <c r="AX7" i="11"/>
  <c r="BA7" i="11" s="1"/>
  <c r="BB7" i="11" s="1"/>
  <c r="AX19" i="11"/>
  <c r="BA19" i="11" s="1"/>
  <c r="BB19" i="11" s="1"/>
  <c r="AX2" i="11"/>
  <c r="BA2" i="11" s="1"/>
  <c r="AX9" i="11"/>
  <c r="BA9" i="11" s="1"/>
  <c r="BB9" i="11" s="1"/>
  <c r="AX22" i="11"/>
  <c r="BA22" i="11" s="1"/>
  <c r="BB22" i="11" s="1"/>
  <c r="AX30" i="11"/>
  <c r="BA30" i="11" s="1"/>
  <c r="BB30" i="11" s="1"/>
  <c r="AX15" i="11"/>
  <c r="BA15" i="11" s="1"/>
  <c r="BB15" i="11" s="1"/>
  <c r="AX27" i="11"/>
  <c r="BA27" i="11" s="1"/>
  <c r="BB27" i="11" s="1"/>
  <c r="AX8" i="11"/>
  <c r="BA8" i="11" s="1"/>
  <c r="BB8" i="11" s="1"/>
  <c r="AX13" i="11"/>
  <c r="BA13" i="11" s="1"/>
  <c r="BB13" i="11" s="1"/>
  <c r="AX29" i="11"/>
  <c r="BA29" i="11" s="1"/>
  <c r="BB29" i="11" s="1"/>
  <c r="AX14" i="11"/>
  <c r="BA14" i="11" s="1"/>
  <c r="BB14" i="11" s="1"/>
  <c r="AX16" i="11"/>
  <c r="BA16" i="11" s="1"/>
  <c r="BB16" i="11" s="1"/>
  <c r="AX28" i="11"/>
  <c r="BA28" i="11" s="1"/>
  <c r="BB28" i="11" s="1"/>
  <c r="AX4" i="11"/>
  <c r="BA4" i="11" s="1"/>
  <c r="BB4" i="11" s="1"/>
  <c r="AX17" i="11"/>
  <c r="BA17" i="11" s="1"/>
  <c r="BB17" i="11" s="1"/>
  <c r="AX6" i="11"/>
  <c r="BA6" i="11" s="1"/>
  <c r="BB6" i="11" s="1"/>
  <c r="AX11" i="11"/>
  <c r="BA11" i="11" s="1"/>
  <c r="BB11" i="11" s="1"/>
  <c r="AX18" i="11"/>
  <c r="BA18" i="11" s="1"/>
  <c r="BB18" i="11" s="1"/>
  <c r="AX12" i="11"/>
  <c r="BA12" i="11" s="1"/>
  <c r="BB12" i="11" s="1"/>
  <c r="AX20" i="11"/>
  <c r="BA20" i="11" s="1"/>
  <c r="BB20" i="11" s="1"/>
  <c r="AX5" i="11"/>
  <c r="BA5" i="11" s="1"/>
  <c r="BB5" i="11" s="1"/>
  <c r="AX21" i="11"/>
  <c r="BA21" i="11" s="1"/>
  <c r="BB21" i="11" s="1"/>
  <c r="AX10" i="11"/>
  <c r="BA10" i="11" s="1"/>
  <c r="BB10" i="11" s="1"/>
  <c r="AX3" i="11"/>
  <c r="BA3" i="11" s="1"/>
  <c r="BB3" i="11" s="1"/>
  <c r="AQ957" i="11"/>
  <c r="AQ905" i="11"/>
  <c r="AQ904" i="11"/>
  <c r="AQ927" i="11"/>
  <c r="AQ924" i="11"/>
  <c r="AQ926" i="11"/>
  <c r="AQ923" i="11"/>
  <c r="AQ935" i="11"/>
  <c r="AQ939" i="11"/>
  <c r="AQ933" i="11"/>
  <c r="AQ958" i="11"/>
  <c r="AQ928" i="11"/>
  <c r="AQ936" i="11"/>
  <c r="AQ956" i="11"/>
  <c r="AQ937" i="11"/>
  <c r="AQ925" i="11"/>
  <c r="AU2" i="11"/>
  <c r="AQ919" i="11"/>
  <c r="AQ920" i="11"/>
  <c r="AQ921" i="11"/>
  <c r="AQ922" i="11"/>
  <c r="AQ918" i="11"/>
  <c r="AQ878" i="11"/>
  <c r="AQ879" i="11"/>
  <c r="AQ881" i="11"/>
  <c r="AQ880" i="11"/>
  <c r="AQ917" i="11"/>
  <c r="AQ893" i="11"/>
  <c r="AQ892" i="11"/>
  <c r="AQ894" i="11"/>
  <c r="AQ895" i="11"/>
  <c r="AQ898" i="11"/>
  <c r="AQ899" i="11"/>
  <c r="AQ897" i="11"/>
  <c r="AQ896" i="11"/>
  <c r="AQ903" i="11"/>
  <c r="AQ900" i="11"/>
  <c r="AQ902" i="11"/>
  <c r="AQ901" i="11"/>
  <c r="AQ909" i="11"/>
  <c r="AQ906" i="11"/>
  <c r="AQ908" i="11"/>
  <c r="AQ907" i="11"/>
  <c r="AQ911" i="11"/>
  <c r="AQ910" i="11"/>
  <c r="AQ912" i="11"/>
  <c r="AQ913" i="11"/>
  <c r="AQ915" i="11"/>
  <c r="AQ914" i="11"/>
  <c r="AQ916" i="11"/>
  <c r="AQ889" i="11"/>
  <c r="AQ874" i="11"/>
  <c r="AQ858" i="11"/>
  <c r="AQ809" i="11"/>
  <c r="AQ798" i="11"/>
  <c r="AQ890" i="11"/>
  <c r="AQ875" i="11"/>
  <c r="AQ876" i="11"/>
  <c r="AQ877" i="11"/>
  <c r="AQ883" i="11"/>
  <c r="AQ882" i="11"/>
  <c r="AQ885" i="11"/>
  <c r="AQ884" i="11"/>
  <c r="AQ887" i="11"/>
  <c r="AQ886" i="11"/>
  <c r="AQ888" i="11"/>
  <c r="AQ891" i="11"/>
  <c r="AU18" i="11"/>
  <c r="AU11" i="11"/>
  <c r="AU14" i="11"/>
  <c r="AQ837" i="11"/>
  <c r="AQ836" i="11"/>
  <c r="AQ852" i="11"/>
  <c r="AQ827" i="11"/>
  <c r="AQ826" i="11"/>
  <c r="AQ857" i="11"/>
  <c r="AQ854" i="11"/>
  <c r="AQ856" i="11"/>
  <c r="AQ855" i="11"/>
  <c r="AQ853" i="11"/>
  <c r="AQ861" i="11"/>
  <c r="AQ862" i="11"/>
  <c r="AQ860" i="11"/>
  <c r="AQ859" i="11"/>
  <c r="AQ865" i="11"/>
  <c r="AQ866" i="11"/>
  <c r="AQ863" i="11"/>
  <c r="AQ864" i="11"/>
  <c r="AQ867" i="11"/>
  <c r="AQ868" i="11"/>
  <c r="AQ869" i="11"/>
  <c r="AQ870" i="11"/>
  <c r="AQ871" i="11"/>
  <c r="AQ872" i="11"/>
  <c r="AQ846" i="11"/>
  <c r="AQ848" i="11"/>
  <c r="AQ847" i="11"/>
  <c r="AQ850" i="11"/>
  <c r="AQ849" i="11"/>
  <c r="AQ873" i="11"/>
  <c r="AQ814" i="11"/>
  <c r="AQ792" i="11"/>
  <c r="AQ779" i="11"/>
  <c r="AQ835" i="11"/>
  <c r="AQ834" i="11"/>
  <c r="AQ833" i="11"/>
  <c r="AQ838" i="11"/>
  <c r="AQ840" i="11"/>
  <c r="AQ839" i="11"/>
  <c r="AQ843" i="11"/>
  <c r="AQ842" i="11"/>
  <c r="AQ841" i="11"/>
  <c r="AQ845" i="11"/>
  <c r="AQ844" i="11"/>
  <c r="AQ851" i="11"/>
  <c r="AQ824" i="11"/>
  <c r="AQ823" i="11"/>
  <c r="AQ822" i="11"/>
  <c r="AQ825" i="11"/>
  <c r="AQ819" i="11"/>
  <c r="AQ820" i="11"/>
  <c r="AQ828" i="11"/>
  <c r="AQ821" i="11"/>
  <c r="AQ829" i="11"/>
  <c r="AQ830" i="11"/>
  <c r="AQ831" i="11"/>
  <c r="AQ803" i="11"/>
  <c r="AQ783" i="11"/>
  <c r="AQ813" i="11"/>
  <c r="AQ812" i="11"/>
  <c r="AQ811" i="11"/>
  <c r="AQ806" i="11"/>
  <c r="AQ808" i="11"/>
  <c r="AQ816" i="11"/>
  <c r="AQ815" i="11"/>
  <c r="AQ807" i="11"/>
  <c r="AQ818" i="11"/>
  <c r="AQ805" i="11"/>
  <c r="AQ832" i="11"/>
  <c r="AQ810" i="11"/>
  <c r="AQ817" i="11"/>
  <c r="AQ796" i="11"/>
  <c r="AQ797" i="11"/>
  <c r="AQ804" i="11"/>
  <c r="AQ801" i="11"/>
  <c r="AQ802" i="11"/>
  <c r="AQ800" i="11"/>
  <c r="AQ799" i="11"/>
  <c r="V29" i="11"/>
  <c r="V30" i="11"/>
  <c r="AQ766" i="11"/>
  <c r="AQ786" i="11"/>
  <c r="AQ795" i="11"/>
  <c r="AQ790" i="11"/>
  <c r="AQ780" i="11"/>
  <c r="AQ791" i="11"/>
  <c r="AQ782" i="11"/>
  <c r="AQ784" i="11"/>
  <c r="AQ793" i="11"/>
  <c r="AQ781" i="11"/>
  <c r="AQ787" i="11"/>
  <c r="AQ788" i="11"/>
  <c r="AQ789" i="11"/>
  <c r="AQ794" i="11"/>
  <c r="AQ785" i="11"/>
  <c r="AQ749" i="11"/>
  <c r="AQ753" i="11"/>
  <c r="AQ745" i="11"/>
  <c r="AQ733" i="11"/>
  <c r="AQ742" i="11"/>
  <c r="AQ755" i="11"/>
  <c r="AQ752" i="11"/>
  <c r="AQ754" i="11"/>
  <c r="AQ757" i="11"/>
  <c r="AQ759" i="11"/>
  <c r="AQ756" i="11"/>
  <c r="AQ758" i="11"/>
  <c r="AQ762" i="11"/>
  <c r="AQ760" i="11"/>
  <c r="AQ763" i="11"/>
  <c r="AQ761" i="11"/>
  <c r="AQ765" i="11"/>
  <c r="AQ768" i="11"/>
  <c r="AQ767" i="11"/>
  <c r="AQ764" i="11"/>
  <c r="AQ772" i="11"/>
  <c r="AQ769" i="11"/>
  <c r="AQ771" i="11"/>
  <c r="AQ770" i="11"/>
  <c r="AQ773" i="11"/>
  <c r="AQ774" i="11"/>
  <c r="AQ776" i="11"/>
  <c r="AQ775" i="11"/>
  <c r="AQ778" i="11"/>
  <c r="AQ777" i="11"/>
  <c r="AQ691" i="11"/>
  <c r="AQ686" i="11"/>
  <c r="AQ675" i="11"/>
  <c r="AQ740" i="11"/>
  <c r="AQ741" i="11"/>
  <c r="AQ735" i="11"/>
  <c r="AQ719" i="11"/>
  <c r="AQ270" i="11"/>
  <c r="AQ174" i="11"/>
  <c r="AQ593" i="11"/>
  <c r="AQ450" i="11"/>
  <c r="AQ445" i="11"/>
  <c r="AQ482" i="11"/>
  <c r="AQ421" i="11"/>
  <c r="AQ704" i="11"/>
  <c r="AQ275" i="11"/>
  <c r="AQ364" i="11"/>
  <c r="AQ542" i="11"/>
  <c r="AQ5" i="11"/>
  <c r="AQ384" i="11"/>
  <c r="AQ6" i="11"/>
  <c r="AQ276" i="11"/>
  <c r="AQ84" i="11"/>
  <c r="AQ751" i="11"/>
  <c r="AQ86" i="11"/>
  <c r="AQ85" i="11"/>
  <c r="AQ697" i="11"/>
  <c r="AQ698" i="11"/>
  <c r="AQ703" i="11"/>
  <c r="AQ705" i="11"/>
  <c r="AQ699" i="11"/>
  <c r="AQ701" i="11"/>
  <c r="AQ700" i="11"/>
  <c r="AQ702" i="11"/>
  <c r="AQ712" i="11"/>
  <c r="AQ708" i="11"/>
  <c r="AQ711" i="11"/>
  <c r="AQ706" i="11"/>
  <c r="AQ713" i="11"/>
  <c r="AQ709" i="11"/>
  <c r="AQ707" i="11"/>
  <c r="AQ710" i="11"/>
  <c r="AQ717" i="11"/>
  <c r="AQ721" i="11"/>
  <c r="AQ718" i="11"/>
  <c r="AQ722" i="11"/>
  <c r="AQ715" i="11"/>
  <c r="AQ720" i="11"/>
  <c r="AQ716" i="11"/>
  <c r="AQ714" i="11"/>
  <c r="AQ723" i="11"/>
  <c r="AQ730" i="11"/>
  <c r="AQ727" i="11"/>
  <c r="AQ729" i="11"/>
  <c r="AQ724" i="11"/>
  <c r="AQ725" i="11"/>
  <c r="AQ726" i="11"/>
  <c r="AQ728" i="11"/>
  <c r="AQ734" i="11"/>
  <c r="AQ739" i="11"/>
  <c r="AQ732" i="11"/>
  <c r="AQ738" i="11"/>
  <c r="AQ737" i="11"/>
  <c r="AQ736" i="11"/>
  <c r="AQ731" i="11"/>
  <c r="AQ743" i="11"/>
  <c r="AQ746" i="11"/>
  <c r="AQ744" i="11"/>
  <c r="AQ748" i="11"/>
  <c r="AQ747" i="11"/>
  <c r="AQ750" i="11"/>
  <c r="AQ80" i="11"/>
  <c r="AQ505" i="11"/>
  <c r="AQ44" i="11"/>
  <c r="AQ274" i="11"/>
  <c r="AQ496" i="11"/>
  <c r="AQ54" i="11"/>
  <c r="AQ103" i="11"/>
  <c r="AQ343" i="11"/>
  <c r="AQ153" i="11"/>
  <c r="AQ448" i="11"/>
  <c r="AQ159" i="11"/>
  <c r="AQ517" i="11"/>
  <c r="AQ243" i="11"/>
  <c r="AQ508" i="11"/>
  <c r="AQ271" i="11"/>
  <c r="AQ457" i="11"/>
  <c r="AQ326" i="11"/>
  <c r="AQ415" i="11"/>
  <c r="AQ361" i="11"/>
  <c r="AQ9" i="11"/>
  <c r="AQ51" i="11"/>
  <c r="AQ407" i="11"/>
  <c r="AQ17" i="11"/>
  <c r="AQ254" i="11"/>
  <c r="AQ362" i="11"/>
  <c r="AQ10" i="11"/>
  <c r="AQ238" i="11"/>
  <c r="AQ50" i="11"/>
  <c r="AQ4" i="11"/>
  <c r="AQ120" i="11"/>
  <c r="AQ578" i="11"/>
  <c r="AQ282" i="11"/>
  <c r="AQ484" i="11"/>
  <c r="AQ200" i="11"/>
  <c r="AQ106" i="11"/>
  <c r="AQ132" i="11"/>
  <c r="AQ8" i="11"/>
  <c r="AQ345" i="11"/>
  <c r="AQ441" i="11"/>
  <c r="AQ403" i="11"/>
  <c r="AQ38" i="11"/>
  <c r="AQ432" i="11"/>
  <c r="AQ507" i="11"/>
  <c r="AQ89" i="11"/>
  <c r="AQ208" i="11"/>
  <c r="AQ251" i="11"/>
  <c r="AQ118" i="11"/>
  <c r="AQ320" i="11"/>
  <c r="AQ350" i="11"/>
  <c r="AQ59" i="11"/>
  <c r="AQ187" i="11"/>
  <c r="AQ45" i="11"/>
  <c r="AQ304" i="11"/>
  <c r="AQ193" i="11"/>
  <c r="AQ257" i="11"/>
  <c r="AQ73" i="11"/>
  <c r="AQ206" i="11"/>
  <c r="AQ49" i="11"/>
  <c r="AQ20" i="11"/>
  <c r="AQ53" i="11"/>
  <c r="AQ406" i="11"/>
  <c r="AQ333" i="11"/>
  <c r="AQ433" i="11"/>
  <c r="AQ572" i="11"/>
  <c r="AQ207" i="11"/>
  <c r="AQ458" i="11"/>
  <c r="AQ133" i="11"/>
  <c r="AQ586" i="11"/>
  <c r="AQ223" i="11"/>
  <c r="AQ212" i="11"/>
  <c r="AQ197" i="11"/>
  <c r="AQ317" i="11"/>
  <c r="AQ351" i="11"/>
  <c r="AQ261" i="11"/>
  <c r="AQ370" i="11"/>
  <c r="AQ16" i="11"/>
  <c r="AQ58" i="11"/>
  <c r="AQ292" i="11"/>
  <c r="AQ226" i="11"/>
  <c r="AQ107" i="11"/>
  <c r="AQ210" i="11"/>
  <c r="AQ168" i="11"/>
  <c r="AQ321" i="11"/>
  <c r="AQ123" i="11"/>
  <c r="AQ188" i="11"/>
  <c r="AQ56" i="11"/>
  <c r="AQ150" i="11"/>
  <c r="AQ249" i="11"/>
  <c r="AQ160" i="11"/>
  <c r="AP1455" i="11"/>
  <c r="AL1455" i="11"/>
  <c r="AJ1455" i="11"/>
  <c r="AQ52" i="11"/>
  <c r="AQ21" i="11"/>
  <c r="AQ311" i="11"/>
  <c r="AQ156" i="11"/>
  <c r="AQ152" i="11"/>
  <c r="AQ71" i="11"/>
  <c r="AQ341" i="11"/>
  <c r="AQ90" i="11"/>
  <c r="AQ216" i="11"/>
  <c r="AQ131" i="11"/>
  <c r="AQ285" i="11"/>
  <c r="AQ308" i="11"/>
  <c r="AQ113" i="11"/>
  <c r="AQ161" i="11"/>
  <c r="AQ23" i="11"/>
  <c r="AQ225" i="11"/>
  <c r="AQ61" i="11"/>
  <c r="AQ466" i="11"/>
  <c r="AQ488" i="11"/>
  <c r="AQ532" i="11"/>
  <c r="AQ454" i="11"/>
  <c r="AQ513" i="11"/>
  <c r="AQ541" i="11"/>
  <c r="AQ563" i="11"/>
  <c r="AQ575" i="11"/>
  <c r="AQ478" i="11"/>
  <c r="AQ500" i="11"/>
  <c r="AQ550" i="11"/>
  <c r="AQ474" i="11"/>
  <c r="AQ268" i="11"/>
  <c r="AQ306" i="11"/>
  <c r="AQ218" i="11"/>
  <c r="AN1455" i="11"/>
  <c r="AQ13" i="11"/>
  <c r="AQ14" i="11"/>
  <c r="AQ310" i="11"/>
  <c r="AQ35" i="11"/>
  <c r="AQ280" i="11"/>
  <c r="AQ262" i="11"/>
  <c r="AQ201" i="11"/>
  <c r="AQ209" i="11"/>
  <c r="AQ67" i="11"/>
  <c r="AQ322" i="11"/>
  <c r="AQ70" i="11"/>
  <c r="AQ255" i="11"/>
  <c r="AQ293" i="11"/>
  <c r="AQ247" i="11"/>
  <c r="AQ236" i="11"/>
  <c r="AQ199" i="11"/>
  <c r="AQ672" i="11"/>
  <c r="AQ644" i="11"/>
  <c r="AQ602" i="11"/>
  <c r="AQ495" i="11"/>
  <c r="AQ659" i="11"/>
  <c r="AQ689" i="11"/>
  <c r="AQ585" i="11"/>
  <c r="AQ543" i="11"/>
  <c r="AQ506" i="11"/>
  <c r="AQ410" i="11"/>
  <c r="AQ367" i="11"/>
  <c r="AQ630" i="11"/>
  <c r="AQ616" i="11"/>
  <c r="AQ595" i="11"/>
  <c r="AQ529" i="11"/>
  <c r="AQ651" i="11"/>
  <c r="AQ690" i="11"/>
  <c r="AQ657" i="11"/>
  <c r="AQ485" i="11"/>
  <c r="AQ446" i="11"/>
  <c r="AQ211" i="11"/>
  <c r="AQ692" i="11"/>
  <c r="AQ653" i="11"/>
  <c r="AQ584" i="11"/>
  <c r="AQ536" i="11"/>
  <c r="AQ82" i="11"/>
  <c r="AQ674" i="11"/>
  <c r="AQ679" i="11"/>
  <c r="AQ614" i="11"/>
  <c r="AQ553" i="11"/>
  <c r="AQ504" i="11"/>
  <c r="AQ498" i="11"/>
  <c r="AQ371" i="11"/>
  <c r="AQ154" i="11"/>
  <c r="AQ283" i="11"/>
  <c r="AQ376" i="11"/>
  <c r="AQ638" i="11"/>
  <c r="AQ652" i="11"/>
  <c r="AQ588" i="11"/>
  <c r="AQ551" i="11"/>
  <c r="AQ337" i="11"/>
  <c r="AQ640" i="11"/>
  <c r="AQ664" i="11"/>
  <c r="AQ591" i="11"/>
  <c r="AQ562" i="11"/>
  <c r="AQ416" i="11"/>
  <c r="AQ360" i="11"/>
  <c r="AQ143" i="11"/>
  <c r="AQ670" i="11"/>
  <c r="AQ520" i="11"/>
  <c r="AQ417" i="11"/>
  <c r="AQ379" i="11"/>
  <c r="AQ666" i="11"/>
  <c r="AQ673" i="11"/>
  <c r="AQ631" i="11"/>
  <c r="AQ548" i="11"/>
  <c r="AQ398" i="11"/>
  <c r="AQ372" i="11"/>
  <c r="AQ694" i="11"/>
  <c r="AQ636" i="11"/>
  <c r="AQ696" i="11"/>
  <c r="AQ338" i="11"/>
  <c r="AQ656" i="11"/>
  <c r="AQ685" i="11"/>
  <c r="AQ649" i="11"/>
  <c r="AQ577" i="11"/>
  <c r="AQ477" i="11"/>
  <c r="AQ235" i="11"/>
  <c r="AQ621" i="11"/>
  <c r="AQ615" i="11"/>
  <c r="AQ569" i="11"/>
  <c r="AQ471" i="11"/>
  <c r="AQ217" i="11"/>
  <c r="AQ627" i="11"/>
  <c r="AQ633" i="11"/>
  <c r="AQ606" i="11"/>
  <c r="AQ419" i="11"/>
  <c r="AQ661" i="11"/>
  <c r="AQ629" i="11"/>
  <c r="AQ598" i="11"/>
  <c r="AQ459" i="11"/>
  <c r="AQ688" i="11"/>
  <c r="AQ655" i="11"/>
  <c r="AQ600" i="11"/>
  <c r="AQ535" i="11"/>
  <c r="AQ449" i="11"/>
  <c r="AQ330" i="11"/>
  <c r="AQ660" i="11"/>
  <c r="AQ662" i="11"/>
  <c r="AQ618" i="11"/>
  <c r="AQ580" i="11"/>
  <c r="AQ514" i="11"/>
  <c r="AQ668" i="11"/>
  <c r="AQ693" i="11"/>
  <c r="AQ610" i="11"/>
  <c r="AQ557" i="11"/>
  <c r="AQ472" i="11"/>
  <c r="AQ687" i="11"/>
  <c r="AQ622" i="11"/>
  <c r="AQ603" i="11"/>
  <c r="AQ579" i="11"/>
  <c r="AQ509" i="11"/>
  <c r="AQ643" i="11"/>
  <c r="AQ663" i="11"/>
  <c r="AQ468" i="11"/>
  <c r="AQ347" i="11"/>
  <c r="AQ677" i="11"/>
  <c r="AQ628" i="11"/>
  <c r="AQ607" i="11"/>
  <c r="AQ619" i="11"/>
  <c r="AQ623" i="11"/>
  <c r="AQ599" i="11"/>
  <c r="AQ658" i="11"/>
  <c r="AQ625" i="11"/>
  <c r="AQ605" i="11"/>
  <c r="AQ582" i="11"/>
  <c r="AQ545" i="11"/>
  <c r="AQ490" i="11"/>
  <c r="AQ648" i="11"/>
  <c r="AQ681" i="11"/>
  <c r="AQ609" i="11"/>
  <c r="AQ589" i="11"/>
  <c r="AQ196" i="11"/>
  <c r="AQ634" i="11"/>
  <c r="AQ645" i="11"/>
  <c r="AQ601" i="11"/>
  <c r="AQ493" i="11"/>
  <c r="AQ480" i="11"/>
  <c r="AQ669" i="11"/>
  <c r="AQ608" i="11"/>
  <c r="AQ568" i="11"/>
  <c r="AQ461" i="11"/>
  <c r="AQ650" i="11"/>
  <c r="AQ695" i="11"/>
  <c r="AQ590" i="11"/>
  <c r="AQ559" i="11"/>
  <c r="AQ481" i="11"/>
  <c r="AQ665" i="11"/>
  <c r="AQ667" i="11"/>
  <c r="AQ597" i="11"/>
  <c r="AQ680" i="11"/>
  <c r="AQ676" i="11"/>
  <c r="AQ604" i="11"/>
  <c r="AQ515" i="11"/>
  <c r="AQ462" i="11"/>
  <c r="AQ233" i="11"/>
  <c r="AQ684" i="11"/>
  <c r="AQ642" i="11"/>
  <c r="AQ596" i="11"/>
  <c r="AQ583" i="11"/>
  <c r="AQ538" i="11"/>
  <c r="AQ27" i="11"/>
  <c r="AQ632" i="11"/>
  <c r="AQ626" i="11"/>
  <c r="AQ552" i="11"/>
  <c r="AQ534" i="11"/>
  <c r="AQ519" i="11"/>
  <c r="AQ165" i="11"/>
  <c r="AQ639" i="11"/>
  <c r="AQ612" i="11"/>
  <c r="AQ573" i="11"/>
  <c r="AQ328" i="11"/>
  <c r="AQ682" i="11"/>
  <c r="AQ617" i="11"/>
  <c r="AQ646" i="11"/>
  <c r="AQ576" i="11"/>
  <c r="AQ539" i="11"/>
  <c r="AQ460" i="11"/>
  <c r="AQ430" i="11"/>
  <c r="AQ213" i="11"/>
  <c r="AQ671" i="11"/>
  <c r="AQ683" i="11"/>
  <c r="AQ611" i="11"/>
  <c r="AQ413" i="11"/>
  <c r="AQ624" i="11"/>
  <c r="AQ637" i="11"/>
  <c r="AQ613" i="11"/>
  <c r="AQ556" i="11"/>
  <c r="AQ525" i="11"/>
  <c r="AQ452" i="11"/>
  <c r="AQ475" i="11"/>
  <c r="AQ678" i="11"/>
  <c r="AQ647" i="11"/>
  <c r="AQ594" i="11"/>
  <c r="AQ511" i="11"/>
  <c r="AQ355" i="11"/>
  <c r="AQ96" i="11"/>
  <c r="AQ296" i="11"/>
  <c r="AQ295" i="11"/>
  <c r="AQ215" i="11"/>
  <c r="AQ190" i="11"/>
  <c r="AQ229" i="11"/>
  <c r="AQ173" i="11"/>
  <c r="AQ31" i="11"/>
  <c r="AQ428" i="11"/>
  <c r="AQ411" i="11"/>
  <c r="AQ438" i="11"/>
  <c r="AQ163" i="11"/>
  <c r="AQ183" i="11"/>
  <c r="AQ264" i="11"/>
  <c r="AQ234" i="11"/>
  <c r="AQ294" i="11"/>
  <c r="AQ194" i="11"/>
  <c r="AQ219" i="11"/>
  <c r="AQ198" i="11"/>
  <c r="AQ221" i="11"/>
  <c r="AQ93" i="11"/>
  <c r="AQ186" i="11"/>
  <c r="AQ393" i="11"/>
  <c r="AQ395" i="11"/>
  <c r="AQ396" i="11"/>
  <c r="AQ564" i="11"/>
  <c r="AQ501" i="11"/>
  <c r="AQ469" i="11"/>
  <c r="AQ434" i="11"/>
  <c r="AQ344" i="11"/>
  <c r="AQ373" i="11"/>
  <c r="AQ354" i="11"/>
  <c r="AQ405" i="11"/>
  <c r="AQ323" i="11"/>
  <c r="AQ418" i="11"/>
  <c r="AQ383" i="11"/>
  <c r="AQ502" i="11"/>
  <c r="AQ456" i="11"/>
  <c r="AQ561" i="11"/>
  <c r="AQ476" i="11"/>
  <c r="AQ533" i="11"/>
  <c r="AQ571" i="11"/>
  <c r="AQ455" i="11"/>
  <c r="AQ479" i="11"/>
  <c r="AQ546" i="11"/>
  <c r="AQ503" i="11"/>
  <c r="AQ435" i="11"/>
  <c r="AQ436" i="11"/>
  <c r="AQ431" i="11"/>
  <c r="AQ570" i="11"/>
  <c r="AQ537" i="11"/>
  <c r="AQ516" i="11"/>
  <c r="AQ522" i="11"/>
  <c r="AQ521" i="11"/>
  <c r="AQ467" i="11"/>
  <c r="AQ491" i="11"/>
  <c r="AQ494" i="11"/>
  <c r="AQ567" i="11"/>
  <c r="AQ581" i="11"/>
  <c r="AQ281" i="11"/>
  <c r="AQ404" i="11"/>
  <c r="AQ426" i="11"/>
  <c r="AQ374" i="11"/>
  <c r="AQ440" i="11"/>
  <c r="AQ391" i="11"/>
  <c r="AQ427" i="11"/>
  <c r="AQ346" i="11"/>
  <c r="AQ313" i="11"/>
  <c r="AQ387" i="11"/>
  <c r="AQ359" i="11"/>
  <c r="AQ380" i="11"/>
  <c r="AQ397" i="11"/>
  <c r="AQ363" i="11"/>
  <c r="AQ11" i="11"/>
  <c r="AQ33" i="11"/>
  <c r="AQ2" i="11"/>
  <c r="AQ76" i="11"/>
  <c r="AQ115" i="11"/>
  <c r="AQ298" i="11"/>
  <c r="AQ178" i="11"/>
  <c r="AQ220" i="11"/>
  <c r="AQ138" i="11"/>
  <c r="AQ147" i="11"/>
  <c r="AQ325" i="11"/>
  <c r="AQ287" i="11"/>
  <c r="AQ177" i="11"/>
  <c r="AQ179" i="11"/>
  <c r="AQ110" i="11"/>
  <c r="AQ256" i="11"/>
  <c r="AQ402" i="11"/>
  <c r="AQ148" i="11"/>
  <c r="AQ278" i="11"/>
  <c r="AQ39" i="11"/>
  <c r="AQ336" i="11"/>
  <c r="AQ48" i="11"/>
  <c r="AQ302" i="11"/>
  <c r="AQ88" i="11"/>
  <c r="AQ62" i="11"/>
  <c r="AQ164" i="11"/>
  <c r="AQ180" i="11"/>
  <c r="AQ78" i="11"/>
  <c r="AQ121" i="11"/>
  <c r="AQ145" i="11"/>
  <c r="AQ12" i="11"/>
  <c r="AQ28" i="11"/>
  <c r="AQ99" i="11"/>
  <c r="AQ104" i="11"/>
  <c r="AQ94" i="11"/>
  <c r="AQ95" i="11"/>
  <c r="AQ259" i="11"/>
  <c r="AQ242" i="11"/>
  <c r="AQ171" i="11"/>
  <c r="AQ241" i="11"/>
  <c r="AQ172" i="11"/>
  <c r="AQ203" i="11"/>
  <c r="AQ409" i="11"/>
  <c r="AQ420" i="11"/>
  <c r="AQ342" i="11"/>
  <c r="AQ263" i="11"/>
  <c r="AQ422" i="11"/>
  <c r="AQ423" i="11"/>
  <c r="AQ377" i="11"/>
  <c r="AQ487" i="11"/>
  <c r="AQ429" i="11"/>
  <c r="AQ560" i="11"/>
  <c r="AQ531" i="11"/>
  <c r="AQ512" i="11"/>
  <c r="AQ574" i="11"/>
  <c r="AQ465" i="11"/>
  <c r="AQ473" i="11"/>
  <c r="AQ540" i="11"/>
  <c r="AQ499" i="11"/>
  <c r="AQ549" i="11"/>
  <c r="AQ439" i="11"/>
  <c r="AQ453" i="11"/>
  <c r="AQ111" i="11"/>
  <c r="AQ369" i="11"/>
  <c r="AQ368" i="11"/>
  <c r="AQ388" i="11"/>
  <c r="AQ390" i="11"/>
  <c r="AQ489" i="11"/>
  <c r="AQ483" i="11"/>
  <c r="AQ101" i="11"/>
  <c r="AQ141" i="11"/>
  <c r="AQ129" i="11"/>
  <c r="AQ414" i="11"/>
  <c r="AQ353" i="11"/>
  <c r="AQ331" i="11"/>
  <c r="AQ356" i="11"/>
  <c r="AQ386" i="11"/>
  <c r="AQ18" i="11"/>
  <c r="AQ42" i="11"/>
  <c r="AQ252" i="11"/>
  <c r="AQ232" i="11"/>
  <c r="AQ68" i="11"/>
  <c r="AQ87" i="11"/>
  <c r="AQ265" i="11"/>
  <c r="AQ130" i="11"/>
  <c r="AQ74" i="11"/>
  <c r="AQ137" i="11"/>
  <c r="AQ75" i="11"/>
  <c r="AQ155" i="11"/>
  <c r="AQ332" i="11"/>
  <c r="AQ60" i="11"/>
  <c r="AQ299" i="11"/>
  <c r="AQ288" i="11"/>
  <c r="AQ41" i="11"/>
  <c r="AQ339" i="11"/>
  <c r="AQ228" i="11"/>
  <c r="AQ43" i="11"/>
  <c r="AQ358" i="11"/>
  <c r="AQ214" i="11"/>
  <c r="AQ116" i="11"/>
  <c r="AQ117" i="11"/>
  <c r="AQ81" i="11"/>
  <c r="AQ227" i="11"/>
  <c r="AQ334" i="11"/>
  <c r="AQ348" i="11"/>
  <c r="AQ437" i="11"/>
  <c r="AQ442" i="11"/>
  <c r="AQ184" i="11"/>
  <c r="AQ195" i="11"/>
  <c r="AQ290" i="11"/>
  <c r="AQ248" i="11"/>
  <c r="AQ19" i="11"/>
  <c r="AQ25" i="11"/>
  <c r="AQ277" i="11"/>
  <c r="AQ167" i="11"/>
  <c r="AQ175" i="11"/>
  <c r="AQ108" i="11"/>
  <c r="AQ246" i="11"/>
  <c r="AQ324" i="11"/>
  <c r="AQ146" i="11"/>
  <c r="AQ272" i="11"/>
  <c r="AQ279" i="11"/>
  <c r="AQ34" i="11"/>
  <c r="AQ224" i="11"/>
  <c r="AQ142" i="11"/>
  <c r="AQ231" i="11"/>
  <c r="AQ352" i="11"/>
  <c r="AQ91" i="11"/>
  <c r="AQ77" i="11"/>
  <c r="AQ55" i="11"/>
  <c r="AQ170" i="11"/>
  <c r="AQ314" i="11"/>
  <c r="AQ57" i="11"/>
  <c r="AQ329" i="11"/>
  <c r="AQ237" i="11"/>
  <c r="AQ22" i="11"/>
  <c r="AQ424" i="11"/>
  <c r="AQ305" i="11"/>
  <c r="AQ425" i="11"/>
  <c r="AQ157" i="11"/>
  <c r="AQ297" i="11"/>
  <c r="AQ266" i="11"/>
  <c r="AQ401" i="11"/>
  <c r="AQ400" i="11"/>
  <c r="AQ318" i="11"/>
  <c r="AQ301" i="11"/>
  <c r="AQ309" i="11"/>
  <c r="AQ319" i="11"/>
  <c r="AQ394" i="11"/>
  <c r="AQ366" i="11"/>
  <c r="AQ385" i="11"/>
  <c r="AQ375" i="11"/>
  <c r="AQ392" i="11"/>
  <c r="AQ315" i="11"/>
  <c r="AQ327" i="11"/>
  <c r="AQ555" i="11"/>
  <c r="AQ443" i="11"/>
  <c r="AQ464" i="11"/>
  <c r="AQ566" i="11"/>
  <c r="AQ565" i="11"/>
  <c r="AQ444" i="11"/>
  <c r="AQ554" i="11"/>
  <c r="AQ492" i="11"/>
  <c r="AQ451" i="11"/>
  <c r="AQ526" i="11"/>
  <c r="AQ587" i="11"/>
  <c r="AQ620" i="11"/>
  <c r="AQ592" i="11"/>
  <c r="AQ635" i="11"/>
  <c r="AQ497" i="11"/>
  <c r="AQ447" i="11"/>
  <c r="AQ486" i="11"/>
  <c r="AQ463" i="11"/>
  <c r="AQ470" i="11"/>
  <c r="AQ547" i="11"/>
  <c r="AQ558" i="11"/>
  <c r="AQ544" i="11"/>
  <c r="AQ523" i="11"/>
  <c r="AQ510" i="11"/>
  <c r="AQ125" i="11"/>
  <c r="AQ382" i="11"/>
  <c r="AQ303" i="11"/>
  <c r="AQ378" i="11"/>
  <c r="AQ191" i="11"/>
  <c r="AQ244" i="11"/>
  <c r="AQ269" i="11"/>
  <c r="AQ192" i="11"/>
  <c r="AQ239" i="11"/>
  <c r="AQ230" i="11"/>
  <c r="AQ530" i="11"/>
  <c r="AQ527" i="11"/>
  <c r="AQ528" i="11"/>
  <c r="AQ335" i="11"/>
  <c r="AQ389" i="11"/>
  <c r="AQ307" i="11"/>
  <c r="AQ381" i="11"/>
  <c r="AQ365" i="11"/>
  <c r="AQ357" i="11"/>
  <c r="AQ399" i="11"/>
  <c r="AQ316" i="11"/>
  <c r="AQ349" i="11"/>
  <c r="AQ412" i="11"/>
  <c r="AQ122" i="11"/>
  <c r="AQ202" i="11"/>
  <c r="AQ26" i="11"/>
  <c r="AQ66" i="11"/>
  <c r="AQ245" i="11"/>
  <c r="AQ253" i="11"/>
  <c r="AQ126" i="11"/>
  <c r="AQ72" i="11"/>
  <c r="AQ135" i="11"/>
  <c r="AQ158" i="11"/>
  <c r="AQ37" i="11"/>
  <c r="AQ289" i="11"/>
  <c r="AQ46" i="11"/>
  <c r="AQ258" i="11"/>
  <c r="AQ205" i="11"/>
  <c r="AQ185" i="11"/>
  <c r="AQ114" i="11"/>
  <c r="AQ284" i="11"/>
  <c r="AQ408" i="11"/>
  <c r="AQ119" i="11"/>
  <c r="AQ139" i="11"/>
  <c r="AQ291" i="11"/>
  <c r="AQ240" i="11"/>
  <c r="AQ300" i="11"/>
  <c r="AQ102" i="11"/>
  <c r="AQ169" i="11"/>
  <c r="AQ92" i="11"/>
  <c r="AQ65" i="11"/>
  <c r="AQ109" i="11"/>
  <c r="AQ40" i="11"/>
  <c r="AQ151" i="11"/>
  <c r="AQ654" i="11"/>
  <c r="AQ641" i="11"/>
  <c r="AQ250" i="11"/>
  <c r="AQ176" i="11"/>
  <c r="AQ518" i="11"/>
  <c r="AQ524" i="11"/>
  <c r="AQ7" i="11"/>
  <c r="AQ15" i="11"/>
  <c r="AQ24" i="11"/>
  <c r="AQ267" i="11"/>
  <c r="AQ105" i="11"/>
  <c r="AQ144" i="11"/>
  <c r="AQ273" i="11"/>
  <c r="AQ189" i="11"/>
  <c r="AQ204" i="11"/>
  <c r="AQ32" i="11"/>
  <c r="AQ182" i="11"/>
  <c r="AQ222" i="11"/>
  <c r="AQ140" i="11"/>
  <c r="AQ149" i="11"/>
  <c r="AQ340" i="11"/>
  <c r="AQ181" i="11"/>
  <c r="AQ260" i="11"/>
  <c r="AQ286" i="11"/>
  <c r="AQ166" i="11"/>
  <c r="AQ162" i="11"/>
  <c r="AQ134" i="11"/>
  <c r="AQ312" i="11"/>
  <c r="AQ79" i="11"/>
  <c r="AU12" i="11"/>
  <c r="AU28" i="11"/>
  <c r="AU13" i="11"/>
  <c r="AU22" i="11"/>
  <c r="AU20" i="11"/>
  <c r="AU27" i="11"/>
  <c r="AU15" i="11"/>
  <c r="AU21" i="11"/>
  <c r="AU19" i="11"/>
  <c r="AR30" i="11"/>
  <c r="AR29" i="11"/>
  <c r="AR19" i="11"/>
  <c r="AR11" i="11"/>
  <c r="V3" i="11"/>
  <c r="BA1455" i="11" l="1"/>
  <c r="V1455" i="11"/>
  <c r="AQ128" i="11"/>
  <c r="BB2" i="11"/>
  <c r="BB1455" i="11" s="1"/>
  <c r="AQ98" i="11"/>
  <c r="AQ30" i="11"/>
  <c r="AU30" i="11"/>
  <c r="AQ64" i="11"/>
  <c r="AU29" i="11"/>
  <c r="AQ124" i="11"/>
  <c r="AQ127" i="11"/>
  <c r="AQ112" i="11"/>
  <c r="AQ100" i="11"/>
  <c r="AQ29" i="11"/>
  <c r="AQ136" i="11"/>
  <c r="AQ97" i="11"/>
  <c r="AQ69" i="11"/>
  <c r="AQ3" i="11"/>
  <c r="AQ63" i="11"/>
  <c r="AQ83" i="11"/>
  <c r="AQ47" i="11"/>
  <c r="AQ36" i="11"/>
  <c r="AU3" i="11"/>
  <c r="AQ1455" i="11" l="1"/>
  <c r="AS1455" i="11" l="1"/>
  <c r="AH1455" i="11" l="1"/>
  <c r="U1455"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tc={76687702-3D63-44A9-8073-832B73636EC3}</author>
    <author>tc={4052DD4A-01A6-4921-967E-5DA7C834FB62}</author>
    <author>tc={D09E90C8-19AC-4E1C-8BE0-329166B04E26}</author>
    <author>tc={F3059A38-E5E4-4541-9D8D-B4213960B3AA}</author>
    <author>tc={976C3430-CB82-43DC-860A-5512FA8F5197}</author>
    <author>tc={5D68D17F-C84E-4CF4-84D9-324DECF0A206}</author>
    <author>tc={CA691390-C90D-405B-8B61-0D90B5088085}</author>
    <author>tc={EA0009A1-C12E-4651-B153-839C555F230C}</author>
    <author>tc={847B86A3-68A7-4AC0-B788-260AB1101587}</author>
    <author>tc={ACD977B7-F26B-4E54-8A3F-C4BCC2F03B31}</author>
    <author>tc={4EA98A6F-8DE5-4544-8DEE-32B1C56AB5AF}</author>
    <author>tc={47BFFC39-29D3-4A15-8C89-C26D3F0BFE91}</author>
    <author>tc={AB1E91C1-76BB-4EAF-8A80-031EF8CFF685}</author>
    <author>tc={294DCAF4-AA67-41C2-8694-0BF68CFD4117}</author>
    <author>tc={662670D7-ABF1-413A-AC94-DB95919A1DA4}</author>
    <author>tc={D4F6A208-B374-4CD0-8C12-2B771C642E21}</author>
    <author>tc={67BD9D82-D179-4B68-AE7C-52C38CEFA222}</author>
    <author>tc={A12BAF53-BF0A-493A-9A29-0B013499E307}</author>
    <author>tc={4F9647F0-0485-4B59-93E2-1C8AB9D5D19C}</author>
    <author>tc={E8BCB795-396D-4FB4-89A1-94F8F5F7EB6F}</author>
    <author>tc={1B83F51F-AE7B-44D6-9B7F-F89B0A0117E2}</author>
    <author>tc={F4542D65-BEE4-4C52-8AA9-C2A03CA06AF8}</author>
    <author>tc={33882A55-0249-4EE9-9F92-377E9E1118E1}</author>
    <author>tc={D65440DE-D1EA-4208-8E45-FCC9F2AB604B}</author>
    <author>tc={D7144DE5-EAD6-42F4-880B-E0CD5B87DBAF}</author>
    <author>tc={30BFEA9E-ACAF-4A3C-BB5A-1E80E4C976F6}</author>
    <author>tc={525F406A-C289-441E-9714-11A07C029C06}</author>
    <author>tc={A4AC22B0-9CE0-421D-B080-1E59C27434B2}</author>
    <author>tc={A8228C3F-4FA7-4CDE-9BB8-8AB2F3EF8D2C}</author>
    <author>tc={EA6F3B37-B101-440C-8820-BDC8AD17773A}</author>
    <author>tc={AA4EC156-A64A-49C1-AFA6-F9CDBF1A1ED2}</author>
    <author>tc={5CBB807F-329E-4377-8CC5-6FFA5F493DE9}</author>
    <author>tc={D29F808E-E773-4E83-9771-8E8B38F38B77}</author>
    <author>tc={35D8F92F-CB7B-47EF-8604-55D33D4FE0C2}</author>
    <author>tc={5A4B6ADD-2188-4FFB-9B31-E6C890F8F02F}</author>
    <author>tc={C555CECE-1292-462B-9A93-3615701AC482}</author>
    <author>tc={E5177966-F7BF-4084-B983-6F63D4AD32E1}</author>
    <author>tc={31E1EBAD-A368-4544-BABE-012F26AD61CA}</author>
    <author>tc={ABD4C2EC-0645-45A3-8799-0576D4F970EF}</author>
    <author>tc={8B5DE942-437B-439E-8704-ACE47C660A80}</author>
    <author>tc={6A25092C-630E-411F-8B77-20AF158D16DF}</author>
    <author>tc={EB4BE572-61BB-4D6D-9461-BD00FC2C3237}</author>
    <author>tc={E04CDBEA-227F-40F6-B872-7AFB551B0E07}</author>
    <author>tc={EADD08E2-122F-459C-B724-DC4A65CC0A2B}</author>
    <author>tc={E6D3AEFF-7165-4538-A78A-0CF932081BDC}</author>
    <author>tc={D0A6757E-3953-427B-9467-28716C3505B9}</author>
    <author>Usuario</author>
    <author>tc={B0554799-C183-4EC0-8050-F81DC62F038C}</author>
    <author>tc={6F24EF38-090A-4594-B3F2-CD393CA95600}</author>
    <author>tc={2BA94426-B6E2-476F-8F13-54F92210C7F6}</author>
    <author>tc={49DEA14B-C928-4CF4-AE9F-32780C586E66}</author>
    <author>tc={63AF0428-E39C-42FE-8806-A2327C4BD5B3}</author>
    <author>tc={FBB90A3D-D5F2-4E37-BEE0-18284D107D3A}</author>
    <author>tc={EB5E164F-8EE9-4579-952A-AFB553A99C0F}</author>
    <author>tc={CC067B42-1E87-48EF-AC5B-0E414792048D}</author>
    <author>tc={8DD5E045-B5F0-45B7-9798-3EC8C0A96459}</author>
    <author>tc={8B396829-FFAC-4F32-A2CA-7055C568A0D4}</author>
    <author>tc={6F142880-3126-4E45-B406-C19AA0E82511}</author>
    <author>tc={629BDDE9-EC6F-4914-BA07-A8C7ADE4437A}</author>
    <author>tc={894DBD95-D72F-43F6-8CE8-12AB542878E0}</author>
    <author>tc={C13CDEE8-D3F0-44FC-8943-05B7205594F5}</author>
    <author>tc={27D1B94C-85AF-4BBE-A88E-4CE093B9CBDE}</author>
    <author>tc={0DA19F74-3EAD-44D2-9F70-7C81333CDA58}</author>
    <author>tc={CE8180F4-F809-4D64-B42C-10FA5AD7F885}</author>
    <author>tc={953D1E67-89C0-4681-B900-714AB188D64B}</author>
    <author>tc={9E3411C0-5011-45DE-81BC-E1B210A00678}</author>
    <author>tc={49506699-4845-4403-8C05-8F15F8E8B705}</author>
    <author>tc={DE9BD6AD-B669-4441-8AF8-CEF18223088D}</author>
    <author>tc={75A3F5FC-A616-4C25-8B81-5B86A3046402}</author>
    <author>tc={F4135156-F313-48A4-AB01-7BB22D58AF06}</author>
    <author>tc={22C8C504-44F4-4048-9D1B-848F71B49C67}</author>
    <author>tc={81DA21D7-46AE-4002-80D5-9BDD2C7F893D}</author>
    <author>tc={0808D305-6663-4E91-BB6F-82EAE0D068CD}</author>
    <author>tc={BCE2D2DE-FE49-49ED-9A12-03C42CAEAB6D}</author>
    <author>tc={B1F987DB-C327-417C-9FC2-E8B317B7D569}</author>
  </authors>
  <commentList>
    <comment ref="M18" authorId="0" shapeId="0" xr:uid="{76687702-3D63-44A9-8073-832B73636EC3}">
      <text>
        <t>[Threaded comment]
Your version of Excel allows you to read this threaded comment; however, any edits to it will get removed if the file is opened in a newer version of Excel. Learn more: https://go.microsoft.com/fwlink/?linkid=870924
Comment:
    2,600.00 Kg</t>
      </text>
    </comment>
    <comment ref="M53" authorId="1" shapeId="0" xr:uid="{4052DD4A-01A6-4921-967E-5DA7C834FB62}">
      <text>
        <t>[Threaded comment]
Your version of Excel allows you to read this threaded comment; however, any edits to it will get removed if the file is opened in a newer version of Excel. Learn more: https://go.microsoft.com/fwlink/?linkid=870924
Comment:
    2,110.00 Kg.</t>
      </text>
    </comment>
    <comment ref="F59" authorId="2" shapeId="0" xr:uid="{D09E90C8-19AC-4E1C-8BE0-329166B04E26}">
      <text>
        <t>[Threaded comment]
Your version of Excel allows you to read this threaded comment; however, any edits to it will get removed if the file is opened in a newer version of Excel. Learn more: https://go.microsoft.com/fwlink/?linkid=870924
Comment:
    19/12</t>
      </text>
    </comment>
    <comment ref="M65" authorId="3" shapeId="0" xr:uid="{F3059A38-E5E4-4541-9D8D-B4213960B3AA}">
      <text>
        <t>[Threaded comment]
Your version of Excel allows you to read this threaded comment; however, any edits to it will get removed if the file is opened in a newer version of Excel. Learn more: https://go.microsoft.com/fwlink/?linkid=870924
Comment:
    1,290.00 Kg</t>
      </text>
    </comment>
    <comment ref="M92" authorId="4" shapeId="0" xr:uid="{976C3430-CB82-43DC-860A-5512FA8F5197}">
      <text>
        <t>[Threaded comment]
Your version of Excel allows you to read this threaded comment; however, any edits to it will get removed if the file is opened in a newer version of Excel. Learn more: https://go.microsoft.com/fwlink/?linkid=870924
Comment:
    1,070.00 Kg.</t>
      </text>
    </comment>
    <comment ref="F146" authorId="5" shapeId="0" xr:uid="{5D68D17F-C84E-4CF4-84D9-324DECF0A206}">
      <text>
        <t>[Threaded comment]
Your version of Excel allows you to read this threaded comment; however, any edits to it will get removed if the file is opened in a newer version of Excel. Learn more: https://go.microsoft.com/fwlink/?linkid=870924
Comment:
    30/01</t>
      </text>
    </comment>
    <comment ref="M146" authorId="6" shapeId="0" xr:uid="{CA691390-C90D-405B-8B61-0D90B5088085}">
      <text>
        <t>[Threaded comment]
Your version of Excel allows you to read this threaded comment; however, any edits to it will get removed if the file is opened in a newer version of Excel. Learn more: https://go.microsoft.com/fwlink/?linkid=870924
Comment:
    1,290.00</t>
      </text>
    </comment>
    <comment ref="M163" authorId="7" shapeId="0" xr:uid="{EA0009A1-C12E-4651-B153-839C555F230C}">
      <text>
        <t>[Threaded comment]
Your version of Excel allows you to read this threaded comment; however, any edits to it will get removed if the file is opened in a newer version of Excel. Learn more: https://go.microsoft.com/fwlink/?linkid=870924
Comment:
    1,320.00 Kg.</t>
      </text>
    </comment>
    <comment ref="F167" authorId="8" shapeId="0" xr:uid="{847B86A3-68A7-4AC0-B788-260AB1101587}">
      <text>
        <t>[Threaded comment]
Your version of Excel allows you to read this threaded comment; however, any edits to it will get removed if the file is opened in a newer version of Excel. Learn more: https://go.microsoft.com/fwlink/?linkid=870924
Comment:
    03/02</t>
      </text>
    </comment>
    <comment ref="F168" authorId="9" shapeId="0" xr:uid="{ACD977B7-F26B-4E54-8A3F-C4BCC2F03B31}">
      <text>
        <t>[Threaded comment]
Your version of Excel allows you to read this threaded comment; however, any edits to it will get removed if the file is opened in a newer version of Excel. Learn more: https://go.microsoft.com/fwlink/?linkid=870924
Comment:
    03/02</t>
      </text>
    </comment>
    <comment ref="M182" authorId="10" shapeId="0" xr:uid="{4EA98A6F-8DE5-4544-8DEE-32B1C56AB5AF}">
      <text>
        <t>[Threaded comment]
Your version of Excel allows you to read this threaded comment; however, any edits to it will get removed if the file is opened in a newer version of Excel. Learn more: https://go.microsoft.com/fwlink/?linkid=870924
Comment:
    1,300.00 Kg.</t>
      </text>
    </comment>
    <comment ref="M183" authorId="11" shapeId="0" xr:uid="{47BFFC39-29D3-4A15-8C89-C26D3F0BFE91}">
      <text>
        <t>[Threaded comment]
Your version of Excel allows you to read this threaded comment; however, any edits to it will get removed if the file is opened in a newer version of Excel. Learn more: https://go.microsoft.com/fwlink/?linkid=870924
Comment:
    1,290.00 Kg.</t>
      </text>
    </comment>
    <comment ref="M207" authorId="12" shapeId="0" xr:uid="{AB1E91C1-76BB-4EAF-8A80-031EF8CFF685}">
      <text>
        <t>[Threaded comment]
Your version of Excel allows you to read this threaded comment; however, any edits to it will get removed if the file is opened in a newer version of Excel. Learn more: https://go.microsoft.com/fwlink/?linkid=870924
Comment:
    Aceite 950 Kg.</t>
      </text>
    </comment>
    <comment ref="M234" authorId="13" shapeId="0" xr:uid="{294DCAF4-AA67-41C2-8694-0BF68CFD4117}">
      <text>
        <t>[Threaded comment]
Your version of Excel allows you to read this threaded comment; however, any edits to it will get removed if the file is opened in a newer version of Excel. Learn more: https://go.microsoft.com/fwlink/?linkid=870924
Comment:
    1,300.00 Kg.</t>
      </text>
    </comment>
    <comment ref="M256" authorId="14" shapeId="0" xr:uid="{662670D7-ABF1-413A-AC94-DB95919A1DA4}">
      <text>
        <t>[Threaded comment]
Your version of Excel allows you to read this threaded comment; however, any edits to it will get removed if the file is opened in a newer version of Excel. Learn more: https://go.microsoft.com/fwlink/?linkid=870924
Comment:
    1,290.00 Kg.</t>
      </text>
    </comment>
    <comment ref="M259" authorId="15" shapeId="0" xr:uid="{D4F6A208-B374-4CD0-8C12-2B771C642E21}">
      <text>
        <t>[Threaded comment]
Your version of Excel allows you to read this threaded comment; however, any edits to it will get removed if the file is opened in a newer version of Excel. Learn more: https://go.microsoft.com/fwlink/?linkid=870924
Comment:
    Se descontó bronce</t>
      </text>
    </comment>
    <comment ref="M318" authorId="16" shapeId="0" xr:uid="{67BD9D82-D179-4B68-AE7C-52C38CEFA222}">
      <text>
        <t>[Threaded comment]
Your version of Excel allows you to read this threaded comment; however, any edits to it will get removed if the file is opened in a newer version of Excel. Learn more: https://go.microsoft.com/fwlink/?linkid=870924
Comment:
    36 Isotanques
Reply:
    2,130.00 Kg.</t>
      </text>
    </comment>
    <comment ref="K319" authorId="17" shapeId="0" xr:uid="{A12BAF53-BF0A-493A-9A29-0B013499E307}">
      <text>
        <t xml:space="preserve">[Threaded comment]
Your version of Excel allows you to read this threaded comment; however, any edits to it will get removed if the file is opened in a newer version of Excel. Learn more: https://go.microsoft.com/fwlink/?linkid=870924
Comment:
    Producto Químico (Sílice) </t>
      </text>
    </comment>
    <comment ref="K322" authorId="18" shapeId="0" xr:uid="{4F9647F0-0485-4B59-93E2-1C8AB9D5D19C}">
      <text>
        <t>[Threaded comment]
Your version of Excel allows you to read this threaded comment; however, any edits to it will get removed if the file is opened in a newer version of Excel. Learn more: https://go.microsoft.com/fwlink/?linkid=870924
Comment:
    Aceite</t>
      </text>
    </comment>
    <comment ref="K376" authorId="19" shapeId="0" xr:uid="{E8BCB795-396D-4FB4-89A1-94F8F5F7EB6F}">
      <text>
        <t>[Threaded comment]
Your version of Excel allows you to read this threaded comment; however, any edits to it will get removed if the file is opened in a newer version of Excel. Learn more: https://go.microsoft.com/fwlink/?linkid=870924
Comment:
    No se cobrará el servicio</t>
      </text>
    </comment>
    <comment ref="M385" authorId="20" shapeId="0" xr:uid="{1B83F51F-AE7B-44D6-9B7F-F89B0A0117E2}">
      <text>
        <t>[Threaded comment]
Your version of Excel allows you to read this threaded comment; however, any edits to it will get removed if the file is opened in a newer version of Excel. Learn more: https://go.microsoft.com/fwlink/?linkid=870924
Comment:
    1,990.00 Kg.</t>
      </text>
    </comment>
    <comment ref="K415" authorId="21" shapeId="0" xr:uid="{F4542D65-BEE4-4C52-8AA9-C2A03CA06AF8}">
      <text>
        <t>[Threaded comment]
Your version of Excel allows you to read this threaded comment; however, any edits to it will get removed if the file is opened in a newer version of Excel. Learn more: https://go.microsoft.com/fwlink/?linkid=870924
Comment:
    Pendiente facturación  de 1500</t>
      </text>
    </comment>
    <comment ref="X415" authorId="22" shapeId="0" xr:uid="{33882A55-0249-4EE9-9F92-377E9E1118E1}">
      <text>
        <t>[Threaded comment]
Your version of Excel allows you to read this threaded comment; however, any edits to it will get removed if the file is opened in a newer version of Excel. Learn more: https://go.microsoft.com/fwlink/?linkid=870924
Comment:
    Faltan S/ 90.00 - No cuenta</t>
      </text>
    </comment>
    <comment ref="M431" authorId="23" shapeId="0" xr:uid="{D65440DE-D1EA-4208-8E45-FCC9F2AB604B}">
      <text>
        <t>[Threaded comment]
Your version of Excel allows you to read this threaded comment; however, any edits to it will get removed if the file is opened in a newer version of Excel. Learn more: https://go.microsoft.com/fwlink/?linkid=870924
Comment:
    2,100.00 Kg.</t>
      </text>
    </comment>
    <comment ref="N432" authorId="24" shapeId="0" xr:uid="{D7144DE5-EAD6-42F4-880B-E0CD5B87DBAF}">
      <text>
        <t>[Threaded comment]
Your version of Excel allows you to read this threaded comment; however, any edits to it will get removed if the file is opened in a newer version of Excel. Learn more: https://go.microsoft.com/fwlink/?linkid=870924
Comment:
    Traido a almacen</t>
      </text>
    </comment>
    <comment ref="M467" authorId="25" shapeId="0" xr:uid="{30BFEA9E-ACAF-4A3C-BB5A-1E80E4C976F6}">
      <text>
        <t>[Threaded comment]
Your version of Excel allows you to read this threaded comment; however, any edits to it will get removed if the file is opened in a newer version of Excel. Learn more: https://go.microsoft.com/fwlink/?linkid=870924
Comment:
    1,760.00</t>
      </text>
    </comment>
    <comment ref="K477" authorId="26" shapeId="0" xr:uid="{525F406A-C289-441E-9714-11A07C029C06}">
      <text>
        <t>[Threaded comment]
Your version of Excel allows you to read this threaded comment; however, any edits to it will get removed if the file is opened in a newer version of Excel. Learn more: https://go.microsoft.com/fwlink/?linkid=870924
Comment:
    Aceite Vegetal</t>
      </text>
    </comment>
    <comment ref="M521" authorId="27" shapeId="0" xr:uid="{A4AC22B0-9CE0-421D-B080-1E59C27434B2}">
      <text>
        <t>[Threaded comment]
Your version of Excel allows you to read this threaded comment; however, any edits to it will get removed if the file is opened in a newer version of Excel. Learn more: https://go.microsoft.com/fwlink/?linkid=870924
Comment:
    1,290.00 Kg.</t>
      </text>
    </comment>
    <comment ref="M522" authorId="28" shapeId="0" xr:uid="{A8228C3F-4FA7-4CDE-9BB8-8AB2F3EF8D2C}">
      <text>
        <t>[Threaded comment]
Your version of Excel allows you to read this threaded comment; however, any edits to it will get removed if the file is opened in a newer version of Excel. Learn more: https://go.microsoft.com/fwlink/?linkid=870924
Comment:
    1,280.00 Kg</t>
      </text>
    </comment>
    <comment ref="K568" authorId="29" shapeId="0" xr:uid="{EA6F3B37-B101-440C-8820-BDC8AD17773A}">
      <text>
        <t>[Threaded comment]
Your version of Excel allows you to read this threaded comment; however, any edits to it will get removed if the file is opened in a newer version of Excel. Learn more: https://go.microsoft.com/fwlink/?linkid=870924
Comment:
    Aceite Vegetal</t>
      </text>
    </comment>
    <comment ref="M576" authorId="30" shapeId="0" xr:uid="{AA4EC156-A64A-49C1-AFA6-F9CDBF1A1ED2}">
      <text>
        <t>[Threaded comment]
Your version of Excel allows you to read this threaded comment; however, any edits to it will get removed if the file is opened in a newer version of Excel. Learn more: https://go.microsoft.com/fwlink/?linkid=870924
Comment:
    2,180.00 Kg</t>
      </text>
    </comment>
    <comment ref="M590" authorId="31" shapeId="0" xr:uid="{5CBB807F-329E-4377-8CC5-6FFA5F493DE9}">
      <text>
        <t>[Threaded comment]
Your version of Excel allows you to read this threaded comment; however, any edits to it will get removed if the file is opened in a newer version of Excel. Learn more: https://go.microsoft.com/fwlink/?linkid=870924
Comment:
    1,290.00 Kg.</t>
      </text>
    </comment>
    <comment ref="N590" authorId="32" shapeId="0" xr:uid="{D29F808E-E773-4E83-9771-8E8B38F38B77}">
      <text>
        <t>[Threaded comment]
Your version of Excel allows you to read this threaded comment; however, any edits to it will get removed if the file is opened in a newer version of Excel. Learn more: https://go.microsoft.com/fwlink/?linkid=870924
Comment:
    HINO 500 BFH-839</t>
      </text>
    </comment>
    <comment ref="K605" authorId="33" shapeId="0" xr:uid="{35D8F92F-CB7B-47EF-8604-55D33D4FE0C2}">
      <text>
        <t>[Threaded comment]
Your version of Excel allows you to read this threaded comment; however, any edits to it will get removed if the file is opened in a newer version of Excel. Learn more: https://go.microsoft.com/fwlink/?linkid=870924
Comment:
    Elementos No Metalicos</t>
      </text>
    </comment>
    <comment ref="K606" authorId="34" shapeId="0" xr:uid="{5A4B6ADD-2188-4FFB-9B31-E6C890F8F02F}">
      <text>
        <t>[Threaded comment]
Your version of Excel allows you to read this threaded comment; however, any edits to it will get removed if the file is opened in a newer version of Excel. Learn more: https://go.microsoft.com/fwlink/?linkid=870924
Comment:
    Baterias en desuso</t>
      </text>
    </comment>
    <comment ref="K607" authorId="35" shapeId="0" xr:uid="{C555CECE-1292-462B-9A93-3615701AC482}">
      <text>
        <t>[Threaded comment]
Your version of Excel allows you to read this threaded comment; however, any edits to it will get removed if the file is opened in a newer version of Excel. Learn more: https://go.microsoft.com/fwlink/?linkid=870924
Comment:
    Baterias en desuso</t>
      </text>
    </comment>
    <comment ref="K608" authorId="36" shapeId="0" xr:uid="{E5177966-F7BF-4084-B983-6F63D4AD32E1}">
      <text>
        <t>[Threaded comment]
Your version of Excel allows you to read this threaded comment; however, any edits to it will get removed if the file is opened in a newer version of Excel. Learn more: https://go.microsoft.com/fwlink/?linkid=870924
Comment:
    Baterias en desuso</t>
      </text>
    </comment>
    <comment ref="K626" authorId="37" shapeId="0" xr:uid="{31E1EBAD-A368-4544-BABE-012F26AD61CA}">
      <text>
        <t>[Threaded comment]
Your version of Excel allows you to read this threaded comment; however, any edits to it will get removed if the file is opened in a newer version of Excel. Learn more: https://go.microsoft.com/fwlink/?linkid=870924
Comment:
    Baterias en desuso</t>
      </text>
    </comment>
    <comment ref="K629" authorId="38" shapeId="0" xr:uid="{ABD4C2EC-0645-45A3-8799-0576D4F970EF}">
      <text>
        <t>[Threaded comment]
Your version of Excel allows you to read this threaded comment; however, any edits to it will get removed if the file is opened in a newer version of Excel. Learn more: https://go.microsoft.com/fwlink/?linkid=870924
Comment:
    Baterias en desuso</t>
      </text>
    </comment>
    <comment ref="K630" authorId="39" shapeId="0" xr:uid="{8B5DE942-437B-439E-8704-ACE47C660A80}">
      <text>
        <t>[Threaded comment]
Your version of Excel allows you to read this threaded comment; however, any edits to it will get removed if the file is opened in a newer version of Excel. Learn more: https://go.microsoft.com/fwlink/?linkid=870924
Comment:
    Baterías en desuso</t>
      </text>
    </comment>
    <comment ref="M697" authorId="40" shapeId="0" xr:uid="{6A25092C-630E-411F-8B77-20AF158D16DF}">
      <text>
        <t>[Threaded comment]
Your version of Excel allows you to read this threaded comment; however, any edits to it will get removed if the file is opened in a newer version of Excel. Learn more: https://go.microsoft.com/fwlink/?linkid=870924
Comment:
    1270 Kg</t>
      </text>
    </comment>
    <comment ref="M698" authorId="41" shapeId="0" xr:uid="{EB4BE572-61BB-4D6D-9461-BD00FC2C3237}">
      <text>
        <t>[Threaded comment]
Your version of Excel allows you to read this threaded comment; however, any edits to it will get removed if the file is opened in a newer version of Excel. Learn more: https://go.microsoft.com/fwlink/?linkid=870924
Comment:
    1040</t>
      </text>
    </comment>
    <comment ref="M719" authorId="42" shapeId="0" xr:uid="{E04CDBEA-227F-40F6-B872-7AFB551B0E07}">
      <text>
        <t>[Threaded comment]
Your version of Excel allows you to read this threaded comment; however, any edits to it will get removed if the file is opened in a newer version of Excel. Learn more: https://go.microsoft.com/fwlink/?linkid=870924
Comment:
    TOTAL 73,590.00 Kg.
Primera facturación 38,360.00 Kg.</t>
      </text>
    </comment>
    <comment ref="M743" authorId="43" shapeId="0" xr:uid="{EADD08E2-122F-459C-B724-DC4A65CC0A2B}">
      <text>
        <t>[Threaded comment]
Your version of Excel allows you to read this threaded comment; however, any edits to it will get removed if the file is opened in a newer version of Excel. Learn more: https://go.microsoft.com/fwlink/?linkid=870924
Comment:
    1,290.00 Kg</t>
      </text>
    </comment>
    <comment ref="M767" authorId="44" shapeId="0" xr:uid="{E6D3AEFF-7165-4538-A78A-0CF932081BDC}">
      <text>
        <t>[Threaded comment]
Your version of Excel allows you to read this threaded comment; however, any edits to it will get removed if the file is opened in a newer version of Excel. Learn more: https://go.microsoft.com/fwlink/?linkid=870924
Comment:
    1,280.00 Kg.</t>
      </text>
    </comment>
    <comment ref="M769" authorId="45" shapeId="0" xr:uid="{D0A6757E-3953-427B-9467-28716C3505B9}">
      <text>
        <t>[Threaded comment]
Your version of Excel allows you to read this threaded comment; however, any edits to it will get removed if the file is opened in a newer version of Excel. Learn more: https://go.microsoft.com/fwlink/?linkid=870924
Comment:
    1,290.00 Kg.</t>
      </text>
    </comment>
    <comment ref="P821" authorId="46" shapeId="0" xr:uid="{97303520-DF52-4A13-B62F-08E040E1F74E}">
      <text>
        <r>
          <rPr>
            <b/>
            <sz val="9"/>
            <color indexed="81"/>
            <rFont val="Tahoma"/>
            <family val="2"/>
          </rPr>
          <t>Usuario:</t>
        </r>
        <r>
          <rPr>
            <sz val="9"/>
            <color indexed="81"/>
            <rFont val="Tahoma"/>
            <family val="2"/>
          </rPr>
          <t xml:space="preserve">
Val Anterior 3537</t>
        </r>
      </text>
    </comment>
    <comment ref="P822" authorId="46" shapeId="0" xr:uid="{69671375-4445-4057-9DA8-1AFC8D06DE2D}">
      <text>
        <r>
          <rPr>
            <b/>
            <sz val="9"/>
            <color indexed="81"/>
            <rFont val="Tahoma"/>
            <family val="2"/>
          </rPr>
          <t>Usuario:</t>
        </r>
        <r>
          <rPr>
            <sz val="9"/>
            <color indexed="81"/>
            <rFont val="Tahoma"/>
            <family val="2"/>
          </rPr>
          <t xml:space="preserve">
Val Anterior 3537</t>
        </r>
      </text>
    </comment>
    <comment ref="M832" authorId="47" shapeId="0" xr:uid="{B0554799-C183-4EC0-8050-F81DC62F038C}">
      <text>
        <t>[Threaded comment]
Your version of Excel allows you to read this threaded comment; however, any edits to it will get removed if the file is opened in a newer version of Excel. Learn more: https://go.microsoft.com/fwlink/?linkid=870924
Comment:
    1290 Kg</t>
      </text>
    </comment>
    <comment ref="M849" authorId="48" shapeId="0" xr:uid="{6F24EF38-090A-4594-B3F2-CD393CA95600}">
      <text>
        <t>[Threaded comment]
Your version of Excel allows you to read this threaded comment; however, any edits to it will get removed if the file is opened in a newer version of Excel. Learn more: https://go.microsoft.com/fwlink/?linkid=870924
Comment:
    1050 Kg</t>
      </text>
    </comment>
    <comment ref="M882" authorId="46" shapeId="0" xr:uid="{02E0E415-501D-4E86-8704-CEDCB22EDFA6}">
      <text>
        <r>
          <rPr>
            <b/>
            <sz val="9"/>
            <color indexed="81"/>
            <rFont val="Tahoma"/>
            <family val="2"/>
          </rPr>
          <t>Usuario:</t>
        </r>
        <r>
          <rPr>
            <sz val="9"/>
            <color indexed="81"/>
            <rFont val="Tahoma"/>
            <family val="2"/>
          </rPr>
          <t xml:space="preserve">
2100 Kg</t>
        </r>
      </text>
    </comment>
    <comment ref="M890" authorId="46" shapeId="0" xr:uid="{C4703FDF-49C3-456C-8CE4-E63D9402E756}">
      <text>
        <r>
          <rPr>
            <b/>
            <sz val="9"/>
            <color indexed="81"/>
            <rFont val="Tahoma"/>
            <family val="2"/>
          </rPr>
          <t>Usuario:</t>
        </r>
        <r>
          <rPr>
            <sz val="9"/>
            <color indexed="81"/>
            <rFont val="Tahoma"/>
            <family val="2"/>
          </rPr>
          <t xml:space="preserve">
1150 Kg</t>
        </r>
      </text>
    </comment>
    <comment ref="M912" authorId="49" shapeId="0" xr:uid="{2BA94426-B6E2-476F-8F13-54F92210C7F6}">
      <text>
        <t>[Threaded comment]
Your version of Excel allows you to read this threaded comment; however, any edits to it will get removed if the file is opened in a newer version of Excel. Learn more: https://go.microsoft.com/fwlink/?linkid=870924
Comment:
    270 Kg - Aceite para tratamiento</t>
      </text>
    </comment>
    <comment ref="K916" authorId="50" shapeId="0" xr:uid="{49DEA14B-C928-4CF4-AE9F-32780C586E66}">
      <text>
        <t>[Threaded comment]
Your version of Excel allows you to read this threaded comment; however, any edits to it will get removed if the file is opened in a newer version of Excel. Learn more: https://go.microsoft.com/fwlink/?linkid=870924
Comment:
    Agua residual contaminada</t>
      </text>
    </comment>
    <comment ref="P960" authorId="46" shapeId="0" xr:uid="{BC5D4AFA-0984-4AF4-BF2B-78398A76D206}">
      <text>
        <r>
          <rPr>
            <b/>
            <sz val="9"/>
            <color indexed="81"/>
            <rFont val="Tahoma"/>
            <family val="2"/>
          </rPr>
          <t>Usuario:</t>
        </r>
        <r>
          <rPr>
            <sz val="9"/>
            <color indexed="81"/>
            <rFont val="Tahoma"/>
            <family val="2"/>
          </rPr>
          <t xml:space="preserve">
Aun no se facturó</t>
        </r>
      </text>
    </comment>
    <comment ref="P961" authorId="46" shapeId="0" xr:uid="{45DA2F29-116A-4D0B-996F-82FCCB207797}">
      <text>
        <r>
          <rPr>
            <b/>
            <sz val="9"/>
            <color indexed="81"/>
            <rFont val="Tahoma"/>
            <family val="2"/>
          </rPr>
          <t>Usuario:</t>
        </r>
        <r>
          <rPr>
            <sz val="9"/>
            <color indexed="81"/>
            <rFont val="Tahoma"/>
            <family val="2"/>
          </rPr>
          <t xml:space="preserve">
Val anterior 3578</t>
        </r>
      </text>
    </comment>
    <comment ref="M973" authorId="51" shapeId="0" xr:uid="{63AF0428-E39C-42FE-8806-A2327C4BD5B3}">
      <text>
        <t>[Threaded comment]
Your version of Excel allows you to read this threaded comment; however, any edits to it will get removed if the file is opened in a newer version of Excel. Learn more: https://go.microsoft.com/fwlink/?linkid=870924
Comment:
    2,070.00 Kg.</t>
      </text>
    </comment>
    <comment ref="M974" authorId="52" shapeId="0" xr:uid="{FBB90A3D-D5F2-4E37-BEE0-18284D107D3A}">
      <text>
        <t>[Threaded comment]
Your version of Excel allows you to read this threaded comment; however, any edits to it will get removed if the file is opened in a newer version of Excel. Learn more: https://go.microsoft.com/fwlink/?linkid=870924
Comment:
    2,080.00 Kg.</t>
      </text>
    </comment>
    <comment ref="F985" authorId="53" shapeId="0" xr:uid="{EB5E164F-8EE9-4579-952A-AFB553A99C0F}">
      <text>
        <t>[Threaded comment]
Your version of Excel allows you to read this threaded comment; however, any edits to it will get removed if the file is opened in a newer version of Excel. Learn more: https://go.microsoft.com/fwlink/?linkid=870924
Comment:
    30/07</t>
      </text>
    </comment>
    <comment ref="P987" authorId="46" shapeId="0" xr:uid="{0C340CE7-3E6E-4C03-9C14-78FE2977B781}">
      <text>
        <r>
          <rPr>
            <b/>
            <sz val="9"/>
            <color indexed="81"/>
            <rFont val="Tahoma"/>
            <family val="2"/>
          </rPr>
          <t>Usuario:</t>
        </r>
        <r>
          <rPr>
            <sz val="9"/>
            <color indexed="81"/>
            <rFont val="Tahoma"/>
            <family val="2"/>
          </rPr>
          <t xml:space="preserve">
Val Anterior 3678</t>
        </r>
      </text>
    </comment>
    <comment ref="F996" authorId="54" shapeId="0" xr:uid="{CC067B42-1E87-48EF-AC5B-0E414792048D}">
      <text>
        <t>[Threaded comment]
Your version of Excel allows you to read this threaded comment; however, any edits to it will get removed if the file is opened in a newer version of Excel. Learn more: https://go.microsoft.com/fwlink/?linkid=870924
Comment:
    30/07</t>
      </text>
    </comment>
    <comment ref="C1033" authorId="55" shapeId="0" xr:uid="{8DD5E045-B5F0-45B7-9798-3EC8C0A96459}">
      <text>
        <t>[Threaded comment]
Your version of Excel allows you to read this threaded comment; however, any edits to it will get removed if the file is opened in a newer version of Excel. Learn more: https://go.microsoft.com/fwlink/?linkid=870924
Comment:
    Ilo</t>
      </text>
    </comment>
    <comment ref="M1080" authorId="46" shapeId="0" xr:uid="{EE0CFA23-942F-4751-BE79-EFBC850FDC22}">
      <text>
        <r>
          <rPr>
            <b/>
            <sz val="9"/>
            <color indexed="81"/>
            <rFont val="Tahoma"/>
            <family val="2"/>
          </rPr>
          <t>Usuario:</t>
        </r>
        <r>
          <rPr>
            <sz val="9"/>
            <color indexed="81"/>
            <rFont val="Tahoma"/>
            <family val="2"/>
          </rPr>
          <t xml:space="preserve">
2,080.00 Kg
</t>
        </r>
      </text>
    </comment>
    <comment ref="M1085" authorId="46" shapeId="0" xr:uid="{DC783CFD-C969-4446-9B1E-882F3ADD94AE}">
      <text>
        <r>
          <rPr>
            <b/>
            <sz val="9"/>
            <color indexed="81"/>
            <rFont val="Tahoma"/>
            <family val="2"/>
          </rPr>
          <t>Usuario:</t>
        </r>
        <r>
          <rPr>
            <sz val="9"/>
            <color indexed="81"/>
            <rFont val="Tahoma"/>
            <family val="2"/>
          </rPr>
          <t xml:space="preserve">
2100 Kg</t>
        </r>
      </text>
    </comment>
    <comment ref="K1108" authorId="56" shapeId="0" xr:uid="{8B396829-FFAC-4F32-A2CA-7055C568A0D4}">
      <text>
        <t>[Threaded comment]
Your version of Excel allows you to read this threaded comment; however, any edits to it will get removed if the file is opened in a newer version of Excel. Learn more: https://go.microsoft.com/fwlink/?linkid=870924
Comment:
    Se facturará en septiembre</t>
      </text>
    </comment>
    <comment ref="M1123" authorId="57" shapeId="0" xr:uid="{6F142880-3126-4E45-B406-C19AA0E82511}">
      <text>
        <t>[Threaded comment]
Your version of Excel allows you to read this threaded comment; however, any edits to it will get removed if the file is opened in a newer version of Excel. Learn more: https://go.microsoft.com/fwlink/?linkid=870924
Comment:
    2,090.00 Kg.</t>
      </text>
    </comment>
    <comment ref="K1134" authorId="58" shapeId="0" xr:uid="{629BDDE9-EC6F-4914-BA07-A8C7ADE4437A}">
      <text>
        <t>[Threaded comment]
Your version of Excel allows you to read this threaded comment; however, any edits to it will get removed if the file is opened in a newer version of Excel. Learn more: https://go.microsoft.com/fwlink/?linkid=870924
Comment:
    Cartón</t>
      </text>
    </comment>
    <comment ref="K1141" authorId="59" shapeId="0" xr:uid="{894DBD95-D72F-43F6-8CE8-12AB542878E0}">
      <text>
        <t>[Threaded comment]
Your version of Excel allows you to read this threaded comment; however, any edits to it will get removed if the file is opened in a newer version of Excel. Learn more: https://go.microsoft.com/fwlink/?linkid=870924
Comment:
    Chatarra</t>
      </text>
    </comment>
    <comment ref="M1147" authorId="60" shapeId="0" xr:uid="{C13CDEE8-D3F0-44FC-8943-05B7205594F5}">
      <text>
        <t>[Threaded comment]
Your version of Excel allows you to read this threaded comment; however, any edits to it will get removed if the file is opened in a newer version of Excel. Learn more: https://go.microsoft.com/fwlink/?linkid=870924
Comment:
    1,280.00 Kg.</t>
      </text>
    </comment>
    <comment ref="M1148" authorId="46" shapeId="0" xr:uid="{31AAB52A-99A1-4E81-A809-3A8E47491235}">
      <text>
        <r>
          <rPr>
            <b/>
            <sz val="9"/>
            <color indexed="81"/>
            <rFont val="Tahoma"/>
            <family val="2"/>
          </rPr>
          <t>Usuario:</t>
        </r>
        <r>
          <rPr>
            <sz val="9"/>
            <color indexed="81"/>
            <rFont val="Tahoma"/>
            <family val="2"/>
          </rPr>
          <t xml:space="preserve">
930 Kg</t>
        </r>
      </text>
    </comment>
    <comment ref="M1245" authorId="61" shapeId="0" xr:uid="{27D1B94C-85AF-4BBE-A88E-4CE093B9CBDE}">
      <text>
        <t>[Threaded comment]
Your version of Excel allows you to read this threaded comment; however, any edits to it will get removed if the file is opened in a newer version of Excel. Learn more: https://go.microsoft.com/fwlink/?linkid=870924
Comment:
    Se recolectó 1,233.00 pero se cobra en base al peso de DF</t>
      </text>
    </comment>
    <comment ref="M1248" authorId="62" shapeId="0" xr:uid="{0DA19F74-3EAD-44D2-9F70-7C81333CDA58}">
      <text>
        <t>[Threaded comment]
Your version of Excel allows you to read this threaded comment; however, any edits to it will get removed if the file is opened in a newer version of Excel. Learn more: https://go.microsoft.com/fwlink/?linkid=870924
Comment:
    2,110.00 Kg</t>
      </text>
    </comment>
    <comment ref="K1265" authorId="63" shapeId="0" xr:uid="{CE8180F4-F809-4D64-B42C-10FA5AD7F885}">
      <text>
        <t>[Threaded comment]
Your version of Excel allows you to read this threaded comment; however, any edits to it will get removed if the file is opened in a newer version of Excel. Learn more: https://go.microsoft.com/fwlink/?linkid=870924
Comment:
    Residuos no peligrosos (Libro A03CCO2501 tuberia 25 MM - AV. SAN MARTIN, SEMI RURAL PACHACUTEC CERRO COLORADO).</t>
      </text>
    </comment>
    <comment ref="M1268" authorId="64" shapeId="0" xr:uid="{953D1E67-89C0-4681-B900-714AB188D64B}">
      <text>
        <t>[Threaded comment]
Your version of Excel allows you to read this threaded comment; however, any edits to it will get removed if the file is opened in a newer version of Excel. Learn more: https://go.microsoft.com/fwlink/?linkid=870924
Comment:
    2,090.00 kg.</t>
      </text>
    </comment>
    <comment ref="BD1272" authorId="65" shapeId="0" xr:uid="{9E3411C0-5011-45DE-81BC-E1B210A00678}">
      <text>
        <t>[Threaded comment]
Your version of Excel allows you to read this threaded comment; however, any edits to it will get removed if the file is opened in a newer version of Excel. Learn more: https://go.microsoft.com/fwlink/?linkid=870924
Comment:
    13/10</t>
      </text>
    </comment>
    <comment ref="BD1273" authorId="66" shapeId="0" xr:uid="{49506699-4845-4403-8C05-8F15F8E8B705}">
      <text>
        <t>[Threaded comment]
Your version of Excel allows you to read this threaded comment; however, any edits to it will get removed if the file is opened in a newer version of Excel. Learn more: https://go.microsoft.com/fwlink/?linkid=870924
Comment:
    13/10</t>
      </text>
    </comment>
    <comment ref="K1307" authorId="67" shapeId="0" xr:uid="{DE9BD6AD-B669-4441-8AF8-CEF18223088D}">
      <text>
        <t>[Threaded comment]
Your version of Excel allows you to read this threaded comment; however, any edits to it will get removed if the file is opened in a newer version of Excel. Learn more: https://go.microsoft.com/fwlink/?linkid=870924
Comment:
    Cartón</t>
      </text>
    </comment>
    <comment ref="M1320" authorId="68" shapeId="0" xr:uid="{75A3F5FC-A616-4C25-8B81-5B86A3046402}">
      <text>
        <t>[Threaded comment]
Your version of Excel allows you to read this threaded comment; however, any edits to it will get removed if the file is opened in a newer version of Excel. Learn more: https://go.microsoft.com/fwlink/?linkid=870924
Comment:
    700 Kg.</t>
      </text>
    </comment>
    <comment ref="C1331" authorId="69" shapeId="0" xr:uid="{F4135156-F313-48A4-AB01-7BB22D58AF06}">
      <text>
        <t>[Threaded comment]
Your version of Excel allows you to read this threaded comment; however, any edits to it will get removed if the file is opened in a newer version of Excel. Learn more: https://go.microsoft.com/fwlink/?linkid=870924
Comment:
    La Joya</t>
      </text>
    </comment>
    <comment ref="K1345" authorId="70" shapeId="0" xr:uid="{22C8C504-44F4-4048-9D1B-848F71B49C67}">
      <text>
        <t>[Threaded comment]
Your version of Excel allows you to read this threaded comment; however, any edits to it will get removed if the file is opened in a newer version of Excel. Learn more: https://go.microsoft.com/fwlink/?linkid=870924
Comment:
    Chatarra Metálica</t>
      </text>
    </comment>
    <comment ref="M1361" authorId="71" shapeId="0" xr:uid="{81DA21D7-46AE-4002-80D5-9BDD2C7F893D}">
      <text>
        <t>[Threaded comment]
Your version of Excel allows you to read this threaded comment; however, any edits to it will get removed if the file is opened in a newer version of Excel. Learn more: https://go.microsoft.com/fwlink/?linkid=870924
Comment:
    No se imprimió el ticket de peso por averías en la balanza de Alicorp Molinos.</t>
      </text>
    </comment>
    <comment ref="M1376" authorId="72" shapeId="0" xr:uid="{0808D305-6663-4E91-BB6F-82EAE0D068CD}">
      <text>
        <t>[Threaded comment]
Your version of Excel allows you to read this threaded comment; however, any edits to it will get removed if the file is opened in a newer version of Excel. Learn more: https://go.microsoft.com/fwlink/?linkid=870924
Comment:
    2,080.00 Kg.</t>
      </text>
    </comment>
    <comment ref="K1408" authorId="73" shapeId="0" xr:uid="{BCE2D2DE-FE49-49ED-9A12-03C42CAEAB6D}">
      <text>
        <t>[Threaded comment]
Your version of Excel allows you to read this threaded comment; however, any edits to it will get removed if the file is opened in a newer version of Excel. Learn more: https://go.microsoft.com/fwlink/?linkid=870924
Comment:
    Cartón 75 Kg.
RNA 655 Kg.</t>
      </text>
    </comment>
    <comment ref="M1448" authorId="74" shapeId="0" xr:uid="{B1F987DB-C327-417C-9FC2-E8B317B7D569}">
      <text>
        <t>[Threaded comment]
Your version of Excel allows you to read this threaded comment; however, any edits to it will get removed if the file is opened in a newer version of Excel. Learn more: https://go.microsoft.com/fwlink/?linkid=870924
Comment:
    1,270.00 Kg.</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E898F1D-2B66-4A8C-8D35-A90BEE0720BF}" keepAlive="1" name="Consulta - Pago1_CXC" description="Conexión a la consulta 'Pago1_CXC' en el libro." type="5" refreshedVersion="8" background="1" saveData="1">
    <dbPr connection="Provider=Microsoft.Mashup.OleDb.1;Data Source=$Workbook$;Location=Pago1_CXC;Extended Properties=&quot;&quot;" command="SELECT * FROM [Pago1_CXC]"/>
  </connection>
  <connection id="2" xr16:uid="{452A90F0-95D5-4D36-B9BD-4E90A67FEA37}" keepAlive="1" name="Consulta - Pago2_CXC" description="Conexión a la consulta 'Pago2_CXC' en el libro." type="5" refreshedVersion="8" background="1" saveData="1">
    <dbPr connection="Provider=Microsoft.Mashup.OleDb.1;Data Source=$Workbook$;Location=Pago2_CXC;Extended Properties=&quot;&quot;" command="SELECT * FROM [Pago2_CXC]"/>
  </connection>
  <connection id="3" xr16:uid="{D2A50A7F-C80E-4A64-925E-D21FCC132C4F}" keepAlive="1" name="Consulta - Pago3_CXC" description="Conexión a la consulta 'Pago3_CXC' en el libro." type="5" refreshedVersion="8" background="1" saveData="1">
    <dbPr connection="Provider=Microsoft.Mashup.OleDb.1;Data Source=$Workbook$;Location=Pago3_CXC;Extended Properties=&quot;&quot;" command="SELECT * FROM [Pago3_CXC]"/>
  </connection>
  <connection id="4" xr16:uid="{A9DBEB65-3BB3-456B-A91E-F11C52569840}" keepAlive="1" name="Consulta - Pago4_CXC" description="Conexión a la consulta 'Pago4_CXC' en el libro." type="5" refreshedVersion="8" background="1" saveData="1">
    <dbPr connection="Provider=Microsoft.Mashup.OleDb.1;Data Source=$Workbook$;Location=Pago4_CXC;Extended Properties=&quot;&quot;" command="SELECT * FROM [Pago4_CXC]"/>
  </connection>
  <connection id="5" xr16:uid="{74256353-5D3A-4C6A-9D01-85520A6CCD8B}" keepAlive="1" name="Consulta - Pago5_CXC" description="Conexión a la consulta 'Pago5_CXC' en el libro." type="5" refreshedVersion="8" background="1" saveData="1">
    <dbPr connection="Provider=Microsoft.Mashup.OleDb.1;Data Source=$Workbook$;Location=Pago5_CXC;Extended Properties=&quot;&quot;" command="SELECT * FROM [Pago5_CXC]"/>
  </connection>
  <connection id="6" xr16:uid="{00000000-0015-0000-FFFF-FFFF00000000}" keepAlive="1" name="Consulta - Registro_Facturas_Venta_G1" description="Conexión a la consulta 'Registro_Facturas_Venta_G1' en el libro." type="5" refreshedVersion="8" background="1" saveData="1">
    <dbPr connection="Provider=Microsoft.Mashup.OleDb.1;Data Source=$Workbook$;Location=Registro_Facturas_Venta_G1;Extended Properties=&quot;&quot;" command="SELECT * FROM [Registro_Facturas_Venta_G1]"/>
  </connection>
  <connection id="7" xr16:uid="{00000000-0015-0000-FFFF-FFFF01000000}" keepAlive="1" name="Consulta - Registro_Facturas_Venta_G1 (2)" description="Conexión a la consulta 'Registro_Facturas_Venta_G1 (2)' en el libro." type="5" refreshedVersion="8" background="1" saveData="1">
    <dbPr connection="Provider=Microsoft.Mashup.OleDb.1;Data Source=$Workbook$;Location=&quot;Registro_Facturas_Venta_G1 (2)&quot;;Extended Properties=&quot;&quot;" command="SELECT * FROM [Registro_Facturas_Venta_G1 (2)]"/>
  </connection>
  <connection id="8" xr16:uid="{253FFDE3-8504-4324-A3DF-226856272010}" keepAlive="1" name="Gerencia" type="5" refreshedVersion="8" background="1">
    <dbPr connection="Provider=MSOLAP.8;Integrated Security=ClaimsToken;Persist Security Info=True;Initial Catalog=sobe_wowvirtualserver-28c417d9-812a-42d0-8969-25abd6f03a09;Data Source=pbiazure://api.powerbi.com;MDX Compatibility=1;Safety Options=2;MDX Missing Member Mode=Error;Identity Provider=https://login.microsoftonline.com/common, https://analysis.windows.net/powerbi/api, 929d0ec0-7a41-4b1e-bc7c-b754a28bddcc;Update Isolation Level=2" command="Model" commandType="1"/>
    <olapPr rowDrillCount="1000"/>
  </connection>
</connections>
</file>

<file path=xl/sharedStrings.xml><?xml version="1.0" encoding="utf-8"?>
<sst xmlns="http://schemas.openxmlformats.org/spreadsheetml/2006/main" count="17548" uniqueCount="424">
  <si>
    <t/>
  </si>
  <si>
    <t>Recolección y Transporte de Residuos Peligrosos.</t>
  </si>
  <si>
    <t xml:space="preserve"> GRANJA RINCONADA DEL SUR S.A. </t>
  </si>
  <si>
    <t>Recolección y Transporte de Residuos No Peligrosos.</t>
  </si>
  <si>
    <t>Gloria I</t>
  </si>
  <si>
    <t>Gloria II</t>
  </si>
  <si>
    <t>Gloria III</t>
  </si>
  <si>
    <t>Granja Renzo</t>
  </si>
  <si>
    <t>Granja San Lucas</t>
  </si>
  <si>
    <t>Granja Santa Teresa</t>
  </si>
  <si>
    <t>Recolección y Transporte de Residuos Eléctricos y Electrónicos.</t>
  </si>
  <si>
    <t>Guadalupe I</t>
  </si>
  <si>
    <t>Guadalupe II</t>
  </si>
  <si>
    <t>Guadalupe III</t>
  </si>
  <si>
    <t>Guadalupe IV</t>
  </si>
  <si>
    <t>Guadalupe V</t>
  </si>
  <si>
    <t>Planta de Agua - Guadalupe</t>
  </si>
  <si>
    <t xml:space="preserve"> KONTROL R&amp;M PERÚ S.A.C. </t>
  </si>
  <si>
    <t>Arequipa</t>
  </si>
  <si>
    <t>Alfred H Knight Del Peru S.A.C.</t>
  </si>
  <si>
    <t>Matarani</t>
  </si>
  <si>
    <t xml:space="preserve">ALICORP S.A. </t>
  </si>
  <si>
    <t>Destrucción de Productos Vencidos y Merma.</t>
  </si>
  <si>
    <t>Servicio de Transporte</t>
  </si>
  <si>
    <t>Alimentos Procesados S.A.</t>
  </si>
  <si>
    <t>Alsur Peru S.A.C.</t>
  </si>
  <si>
    <t>Cusco</t>
  </si>
  <si>
    <t>Antilla Copper S.A.</t>
  </si>
  <si>
    <t>Asociacion Tecsup N° 2</t>
  </si>
  <si>
    <t>Calavera Tattoo E.I.R.L.</t>
  </si>
  <si>
    <t>Cargo Transport S.A.C.</t>
  </si>
  <si>
    <t>Cbb Peru S.A.</t>
  </si>
  <si>
    <t>Comando Sociedad Anonima Cerrada</t>
  </si>
  <si>
    <t>Huambo</t>
  </si>
  <si>
    <t>Comimtel Sociedad Anonima Cerrada</t>
  </si>
  <si>
    <t>Tacna</t>
  </si>
  <si>
    <t>CORP.ELECTROMECANICA EN ING.Y CONSTR S.A.C - CELICON</t>
  </si>
  <si>
    <t>Cerro Verde</t>
  </si>
  <si>
    <t>Empresa Yura S.R.L.</t>
  </si>
  <si>
    <t>Rio Seco</t>
  </si>
  <si>
    <t>Pedregal</t>
  </si>
  <si>
    <t>Fab. De Chocolates La Iberica S.A.</t>
  </si>
  <si>
    <t>FLSMIDTH S.A.C.</t>
  </si>
  <si>
    <t>La Joya</t>
  </si>
  <si>
    <t>Limpieza y Mantenimiento</t>
  </si>
  <si>
    <t>Gytres S.A.C.</t>
  </si>
  <si>
    <t>Ham Criogenica Peru S.A.C.</t>
  </si>
  <si>
    <t>Inca Tops S.A</t>
  </si>
  <si>
    <t>Zamacola</t>
  </si>
  <si>
    <t>Industria del Reencauche S.A.C.</t>
  </si>
  <si>
    <t>Ingenieria Servicios Y Soluciones Aplicadas Issa Peru S.A.C. - Issa Peru S.A.C.</t>
  </si>
  <si>
    <t xml:space="preserve">Planta Satelite de Regasificación Arequipa Sur </t>
  </si>
  <si>
    <t xml:space="preserve">Planta Satelite de Regasificación La Joya </t>
  </si>
  <si>
    <t>Inversiones Milenium E.I.R.L.</t>
  </si>
  <si>
    <t>J. CH. COMERCIALIZADORA DE RESIDUOS SOLIDOS S.R.L.</t>
  </si>
  <si>
    <t>Transportes Angel Ibarcena S.A.C.</t>
  </si>
  <si>
    <t>Livigui Peru S.A.C.</t>
  </si>
  <si>
    <t xml:space="preserve">MEGA PESCA S.A. </t>
  </si>
  <si>
    <t>Metalurgica Quimica S.A.C.</t>
  </si>
  <si>
    <t>Parque Industrial</t>
  </si>
  <si>
    <t>Moly-Cop Adesur S.A.</t>
  </si>
  <si>
    <t>Manejo y Gestión de Residuos – Manipulación de Laminilla.</t>
  </si>
  <si>
    <t>Manejo y Gestión de Residuos – Manipulación de Lodos.</t>
  </si>
  <si>
    <t>Reactivos - Callao</t>
  </si>
  <si>
    <t>Reactivos - La Joya</t>
  </si>
  <si>
    <t>Santa Anita</t>
  </si>
  <si>
    <t>Tralsa</t>
  </si>
  <si>
    <t>MOVITECNICA S.A.</t>
  </si>
  <si>
    <t>Power S.A.C.</t>
  </si>
  <si>
    <t>R&amp;C INGENIEROS CONSULTORES Y CONSTRUCTORES</t>
  </si>
  <si>
    <t>ROHA CONSTRUCCION Y MINERIA S.A.C.</t>
  </si>
  <si>
    <t>Yanahuara</t>
  </si>
  <si>
    <t>Stierlift S.A.</t>
  </si>
  <si>
    <t xml:space="preserve">Talma Servicios Aeroportuarios S.A. </t>
  </si>
  <si>
    <t>Ayacucho</t>
  </si>
  <si>
    <t>Tecno Fast S.A.C</t>
  </si>
  <si>
    <t>Transportes Jirena S.A.C.</t>
  </si>
  <si>
    <t>Tiabaya</t>
  </si>
  <si>
    <t>Tuberias y Geosistemas del Perú S.A.</t>
  </si>
  <si>
    <t>Universidad Catolica de Santa Maria</t>
  </si>
  <si>
    <t>Complejo Deportivo</t>
  </si>
  <si>
    <t>Universidad Tecnologica del Peru S.A.C.</t>
  </si>
  <si>
    <t>Moquegua</t>
  </si>
  <si>
    <t>Grupo de Gestión C S.A.</t>
  </si>
  <si>
    <t>TOTAL</t>
  </si>
  <si>
    <t>SOLES</t>
  </si>
  <si>
    <t>FECHA DE VAL.</t>
  </si>
  <si>
    <t xml:space="preserve">VALORIZACIÓN </t>
  </si>
  <si>
    <t>MONEDA</t>
  </si>
  <si>
    <t>C. DF</t>
  </si>
  <si>
    <t>C.OPE.</t>
  </si>
  <si>
    <t>SUB TOTAL</t>
  </si>
  <si>
    <t>IGV</t>
  </si>
  <si>
    <t>FECHA DE EMISION</t>
  </si>
  <si>
    <t>SERIE2</t>
  </si>
  <si>
    <t>NUMERO</t>
  </si>
  <si>
    <t>CONDICION DE PAGO</t>
  </si>
  <si>
    <t>VENCIMIENTO</t>
  </si>
  <si>
    <t>T.C.</t>
  </si>
  <si>
    <t>F1</t>
  </si>
  <si>
    <t>IMPORTE 1</t>
  </si>
  <si>
    <t>F2</t>
  </si>
  <si>
    <t>IMPORTE 2</t>
  </si>
  <si>
    <t>F3</t>
  </si>
  <si>
    <t>IMPORTE 3</t>
  </si>
  <si>
    <t>F4</t>
  </si>
  <si>
    <t>IMPORTE 4</t>
  </si>
  <si>
    <t>F5</t>
  </si>
  <si>
    <t>IMPORTE 5</t>
  </si>
  <si>
    <t>PERIODO</t>
  </si>
  <si>
    <t>COMBINADA</t>
  </si>
  <si>
    <t>Puno</t>
  </si>
  <si>
    <t>ST.06</t>
  </si>
  <si>
    <t>AQP</t>
  </si>
  <si>
    <t>-</t>
  </si>
  <si>
    <t>Emitida</t>
  </si>
  <si>
    <t>Peligrosos.</t>
  </si>
  <si>
    <t>Kg.</t>
  </si>
  <si>
    <t>ENVIADO</t>
  </si>
  <si>
    <t>E001</t>
  </si>
  <si>
    <t>ST.07</t>
  </si>
  <si>
    <t>No Aprovechables.</t>
  </si>
  <si>
    <t xml:space="preserve">FOTON BKL-739 </t>
  </si>
  <si>
    <t>USD</t>
  </si>
  <si>
    <t>FE01</t>
  </si>
  <si>
    <t>FOTON VDJ-872</t>
  </si>
  <si>
    <t xml:space="preserve"> MAXUS VBW-889</t>
  </si>
  <si>
    <t xml:space="preserve"> HYUNDAI V3T-801</t>
  </si>
  <si>
    <t>NO CORRESPONDE</t>
  </si>
  <si>
    <t>FOTON BKL-739</t>
  </si>
  <si>
    <t xml:space="preserve"> HINO V9R-903</t>
  </si>
  <si>
    <t>No se peude registrar en el sistema, se espera respuesta de danper</t>
  </si>
  <si>
    <t>FOTON BKK-849</t>
  </si>
  <si>
    <t>ST.04</t>
  </si>
  <si>
    <t>Biocontaminados.</t>
  </si>
  <si>
    <t>HINO V9R-903</t>
  </si>
  <si>
    <t>Isotanques Vacíos - Ex Productos Químicos</t>
  </si>
  <si>
    <t>Und</t>
  </si>
  <si>
    <t>Planta Molinos</t>
  </si>
  <si>
    <t>ST.05</t>
  </si>
  <si>
    <t>Fata generar HES y Conformidad</t>
  </si>
  <si>
    <t xml:space="preserve"> FOTON BKK-849</t>
  </si>
  <si>
    <t>LIM</t>
  </si>
  <si>
    <t xml:space="preserve">FOTON VBB-840 </t>
  </si>
  <si>
    <t>FE01 - 0000530
USD 4,978.02
FE01 - 0000531
USD 1,797.99</t>
  </si>
  <si>
    <t xml:space="preserve"> ISUZU W1U-933 </t>
  </si>
  <si>
    <t>Falta AC</t>
  </si>
  <si>
    <t>Planta Alimentos Balanceados (P.A.B.)</t>
  </si>
  <si>
    <t>Mantas.</t>
  </si>
  <si>
    <t>Enviado 4/02 Pendiente OC</t>
  </si>
  <si>
    <t>FF01</t>
  </si>
  <si>
    <t>Anulada</t>
  </si>
  <si>
    <t>ST.03</t>
  </si>
  <si>
    <t>RAEE</t>
  </si>
  <si>
    <t>Torre Santa</t>
  </si>
  <si>
    <t>Virgen de Chapi</t>
  </si>
  <si>
    <t>Papel Kraft</t>
  </si>
  <si>
    <t>SE.02</t>
  </si>
  <si>
    <t>Limpieza de Caja Trampa</t>
  </si>
  <si>
    <t xml:space="preserve"> MITSUBISHI FUSO V8C-809</t>
  </si>
  <si>
    <t>Santa Rita</t>
  </si>
  <si>
    <t>Se recibio el V°B° el 13-Feb</t>
  </si>
  <si>
    <t>Pendiente OS</t>
  </si>
  <si>
    <t>NACH</t>
  </si>
  <si>
    <t xml:space="preserve">HINO V9R-903 </t>
  </si>
  <si>
    <t xml:space="preserve">MAXUS VBW-889 </t>
  </si>
  <si>
    <t>Succión y limpieza de Planta separadora de hidrocarburos</t>
  </si>
  <si>
    <t xml:space="preserve">FOTON BKK-849 </t>
  </si>
  <si>
    <t>Corresponde al periodo 2024</t>
  </si>
  <si>
    <t>Madera.</t>
  </si>
  <si>
    <t xml:space="preserve">HYUNDAI V0W-936 </t>
  </si>
  <si>
    <t>Subido 23/01</t>
  </si>
  <si>
    <t xml:space="preserve">  FOTON BKL-739 </t>
  </si>
  <si>
    <t>En Blanco</t>
  </si>
  <si>
    <t>Granja San German</t>
  </si>
  <si>
    <t>SENATI - Arequipa</t>
  </si>
  <si>
    <t xml:space="preserve"> MAXUS VBW-889 </t>
  </si>
  <si>
    <t>Transportes Libertad S.A.C.</t>
  </si>
  <si>
    <t>TERCERO</t>
  </si>
  <si>
    <t>Subido 27/01</t>
  </si>
  <si>
    <t>FOTON VBB-840</t>
  </si>
  <si>
    <t>Subido 03/02</t>
  </si>
  <si>
    <t xml:space="preserve"> HYUNDAI V0W-936 </t>
  </si>
  <si>
    <t>ST.09</t>
  </si>
  <si>
    <t>Manipulación de Laminilla (Seca)</t>
  </si>
  <si>
    <t>Succión y limpieza de pozo de sedimentación</t>
  </si>
  <si>
    <t xml:space="preserve"> FOTON BKK-849 </t>
  </si>
  <si>
    <t xml:space="preserve">HYUNDAI V3T-801 </t>
  </si>
  <si>
    <t xml:space="preserve"> FOTON BKL-739 </t>
  </si>
  <si>
    <t>ST.08</t>
  </si>
  <si>
    <t>Manipulación de laminilla húmeda (lodos)</t>
  </si>
  <si>
    <t>Se valorizará junto con Febrero</t>
  </si>
  <si>
    <t>Subida el 07/02</t>
  </si>
  <si>
    <t xml:space="preserve"> HYUNDAI V3T-801 </t>
  </si>
  <si>
    <t>Moly-Cop Adesur S.A. (Santa Anita)</t>
  </si>
  <si>
    <t>Residuos Sólidos de la Construcción y Demolición. (R.C.D.)</t>
  </si>
  <si>
    <t xml:space="preserve">ISUZU W1U-933 </t>
  </si>
  <si>
    <t>Por confirmar Comercial</t>
  </si>
  <si>
    <t>Sacas Big Bag (Rotas)</t>
  </si>
  <si>
    <t>Jose Maria I</t>
  </si>
  <si>
    <t>MAXUS VBW-889</t>
  </si>
  <si>
    <t>Jose Maria II</t>
  </si>
  <si>
    <t xml:space="preserve">VOLVO V6K-850 </t>
  </si>
  <si>
    <t>Agua Residual Industrial</t>
  </si>
  <si>
    <t>HYUNDAI V3T-801</t>
  </si>
  <si>
    <t>Socabaya</t>
  </si>
  <si>
    <t>Egasa  Mollendo</t>
  </si>
  <si>
    <t>ISUZU V1Z-875</t>
  </si>
  <si>
    <t xml:space="preserve"> VOLVO F3F-832</t>
  </si>
  <si>
    <t>HINO VAY-858</t>
  </si>
  <si>
    <t>Almacen Central Granjas</t>
  </si>
  <si>
    <t>SINUTRUK BVH-903</t>
  </si>
  <si>
    <t>Se presenta una diferencia entre el monto de la factura y de la valorización debido al descuento realizado por la valorización de aceite de febrero</t>
  </si>
  <si>
    <t>HINO 500 BFH-839</t>
  </si>
  <si>
    <t>W1L-808/VCK-982</t>
  </si>
  <si>
    <t>DONGFENG COD-857</t>
  </si>
  <si>
    <t>No se cobra por indicación del área Comercial</t>
  </si>
  <si>
    <t>Error Operativo</t>
  </si>
  <si>
    <t>Comig</t>
  </si>
  <si>
    <t>Subido 28/03</t>
  </si>
  <si>
    <t xml:space="preserve"> Laboratorio de Pavimentos </t>
  </si>
  <si>
    <t>CP Semirural pachacutec</t>
  </si>
  <si>
    <t>03/06       FF01-103
S/ 1,434.55</t>
  </si>
  <si>
    <t xml:space="preserve"> FOTON BKL-739</t>
  </si>
  <si>
    <t>SE.01</t>
  </si>
  <si>
    <t>Destrucción con constatación notarial</t>
  </si>
  <si>
    <t>Se genera val solo para llevar trazabilidad de servicio realizado en Marzo</t>
  </si>
  <si>
    <t>Grupo Gloria</t>
  </si>
  <si>
    <t xml:space="preserve">VOLVO F3F-832 </t>
  </si>
  <si>
    <t>VOLVO A8T-846</t>
  </si>
  <si>
    <t>Red de Energia Peru</t>
  </si>
  <si>
    <t>Pendiente Confirmación Comercial</t>
  </si>
  <si>
    <t>PENDIENTE</t>
  </si>
  <si>
    <t xml:space="preserve">APR-855/C0Q-731 </t>
  </si>
  <si>
    <t>Falta OC</t>
  </si>
  <si>
    <t xml:space="preserve"> HINO V9R-903 </t>
  </si>
  <si>
    <t>Coresol</t>
  </si>
  <si>
    <t>MAC Arequipa</t>
  </si>
  <si>
    <t xml:space="preserve">DONGFENG COD-857 </t>
  </si>
  <si>
    <t xml:space="preserve">HINO VAY-858 </t>
  </si>
  <si>
    <t xml:space="preserve">FORLAND V6P-822 </t>
  </si>
  <si>
    <t xml:space="preserve">MITSUBISHI VDZ-928 </t>
  </si>
  <si>
    <t>Falta HES</t>
  </si>
  <si>
    <t xml:space="preserve">BVH-903 </t>
  </si>
  <si>
    <t>HYUNDAI V0W-936</t>
  </si>
  <si>
    <t>Se factura con Mayo</t>
  </si>
  <si>
    <t>FF01-67
S/ 3,537.88</t>
  </si>
  <si>
    <t>Falta PE de Comercial</t>
  </si>
  <si>
    <t xml:space="preserve"> Planta Satelite de Regasificación Arequipa Norte </t>
  </si>
  <si>
    <t xml:space="preserve">FOTON VDJ-872 </t>
  </si>
  <si>
    <t>Ilo</t>
  </si>
  <si>
    <t>FORLAND V6P-822</t>
  </si>
  <si>
    <t>Pendiente OC</t>
  </si>
  <si>
    <t xml:space="preserve">HINO C5I-741 </t>
  </si>
  <si>
    <t>Yura</t>
  </si>
  <si>
    <t>Falta Confirmación de Comercial</t>
  </si>
  <si>
    <t>Laive - Arequipa</t>
  </si>
  <si>
    <t>Servicio de transporte</t>
  </si>
  <si>
    <t xml:space="preserve">38.36 TM- facturadas FF1-098 por 860.03 USD
35.23 TM - facturadas FF01-141  </t>
  </si>
  <si>
    <t>Se redujo costo de 4.37 a 4.17</t>
  </si>
  <si>
    <t>7,900 Kg. FF01-133 26/06</t>
  </si>
  <si>
    <t>FOTON VEC-790</t>
  </si>
  <si>
    <t>VOLVO BBS-841</t>
  </si>
  <si>
    <t>Sede Tacna y Arica</t>
  </si>
  <si>
    <t>SOUTHERN PERU COPPER CORPORATION, SUCURSAL DEL PERÚ</t>
  </si>
  <si>
    <t>Saldo a favor de MCA</t>
  </si>
  <si>
    <t xml:space="preserve">FOTON VEC-790 </t>
  </si>
  <si>
    <t xml:space="preserve">FOTON V8Z-796 </t>
  </si>
  <si>
    <t>Santa Teresa de Jesus</t>
  </si>
  <si>
    <t>Aeropuertos Andinos del Peru - Sede Arequipa</t>
  </si>
  <si>
    <t>Pendiente</t>
  </si>
  <si>
    <t>Cerro Colorado</t>
  </si>
  <si>
    <t>Camposol S.A</t>
  </si>
  <si>
    <t>Cooperativa Minera Coming de Ananea Limitada</t>
  </si>
  <si>
    <t>Danper Trujillo S.A.C</t>
  </si>
  <si>
    <t>TACONSER E.I.R.L.</t>
  </si>
  <si>
    <t>Compañia de Ingenieria Especializada S.A.C.</t>
  </si>
  <si>
    <t>Servicios Compartidos de Restaurantes S.A.C.</t>
  </si>
  <si>
    <t>D.C.R. Mineria y Construccion S.A.C.</t>
  </si>
  <si>
    <t>Industrias  IGGAM S.A.C.</t>
  </si>
  <si>
    <t>Pesquera Diamante S.A.</t>
  </si>
  <si>
    <t>ALQUIMODUL S.A.C.</t>
  </si>
  <si>
    <t>P&amp;P Consultores &amp; Ejecutores S.R.L.</t>
  </si>
  <si>
    <t>Carmen Inmuebles S.A.</t>
  </si>
  <si>
    <t>AUTOPROYECT E.I.R.L.</t>
  </si>
  <si>
    <t>Consorcio Puentes del Norte</t>
  </si>
  <si>
    <t>AZ Arquitectos E.I.R.L.</t>
  </si>
  <si>
    <t>Plásticos y metálicos S.A.C.</t>
  </si>
  <si>
    <t>Cosapi Minera S.A.C.</t>
  </si>
  <si>
    <t>GUZMAN ZUÑIGA KATHIA DANIELA</t>
  </si>
  <si>
    <t>ST.02</t>
  </si>
  <si>
    <t>Recolección y Transporte de Residuos Biocontaminados.</t>
  </si>
  <si>
    <t>No corresponde</t>
  </si>
  <si>
    <t>FAW COQ-794</t>
  </si>
  <si>
    <t>Recolección y Transporte de Residuos Sólidos de la Construcción y Demolición. (R.C.D.)</t>
  </si>
  <si>
    <t>Proyecto Exploración Antilla</t>
  </si>
  <si>
    <t>Laive - Majes</t>
  </si>
  <si>
    <t>Multiservicios Profesionales JC S.A.C.</t>
  </si>
  <si>
    <t>05/05 
FF01-65
 1,929.72</t>
  </si>
  <si>
    <t xml:space="preserve">BDL-884 </t>
  </si>
  <si>
    <t>Limpieza externa de tanque PTAR</t>
  </si>
  <si>
    <t xml:space="preserve"> Salieron como residuos Aprovechables en coordinación con la Ing. Zeida, se dispone como Residuos no Aprovechables</t>
  </si>
  <si>
    <t xml:space="preserve"> FOTON VDJ-872 </t>
  </si>
  <si>
    <t>Tercerizado</t>
  </si>
  <si>
    <t>Luxury Towers</t>
  </si>
  <si>
    <t xml:space="preserve">JAC VEC-893 </t>
  </si>
  <si>
    <t>SANCHEZ RICO INGENIERIA Y CONSTRUCCION S.A.C.</t>
  </si>
  <si>
    <t>Subida el 14/08</t>
  </si>
  <si>
    <t>ESTRELLA GOLD PERU S.A.C.</t>
  </si>
  <si>
    <t>Almacén</t>
  </si>
  <si>
    <t>OS y Hes no coincide con monto total de val</t>
  </si>
  <si>
    <t>STRACON PERÚ S.A</t>
  </si>
  <si>
    <t>Cocachacra</t>
  </si>
  <si>
    <t>IZUSU VAX-928</t>
  </si>
  <si>
    <t>No se cobrará por indicación del Área Comercial</t>
  </si>
  <si>
    <t>Subido el 22/08</t>
  </si>
  <si>
    <t>Se envío después de tiempo por las observaciones en la PE</t>
  </si>
  <si>
    <t xml:space="preserve">KENWORTH COH-730 </t>
  </si>
  <si>
    <t xml:space="preserve"> VOLKSWAGEN C2I-773 </t>
  </si>
  <si>
    <t>Yanque</t>
  </si>
  <si>
    <t>Eleo Arquitectura y Construcción S.A.C</t>
  </si>
  <si>
    <t>Implementación de tienda IBK Express, Real Plaza Arequipa</t>
  </si>
  <si>
    <t>Factura por USD 5,591.38</t>
  </si>
  <si>
    <t>Sidsur - Proyecto Misti</t>
  </si>
  <si>
    <r>
      <t xml:space="preserve">Factura por S/ 6,005.49
</t>
    </r>
    <r>
      <rPr>
        <sz val="9"/>
        <color rgb="FFFF0000"/>
        <rFont val="Arial"/>
        <family val="2"/>
      </rPr>
      <t>Diferencia por S/ 63.73</t>
    </r>
  </si>
  <si>
    <t xml:space="preserve">IZUZU BJE-745 </t>
  </si>
  <si>
    <t>IZUZU BJE-745</t>
  </si>
  <si>
    <t>HYUNDAI V3T - 801</t>
  </si>
  <si>
    <t>Sede Parra 1</t>
  </si>
  <si>
    <t>Sede Parra 2</t>
  </si>
  <si>
    <t xml:space="preserve">MITSUBISHI VDZ-926 </t>
  </si>
  <si>
    <t>Subido el 15/09</t>
  </si>
  <si>
    <t xml:space="preserve">HYUNDAI CIG-890 </t>
  </si>
  <si>
    <t>Coimser S.A.C.</t>
  </si>
  <si>
    <t>Proyecto Tia María</t>
  </si>
  <si>
    <r>
      <t xml:space="preserve">Se deja en blanco la Valorización </t>
    </r>
    <r>
      <rPr>
        <b/>
        <sz val="9"/>
        <color theme="1"/>
        <rFont val="Arial"/>
        <family val="2"/>
      </rPr>
      <t>3662</t>
    </r>
    <r>
      <rPr>
        <sz val="9"/>
        <color theme="1"/>
        <rFont val="Arial"/>
        <family val="2"/>
      </rPr>
      <t xml:space="preserve">  para juntarlo con el servicio del 17</t>
    </r>
  </si>
  <si>
    <t xml:space="preserve">VOLVO BBI-841 </t>
  </si>
  <si>
    <t xml:space="preserve">FOTON VEI-822 </t>
  </si>
  <si>
    <t>INCOP INGENIEROS S.R.L.</t>
  </si>
  <si>
    <t xml:space="preserve"> Excel: Servicios Generales y Acondicionamiento S.A.C.</t>
  </si>
  <si>
    <t xml:space="preserve">Eliminación de cobertura de techo (Mantenimientos en la empresa) </t>
  </si>
  <si>
    <t>HINO CSI-741</t>
  </si>
  <si>
    <t xml:space="preserve"> </t>
  </si>
  <si>
    <t>Subido el 26/09</t>
  </si>
  <si>
    <t>Servicio de Traslado Interno de Residuos No Peligrosos</t>
  </si>
  <si>
    <t>Ati Proyectos S.A.C.</t>
  </si>
  <si>
    <t xml:space="preserve">HYUNDAI C1G-890 </t>
  </si>
  <si>
    <t>Fsctura que complementa la FF01-229 por $ 2,206.78</t>
  </si>
  <si>
    <t xml:space="preserve">Sede Parra 2 </t>
  </si>
  <si>
    <t>FF04</t>
  </si>
  <si>
    <t>Si, es que se realizó el servicio pero al final el cliente ya no quiso pagar completo por eso se está devolviendo sus residuos solo se cobro los costos de transporte</t>
  </si>
  <si>
    <t>Se facturó como parte del servicio de Ago-Set</t>
  </si>
  <si>
    <t>El servicio en realidad se realizó el 25 Ago pero se esta considerando por el pendiente del 22 Julio</t>
  </si>
  <si>
    <t>FF01-282
Se factura adicional por S/ 575.25</t>
  </si>
  <si>
    <t>Subido el 10/10</t>
  </si>
  <si>
    <t>Taller M-3</t>
  </si>
  <si>
    <t>Neumáticos fuera de uso.</t>
  </si>
  <si>
    <t>Se genera val a solicitud del Área comercial, usualmente es mensual</t>
  </si>
  <si>
    <t>Tacna y Arica</t>
  </si>
  <si>
    <t>SF</t>
  </si>
  <si>
    <t>Parra 2</t>
  </si>
  <si>
    <t>IMPORTADORA DE RODAMIENTOS S.A.C.</t>
  </si>
  <si>
    <t xml:space="preserve"> EISERM GROUP S.R.L.</t>
  </si>
  <si>
    <t>Subido el 21/10</t>
  </si>
  <si>
    <t>Subido el 22/10</t>
  </si>
  <si>
    <t>Evcon E.I.R.L.</t>
  </si>
  <si>
    <t xml:space="preserve"> Komatsu Mitsui Maquinarias Perú S.A</t>
  </si>
  <si>
    <t xml:space="preserve"> FOTON VEI-822 </t>
  </si>
  <si>
    <t>24/10 Se anula la FF01-296 del 17/10</t>
  </si>
  <si>
    <t>PE emitida el 24/10</t>
  </si>
  <si>
    <t xml:space="preserve">VOLVO B4T-906 </t>
  </si>
  <si>
    <t>EMITIDA</t>
  </si>
  <si>
    <t>Subido el 30/10</t>
  </si>
  <si>
    <t>Subido el 31/10</t>
  </si>
  <si>
    <t>Adicional FF01-316 por $ 216.65 - Completo</t>
  </si>
  <si>
    <t>Diferencia de $ 13.04</t>
  </si>
  <si>
    <t>FACTURADO</t>
  </si>
  <si>
    <t>Solo S/ 3,499.04</t>
  </si>
  <si>
    <t>SITICOM INGENIERÍA S.A.C.</t>
  </si>
  <si>
    <t>Se facturó FF01-262 el 24/09
Se facturó FF01-312 el 31/10</t>
  </si>
  <si>
    <t>Planta III</t>
  </si>
  <si>
    <t>Recolección y Transporte de Residuos No Peligrosos (Hilado Alpaca - Conos)</t>
  </si>
  <si>
    <t>Subido el 10/11
No se cobrará por indicación del Área Comercial</t>
  </si>
  <si>
    <t>Recolección y Transporte de Residuos No Peligrosos
(Fardos de lana)</t>
  </si>
  <si>
    <t xml:space="preserve">HYUNDAI AAY-842 </t>
  </si>
  <si>
    <t>ruc</t>
  </si>
  <si>
    <t>cliente_generador</t>
  </si>
  <si>
    <t>planta_proyecto</t>
  </si>
  <si>
    <t>codigo</t>
  </si>
  <si>
    <t>servicio</t>
  </si>
  <si>
    <t>fecha_fs</t>
  </si>
  <si>
    <t>sede_fs</t>
  </si>
  <si>
    <t>serie_fs</t>
  </si>
  <si>
    <t>ficha_servicio_fs</t>
  </si>
  <si>
    <t>estado_fs</t>
  </si>
  <si>
    <t>detalle_servicio_fs</t>
  </si>
  <si>
    <t>medida_fs</t>
  </si>
  <si>
    <t>cantidad_fs</t>
  </si>
  <si>
    <t>unidad_vehicular_fs</t>
  </si>
  <si>
    <t>estado_v</t>
  </si>
  <si>
    <t>observaciones</t>
  </si>
  <si>
    <t>estado_cont</t>
  </si>
  <si>
    <t>estado_fact</t>
  </si>
  <si>
    <t>saldo_ps</t>
  </si>
  <si>
    <t>estado_pago_ps</t>
  </si>
  <si>
    <t>fecha_valorizacion_ttf</t>
  </si>
  <si>
    <t>fecha_factura_ttf</t>
  </si>
  <si>
    <t>fecha_pago_ttf</t>
  </si>
  <si>
    <t>fs_val_ttf</t>
  </si>
  <si>
    <t>val_fact_ttf</t>
  </si>
  <si>
    <t>fact_pago_ttf</t>
  </si>
  <si>
    <t>tiempo_tf</t>
  </si>
  <si>
    <t>fecha_disposicion_ttd</t>
  </si>
  <si>
    <t>fecha_recepcion_documento_ttd</t>
  </si>
  <si>
    <t>fecha_envío_digital_documentos_ttd</t>
  </si>
  <si>
    <t>fecha_envío_físico_documentos _ttd</t>
  </si>
  <si>
    <t>fs_fd_ttd</t>
  </si>
  <si>
    <t>fd_frd_ttd</t>
  </si>
  <si>
    <t>frd_fend_ttd</t>
  </si>
  <si>
    <t>fend_fenf_ttd</t>
  </si>
  <si>
    <t>ejercicio_ttd</t>
  </si>
  <si>
    <t>estado</t>
  </si>
  <si>
    <t>dentro_plazo</t>
  </si>
  <si>
    <t>tiempo_td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</si>
</sst>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4">
    <numFmt numFmtId="164" formatCode="_(* #,##0.00_);_(* \(#,##0.00\);_(* &quot;-&quot;??_);_(@_)"/>
    <numFmt numFmtId="165" formatCode="_ &quot;S/&quot;* #,##0.00_ ;_ &quot;S/&quot;* \-#,##0.00_ ;_ &quot;S/&quot;* &quot;-&quot;??_ ;_ @_ "/>
    <numFmt numFmtId="166" formatCode="_-* #,##0.00\ _€_-;\-* #,##0.00\ _€_-;_-* &quot;-&quot;??\ _€_-;_-@_-"/>
    <numFmt numFmtId="167" formatCode="000"/>
    <numFmt numFmtId="168" formatCode="_-&quot;S/.&quot;* #,##0.00_-;\-&quot;S/.&quot;* #,##0.00_-;_-&quot;S/.&quot;* &quot;-&quot;??_-;_-@_-"/>
    <numFmt numFmtId="169" formatCode="d/mm/yy;@"/>
    <numFmt numFmtId="170" formatCode="dd/mm/yyyy;@"/>
    <numFmt numFmtId="171" formatCode="&quot;001 - N° &quot;00000000"/>
    <numFmt numFmtId="172" formatCode="[$-C0A]d\-mmm;@"/>
    <numFmt numFmtId="173" formatCode="#,##0.00_ ;\-#,##0.00\ "/>
    <numFmt numFmtId="174" formatCode="00000000"/>
    <numFmt numFmtId="175" formatCode="00\ &quot;dias&quot;"/>
    <numFmt numFmtId="176" formatCode="&quot;N° &quot;000000"/>
    <numFmt numFmtId="177" formatCode="#,##0.000"/>
  </numFmts>
  <fonts count="36" x14ac:knownFonts="1">
    <font>
      <sz val="11"/>
      <color theme="1"/>
      <name val="Calibri"/>
      <family val="2"/>
      <scheme val="minor"/>
    </font>
    <font>
      <sz val="11"/>
      <color theme="1"/>
      <name val="Calibri"/>
      <family val="2"/>
      <scheme val="minor"/>
    </font>
    <font>
      <sz val="11"/>
      <color theme="1"/>
      <name val="Calibri"/>
      <family val="2"/>
    </font>
    <font>
      <b/>
      <sz val="10"/>
      <color theme="1"/>
      <name val="Arial"/>
      <family val="2"/>
    </font>
    <font>
      <sz val="8"/>
      <name val="Calibri"/>
      <family val="2"/>
      <scheme val="minor"/>
    </font>
    <font>
      <sz val="11"/>
      <color theme="1"/>
      <name val="Arial"/>
      <family val="2"/>
    </font>
    <font>
      <b/>
      <sz val="11"/>
      <color theme="1"/>
      <name val="Arial"/>
      <family val="2"/>
    </font>
    <font>
      <sz val="10"/>
      <color theme="1"/>
      <name val="Arial"/>
      <family val="2"/>
    </font>
    <font>
      <b/>
      <sz val="9"/>
      <color theme="1"/>
      <name val="Arial"/>
      <family val="2"/>
    </font>
    <font>
      <sz val="9"/>
      <color theme="1"/>
      <name val="Arial"/>
      <family val="2"/>
    </font>
    <font>
      <b/>
      <i/>
      <sz val="10"/>
      <name val="Arial"/>
      <family val="2"/>
    </font>
    <font>
      <sz val="9"/>
      <name val="Arial"/>
      <family val="2"/>
    </font>
    <font>
      <b/>
      <sz val="9.5"/>
      <color theme="1"/>
      <name val="Arial"/>
      <family val="2"/>
    </font>
    <font>
      <b/>
      <sz val="9.5"/>
      <name val="Arial"/>
      <family val="2"/>
    </font>
    <font>
      <b/>
      <sz val="10"/>
      <name val="Arial"/>
      <family val="2"/>
    </font>
    <font>
      <b/>
      <sz val="9"/>
      <color rgb="FFFF0000"/>
      <name val="Arial"/>
      <family val="2"/>
    </font>
    <font>
      <sz val="9"/>
      <color indexed="81"/>
      <name val="Tahoma"/>
      <family val="2"/>
    </font>
    <font>
      <b/>
      <sz val="9"/>
      <color indexed="81"/>
      <name val="Tahoma"/>
      <family val="2"/>
    </font>
    <font>
      <sz val="9"/>
      <name val="Arial"/>
      <family val="2"/>
    </font>
    <font>
      <sz val="9"/>
      <color theme="1"/>
      <name val="Arial"/>
      <family val="2"/>
    </font>
    <font>
      <sz val="9"/>
      <color theme="1"/>
      <name val="Arial"/>
      <family val="2"/>
    </font>
    <font>
      <sz val="11"/>
      <color theme="1"/>
      <name val="Arial"/>
      <family val="2"/>
    </font>
    <font>
      <sz val="9"/>
      <name val="Arial"/>
      <family val="2"/>
    </font>
    <font>
      <b/>
      <sz val="9"/>
      <color theme="1"/>
      <name val="Arial"/>
      <family val="2"/>
    </font>
    <font>
      <sz val="9"/>
      <color theme="1"/>
      <name val="Arial"/>
      <family val="2"/>
    </font>
    <font>
      <sz val="9"/>
      <color theme="1"/>
      <name val="Arial"/>
      <family val="2"/>
    </font>
    <font>
      <sz val="9"/>
      <name val="Arial"/>
      <family val="2"/>
    </font>
    <font>
      <b/>
      <sz val="9"/>
      <color theme="1"/>
      <name val="Arial"/>
      <family val="2"/>
    </font>
    <font>
      <sz val="11"/>
      <color theme="1"/>
      <name val="Arial"/>
      <family val="2"/>
    </font>
    <font>
      <sz val="9"/>
      <color rgb="FFFF0000"/>
      <name val="Arial"/>
      <family val="2"/>
    </font>
    <font>
      <sz val="9"/>
      <name val="Arial"/>
      <family val="2"/>
    </font>
    <font>
      <sz val="9"/>
      <color theme="1"/>
      <name val="Arial"/>
      <family val="2"/>
    </font>
    <font>
      <sz val="11"/>
      <color theme="1"/>
      <name val="Arial"/>
      <family val="2"/>
    </font>
    <font>
      <b/>
      <sz val="9"/>
      <color theme="1"/>
      <name val="Arial"/>
      <family val="2"/>
    </font>
    <font>
      <sz val="9"/>
      <name val="Arial"/>
      <family val="2"/>
    </font>
    <font>
      <sz val="9"/>
      <color theme="1"/>
      <name val="Arial"/>
      <family val="2"/>
    </font>
  </fonts>
  <fills count="3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rgb="FFFFFFFF"/>
        <bgColor indexed="64"/>
      </patternFill>
    </fill>
    <fill>
      <patternFill patternType="solid">
        <fgColor rgb="FFFFC1B3"/>
        <bgColor indexed="64"/>
      </patternFill>
    </fill>
    <fill>
      <patternFill patternType="solid">
        <fgColor theme="0" tint="-0.14999847407452621"/>
        <bgColor indexed="64"/>
      </patternFill>
    </fill>
    <fill>
      <patternFill patternType="solid">
        <fgColor theme="4" tint="0.79998168889431442"/>
        <bgColor indexed="65"/>
      </patternFill>
    </fill>
    <fill>
      <patternFill patternType="solid">
        <fgColor rgb="FFDDEBF7"/>
        <bgColor indexed="64"/>
      </patternFill>
    </fill>
    <fill>
      <patternFill patternType="solid">
        <fgColor rgb="FF72B730"/>
        <bgColor indexed="64"/>
      </patternFill>
    </fill>
    <fill>
      <patternFill patternType="solid">
        <fgColor theme="6" tint="-9.9978637043366805E-2"/>
        <bgColor indexed="64"/>
      </patternFill>
    </fill>
    <fill>
      <patternFill patternType="solid">
        <fgColor theme="5" tint="0.39997558519241921"/>
        <bgColor indexed="64"/>
      </patternFill>
    </fill>
    <fill>
      <patternFill patternType="solid">
        <fgColor theme="0"/>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FFD757"/>
        <bgColor indexed="64"/>
      </patternFill>
    </fill>
    <fill>
      <patternFill patternType="solid">
        <fgColor theme="6"/>
        <bgColor indexed="64"/>
      </patternFill>
    </fill>
    <fill>
      <patternFill patternType="solid">
        <fgColor rgb="FF66CCFF"/>
        <bgColor indexed="64"/>
      </patternFill>
    </fill>
    <fill>
      <patternFill patternType="solid">
        <fgColor theme="2" tint="-9.9978637043366805E-2"/>
        <bgColor indexed="64"/>
      </patternFill>
    </fill>
    <fill>
      <patternFill patternType="solid">
        <fgColor rgb="FFFFCCFF"/>
        <bgColor indexed="64"/>
      </patternFill>
    </fill>
    <fill>
      <patternFill patternType="solid">
        <fgColor theme="5" tint="0.59999389629810485"/>
        <bgColor indexed="64"/>
      </patternFill>
    </fill>
    <fill>
      <patternFill patternType="solid">
        <fgColor rgb="FFCCCCFF"/>
        <bgColor indexed="64"/>
      </patternFill>
    </fill>
    <fill>
      <patternFill patternType="solid">
        <fgColor rgb="FFACD522"/>
        <bgColor indexed="64"/>
      </patternFill>
    </fill>
    <fill>
      <patternFill patternType="solid">
        <fgColor theme="4" tint="0.59999389629810485"/>
        <bgColor rgb="FFC5E0B3"/>
      </patternFill>
    </fill>
    <fill>
      <patternFill patternType="solid">
        <fgColor theme="9" tint="0.59999389629810485"/>
        <bgColor rgb="FFC5E0B3"/>
      </patternFill>
    </fill>
    <fill>
      <patternFill patternType="solid">
        <fgColor rgb="FFFFA7A9"/>
        <bgColor indexed="64"/>
      </patternFill>
    </fill>
    <fill>
      <patternFill patternType="solid">
        <fgColor theme="7" tint="0.39997558519241921"/>
        <bgColor indexed="64"/>
      </patternFill>
    </fill>
    <fill>
      <patternFill patternType="solid">
        <fgColor rgb="FF99FFCC"/>
        <bgColor indexed="64"/>
      </patternFill>
    </fill>
  </fills>
  <borders count="21">
    <border>
      <left/>
      <right/>
      <top/>
      <bottom/>
      <diagonal/>
    </border>
    <border>
      <left style="thin">
        <color theme="3"/>
      </left>
      <right style="thin">
        <color theme="3"/>
      </right>
      <top style="thin">
        <color theme="3"/>
      </top>
      <bottom style="thin">
        <color theme="3"/>
      </bottom>
      <diagonal/>
    </border>
    <border>
      <left style="thin">
        <color theme="3"/>
      </left>
      <right style="thin">
        <color theme="3"/>
      </right>
      <top/>
      <bottom style="thin">
        <color theme="3"/>
      </bottom>
      <diagonal/>
    </border>
    <border>
      <left style="thin">
        <color theme="3"/>
      </left>
      <right/>
      <top style="thin">
        <color theme="3"/>
      </top>
      <bottom/>
      <diagonal/>
    </border>
    <border>
      <left style="thin">
        <color theme="3"/>
      </left>
      <right style="thin">
        <color theme="3"/>
      </right>
      <top style="thin">
        <color theme="3"/>
      </top>
      <bottom/>
      <diagonal/>
    </border>
    <border>
      <left style="thin">
        <color rgb="FF11680F"/>
      </left>
      <right style="thin">
        <color rgb="FF11680F"/>
      </right>
      <top style="thin">
        <color rgb="FF11680F"/>
      </top>
      <bottom style="thin">
        <color rgb="FF11680F"/>
      </bottom>
      <diagonal/>
    </border>
    <border>
      <left style="thin">
        <color theme="3"/>
      </left>
      <right/>
      <top style="thin">
        <color theme="3"/>
      </top>
      <bottom style="thin">
        <color theme="3"/>
      </bottom>
      <diagonal/>
    </border>
    <border>
      <left/>
      <right/>
      <top style="thin">
        <color theme="3"/>
      </top>
      <bottom style="thin">
        <color theme="3"/>
      </bottom>
      <diagonal/>
    </border>
    <border>
      <left/>
      <right style="thin">
        <color theme="3"/>
      </right>
      <top style="thin">
        <color theme="3"/>
      </top>
      <bottom style="thin">
        <color theme="3"/>
      </bottom>
      <diagonal/>
    </border>
    <border>
      <left style="thin">
        <color theme="3"/>
      </left>
      <right/>
      <top/>
      <bottom style="thin">
        <color theme="3"/>
      </bottom>
      <diagonal/>
    </border>
    <border>
      <left/>
      <right/>
      <top style="thin">
        <color theme="3"/>
      </top>
      <bottom/>
      <diagonal/>
    </border>
    <border>
      <left/>
      <right style="thin">
        <color theme="3"/>
      </right>
      <top style="thin">
        <color theme="3"/>
      </top>
      <bottom/>
      <diagonal/>
    </border>
    <border>
      <left/>
      <right style="thin">
        <color rgb="FF11680F"/>
      </right>
      <top/>
      <bottom style="thin">
        <color rgb="FF11680F"/>
      </bottom>
      <diagonal/>
    </border>
    <border>
      <left style="thin">
        <color rgb="FF11680F"/>
      </left>
      <right style="thin">
        <color rgb="FF11680F"/>
      </right>
      <top/>
      <bottom style="thin">
        <color rgb="FF11680F"/>
      </bottom>
      <diagonal/>
    </border>
    <border>
      <left/>
      <right style="thin">
        <color rgb="FF11680F"/>
      </right>
      <top style="thin">
        <color rgb="FF11680F"/>
      </top>
      <bottom style="thin">
        <color rgb="FF11680F"/>
      </bottom>
      <diagonal/>
    </border>
    <border>
      <left style="thin">
        <color rgb="FF11680F"/>
      </left>
      <right/>
      <top style="thin">
        <color rgb="FF11680F"/>
      </top>
      <bottom style="thin">
        <color rgb="FF11680F"/>
      </bottom>
      <diagonal/>
    </border>
    <border>
      <left style="thin">
        <color rgb="FF11680F"/>
      </left>
      <right style="thin">
        <color rgb="FF11680F"/>
      </right>
      <top style="thin">
        <color rgb="FF11680F"/>
      </top>
      <bottom/>
      <diagonal/>
    </border>
    <border>
      <left style="thin">
        <color theme="3"/>
      </left>
      <right style="thin">
        <color theme="3"/>
      </right>
      <top/>
      <bottom/>
      <diagonal/>
    </border>
    <border>
      <left style="thin">
        <color theme="3"/>
      </left>
      <right/>
      <top/>
      <bottom/>
      <diagonal/>
    </border>
    <border>
      <left/>
      <right/>
      <top/>
      <bottom style="thin">
        <color theme="3"/>
      </bottom>
      <diagonal/>
    </border>
    <border>
      <left style="thin">
        <color theme="3"/>
      </left>
      <right style="thin">
        <color rgb="FF11680F"/>
      </right>
      <top style="thin">
        <color theme="3"/>
      </top>
      <bottom style="thin">
        <color theme="3"/>
      </bottom>
      <diagonal/>
    </border>
  </borders>
  <cellStyleXfs count="9">
    <xf numFmtId="0" fontId="0" fillId="0" borderId="0"/>
    <xf numFmtId="164" fontId="1" fillId="0" borderId="0" applyFont="0" applyFill="0" applyBorder="0" applyAlignment="0" applyProtection="0"/>
    <xf numFmtId="0" fontId="2" fillId="0" borderId="0"/>
    <xf numFmtId="168" fontId="1" fillId="0" borderId="0" applyFont="0" applyFill="0" applyBorder="0" applyAlignment="0" applyProtection="0"/>
    <xf numFmtId="164" fontId="1" fillId="0" borderId="0" applyFont="0" applyFill="0" applyBorder="0" applyAlignment="0" applyProtection="0"/>
    <xf numFmtId="0" fontId="1" fillId="0" borderId="0"/>
    <xf numFmtId="0" fontId="1" fillId="8" borderId="0" applyNumberFormat="0" applyBorder="0" applyAlignment="0" applyProtection="0"/>
    <xf numFmtId="165" fontId="1" fillId="0" borderId="0" applyFont="0" applyFill="0" applyBorder="0" applyAlignment="0" applyProtection="0"/>
    <xf numFmtId="0" fontId="1" fillId="0" borderId="0"/>
  </cellStyleXfs>
  <cellXfs count="435">
    <xf numFmtId="0" fontId="0" fillId="0" borderId="0" xfId="0"/>
    <xf numFmtId="0" fontId="5" fillId="0" borderId="0" xfId="0" applyFont="1"/>
    <xf numFmtId="0" fontId="7" fillId="0" borderId="0" xfId="0" applyFont="1"/>
    <xf numFmtId="0" fontId="3" fillId="3" borderId="5" xfId="0" applyFont="1" applyFill="1" applyBorder="1" applyAlignment="1">
      <alignment horizontal="center" vertical="center"/>
    </xf>
    <xf numFmtId="0" fontId="9" fillId="0" borderId="1" xfId="0" applyFont="1" applyBorder="1" applyAlignment="1" applyProtection="1">
      <alignment horizontal="center" vertical="center"/>
      <protection locked="0"/>
    </xf>
    <xf numFmtId="0" fontId="9" fillId="0" borderId="1" xfId="0" applyFont="1" applyBorder="1" applyAlignment="1" applyProtection="1">
      <alignment horizontal="left" vertical="center" wrapText="1"/>
      <protection hidden="1"/>
    </xf>
    <xf numFmtId="172" fontId="9" fillId="0" borderId="1" xfId="0" applyNumberFormat="1" applyFont="1" applyBorder="1" applyAlignment="1" applyProtection="1">
      <alignment horizontal="center" vertical="center"/>
      <protection hidden="1"/>
    </xf>
    <xf numFmtId="169" fontId="8" fillId="0" borderId="1" xfId="0" applyNumberFormat="1" applyFont="1" applyBorder="1" applyAlignment="1" applyProtection="1">
      <alignment horizontal="center" vertical="center"/>
      <protection hidden="1"/>
    </xf>
    <xf numFmtId="167" fontId="8" fillId="0" borderId="1" xfId="0" applyNumberFormat="1" applyFont="1" applyBorder="1" applyAlignment="1" applyProtection="1">
      <alignment horizontal="center" vertical="center"/>
      <protection hidden="1"/>
    </xf>
    <xf numFmtId="0" fontId="9" fillId="0" borderId="1" xfId="0" applyFont="1" applyBorder="1" applyAlignment="1" applyProtection="1">
      <alignment horizontal="left" vertical="center"/>
      <protection hidden="1"/>
    </xf>
    <xf numFmtId="0" fontId="9" fillId="0" borderId="1" xfId="0" applyFont="1" applyBorder="1" applyAlignment="1" applyProtection="1">
      <alignment horizontal="center" vertical="center"/>
      <protection hidden="1"/>
    </xf>
    <xf numFmtId="164" fontId="9" fillId="0" borderId="1" xfId="1" applyFont="1" applyFill="1" applyBorder="1" applyAlignment="1" applyProtection="1">
      <alignment horizontal="center" vertical="center"/>
      <protection hidden="1"/>
    </xf>
    <xf numFmtId="164" fontId="9" fillId="0" borderId="1" xfId="1" applyFont="1" applyFill="1" applyBorder="1" applyAlignment="1" applyProtection="1">
      <alignment horizontal="center" vertical="center" wrapText="1"/>
      <protection hidden="1"/>
    </xf>
    <xf numFmtId="171" fontId="11" fillId="0" borderId="1" xfId="0" applyNumberFormat="1" applyFont="1" applyBorder="1" applyAlignment="1" applyProtection="1">
      <alignment horizontal="center" vertical="center" wrapText="1"/>
      <protection hidden="1"/>
    </xf>
    <xf numFmtId="171" fontId="9" fillId="0" borderId="1" xfId="0" applyNumberFormat="1" applyFont="1" applyBorder="1" applyAlignment="1" applyProtection="1">
      <alignment horizontal="center" vertical="center" wrapText="1"/>
      <protection hidden="1"/>
    </xf>
    <xf numFmtId="173" fontId="9" fillId="0" borderId="1" xfId="1" applyNumberFormat="1" applyFont="1" applyFill="1" applyBorder="1" applyAlignment="1" applyProtection="1">
      <alignment horizontal="right" vertical="center"/>
      <protection hidden="1"/>
    </xf>
    <xf numFmtId="164" fontId="8" fillId="0" borderId="1" xfId="1" applyFont="1" applyFill="1" applyBorder="1" applyAlignment="1" applyProtection="1">
      <alignment horizontal="center" vertical="center"/>
      <protection hidden="1"/>
    </xf>
    <xf numFmtId="170" fontId="8" fillId="0" borderId="1" xfId="0" applyNumberFormat="1" applyFont="1" applyBorder="1" applyAlignment="1" applyProtection="1">
      <alignment horizontal="center" vertical="center" wrapText="1"/>
      <protection hidden="1"/>
    </xf>
    <xf numFmtId="170" fontId="9" fillId="0" borderId="1" xfId="0" applyNumberFormat="1" applyFont="1" applyBorder="1" applyAlignment="1" applyProtection="1">
      <alignment horizontal="center" vertical="center"/>
      <protection hidden="1"/>
    </xf>
    <xf numFmtId="174" fontId="9" fillId="0" borderId="1" xfId="1" applyNumberFormat="1" applyFont="1" applyFill="1" applyBorder="1" applyAlignment="1" applyProtection="1">
      <alignment horizontal="center" vertical="center"/>
      <protection hidden="1"/>
    </xf>
    <xf numFmtId="175" fontId="9" fillId="0" borderId="1" xfId="1" applyNumberFormat="1" applyFont="1" applyFill="1" applyBorder="1" applyAlignment="1" applyProtection="1">
      <alignment horizontal="center" vertical="center"/>
      <protection hidden="1"/>
    </xf>
    <xf numFmtId="166" fontId="9" fillId="0" borderId="1" xfId="0" applyNumberFormat="1" applyFont="1" applyBorder="1" applyAlignment="1">
      <alignment horizontal="right" vertical="center"/>
    </xf>
    <xf numFmtId="0" fontId="8" fillId="0" borderId="5" xfId="0" applyFont="1" applyBorder="1" applyAlignment="1" applyProtection="1">
      <alignment horizontal="center" vertical="center"/>
      <protection hidden="1"/>
    </xf>
    <xf numFmtId="177" fontId="9" fillId="0" borderId="1" xfId="0" applyNumberFormat="1" applyFont="1" applyBorder="1" applyAlignment="1" applyProtection="1">
      <alignment horizontal="center" vertical="center"/>
      <protection hidden="1"/>
    </xf>
    <xf numFmtId="172" fontId="9" fillId="0" borderId="6" xfId="0" applyNumberFormat="1" applyFont="1" applyBorder="1" applyAlignment="1" applyProtection="1">
      <alignment horizontal="center" vertical="center"/>
      <protection hidden="1"/>
    </xf>
    <xf numFmtId="167" fontId="9" fillId="0" borderId="8" xfId="0" applyNumberFormat="1" applyFont="1" applyBorder="1" applyAlignment="1" applyProtection="1">
      <alignment horizontal="center" vertical="center"/>
      <protection hidden="1"/>
    </xf>
    <xf numFmtId="0" fontId="8" fillId="0" borderId="6" xfId="6" applyNumberFormat="1" applyFont="1" applyFill="1" applyBorder="1" applyAlignment="1">
      <alignment horizontal="center" vertical="center"/>
    </xf>
    <xf numFmtId="16" fontId="9" fillId="0" borderId="6" xfId="0" applyNumberFormat="1" applyFont="1" applyBorder="1" applyAlignment="1">
      <alignment horizontal="center" vertical="center"/>
    </xf>
    <xf numFmtId="165" fontId="8" fillId="0" borderId="5" xfId="7" applyFont="1" applyFill="1" applyBorder="1" applyAlignment="1" applyProtection="1">
      <alignment horizontal="center" vertical="center"/>
      <protection hidden="1"/>
    </xf>
    <xf numFmtId="170" fontId="9" fillId="0" borderId="6" xfId="0" applyNumberFormat="1" applyFont="1" applyBorder="1" applyAlignment="1" applyProtection="1">
      <alignment horizontal="center" vertical="center" wrapText="1"/>
      <protection hidden="1"/>
    </xf>
    <xf numFmtId="170" fontId="9" fillId="0" borderId="8" xfId="0" applyNumberFormat="1" applyFont="1" applyBorder="1" applyAlignment="1" applyProtection="1">
      <alignment horizontal="center" vertical="center"/>
      <protection hidden="1"/>
    </xf>
    <xf numFmtId="0" fontId="12" fillId="2" borderId="5" xfId="0" applyFont="1" applyFill="1" applyBorder="1" applyAlignment="1" applyProtection="1">
      <alignment horizontal="center" vertical="center"/>
      <protection locked="0"/>
    </xf>
    <xf numFmtId="0" fontId="12" fillId="2" borderId="5" xfId="0" applyFont="1" applyFill="1" applyBorder="1" applyAlignment="1" applyProtection="1">
      <alignment horizontal="left" vertical="center" wrapText="1"/>
      <protection hidden="1"/>
    </xf>
    <xf numFmtId="0" fontId="12" fillId="2" borderId="5" xfId="0" applyFont="1" applyFill="1" applyBorder="1" applyAlignment="1" applyProtection="1">
      <alignment horizontal="center" vertical="center"/>
      <protection hidden="1"/>
    </xf>
    <xf numFmtId="164" fontId="12" fillId="2" borderId="5" xfId="0" applyNumberFormat="1" applyFont="1" applyFill="1" applyBorder="1" applyAlignment="1" applyProtection="1">
      <alignment horizontal="center" vertical="center"/>
      <protection hidden="1"/>
    </xf>
    <xf numFmtId="0" fontId="12" fillId="2" borderId="5" xfId="0" applyFont="1" applyFill="1" applyBorder="1" applyAlignment="1" applyProtection="1">
      <alignment horizontal="center" vertical="center" wrapText="1"/>
      <protection hidden="1"/>
    </xf>
    <xf numFmtId="0" fontId="13" fillId="2" borderId="5" xfId="0" applyFont="1" applyFill="1" applyBorder="1" applyAlignment="1" applyProtection="1">
      <alignment horizontal="center" vertical="center" wrapText="1"/>
      <protection hidden="1"/>
    </xf>
    <xf numFmtId="164" fontId="12" fillId="2" borderId="5" xfId="0" applyNumberFormat="1" applyFont="1" applyFill="1" applyBorder="1" applyAlignment="1" applyProtection="1">
      <alignment horizontal="right" vertical="center"/>
      <protection hidden="1"/>
    </xf>
    <xf numFmtId="173" fontId="12" fillId="2" borderId="5" xfId="0" applyNumberFormat="1" applyFont="1" applyFill="1" applyBorder="1" applyAlignment="1">
      <alignment vertical="center"/>
    </xf>
    <xf numFmtId="170" fontId="8" fillId="0" borderId="1" xfId="0" applyNumberFormat="1" applyFont="1" applyBorder="1" applyAlignment="1" applyProtection="1">
      <alignment horizontal="center" vertical="center"/>
      <protection hidden="1"/>
    </xf>
    <xf numFmtId="172" fontId="9" fillId="16" borderId="1" xfId="0" applyNumberFormat="1" applyFont="1" applyFill="1" applyBorder="1" applyAlignment="1" applyProtection="1">
      <alignment horizontal="center" vertical="center"/>
      <protection hidden="1"/>
    </xf>
    <xf numFmtId="171" fontId="11" fillId="16" borderId="1" xfId="0" applyNumberFormat="1" applyFont="1" applyFill="1" applyBorder="1" applyAlignment="1" applyProtection="1">
      <alignment horizontal="center" vertical="center" wrapText="1"/>
      <protection hidden="1"/>
    </xf>
    <xf numFmtId="171" fontId="9" fillId="16" borderId="1" xfId="0" applyNumberFormat="1" applyFont="1" applyFill="1" applyBorder="1" applyAlignment="1" applyProtection="1">
      <alignment horizontal="center" vertical="center" wrapText="1"/>
      <protection hidden="1"/>
    </xf>
    <xf numFmtId="173" fontId="9" fillId="16" borderId="1" xfId="1" applyNumberFormat="1" applyFont="1" applyFill="1" applyBorder="1" applyAlignment="1" applyProtection="1">
      <alignment horizontal="right" vertical="center"/>
      <protection hidden="1"/>
    </xf>
    <xf numFmtId="164" fontId="8" fillId="16" borderId="1" xfId="1" applyFont="1" applyFill="1" applyBorder="1" applyAlignment="1" applyProtection="1">
      <alignment horizontal="center" vertical="center"/>
      <protection hidden="1"/>
    </xf>
    <xf numFmtId="170" fontId="9" fillId="16" borderId="6" xfId="0" applyNumberFormat="1" applyFont="1" applyFill="1" applyBorder="1" applyAlignment="1" applyProtection="1">
      <alignment horizontal="center" vertical="center" wrapText="1"/>
      <protection hidden="1"/>
    </xf>
    <xf numFmtId="170" fontId="9" fillId="16" borderId="8" xfId="0" applyNumberFormat="1" applyFont="1" applyFill="1" applyBorder="1" applyAlignment="1" applyProtection="1">
      <alignment horizontal="center" vertical="center"/>
      <protection hidden="1"/>
    </xf>
    <xf numFmtId="0" fontId="9" fillId="16" borderId="1" xfId="0" applyFont="1" applyFill="1" applyBorder="1" applyAlignment="1" applyProtection="1">
      <alignment horizontal="center" vertical="center"/>
      <protection hidden="1"/>
    </xf>
    <xf numFmtId="174" fontId="9" fillId="16" borderId="1" xfId="1" applyNumberFormat="1" applyFont="1" applyFill="1" applyBorder="1" applyAlignment="1" applyProtection="1">
      <alignment horizontal="center" vertical="center"/>
      <protection hidden="1"/>
    </xf>
    <xf numFmtId="175" fontId="9" fillId="16" borderId="1" xfId="1" applyNumberFormat="1" applyFont="1" applyFill="1" applyBorder="1" applyAlignment="1" applyProtection="1">
      <alignment horizontal="center" vertical="center"/>
      <protection hidden="1"/>
    </xf>
    <xf numFmtId="170" fontId="9" fillId="16" borderId="1" xfId="0" applyNumberFormat="1" applyFont="1" applyFill="1" applyBorder="1" applyAlignment="1" applyProtection="1">
      <alignment horizontal="center" vertical="center"/>
      <protection hidden="1"/>
    </xf>
    <xf numFmtId="177" fontId="9" fillId="16" borderId="1" xfId="0" applyNumberFormat="1" applyFont="1" applyFill="1" applyBorder="1" applyAlignment="1" applyProtection="1">
      <alignment horizontal="center" vertical="center"/>
      <protection hidden="1"/>
    </xf>
    <xf numFmtId="0" fontId="9" fillId="0" borderId="1" xfId="0" applyFont="1" applyBorder="1" applyAlignment="1" applyProtection="1">
      <alignment horizontal="center" vertical="center" wrapText="1"/>
      <protection locked="0"/>
    </xf>
    <xf numFmtId="175" fontId="9" fillId="0" borderId="6" xfId="1" applyNumberFormat="1" applyFont="1" applyFill="1" applyBorder="1" applyAlignment="1" applyProtection="1">
      <alignment horizontal="center" vertical="center"/>
      <protection hidden="1"/>
    </xf>
    <xf numFmtId="171" fontId="11" fillId="17" borderId="1" xfId="0" applyNumberFormat="1" applyFont="1" applyFill="1" applyBorder="1" applyAlignment="1" applyProtection="1">
      <alignment horizontal="center" vertical="center" wrapText="1"/>
      <protection hidden="1"/>
    </xf>
    <xf numFmtId="175" fontId="8" fillId="2" borderId="1" xfId="0" applyNumberFormat="1" applyFont="1" applyFill="1" applyBorder="1" applyAlignment="1" applyProtection="1">
      <alignment horizontal="center" vertical="center"/>
      <protection hidden="1"/>
    </xf>
    <xf numFmtId="173" fontId="9" fillId="0" borderId="1" xfId="1" applyNumberFormat="1" applyFont="1" applyBorder="1" applyAlignment="1" applyProtection="1">
      <alignment horizontal="right" vertical="center"/>
      <protection hidden="1"/>
    </xf>
    <xf numFmtId="171" fontId="11" fillId="20" borderId="1" xfId="0" applyNumberFormat="1" applyFont="1" applyFill="1" applyBorder="1" applyAlignment="1" applyProtection="1">
      <alignment horizontal="center" vertical="center" wrapText="1"/>
      <protection hidden="1"/>
    </xf>
    <xf numFmtId="170" fontId="8" fillId="16" borderId="1" xfId="0" applyNumberFormat="1" applyFont="1" applyFill="1" applyBorder="1" applyAlignment="1" applyProtection="1">
      <alignment horizontal="center" vertical="center" wrapText="1"/>
      <protection hidden="1"/>
    </xf>
    <xf numFmtId="170" fontId="8" fillId="16" borderId="1" xfId="0" applyNumberFormat="1" applyFont="1" applyFill="1" applyBorder="1" applyAlignment="1" applyProtection="1">
      <alignment horizontal="center" vertical="center"/>
      <protection hidden="1"/>
    </xf>
    <xf numFmtId="16" fontId="9" fillId="16" borderId="6" xfId="0" applyNumberFormat="1" applyFont="1" applyFill="1" applyBorder="1" applyAlignment="1">
      <alignment horizontal="center" vertical="center"/>
    </xf>
    <xf numFmtId="16" fontId="9" fillId="16" borderId="8" xfId="0" applyNumberFormat="1" applyFont="1" applyFill="1" applyBorder="1" applyAlignment="1">
      <alignment horizontal="center" vertical="center"/>
    </xf>
    <xf numFmtId="173" fontId="9" fillId="16" borderId="6" xfId="0" applyNumberFormat="1" applyFont="1" applyFill="1" applyBorder="1" applyAlignment="1">
      <alignment vertical="center"/>
    </xf>
    <xf numFmtId="166" fontId="9" fillId="16" borderId="1" xfId="0" applyNumberFormat="1" applyFont="1" applyFill="1" applyBorder="1" applyAlignment="1">
      <alignment horizontal="right" vertical="center"/>
    </xf>
    <xf numFmtId="0" fontId="8" fillId="16" borderId="6" xfId="6" applyNumberFormat="1" applyFont="1" applyFill="1" applyBorder="1" applyAlignment="1">
      <alignment horizontal="center" vertical="center"/>
    </xf>
    <xf numFmtId="165" fontId="8" fillId="0" borderId="5" xfId="7" applyFont="1" applyBorder="1" applyAlignment="1" applyProtection="1">
      <alignment horizontal="center" vertical="center"/>
      <protection hidden="1"/>
    </xf>
    <xf numFmtId="171" fontId="11" fillId="5" borderId="1" xfId="0" applyNumberFormat="1" applyFont="1" applyFill="1" applyBorder="1" applyAlignment="1" applyProtection="1">
      <alignment horizontal="center" vertical="center" wrapText="1"/>
      <protection hidden="1"/>
    </xf>
    <xf numFmtId="176" fontId="9" fillId="14" borderId="1" xfId="0" applyNumberFormat="1" applyFont="1" applyFill="1" applyBorder="1" applyAlignment="1" applyProtection="1">
      <alignment horizontal="center" vertical="center"/>
      <protection hidden="1"/>
    </xf>
    <xf numFmtId="171" fontId="11" fillId="2" borderId="1" xfId="0" applyNumberFormat="1" applyFont="1" applyFill="1" applyBorder="1" applyAlignment="1" applyProtection="1">
      <alignment horizontal="center" vertical="center" wrapText="1"/>
      <protection hidden="1"/>
    </xf>
    <xf numFmtId="171" fontId="11" fillId="11" borderId="1" xfId="0" applyNumberFormat="1" applyFont="1" applyFill="1" applyBorder="1" applyAlignment="1" applyProtection="1">
      <alignment horizontal="center" vertical="center" wrapText="1"/>
      <protection hidden="1"/>
    </xf>
    <xf numFmtId="173" fontId="9" fillId="21" borderId="1" xfId="1" applyNumberFormat="1" applyFont="1" applyFill="1" applyBorder="1" applyAlignment="1" applyProtection="1">
      <alignment horizontal="right" vertical="center"/>
      <protection hidden="1"/>
    </xf>
    <xf numFmtId="171" fontId="11" fillId="7" borderId="1" xfId="0" applyNumberFormat="1" applyFont="1" applyFill="1" applyBorder="1" applyAlignment="1" applyProtection="1">
      <alignment horizontal="center" vertical="center" wrapText="1"/>
      <protection hidden="1"/>
    </xf>
    <xf numFmtId="0" fontId="8" fillId="0" borderId="5" xfId="7" applyNumberFormat="1" applyFont="1" applyFill="1" applyBorder="1" applyAlignment="1" applyProtection="1">
      <alignment horizontal="center" vertical="center"/>
      <protection hidden="1"/>
    </xf>
    <xf numFmtId="164" fontId="8" fillId="0" borderId="1" xfId="1" applyFont="1" applyBorder="1" applyAlignment="1" applyProtection="1">
      <alignment horizontal="center" vertical="center"/>
      <protection hidden="1"/>
    </xf>
    <xf numFmtId="171" fontId="9" fillId="0" borderId="1" xfId="1" applyNumberFormat="1" applyFont="1" applyBorder="1" applyAlignment="1" applyProtection="1">
      <alignment horizontal="center" vertical="center" wrapText="1"/>
      <protection hidden="1"/>
    </xf>
    <xf numFmtId="171" fontId="9" fillId="0" borderId="1" xfId="1" applyNumberFormat="1" applyFont="1" applyFill="1" applyBorder="1" applyAlignment="1" applyProtection="1">
      <alignment horizontal="center" vertical="center" wrapText="1"/>
      <protection hidden="1"/>
    </xf>
    <xf numFmtId="170" fontId="9" fillId="3" borderId="8" xfId="0" applyNumberFormat="1" applyFont="1" applyFill="1" applyBorder="1" applyAlignment="1" applyProtection="1">
      <alignment horizontal="center" vertical="center"/>
      <protection hidden="1"/>
    </xf>
    <xf numFmtId="0" fontId="9" fillId="3" borderId="1" xfId="0" applyFont="1" applyFill="1" applyBorder="1" applyAlignment="1" applyProtection="1">
      <alignment horizontal="center" vertical="center"/>
      <protection hidden="1"/>
    </xf>
    <xf numFmtId="174" fontId="9" fillId="3" borderId="1" xfId="1" applyNumberFormat="1" applyFont="1" applyFill="1" applyBorder="1" applyAlignment="1" applyProtection="1">
      <alignment horizontal="center" vertical="center"/>
      <protection hidden="1"/>
    </xf>
    <xf numFmtId="175" fontId="9" fillId="3" borderId="1" xfId="1" applyNumberFormat="1" applyFont="1" applyFill="1" applyBorder="1" applyAlignment="1" applyProtection="1">
      <alignment horizontal="center" vertical="center"/>
      <protection hidden="1"/>
    </xf>
    <xf numFmtId="170" fontId="9" fillId="3" borderId="1" xfId="0" applyNumberFormat="1" applyFont="1" applyFill="1" applyBorder="1" applyAlignment="1" applyProtection="1">
      <alignment horizontal="center" vertical="center"/>
      <protection hidden="1"/>
    </xf>
    <xf numFmtId="177" fontId="9" fillId="3" borderId="1" xfId="0" applyNumberFormat="1" applyFont="1" applyFill="1" applyBorder="1" applyAlignment="1" applyProtection="1">
      <alignment horizontal="center" vertical="center"/>
      <protection hidden="1"/>
    </xf>
    <xf numFmtId="171" fontId="11" fillId="13" borderId="1" xfId="0" applyNumberFormat="1" applyFont="1" applyFill="1" applyBorder="1" applyAlignment="1" applyProtection="1">
      <alignment horizontal="center" vertical="center" wrapText="1"/>
      <protection hidden="1"/>
    </xf>
    <xf numFmtId="171" fontId="11" fillId="21" borderId="1" xfId="0" applyNumberFormat="1" applyFont="1" applyFill="1" applyBorder="1" applyAlignment="1" applyProtection="1">
      <alignment horizontal="center" vertical="center" wrapText="1"/>
      <protection hidden="1"/>
    </xf>
    <xf numFmtId="0" fontId="9" fillId="13" borderId="1" xfId="0" applyFont="1" applyFill="1" applyBorder="1" applyAlignment="1" applyProtection="1">
      <alignment horizontal="center" vertical="center"/>
      <protection locked="0"/>
    </xf>
    <xf numFmtId="0" fontId="9" fillId="13" borderId="1" xfId="0" applyFont="1" applyFill="1" applyBorder="1" applyAlignment="1" applyProtection="1">
      <alignment horizontal="left" vertical="center" wrapText="1"/>
      <protection hidden="1"/>
    </xf>
    <xf numFmtId="0" fontId="9" fillId="13" borderId="1" xfId="0" applyFont="1" applyFill="1" applyBorder="1" applyAlignment="1" applyProtection="1">
      <alignment horizontal="center" vertical="center" wrapText="1"/>
      <protection locked="0"/>
    </xf>
    <xf numFmtId="172" fontId="9" fillId="13" borderId="6" xfId="0" applyNumberFormat="1" applyFont="1" applyFill="1" applyBorder="1" applyAlignment="1" applyProtection="1">
      <alignment horizontal="center" vertical="center"/>
      <protection hidden="1"/>
    </xf>
    <xf numFmtId="169" fontId="8" fillId="13" borderId="1" xfId="0" applyNumberFormat="1" applyFont="1" applyFill="1" applyBorder="1" applyAlignment="1" applyProtection="1">
      <alignment horizontal="center" vertical="center"/>
      <protection hidden="1"/>
    </xf>
    <xf numFmtId="167" fontId="9" fillId="13" borderId="8" xfId="0" applyNumberFormat="1" applyFont="1" applyFill="1" applyBorder="1" applyAlignment="1" applyProtection="1">
      <alignment horizontal="center" vertical="center"/>
      <protection hidden="1"/>
    </xf>
    <xf numFmtId="167" fontId="8" fillId="13" borderId="1" xfId="0" applyNumberFormat="1" applyFont="1" applyFill="1" applyBorder="1" applyAlignment="1" applyProtection="1">
      <alignment horizontal="center" vertical="center"/>
      <protection hidden="1"/>
    </xf>
    <xf numFmtId="0" fontId="9" fillId="13" borderId="1" xfId="0" applyFont="1" applyFill="1" applyBorder="1" applyAlignment="1" applyProtection="1">
      <alignment horizontal="left" vertical="center"/>
      <protection hidden="1"/>
    </xf>
    <xf numFmtId="0" fontId="9" fillId="13" borderId="1" xfId="0" applyFont="1" applyFill="1" applyBorder="1" applyAlignment="1" applyProtection="1">
      <alignment horizontal="center" vertical="center"/>
      <protection hidden="1"/>
    </xf>
    <xf numFmtId="164" fontId="9" fillId="13" borderId="1" xfId="1" applyFont="1" applyFill="1" applyBorder="1" applyAlignment="1" applyProtection="1">
      <alignment horizontal="center" vertical="center"/>
      <protection hidden="1"/>
    </xf>
    <xf numFmtId="172" fontId="9" fillId="13" borderId="1" xfId="0" applyNumberFormat="1" applyFont="1" applyFill="1" applyBorder="1" applyAlignment="1" applyProtection="1">
      <alignment horizontal="center" vertical="center"/>
      <protection hidden="1"/>
    </xf>
    <xf numFmtId="173" fontId="9" fillId="13" borderId="1" xfId="1" applyNumberFormat="1" applyFont="1" applyFill="1" applyBorder="1" applyAlignment="1" applyProtection="1">
      <alignment horizontal="right" vertical="center"/>
      <protection hidden="1"/>
    </xf>
    <xf numFmtId="164" fontId="8" fillId="13" borderId="1" xfId="1" applyFont="1" applyFill="1" applyBorder="1" applyAlignment="1" applyProtection="1">
      <alignment horizontal="center" vertical="center"/>
      <protection hidden="1"/>
    </xf>
    <xf numFmtId="170" fontId="9" fillId="13" borderId="6" xfId="0" applyNumberFormat="1" applyFont="1" applyFill="1" applyBorder="1" applyAlignment="1" applyProtection="1">
      <alignment horizontal="center" vertical="center" wrapText="1"/>
      <protection hidden="1"/>
    </xf>
    <xf numFmtId="170" fontId="8" fillId="13" borderId="1" xfId="0" applyNumberFormat="1" applyFont="1" applyFill="1" applyBorder="1" applyAlignment="1" applyProtection="1">
      <alignment horizontal="center" vertical="center" wrapText="1"/>
      <protection hidden="1"/>
    </xf>
    <xf numFmtId="170" fontId="9" fillId="13" borderId="8" xfId="0" applyNumberFormat="1" applyFont="1" applyFill="1" applyBorder="1" applyAlignment="1" applyProtection="1">
      <alignment horizontal="center" vertical="center"/>
      <protection hidden="1"/>
    </xf>
    <xf numFmtId="174" fontId="9" fillId="13" borderId="1" xfId="1" applyNumberFormat="1" applyFont="1" applyFill="1" applyBorder="1" applyAlignment="1" applyProtection="1">
      <alignment horizontal="center" vertical="center"/>
      <protection hidden="1"/>
    </xf>
    <xf numFmtId="175" fontId="9" fillId="13" borderId="1" xfId="1" applyNumberFormat="1" applyFont="1" applyFill="1" applyBorder="1" applyAlignment="1" applyProtection="1">
      <alignment horizontal="center" vertical="center"/>
      <protection hidden="1"/>
    </xf>
    <xf numFmtId="170" fontId="9" fillId="13" borderId="1" xfId="0" applyNumberFormat="1" applyFont="1" applyFill="1" applyBorder="1" applyAlignment="1" applyProtection="1">
      <alignment horizontal="center" vertical="center"/>
      <protection hidden="1"/>
    </xf>
    <xf numFmtId="177" fontId="9" fillId="13" borderId="1" xfId="0" applyNumberFormat="1" applyFont="1" applyFill="1" applyBorder="1" applyAlignment="1" applyProtection="1">
      <alignment horizontal="center" vertical="center"/>
      <protection hidden="1"/>
    </xf>
    <xf numFmtId="16" fontId="9" fillId="13" borderId="6" xfId="0" applyNumberFormat="1" applyFont="1" applyFill="1" applyBorder="1" applyAlignment="1">
      <alignment horizontal="center" vertical="center"/>
    </xf>
    <xf numFmtId="166" fontId="9" fillId="13" borderId="1" xfId="0" applyNumberFormat="1" applyFont="1" applyFill="1" applyBorder="1" applyAlignment="1">
      <alignment horizontal="right" vertical="center"/>
    </xf>
    <xf numFmtId="0" fontId="8" fillId="13" borderId="6" xfId="6" applyNumberFormat="1" applyFont="1" applyFill="1" applyBorder="1" applyAlignment="1">
      <alignment horizontal="center" vertical="center"/>
    </xf>
    <xf numFmtId="0" fontId="5" fillId="13" borderId="0" xfId="0" applyFont="1" applyFill="1"/>
    <xf numFmtId="171" fontId="9" fillId="13" borderId="1" xfId="1" applyNumberFormat="1" applyFont="1" applyFill="1" applyBorder="1" applyAlignment="1" applyProtection="1">
      <alignment horizontal="center" vertical="center" wrapText="1"/>
      <protection hidden="1"/>
    </xf>
    <xf numFmtId="171" fontId="11" fillId="19" borderId="1" xfId="0" applyNumberFormat="1" applyFont="1" applyFill="1" applyBorder="1" applyAlignment="1" applyProtection="1">
      <alignment horizontal="center" vertical="center" wrapText="1"/>
      <protection hidden="1"/>
    </xf>
    <xf numFmtId="171" fontId="11" fillId="22" borderId="1" xfId="0" applyNumberFormat="1" applyFont="1" applyFill="1" applyBorder="1" applyAlignment="1" applyProtection="1">
      <alignment horizontal="center" vertical="center" wrapText="1"/>
      <protection hidden="1"/>
    </xf>
    <xf numFmtId="164" fontId="9" fillId="0" borderId="1" xfId="1" applyFont="1" applyBorder="1" applyAlignment="1" applyProtection="1">
      <alignment horizontal="center" vertical="center"/>
      <protection hidden="1"/>
    </xf>
    <xf numFmtId="164" fontId="9" fillId="0" borderId="1" xfId="1" applyFont="1" applyBorder="1" applyAlignment="1" applyProtection="1">
      <alignment horizontal="center" vertical="center" wrapText="1"/>
      <protection hidden="1"/>
    </xf>
    <xf numFmtId="0" fontId="8" fillId="16" borderId="6" xfId="6" applyFont="1" applyFill="1" applyBorder="1" applyAlignment="1">
      <alignment horizontal="center" vertical="center"/>
    </xf>
    <xf numFmtId="175" fontId="9" fillId="0" borderId="1" xfId="1" applyNumberFormat="1" applyFont="1" applyBorder="1" applyAlignment="1" applyProtection="1">
      <alignment horizontal="center" vertical="center"/>
      <protection hidden="1"/>
    </xf>
    <xf numFmtId="171" fontId="11" fillId="23" borderId="1" xfId="0" applyNumberFormat="1" applyFont="1" applyFill="1" applyBorder="1" applyAlignment="1" applyProtection="1">
      <alignment horizontal="center" vertical="center" wrapText="1"/>
      <protection hidden="1"/>
    </xf>
    <xf numFmtId="176" fontId="9" fillId="3" borderId="1" xfId="0" applyNumberFormat="1" applyFont="1" applyFill="1" applyBorder="1" applyAlignment="1" applyProtection="1">
      <alignment horizontal="center" vertical="center"/>
      <protection hidden="1"/>
    </xf>
    <xf numFmtId="166" fontId="9" fillId="0" borderId="1" xfId="0" applyNumberFormat="1" applyFont="1" applyBorder="1" applyAlignment="1" applyProtection="1">
      <alignment horizontal="right" vertical="center"/>
      <protection hidden="1"/>
    </xf>
    <xf numFmtId="0" fontId="8" fillId="0" borderId="6" xfId="6" applyNumberFormat="1" applyFont="1" applyFill="1" applyBorder="1" applyAlignment="1" applyProtection="1">
      <alignment horizontal="center" vertical="center"/>
      <protection hidden="1"/>
    </xf>
    <xf numFmtId="174" fontId="9" fillId="0" borderId="1" xfId="1" applyNumberFormat="1" applyFont="1" applyBorder="1" applyAlignment="1" applyProtection="1">
      <alignment horizontal="center" vertical="center"/>
      <protection hidden="1"/>
    </xf>
    <xf numFmtId="0" fontId="8" fillId="0" borderId="6" xfId="6" applyFont="1" applyFill="1" applyBorder="1" applyAlignment="1">
      <alignment horizontal="center" vertical="center"/>
    </xf>
    <xf numFmtId="171" fontId="11" fillId="9" borderId="1" xfId="0" applyNumberFormat="1" applyFont="1" applyFill="1" applyBorder="1" applyAlignment="1" applyProtection="1">
      <alignment horizontal="center" vertical="center" wrapText="1"/>
      <protection hidden="1"/>
    </xf>
    <xf numFmtId="171" fontId="11" fillId="24" borderId="1" xfId="0" applyNumberFormat="1" applyFont="1" applyFill="1" applyBorder="1" applyAlignment="1" applyProtection="1">
      <alignment horizontal="center" vertical="center" wrapText="1"/>
      <protection hidden="1"/>
    </xf>
    <xf numFmtId="171" fontId="9" fillId="16" borderId="1" xfId="1" applyNumberFormat="1" applyFont="1" applyFill="1" applyBorder="1" applyAlignment="1" applyProtection="1">
      <alignment horizontal="center" vertical="center" wrapText="1"/>
      <protection hidden="1"/>
    </xf>
    <xf numFmtId="0" fontId="9" fillId="18" borderId="1" xfId="0" applyFont="1" applyFill="1" applyBorder="1" applyAlignment="1" applyProtection="1">
      <alignment horizontal="left" vertical="center"/>
      <protection hidden="1"/>
    </xf>
    <xf numFmtId="173" fontId="9" fillId="0" borderId="1" xfId="0" applyNumberFormat="1" applyFont="1" applyBorder="1" applyAlignment="1">
      <alignment vertical="center"/>
    </xf>
    <xf numFmtId="173" fontId="9" fillId="16" borderId="1" xfId="0" applyNumberFormat="1" applyFont="1" applyFill="1" applyBorder="1" applyAlignment="1">
      <alignment vertical="center"/>
    </xf>
    <xf numFmtId="173" fontId="9" fillId="13" borderId="1" xfId="0" applyNumberFormat="1" applyFont="1" applyFill="1" applyBorder="1" applyAlignment="1">
      <alignment vertical="center"/>
    </xf>
    <xf numFmtId="166" fontId="8" fillId="0" borderId="5" xfId="0" applyNumberFormat="1" applyFont="1" applyBorder="1" applyAlignment="1" applyProtection="1">
      <alignment horizontal="center" vertical="center"/>
      <protection hidden="1"/>
    </xf>
    <xf numFmtId="170" fontId="8" fillId="0" borderId="6" xfId="0" applyNumberFormat="1" applyFont="1" applyBorder="1" applyAlignment="1" applyProtection="1">
      <alignment horizontal="center" vertical="center"/>
      <protection hidden="1"/>
    </xf>
    <xf numFmtId="173" fontId="9" fillId="0" borderId="8" xfId="0" applyNumberFormat="1" applyFont="1" applyBorder="1" applyAlignment="1">
      <alignment vertical="center"/>
    </xf>
    <xf numFmtId="16" fontId="8" fillId="0" borderId="6" xfId="0" applyNumberFormat="1" applyFont="1" applyBorder="1" applyAlignment="1">
      <alignment horizontal="center" vertical="center"/>
    </xf>
    <xf numFmtId="173" fontId="8" fillId="0" borderId="1" xfId="0" applyNumberFormat="1" applyFont="1" applyBorder="1" applyAlignment="1">
      <alignment vertical="center"/>
    </xf>
    <xf numFmtId="16" fontId="9" fillId="0" borderId="1" xfId="0" applyNumberFormat="1" applyFont="1" applyBorder="1" applyAlignment="1">
      <alignment horizontal="center" vertical="center"/>
    </xf>
    <xf numFmtId="164" fontId="15" fillId="3" borderId="1" xfId="1" applyFont="1" applyFill="1" applyBorder="1" applyAlignment="1" applyProtection="1">
      <alignment horizontal="center" vertical="center"/>
      <protection hidden="1"/>
    </xf>
    <xf numFmtId="0" fontId="8" fillId="0" borderId="14" xfId="0" applyFont="1" applyBorder="1" applyAlignment="1" applyProtection="1">
      <alignment horizontal="center" vertical="center"/>
      <protection hidden="1"/>
    </xf>
    <xf numFmtId="16" fontId="8" fillId="0" borderId="1" xfId="0" applyNumberFormat="1" applyFont="1" applyBorder="1" applyAlignment="1">
      <alignment horizontal="center" vertical="center"/>
    </xf>
    <xf numFmtId="0" fontId="12" fillId="2" borderId="15" xfId="0" applyFont="1" applyFill="1" applyBorder="1" applyAlignment="1" applyProtection="1">
      <alignment horizontal="center" vertical="center"/>
      <protection hidden="1"/>
    </xf>
    <xf numFmtId="173" fontId="9" fillId="16" borderId="8" xfId="0" applyNumberFormat="1" applyFont="1" applyFill="1" applyBorder="1" applyAlignment="1">
      <alignment vertical="center"/>
    </xf>
    <xf numFmtId="173" fontId="8" fillId="0" borderId="8" xfId="0" applyNumberFormat="1" applyFont="1" applyBorder="1" applyAlignment="1">
      <alignment vertical="center"/>
    </xf>
    <xf numFmtId="16" fontId="9" fillId="16" borderId="1" xfId="0" applyNumberFormat="1" applyFont="1" applyFill="1" applyBorder="1" applyAlignment="1">
      <alignment horizontal="center" vertical="center"/>
    </xf>
    <xf numFmtId="165" fontId="8" fillId="0" borderId="1" xfId="7" applyFont="1" applyFill="1" applyBorder="1" applyAlignment="1" applyProtection="1">
      <alignment horizontal="center" vertical="center"/>
      <protection hidden="1"/>
    </xf>
    <xf numFmtId="175" fontId="9" fillId="16" borderId="6" xfId="1" applyNumberFormat="1" applyFont="1" applyFill="1" applyBorder="1" applyAlignment="1" applyProtection="1">
      <alignment horizontal="center" vertical="center"/>
      <protection hidden="1"/>
    </xf>
    <xf numFmtId="170" fontId="9" fillId="16" borderId="8" xfId="0" applyNumberFormat="1" applyFont="1" applyFill="1" applyBorder="1" applyAlignment="1" applyProtection="1">
      <alignment horizontal="center" vertical="center" wrapText="1"/>
      <protection hidden="1"/>
    </xf>
    <xf numFmtId="175" fontId="8" fillId="16" borderId="1" xfId="1" applyNumberFormat="1" applyFont="1" applyFill="1" applyBorder="1" applyAlignment="1" applyProtection="1">
      <alignment horizontal="center" vertical="center"/>
      <protection hidden="1"/>
    </xf>
    <xf numFmtId="173" fontId="8" fillId="16" borderId="1" xfId="0" applyNumberFormat="1" applyFont="1" applyFill="1" applyBorder="1" applyAlignment="1">
      <alignment vertical="center"/>
    </xf>
    <xf numFmtId="16" fontId="8" fillId="16" borderId="1" xfId="0" applyNumberFormat="1" applyFont="1" applyFill="1" applyBorder="1" applyAlignment="1">
      <alignment horizontal="center" vertical="center"/>
    </xf>
    <xf numFmtId="16" fontId="9" fillId="0" borderId="7" xfId="0" applyNumberFormat="1" applyFont="1" applyBorder="1" applyAlignment="1">
      <alignment horizontal="center" vertical="center"/>
    </xf>
    <xf numFmtId="173" fontId="12" fillId="2" borderId="12" xfId="0" applyNumberFormat="1" applyFont="1" applyFill="1" applyBorder="1" applyAlignment="1">
      <alignment vertical="center"/>
    </xf>
    <xf numFmtId="173" fontId="12" fillId="2" borderId="13" xfId="0" applyNumberFormat="1" applyFont="1" applyFill="1" applyBorder="1" applyAlignment="1">
      <alignment vertical="center"/>
    </xf>
    <xf numFmtId="173" fontId="12" fillId="2" borderId="5" xfId="0" applyNumberFormat="1" applyFont="1" applyFill="1" applyBorder="1" applyAlignment="1" applyProtection="1">
      <alignment horizontal="right" vertical="center" wrapText="1"/>
      <protection hidden="1"/>
    </xf>
    <xf numFmtId="166" fontId="8" fillId="0" borderId="14" xfId="0" applyNumberFormat="1" applyFont="1" applyBorder="1" applyAlignment="1" applyProtection="1">
      <alignment horizontal="center" vertical="center"/>
      <protection hidden="1"/>
    </xf>
    <xf numFmtId="170" fontId="15" fillId="3" borderId="6" xfId="0" applyNumberFormat="1" applyFont="1" applyFill="1" applyBorder="1" applyAlignment="1" applyProtection="1">
      <alignment horizontal="center" vertical="center" wrapText="1"/>
      <protection hidden="1"/>
    </xf>
    <xf numFmtId="0" fontId="8" fillId="0" borderId="7" xfId="6" applyNumberFormat="1" applyFont="1" applyFill="1" applyBorder="1" applyAlignment="1">
      <alignment horizontal="center" vertical="center"/>
    </xf>
    <xf numFmtId="0" fontId="8" fillId="0" borderId="7" xfId="6" applyNumberFormat="1" applyFont="1" applyFill="1" applyBorder="1" applyAlignment="1" applyProtection="1">
      <alignment horizontal="center" vertical="center"/>
      <protection hidden="1"/>
    </xf>
    <xf numFmtId="173" fontId="9" fillId="0" borderId="4" xfId="0" applyNumberFormat="1" applyFont="1" applyBorder="1" applyAlignment="1">
      <alignment vertical="center"/>
    </xf>
    <xf numFmtId="16" fontId="9" fillId="0" borderId="3" xfId="0" applyNumberFormat="1" applyFont="1" applyBorder="1" applyAlignment="1">
      <alignment horizontal="center" vertical="center"/>
    </xf>
    <xf numFmtId="173" fontId="8" fillId="0" borderId="4" xfId="0" applyNumberFormat="1" applyFont="1" applyBorder="1" applyAlignment="1">
      <alignment vertical="center"/>
    </xf>
    <xf numFmtId="166" fontId="9" fillId="0" borderId="4" xfId="0" applyNumberFormat="1" applyFont="1" applyBorder="1" applyAlignment="1">
      <alignment horizontal="right" vertical="center"/>
    </xf>
    <xf numFmtId="16" fontId="9" fillId="0" borderId="10" xfId="0" applyNumberFormat="1" applyFont="1" applyBorder="1" applyAlignment="1">
      <alignment horizontal="center" vertical="center"/>
    </xf>
    <xf numFmtId="16" fontId="9" fillId="16" borderId="4" xfId="0" applyNumberFormat="1" applyFont="1" applyFill="1" applyBorder="1" applyAlignment="1">
      <alignment horizontal="center" vertical="center"/>
    </xf>
    <xf numFmtId="173" fontId="9" fillId="16" borderId="4" xfId="0" applyNumberFormat="1" applyFont="1" applyFill="1" applyBorder="1" applyAlignment="1">
      <alignment vertical="center"/>
    </xf>
    <xf numFmtId="173" fontId="9" fillId="16" borderId="3" xfId="0" applyNumberFormat="1" applyFont="1" applyFill="1" applyBorder="1" applyAlignment="1">
      <alignment vertical="center"/>
    </xf>
    <xf numFmtId="16" fontId="9" fillId="16" borderId="11" xfId="0" applyNumberFormat="1" applyFont="1" applyFill="1" applyBorder="1" applyAlignment="1">
      <alignment horizontal="center" vertical="center"/>
    </xf>
    <xf numFmtId="166" fontId="8" fillId="0" borderId="16" xfId="0" applyNumberFormat="1" applyFont="1" applyBorder="1" applyAlignment="1" applyProtection="1">
      <alignment horizontal="center" vertical="center"/>
      <protection hidden="1"/>
    </xf>
    <xf numFmtId="166" fontId="8" fillId="0" borderId="1" xfId="0" applyNumberFormat="1" applyFont="1" applyBorder="1" applyAlignment="1" applyProtection="1">
      <alignment horizontal="center" vertical="center"/>
      <protection hidden="1"/>
    </xf>
    <xf numFmtId="166" fontId="9" fillId="0" borderId="6" xfId="0" applyNumberFormat="1" applyFont="1" applyBorder="1" applyAlignment="1">
      <alignment horizontal="right" vertical="center"/>
    </xf>
    <xf numFmtId="173" fontId="12" fillId="2" borderId="15" xfId="0" applyNumberFormat="1" applyFont="1" applyFill="1" applyBorder="1" applyAlignment="1">
      <alignment vertical="center"/>
    </xf>
    <xf numFmtId="0" fontId="8" fillId="0" borderId="10" xfId="6" applyNumberFormat="1" applyFont="1" applyFill="1" applyBorder="1" applyAlignment="1">
      <alignment horizontal="center" vertical="center"/>
    </xf>
    <xf numFmtId="0" fontId="8" fillId="0" borderId="16" xfId="0" applyFont="1" applyBorder="1" applyAlignment="1" applyProtection="1">
      <alignment horizontal="center" vertical="center"/>
      <protection hidden="1"/>
    </xf>
    <xf numFmtId="165" fontId="8" fillId="0" borderId="16" xfId="7" applyFont="1" applyFill="1" applyBorder="1" applyAlignment="1" applyProtection="1">
      <alignment horizontal="center" vertical="center"/>
      <protection hidden="1"/>
    </xf>
    <xf numFmtId="175" fontId="9" fillId="0" borderId="4" xfId="1" applyNumberFormat="1" applyFont="1" applyFill="1" applyBorder="1" applyAlignment="1" applyProtection="1">
      <alignment horizontal="center" vertical="center"/>
      <protection hidden="1"/>
    </xf>
    <xf numFmtId="0" fontId="8" fillId="0" borderId="3" xfId="6" applyNumberFormat="1" applyFont="1" applyFill="1" applyBorder="1" applyAlignment="1">
      <alignment horizontal="center" vertical="center"/>
    </xf>
    <xf numFmtId="0" fontId="8" fillId="0" borderId="9" xfId="6" applyNumberFormat="1" applyFont="1" applyFill="1" applyBorder="1" applyAlignment="1">
      <alignment horizontal="center" vertical="center"/>
    </xf>
    <xf numFmtId="0" fontId="8" fillId="0" borderId="13" xfId="0" applyFont="1" applyBorder="1" applyAlignment="1" applyProtection="1">
      <alignment horizontal="center" vertical="center"/>
      <protection hidden="1"/>
    </xf>
    <xf numFmtId="165" fontId="8" fillId="0" borderId="13" xfId="7" applyFont="1" applyFill="1" applyBorder="1" applyAlignment="1" applyProtection="1">
      <alignment horizontal="center" vertical="center"/>
      <protection hidden="1"/>
    </xf>
    <xf numFmtId="0" fontId="8" fillId="0" borderId="1" xfId="6" applyNumberFormat="1" applyFont="1" applyFill="1" applyBorder="1" applyAlignment="1">
      <alignment horizontal="center" vertical="center"/>
    </xf>
    <xf numFmtId="0" fontId="8" fillId="0" borderId="1" xfId="0" applyFont="1" applyBorder="1" applyAlignment="1" applyProtection="1">
      <alignment horizontal="center" vertical="center"/>
      <protection hidden="1"/>
    </xf>
    <xf numFmtId="0" fontId="12" fillId="2" borderId="1" xfId="0" applyFont="1" applyFill="1" applyBorder="1" applyAlignment="1">
      <alignment horizontal="center" vertical="center"/>
    </xf>
    <xf numFmtId="0" fontId="12" fillId="2" borderId="1" xfId="0" applyFont="1" applyFill="1" applyBorder="1" applyAlignment="1" applyProtection="1">
      <alignment horizontal="center" vertical="center"/>
      <protection hidden="1"/>
    </xf>
    <xf numFmtId="0" fontId="12" fillId="2" borderId="1" xfId="0" applyFont="1" applyFill="1" applyBorder="1"/>
    <xf numFmtId="170" fontId="8" fillId="16" borderId="6" xfId="0" applyNumberFormat="1" applyFont="1" applyFill="1" applyBorder="1" applyAlignment="1" applyProtection="1">
      <alignment horizontal="center" vertical="center"/>
      <protection hidden="1"/>
    </xf>
    <xf numFmtId="164" fontId="11" fillId="0" borderId="1" xfId="1" applyFont="1" applyFill="1" applyBorder="1" applyAlignment="1" applyProtection="1">
      <alignment horizontal="center" vertical="center"/>
      <protection hidden="1"/>
    </xf>
    <xf numFmtId="164" fontId="15" fillId="0" borderId="1" xfId="1" applyFont="1" applyFill="1" applyBorder="1" applyAlignment="1" applyProtection="1">
      <alignment horizontal="center" vertical="center"/>
      <protection hidden="1"/>
    </xf>
    <xf numFmtId="16" fontId="9" fillId="0" borderId="2" xfId="0" applyNumberFormat="1" applyFont="1" applyBorder="1" applyAlignment="1" applyProtection="1">
      <alignment horizontal="center" vertical="center"/>
      <protection hidden="1"/>
    </xf>
    <xf numFmtId="16" fontId="9" fillId="0" borderId="1" xfId="0" applyNumberFormat="1" applyFont="1" applyBorder="1" applyAlignment="1" applyProtection="1">
      <alignment horizontal="center" vertical="center"/>
      <protection hidden="1"/>
    </xf>
    <xf numFmtId="16" fontId="9" fillId="0" borderId="0" xfId="0" applyNumberFormat="1" applyFont="1" applyAlignment="1" applyProtection="1">
      <alignment horizontal="center" vertical="center"/>
      <protection hidden="1"/>
    </xf>
    <xf numFmtId="16" fontId="9" fillId="0" borderId="4" xfId="0" applyNumberFormat="1" applyFont="1" applyBorder="1" applyAlignment="1" applyProtection="1">
      <alignment horizontal="center" vertical="center"/>
      <protection hidden="1"/>
    </xf>
    <xf numFmtId="0" fontId="9" fillId="0" borderId="2" xfId="0" applyFont="1" applyBorder="1" applyAlignment="1" applyProtection="1">
      <alignment horizontal="center" vertical="center"/>
      <protection hidden="1"/>
    </xf>
    <xf numFmtId="175" fontId="8" fillId="2" borderId="1" xfId="1" applyNumberFormat="1" applyFont="1" applyFill="1" applyBorder="1" applyAlignment="1" applyProtection="1">
      <alignment horizontal="center" vertical="center"/>
      <protection hidden="1"/>
    </xf>
    <xf numFmtId="0" fontId="8" fillId="0" borderId="15" xfId="0" applyFont="1" applyBorder="1" applyAlignment="1" applyProtection="1">
      <alignment horizontal="center" vertical="center"/>
      <protection hidden="1"/>
    </xf>
    <xf numFmtId="0" fontId="12" fillId="2" borderId="6" xfId="0" applyFont="1" applyFill="1" applyBorder="1"/>
    <xf numFmtId="172" fontId="9" fillId="0" borderId="4" xfId="0" applyNumberFormat="1" applyFont="1" applyBorder="1" applyAlignment="1" applyProtection="1">
      <alignment horizontal="center" vertical="center"/>
      <protection hidden="1"/>
    </xf>
    <xf numFmtId="0" fontId="9" fillId="0" borderId="4" xfId="0" applyFont="1" applyBorder="1" applyAlignment="1" applyProtection="1">
      <alignment horizontal="center" vertical="center"/>
      <protection hidden="1"/>
    </xf>
    <xf numFmtId="0" fontId="3" fillId="3" borderId="15" xfId="0" applyFont="1" applyFill="1" applyBorder="1" applyAlignment="1">
      <alignment horizontal="center" vertical="center"/>
    </xf>
    <xf numFmtId="175" fontId="8" fillId="17" borderId="1" xfId="1" applyNumberFormat="1" applyFont="1" applyFill="1" applyBorder="1" applyAlignment="1" applyProtection="1">
      <alignment horizontal="center" vertical="center"/>
      <protection hidden="1"/>
    </xf>
    <xf numFmtId="175" fontId="8" fillId="17" borderId="4" xfId="1" applyNumberFormat="1" applyFont="1" applyFill="1" applyBorder="1" applyAlignment="1" applyProtection="1">
      <alignment horizontal="center" vertical="center"/>
      <protection hidden="1"/>
    </xf>
    <xf numFmtId="175" fontId="8" fillId="2" borderId="4" xfId="1" applyNumberFormat="1" applyFont="1" applyFill="1" applyBorder="1" applyAlignment="1" applyProtection="1">
      <alignment horizontal="center" vertical="center"/>
      <protection hidden="1"/>
    </xf>
    <xf numFmtId="165" fontId="8" fillId="16" borderId="5" xfId="7" applyFont="1" applyFill="1" applyBorder="1" applyAlignment="1" applyProtection="1">
      <alignment horizontal="center" vertical="center"/>
      <protection hidden="1"/>
    </xf>
    <xf numFmtId="0" fontId="8" fillId="16" borderId="5" xfId="0" applyFont="1" applyFill="1" applyBorder="1" applyAlignment="1" applyProtection="1">
      <alignment horizontal="center" vertical="center"/>
      <protection hidden="1"/>
    </xf>
    <xf numFmtId="16" fontId="9" fillId="16" borderId="1" xfId="0" applyNumberFormat="1" applyFont="1" applyFill="1" applyBorder="1" applyAlignment="1" applyProtection="1">
      <alignment horizontal="center" vertical="center"/>
      <protection hidden="1"/>
    </xf>
    <xf numFmtId="16" fontId="9" fillId="16" borderId="4" xfId="0" applyNumberFormat="1" applyFont="1" applyFill="1" applyBorder="1" applyAlignment="1" applyProtection="1">
      <alignment horizontal="center" vertical="center"/>
      <protection hidden="1"/>
    </xf>
    <xf numFmtId="16" fontId="9" fillId="16" borderId="2" xfId="0" applyNumberFormat="1" applyFont="1" applyFill="1" applyBorder="1" applyAlignment="1" applyProtection="1">
      <alignment horizontal="center" vertical="center"/>
      <protection hidden="1"/>
    </xf>
    <xf numFmtId="175" fontId="8" fillId="17" borderId="1" xfId="0" applyNumberFormat="1" applyFont="1" applyFill="1" applyBorder="1" applyAlignment="1" applyProtection="1">
      <alignment horizontal="center" vertical="center"/>
      <protection hidden="1"/>
    </xf>
    <xf numFmtId="0" fontId="9" fillId="16" borderId="2" xfId="0" applyFont="1" applyFill="1" applyBorder="1" applyAlignment="1" applyProtection="1">
      <alignment horizontal="center" vertical="center"/>
      <protection hidden="1"/>
    </xf>
    <xf numFmtId="171" fontId="18" fillId="23" borderId="1" xfId="0" applyNumberFormat="1" applyFont="1" applyFill="1" applyBorder="1" applyAlignment="1" applyProtection="1">
      <alignment horizontal="center" vertical="center" wrapText="1"/>
      <protection hidden="1"/>
    </xf>
    <xf numFmtId="173" fontId="19" fillId="0" borderId="1" xfId="1" applyNumberFormat="1" applyFont="1" applyBorder="1" applyAlignment="1" applyProtection="1">
      <alignment horizontal="right" vertical="center"/>
      <protection hidden="1"/>
    </xf>
    <xf numFmtId="171" fontId="18" fillId="7" borderId="1" xfId="0" applyNumberFormat="1" applyFont="1" applyFill="1" applyBorder="1" applyAlignment="1" applyProtection="1">
      <alignment horizontal="center" vertical="center" wrapText="1"/>
      <protection hidden="1"/>
    </xf>
    <xf numFmtId="16" fontId="19" fillId="0" borderId="1" xfId="0" applyNumberFormat="1" applyFont="1" applyBorder="1" applyAlignment="1">
      <alignment horizontal="center" vertical="center"/>
    </xf>
    <xf numFmtId="173" fontId="19" fillId="0" borderId="1" xfId="0" applyNumberFormat="1" applyFont="1" applyBorder="1" applyAlignment="1">
      <alignment vertical="center"/>
    </xf>
    <xf numFmtId="171" fontId="18" fillId="19" borderId="1" xfId="0" applyNumberFormat="1" applyFont="1" applyFill="1" applyBorder="1" applyAlignment="1" applyProtection="1">
      <alignment horizontal="center" vertical="center" wrapText="1"/>
      <protection hidden="1"/>
    </xf>
    <xf numFmtId="173" fontId="9" fillId="0" borderId="2" xfId="0" applyNumberFormat="1" applyFont="1" applyBorder="1" applyAlignment="1">
      <alignment vertical="center"/>
    </xf>
    <xf numFmtId="16" fontId="9" fillId="0" borderId="9" xfId="0" applyNumberFormat="1" applyFont="1" applyBorder="1" applyAlignment="1">
      <alignment horizontal="center" vertical="center"/>
    </xf>
    <xf numFmtId="0" fontId="19" fillId="0" borderId="1" xfId="0" applyFont="1" applyBorder="1" applyAlignment="1" applyProtection="1">
      <alignment horizontal="center" vertical="center"/>
      <protection locked="0"/>
    </xf>
    <xf numFmtId="0" fontId="19" fillId="0" borderId="1" xfId="0" applyFont="1" applyBorder="1" applyAlignment="1" applyProtection="1">
      <alignment horizontal="left" vertical="center" wrapText="1"/>
      <protection hidden="1"/>
    </xf>
    <xf numFmtId="0" fontId="19" fillId="0" borderId="1" xfId="0" applyFont="1" applyBorder="1" applyAlignment="1" applyProtection="1">
      <alignment horizontal="left" vertical="center"/>
      <protection hidden="1"/>
    </xf>
    <xf numFmtId="172" fontId="19" fillId="0" borderId="1" xfId="0" applyNumberFormat="1" applyFont="1" applyBorder="1" applyAlignment="1" applyProtection="1">
      <alignment horizontal="center" vertical="center"/>
      <protection hidden="1"/>
    </xf>
    <xf numFmtId="171" fontId="19" fillId="0" borderId="1" xfId="0" applyNumberFormat="1" applyFont="1" applyBorder="1" applyAlignment="1" applyProtection="1">
      <alignment horizontal="center" vertical="center" wrapText="1"/>
      <protection hidden="1"/>
    </xf>
    <xf numFmtId="175" fontId="8" fillId="2" borderId="6" xfId="1" applyNumberFormat="1" applyFont="1" applyFill="1" applyBorder="1" applyAlignment="1" applyProtection="1">
      <alignment horizontal="center" vertical="center"/>
      <protection hidden="1"/>
    </xf>
    <xf numFmtId="175" fontId="8" fillId="2" borderId="3" xfId="1" applyNumberFormat="1" applyFont="1" applyFill="1" applyBorder="1" applyAlignment="1" applyProtection="1">
      <alignment horizontal="center" vertical="center"/>
      <protection hidden="1"/>
    </xf>
    <xf numFmtId="175" fontId="8" fillId="2" borderId="6" xfId="0" applyNumberFormat="1" applyFont="1" applyFill="1" applyBorder="1" applyAlignment="1" applyProtection="1">
      <alignment horizontal="center" vertical="center"/>
      <protection hidden="1"/>
    </xf>
    <xf numFmtId="0" fontId="5" fillId="0" borderId="1" xfId="0" applyFont="1" applyBorder="1" applyAlignment="1">
      <alignment horizontal="center" vertical="center"/>
      <extLst>
        <ext xmlns:xfpb="http://schemas.microsoft.com/office/spreadsheetml/2022/featurepropertybag" uri="{C7286773-470A-42A8-94C5-96B5CB345126}">
          <xfpb:xfComplement i="0"/>
        </ext>
      </extLst>
    </xf>
    <xf numFmtId="0" fontId="5" fillId="0" borderId="1" xfId="0" applyFont="1" applyBorder="1"/>
    <xf numFmtId="0" fontId="5" fillId="13" borderId="1" xfId="0" applyFont="1" applyFill="1" applyBorder="1"/>
    <xf numFmtId="176" fontId="9" fillId="7" borderId="1" xfId="0" applyNumberFormat="1" applyFont="1" applyFill="1" applyBorder="1" applyAlignment="1" applyProtection="1">
      <alignment horizontal="center" vertical="center"/>
      <protection hidden="1"/>
    </xf>
    <xf numFmtId="16" fontId="9" fillId="0" borderId="17" xfId="0" applyNumberFormat="1" applyFont="1" applyBorder="1" applyAlignment="1" applyProtection="1">
      <alignment horizontal="center" vertical="center"/>
      <protection hidden="1"/>
    </xf>
    <xf numFmtId="175" fontId="9" fillId="0" borderId="2" xfId="1" applyNumberFormat="1" applyFont="1" applyFill="1" applyBorder="1" applyAlignment="1" applyProtection="1">
      <alignment horizontal="center" vertical="center"/>
      <protection hidden="1"/>
    </xf>
    <xf numFmtId="175" fontId="8" fillId="2" borderId="2" xfId="1" applyNumberFormat="1" applyFont="1" applyFill="1" applyBorder="1" applyAlignment="1" applyProtection="1">
      <alignment horizontal="center" vertical="center"/>
      <protection hidden="1"/>
    </xf>
    <xf numFmtId="175" fontId="8" fillId="2" borderId="9" xfId="1" applyNumberFormat="1" applyFont="1" applyFill="1" applyBorder="1" applyAlignment="1" applyProtection="1">
      <alignment horizontal="center" vertical="center"/>
      <protection hidden="1"/>
    </xf>
    <xf numFmtId="175" fontId="9" fillId="0" borderId="17" xfId="1" applyNumberFormat="1" applyFont="1" applyFill="1" applyBorder="1" applyAlignment="1" applyProtection="1">
      <alignment horizontal="center" vertical="center"/>
      <protection hidden="1"/>
    </xf>
    <xf numFmtId="175" fontId="8" fillId="2" borderId="18" xfId="1" applyNumberFormat="1" applyFont="1" applyFill="1" applyBorder="1" applyAlignment="1" applyProtection="1">
      <alignment horizontal="center" vertical="center"/>
      <protection hidden="1"/>
    </xf>
    <xf numFmtId="0" fontId="5" fillId="13" borderId="1" xfId="0" applyFont="1" applyFill="1" applyBorder="1" applyAlignment="1">
      <alignment horizontal="center" vertical="center"/>
      <extLst>
        <ext xmlns:xfpb="http://schemas.microsoft.com/office/spreadsheetml/2022/featurepropertybag" uri="{C7286773-470A-42A8-94C5-96B5CB345126}">
          <xfpb:xfComplement i="0"/>
        </ext>
      </extLst>
    </xf>
    <xf numFmtId="176" fontId="19" fillId="14" borderId="1" xfId="0" applyNumberFormat="1" applyFont="1" applyFill="1" applyBorder="1" applyAlignment="1" applyProtection="1">
      <alignment horizontal="center" vertical="center"/>
      <protection hidden="1"/>
    </xf>
    <xf numFmtId="16" fontId="20" fillId="0" borderId="1" xfId="0" applyNumberFormat="1" applyFont="1" applyBorder="1" applyAlignment="1" applyProtection="1">
      <alignment horizontal="center" vertical="center"/>
      <protection hidden="1"/>
    </xf>
    <xf numFmtId="0" fontId="20" fillId="0" borderId="1" xfId="0" applyFont="1" applyBorder="1" applyAlignment="1" applyProtection="1">
      <alignment horizontal="center" vertical="center"/>
      <protection hidden="1"/>
    </xf>
    <xf numFmtId="16" fontId="20" fillId="0" borderId="2" xfId="0" applyNumberFormat="1" applyFont="1" applyBorder="1" applyAlignment="1" applyProtection="1">
      <alignment horizontal="center" vertical="center"/>
      <protection hidden="1"/>
    </xf>
    <xf numFmtId="0" fontId="21" fillId="0" borderId="1" xfId="0" applyFont="1" applyBorder="1" applyAlignment="1">
      <alignment horizontal="center" vertical="center"/>
      <extLst>
        <ext xmlns:xfpb="http://schemas.microsoft.com/office/spreadsheetml/2022/featurepropertybag" uri="{C7286773-470A-42A8-94C5-96B5CB345126}">
          <xfpb:xfComplement i="0"/>
        </ext>
      </extLst>
    </xf>
    <xf numFmtId="173" fontId="20" fillId="0" borderId="1" xfId="1" applyNumberFormat="1" applyFont="1" applyBorder="1" applyAlignment="1" applyProtection="1">
      <alignment horizontal="right" vertical="center"/>
      <protection hidden="1"/>
    </xf>
    <xf numFmtId="171" fontId="18" fillId="0" borderId="1" xfId="0" applyNumberFormat="1" applyFont="1" applyBorder="1" applyAlignment="1" applyProtection="1">
      <alignment horizontal="center" vertical="center" wrapText="1"/>
      <protection hidden="1"/>
    </xf>
    <xf numFmtId="0" fontId="21" fillId="0" borderId="1" xfId="0" applyFont="1" applyBorder="1"/>
    <xf numFmtId="0" fontId="20" fillId="0" borderId="1" xfId="0" applyFont="1" applyBorder="1" applyAlignment="1" applyProtection="1">
      <alignment horizontal="center" vertical="center"/>
      <protection locked="0"/>
    </xf>
    <xf numFmtId="0" fontId="20" fillId="0" borderId="1" xfId="0" applyFont="1" applyBorder="1" applyAlignment="1" applyProtection="1">
      <alignment horizontal="left" vertical="center" wrapText="1"/>
      <protection hidden="1"/>
    </xf>
    <xf numFmtId="176" fontId="20" fillId="14" borderId="1" xfId="0" applyNumberFormat="1" applyFont="1" applyFill="1" applyBorder="1" applyAlignment="1" applyProtection="1">
      <alignment horizontal="center" vertical="center"/>
      <protection hidden="1"/>
    </xf>
    <xf numFmtId="172" fontId="20" fillId="0" borderId="1" xfId="0" applyNumberFormat="1" applyFont="1" applyBorder="1" applyAlignment="1" applyProtection="1">
      <alignment horizontal="center" vertical="center"/>
      <protection hidden="1"/>
    </xf>
    <xf numFmtId="171" fontId="22" fillId="7" borderId="1" xfId="0" applyNumberFormat="1" applyFont="1" applyFill="1" applyBorder="1" applyAlignment="1" applyProtection="1">
      <alignment horizontal="center" vertical="center" wrapText="1"/>
      <protection hidden="1"/>
    </xf>
    <xf numFmtId="171" fontId="20" fillId="0" borderId="1" xfId="0" applyNumberFormat="1" applyFont="1" applyBorder="1" applyAlignment="1" applyProtection="1">
      <alignment horizontal="center" vertical="center" wrapText="1"/>
      <protection hidden="1"/>
    </xf>
    <xf numFmtId="171" fontId="22" fillId="23" borderId="1" xfId="0" applyNumberFormat="1" applyFont="1" applyFill="1" applyBorder="1" applyAlignment="1" applyProtection="1">
      <alignment horizontal="center" vertical="center" wrapText="1"/>
      <protection hidden="1"/>
    </xf>
    <xf numFmtId="0" fontId="20" fillId="0" borderId="1" xfId="0" applyFont="1" applyBorder="1" applyAlignment="1" applyProtection="1">
      <alignment horizontal="center" vertical="center" wrapText="1"/>
      <protection locked="0"/>
    </xf>
    <xf numFmtId="172" fontId="20" fillId="0" borderId="6" xfId="0" applyNumberFormat="1" applyFont="1" applyBorder="1" applyAlignment="1" applyProtection="1">
      <alignment horizontal="center" vertical="center"/>
      <protection hidden="1"/>
    </xf>
    <xf numFmtId="169" fontId="23" fillId="0" borderId="1" xfId="0" applyNumberFormat="1" applyFont="1" applyBorder="1" applyAlignment="1" applyProtection="1">
      <alignment horizontal="center" vertical="center"/>
      <protection hidden="1"/>
    </xf>
    <xf numFmtId="167" fontId="20" fillId="0" borderId="8" xfId="0" applyNumberFormat="1" applyFont="1" applyBorder="1" applyAlignment="1" applyProtection="1">
      <alignment horizontal="center" vertical="center"/>
      <protection hidden="1"/>
    </xf>
    <xf numFmtId="167" fontId="23" fillId="0" borderId="1" xfId="0" applyNumberFormat="1" applyFont="1" applyBorder="1" applyAlignment="1" applyProtection="1">
      <alignment horizontal="center" vertical="center"/>
      <protection hidden="1"/>
    </xf>
    <xf numFmtId="0" fontId="20" fillId="0" borderId="1" xfId="0" applyFont="1" applyBorder="1" applyAlignment="1" applyProtection="1">
      <alignment horizontal="left" vertical="center"/>
      <protection hidden="1"/>
    </xf>
    <xf numFmtId="164" fontId="20" fillId="0" borderId="1" xfId="1" applyFont="1" applyBorder="1" applyAlignment="1" applyProtection="1">
      <alignment horizontal="center" vertical="center"/>
      <protection hidden="1"/>
    </xf>
    <xf numFmtId="164" fontId="20" fillId="0" borderId="1" xfId="1" applyFont="1" applyBorder="1" applyAlignment="1" applyProtection="1">
      <alignment horizontal="center" vertical="center" wrapText="1"/>
      <protection hidden="1"/>
    </xf>
    <xf numFmtId="171" fontId="22" fillId="0" borderId="1" xfId="0" applyNumberFormat="1" applyFont="1" applyBorder="1" applyAlignment="1" applyProtection="1">
      <alignment horizontal="center" vertical="center" wrapText="1"/>
      <protection hidden="1"/>
    </xf>
    <xf numFmtId="164" fontId="23" fillId="0" borderId="1" xfId="1" applyFont="1" applyBorder="1" applyAlignment="1" applyProtection="1">
      <alignment horizontal="center" vertical="center"/>
      <protection hidden="1"/>
    </xf>
    <xf numFmtId="170" fontId="20" fillId="16" borderId="8" xfId="0" applyNumberFormat="1" applyFont="1" applyFill="1" applyBorder="1" applyAlignment="1" applyProtection="1">
      <alignment horizontal="center" vertical="center"/>
      <protection hidden="1"/>
    </xf>
    <xf numFmtId="174" fontId="20" fillId="16" borderId="1" xfId="1" applyNumberFormat="1" applyFont="1" applyFill="1" applyBorder="1" applyAlignment="1" applyProtection="1">
      <alignment horizontal="center" vertical="center"/>
      <protection hidden="1"/>
    </xf>
    <xf numFmtId="175" fontId="20" fillId="16" borderId="1" xfId="1" applyNumberFormat="1" applyFont="1" applyFill="1" applyBorder="1" applyAlignment="1" applyProtection="1">
      <alignment horizontal="center" vertical="center"/>
      <protection hidden="1"/>
    </xf>
    <xf numFmtId="170" fontId="20" fillId="16" borderId="1" xfId="0" applyNumberFormat="1" applyFont="1" applyFill="1" applyBorder="1" applyAlignment="1" applyProtection="1">
      <alignment horizontal="center" vertical="center"/>
      <protection hidden="1"/>
    </xf>
    <xf numFmtId="177" fontId="20" fillId="16" borderId="1" xfId="0" applyNumberFormat="1" applyFont="1" applyFill="1" applyBorder="1" applyAlignment="1" applyProtection="1">
      <alignment horizontal="center" vertical="center"/>
      <protection hidden="1"/>
    </xf>
    <xf numFmtId="170" fontId="23" fillId="16" borderId="1" xfId="0" applyNumberFormat="1" applyFont="1" applyFill="1" applyBorder="1" applyAlignment="1" applyProtection="1">
      <alignment horizontal="center" vertical="center"/>
      <protection hidden="1"/>
    </xf>
    <xf numFmtId="177" fontId="20" fillId="0" borderId="1" xfId="0" applyNumberFormat="1" applyFont="1" applyBorder="1" applyAlignment="1" applyProtection="1">
      <alignment horizontal="center" vertical="center"/>
      <protection hidden="1"/>
    </xf>
    <xf numFmtId="170" fontId="23" fillId="0" borderId="6" xfId="0" applyNumberFormat="1" applyFont="1" applyBorder="1" applyAlignment="1" applyProtection="1">
      <alignment horizontal="center" vertical="center"/>
      <protection hidden="1"/>
    </xf>
    <xf numFmtId="16" fontId="20" fillId="0" borderId="1" xfId="0" applyNumberFormat="1" applyFont="1" applyBorder="1" applyAlignment="1">
      <alignment horizontal="center" vertical="center"/>
    </xf>
    <xf numFmtId="173" fontId="20" fillId="0" borderId="1" xfId="0" applyNumberFormat="1" applyFont="1" applyBorder="1" applyAlignment="1">
      <alignment vertical="center"/>
    </xf>
    <xf numFmtId="16" fontId="20" fillId="16" borderId="1" xfId="0" applyNumberFormat="1" applyFont="1" applyFill="1" applyBorder="1" applyAlignment="1">
      <alignment horizontal="center" vertical="center"/>
    </xf>
    <xf numFmtId="173" fontId="20" fillId="16" borderId="1" xfId="0" applyNumberFormat="1" applyFont="1" applyFill="1" applyBorder="1" applyAlignment="1">
      <alignment vertical="center"/>
    </xf>
    <xf numFmtId="173" fontId="20" fillId="16" borderId="6" xfId="0" applyNumberFormat="1" applyFont="1" applyFill="1" applyBorder="1" applyAlignment="1">
      <alignment vertical="center"/>
    </xf>
    <xf numFmtId="16" fontId="20" fillId="16" borderId="8" xfId="0" applyNumberFormat="1" applyFont="1" applyFill="1" applyBorder="1" applyAlignment="1">
      <alignment horizontal="center" vertical="center"/>
    </xf>
    <xf numFmtId="166" fontId="23" fillId="0" borderId="5" xfId="0" applyNumberFormat="1" applyFont="1" applyBorder="1" applyAlignment="1" applyProtection="1">
      <alignment horizontal="center" vertical="center"/>
      <protection hidden="1"/>
    </xf>
    <xf numFmtId="0" fontId="23" fillId="0" borderId="5" xfId="0" applyFont="1" applyBorder="1" applyAlignment="1" applyProtection="1">
      <alignment horizontal="center" vertical="center"/>
      <protection hidden="1"/>
    </xf>
    <xf numFmtId="165" fontId="23" fillId="16" borderId="5" xfId="7" applyFont="1" applyFill="1" applyBorder="1" applyAlignment="1" applyProtection="1">
      <alignment horizontal="center" vertical="center"/>
      <protection hidden="1"/>
    </xf>
    <xf numFmtId="0" fontId="23" fillId="16" borderId="5" xfId="0" applyFont="1" applyFill="1" applyBorder="1" applyAlignment="1" applyProtection="1">
      <alignment horizontal="center" vertical="center"/>
      <protection hidden="1"/>
    </xf>
    <xf numFmtId="172" fontId="20" fillId="16" borderId="1" xfId="0" applyNumberFormat="1" applyFont="1" applyFill="1" applyBorder="1" applyAlignment="1" applyProtection="1">
      <alignment horizontal="center" vertical="center"/>
      <protection hidden="1"/>
    </xf>
    <xf numFmtId="0" fontId="20" fillId="16" borderId="1" xfId="0" applyFont="1" applyFill="1" applyBorder="1" applyAlignment="1" applyProtection="1">
      <alignment horizontal="center" vertical="center"/>
      <protection hidden="1"/>
    </xf>
    <xf numFmtId="170" fontId="9" fillId="0" borderId="8" xfId="1" applyNumberFormat="1" applyFont="1" applyFill="1" applyBorder="1" applyAlignment="1" applyProtection="1">
      <alignment horizontal="center" vertical="center"/>
      <protection hidden="1"/>
    </xf>
    <xf numFmtId="0" fontId="5" fillId="0" borderId="1" xfId="0" applyFont="1" applyBorder="1" applyAlignment="1">
      <alignment horizontal="center" vertical="center"/>
    </xf>
    <xf numFmtId="175" fontId="8" fillId="22" borderId="6" xfId="1" applyNumberFormat="1" applyFont="1" applyFill="1" applyBorder="1" applyAlignment="1" applyProtection="1">
      <alignment horizontal="center" vertical="center"/>
      <protection hidden="1"/>
    </xf>
    <xf numFmtId="170" fontId="24" fillId="0" borderId="8" xfId="0" applyNumberFormat="1" applyFont="1" applyBorder="1" applyAlignment="1" applyProtection="1">
      <alignment horizontal="center" vertical="center"/>
      <protection hidden="1"/>
    </xf>
    <xf numFmtId="0" fontId="24" fillId="0" borderId="1" xfId="0" applyFont="1" applyBorder="1" applyAlignment="1" applyProtection="1">
      <alignment horizontal="center" vertical="center"/>
      <protection hidden="1"/>
    </xf>
    <xf numFmtId="175" fontId="8" fillId="22" borderId="1" xfId="1" applyNumberFormat="1" applyFont="1" applyFill="1" applyBorder="1" applyAlignment="1" applyProtection="1">
      <alignment horizontal="center" vertical="center"/>
      <protection hidden="1"/>
    </xf>
    <xf numFmtId="0" fontId="6" fillId="0" borderId="0" xfId="0" applyFont="1"/>
    <xf numFmtId="175" fontId="8" fillId="17" borderId="6" xfId="1" applyNumberFormat="1" applyFont="1" applyFill="1" applyBorder="1" applyAlignment="1" applyProtection="1">
      <alignment horizontal="center" vertical="center"/>
      <protection hidden="1"/>
    </xf>
    <xf numFmtId="175" fontId="9" fillId="0" borderId="11" xfId="1" applyNumberFormat="1" applyFont="1" applyFill="1" applyBorder="1" applyAlignment="1" applyProtection="1">
      <alignment horizontal="center" vertical="center"/>
      <protection hidden="1"/>
    </xf>
    <xf numFmtId="175" fontId="9" fillId="0" borderId="8" xfId="1" applyNumberFormat="1" applyFont="1" applyFill="1" applyBorder="1" applyAlignment="1" applyProtection="1">
      <alignment horizontal="center" vertical="center"/>
      <protection hidden="1"/>
    </xf>
    <xf numFmtId="16" fontId="9" fillId="16" borderId="7" xfId="0" applyNumberFormat="1" applyFont="1" applyFill="1" applyBorder="1" applyAlignment="1">
      <alignment horizontal="center" vertical="center"/>
    </xf>
    <xf numFmtId="16" fontId="9" fillId="0" borderId="8" xfId="0" applyNumberFormat="1" applyFont="1" applyBorder="1" applyAlignment="1">
      <alignment horizontal="center" vertical="center"/>
    </xf>
    <xf numFmtId="16" fontId="9" fillId="0" borderId="19" xfId="0" applyNumberFormat="1" applyFont="1" applyBorder="1" applyAlignment="1">
      <alignment horizontal="center" vertical="center"/>
    </xf>
    <xf numFmtId="173" fontId="12" fillId="2" borderId="1" xfId="0" applyNumberFormat="1" applyFont="1" applyFill="1" applyBorder="1" applyAlignment="1">
      <alignment vertical="center"/>
    </xf>
    <xf numFmtId="175" fontId="20" fillId="0" borderId="1" xfId="1" applyNumberFormat="1" applyFont="1" applyFill="1" applyBorder="1" applyAlignment="1" applyProtection="1">
      <alignment horizontal="center" vertical="center"/>
      <protection hidden="1"/>
    </xf>
    <xf numFmtId="173" fontId="8" fillId="0" borderId="1" xfId="1" applyNumberFormat="1" applyFont="1" applyFill="1" applyBorder="1" applyAlignment="1" applyProtection="1">
      <alignment horizontal="right" vertical="center"/>
      <protection hidden="1"/>
    </xf>
    <xf numFmtId="16" fontId="20" fillId="13" borderId="1" xfId="0" applyNumberFormat="1" applyFont="1" applyFill="1" applyBorder="1" applyAlignment="1" applyProtection="1">
      <alignment horizontal="center" vertical="center"/>
      <protection hidden="1"/>
    </xf>
    <xf numFmtId="0" fontId="9" fillId="0" borderId="1" xfId="0" applyFont="1" applyBorder="1" applyAlignment="1">
      <alignment wrapText="1"/>
    </xf>
    <xf numFmtId="172" fontId="25" fillId="16" borderId="1" xfId="0" applyNumberFormat="1" applyFont="1" applyFill="1" applyBorder="1" applyAlignment="1" applyProtection="1">
      <alignment horizontal="center" vertical="center"/>
      <protection hidden="1"/>
    </xf>
    <xf numFmtId="171" fontId="26" fillId="16" borderId="1" xfId="0" applyNumberFormat="1" applyFont="1" applyFill="1" applyBorder="1" applyAlignment="1" applyProtection="1">
      <alignment horizontal="center" vertical="center" wrapText="1"/>
      <protection hidden="1"/>
    </xf>
    <xf numFmtId="171" fontId="25" fillId="16" borderId="1" xfId="0" applyNumberFormat="1" applyFont="1" applyFill="1" applyBorder="1" applyAlignment="1" applyProtection="1">
      <alignment horizontal="center" vertical="center" wrapText="1"/>
      <protection hidden="1"/>
    </xf>
    <xf numFmtId="173" fontId="25" fillId="16" borderId="1" xfId="1" applyNumberFormat="1" applyFont="1" applyFill="1" applyBorder="1" applyAlignment="1" applyProtection="1">
      <alignment horizontal="right" vertical="center"/>
      <protection hidden="1"/>
    </xf>
    <xf numFmtId="170" fontId="25" fillId="16" borderId="6" xfId="0" applyNumberFormat="1" applyFont="1" applyFill="1" applyBorder="1" applyAlignment="1" applyProtection="1">
      <alignment horizontal="center" vertical="center" wrapText="1"/>
      <protection hidden="1"/>
    </xf>
    <xf numFmtId="170" fontId="25" fillId="16" borderId="8" xfId="0" applyNumberFormat="1" applyFont="1" applyFill="1" applyBorder="1" applyAlignment="1" applyProtection="1">
      <alignment horizontal="center" vertical="center"/>
      <protection hidden="1"/>
    </xf>
    <xf numFmtId="0" fontId="25" fillId="16" borderId="1" xfId="0" applyFont="1" applyFill="1" applyBorder="1" applyAlignment="1" applyProtection="1">
      <alignment horizontal="center" vertical="center"/>
      <protection hidden="1"/>
    </xf>
    <xf numFmtId="174" fontId="25" fillId="16" borderId="1" xfId="1" applyNumberFormat="1" applyFont="1" applyFill="1" applyBorder="1" applyAlignment="1" applyProtection="1">
      <alignment horizontal="center" vertical="center"/>
      <protection hidden="1"/>
    </xf>
    <xf numFmtId="175" fontId="25" fillId="16" borderId="1" xfId="1" applyNumberFormat="1" applyFont="1" applyFill="1" applyBorder="1" applyAlignment="1" applyProtection="1">
      <alignment horizontal="center" vertical="center"/>
      <protection hidden="1"/>
    </xf>
    <xf numFmtId="170" fontId="25" fillId="16" borderId="1" xfId="0" applyNumberFormat="1" applyFont="1" applyFill="1" applyBorder="1" applyAlignment="1" applyProtection="1">
      <alignment horizontal="center" vertical="center"/>
      <protection hidden="1"/>
    </xf>
    <xf numFmtId="175" fontId="27" fillId="17" borderId="1" xfId="1" applyNumberFormat="1" applyFont="1" applyFill="1" applyBorder="1" applyAlignment="1" applyProtection="1">
      <alignment horizontal="center" vertical="center"/>
      <protection hidden="1"/>
    </xf>
    <xf numFmtId="175" fontId="25" fillId="0" borderId="1" xfId="1" applyNumberFormat="1" applyFont="1" applyBorder="1" applyAlignment="1" applyProtection="1">
      <alignment horizontal="center" vertical="center"/>
      <protection hidden="1"/>
    </xf>
    <xf numFmtId="175" fontId="27" fillId="22" borderId="1" xfId="1" applyNumberFormat="1" applyFont="1" applyFill="1" applyBorder="1" applyAlignment="1" applyProtection="1">
      <alignment horizontal="center" vertical="center"/>
      <protection hidden="1"/>
    </xf>
    <xf numFmtId="0" fontId="28" fillId="0" borderId="1" xfId="0" applyFont="1" applyBorder="1" applyAlignment="1">
      <alignment horizontal="center" vertical="center"/>
    </xf>
    <xf numFmtId="173" fontId="25" fillId="0" borderId="1" xfId="1" applyNumberFormat="1" applyFont="1" applyBorder="1" applyAlignment="1" applyProtection="1">
      <alignment horizontal="right" vertical="center"/>
      <protection hidden="1"/>
    </xf>
    <xf numFmtId="16" fontId="25" fillId="16" borderId="1" xfId="0" applyNumberFormat="1" applyFont="1" applyFill="1" applyBorder="1" applyAlignment="1">
      <alignment horizontal="center" vertical="center"/>
    </xf>
    <xf numFmtId="173" fontId="25" fillId="16" borderId="1" xfId="0" applyNumberFormat="1" applyFont="1" applyFill="1" applyBorder="1" applyAlignment="1">
      <alignment vertical="center"/>
    </xf>
    <xf numFmtId="16" fontId="25" fillId="16" borderId="7" xfId="0" applyNumberFormat="1" applyFont="1" applyFill="1" applyBorder="1" applyAlignment="1">
      <alignment horizontal="center" vertical="center"/>
    </xf>
    <xf numFmtId="16" fontId="25" fillId="16" borderId="6" xfId="0" applyNumberFormat="1" applyFont="1" applyFill="1" applyBorder="1" applyAlignment="1">
      <alignment horizontal="center" vertical="center"/>
    </xf>
    <xf numFmtId="166" fontId="25" fillId="16" borderId="1" xfId="0" applyNumberFormat="1" applyFont="1" applyFill="1" applyBorder="1" applyAlignment="1">
      <alignment horizontal="right" vertical="center"/>
    </xf>
    <xf numFmtId="0" fontId="27" fillId="0" borderId="5" xfId="0" applyFont="1" applyBorder="1" applyAlignment="1" applyProtection="1">
      <alignment horizontal="center" vertical="center"/>
      <protection hidden="1"/>
    </xf>
    <xf numFmtId="171" fontId="26" fillId="19" borderId="1" xfId="0" applyNumberFormat="1" applyFont="1" applyFill="1" applyBorder="1" applyAlignment="1" applyProtection="1">
      <alignment horizontal="center" vertical="center" wrapText="1"/>
      <protection hidden="1"/>
    </xf>
    <xf numFmtId="171" fontId="26" fillId="22" borderId="1" xfId="0" applyNumberFormat="1" applyFont="1" applyFill="1" applyBorder="1" applyAlignment="1" applyProtection="1">
      <alignment horizontal="center" vertical="center" wrapText="1"/>
      <protection hidden="1"/>
    </xf>
    <xf numFmtId="16" fontId="25" fillId="0" borderId="1" xfId="0" applyNumberFormat="1" applyFont="1" applyBorder="1" applyAlignment="1" applyProtection="1">
      <alignment horizontal="center" vertical="center"/>
      <protection hidden="1"/>
    </xf>
    <xf numFmtId="171" fontId="11" fillId="27" borderId="1" xfId="0" applyNumberFormat="1" applyFont="1" applyFill="1" applyBorder="1" applyAlignment="1" applyProtection="1">
      <alignment horizontal="center" vertical="center" wrapText="1"/>
      <protection hidden="1"/>
    </xf>
    <xf numFmtId="14" fontId="5" fillId="0" borderId="0" xfId="0" applyNumberFormat="1" applyFont="1"/>
    <xf numFmtId="173" fontId="31" fillId="0" borderId="1" xfId="1" applyNumberFormat="1" applyFont="1" applyBorder="1" applyAlignment="1" applyProtection="1">
      <alignment horizontal="right" vertical="center"/>
      <protection hidden="1"/>
    </xf>
    <xf numFmtId="171" fontId="30" fillId="0" borderId="1" xfId="0" applyNumberFormat="1" applyFont="1" applyBorder="1" applyAlignment="1" applyProtection="1">
      <alignment horizontal="center" vertical="center" wrapText="1"/>
      <protection hidden="1"/>
    </xf>
    <xf numFmtId="171" fontId="11" fillId="15" borderId="1" xfId="0" applyNumberFormat="1" applyFont="1" applyFill="1" applyBorder="1" applyAlignment="1" applyProtection="1">
      <alignment horizontal="center" vertical="center" wrapText="1"/>
      <protection hidden="1"/>
    </xf>
    <xf numFmtId="0" fontId="9" fillId="0" borderId="1" xfId="1" applyNumberFormat="1" applyFont="1" applyBorder="1" applyAlignment="1" applyProtection="1">
      <alignment horizontal="right" vertical="center" wrapText="1"/>
      <protection hidden="1"/>
    </xf>
    <xf numFmtId="0" fontId="31" fillId="0" borderId="1" xfId="0" applyFont="1" applyBorder="1" applyAlignment="1" applyProtection="1">
      <alignment horizontal="center" vertical="center"/>
      <protection locked="0"/>
    </xf>
    <xf numFmtId="0" fontId="31" fillId="0" borderId="1" xfId="0" applyFont="1" applyBorder="1" applyAlignment="1" applyProtection="1">
      <alignment horizontal="left" vertical="center" wrapText="1"/>
      <protection hidden="1"/>
    </xf>
    <xf numFmtId="0" fontId="31" fillId="0" borderId="1" xfId="0" applyFont="1" applyBorder="1" applyAlignment="1" applyProtection="1">
      <alignment horizontal="center" vertical="center" wrapText="1"/>
      <protection locked="0"/>
    </xf>
    <xf numFmtId="172" fontId="31" fillId="0" borderId="6" xfId="0" applyNumberFormat="1" applyFont="1" applyBorder="1" applyAlignment="1" applyProtection="1">
      <alignment horizontal="center" vertical="center"/>
      <protection hidden="1"/>
    </xf>
    <xf numFmtId="169" fontId="33" fillId="0" borderId="1" xfId="0" applyNumberFormat="1" applyFont="1" applyBorder="1" applyAlignment="1" applyProtection="1">
      <alignment horizontal="center" vertical="center"/>
      <protection hidden="1"/>
    </xf>
    <xf numFmtId="167" fontId="31" fillId="0" borderId="8" xfId="0" applyNumberFormat="1" applyFont="1" applyBorder="1" applyAlignment="1" applyProtection="1">
      <alignment horizontal="center" vertical="center"/>
      <protection hidden="1"/>
    </xf>
    <xf numFmtId="176" fontId="31" fillId="14" borderId="1" xfId="0" applyNumberFormat="1" applyFont="1" applyFill="1" applyBorder="1" applyAlignment="1" applyProtection="1">
      <alignment horizontal="center" vertical="center"/>
      <protection hidden="1"/>
    </xf>
    <xf numFmtId="167" fontId="33" fillId="0" borderId="1" xfId="0" applyNumberFormat="1" applyFont="1" applyBorder="1" applyAlignment="1" applyProtection="1">
      <alignment horizontal="center" vertical="center"/>
      <protection hidden="1"/>
    </xf>
    <xf numFmtId="0" fontId="31" fillId="0" borderId="1" xfId="0" applyFont="1" applyBorder="1" applyAlignment="1" applyProtection="1">
      <alignment horizontal="left" vertical="center"/>
      <protection hidden="1"/>
    </xf>
    <xf numFmtId="0" fontId="31" fillId="0" borderId="1" xfId="0" applyFont="1" applyBorder="1" applyAlignment="1" applyProtection="1">
      <alignment horizontal="center" vertical="center"/>
      <protection hidden="1"/>
    </xf>
    <xf numFmtId="164" fontId="31" fillId="0" borderId="1" xfId="1" applyFont="1" applyBorder="1" applyAlignment="1" applyProtection="1">
      <alignment horizontal="center" vertical="center"/>
      <protection hidden="1"/>
    </xf>
    <xf numFmtId="164" fontId="31" fillId="0" borderId="1" xfId="1" applyFont="1" applyBorder="1" applyAlignment="1" applyProtection="1">
      <alignment horizontal="center" vertical="center" wrapText="1"/>
      <protection hidden="1"/>
    </xf>
    <xf numFmtId="172" fontId="31" fillId="0" borderId="1" xfId="0" applyNumberFormat="1" applyFont="1" applyBorder="1" applyAlignment="1" applyProtection="1">
      <alignment horizontal="center" vertical="center"/>
      <protection hidden="1"/>
    </xf>
    <xf numFmtId="171" fontId="31" fillId="0" borderId="1" xfId="0" applyNumberFormat="1" applyFont="1" applyBorder="1" applyAlignment="1" applyProtection="1">
      <alignment horizontal="center" vertical="center" wrapText="1"/>
      <protection hidden="1"/>
    </xf>
    <xf numFmtId="164" fontId="33" fillId="0" borderId="1" xfId="1" applyFont="1" applyBorder="1" applyAlignment="1" applyProtection="1">
      <alignment horizontal="center" vertical="center"/>
      <protection hidden="1"/>
    </xf>
    <xf numFmtId="170" fontId="31" fillId="16" borderId="8" xfId="0" applyNumberFormat="1" applyFont="1" applyFill="1" applyBorder="1" applyAlignment="1" applyProtection="1">
      <alignment horizontal="center" vertical="center"/>
      <protection hidden="1"/>
    </xf>
    <xf numFmtId="170" fontId="33" fillId="0" borderId="1" xfId="0" applyNumberFormat="1" applyFont="1" applyBorder="1" applyAlignment="1" applyProtection="1">
      <alignment horizontal="center" vertical="center" wrapText="1"/>
      <protection hidden="1"/>
    </xf>
    <xf numFmtId="174" fontId="31" fillId="16" borderId="1" xfId="1" applyNumberFormat="1" applyFont="1" applyFill="1" applyBorder="1" applyAlignment="1" applyProtection="1">
      <alignment horizontal="center" vertical="center"/>
      <protection hidden="1"/>
    </xf>
    <xf numFmtId="175" fontId="31" fillId="16" borderId="1" xfId="1" applyNumberFormat="1" applyFont="1" applyFill="1" applyBorder="1" applyAlignment="1" applyProtection="1">
      <alignment horizontal="center" vertical="center"/>
      <protection hidden="1"/>
    </xf>
    <xf numFmtId="170" fontId="31" fillId="16" borderId="1" xfId="0" applyNumberFormat="1" applyFont="1" applyFill="1" applyBorder="1" applyAlignment="1" applyProtection="1">
      <alignment horizontal="center" vertical="center"/>
      <protection hidden="1"/>
    </xf>
    <xf numFmtId="177" fontId="31" fillId="16" borderId="1" xfId="0" applyNumberFormat="1" applyFont="1" applyFill="1" applyBorder="1" applyAlignment="1" applyProtection="1">
      <alignment horizontal="center" vertical="center"/>
      <protection hidden="1"/>
    </xf>
    <xf numFmtId="170" fontId="33" fillId="16" borderId="1" xfId="0" applyNumberFormat="1" applyFont="1" applyFill="1" applyBorder="1" applyAlignment="1" applyProtection="1">
      <alignment horizontal="center" vertical="center"/>
      <protection hidden="1"/>
    </xf>
    <xf numFmtId="177" fontId="31" fillId="0" borderId="1" xfId="0" applyNumberFormat="1" applyFont="1" applyBorder="1" applyAlignment="1" applyProtection="1">
      <alignment horizontal="center" vertical="center"/>
      <protection hidden="1"/>
    </xf>
    <xf numFmtId="170" fontId="33" fillId="0" borderId="6" xfId="0" applyNumberFormat="1" applyFont="1" applyBorder="1" applyAlignment="1" applyProtection="1">
      <alignment horizontal="center" vertical="center"/>
      <protection hidden="1"/>
    </xf>
    <xf numFmtId="16" fontId="31" fillId="0" borderId="1" xfId="0" applyNumberFormat="1" applyFont="1" applyBorder="1" applyAlignment="1">
      <alignment horizontal="center" vertical="center"/>
    </xf>
    <xf numFmtId="173" fontId="31" fillId="0" borderId="1" xfId="0" applyNumberFormat="1" applyFont="1" applyBorder="1" applyAlignment="1">
      <alignment vertical="center"/>
    </xf>
    <xf numFmtId="16" fontId="31" fillId="16" borderId="1" xfId="0" applyNumberFormat="1" applyFont="1" applyFill="1" applyBorder="1" applyAlignment="1">
      <alignment horizontal="center" vertical="center"/>
    </xf>
    <xf numFmtId="173" fontId="31" fillId="16" borderId="1" xfId="0" applyNumberFormat="1" applyFont="1" applyFill="1" applyBorder="1" applyAlignment="1">
      <alignment vertical="center"/>
    </xf>
    <xf numFmtId="16" fontId="31" fillId="16" borderId="8" xfId="0" applyNumberFormat="1" applyFont="1" applyFill="1" applyBorder="1" applyAlignment="1">
      <alignment horizontal="center" vertical="center"/>
    </xf>
    <xf numFmtId="173" fontId="31" fillId="16" borderId="6" xfId="0" applyNumberFormat="1" applyFont="1" applyFill="1" applyBorder="1" applyAlignment="1">
      <alignment vertical="center"/>
    </xf>
    <xf numFmtId="166" fontId="33" fillId="0" borderId="5" xfId="0" applyNumberFormat="1" applyFont="1" applyBorder="1" applyAlignment="1" applyProtection="1">
      <alignment horizontal="center" vertical="center"/>
      <protection hidden="1"/>
    </xf>
    <xf numFmtId="0" fontId="33" fillId="0" borderId="5" xfId="0" applyFont="1" applyBorder="1" applyAlignment="1" applyProtection="1">
      <alignment horizontal="center" vertical="center"/>
      <protection hidden="1"/>
    </xf>
    <xf numFmtId="165" fontId="33" fillId="16" borderId="5" xfId="7" applyFont="1" applyFill="1" applyBorder="1" applyAlignment="1" applyProtection="1">
      <alignment horizontal="center" vertical="center"/>
      <protection hidden="1"/>
    </xf>
    <xf numFmtId="0" fontId="33" fillId="16" borderId="5" xfId="0" applyFont="1" applyFill="1" applyBorder="1" applyAlignment="1" applyProtection="1">
      <alignment horizontal="center" vertical="center"/>
      <protection hidden="1"/>
    </xf>
    <xf numFmtId="172" fontId="31" fillId="16" borderId="1" xfId="0" applyNumberFormat="1" applyFont="1" applyFill="1" applyBorder="1" applyAlignment="1" applyProtection="1">
      <alignment horizontal="center" vertical="center"/>
      <protection hidden="1"/>
    </xf>
    <xf numFmtId="175" fontId="33" fillId="17" borderId="1" xfId="1" applyNumberFormat="1" applyFont="1" applyFill="1" applyBorder="1" applyAlignment="1" applyProtection="1">
      <alignment horizontal="center" vertical="center"/>
      <protection hidden="1"/>
    </xf>
    <xf numFmtId="0" fontId="31" fillId="16" borderId="1" xfId="0" applyFont="1" applyFill="1" applyBorder="1" applyAlignment="1" applyProtection="1">
      <alignment horizontal="center" vertical="center"/>
      <protection hidden="1"/>
    </xf>
    <xf numFmtId="175" fontId="33" fillId="22" borderId="1" xfId="1" applyNumberFormat="1" applyFont="1" applyFill="1" applyBorder="1" applyAlignment="1" applyProtection="1">
      <alignment horizontal="center" vertical="center"/>
      <protection hidden="1"/>
    </xf>
    <xf numFmtId="0" fontId="32" fillId="0" borderId="1" xfId="0" applyFont="1" applyBorder="1" applyAlignment="1">
      <alignment horizontal="center" vertical="center"/>
      <extLst>
        <ext xmlns:xfpb="http://schemas.microsoft.com/office/spreadsheetml/2022/featurepropertybag" uri="{C7286773-470A-42A8-94C5-96B5CB345126}">
          <xfpb:xfComplement i="0"/>
        </ext>
      </extLst>
    </xf>
    <xf numFmtId="0" fontId="32" fillId="0" borderId="1" xfId="0" applyFont="1" applyBorder="1" applyAlignment="1">
      <alignment horizontal="center" vertical="center"/>
    </xf>
    <xf numFmtId="0" fontId="32" fillId="0" borderId="1" xfId="0" applyFont="1" applyBorder="1"/>
    <xf numFmtId="171" fontId="30" fillId="7" borderId="1" xfId="0" applyNumberFormat="1" applyFont="1" applyFill="1" applyBorder="1" applyAlignment="1" applyProtection="1">
      <alignment horizontal="center" vertical="center" wrapText="1"/>
      <protection hidden="1"/>
    </xf>
    <xf numFmtId="175" fontId="31" fillId="0" borderId="1" xfId="1" applyNumberFormat="1" applyFont="1" applyBorder="1" applyAlignment="1" applyProtection="1">
      <alignment horizontal="center" vertical="center"/>
      <protection hidden="1"/>
    </xf>
    <xf numFmtId="171" fontId="30" fillId="23" borderId="1" xfId="0" applyNumberFormat="1" applyFont="1" applyFill="1" applyBorder="1" applyAlignment="1" applyProtection="1">
      <alignment horizontal="center" vertical="center" wrapText="1"/>
      <protection hidden="1"/>
    </xf>
    <xf numFmtId="171" fontId="30" fillId="17" borderId="1" xfId="0" applyNumberFormat="1" applyFont="1" applyFill="1" applyBorder="1" applyAlignment="1" applyProtection="1">
      <alignment horizontal="center" vertical="center" wrapText="1"/>
      <protection hidden="1"/>
    </xf>
    <xf numFmtId="171" fontId="11" fillId="28" borderId="1" xfId="0" applyNumberFormat="1" applyFont="1" applyFill="1" applyBorder="1" applyAlignment="1" applyProtection="1">
      <alignment horizontal="center" vertical="center" wrapText="1"/>
      <protection hidden="1"/>
    </xf>
    <xf numFmtId="171" fontId="30" fillId="16" borderId="1" xfId="0" applyNumberFormat="1" applyFont="1" applyFill="1" applyBorder="1" applyAlignment="1" applyProtection="1">
      <alignment horizontal="center" vertical="center" wrapText="1"/>
      <protection hidden="1"/>
    </xf>
    <xf numFmtId="171" fontId="31" fillId="16" borderId="1" xfId="0" applyNumberFormat="1" applyFont="1" applyFill="1" applyBorder="1" applyAlignment="1" applyProtection="1">
      <alignment horizontal="center" vertical="center" wrapText="1"/>
      <protection hidden="1"/>
    </xf>
    <xf numFmtId="173" fontId="31" fillId="16" borderId="1" xfId="1" applyNumberFormat="1" applyFont="1" applyFill="1" applyBorder="1" applyAlignment="1" applyProtection="1">
      <alignment horizontal="right" vertical="center"/>
      <protection hidden="1"/>
    </xf>
    <xf numFmtId="170" fontId="31" fillId="16" borderId="6" xfId="0" applyNumberFormat="1" applyFont="1" applyFill="1" applyBorder="1" applyAlignment="1" applyProtection="1">
      <alignment horizontal="center" vertical="center" wrapText="1"/>
      <protection hidden="1"/>
    </xf>
    <xf numFmtId="171" fontId="30" fillId="2" borderId="1" xfId="0" applyNumberFormat="1" applyFont="1" applyFill="1" applyBorder="1" applyAlignment="1" applyProtection="1">
      <alignment horizontal="center" vertical="center" wrapText="1"/>
      <protection hidden="1"/>
    </xf>
    <xf numFmtId="175" fontId="33" fillId="2" borderId="6" xfId="1" applyNumberFormat="1" applyFont="1" applyFill="1" applyBorder="1" applyAlignment="1" applyProtection="1">
      <alignment horizontal="center" vertical="center"/>
      <protection hidden="1"/>
    </xf>
    <xf numFmtId="16" fontId="31" fillId="0" borderId="1" xfId="0" applyNumberFormat="1" applyFont="1" applyBorder="1" applyAlignment="1" applyProtection="1">
      <alignment horizontal="center" vertical="center"/>
      <protection hidden="1"/>
    </xf>
    <xf numFmtId="16" fontId="9" fillId="0" borderId="11" xfId="0" applyNumberFormat="1" applyFont="1" applyBorder="1" applyAlignment="1" applyProtection="1">
      <alignment horizontal="center" vertical="center"/>
      <protection hidden="1"/>
    </xf>
    <xf numFmtId="16" fontId="31" fillId="0" borderId="11" xfId="0" applyNumberFormat="1" applyFont="1" applyBorder="1" applyAlignment="1" applyProtection="1">
      <alignment horizontal="center" vertical="center"/>
      <protection hidden="1"/>
    </xf>
    <xf numFmtId="0" fontId="5" fillId="16" borderId="0" xfId="0" applyFont="1" applyFill="1"/>
    <xf numFmtId="0" fontId="9" fillId="16" borderId="1" xfId="0" applyFont="1" applyFill="1" applyBorder="1" applyAlignment="1" applyProtection="1">
      <alignment horizontal="center" vertical="center"/>
      <protection locked="0"/>
    </xf>
    <xf numFmtId="0" fontId="9" fillId="16" borderId="1" xfId="0" applyFont="1" applyFill="1" applyBorder="1" applyAlignment="1" applyProtection="1">
      <alignment horizontal="left" vertical="center" wrapText="1"/>
      <protection hidden="1"/>
    </xf>
    <xf numFmtId="0" fontId="9" fillId="16" borderId="1" xfId="0" applyFont="1" applyFill="1" applyBorder="1" applyAlignment="1" applyProtection="1">
      <alignment horizontal="center" vertical="center" wrapText="1"/>
      <protection locked="0"/>
    </xf>
    <xf numFmtId="172" fontId="9" fillId="16" borderId="6" xfId="0" applyNumberFormat="1" applyFont="1" applyFill="1" applyBorder="1" applyAlignment="1" applyProtection="1">
      <alignment horizontal="center" vertical="center"/>
      <protection hidden="1"/>
    </xf>
    <xf numFmtId="169" fontId="8" fillId="16" borderId="1" xfId="0" applyNumberFormat="1" applyFont="1" applyFill="1" applyBorder="1" applyAlignment="1" applyProtection="1">
      <alignment horizontal="center" vertical="center"/>
      <protection hidden="1"/>
    </xf>
    <xf numFmtId="167" fontId="9" fillId="16" borderId="8" xfId="0" applyNumberFormat="1" applyFont="1" applyFill="1" applyBorder="1" applyAlignment="1" applyProtection="1">
      <alignment horizontal="center" vertical="center"/>
      <protection hidden="1"/>
    </xf>
    <xf numFmtId="176" fontId="9" fillId="16" borderId="1" xfId="0" applyNumberFormat="1" applyFont="1" applyFill="1" applyBorder="1" applyAlignment="1" applyProtection="1">
      <alignment horizontal="center" vertical="center"/>
      <protection hidden="1"/>
    </xf>
    <xf numFmtId="167" fontId="8" fillId="16" borderId="1" xfId="0" applyNumberFormat="1" applyFont="1" applyFill="1" applyBorder="1" applyAlignment="1" applyProtection="1">
      <alignment horizontal="center" vertical="center"/>
      <protection hidden="1"/>
    </xf>
    <xf numFmtId="0" fontId="9" fillId="16" borderId="1" xfId="0" applyFont="1" applyFill="1" applyBorder="1" applyAlignment="1" applyProtection="1">
      <alignment horizontal="left" vertical="center"/>
      <protection hidden="1"/>
    </xf>
    <xf numFmtId="164" fontId="9" fillId="16" borderId="1" xfId="1" applyFont="1" applyFill="1" applyBorder="1" applyAlignment="1" applyProtection="1">
      <alignment horizontal="center" vertical="center"/>
      <protection hidden="1"/>
    </xf>
    <xf numFmtId="164" fontId="9" fillId="16" borderId="1" xfId="1" applyFont="1" applyFill="1" applyBorder="1" applyAlignment="1" applyProtection="1">
      <alignment horizontal="center" vertical="center" wrapText="1"/>
      <protection hidden="1"/>
    </xf>
    <xf numFmtId="171" fontId="22" fillId="16" borderId="1" xfId="0" applyNumberFormat="1" applyFont="1" applyFill="1" applyBorder="1" applyAlignment="1" applyProtection="1">
      <alignment horizontal="center" vertical="center" wrapText="1"/>
      <protection hidden="1"/>
    </xf>
    <xf numFmtId="173" fontId="20" fillId="16" borderId="1" xfId="1" applyNumberFormat="1" applyFont="1" applyFill="1" applyBorder="1" applyAlignment="1" applyProtection="1">
      <alignment horizontal="right" vertical="center"/>
      <protection hidden="1"/>
    </xf>
    <xf numFmtId="0" fontId="21" fillId="16" borderId="1" xfId="0" applyFont="1" applyFill="1" applyBorder="1" applyAlignment="1">
      <alignment horizontal="center" vertical="center"/>
      <extLst>
        <ext xmlns:xfpb="http://schemas.microsoft.com/office/spreadsheetml/2022/featurepropertybag" uri="{C7286773-470A-42A8-94C5-96B5CB345126}">
          <xfpb:xfComplement i="0"/>
        </ext>
      </extLst>
    </xf>
    <xf numFmtId="0" fontId="5" fillId="16" borderId="1" xfId="0" applyFont="1" applyFill="1" applyBorder="1" applyAlignment="1">
      <alignment horizontal="center" vertical="center"/>
    </xf>
    <xf numFmtId="0" fontId="5" fillId="16" borderId="1" xfId="0" applyFont="1" applyFill="1" applyBorder="1"/>
    <xf numFmtId="170" fontId="29" fillId="16" borderId="6" xfId="0" applyNumberFormat="1" applyFont="1" applyFill="1" applyBorder="1" applyAlignment="1" applyProtection="1">
      <alignment horizontal="center" vertical="center" wrapText="1"/>
      <protection hidden="1"/>
    </xf>
    <xf numFmtId="16" fontId="20" fillId="16" borderId="1" xfId="0" applyNumberFormat="1" applyFont="1" applyFill="1" applyBorder="1" applyAlignment="1" applyProtection="1">
      <alignment horizontal="center" vertical="center"/>
      <protection hidden="1"/>
    </xf>
    <xf numFmtId="175" fontId="31" fillId="0" borderId="1" xfId="1" applyNumberFormat="1" applyFont="1" applyFill="1" applyBorder="1" applyAlignment="1" applyProtection="1">
      <alignment horizontal="center" vertical="center"/>
      <protection hidden="1"/>
    </xf>
    <xf numFmtId="171" fontId="30" fillId="28" borderId="1" xfId="0" applyNumberFormat="1" applyFont="1" applyFill="1" applyBorder="1" applyAlignment="1" applyProtection="1">
      <alignment horizontal="center" vertical="center" wrapText="1"/>
      <protection hidden="1"/>
    </xf>
    <xf numFmtId="173" fontId="35" fillId="0" borderId="1" xfId="1" applyNumberFormat="1" applyFont="1" applyBorder="1" applyAlignment="1" applyProtection="1">
      <alignment horizontal="right" vertical="center"/>
      <protection hidden="1"/>
    </xf>
    <xf numFmtId="171" fontId="35" fillId="0" borderId="1" xfId="0" applyNumberFormat="1" applyFont="1" applyBorder="1" applyAlignment="1" applyProtection="1">
      <alignment horizontal="center" vertical="center" wrapText="1"/>
      <protection hidden="1"/>
    </xf>
    <xf numFmtId="172" fontId="35" fillId="0" borderId="1" xfId="0" applyNumberFormat="1" applyFont="1" applyBorder="1" applyAlignment="1" applyProtection="1">
      <alignment horizontal="center" vertical="center"/>
      <protection hidden="1"/>
    </xf>
    <xf numFmtId="171" fontId="34" fillId="7" borderId="1" xfId="0" applyNumberFormat="1" applyFont="1" applyFill="1" applyBorder="1" applyAlignment="1" applyProtection="1">
      <alignment horizontal="center" vertical="center" wrapText="1"/>
      <protection hidden="1"/>
    </xf>
    <xf numFmtId="0" fontId="12" fillId="2" borderId="16" xfId="0" applyFont="1" applyFill="1" applyBorder="1" applyAlignment="1" applyProtection="1">
      <alignment horizontal="center" vertical="center"/>
      <protection hidden="1"/>
    </xf>
    <xf numFmtId="170" fontId="33" fillId="0" borderId="1" xfId="0" applyNumberFormat="1" applyFont="1" applyBorder="1" applyAlignment="1" applyProtection="1">
      <alignment horizontal="center" vertical="center"/>
      <protection hidden="1"/>
    </xf>
    <xf numFmtId="16" fontId="8" fillId="0" borderId="7" xfId="0" applyNumberFormat="1" applyFont="1" applyBorder="1" applyAlignment="1">
      <alignment horizontal="center" vertical="center"/>
    </xf>
    <xf numFmtId="16" fontId="8" fillId="0" borderId="8" xfId="0" applyNumberFormat="1" applyFont="1" applyBorder="1" applyAlignment="1">
      <alignment horizontal="center" vertical="center"/>
    </xf>
    <xf numFmtId="16" fontId="8" fillId="0" borderId="10" xfId="0" applyNumberFormat="1" applyFont="1" applyBorder="1" applyAlignment="1">
      <alignment horizontal="center" vertical="center"/>
    </xf>
    <xf numFmtId="16" fontId="8" fillId="0" borderId="11" xfId="0" applyNumberFormat="1" applyFont="1" applyBorder="1" applyAlignment="1">
      <alignment horizontal="center" vertical="center"/>
    </xf>
    <xf numFmtId="16" fontId="8" fillId="16" borderId="8" xfId="0" applyNumberFormat="1" applyFont="1" applyFill="1" applyBorder="1" applyAlignment="1">
      <alignment horizontal="center" vertical="center"/>
    </xf>
    <xf numFmtId="16" fontId="8" fillId="16" borderId="7" xfId="0" applyNumberFormat="1" applyFont="1" applyFill="1" applyBorder="1" applyAlignment="1">
      <alignment horizontal="center" vertical="center"/>
    </xf>
    <xf numFmtId="16" fontId="25" fillId="16" borderId="8" xfId="0" applyNumberFormat="1" applyFont="1" applyFill="1" applyBorder="1" applyAlignment="1">
      <alignment horizontal="center" vertical="center"/>
    </xf>
    <xf numFmtId="170" fontId="8" fillId="0" borderId="7" xfId="0" applyNumberFormat="1" applyFont="1" applyBorder="1" applyAlignment="1" applyProtection="1">
      <alignment horizontal="center" vertical="center"/>
      <protection hidden="1"/>
    </xf>
    <xf numFmtId="171" fontId="34" fillId="0" borderId="1" xfId="0" applyNumberFormat="1" applyFont="1" applyBorder="1" applyAlignment="1" applyProtection="1">
      <alignment horizontal="center" vertical="center" wrapText="1"/>
      <protection hidden="1"/>
    </xf>
    <xf numFmtId="171" fontId="11" fillId="29" borderId="1" xfId="0" applyNumberFormat="1" applyFont="1" applyFill="1" applyBorder="1" applyAlignment="1" applyProtection="1">
      <alignment horizontal="center" vertical="center" wrapText="1"/>
      <protection hidden="1"/>
    </xf>
    <xf numFmtId="172" fontId="9" fillId="0" borderId="20" xfId="0" applyNumberFormat="1" applyFont="1" applyBorder="1" applyAlignment="1" applyProtection="1">
      <alignment horizontal="center" vertical="center"/>
      <protection hidden="1"/>
    </xf>
    <xf numFmtId="16" fontId="31" fillId="16" borderId="1" xfId="0" applyNumberFormat="1" applyFont="1" applyFill="1" applyBorder="1" applyAlignment="1" applyProtection="1">
      <alignment horizontal="center" vertical="center"/>
      <protection hidden="1"/>
    </xf>
    <xf numFmtId="0" fontId="10" fillId="10" borderId="1" xfId="0" applyFont="1" applyFill="1" applyBorder="1" applyAlignment="1" applyProtection="1">
      <alignment horizontal="center" vertical="center"/>
      <protection hidden="1"/>
    </xf>
    <xf numFmtId="0" fontId="10" fillId="11" borderId="1" xfId="0" applyFont="1" applyFill="1" applyBorder="1" applyAlignment="1" applyProtection="1">
      <alignment horizontal="center" vertical="center"/>
      <protection hidden="1"/>
    </xf>
    <xf numFmtId="167" fontId="10" fillId="11" borderId="1" xfId="0" applyNumberFormat="1" applyFont="1" applyFill="1" applyBorder="1" applyAlignment="1" applyProtection="1">
      <alignment horizontal="center" vertical="center"/>
      <protection hidden="1"/>
    </xf>
    <xf numFmtId="0" fontId="10" fillId="4" borderId="1" xfId="0" applyFont="1" applyFill="1" applyBorder="1" applyAlignment="1" applyProtection="1">
      <alignment horizontal="center" vertical="center"/>
      <protection hidden="1"/>
    </xf>
    <xf numFmtId="0" fontId="10" fillId="6" borderId="1" xfId="0" applyFont="1" applyFill="1" applyBorder="1" applyAlignment="1" applyProtection="1">
      <alignment horizontal="center" vertical="center"/>
      <protection hidden="1"/>
    </xf>
    <xf numFmtId="0" fontId="10" fillId="12" borderId="1" xfId="0" applyFont="1" applyFill="1" applyBorder="1" applyAlignment="1" applyProtection="1">
      <alignment horizontal="center" vertical="center"/>
      <protection hidden="1"/>
    </xf>
    <xf numFmtId="0" fontId="10" fillId="9" borderId="1" xfId="0" applyFont="1" applyFill="1" applyBorder="1" applyAlignment="1" applyProtection="1">
      <alignment horizontal="center" vertical="center"/>
      <protection hidden="1"/>
    </xf>
    <xf numFmtId="0" fontId="10" fillId="2" borderId="2" xfId="0" applyFont="1" applyFill="1" applyBorder="1" applyAlignment="1" applyProtection="1">
      <alignment horizontal="center" vertical="center"/>
      <protection hidden="1"/>
    </xf>
    <xf numFmtId="0" fontId="10" fillId="2" borderId="9" xfId="0" applyFont="1" applyFill="1" applyBorder="1" applyAlignment="1" applyProtection="1">
      <alignment horizontal="center" vertical="center"/>
      <protection hidden="1"/>
    </xf>
    <xf numFmtId="0" fontId="3" fillId="17" borderId="1" xfId="0" applyFont="1" applyFill="1" applyBorder="1" applyAlignment="1">
      <alignment horizontal="center" vertical="center"/>
    </xf>
    <xf numFmtId="0" fontId="14" fillId="17" borderId="1" xfId="0" applyFont="1" applyFill="1" applyBorder="1" applyAlignment="1">
      <alignment horizontal="center" vertical="center"/>
    </xf>
    <xf numFmtId="0" fontId="14" fillId="2" borderId="1" xfId="0" applyFont="1" applyFill="1" applyBorder="1" applyAlignment="1">
      <alignment horizontal="center" vertical="center"/>
    </xf>
    <xf numFmtId="0" fontId="14" fillId="26" borderId="1" xfId="8" applyFont="1" applyFill="1" applyBorder="1" applyAlignment="1">
      <alignment horizontal="center" vertical="center"/>
    </xf>
    <xf numFmtId="0" fontId="14" fillId="26" borderId="8" xfId="8" applyFont="1" applyFill="1" applyBorder="1" applyAlignment="1">
      <alignment horizontal="center" vertical="center"/>
    </xf>
    <xf numFmtId="0" fontId="14" fillId="25" borderId="4" xfId="8" applyFont="1" applyFill="1" applyBorder="1" applyAlignment="1">
      <alignment horizontal="center" vertical="center"/>
    </xf>
    <xf numFmtId="0" fontId="7" fillId="0" borderId="0" xfId="0" applyFont="1" applyAlignment="1"/>
  </cellXfs>
  <cellStyles count="9">
    <cellStyle name="20% - Accent1" xfId="6" builtinId="30"/>
    <cellStyle name="Comma" xfId="1" builtinId="3"/>
    <cellStyle name="Currency" xfId="7" builtinId="4"/>
    <cellStyle name="Millares 2" xfId="4" xr:uid="{00000000-0005-0000-0000-000001000000}"/>
    <cellStyle name="Moneda 2" xfId="3" xr:uid="{00000000-0005-0000-0000-000003000000}"/>
    <cellStyle name="Normal" xfId="0" builtinId="0"/>
    <cellStyle name="Normal 2" xfId="2" xr:uid="{00000000-0005-0000-0000-000005000000}"/>
    <cellStyle name="Normal 3" xfId="5" xr:uid="{F9B44CE1-BC87-4150-91B1-20E7F0C20D95}"/>
    <cellStyle name="Normal 6" xfId="8" xr:uid="{FF513EDD-585C-46C2-B2EF-2DE80C95BBA9}"/>
  </cellStyles>
  <dxfs count="5336">
    <dxf>
      <font>
        <strike val="0"/>
        <outline val="0"/>
        <shadow val="0"/>
        <u val="none"/>
        <vertAlign val="baseline"/>
        <sz val="10"/>
        <name val="Arial"/>
        <family val="2"/>
        <scheme val="none"/>
      </font>
      <alignment textRotation="0" wrapText="0" indent="0" justifyLastLine="0" shrinkToFit="0" readingOrder="0"/>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ill>
        <patternFill>
          <bgColor rgb="FFC7E8A6"/>
        </patternFill>
      </fill>
    </dxf>
    <dxf>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ont>
        <color rgb="FF9C0006"/>
      </font>
      <fill>
        <patternFill>
          <bgColor rgb="FFFFC7CE"/>
        </patternFill>
      </fill>
    </dxf>
    <dxf>
      <fill>
        <patternFill>
          <bgColor rgb="FFFFC7CE"/>
        </patternFill>
      </fill>
    </dxf>
    <dxf>
      <font>
        <strike val="0"/>
        <color theme="1"/>
      </font>
      <fill>
        <patternFill>
          <bgColor rgb="FFFF797C"/>
        </patternFill>
      </fill>
    </dxf>
    <dxf>
      <font>
        <color rgb="FF9C0006"/>
      </font>
      <fill>
        <patternFill>
          <bgColor rgb="FFFFC7CE"/>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C7E8A6"/>
        </patternFill>
      </fill>
    </dxf>
    <dxf>
      <fill>
        <patternFill>
          <bgColor rgb="FFF4FAE0"/>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9" tint="0.59996337778862885"/>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C7E8A6"/>
        </patternFill>
      </fill>
    </dxf>
    <dxf>
      <fill>
        <patternFill>
          <bgColor rgb="FFF4FAE0"/>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C7E8A6"/>
        </patternFill>
      </fill>
    </dxf>
    <dxf>
      <fill>
        <patternFill>
          <bgColor rgb="FFF4FAE0"/>
        </patternFill>
      </fill>
    </dxf>
    <dxf>
      <fill>
        <patternFill>
          <bgColor theme="8" tint="0.79998168889431442"/>
        </patternFill>
      </fill>
    </dxf>
    <dxf>
      <fill>
        <patternFill>
          <bgColor theme="8" tint="0.79998168889431442"/>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rgb="FFF4FAE0"/>
        </patternFill>
      </fill>
    </dxf>
    <dxf>
      <fill>
        <patternFill>
          <bgColor theme="8" tint="0.79998168889431442"/>
        </patternFill>
      </fill>
    </dxf>
    <dxf>
      <fill>
        <patternFill>
          <bgColor theme="8" tint="0.79998168889431442"/>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rgb="FFF4FAE0"/>
        </patternFill>
      </fill>
    </dxf>
    <dxf>
      <fill>
        <patternFill>
          <bgColor theme="8" tint="0.79998168889431442"/>
        </patternFill>
      </fill>
    </dxf>
    <dxf>
      <fill>
        <patternFill>
          <bgColor theme="8" tint="0.79998168889431442"/>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rgb="FFF4FAE0"/>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C7E8A6"/>
        </patternFill>
      </fill>
    </dxf>
    <dxf>
      <fill>
        <patternFill>
          <bgColor rgb="FFF4FAE0"/>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C7E8A6"/>
        </patternFill>
      </fill>
    </dxf>
    <dxf>
      <fill>
        <patternFill>
          <bgColor rgb="FFF4FAE0"/>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C7E8A6"/>
        </patternFill>
      </fill>
    </dxf>
    <dxf>
      <fill>
        <patternFill>
          <bgColor rgb="FFF4FAE0"/>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rgb="FFFABAB9"/>
        </patternFill>
      </fill>
    </dxf>
    <dxf>
      <fill>
        <patternFill>
          <bgColor rgb="FFFABAB9"/>
        </patternFill>
      </fill>
    </dxf>
    <dxf>
      <fill>
        <patternFill>
          <bgColor theme="8" tint="0.79998168889431442"/>
        </patternFill>
      </fill>
    </dxf>
    <dxf>
      <fill>
        <patternFill>
          <bgColor theme="9" tint="0.59996337778862885"/>
        </patternFill>
      </fill>
    </dxf>
    <dxf>
      <fill>
        <patternFill>
          <bgColor theme="8" tint="0.79998168889431442"/>
        </patternFill>
      </fill>
    </dxf>
    <dxf>
      <fill>
        <patternFill>
          <bgColor theme="8" tint="0.79998168889431442"/>
        </patternFill>
      </fill>
    </dxf>
    <dxf>
      <fill>
        <patternFill>
          <bgColor rgb="FFFABAB9"/>
        </patternFill>
      </fill>
    </dxf>
    <dxf>
      <fill>
        <patternFill>
          <bgColor theme="9" tint="0.59996337778862885"/>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rgb="FFFABAB9"/>
        </patternFill>
      </fill>
    </dxf>
    <dxf>
      <fill>
        <patternFill>
          <bgColor rgb="FFFABAB9"/>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rgb="FFFABAB9"/>
        </patternFill>
      </fill>
    </dxf>
    <dxf>
      <fill>
        <patternFill>
          <bgColor rgb="FFF4FAE0"/>
        </patternFill>
      </fill>
    </dxf>
    <dxf>
      <fill>
        <patternFill>
          <bgColor rgb="FFC7E8A6"/>
        </patternFill>
      </fill>
    </dxf>
    <dxf>
      <fill>
        <patternFill>
          <bgColor rgb="FFFABAB9"/>
        </patternFill>
      </fill>
    </dxf>
    <dxf>
      <fill>
        <patternFill>
          <bgColor rgb="FFF4FAE0"/>
        </patternFill>
      </fill>
    </dxf>
    <dxf>
      <fill>
        <patternFill>
          <bgColor rgb="FFC7E8A6"/>
        </patternFill>
      </fill>
    </dxf>
    <dxf>
      <fill>
        <patternFill>
          <bgColor rgb="FFFABAB9"/>
        </patternFill>
      </fill>
    </dxf>
    <dxf>
      <fill>
        <patternFill>
          <bgColor rgb="FFF4FAE0"/>
        </patternFill>
      </fill>
    </dxf>
    <dxf>
      <fill>
        <patternFill>
          <bgColor rgb="FFC7E8A6"/>
        </patternFill>
      </fill>
    </dxf>
    <dxf>
      <fill>
        <patternFill>
          <bgColor rgb="FFFABAB9"/>
        </patternFill>
      </fill>
    </dxf>
    <dxf>
      <fill>
        <patternFill>
          <bgColor rgb="FFF4FAE0"/>
        </patternFill>
      </fill>
    </dxf>
    <dxf>
      <fill>
        <patternFill>
          <bgColor rgb="FFC7E8A6"/>
        </patternFill>
      </fill>
    </dxf>
    <dxf>
      <fill>
        <patternFill>
          <bgColor rgb="FFFABAB9"/>
        </patternFill>
      </fill>
    </dxf>
    <dxf>
      <fill>
        <patternFill>
          <bgColor rgb="FFF4FAE0"/>
        </patternFill>
      </fill>
    </dxf>
    <dxf>
      <fill>
        <patternFill>
          <bgColor rgb="FFC7E8A6"/>
        </patternFill>
      </fill>
    </dxf>
    <dxf>
      <fill>
        <patternFill>
          <bgColor rgb="FFFABAB9"/>
        </patternFill>
      </fill>
    </dxf>
    <dxf>
      <fill>
        <patternFill>
          <bgColor rgb="FFF4FAE0"/>
        </patternFill>
      </fill>
    </dxf>
    <dxf>
      <fill>
        <patternFill>
          <bgColor rgb="FFC7E8A6"/>
        </patternFill>
      </fill>
    </dxf>
    <dxf>
      <fill>
        <patternFill>
          <bgColor rgb="FFFABAB9"/>
        </patternFill>
      </fill>
    </dxf>
    <dxf>
      <fill>
        <patternFill>
          <bgColor rgb="FFF4FAE0"/>
        </patternFill>
      </fill>
    </dxf>
    <dxf>
      <fill>
        <patternFill>
          <bgColor rgb="FFC7E8A6"/>
        </patternFill>
      </fill>
    </dxf>
    <dxf>
      <fill>
        <patternFill>
          <bgColor rgb="FFFABAB9"/>
        </patternFill>
      </fill>
    </dxf>
    <dxf>
      <fill>
        <patternFill>
          <bgColor rgb="FFF4FAE0"/>
        </patternFill>
      </fill>
    </dxf>
    <dxf>
      <fill>
        <patternFill>
          <bgColor rgb="FFC7E8A6"/>
        </patternFill>
      </fill>
    </dxf>
    <dxf>
      <fill>
        <patternFill>
          <bgColor rgb="FFFABAB9"/>
        </patternFill>
      </fill>
    </dxf>
    <dxf>
      <fill>
        <patternFill>
          <bgColor rgb="FFF4FAE0"/>
        </patternFill>
      </fill>
    </dxf>
    <dxf>
      <fill>
        <patternFill>
          <bgColor rgb="FFC7E8A6"/>
        </patternFill>
      </fill>
    </dxf>
    <dxf>
      <fill>
        <patternFill>
          <bgColor rgb="FFFABAB9"/>
        </patternFill>
      </fill>
    </dxf>
    <dxf>
      <fill>
        <patternFill>
          <bgColor rgb="FFF4FAE0"/>
        </patternFill>
      </fill>
    </dxf>
    <dxf>
      <fill>
        <patternFill>
          <bgColor rgb="FFC7E8A6"/>
        </patternFill>
      </fill>
    </dxf>
    <dxf>
      <fill>
        <patternFill>
          <bgColor rgb="FFFABAB9"/>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C7E8A6"/>
        </patternFill>
      </fill>
    </dxf>
    <dxf>
      <fill>
        <patternFill>
          <bgColor theme="8" tint="0.79998168889431442"/>
        </patternFill>
      </fill>
    </dxf>
    <dxf>
      <fill>
        <patternFill>
          <bgColor rgb="FFC7E8A6"/>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C7E8A6"/>
        </patternFill>
      </fill>
    </dxf>
    <dxf>
      <fill>
        <patternFill>
          <bgColor theme="8" tint="0.79998168889431442"/>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C7E8A6"/>
        </patternFill>
      </fill>
    </dxf>
    <dxf>
      <fill>
        <patternFill>
          <bgColor theme="8" tint="0.79998168889431442"/>
        </patternFill>
      </fill>
    </dxf>
    <dxf>
      <fill>
        <patternFill>
          <bgColor rgb="FFC7E8A6"/>
        </patternFill>
      </fill>
    </dxf>
    <dxf>
      <fill>
        <patternFill>
          <bgColor theme="8" tint="0.79998168889431442"/>
        </patternFill>
      </fill>
    </dxf>
    <dxf>
      <fill>
        <patternFill>
          <bgColor rgb="FFC7E8A6"/>
        </patternFill>
      </fill>
    </dxf>
    <dxf>
      <fill>
        <patternFill>
          <bgColor theme="8" tint="0.79998168889431442"/>
        </patternFill>
      </fill>
    </dxf>
    <dxf>
      <fill>
        <patternFill>
          <bgColor theme="8" tint="0.79998168889431442"/>
        </patternFill>
      </fill>
    </dxf>
    <dxf>
      <fill>
        <patternFill>
          <bgColor rgb="FFC7E8A6"/>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C7E8A6"/>
        </patternFill>
      </fill>
    </dxf>
    <dxf>
      <fill>
        <patternFill>
          <bgColor theme="8" tint="0.79998168889431442"/>
        </patternFill>
      </fill>
    </dxf>
    <dxf>
      <fill>
        <patternFill>
          <bgColor rgb="FFC7E8A6"/>
        </patternFill>
      </fill>
    </dxf>
    <dxf>
      <fill>
        <patternFill>
          <bgColor theme="8" tint="0.79998168889431442"/>
        </patternFill>
      </fill>
    </dxf>
    <dxf>
      <fill>
        <patternFill>
          <bgColor theme="8" tint="0.79998168889431442"/>
        </patternFill>
      </fill>
    </dxf>
    <dxf>
      <fill>
        <patternFill>
          <bgColor rgb="FFC7E8A6"/>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rgb="FFFABAB9"/>
        </patternFill>
      </fill>
    </dxf>
    <dxf>
      <fill>
        <patternFill>
          <bgColor rgb="FFFABAB9"/>
        </patternFill>
      </fill>
    </dxf>
    <dxf>
      <fill>
        <patternFill>
          <bgColor rgb="FFC7E8A6"/>
        </patternFill>
      </fill>
    </dxf>
    <dxf>
      <fill>
        <patternFill>
          <bgColor theme="8" tint="0.79998168889431442"/>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rgb="FFC7E8A6"/>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C7E8A6"/>
        </patternFill>
      </fill>
    </dxf>
    <dxf>
      <fill>
        <patternFill>
          <bgColor theme="8" tint="0.79998168889431442"/>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C7E8A6"/>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theme="8" tint="0.79998168889431442"/>
        </patternFill>
      </fill>
    </dxf>
    <dxf>
      <fill>
        <patternFill>
          <bgColor rgb="FFC7E8A6"/>
        </patternFill>
      </fill>
    </dxf>
    <dxf>
      <fill>
        <patternFill>
          <bgColor theme="8" tint="0.79998168889431442"/>
        </patternFill>
      </fill>
    </dxf>
    <dxf>
      <fill>
        <patternFill>
          <bgColor rgb="FFC7E8A6"/>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rgb="FFC7E8A6"/>
        </patternFill>
      </fill>
    </dxf>
    <dxf>
      <fill>
        <patternFill>
          <bgColor theme="8" tint="0.79998168889431442"/>
        </patternFill>
      </fill>
    </dxf>
    <dxf>
      <fill>
        <patternFill>
          <bgColor rgb="FFF4FAE0"/>
        </patternFill>
      </fill>
    </dxf>
    <dxf>
      <fill>
        <patternFill>
          <bgColor theme="8" tint="0.79998168889431442"/>
        </patternFill>
      </fill>
    </dxf>
    <dxf>
      <fill>
        <patternFill>
          <bgColor theme="8" tint="0.79998168889431442"/>
        </patternFill>
      </fill>
    </dxf>
    <dxf>
      <fill>
        <patternFill>
          <bgColor rgb="FFFABAB9"/>
        </patternFill>
      </fill>
    </dxf>
    <dxf>
      <fill>
        <patternFill>
          <bgColor rgb="FFC7E8A6"/>
        </patternFill>
      </fill>
    </dxf>
    <dxf>
      <fill>
        <patternFill>
          <bgColor rgb="FFF4FAE0"/>
        </patternFill>
      </fill>
    </dxf>
    <dxf>
      <fill>
        <patternFill>
          <bgColor rgb="FFC7E8A6"/>
        </patternFill>
      </fill>
    </dxf>
    <dxf>
      <fill>
        <patternFill>
          <bgColor rgb="FFFABAB9"/>
        </patternFill>
      </fill>
    </dxf>
    <dxf>
      <fill>
        <patternFill>
          <bgColor rgb="FFF4FAE0"/>
        </patternFill>
      </fill>
    </dxf>
    <dxf>
      <fill>
        <patternFill>
          <bgColor rgb="FFC7E8A6"/>
        </patternFill>
      </fill>
    </dxf>
    <dxf>
      <fill>
        <patternFill>
          <bgColor rgb="FFFABAB9"/>
        </patternFill>
      </fill>
    </dxf>
    <dxf>
      <fill>
        <patternFill>
          <bgColor rgb="FFF4FAE0"/>
        </patternFill>
      </fill>
    </dxf>
    <dxf>
      <fill>
        <patternFill>
          <bgColor rgb="FFC7E8A6"/>
        </patternFill>
      </fill>
    </dxf>
    <dxf>
      <fill>
        <patternFill>
          <bgColor rgb="FFFABAB9"/>
        </patternFill>
      </fill>
    </dxf>
    <dxf>
      <fill>
        <patternFill>
          <bgColor rgb="FFFABAB9"/>
        </patternFill>
      </fill>
    </dxf>
    <dxf>
      <fill>
        <patternFill>
          <bgColor rgb="FFC7E8A6"/>
        </patternFill>
      </fill>
    </dxf>
    <dxf>
      <fill>
        <patternFill>
          <bgColor rgb="FFF4FAE0"/>
        </patternFill>
      </fill>
    </dxf>
    <dxf>
      <fill>
        <patternFill>
          <bgColor rgb="FFFABAB9"/>
        </patternFill>
      </fill>
    </dxf>
    <dxf>
      <fill>
        <patternFill>
          <bgColor rgb="FFC7E8A6"/>
        </patternFill>
      </fill>
    </dxf>
    <dxf>
      <fill>
        <patternFill>
          <bgColor rgb="FFFABAB9"/>
        </patternFill>
      </fill>
    </dxf>
    <dxf>
      <fill>
        <patternFill>
          <bgColor rgb="FFF4FAE0"/>
        </patternFill>
      </fill>
    </dxf>
    <dxf>
      <fill>
        <patternFill>
          <bgColor rgb="FFC7E8A6"/>
        </patternFill>
      </fill>
    </dxf>
    <dxf>
      <fill>
        <patternFill>
          <bgColor rgb="FFFABAB9"/>
        </patternFill>
      </fill>
    </dxf>
    <dxf>
      <fill>
        <patternFill>
          <bgColor rgb="FFF4FAE0"/>
        </patternFill>
      </fill>
    </dxf>
    <dxf>
      <fill>
        <patternFill>
          <bgColor rgb="FFC7E8A6"/>
        </patternFill>
      </fill>
    </dxf>
    <dxf>
      <fill>
        <patternFill>
          <bgColor rgb="FFFABAB9"/>
        </patternFill>
      </fill>
    </dxf>
    <dxf>
      <fill>
        <patternFill>
          <bgColor rgb="FFC7E8A6"/>
        </patternFill>
      </fill>
    </dxf>
    <dxf>
      <fill>
        <patternFill>
          <bgColor rgb="FFF4FAE0"/>
        </patternFill>
      </fill>
    </dxf>
    <dxf>
      <fill>
        <patternFill>
          <bgColor rgb="FFFABAB9"/>
        </patternFill>
      </fill>
    </dxf>
    <dxf>
      <fill>
        <patternFill>
          <bgColor rgb="FFF4FAE0"/>
        </patternFill>
      </fill>
    </dxf>
    <dxf>
      <fill>
        <patternFill>
          <bgColor rgb="FFC7E8A6"/>
        </patternFill>
      </fill>
    </dxf>
    <dxf>
      <fill>
        <patternFill>
          <bgColor rgb="FFFABAB9"/>
        </patternFill>
      </fill>
    </dxf>
    <dxf>
      <fill>
        <patternFill>
          <bgColor rgb="FFF4FAE0"/>
        </patternFill>
      </fill>
    </dxf>
    <dxf>
      <fill>
        <patternFill>
          <bgColor rgb="FFC7E8A6"/>
        </patternFill>
      </fill>
    </dxf>
    <dxf>
      <fill>
        <patternFill>
          <bgColor rgb="FFFABAB9"/>
        </patternFill>
      </fill>
    </dxf>
    <dxf>
      <fill>
        <patternFill>
          <bgColor rgb="FFF4FAE0"/>
        </patternFill>
      </fill>
    </dxf>
    <dxf>
      <fill>
        <patternFill>
          <bgColor rgb="FFC7E8A6"/>
        </patternFill>
      </fill>
    </dxf>
    <dxf>
      <fill>
        <patternFill>
          <bgColor rgb="FFFABAB9"/>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ABAB9"/>
        </patternFill>
      </fill>
    </dxf>
    <dxf>
      <fill>
        <patternFill>
          <bgColor rgb="FFFABAB9"/>
        </patternFill>
      </fill>
    </dxf>
    <dxf>
      <fill>
        <patternFill>
          <bgColor rgb="FFF4FAE0"/>
        </patternFill>
      </fill>
    </dxf>
    <dxf>
      <fill>
        <patternFill>
          <bgColor rgb="FFC7E8A6"/>
        </patternFill>
      </fill>
    </dxf>
    <dxf>
      <fill>
        <patternFill>
          <bgColor rgb="FFFABAB9"/>
        </patternFill>
      </fill>
    </dxf>
    <dxf>
      <fill>
        <patternFill>
          <bgColor rgb="FFFABAB9"/>
        </patternFill>
      </fill>
    </dxf>
    <dxf>
      <fill>
        <patternFill>
          <bgColor rgb="FFFABAB9"/>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rgb="FFFABAB9"/>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rgb="FFF4FAE0"/>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ABAB9"/>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ABAB9"/>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ABAB9"/>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ABAB9"/>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ABAB9"/>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ABAB9"/>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theme="8" tint="0.79998168889431442"/>
        </patternFill>
      </fill>
    </dxf>
    <dxf>
      <fill>
        <patternFill>
          <bgColor theme="8" tint="0.79998168889431442"/>
        </patternFill>
      </fill>
    </dxf>
    <dxf>
      <fill>
        <patternFill>
          <bgColor rgb="FFC7E8A6"/>
        </patternFill>
      </fill>
    </dxf>
    <dxf>
      <fill>
        <patternFill>
          <bgColor rgb="FFC7E8A6"/>
        </patternFill>
      </fill>
    </dxf>
    <dxf>
      <fill>
        <patternFill>
          <bgColor rgb="FFC7E8A6"/>
        </patternFill>
      </fill>
    </dxf>
    <dxf>
      <fill>
        <patternFill>
          <bgColor rgb="FFF4FAE0"/>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rgb="FFFABAB9"/>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rgb="FFFABAB9"/>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8" tint="0.79998168889431442"/>
        </patternFill>
      </fill>
    </dxf>
    <dxf>
      <fill>
        <patternFill>
          <bgColor rgb="FFFFBDBD"/>
        </patternFill>
      </fill>
    </dxf>
    <dxf>
      <fill>
        <patternFill>
          <bgColor theme="8" tint="0.79998168889431442"/>
        </patternFill>
      </fill>
    </dxf>
    <dxf>
      <fill>
        <patternFill>
          <bgColor theme="9" tint="0.59996337778862885"/>
        </patternFill>
      </fill>
    </dxf>
    <dxf>
      <fill>
        <patternFill>
          <bgColor rgb="FFFFBDBD"/>
        </patternFill>
      </fill>
    </dxf>
    <dxf>
      <fill>
        <patternFill>
          <bgColor theme="8" tint="0.79998168889431442"/>
        </patternFill>
      </fill>
    </dxf>
    <dxf>
      <fill>
        <patternFill>
          <bgColor theme="9" tint="0.59996337778862885"/>
        </patternFill>
      </fill>
    </dxf>
    <dxf>
      <fill>
        <patternFill>
          <bgColor rgb="FFC7E8A6"/>
        </patternFill>
      </fill>
    </dxf>
    <dxf>
      <fill>
        <patternFill>
          <bgColor rgb="FFF4FAE0"/>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C7E8A6"/>
        </patternFill>
      </fill>
    </dxf>
    <dxf>
      <fill>
        <patternFill>
          <bgColor rgb="FFF4FAE0"/>
        </patternFill>
      </fill>
    </dxf>
    <dxf>
      <fill>
        <patternFill>
          <bgColor theme="8" tint="0.79998168889431442"/>
        </patternFill>
      </fill>
    </dxf>
    <dxf>
      <fill>
        <patternFill>
          <bgColor theme="8" tint="0.79998168889431442"/>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rgb="FFF4FAE0"/>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C7E8A6"/>
        </patternFill>
      </fill>
    </dxf>
    <dxf>
      <fill>
        <patternFill>
          <bgColor rgb="FFF4FAE0"/>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rgb="FFF4FAE0"/>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theme="8" tint="0.79998168889431442"/>
        </patternFill>
      </fill>
    </dxf>
    <dxf>
      <fill>
        <patternFill>
          <bgColor theme="8" tint="0.79998168889431442"/>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theme="8" tint="0.79998168889431442"/>
        </patternFill>
      </fill>
    </dxf>
    <dxf>
      <fill>
        <patternFill>
          <bgColor theme="8" tint="0.79998168889431442"/>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C7E8A6"/>
        </patternFill>
      </fill>
    </dxf>
    <dxf>
      <fill>
        <patternFill>
          <bgColor rgb="FFF4FAE0"/>
        </patternFill>
      </fill>
    </dxf>
    <dxf>
      <fill>
        <patternFill>
          <bgColor rgb="FFF4FAE0"/>
        </patternFill>
      </fill>
    </dxf>
    <dxf>
      <fill>
        <patternFill>
          <bgColor rgb="FFC7E8A6"/>
        </patternFill>
      </fill>
    </dxf>
    <dxf>
      <fill>
        <patternFill>
          <bgColor rgb="FFF4FAE0"/>
        </patternFill>
      </fill>
    </dxf>
    <dxf>
      <fill>
        <patternFill>
          <bgColor theme="8" tint="0.79998168889431442"/>
        </patternFill>
      </fill>
    </dxf>
    <dxf>
      <fill>
        <patternFill>
          <bgColor theme="8" tint="0.79998168889431442"/>
        </patternFill>
      </fill>
    </dxf>
    <dxf>
      <fill>
        <patternFill>
          <bgColor rgb="FFC7E8A6"/>
        </patternFill>
      </fill>
    </dxf>
    <dxf>
      <fill>
        <patternFill>
          <bgColor rgb="FFDDEBF7"/>
        </patternFill>
      </fill>
    </dxf>
    <dxf>
      <fill>
        <patternFill>
          <bgColor rgb="FFC7E8A6"/>
        </patternFill>
      </fill>
    </dxf>
    <dxf>
      <fill>
        <patternFill>
          <bgColor rgb="FFF4FAE0"/>
        </patternFill>
      </fill>
    </dxf>
    <dxf>
      <fill>
        <patternFill>
          <bgColor rgb="FFC7E8A6"/>
        </patternFill>
      </fill>
    </dxf>
    <dxf>
      <fill>
        <patternFill>
          <bgColor rgb="FFDDEBF7"/>
        </patternFill>
      </fill>
    </dxf>
    <dxf>
      <fill>
        <patternFill>
          <bgColor rgb="FFC7E8A6"/>
        </patternFill>
      </fill>
    </dxf>
    <dxf>
      <fill>
        <patternFill>
          <bgColor rgb="FFDDEBF7"/>
        </patternFill>
      </fill>
    </dxf>
    <dxf>
      <fill>
        <patternFill>
          <bgColor rgb="FFC7E8A6"/>
        </patternFill>
      </fill>
    </dxf>
    <dxf>
      <fill>
        <patternFill>
          <bgColor rgb="FFDDEBF7"/>
        </patternFill>
      </fill>
    </dxf>
    <dxf>
      <fill>
        <patternFill>
          <bgColor rgb="FFC7E8A6"/>
        </patternFill>
      </fill>
    </dxf>
    <dxf>
      <fill>
        <patternFill>
          <bgColor rgb="FFDDEBF7"/>
        </patternFill>
      </fill>
    </dxf>
    <dxf>
      <fill>
        <patternFill>
          <bgColor rgb="FFC7E8A6"/>
        </patternFill>
      </fill>
    </dxf>
    <dxf>
      <fill>
        <patternFill>
          <bgColor rgb="FFDDEBF7"/>
        </patternFill>
      </fill>
    </dxf>
    <dxf>
      <fill>
        <patternFill>
          <bgColor rgb="FFC7E8A6"/>
        </patternFill>
      </fill>
    </dxf>
    <dxf>
      <fill>
        <patternFill>
          <bgColor rgb="FFDDEBF7"/>
        </patternFill>
      </fill>
    </dxf>
    <dxf>
      <fill>
        <patternFill>
          <bgColor rgb="FFC7E8A6"/>
        </patternFill>
      </fill>
    </dxf>
    <dxf>
      <fill>
        <patternFill>
          <bgColor rgb="FFDDEBF7"/>
        </patternFill>
      </fill>
    </dxf>
    <dxf>
      <fill>
        <patternFill>
          <bgColor theme="8" tint="0.79998168889431442"/>
        </patternFill>
      </fill>
    </dxf>
    <dxf>
      <fill>
        <patternFill>
          <bgColor theme="8" tint="0.79998168889431442"/>
        </patternFill>
      </fill>
    </dxf>
    <dxf>
      <fill>
        <patternFill>
          <bgColor rgb="FFC7E8A6"/>
        </patternFill>
      </fill>
    </dxf>
    <dxf>
      <fill>
        <patternFill>
          <bgColor rgb="FFDDEBF7"/>
        </patternFill>
      </fill>
    </dxf>
    <dxf>
      <fill>
        <patternFill>
          <bgColor rgb="FFC7E8A6"/>
        </patternFill>
      </fill>
    </dxf>
    <dxf>
      <fill>
        <patternFill>
          <bgColor rgb="FFDDEBF7"/>
        </patternFill>
      </fill>
    </dxf>
    <dxf>
      <fill>
        <patternFill>
          <bgColor theme="8" tint="0.79998168889431442"/>
        </patternFill>
      </fill>
    </dxf>
    <dxf>
      <fill>
        <patternFill>
          <bgColor theme="8" tint="0.79998168889431442"/>
        </patternFill>
      </fill>
    </dxf>
    <dxf>
      <fill>
        <patternFill>
          <bgColor rgb="FFDDEBF7"/>
        </patternFill>
      </fill>
    </dxf>
    <dxf>
      <fill>
        <patternFill>
          <bgColor rgb="FFC7E8A6"/>
        </patternFill>
      </fill>
    </dxf>
    <dxf>
      <fill>
        <patternFill>
          <bgColor rgb="FFC7E8A6"/>
        </patternFill>
      </fill>
    </dxf>
    <dxf>
      <fill>
        <patternFill>
          <bgColor rgb="FFDDEBF7"/>
        </patternFill>
      </fill>
    </dxf>
    <dxf>
      <fill>
        <patternFill>
          <bgColor rgb="FFC7E8A6"/>
        </patternFill>
      </fill>
    </dxf>
    <dxf>
      <fill>
        <patternFill>
          <bgColor rgb="FFDDEBF7"/>
        </patternFill>
      </fill>
    </dxf>
    <dxf>
      <fill>
        <patternFill>
          <bgColor rgb="FFC7E8A6"/>
        </patternFill>
      </fill>
    </dxf>
    <dxf>
      <fill>
        <patternFill>
          <bgColor rgb="FFDDEBF7"/>
        </patternFill>
      </fill>
    </dxf>
    <dxf>
      <fill>
        <patternFill>
          <bgColor rgb="FFC7E8A6"/>
        </patternFill>
      </fill>
    </dxf>
    <dxf>
      <fill>
        <patternFill>
          <bgColor rgb="FFDDEBF7"/>
        </patternFill>
      </fill>
    </dxf>
    <dxf>
      <fill>
        <patternFill>
          <bgColor rgb="FFC7E8A6"/>
        </patternFill>
      </fill>
    </dxf>
    <dxf>
      <fill>
        <patternFill>
          <bgColor rgb="FFDDEBF7"/>
        </patternFill>
      </fill>
    </dxf>
    <dxf>
      <fill>
        <patternFill>
          <bgColor rgb="FFC7E8A6"/>
        </patternFill>
      </fill>
    </dxf>
    <dxf>
      <fill>
        <patternFill>
          <bgColor rgb="FFDDEBF7"/>
        </patternFill>
      </fill>
    </dxf>
    <dxf>
      <fill>
        <patternFill>
          <bgColor rgb="FFC7E8A6"/>
        </patternFill>
      </fill>
    </dxf>
    <dxf>
      <fill>
        <patternFill>
          <bgColor rgb="FFDDEBF7"/>
        </patternFill>
      </fill>
    </dxf>
    <dxf>
      <fill>
        <patternFill>
          <bgColor rgb="FFC7E8A6"/>
        </patternFill>
      </fill>
    </dxf>
    <dxf>
      <fill>
        <patternFill>
          <bgColor rgb="FFDDEBF7"/>
        </patternFill>
      </fill>
    </dxf>
    <dxf>
      <fill>
        <patternFill>
          <bgColor theme="8" tint="0.79998168889431442"/>
        </patternFill>
      </fill>
    </dxf>
    <dxf>
      <fill>
        <patternFill>
          <bgColor theme="8" tint="0.79998168889431442"/>
        </patternFill>
      </fill>
    </dxf>
    <dxf>
      <fill>
        <patternFill>
          <bgColor rgb="FFC7E8A6"/>
        </patternFill>
      </fill>
    </dxf>
    <dxf>
      <fill>
        <patternFill>
          <bgColor rgb="FFDDEBF7"/>
        </patternFill>
      </fill>
    </dxf>
    <dxf>
      <fill>
        <patternFill>
          <bgColor rgb="FFC7E8A6"/>
        </patternFill>
      </fill>
    </dxf>
    <dxf>
      <fill>
        <patternFill>
          <bgColor rgb="FFDDEBF7"/>
        </patternFill>
      </fill>
    </dxf>
    <dxf>
      <fill>
        <patternFill>
          <bgColor rgb="FFC7E8A6"/>
        </patternFill>
      </fill>
    </dxf>
    <dxf>
      <fill>
        <patternFill>
          <bgColor rgb="FFDDEBF7"/>
        </patternFill>
      </fill>
    </dxf>
    <dxf>
      <fill>
        <patternFill>
          <bgColor rgb="FFC7E8A6"/>
        </patternFill>
      </fill>
    </dxf>
    <dxf>
      <fill>
        <patternFill>
          <bgColor rgb="FFDDEBF7"/>
        </patternFill>
      </fill>
    </dxf>
    <dxf>
      <fill>
        <patternFill>
          <bgColor rgb="FFDDEBF7"/>
        </patternFill>
      </fill>
    </dxf>
    <dxf>
      <fill>
        <patternFill>
          <bgColor rgb="FFC7E8A6"/>
        </patternFill>
      </fill>
    </dxf>
    <dxf>
      <fill>
        <patternFill>
          <bgColor rgb="FFDDEBF7"/>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C7E8A6"/>
        </patternFill>
      </fill>
    </dxf>
    <dxf>
      <fill>
        <patternFill>
          <bgColor rgb="FFF4FAE0"/>
        </patternFill>
      </fill>
    </dxf>
    <dxf>
      <fill>
        <patternFill>
          <bgColor theme="8" tint="0.79998168889431442"/>
        </patternFill>
      </fill>
    </dxf>
    <dxf>
      <fill>
        <patternFill>
          <bgColor theme="8" tint="0.79998168889431442"/>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C7E8A6"/>
        </patternFill>
      </fill>
    </dxf>
    <dxf>
      <fill>
        <patternFill>
          <bgColor theme="8" tint="0.79998168889431442"/>
        </patternFill>
      </fill>
    </dxf>
    <dxf>
      <fill>
        <patternFill>
          <bgColor theme="8" tint="0.79998168889431442"/>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C7E8A6"/>
        </patternFill>
      </fill>
    </dxf>
    <dxf>
      <fill>
        <patternFill>
          <bgColor rgb="FFF4FAE0"/>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C7E8A6"/>
        </patternFill>
      </fill>
    </dxf>
    <dxf>
      <fill>
        <patternFill>
          <bgColor rgb="FFF4FAE0"/>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rgb="FFF4FAE0"/>
        </patternFill>
      </fill>
    </dxf>
    <dxf>
      <fill>
        <patternFill>
          <bgColor rgb="FFC7E8A6"/>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4FAE0"/>
        </patternFill>
      </fill>
    </dxf>
    <dxf>
      <fill>
        <patternFill>
          <bgColor theme="8" tint="0.79998168889431442"/>
        </patternFill>
      </fill>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border>
      <protection locked="1" hidden="1"/>
    </dxf>
    <dxf>
      <font>
        <b/>
        <i val="0"/>
        <strike val="0"/>
        <condense val="0"/>
        <extend val="0"/>
        <outline val="0"/>
        <shadow val="0"/>
        <u val="none"/>
        <vertAlign val="baseline"/>
        <sz val="9"/>
        <color theme="1"/>
        <name val="Arial"/>
        <family val="2"/>
        <scheme val="none"/>
      </font>
      <numFmt numFmtId="175" formatCode="00\ &quot;dias&quo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3"/>
        </left>
        <right/>
        <top style="thin">
          <color theme="3"/>
        </top>
        <bottom style="thin">
          <color theme="3"/>
        </bottom>
      </border>
      <protection locked="1" hidden="1"/>
    </dxf>
    <dxf>
      <font>
        <b/>
        <i val="0"/>
        <strike val="0"/>
        <condense val="0"/>
        <extend val="0"/>
        <outline val="0"/>
        <shadow val="0"/>
        <u val="none"/>
        <vertAlign val="baseline"/>
        <sz val="9"/>
        <color theme="1"/>
        <name val="Arial"/>
        <family val="2"/>
        <scheme val="none"/>
      </font>
      <numFmt numFmtId="175" formatCode="00\ &quot;dias&quo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i val="0"/>
        <strike val="0"/>
        <condense val="0"/>
        <extend val="0"/>
        <outline val="0"/>
        <shadow val="0"/>
        <u val="none"/>
        <vertAlign val="baseline"/>
        <sz val="9"/>
        <color theme="1"/>
        <name val="Arial"/>
        <family val="2"/>
        <scheme val="none"/>
      </font>
      <numFmt numFmtId="175" formatCode="00\ &quot;dias&quo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i val="0"/>
        <strike val="0"/>
        <condense val="0"/>
        <extend val="0"/>
        <outline val="0"/>
        <shadow val="0"/>
        <u val="none"/>
        <vertAlign val="baseline"/>
        <sz val="9"/>
        <color theme="1"/>
        <name val="Arial"/>
        <family val="2"/>
        <scheme val="none"/>
      </font>
      <numFmt numFmtId="175" formatCode="00\ &quot;dias&quo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i val="0"/>
        <strike val="0"/>
        <condense val="0"/>
        <extend val="0"/>
        <outline val="0"/>
        <shadow val="0"/>
        <u val="none"/>
        <vertAlign val="baseline"/>
        <sz val="9"/>
        <color theme="1"/>
        <name val="Arial"/>
        <family val="2"/>
        <scheme val="none"/>
      </font>
      <numFmt numFmtId="175" formatCode="00\ &quot;dias&quo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border diagonalUp="0" diagonalDown="0" outline="0">
        <left style="thin">
          <color theme="3"/>
        </left>
        <right style="thin">
          <color theme="3"/>
        </right>
        <top style="thin">
          <color theme="3"/>
        </top>
        <bottom style="thin">
          <color theme="3"/>
        </bottom>
      </border>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border diagonalUp="0" diagonalDown="0" outline="0">
        <left style="thin">
          <color theme="3"/>
        </left>
        <right style="thin">
          <color theme="3"/>
        </right>
        <top style="thin">
          <color theme="3"/>
        </top>
        <bottom style="thin">
          <color theme="3"/>
        </bottom>
      </border>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border diagonalUp="0" diagonalDown="0" outline="0">
        <left style="thin">
          <color theme="3"/>
        </left>
        <right style="thin">
          <color theme="3"/>
        </right>
        <top style="thin">
          <color theme="3"/>
        </top>
        <bottom style="thin">
          <color theme="3"/>
        </bottom>
      </border>
    </dxf>
    <dxf>
      <font>
        <b/>
        <i val="0"/>
        <strike val="0"/>
        <condense val="0"/>
        <extend val="0"/>
        <outline val="0"/>
        <shadow val="0"/>
        <u val="none"/>
        <vertAlign val="baseline"/>
        <sz val="9"/>
        <color theme="1"/>
        <name val="Arial"/>
        <family val="2"/>
        <scheme val="none"/>
      </font>
      <numFmt numFmtId="175" formatCode="00\ &quot;dias&quo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i val="0"/>
        <strike val="0"/>
        <condense val="0"/>
        <extend val="0"/>
        <outline val="0"/>
        <shadow val="0"/>
        <u val="none"/>
        <vertAlign val="baseline"/>
        <sz val="9"/>
        <color theme="1"/>
        <name val="Arial"/>
        <family val="2"/>
        <scheme val="none"/>
      </font>
      <numFmt numFmtId="175" formatCode="00\ &quot;dias&quot;"/>
      <fill>
        <patternFill patternType="solid">
          <fgColor indexed="64"/>
          <bgColor rgb="FFFFD757"/>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i val="0"/>
        <strike val="0"/>
        <condense val="0"/>
        <extend val="0"/>
        <outline val="0"/>
        <shadow val="0"/>
        <u val="none"/>
        <vertAlign val="baseline"/>
        <sz val="9"/>
        <color theme="1"/>
        <name val="Arial"/>
        <family val="2"/>
        <scheme val="none"/>
      </font>
      <numFmt numFmtId="175" formatCode="00\ &quot;dias&quo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i val="0"/>
        <strike val="0"/>
        <condense val="0"/>
        <extend val="0"/>
        <outline val="0"/>
        <shadow val="0"/>
        <u val="none"/>
        <vertAlign val="baseline"/>
        <sz val="9"/>
        <color theme="1"/>
        <name val="Arial"/>
        <family val="2"/>
        <scheme val="none"/>
      </font>
      <numFmt numFmtId="175" formatCode="00\ &quot;dias&quo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i val="0"/>
        <strike val="0"/>
        <condense val="0"/>
        <extend val="0"/>
        <outline val="0"/>
        <shadow val="0"/>
        <u val="none"/>
        <vertAlign val="baseline"/>
        <sz val="9"/>
        <color theme="1"/>
        <name val="Arial"/>
        <family val="2"/>
        <scheme val="none"/>
      </font>
      <numFmt numFmtId="175" formatCode="00\ &quot;dias&quo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border diagonalUp="0" diagonalDown="0" outline="0">
        <left style="thin">
          <color theme="3"/>
        </left>
        <right style="thin">
          <color theme="3"/>
        </right>
        <top style="thin">
          <color theme="3"/>
        </top>
        <bottom style="thin">
          <color theme="3"/>
        </bottom>
      </border>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border diagonalUp="0" diagonalDown="0" outline="0">
        <left style="thin">
          <color theme="3"/>
        </left>
        <right style="thin">
          <color theme="3"/>
        </right>
        <top style="thin">
          <color theme="3"/>
        </top>
        <bottom style="thin">
          <color theme="3"/>
        </bottom>
      </border>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border diagonalUp="0" diagonalDown="0" outline="0">
        <left style="thin">
          <color theme="3"/>
        </left>
        <right style="thin">
          <color theme="3"/>
        </right>
        <top style="thin">
          <color theme="3"/>
        </top>
        <bottom style="thin">
          <color theme="3"/>
        </bottom>
      </border>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border diagonalUp="0" diagonalDown="0" outline="0">
        <left style="thin">
          <color theme="3"/>
        </left>
        <right style="thin">
          <color theme="3"/>
        </right>
        <top style="thin">
          <color theme="3"/>
        </top>
        <bottom style="thin">
          <color theme="3"/>
        </bottom>
      </border>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border diagonalUp="0" diagonalDown="0" outline="0">
        <left style="thin">
          <color theme="3"/>
        </left>
        <right/>
        <top style="thin">
          <color theme="3"/>
        </top>
        <bottom style="thin">
          <color theme="3"/>
        </bottom>
      </border>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dxf>
    <dxf>
      <font>
        <b/>
        <i val="0"/>
        <strike val="0"/>
        <condense val="0"/>
        <extend val="0"/>
        <outline val="0"/>
        <shadow val="0"/>
        <u val="none"/>
        <vertAlign val="baseline"/>
        <sz val="9.5"/>
        <color theme="1"/>
        <name val="Arial"/>
        <family val="2"/>
        <scheme val="none"/>
      </font>
      <numFmt numFmtId="173" formatCode="#,##0.00_ ;\-#,##0.00\ "/>
      <fill>
        <patternFill patternType="solid">
          <fgColor indexed="64"/>
          <bgColor theme="9" tint="0.59999389629810485"/>
        </patternFill>
      </fill>
      <alignment horizontal="general" vertical="center" textRotation="0" wrapText="0" indent="0" justifyLastLine="0" shrinkToFit="0" readingOrder="0"/>
      <border diagonalUp="0" diagonalDown="0" outline="0">
        <left style="thin">
          <color rgb="FF11680F"/>
        </left>
        <right/>
        <top style="thin">
          <color rgb="FF11680F"/>
        </top>
        <bottom style="thin">
          <color rgb="FF11680F"/>
        </bottom>
      </border>
    </dxf>
    <dxf>
      <font>
        <b/>
        <i val="0"/>
        <strike val="0"/>
        <condense val="0"/>
        <extend val="0"/>
        <outline val="0"/>
        <shadow val="0"/>
        <u val="none"/>
        <vertAlign val="baseline"/>
        <sz val="9.5"/>
        <color theme="1"/>
        <name val="Arial"/>
        <family val="2"/>
        <scheme val="none"/>
      </font>
      <numFmt numFmtId="173" formatCode="#,##0.00_ ;\-#,##0.00\ "/>
      <fill>
        <patternFill patternType="solid">
          <fgColor indexed="64"/>
          <bgColor theme="9" tint="0.59999389629810485"/>
        </patternFill>
      </fill>
      <alignment horizontal="general"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dxf>
    <dxf>
      <font>
        <b/>
        <i val="0"/>
        <strike val="0"/>
        <condense val="0"/>
        <extend val="0"/>
        <outline val="0"/>
        <shadow val="0"/>
        <u val="none"/>
        <vertAlign val="baseline"/>
        <sz val="9.5"/>
        <color theme="1"/>
        <name val="Arial"/>
        <family val="2"/>
        <scheme val="none"/>
      </font>
      <numFmt numFmtId="173" formatCode="#,##0.00_ ;\-#,##0.00\ "/>
      <fill>
        <patternFill patternType="solid">
          <fgColor indexed="64"/>
          <bgColor theme="9" tint="0.59999389629810485"/>
        </patternFill>
      </fill>
      <alignment horizontal="general"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dxf>
    <dxf>
      <font>
        <b/>
        <i val="0"/>
        <strike val="0"/>
        <condense val="0"/>
        <extend val="0"/>
        <outline val="0"/>
        <shadow val="0"/>
        <u val="none"/>
        <vertAlign val="baseline"/>
        <sz val="9.5"/>
        <color theme="1"/>
        <name val="Arial"/>
        <family val="2"/>
        <scheme val="none"/>
      </font>
      <numFmt numFmtId="173" formatCode="#,##0.00_ ;\-#,##0.00\ "/>
      <fill>
        <patternFill patternType="solid">
          <fgColor indexed="64"/>
          <bgColor theme="9" tint="0.59999389629810485"/>
        </patternFill>
      </fill>
      <alignment horizontal="general" vertical="center" textRotation="0" wrapText="0" indent="0" justifyLastLine="0" shrinkToFit="0" readingOrder="0"/>
      <border diagonalUp="0" diagonalDown="0" outline="0">
        <left style="thin">
          <color rgb="FF11680F"/>
        </left>
        <right style="thin">
          <color rgb="FF11680F"/>
        </right>
        <top/>
        <bottom style="thin">
          <color rgb="FF11680F"/>
        </bottom>
      </border>
    </dxf>
    <dxf>
      <font>
        <b/>
        <i val="0"/>
        <strike val="0"/>
        <condense val="0"/>
        <extend val="0"/>
        <outline val="0"/>
        <shadow val="0"/>
        <u val="none"/>
        <vertAlign val="baseline"/>
        <sz val="9.5"/>
        <color theme="1"/>
        <name val="Arial"/>
        <family val="2"/>
        <scheme val="none"/>
      </font>
      <numFmt numFmtId="173" formatCode="#,##0.00_ ;\-#,##0.00\ "/>
      <fill>
        <patternFill patternType="solid">
          <fgColor indexed="64"/>
          <bgColor theme="9" tint="0.59999389629810485"/>
        </patternFill>
      </fill>
      <alignment horizontal="general" vertical="center" textRotation="0" wrapText="0" indent="0" justifyLastLine="0" shrinkToFit="0" readingOrder="0"/>
      <border diagonalUp="0" diagonalDown="0" outline="0">
        <left/>
        <right style="thin">
          <color rgb="FF11680F"/>
        </right>
        <top/>
        <bottom style="thin">
          <color rgb="FF11680F"/>
        </bottom>
      </border>
    </dxf>
    <dxf>
      <font>
        <b/>
        <i val="0"/>
        <strike val="0"/>
        <condense val="0"/>
        <extend val="0"/>
        <outline val="0"/>
        <shadow val="0"/>
        <u val="none"/>
        <vertAlign val="baseline"/>
        <sz val="9.5"/>
        <color theme="1"/>
        <name val="Arial"/>
        <family val="2"/>
        <scheme val="none"/>
      </font>
      <numFmt numFmtId="173" formatCode="#,##0.00_ ;\-#,##0.00\ "/>
      <fill>
        <patternFill patternType="solid">
          <fgColor indexed="64"/>
          <bgColor theme="9" tint="0.59999389629810485"/>
        </patternFill>
      </fill>
      <alignment horizontal="general" vertical="center" textRotation="0" wrapText="0" indent="0" justifyLastLine="0" shrinkToFit="0" readingOrder="0"/>
      <border diagonalUp="0" diagonalDown="0" outline="0">
        <left style="thin">
          <color theme="3"/>
        </left>
        <right style="thin">
          <color theme="3"/>
        </right>
        <top style="thin">
          <color theme="3"/>
        </top>
        <bottom style="thin">
          <color theme="3"/>
        </bottom>
      </border>
    </dxf>
    <dxf>
      <font>
        <b/>
        <i val="0"/>
        <strike val="0"/>
        <condense val="0"/>
        <extend val="0"/>
        <outline val="0"/>
        <shadow val="0"/>
        <u val="none"/>
        <vertAlign val="baseline"/>
        <sz val="9.5"/>
        <color theme="1"/>
        <name val="Arial"/>
        <family val="2"/>
        <scheme val="none"/>
      </font>
      <numFmt numFmtId="173" formatCode="#,##0.00_ ;\-#,##0.00\ "/>
      <fill>
        <patternFill patternType="solid">
          <fgColor indexed="64"/>
          <bgColor theme="9" tint="0.59999389629810485"/>
        </patternFill>
      </fill>
      <alignment horizontal="general" vertical="center" textRotation="0" wrapText="0" indent="0" justifyLastLine="0" shrinkToFit="0" readingOrder="0"/>
      <border diagonalUp="0" diagonalDown="0" outline="0">
        <left style="thin">
          <color theme="3"/>
        </left>
        <right style="thin">
          <color theme="3"/>
        </right>
        <top style="thin">
          <color theme="3"/>
        </top>
        <bottom style="thin">
          <color theme="3"/>
        </bottom>
      </border>
    </dxf>
    <dxf>
      <font>
        <b/>
        <i val="0"/>
        <strike val="0"/>
        <condense val="0"/>
        <extend val="0"/>
        <outline val="0"/>
        <shadow val="0"/>
        <u val="none"/>
        <vertAlign val="baseline"/>
        <sz val="9.5"/>
        <color theme="1"/>
        <name val="Arial"/>
        <family val="2"/>
        <scheme val="none"/>
      </font>
      <numFmt numFmtId="173" formatCode="#,##0.00_ ;\-#,##0.00\ "/>
      <fill>
        <patternFill patternType="solid">
          <fgColor indexed="64"/>
          <bgColor theme="9" tint="0.59999389629810485"/>
        </patternFill>
      </fill>
      <alignment horizontal="general" vertical="center" textRotation="0" wrapText="0" indent="0" justifyLastLine="0" shrinkToFit="0" readingOrder="0"/>
      <border diagonalUp="0" diagonalDown="0" outline="0">
        <left style="thin">
          <color theme="3"/>
        </left>
        <right style="thin">
          <color theme="3"/>
        </right>
        <top style="thin">
          <color theme="3"/>
        </top>
        <bottom style="thin">
          <color theme="3"/>
        </bottom>
      </border>
    </dxf>
    <dxf>
      <font>
        <b/>
        <i val="0"/>
        <strike val="0"/>
        <condense val="0"/>
        <extend val="0"/>
        <outline val="0"/>
        <shadow val="0"/>
        <u val="none"/>
        <vertAlign val="baseline"/>
        <sz val="9.5"/>
        <color theme="1"/>
        <name val="Arial"/>
        <family val="2"/>
        <scheme val="none"/>
      </font>
      <numFmt numFmtId="173" formatCode="#,##0.00_ ;\-#,##0.00\ "/>
      <fill>
        <patternFill patternType="solid">
          <fgColor indexed="64"/>
          <bgColor theme="9" tint="0.59999389629810485"/>
        </patternFill>
      </fill>
      <alignment horizontal="general" vertical="center" textRotation="0" wrapText="0" indent="0" justifyLastLine="0" shrinkToFit="0" readingOrder="0"/>
      <border diagonalUp="0" diagonalDown="0" outline="0">
        <left style="thin">
          <color theme="3"/>
        </left>
        <right style="thin">
          <color theme="3"/>
        </right>
        <top style="thin">
          <color theme="3"/>
        </top>
        <bottom style="thin">
          <color theme="3"/>
        </bottom>
      </border>
    </dxf>
    <dxf>
      <font>
        <b/>
        <i val="0"/>
        <strike val="0"/>
        <condense val="0"/>
        <extend val="0"/>
        <outline val="0"/>
        <shadow val="0"/>
        <u val="none"/>
        <vertAlign val="baseline"/>
        <sz val="9.5"/>
        <color theme="1"/>
        <name val="Arial"/>
        <family val="2"/>
        <scheme val="none"/>
      </font>
      <numFmt numFmtId="173" formatCode="#,##0.00_ ;\-#,##0.00\ "/>
      <fill>
        <patternFill patternType="solid">
          <fgColor indexed="64"/>
          <bgColor theme="9" tint="0.59999389629810485"/>
        </patternFill>
      </fill>
      <alignment horizontal="general" vertical="center" textRotation="0" wrapText="0" indent="0" justifyLastLine="0" shrinkToFit="0" readingOrder="0"/>
      <border diagonalUp="0" diagonalDown="0" outline="0">
        <left style="thin">
          <color theme="3"/>
        </left>
        <right style="thin">
          <color theme="3"/>
        </right>
        <top style="thin">
          <color theme="3"/>
        </top>
        <bottom style="thin">
          <color theme="3"/>
        </bottom>
      </border>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rgb="FF11680F"/>
        </left>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1"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1"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numFmt numFmtId="164" formatCode="_(* #,##0.00_);_(* \(#,##0.00\);_(* &quot;-&quot;??_);_(@_)"/>
      <fill>
        <patternFill patternType="solid">
          <fgColor indexed="64"/>
          <bgColor theme="9" tint="0.59999389629810485"/>
        </patternFill>
      </fill>
      <alignment horizontal="right"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numFmt numFmtId="164" formatCode="_(* #,##0.00_);_(* \(#,##0.00\);_(* &quot;-&quot;??_);_(@_)"/>
      <fill>
        <patternFill patternType="solid">
          <fgColor indexed="64"/>
          <bgColor theme="9" tint="0.59999389629810485"/>
        </patternFill>
      </fill>
      <alignment horizontal="right"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numFmt numFmtId="164" formatCode="_(* #,##0.00_);_(* \(#,##0.00\);_(* &quot;-&quot;??_);_(@_)"/>
      <fill>
        <patternFill patternType="solid">
          <fgColor indexed="64"/>
          <bgColor theme="9" tint="0.59999389629810485"/>
        </patternFill>
      </fill>
      <alignment horizontal="right"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numFmt numFmtId="173" formatCode="#,##0.00_ ;\-#,##0.00\ "/>
      <fill>
        <patternFill patternType="solid">
          <fgColor indexed="64"/>
          <bgColor theme="9" tint="0.59999389629810485"/>
        </patternFill>
      </fill>
      <alignment horizontal="right" vertical="center" textRotation="0" wrapText="1"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numFmt numFmtId="173" formatCode="#,##0.00_ ;\-#,##0.00\ "/>
      <fill>
        <patternFill patternType="solid">
          <fgColor indexed="64"/>
          <bgColor theme="9" tint="0.59999389629810485"/>
        </patternFill>
      </fill>
      <alignment horizontal="right" vertical="center" textRotation="0" wrapText="1"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1"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auto="1"/>
        <name val="Arial"/>
        <family val="2"/>
        <scheme val="none"/>
      </font>
      <fill>
        <patternFill patternType="solid">
          <fgColor indexed="64"/>
          <bgColor theme="9" tint="0.59999389629810485"/>
        </patternFill>
      </fill>
      <alignment horizontal="center" vertical="center" textRotation="0" wrapText="1"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1"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numFmt numFmtId="164" formatCode="_(* #,##0.00_);_(* \(#,##0.00\);_(* &quot;-&quot;??_);_(@_)"/>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left" vertical="center" textRotation="0" wrapText="1"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0" hidden="0"/>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0" hidden="0"/>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left" vertical="center" textRotation="0" wrapText="1"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5"/>
        <color theme="1"/>
        <name val="Arial"/>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0" hidden="0"/>
    </dxf>
    <dxf>
      <font>
        <b val="0"/>
        <i val="0"/>
        <strike val="0"/>
        <condense val="0"/>
        <extend val="0"/>
        <outline val="0"/>
        <shadow val="0"/>
        <u val="none"/>
        <vertAlign val="baseline"/>
        <sz val="9"/>
        <color theme="1"/>
        <name val="Arial"/>
        <family val="2"/>
        <scheme val="none"/>
      </font>
      <numFmt numFmtId="175" formatCode="00\ &quot;dias&quot;"/>
      <fill>
        <patternFill patternType="none">
          <fgColor indexed="64"/>
          <bgColor auto="1"/>
        </patternFill>
      </fill>
      <alignment horizontal="center" vertical="center" textRotation="0" wrapText="0" indent="0" justifyLastLine="0" shrinkToFit="0" readingOrder="0"/>
      <border diagonalUp="0" diagonalDown="0">
        <left style="thin">
          <color theme="3"/>
        </left>
        <right style="thin">
          <color theme="3"/>
        </right>
        <top style="thin">
          <color theme="3"/>
        </top>
        <bottom style="thin">
          <color theme="3"/>
        </bottom>
        <vertical/>
        <horizontal/>
      </border>
      <protection locked="1" hidden="1"/>
    </dxf>
    <dxf>
      <font>
        <b/>
        <i val="0"/>
        <strike val="0"/>
        <condense val="0"/>
        <extend val="0"/>
        <outline val="0"/>
        <shadow val="0"/>
        <u val="none"/>
        <vertAlign val="baseline"/>
        <sz val="9"/>
        <color theme="1"/>
        <name val="Arial"/>
        <family val="2"/>
        <scheme val="none"/>
      </font>
      <numFmt numFmtId="175" formatCode="00\ &quot;dias&quot;"/>
      <fill>
        <patternFill patternType="none">
          <fgColor indexed="64"/>
          <bgColor indexed="65"/>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numFmt numFmtId="175" formatCode="00\ &quot;dias&quot;"/>
      <fill>
        <patternFill patternType="none">
          <fgColor indexed="64"/>
          <bgColor indexed="65"/>
        </patternFill>
      </fill>
      <alignment horizontal="center" vertical="center" textRotation="0" wrapText="0" indent="0" justifyLastLine="0" shrinkToFit="0" readingOrder="0"/>
      <border diagonalUp="0" diagonalDown="0" outline="0">
        <left style="thin">
          <color theme="3"/>
        </left>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numFmt numFmtId="175" formatCode="00\ &quot;dias&quot;"/>
      <fill>
        <patternFill patternType="none">
          <fgColor indexed="64"/>
          <bgColor indexed="65"/>
        </patternFill>
      </fill>
      <alignment horizontal="center" vertical="center" textRotation="0" wrapText="0" indent="0" justifyLastLine="0" shrinkToFit="0" readingOrder="0"/>
      <border diagonalUp="0" diagonalDown="0">
        <left style="thin">
          <color theme="3"/>
        </left>
        <right style="thin">
          <color theme="3"/>
        </right>
        <top style="thin">
          <color theme="3"/>
        </top>
        <bottom style="thin">
          <color theme="3"/>
        </bottom>
        <vertical/>
        <horizontal/>
      </border>
      <protection locked="1" hidden="1"/>
    </dxf>
    <dxf>
      <font>
        <b val="0"/>
        <i val="0"/>
        <strike val="0"/>
        <condense val="0"/>
        <extend val="0"/>
        <outline val="0"/>
        <shadow val="0"/>
        <u val="none"/>
        <vertAlign val="baseline"/>
        <sz val="9"/>
        <color theme="1"/>
        <name val="Arial"/>
        <family val="2"/>
        <scheme val="none"/>
      </font>
      <numFmt numFmtId="175" formatCode="00\ &quot;dias&quot;"/>
      <fill>
        <patternFill patternType="none">
          <fgColor indexed="64"/>
          <bgColor indexed="65"/>
        </patternFill>
      </fill>
      <alignment horizontal="center" vertical="center" textRotation="0" wrapText="0" indent="0" justifyLastLine="0" shrinkToFit="0" readingOrder="0"/>
      <border diagonalUp="0" diagonalDown="0">
        <left style="thin">
          <color theme="3"/>
        </left>
        <right style="thin">
          <color theme="3"/>
        </right>
        <top style="thin">
          <color theme="3"/>
        </top>
        <bottom style="thin">
          <color theme="3"/>
        </bottom>
        <vertical/>
        <horizontal/>
      </border>
      <protection locked="1" hidden="1"/>
    </dxf>
    <dxf>
      <font>
        <b val="0"/>
        <i val="0"/>
        <strike val="0"/>
        <condense val="0"/>
        <extend val="0"/>
        <outline val="0"/>
        <shadow val="0"/>
        <u val="none"/>
        <vertAlign val="baseline"/>
        <sz val="9"/>
        <color theme="1"/>
        <name val="Arial"/>
        <family val="2"/>
        <scheme val="none"/>
      </font>
      <numFmt numFmtId="175" formatCode="00\ &quot;dias&quot;"/>
      <fill>
        <patternFill patternType="none">
          <fgColor indexed="64"/>
          <bgColor indexed="65"/>
        </patternFill>
      </fill>
      <alignment horizontal="center" vertical="center" textRotation="0" wrapText="0" indent="0" justifyLastLine="0" shrinkToFit="0" readingOrder="0"/>
      <border diagonalUp="0" diagonalDown="0">
        <left style="thin">
          <color theme="3"/>
        </left>
        <right style="thin">
          <color theme="3"/>
        </right>
        <top style="thin">
          <color theme="3"/>
        </top>
        <bottom style="thin">
          <color theme="3"/>
        </bottom>
        <vertical/>
        <horizontal/>
      </border>
      <protection locked="1" hidden="1"/>
    </dxf>
    <dxf>
      <font>
        <b val="0"/>
        <i val="0"/>
        <strike val="0"/>
        <condense val="0"/>
        <extend val="0"/>
        <outline val="0"/>
        <shadow val="0"/>
        <u val="none"/>
        <vertAlign val="baseline"/>
        <sz val="9"/>
        <color theme="1"/>
        <name val="Arial"/>
        <family val="2"/>
        <scheme val="none"/>
      </font>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9"/>
        <color theme="1"/>
        <name val="Arial"/>
        <family val="2"/>
        <scheme val="none"/>
      </font>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9"/>
        <color theme="1"/>
        <name val="Arial"/>
        <family val="2"/>
        <scheme val="none"/>
      </font>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9"/>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right style="thin">
          <color theme="3"/>
        </right>
        <top style="thin">
          <color theme="3"/>
        </top>
        <bottom/>
      </border>
      <protection locked="1" hidden="1"/>
    </dxf>
    <dxf>
      <font>
        <b/>
        <i val="0"/>
        <strike val="0"/>
        <condense val="0"/>
        <extend val="0"/>
        <outline val="0"/>
        <shadow val="0"/>
        <u val="none"/>
        <vertAlign val="baseline"/>
        <sz val="9"/>
        <color theme="1"/>
        <name val="Arial"/>
        <family val="2"/>
        <scheme val="none"/>
      </font>
      <numFmt numFmtId="175" formatCode="00\ &quot;dias&quot;"/>
      <fill>
        <patternFill patternType="none">
          <fgColor indexed="64"/>
          <bgColor rgb="FFFFD757"/>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numFmt numFmtId="175" formatCode="00\ &quot;dias&quot;"/>
      <fill>
        <patternFill patternType="none">
          <fgColor indexed="64"/>
          <bgColor indexed="65"/>
        </patternFill>
      </fill>
      <alignment horizontal="center" vertical="center" textRotation="0" wrapText="0" indent="0" justifyLastLine="0" shrinkToFit="0" readingOrder="0"/>
      <border diagonalUp="0" diagonalDown="0" outline="0">
        <left style="thin">
          <color theme="3"/>
        </left>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numFmt numFmtId="175" formatCode="00\ &quot;dias&quot;"/>
      <fill>
        <patternFill patternType="none">
          <fgColor indexed="64"/>
          <bgColor indexed="65"/>
        </patternFill>
      </fill>
      <alignment horizontal="center" vertical="center" textRotation="0" wrapText="0" indent="0" justifyLastLine="0" shrinkToFit="0" readingOrder="0"/>
      <border diagonalUp="0" diagonalDown="0">
        <left style="thin">
          <color theme="3"/>
        </left>
        <right style="thin">
          <color theme="3"/>
        </right>
        <top style="thin">
          <color theme="3"/>
        </top>
        <bottom style="thin">
          <color theme="3"/>
        </bottom>
        <vertical/>
        <horizontal/>
      </border>
      <protection locked="1" hidden="1"/>
    </dxf>
    <dxf>
      <font>
        <b val="0"/>
        <i val="0"/>
        <strike val="0"/>
        <condense val="0"/>
        <extend val="0"/>
        <outline val="0"/>
        <shadow val="0"/>
        <u val="none"/>
        <vertAlign val="baseline"/>
        <sz val="9"/>
        <color theme="1"/>
        <name val="Arial"/>
        <family val="2"/>
        <scheme val="none"/>
      </font>
      <numFmt numFmtId="175" formatCode="00\ &quot;dias&quot;"/>
      <fill>
        <patternFill patternType="none">
          <fgColor indexed="64"/>
          <bgColor indexed="65"/>
        </patternFill>
      </fill>
      <alignment horizontal="center" vertical="center" textRotation="0" wrapText="0" indent="0" justifyLastLine="0" shrinkToFit="0" readingOrder="0"/>
      <border diagonalUp="0" diagonalDown="0">
        <left style="thin">
          <color theme="3"/>
        </left>
        <right style="thin">
          <color theme="3"/>
        </right>
        <top style="thin">
          <color theme="3"/>
        </top>
        <bottom style="thin">
          <color theme="3"/>
        </bottom>
        <vertical/>
        <horizontal/>
      </border>
      <protection locked="1" hidden="1"/>
    </dxf>
    <dxf>
      <font>
        <b val="0"/>
        <i val="0"/>
        <strike val="0"/>
        <condense val="0"/>
        <extend val="0"/>
        <outline val="0"/>
        <shadow val="0"/>
        <u val="none"/>
        <vertAlign val="baseline"/>
        <sz val="9"/>
        <color theme="1"/>
        <name val="Arial"/>
        <family val="2"/>
        <scheme val="none"/>
      </font>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9"/>
        <color theme="1"/>
        <name val="Arial"/>
        <family val="2"/>
        <scheme val="none"/>
      </font>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9"/>
        <color theme="1"/>
        <name val="Arial"/>
        <family val="2"/>
        <scheme val="none"/>
      </font>
      <fill>
        <patternFill patternType="none">
          <fgColor indexed="64"/>
          <bgColor auto="1"/>
        </patternFill>
      </fill>
      <alignment horizontal="center" vertical="center" textRotation="0" wrapText="0" indent="0" justifyLastLine="0" shrinkToFit="0" readingOrder="0"/>
      <protection locked="1" hidden="1"/>
    </dxf>
    <dxf>
      <font>
        <b/>
        <i val="0"/>
        <strike val="0"/>
        <condense val="0"/>
        <extend val="0"/>
        <outline val="0"/>
        <shadow val="0"/>
        <u val="none"/>
        <vertAlign val="baseline"/>
        <sz val="9"/>
        <color theme="1"/>
        <name val="Arial"/>
        <family val="2"/>
        <scheme val="none"/>
      </font>
      <numFmt numFmtId="165" formatCode="_ &quot;S/&quot;* #,##0.00_ ;_ &quot;S/&quot;* \-#,##0.00_ ;_ &quot;S/&quot;* &quot;-&quot;??_ ;_ @_ "/>
      <fill>
        <patternFill patternType="none">
          <fgColor indexed="64"/>
          <bgColor auto="1"/>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
        <color theme="1"/>
        <name val="Arial"/>
        <family val="2"/>
        <scheme val="none"/>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
        <color theme="1"/>
        <name val="Arial"/>
        <family val="2"/>
        <scheme val="none"/>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rgb="FF11680F"/>
        </left>
        <right style="thin">
          <color rgb="FF11680F"/>
        </right>
        <top style="thin">
          <color rgb="FF11680F"/>
        </top>
        <bottom style="thin">
          <color rgb="FF11680F"/>
        </bottom>
      </border>
      <protection locked="1" hidden="1"/>
    </dxf>
    <dxf>
      <font>
        <b/>
        <i val="0"/>
        <strike val="0"/>
        <condense val="0"/>
        <extend val="0"/>
        <outline val="0"/>
        <shadow val="0"/>
        <u val="none"/>
        <vertAlign val="baseline"/>
        <sz val="9"/>
        <color theme="1"/>
        <name val="Arial"/>
        <family val="2"/>
        <scheme val="none"/>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theme="3"/>
        </left>
        <right/>
        <top style="thin">
          <color theme="3"/>
        </top>
        <bottom style="thin">
          <color theme="3"/>
        </bottom>
      </border>
    </dxf>
    <dxf>
      <font>
        <b val="0"/>
        <i val="0"/>
        <strike val="0"/>
        <condense val="0"/>
        <extend val="0"/>
        <outline val="0"/>
        <shadow val="0"/>
        <u val="none"/>
        <vertAlign val="baseline"/>
        <sz val="9"/>
        <color theme="1"/>
        <name val="Arial"/>
        <family val="2"/>
        <scheme val="none"/>
      </font>
      <numFmt numFmtId="166" formatCode="_-* #,##0.00\ _€_-;\-* #,##0.00\ _€_-;_-* &quot;-&quot;??\ _€_-;_-@_-"/>
      <fill>
        <patternFill patternType="none">
          <fgColor indexed="64"/>
          <bgColor auto="1"/>
        </patternFill>
      </fill>
      <alignment horizontal="right" vertical="center" textRotation="0" wrapText="0" indent="0" justifyLastLine="0" shrinkToFit="0" readingOrder="0"/>
      <border diagonalUp="0" diagonalDown="0">
        <left style="thin">
          <color theme="3"/>
        </left>
        <right style="thin">
          <color theme="3"/>
        </right>
        <top style="thin">
          <color theme="3"/>
        </top>
        <bottom style="thin">
          <color theme="3"/>
        </bottom>
      </border>
    </dxf>
    <dxf>
      <font>
        <b/>
        <i val="0"/>
        <strike val="0"/>
        <condense val="0"/>
        <extend val="0"/>
        <outline val="0"/>
        <shadow val="0"/>
        <u val="none"/>
        <vertAlign val="baseline"/>
        <sz val="9"/>
        <color theme="1"/>
        <name val="Arial"/>
        <family val="2"/>
        <scheme val="none"/>
      </font>
      <numFmt numFmtId="173" formatCode="#,##0.00_ ;\-#,##0.00\ "/>
      <alignment horizontal="general" vertical="center" textRotation="0" wrapText="0" indent="0" justifyLastLine="0" shrinkToFit="0" readingOrder="0"/>
      <border diagonalUp="0" diagonalDown="0">
        <left style="thin">
          <color theme="3"/>
        </left>
        <right style="thin">
          <color theme="3"/>
        </right>
        <top style="thin">
          <color theme="3"/>
        </top>
        <bottom style="thin">
          <color theme="3"/>
        </bottom>
        <vertical/>
        <horizontal/>
      </border>
    </dxf>
    <dxf>
      <font>
        <b val="0"/>
        <i val="0"/>
        <strike val="0"/>
        <condense val="0"/>
        <extend val="0"/>
        <outline val="0"/>
        <shadow val="0"/>
        <u val="none"/>
        <vertAlign val="baseline"/>
        <sz val="9"/>
        <color theme="1"/>
        <name val="Arial"/>
        <family val="2"/>
        <scheme val="none"/>
      </font>
      <numFmt numFmtId="178" formatCode="dd\-mmm"/>
      <fill>
        <patternFill patternType="none">
          <fgColor indexed="64"/>
          <bgColor auto="1"/>
        </patternFill>
      </fill>
      <alignment horizontal="center" vertical="center" textRotation="0" wrapText="0" indent="0" justifyLastLine="0" shrinkToFit="0" readingOrder="0"/>
      <border diagonalUp="0" diagonalDown="0">
        <left style="thin">
          <color theme="3"/>
        </left>
        <right/>
        <top style="thin">
          <color theme="3"/>
        </top>
        <bottom style="thin">
          <color theme="3"/>
        </bottom>
        <vertical/>
        <horizontal/>
      </border>
    </dxf>
    <dxf>
      <font>
        <b val="0"/>
        <i val="0"/>
        <strike val="0"/>
        <condense val="0"/>
        <extend val="0"/>
        <outline val="0"/>
        <shadow val="0"/>
        <u val="none"/>
        <vertAlign val="baseline"/>
        <sz val="9"/>
        <color theme="1"/>
        <name val="Arial"/>
        <family val="2"/>
        <scheme val="none"/>
      </font>
      <numFmt numFmtId="173" formatCode="#,##0.00_ ;\-#,##0.00\ "/>
      <alignment horizontal="general" vertical="center" textRotation="0" wrapText="0" indent="0" justifyLastLine="0" shrinkToFit="0" readingOrder="0"/>
      <border diagonalUp="0" diagonalDown="0">
        <left style="thin">
          <color theme="3"/>
        </left>
        <right style="thin">
          <color theme="3"/>
        </right>
        <top style="thin">
          <color theme="3"/>
        </top>
        <bottom style="thin">
          <color theme="3"/>
        </bottom>
        <vertical/>
        <horizontal/>
      </border>
    </dxf>
    <dxf>
      <font>
        <b val="0"/>
        <i val="0"/>
        <strike val="0"/>
        <condense val="0"/>
        <extend val="0"/>
        <outline val="0"/>
        <shadow val="0"/>
        <u val="none"/>
        <vertAlign val="baseline"/>
        <sz val="9"/>
        <color theme="1"/>
        <name val="Arial"/>
        <family val="2"/>
        <scheme val="none"/>
      </font>
      <numFmt numFmtId="178" formatCode="dd\-mmm"/>
      <alignment horizontal="center" vertical="center" textRotation="0" wrapText="0" indent="0" justifyLastLine="0" shrinkToFit="0" readingOrder="0"/>
      <border diagonalUp="0" diagonalDown="0">
        <left style="thin">
          <color theme="3"/>
        </left>
        <right/>
        <top style="thin">
          <color theme="3"/>
        </top>
        <bottom style="thin">
          <color theme="3"/>
        </bottom>
        <vertical/>
        <horizontal/>
      </border>
    </dxf>
    <dxf>
      <font>
        <b val="0"/>
        <i val="0"/>
        <strike val="0"/>
        <condense val="0"/>
        <extend val="0"/>
        <outline val="0"/>
        <shadow val="0"/>
        <u val="none"/>
        <vertAlign val="baseline"/>
        <sz val="9"/>
        <color theme="1"/>
        <name val="Arial"/>
        <family val="2"/>
        <scheme val="none"/>
      </font>
      <numFmt numFmtId="173" formatCode="#,##0.00_ ;\-#,##0.00\ "/>
      <fill>
        <patternFill patternType="none">
          <fgColor indexed="64"/>
          <bgColor auto="1"/>
        </patternFill>
      </fill>
      <alignment horizontal="general" vertical="center" textRotation="0" wrapText="0" indent="0" justifyLastLine="0" shrinkToFit="0" readingOrder="0"/>
      <border diagonalUp="0" diagonalDown="0">
        <left style="thin">
          <color theme="3"/>
        </left>
        <right style="thin">
          <color theme="3"/>
        </right>
        <top style="thin">
          <color theme="3"/>
        </top>
        <bottom style="thin">
          <color theme="3"/>
        </bottom>
        <vertical/>
        <horizontal/>
      </border>
    </dxf>
    <dxf>
      <font>
        <b/>
        <i val="0"/>
        <strike val="0"/>
        <condense val="0"/>
        <extend val="0"/>
        <outline val="0"/>
        <shadow val="0"/>
        <u val="none"/>
        <vertAlign val="baseline"/>
        <sz val="9"/>
        <color theme="1"/>
        <name val="Arial"/>
        <family val="2"/>
        <scheme val="none"/>
      </font>
      <numFmt numFmtId="178" formatCode="dd\-mmm"/>
      <alignment horizontal="center" vertical="center" textRotation="0" wrapText="0" indent="0" justifyLastLine="0" shrinkToFit="0" readingOrder="0"/>
      <border diagonalUp="0" diagonalDown="0">
        <left style="thin">
          <color theme="3"/>
        </left>
        <right/>
        <top style="thin">
          <color theme="3"/>
        </top>
        <bottom style="thin">
          <color theme="3"/>
        </bottom>
        <vertical/>
        <horizontal/>
      </border>
    </dxf>
    <dxf>
      <font>
        <b/>
        <i val="0"/>
        <strike val="0"/>
        <condense val="0"/>
        <extend val="0"/>
        <outline val="0"/>
        <shadow val="0"/>
        <u val="none"/>
        <vertAlign val="baseline"/>
        <sz val="9"/>
        <color theme="1"/>
        <name val="Arial"/>
        <family val="2"/>
        <scheme val="none"/>
      </font>
      <numFmt numFmtId="173" formatCode="#,##0.00_ ;\-#,##0.00\ "/>
      <alignment horizontal="general" vertical="center" textRotation="0" wrapText="0" indent="0" justifyLastLine="0" shrinkToFit="0" readingOrder="0"/>
      <border diagonalUp="0" diagonalDown="0">
        <left style="thin">
          <color theme="3"/>
        </left>
        <right style="thin">
          <color theme="3"/>
        </right>
        <top style="thin">
          <color theme="3"/>
        </top>
        <bottom style="thin">
          <color theme="3"/>
        </bottom>
        <vertical/>
        <horizontal/>
      </border>
    </dxf>
    <dxf>
      <font>
        <b/>
        <i val="0"/>
        <strike val="0"/>
        <condense val="0"/>
        <extend val="0"/>
        <outline val="0"/>
        <shadow val="0"/>
        <u val="none"/>
        <vertAlign val="baseline"/>
        <sz val="9"/>
        <color theme="1"/>
        <name val="Arial"/>
        <family val="2"/>
        <scheme val="none"/>
      </font>
      <numFmt numFmtId="21" formatCode="d\-mmm"/>
      <alignment horizontal="center" vertical="center" textRotation="0" wrapText="0" indent="0" justifyLastLine="0" shrinkToFit="0" readingOrder="0"/>
      <border diagonalUp="0" diagonalDown="0">
        <left style="thin">
          <color theme="3"/>
        </left>
        <right/>
        <top style="thin">
          <color theme="3"/>
        </top>
        <bottom style="thin">
          <color theme="3"/>
        </bottom>
        <vertical/>
        <horizontal/>
      </border>
    </dxf>
    <dxf>
      <font>
        <b val="0"/>
        <i val="0"/>
        <strike val="0"/>
        <condense val="0"/>
        <extend val="0"/>
        <outline val="0"/>
        <shadow val="0"/>
        <u val="none"/>
        <vertAlign val="baseline"/>
        <sz val="9"/>
        <color theme="1"/>
        <name val="Arial"/>
        <family val="2"/>
        <scheme val="none"/>
      </font>
      <numFmt numFmtId="173" formatCode="#,##0.00_ ;\-#,##0.00\ "/>
      <fill>
        <patternFill patternType="none">
          <fgColor indexed="64"/>
          <bgColor auto="1"/>
        </patternFill>
      </fill>
      <alignment horizontal="general" vertical="center" textRotation="0" wrapText="0" indent="0" justifyLastLine="0" shrinkToFit="0" readingOrder="0"/>
      <border diagonalUp="0" diagonalDown="0">
        <left/>
        <right style="thin">
          <color theme="3"/>
        </right>
        <top style="thin">
          <color theme="3"/>
        </top>
        <bottom style="thin">
          <color theme="3"/>
        </bottom>
      </border>
    </dxf>
    <dxf>
      <font>
        <b val="0"/>
        <i val="0"/>
        <strike val="0"/>
        <condense val="0"/>
        <extend val="0"/>
        <outline val="0"/>
        <shadow val="0"/>
        <u val="none"/>
        <vertAlign val="baseline"/>
        <sz val="9"/>
        <color theme="1"/>
        <name val="Arial"/>
        <family val="2"/>
        <scheme val="none"/>
      </font>
      <numFmt numFmtId="178" formatCode="dd\-mmm"/>
      <fill>
        <patternFill patternType="none">
          <fgColor indexed="64"/>
          <bgColor auto="1"/>
        </patternFill>
      </fill>
      <alignment horizontal="center" vertical="center" textRotation="0" wrapText="0" indent="0" justifyLastLine="0" shrinkToFit="0" readingOrder="0"/>
      <border diagonalUp="0" diagonalDown="0" outline="0">
        <left style="thin">
          <color theme="3"/>
        </left>
        <right/>
        <top style="thin">
          <color theme="3"/>
        </top>
        <bottom style="thin">
          <color theme="3"/>
        </bottom>
      </border>
    </dxf>
    <dxf>
      <font>
        <b/>
        <i val="0"/>
        <strike val="0"/>
        <condense val="0"/>
        <extend val="0"/>
        <outline val="0"/>
        <shadow val="0"/>
        <u val="none"/>
        <vertAlign val="baseline"/>
        <sz val="9"/>
        <color theme="1"/>
        <name val="Arial"/>
        <family val="2"/>
        <scheme val="none"/>
      </font>
      <numFmt numFmtId="170" formatCode="dd/mm/yyyy;@"/>
      <fill>
        <patternFill patternType="none">
          <fgColor indexed="64"/>
          <bgColor auto="1"/>
        </patternFill>
      </fill>
      <alignment horizontal="center" vertical="center" textRotation="0" wrapText="0" indent="0" justifyLastLine="0" shrinkToFit="0" readingOrder="0"/>
      <border diagonalUp="0" diagonalDown="0" outline="0">
        <left style="thin">
          <color theme="3"/>
        </left>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numFmt numFmtId="177" formatCode="#,##0.000"/>
      <alignment horizontal="center" vertical="center" textRotation="0" wrapText="0" indent="0" justifyLastLine="0" shrinkToFit="0" readingOrder="0"/>
      <border diagonalUp="0" diagonalDown="0">
        <left style="thin">
          <color theme="3"/>
        </left>
        <right style="thin">
          <color theme="3"/>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numFmt numFmtId="170" formatCode="dd/mm/yyyy;@"/>
      <fill>
        <patternFill patternType="none">
          <fgColor indexed="64"/>
          <bgColor auto="1"/>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numFmt numFmtId="175" formatCode="00\ &quot;dias&quot;"/>
      <fill>
        <patternFill patternType="none">
          <fgColor indexed="64"/>
          <bgColor auto="1"/>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numFmt numFmtId="174" formatCode="00000000"/>
      <fill>
        <patternFill patternType="none">
          <fgColor indexed="64"/>
          <bgColor auto="1"/>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numFmt numFmtId="170" formatCode="dd/mm/yyyy;@"/>
      <fill>
        <patternFill patternType="none">
          <fgColor indexed="64"/>
          <bgColor auto="1"/>
        </patternFill>
      </fill>
      <alignment horizontal="center" vertical="center" textRotation="0" wrapText="0" indent="0" justifyLastLine="0" shrinkToFit="0" readingOrder="0"/>
      <border diagonalUp="0" diagonalDown="0" outline="0">
        <left/>
        <right style="thin">
          <color theme="3"/>
        </right>
        <top style="thin">
          <color theme="3"/>
        </top>
        <bottom style="thin">
          <color theme="3"/>
        </bottom>
      </border>
      <protection locked="1" hidden="1"/>
    </dxf>
    <dxf>
      <font>
        <b/>
        <i val="0"/>
        <strike val="0"/>
        <condense val="0"/>
        <extend val="0"/>
        <outline val="0"/>
        <shadow val="0"/>
        <u val="none"/>
        <vertAlign val="baseline"/>
        <sz val="9"/>
        <color theme="1"/>
        <name val="Arial"/>
        <family val="2"/>
        <scheme val="none"/>
      </font>
      <numFmt numFmtId="170" formatCode="dd/mm/yyyy;@"/>
      <alignment horizontal="center" vertical="center" textRotation="0" wrapText="1"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numFmt numFmtId="170" formatCode="dd/mm/yyyy;@"/>
      <fill>
        <patternFill patternType="none">
          <fgColor indexed="64"/>
          <bgColor auto="1"/>
        </patternFill>
      </fill>
      <alignment horizontal="center" vertical="center" textRotation="0" wrapText="1" indent="0" justifyLastLine="0" shrinkToFit="0" readingOrder="0"/>
      <border diagonalUp="0" diagonalDown="0" outline="0">
        <left style="thin">
          <color theme="3"/>
        </left>
        <right/>
        <top style="thin">
          <color theme="3"/>
        </top>
        <bottom style="thin">
          <color theme="3"/>
        </bottom>
      </border>
      <protection locked="1" hidden="1"/>
    </dxf>
    <dxf>
      <font>
        <b/>
        <i val="0"/>
        <strike val="0"/>
        <condense val="0"/>
        <extend val="0"/>
        <outline val="0"/>
        <shadow val="0"/>
        <u val="none"/>
        <vertAlign val="baseline"/>
        <sz val="9"/>
        <color theme="1"/>
        <name val="Arial"/>
        <family val="2"/>
        <scheme val="none"/>
      </font>
      <numFmt numFmtId="164" formatCode="_(* #,##0.00_);_(* \(#,##0.00\);_(* &quot;-&quot;??_);_(@_)"/>
      <fill>
        <patternFill patternType="none">
          <fgColor indexed="64"/>
          <bgColor auto="1"/>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numFmt numFmtId="173" formatCode="#,##0.00_ ;\-#,##0.00\ "/>
      <fill>
        <patternFill patternType="none">
          <fgColor indexed="64"/>
          <bgColor auto="1"/>
        </patternFill>
      </fill>
      <alignment horizontal="right"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numFmt numFmtId="173" formatCode="#,##0.00_ ;\-#,##0.00\ "/>
      <fill>
        <patternFill patternType="none">
          <fgColor indexed="64"/>
          <bgColor auto="1"/>
        </patternFill>
      </fill>
      <alignment horizontal="right"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numFmt numFmtId="173" formatCode="#,##0.00_ ;\-#,##0.00\ "/>
      <fill>
        <patternFill patternType="none">
          <fgColor indexed="64"/>
          <bgColor auto="1"/>
        </patternFill>
      </fill>
      <alignment horizontal="right"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numFmt numFmtId="171" formatCode="&quot;001 - N° &quot;00000000"/>
      <alignment horizontal="center" vertical="center" textRotation="0" wrapText="1" indent="0" justifyLastLine="0" shrinkToFit="0" readingOrder="0"/>
      <border diagonalUp="0" diagonalDown="0">
        <left style="thin">
          <color theme="3"/>
        </left>
        <right style="thin">
          <color theme="3"/>
        </right>
        <top style="thin">
          <color theme="3"/>
        </top>
        <bottom style="thin">
          <color theme="3"/>
        </bottom>
        <vertical/>
        <horizontal/>
      </border>
      <protection locked="1" hidden="1"/>
    </dxf>
    <dxf>
      <font>
        <b val="0"/>
        <i val="0"/>
        <strike val="0"/>
        <condense val="0"/>
        <extend val="0"/>
        <outline val="0"/>
        <shadow val="0"/>
        <u val="none"/>
        <vertAlign val="baseline"/>
        <sz val="9"/>
        <color theme="1"/>
        <name val="Arial"/>
        <family val="2"/>
        <scheme val="none"/>
      </font>
      <numFmt numFmtId="171" formatCode="&quot;001 - N° &quot;00000000"/>
      <alignment horizontal="center" vertical="center" textRotation="0" wrapText="1" indent="0" justifyLastLine="0" shrinkToFit="0" readingOrder="0"/>
      <border diagonalUp="0" diagonalDown="0">
        <left style="thin">
          <color theme="3"/>
        </left>
        <right style="thin">
          <color theme="3"/>
        </right>
        <top style="thin">
          <color theme="3"/>
        </top>
        <bottom style="thin">
          <color theme="3"/>
        </bottom>
        <vertical/>
        <horizontal/>
      </border>
      <protection locked="1" hidden="1"/>
    </dxf>
    <dxf>
      <font>
        <b val="0"/>
        <i val="0"/>
        <strike val="0"/>
        <condense val="0"/>
        <extend val="0"/>
        <outline val="0"/>
        <shadow val="0"/>
        <u val="none"/>
        <vertAlign val="baseline"/>
        <sz val="9"/>
        <color theme="1"/>
        <name val="Arial"/>
        <family val="2"/>
        <scheme val="none"/>
      </font>
      <numFmt numFmtId="171" formatCode="&quot;001 - N° &quot;00000000"/>
      <fill>
        <patternFill patternType="none">
          <fgColor indexed="64"/>
          <bgColor auto="1"/>
        </patternFill>
      </fill>
      <alignment horizontal="center" vertical="center" textRotation="0" wrapText="1"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val="0"/>
        <i val="0"/>
        <strike val="0"/>
        <condense val="0"/>
        <extend val="0"/>
        <outline val="0"/>
        <shadow val="0"/>
        <u val="none"/>
        <vertAlign val="baseline"/>
        <sz val="9"/>
        <color auto="1"/>
        <name val="Arial"/>
        <family val="2"/>
        <scheme val="none"/>
      </font>
      <numFmt numFmtId="171" formatCode="&quot;001 - N° &quot;00000000"/>
      <fill>
        <patternFill patternType="none">
          <fgColor indexed="64"/>
          <bgColor auto="1"/>
        </patternFill>
      </fill>
      <alignment horizontal="center" vertical="center" textRotation="0" wrapText="1"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numFmt numFmtId="172" formatCode="[$-C0A]d\-mmm;@"/>
      <fill>
        <patternFill patternType="none">
          <fgColor indexed="64"/>
          <bgColor auto="1"/>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fill>
        <patternFill patternType="none">
          <fgColor indexed="64"/>
          <bgColor auto="1"/>
        </patternFill>
      </fill>
      <alignment horizontal="left"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i val="0"/>
        <strike val="0"/>
        <condense val="0"/>
        <extend val="0"/>
        <outline val="0"/>
        <shadow val="0"/>
        <u val="none"/>
        <vertAlign val="baseline"/>
        <sz val="9"/>
        <color theme="1"/>
        <name val="Arial"/>
        <family val="2"/>
        <scheme val="none"/>
      </font>
      <numFmt numFmtId="167" formatCode="000"/>
      <fill>
        <patternFill patternType="none">
          <fgColor indexed="64"/>
          <bgColor auto="1"/>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numFmt numFmtId="176" formatCode="&quot;N° &quot;000000"/>
      <fill>
        <patternFill patternType="none">
          <fgColor indexed="64"/>
          <bgColor auto="1"/>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numFmt numFmtId="167" formatCode="000"/>
      <fill>
        <patternFill patternType="none">
          <fgColor indexed="64"/>
          <bgColor auto="1"/>
        </patternFill>
      </fill>
      <alignment horizontal="center" vertical="center" textRotation="0" wrapText="0" indent="0" justifyLastLine="0" shrinkToFit="0" readingOrder="0"/>
      <border diagonalUp="0" diagonalDown="0" outline="0">
        <left/>
        <right style="thin">
          <color theme="3"/>
        </right>
        <top style="thin">
          <color theme="3"/>
        </top>
        <bottom style="thin">
          <color theme="3"/>
        </bottom>
      </border>
      <protection locked="1" hidden="1"/>
    </dxf>
    <dxf>
      <font>
        <b/>
        <i val="0"/>
        <strike val="0"/>
        <condense val="0"/>
        <extend val="0"/>
        <outline val="0"/>
        <shadow val="0"/>
        <u val="none"/>
        <vertAlign val="baseline"/>
        <sz val="9"/>
        <color theme="1"/>
        <name val="Arial"/>
        <family val="2"/>
        <scheme val="none"/>
      </font>
      <numFmt numFmtId="169" formatCode="d/mm/yy;@"/>
      <fill>
        <patternFill patternType="none">
          <fgColor indexed="64"/>
          <bgColor auto="1"/>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numFmt numFmtId="172" formatCode="[$-C0A]d\-mmm;@"/>
      <fill>
        <patternFill patternType="none">
          <fgColor indexed="64"/>
          <bgColor auto="1"/>
        </patternFill>
      </fill>
      <alignment horizontal="center" vertical="center" textRotation="0" wrapText="0" indent="0" justifyLastLine="0" shrinkToFit="0" readingOrder="0"/>
      <border diagonalUp="0" diagonalDown="0" outline="0">
        <left style="thin">
          <color theme="3"/>
        </left>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theme="3"/>
        </left>
        <right style="thin">
          <color theme="3"/>
        </right>
        <top style="thin">
          <color theme="3"/>
        </top>
        <bottom style="thin">
          <color theme="3"/>
        </bottom>
      </border>
      <protection locked="1" hidden="1"/>
    </dxf>
    <dxf>
      <font>
        <b val="0"/>
        <i val="0"/>
        <strike val="0"/>
        <condense val="0"/>
        <extend val="0"/>
        <outline val="0"/>
        <shadow val="0"/>
        <u val="none"/>
        <vertAlign val="baseline"/>
        <sz val="9"/>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0" hidden="0"/>
    </dxf>
    <dxf>
      <font>
        <b val="0"/>
        <i val="0"/>
        <strike val="0"/>
        <condense val="0"/>
        <extend val="0"/>
        <outline val="0"/>
        <shadow val="0"/>
        <u val="none"/>
        <vertAlign val="baseline"/>
        <sz val="9"/>
        <color theme="1"/>
        <name val="Arial"/>
        <family val="2"/>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theme="3"/>
        </left>
        <right style="thin">
          <color theme="3"/>
        </right>
        <top style="thin">
          <color theme="3"/>
        </top>
        <bottom style="thin">
          <color theme="3"/>
        </bottom>
      </border>
      <protection locked="0" hidden="0"/>
    </dxf>
    <dxf>
      <font>
        <b val="0"/>
        <i val="0"/>
        <strike val="0"/>
        <condense val="0"/>
        <extend val="0"/>
        <outline val="0"/>
        <shadow val="0"/>
        <u val="none"/>
        <vertAlign val="baseline"/>
        <sz val="9"/>
        <color theme="1"/>
        <name val="Arial"/>
        <family val="2"/>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left style="thin">
          <color theme="3"/>
        </left>
        <right style="thin">
          <color theme="3"/>
        </right>
        <top style="thin">
          <color theme="3"/>
        </top>
        <bottom style="thin">
          <color theme="3"/>
        </bottom>
        <vertical/>
        <horizontal/>
      </border>
      <protection locked="1" hidden="1"/>
    </dxf>
    <dxf>
      <font>
        <b val="0"/>
        <i val="0"/>
        <strike val="0"/>
        <condense val="0"/>
        <extend val="0"/>
        <outline val="0"/>
        <shadow val="0"/>
        <u val="none"/>
        <vertAlign val="baseline"/>
        <sz val="9"/>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theme="3"/>
        </left>
        <right style="thin">
          <color theme="3"/>
        </right>
        <top style="thin">
          <color theme="3"/>
        </top>
        <bottom style="thin">
          <color theme="3"/>
        </bottom>
      </border>
      <protection locked="0" hidden="0"/>
    </dxf>
    <dxf>
      <border>
        <top style="thin">
          <color rgb="FF11680F"/>
        </top>
      </border>
    </dxf>
    <dxf>
      <font>
        <b/>
        <strike val="0"/>
        <outline val="0"/>
        <shadow val="0"/>
        <u val="none"/>
        <vertAlign val="baseline"/>
        <sz val="9.5"/>
        <name val="Arial"/>
        <family val="2"/>
        <scheme val="none"/>
      </font>
      <fill>
        <patternFill patternType="solid">
          <fgColor indexed="64"/>
          <bgColor theme="9" tint="0.59999389629810485"/>
        </patternFill>
      </fill>
      <border diagonalUp="0" diagonalDown="0" outline="0">
        <left style="thin">
          <color rgb="FF11680F"/>
        </left>
        <right style="thin">
          <color rgb="FF11680F"/>
        </right>
        <top/>
        <bottom/>
      </border>
    </dxf>
    <dxf>
      <border outline="0">
        <top style="thin">
          <color theme="3"/>
        </top>
      </border>
    </dxf>
    <dxf>
      <font>
        <b val="0"/>
        <i val="0"/>
        <strike val="0"/>
        <condense val="0"/>
        <extend val="0"/>
        <outline val="0"/>
        <shadow val="0"/>
        <u val="none"/>
        <vertAlign val="baseline"/>
        <sz val="9"/>
        <color theme="1"/>
        <name val="Arial"/>
        <family val="2"/>
        <scheme val="none"/>
      </font>
      <fill>
        <patternFill patternType="none">
          <fgColor indexed="64"/>
          <bgColor auto="1"/>
        </patternFill>
      </fill>
      <alignment horizontal="center" vertical="center" textRotation="0" wrapText="0" indent="0" justifyLastLine="0" shrinkToFit="0" readingOrder="0"/>
      <protection locked="1" hidden="1"/>
    </dxf>
    <dxf>
      <border outline="0">
        <bottom style="thin">
          <color theme="3"/>
        </bottom>
      </border>
    </dxf>
    <dxf>
      <font>
        <color theme="1"/>
        <name val="Arial Nova"/>
        <family val="2"/>
        <scheme val="none"/>
      </font>
      <fill>
        <patternFill>
          <bgColor theme="9" tint="0.59996337778862885"/>
        </patternFill>
      </fill>
      <border diagonalUp="0" diagonalDown="0">
        <left style="medium">
          <color theme="0" tint="-0.499984740745262"/>
        </left>
        <right style="medium">
          <color theme="0" tint="-0.499984740745262"/>
        </right>
        <top style="medium">
          <color theme="0" tint="-0.499984740745262"/>
        </top>
        <bottom style="medium">
          <color theme="0" tint="-0.499984740745262"/>
        </bottom>
        <vertical/>
        <horizontal/>
      </border>
    </dxf>
    <dxf>
      <font>
        <b val="0"/>
        <i val="0"/>
        <color theme="1"/>
        <name val="Arial Nova"/>
        <family val="2"/>
        <scheme val="none"/>
      </font>
      <fill>
        <patternFill>
          <fgColor theme="9"/>
          <bgColor theme="0" tint="-0.14996795556505021"/>
        </patternFill>
      </fill>
      <border diagonalUp="0" diagonalDown="0">
        <left style="medium">
          <color theme="0" tint="-0.499984740745262"/>
        </left>
        <right style="medium">
          <color theme="0" tint="-0.499984740745262"/>
        </right>
        <top style="medium">
          <color theme="0" tint="-0.499984740745262"/>
        </top>
        <bottom style="medium">
          <color theme="0" tint="-0.499984740745262"/>
        </bottom>
        <vertical/>
        <horizontal/>
      </border>
    </dxf>
  </dxfs>
  <tableStyles count="1" defaultTableStyle="TableStyleMedium2" defaultPivotStyle="PivotStyleLight16">
    <tableStyle name="GYTRES" pivot="0" table="0" count="10" xr9:uid="{12971701-9E4D-46F5-A7FD-4C79A7998487}">
      <tableStyleElement type="wholeTable" dxfId="5335"/>
      <tableStyleElement type="headerRow" dxfId="5334"/>
    </tableStyle>
  </tableStyles>
  <colors>
    <mruColors>
      <color rgb="FF99FFCC"/>
      <color rgb="FFCCCCFF"/>
      <color rgb="FF9999FF"/>
      <color rgb="FF66CCFF"/>
      <color rgb="FFFFA7A9"/>
      <color rgb="FFFFCCFF"/>
      <color rgb="FFFFD757"/>
      <color rgb="FFACD522"/>
      <color rgb="FFFF797C"/>
      <color rgb="FFFFE9A3"/>
    </mruColors>
  </colors>
  <extLst>
    <ext xmlns:x14="http://schemas.microsoft.com/office/spreadsheetml/2009/9/main" uri="{46F421CA-312F-682f-3DD2-61675219B42D}">
      <x14:dxfs count="8">
        <dxf>
          <font>
            <color rgb="FF000000"/>
            <name val="Arial Nova"/>
            <family val="2"/>
            <scheme val="none"/>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name val="Arial Nova"/>
            <family val="2"/>
            <scheme val="none"/>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name val="Arial Nova"/>
            <family val="2"/>
            <scheme val="none"/>
          </font>
          <fill>
            <patternFill patternType="solid">
              <fgColor theme="0" tint="-0.14996795556505021"/>
              <bgColor theme="0" tint="-0.14996795556505021"/>
            </patternFill>
          </fill>
          <border>
            <left style="medium">
              <color theme="0" tint="-0.499984740745262"/>
            </left>
            <right style="medium">
              <color theme="0" tint="-0.499984740745262"/>
            </right>
            <top style="medium">
              <color theme="0" tint="-0.499984740745262"/>
            </top>
            <bottom style="medium">
              <color theme="0" tint="-0.499984740745262"/>
            </bottom>
            <vertical/>
            <horizontal/>
          </border>
        </dxf>
        <dxf>
          <font>
            <color rgb="FF000000"/>
            <name val="Arial Nova"/>
            <family val="2"/>
            <scheme val="none"/>
          </font>
          <fill>
            <patternFill patternType="solid">
              <fgColor theme="0" tint="-0.14996795556505021"/>
              <bgColor theme="0" tint="-0.14993743705557422"/>
            </patternFill>
          </fill>
          <border>
            <left style="medium">
              <color theme="0" tint="-0.499984740745262"/>
            </left>
            <right style="medium">
              <color theme="0" tint="-0.499984740745262"/>
            </right>
            <top style="medium">
              <color theme="0" tint="-0.499984740745262"/>
            </top>
            <bottom style="medium">
              <color theme="0" tint="-0.499984740745262"/>
            </bottom>
            <vertical/>
            <horizontal/>
          </border>
        </dxf>
        <dxf>
          <font>
            <color rgb="FF828282"/>
            <name val="Arial Nova"/>
            <family val="2"/>
            <scheme val="none"/>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name val="Arial Nova"/>
            <family val="2"/>
            <scheme val="none"/>
          </font>
          <fill>
            <patternFill patternType="solid">
              <fgColor rgb="FFFFFFFF"/>
              <bgColor theme="0" tint="-0.1499679555650502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GYTRES">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22/11/relationships/FeaturePropertyBag" Target="featurePropertyBag/featurePropertyBag.xml"/><Relationship Id="rId13" Type="http://schemas.openxmlformats.org/officeDocument/2006/relationships/customXml" Target="../customXml/item4.xml"/><Relationship Id="rId3" Type="http://schemas.openxmlformats.org/officeDocument/2006/relationships/theme" Target="theme/theme1.xml"/><Relationship Id="rId7" Type="http://schemas.microsoft.com/office/2017/10/relationships/person" Target="persons/person.xml"/><Relationship Id="rId12" Type="http://schemas.openxmlformats.org/officeDocument/2006/relationships/customXml" Target="../customXml/item3.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2.xml"/><Relationship Id="rId5" Type="http://schemas.openxmlformats.org/officeDocument/2006/relationships/styles" Target="styles.xml"/><Relationship Id="rId10" Type="http://schemas.openxmlformats.org/officeDocument/2006/relationships/customXml" Target="../customXml/item1.xml"/><Relationship Id="rId4" Type="http://schemas.openxmlformats.org/officeDocument/2006/relationships/connections" Target="connections.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G:\Mi%20unidad\2022\3.-%20Servicios\1.-%20Control%20de%20Servicios%20-%20GYTR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PI´S"/>
      <sheetName val="VARIOS"/>
      <sheetName val="RESUMEN"/>
      <sheetName val="FICHAS"/>
      <sheetName val="Lista de Servicios"/>
      <sheetName val="UNIDADES VEHICULARES"/>
      <sheetName val="CLIENTES"/>
      <sheetName val="PERSONAL"/>
      <sheetName val="DISPOSICION"/>
      <sheetName val="GASOLINA"/>
    </sheetNames>
    <sheetDataSet>
      <sheetData sheetId="0"/>
      <sheetData sheetId="1"/>
      <sheetData sheetId="2"/>
      <sheetData sheetId="3"/>
      <sheetData sheetId="4">
        <row r="4">
          <cell r="B4" t="str">
            <v>GS</v>
          </cell>
          <cell r="C4" t="str">
            <v>Gestión y Saneamiento ambiental.</v>
          </cell>
        </row>
        <row r="5">
          <cell r="B5" t="str">
            <v>GR</v>
          </cell>
          <cell r="C5" t="str">
            <v>Gestión y manejo integral de residuos sólidos.</v>
          </cell>
        </row>
        <row r="6">
          <cell r="B6" t="str">
            <v>GC</v>
          </cell>
          <cell r="C6" t="str">
            <v>Gestión comercial de residuos.</v>
          </cell>
        </row>
        <row r="7">
          <cell r="B7" t="str">
            <v>SC</v>
          </cell>
          <cell r="C7" t="str">
            <v>Otros servicios.</v>
          </cell>
        </row>
      </sheetData>
      <sheetData sheetId="5">
        <row r="3">
          <cell r="E3" t="str">
            <v>FOTON BKK-849</v>
          </cell>
          <cell r="F3">
            <v>5</v>
          </cell>
          <cell r="G3" t="str">
            <v>FURGON</v>
          </cell>
        </row>
        <row r="4">
          <cell r="E4" t="str">
            <v>JAC BKK-916</v>
          </cell>
          <cell r="F4">
            <v>7</v>
          </cell>
          <cell r="G4" t="str">
            <v>FURGON</v>
          </cell>
        </row>
        <row r="5">
          <cell r="E5" t="str">
            <v>FOTON BKL-739</v>
          </cell>
          <cell r="F5">
            <v>7</v>
          </cell>
          <cell r="G5" t="str">
            <v>BARRANDA</v>
          </cell>
        </row>
        <row r="6">
          <cell r="E6" t="str">
            <v>HINO V9R-903</v>
          </cell>
          <cell r="F6">
            <v>16</v>
          </cell>
          <cell r="G6" t="str">
            <v>FURGON</v>
          </cell>
        </row>
        <row r="7">
          <cell r="E7" t="str">
            <v>FOTON VBB-840</v>
          </cell>
          <cell r="F7">
            <v>7</v>
          </cell>
          <cell r="G7" t="str">
            <v>BARRANDA</v>
          </cell>
        </row>
        <row r="8">
          <cell r="E8" t="str">
            <v>TERCERIZADO</v>
          </cell>
          <cell r="F8"/>
          <cell r="G8"/>
        </row>
      </sheetData>
      <sheetData sheetId="6"/>
      <sheetData sheetId="7">
        <row r="8">
          <cell r="C8" t="str">
            <v>Bustamante Gil Ruben</v>
          </cell>
        </row>
        <row r="19">
          <cell r="C19" t="str">
            <v>Almanza Ticona Fernando Alonzo</v>
          </cell>
        </row>
        <row r="20">
          <cell r="C20" t="str">
            <v>Caña Ernesto Alejandro</v>
          </cell>
        </row>
        <row r="21">
          <cell r="C21" t="str">
            <v>Cayllahua Loayza Marco Antonio</v>
          </cell>
        </row>
        <row r="22">
          <cell r="C22" t="str">
            <v>Coraspe Caña Diego Antonio</v>
          </cell>
        </row>
        <row r="23">
          <cell r="C23" t="str">
            <v>Guedez Cedeño Efrain</v>
          </cell>
        </row>
        <row r="24">
          <cell r="C24" t="str">
            <v>Guizado Porras Ronal Enrique</v>
          </cell>
        </row>
        <row r="25">
          <cell r="C25" t="str">
            <v>Mamani Jacinto Edgar</v>
          </cell>
        </row>
        <row r="26">
          <cell r="C26" t="str">
            <v>Porras Franco Mathew</v>
          </cell>
        </row>
        <row r="27">
          <cell r="C27" t="str">
            <v>Portero Tomas Rocky Leonidas</v>
          </cell>
        </row>
        <row r="28">
          <cell r="C28" t="str">
            <v>Quispe Prieto Joel Geraldo</v>
          </cell>
        </row>
        <row r="29">
          <cell r="C29" t="str">
            <v>Quispe Prieto Wilber</v>
          </cell>
        </row>
        <row r="30">
          <cell r="C30" t="str">
            <v>Salicio Huayanay Kissel Piazzoli</v>
          </cell>
        </row>
        <row r="31">
          <cell r="C31" t="str">
            <v>Fajardo Rugeles Abel David</v>
          </cell>
        </row>
        <row r="32">
          <cell r="C32" t="str">
            <v>Tercerizado</v>
          </cell>
        </row>
        <row r="33">
          <cell r="C33" t="str">
            <v>Ccama Gutierrez Junior Alexander</v>
          </cell>
        </row>
        <row r="34">
          <cell r="C34" t="str">
            <v>Huaman Rios Justo Diego</v>
          </cell>
        </row>
        <row r="35">
          <cell r="C35" t="str">
            <v xml:space="preserve">Molleapaza Francia Nelson </v>
          </cell>
        </row>
        <row r="36">
          <cell r="C36" t="str">
            <v>Bustamante Gil Ruben</v>
          </cell>
        </row>
        <row r="37">
          <cell r="C37" t="str">
            <v>Cruz Rodriguez Efrain</v>
          </cell>
        </row>
        <row r="38">
          <cell r="C38" t="str">
            <v>Tarifa Mamani Juan Jesús</v>
          </cell>
        </row>
        <row r="39">
          <cell r="C39" t="str">
            <v>De la Cruz Solier Aldo Ronaldo</v>
          </cell>
        </row>
        <row r="40">
          <cell r="C40" t="str">
            <v xml:space="preserve">Soto Calachua Jesús Alonso </v>
          </cell>
        </row>
        <row r="41">
          <cell r="C41" t="str">
            <v>Supervisor Gytres</v>
          </cell>
        </row>
      </sheetData>
      <sheetData sheetId="8"/>
      <sheetData sheetId="9"/>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person displayName="Roy Ramos" id="{4DF55675-EBAE-4B30-90B6-3E67C8184CA1}" userId="S::asistente@gytres.com::f003b4d8-18e0-48c9-b053-931da2130da5" providerId="AD"/>
  <person displayName="Gisela Pari" id="{57A47BE2-4215-4467-96F7-05BBC575E4C2}" userId="S::administracion@gytres.com::4dfd053c-0234-4358-adbd-006e121834e9"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41FA02-C04F-493B-802A-C31FCC42DAB4}" name="DATA" displayName="DATA" ref="A1:BL1455" totalsRowCount="1" headerRowDxfId="0" dataDxfId="5332" totalsRowDxfId="5330" headerRowBorderDxfId="5333" tableBorderDxfId="5331" totalsRowBorderDxfId="5329">
  <autoFilter ref="A1:BL1454" xr:uid="{1C41FA02-C04F-493B-802A-C31FCC42DAB4}"/>
  <tableColumns count="64">
    <tableColumn id="1" xr3:uid="{7B82F7BC-23EA-453C-AD4F-A29DD17C19D4}" name="ruc" totalsRowLabel="TOTAL" dataDxfId="5328" totalsRowDxfId="5264"/>
    <tableColumn id="2" xr3:uid="{64C9C4B0-FB90-4626-99F2-C713B414EB10}" name="cliente_generador" dataDxfId="5327" totalsRowDxfId="5263">
      <calculatedColumnFormula>IFERROR(VLOOKUP(A2,#REF!,2,0),"")</calculatedColumnFormula>
    </tableColumn>
    <tableColumn id="3" xr3:uid="{B6739CC6-DD93-4987-A413-700D067F9A60}" name="planta_proyecto" dataDxfId="5326" totalsRowDxfId="5262"/>
    <tableColumn id="5" xr3:uid="{D91097F5-6EB7-4162-A11C-130D497E6EC9}" name="codigo" dataDxfId="5325" totalsRowDxfId="5261"/>
    <tableColumn id="6" xr3:uid="{05E292BF-50BC-485A-89D0-8059B6AFAABB}" name="servicio" dataDxfId="5324" totalsRowDxfId="5260">
      <calculatedColumnFormula>IFERROR(VLOOKUP(D2,#REF!,2,0),"")</calculatedColumnFormula>
    </tableColumn>
    <tableColumn id="7" xr3:uid="{D1075633-C63F-4C21-ACE5-718F34D98481}" name="fecha_fs" dataDxfId="5323" totalsRowDxfId="5259"/>
    <tableColumn id="8" xr3:uid="{6C1FF2F8-00B5-431E-9E96-D25003C7D341}" name="sede_fs" dataDxfId="5322" totalsRowDxfId="5258"/>
    <tableColumn id="9" xr3:uid="{9C889F64-8039-419D-BD89-04000119D733}" name="serie_fs" dataDxfId="5321" totalsRowDxfId="5257">
      <calculatedColumnFormula>IF(G2="","",IF(G2="LIM",2,1))</calculatedColumnFormula>
    </tableColumn>
    <tableColumn id="10" xr3:uid="{3C49D393-8DDD-4B2C-B6FC-1A5B7F8D0000}" name="ficha_servicio_fs" dataDxfId="5320" totalsRowDxfId="5256"/>
    <tableColumn id="11" xr3:uid="{BF609E82-F7D5-48E8-813C-32C912121F64}" name="estado_fs" dataDxfId="5319" totalsRowDxfId="5255"/>
    <tableColumn id="12" xr3:uid="{6E640433-5052-49B0-BACE-29BCEA0AF2CB}" name="detalle_servicio_fs" totalsRowFunction="count" dataDxfId="5318" totalsRowDxfId="5254"/>
    <tableColumn id="13" xr3:uid="{C5FA500C-36FE-4F39-967A-8FE5BC38859D}" name="medida_fs" dataDxfId="5317" totalsRowDxfId="5253"/>
    <tableColumn id="14" xr3:uid="{219C93E2-5552-4236-9858-533E897E0DF8}" name="cantidad_fs" totalsRowFunction="sum" dataDxfId="5316" totalsRowDxfId="5252"/>
    <tableColumn id="15" xr3:uid="{37045EF9-1207-481A-B56C-D09FB0814C0C}" name="unidad_vehicular_fs" dataDxfId="5315" totalsRowDxfId="5251"/>
    <tableColumn id="16" xr3:uid="{86B330E2-FCD2-4F1A-B597-817A4766DB22}" name="FECHA DE VAL." dataDxfId="5314" totalsRowDxfId="5250"/>
    <tableColumn id="17" xr3:uid="{39F34188-7B7B-468C-BC34-869DDE3BEFDE}" name="VALORIZACIÓN " dataDxfId="5313" totalsRowDxfId="5249"/>
    <tableColumn id="18" xr3:uid="{84CC99FE-7215-4D95-9F1B-43BC2C293AE1}" name="MONEDA" dataDxfId="5312" totalsRowDxfId="5248"/>
    <tableColumn id="46" xr3:uid="{F2F6498D-CE05-4037-99B8-176ECD2C30A3}" name="C. DF" totalsRowFunction="sum" dataDxfId="5311" totalsRowDxfId="5247"/>
    <tableColumn id="45" xr3:uid="{C6A099D0-C307-4435-BF90-4AA7F81D0558}" name="C.OPE." totalsRowFunction="sum" dataDxfId="5310" totalsRowDxfId="5246"/>
    <tableColumn id="19" xr3:uid="{2BDAA49F-213C-4590-BC66-1D63759D57F5}" name="SUB TOTAL" totalsRowFunction="sum" dataDxfId="5309" totalsRowDxfId="5245">
      <calculatedColumnFormula>((M2/1000)*(47+174.34)+137)</calculatedColumnFormula>
    </tableColumn>
    <tableColumn id="20" xr3:uid="{AD5395A7-D891-443B-BFA8-1396B199F413}" name="IGV" totalsRowFunction="sum" dataDxfId="5308" totalsRowDxfId="5244">
      <calculatedColumnFormula>DATA[[#This Row],[SUB TOTAL]]*0.18</calculatedColumnFormula>
    </tableColumn>
    <tableColumn id="21" xr3:uid="{EBCB1AB5-7E5D-428C-92F7-2E3D1FA92B51}" name="TOTAL" totalsRowFunction="sum" dataDxfId="5307" totalsRowDxfId="5243">
      <calculatedColumnFormula>IFERROR(ROUND(DATA[[#This Row],[SUB TOTAL]]+DATA[[#This Row],[IGV]],2),0)</calculatedColumnFormula>
    </tableColumn>
    <tableColumn id="22" xr3:uid="{AEF317A2-0DDE-4040-891D-CC3C9970EE89}" name="estado_v" dataDxfId="5306" totalsRowDxfId="5242">
      <calculatedColumnFormula>IF(DATA[[#This Row],[VALORIZACIÓN ]]="-","NO CORRESPONDE",IF(OR(A2=20558226979,A2=10470707866,A2=20111157058,A2=20100226902),"NO CORRESPONDE",IF(J2="Emitida",IF(P2&gt;0,"EMITIDA","PENDIENTE"),"NO CORRESPONDE")))</calculatedColumnFormula>
    </tableColumn>
    <tableColumn id="23" xr3:uid="{C9AF748A-FDA5-4914-BF4F-F1B0E138FC14}" name="observaciones" dataDxfId="5305" totalsRowDxfId="5241"/>
    <tableColumn id="38" xr3:uid="{A6FF6E27-A45D-49C1-B17D-7A16DD613D62}" name="estado_cont" dataDxfId="5304" totalsRowDxfId="5240"/>
    <tableColumn id="24" xr3:uid="{CF28A6F7-0D49-45D5-88BE-953A3F53D4DC}" name="FECHA DE EMISION" dataDxfId="5303" totalsRowDxfId="5239"/>
    <tableColumn id="25" xr3:uid="{8AFB0E2A-FD10-4735-8AC3-AD41B8C05CA0}" name="SERIE2" dataDxfId="5302" totalsRowDxfId="5238"/>
    <tableColumn id="26" xr3:uid="{ACDCE79A-1914-48A1-8684-A2DD0694C2E6}" name="NUMERO" dataDxfId="5301" totalsRowDxfId="5237"/>
    <tableColumn id="27" xr3:uid="{78B58EC4-0CC6-44CD-898A-3D90010A7EA4}" name="CONDICION DE PAGO" dataDxfId="5300" totalsRowDxfId="5236"/>
    <tableColumn id="28" xr3:uid="{82D25D9F-7662-4260-A83E-6F89DA9C1356}" name="VENCIMIENTO" dataDxfId="5299" totalsRowDxfId="5235">
      <calculatedColumnFormula>DATA[[#This Row],[FECHA DE EMISION]]+DATA[[#This Row],[CONDICION DE PAGO]]</calculatedColumnFormula>
    </tableColumn>
    <tableColumn id="39" xr3:uid="{6E746F98-321F-44D6-AA46-7CED8659940A}" name="T.C." dataDxfId="5298" totalsRowDxfId="5234">
      <calculatedColumnFormula>IF(DATA[[#This Row],[MONEDA]]="USD",VLOOKUP(DATA[[#This Row],[COMBINADA]],#REF!,11,0),1)</calculatedColumnFormula>
    </tableColumn>
    <tableColumn id="29" xr3:uid="{53D0299F-DFAD-4A62-A01A-04BF93738B97}" name="estado_fact" dataDxfId="5297" totalsRowDxfId="5233">
      <calculatedColumnFormula>IF(DATA[[#This Row],[SERIE2]]="-","NO CORRESPONDE",IF(W2="NO CORRESPONDE","NO CORRESPONDE",IF(Z2&gt;0,"FACTURADO","PENDIENTE")))</calculatedColumnFormula>
    </tableColumn>
    <tableColumn id="30" xr3:uid="{13718E0F-14D2-4652-9CDA-813B3E60700F}" name="F1" dataDxfId="5296" totalsRowDxfId="5232">
      <calculatedColumnFormula>IFERROR(VLOOKUP(DATA[[#This Row],[COMBINADA]],#REF!,6,0),0)</calculatedColumnFormula>
    </tableColumn>
    <tableColumn id="31" xr3:uid="{402C85CA-BF4E-48E7-B1F5-02611FEE3062}" name="IMPORTE 1" totalsRowFunction="sum" dataDxfId="5295" totalsRowDxfId="5231">
      <calculatedColumnFormula>IFERROR(VLOOKUP(DATA[[#This Row],[COMBINADA]],#REF!,9,0),0)/COUNTIFS(DATA[COMBINADA],DATA[[#This Row],[COMBINADA]])</calculatedColumnFormula>
    </tableColumn>
    <tableColumn id="47" xr3:uid="{5BD1DFAD-3DB7-4DE9-8319-603AB111F977}" name="F2" dataDxfId="5294" totalsRowDxfId="5230">
      <calculatedColumnFormula>IFERROR(VLOOKUP(DATA[[#This Row],[COMBINADA]],#REF!,6,0),0)</calculatedColumnFormula>
    </tableColumn>
    <tableColumn id="48" xr3:uid="{DEFAABDD-DDB2-4605-884E-C1F6CAFC6A28}" name="IMPORTE 2" totalsRowFunction="sum" dataDxfId="5293" totalsRowDxfId="5229">
      <calculatedColumnFormula>IFERROR(VLOOKUP(DATA[[#This Row],[COMBINADA]],#REF!,9,0),0)/COUNTIFS(DATA[COMBINADA],DATA[[#This Row],[COMBINADA]])</calculatedColumnFormula>
    </tableColumn>
    <tableColumn id="49" xr3:uid="{12956AB7-CF75-4AF0-90FE-92D3DBBE82FF}" name="F3" dataDxfId="5292" totalsRowDxfId="5228">
      <calculatedColumnFormula>IFERROR(VLOOKUP(DATA[[#This Row],[COMBINADA]],#REF!,6,0),0)</calculatedColumnFormula>
    </tableColumn>
    <tableColumn id="32" xr3:uid="{DD9AB92D-C29A-4D04-91B0-DD16FC61FD29}" name="IMPORTE 3" totalsRowFunction="sum" dataDxfId="5291" totalsRowDxfId="5227">
      <calculatedColumnFormula>IFERROR(VLOOKUP(DATA[[#This Row],[COMBINADA]],#REF!,9,0),0)/COUNTIFS(DATA[COMBINADA],DATA[[#This Row],[COMBINADA]])</calculatedColumnFormula>
    </tableColumn>
    <tableColumn id="53" xr3:uid="{2CE8456D-31B2-4D26-A587-C6A60BB82211}" name="F4" dataDxfId="5290" totalsRowDxfId="5226">
      <calculatedColumnFormula>IFERROR(VLOOKUP(DATA[[#This Row],[COMBINADA]],#REF!,6,0),0)</calculatedColumnFormula>
    </tableColumn>
    <tableColumn id="52" xr3:uid="{A7B6F9AC-B56C-4951-8486-E7BE978D2D4F}" name="IMPORTE 4" totalsRowFunction="sum" dataDxfId="5289" totalsRowDxfId="5225">
      <calculatedColumnFormula>IFERROR(VLOOKUP(DATA[[#This Row],[COMBINADA]],#REF!,9,0),0)/COUNTIFS(DATA[COMBINADA],DATA[[#This Row],[COMBINADA]])</calculatedColumnFormula>
    </tableColumn>
    <tableColumn id="33" xr3:uid="{F6850821-0273-4FD8-B230-3F9CF0D033E5}" name="F5" dataDxfId="5288" totalsRowDxfId="5224">
      <calculatedColumnFormula>IFERROR(VLOOKUP(DATA[[#This Row],[COMBINADA]],#REF!,6,0),0)</calculatedColumnFormula>
    </tableColumn>
    <tableColumn id="40" xr3:uid="{A9187975-EF97-47A7-BE03-94A17CA749D0}" name="IMPORTE 5" totalsRowFunction="sum" dataDxfId="5287" totalsRowDxfId="5223">
      <calculatedColumnFormula>IFERROR(VLOOKUP(DATA[[#This Row],[COMBINADA]],#REF!,9,0),0)/COUNTIFS(DATA[COMBINADA],DATA[[#This Row],[COMBINADA]])</calculatedColumnFormula>
    </tableColumn>
    <tableColumn id="34" xr3:uid="{2F46BFB5-21CF-4B3B-943C-14CF72E70E71}" name="saldo_ps" totalsRowFunction="sum" dataDxfId="5286" totalsRowDxfId="5222">
      <calculatedColumnFormula>((SUMIFS(DATA[TOTAL],DATA[COMBINADA],DATA[[#This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calculatedColumnFormula>
    </tableColumn>
    <tableColumn id="35" xr3:uid="{E79D8462-8A5D-4A47-9CD7-F2939D883CA2}" name="estado_pago_ps" dataDxfId="5285" totalsRowDxfId="5221">
      <calculatedColumnFormula>IFERROR(IF(DATA[[#This Row],[estado_fact]]="FACTURADO",VLOOKUP(DATA[[#This Row],[SERIE2]]&amp;"-"&amp;DATA[[#This Row],[NUMERO]],#REF!,34,0),"NO CORRESPONDE"),"NO CORRESPONDE")</calculatedColumnFormula>
    </tableColumn>
    <tableColumn id="36" xr3:uid="{A443124F-5CE1-4999-85EE-F967FC5A96F0}" name="PERIODO" totalsRowFunction="count" dataDxfId="5284" totalsRowDxfId="5220">
      <calculatedColumnFormula>IF(DATA[[#This Row],[fecha_fs]]&gt;0,TEXT(DATA[[#This Row],[fecha_fs]],"Mmmm"),0)</calculatedColumnFormula>
    </tableColumn>
    <tableColumn id="4" xr3:uid="{C809C78F-5F9A-4DA2-924D-F85DC604D00E}" name="COMBINADA" dataDxfId="5283" totalsRowDxfId="5219">
      <calculatedColumnFormula>DATA[[#This Row],[SERIE2]]&amp;"-"&amp;DATA[[#This Row],[NUMERO]]</calculatedColumnFormula>
    </tableColumn>
    <tableColumn id="37" xr3:uid="{6A0F50F3-FA99-4260-AAA9-E315B7E29D12}" name="SOLES" dataDxfId="5282" totalsRowDxfId="5218">
      <calculatedColumnFormula>DATA[[#This Row],[TOTAL]]*DATA[[#This Row],[T.C.]]</calculatedColumnFormula>
    </tableColumn>
    <tableColumn id="41" xr3:uid="{B31457E7-7FCA-48F8-B7F7-D1844E05CCC5}" name="fecha_valorizacion_ttf" dataDxfId="5281" totalsRowDxfId="5217">
      <calculatedColumnFormula>DATA[[#This Row],[FECHA DE VAL.]]</calculatedColumnFormula>
    </tableColumn>
    <tableColumn id="42" xr3:uid="{C3DE5DE5-54ED-4EF1-B69D-4FAB6F307D42}" name="fecha_factura_ttf" dataDxfId="5280" totalsRowDxfId="5216">
      <calculatedColumnFormula>DATA[[#This Row],[FECHA DE EMISION]]</calculatedColumnFormula>
    </tableColumn>
    <tableColumn id="43" xr3:uid="{F788EC01-2FF9-4053-AB00-78C77D8C0072}" name="fecha_pago_ttf" dataDxfId="5279" totalsRowDxfId="5215">
      <calculatedColumnFormula>DATA[[#This Row],[F1]]</calculatedColumnFormula>
    </tableColumn>
    <tableColumn id="44" xr3:uid="{252F90CE-2127-473D-BCB8-B837F4EB248E}" name="fs_val_ttf" totalsRowFunction="custom" dataDxfId="5278" totalsRowDxfId="5214">
      <calculatedColumnFormula>IF(AV2-DATA[[#This Row],[fecha_fs]]&lt;0,0,AV2-DATA[[#This Row],[fecha_fs]])</calculatedColumnFormula>
      <totalsRowFormula>SUBTOTAL(101,AY2:AY1454)</totalsRowFormula>
    </tableColumn>
    <tableColumn id="50" xr3:uid="{9BF8C84C-4553-4152-8FD6-4BDBEB49B057}" name="val_fact_ttf" totalsRowFunction="custom" dataDxfId="5277" totalsRowDxfId="5213">
      <calculatedColumnFormula>IF(AW2-AV2&lt;0,0,AW2-AV2)</calculatedColumnFormula>
      <totalsRowFormula>SUBTOTAL(101,AZ2:AZ1454)</totalsRowFormula>
    </tableColumn>
    <tableColumn id="51" xr3:uid="{642B84D0-4F26-48AC-BD8A-4B1F5106BA25}" name="fact_pago_ttf" totalsRowFunction="custom" dataDxfId="5276" totalsRowDxfId="5212">
      <calculatedColumnFormula>IF(AX2-AW2&lt;0,0,AX2-AW2)</calculatedColumnFormula>
      <totalsRowFormula>SUBTOTAL(101,BA2:BA1454)</totalsRowFormula>
    </tableColumn>
    <tableColumn id="54" xr3:uid="{31206C80-C8B3-4105-B381-6B0B640179F7}" name="tiempo_tf" totalsRowFunction="custom" dataDxfId="5275" totalsRowDxfId="5211">
      <calculatedColumnFormula>IFERROR(SUM(DATA[[#This Row],[fs_val_ttf]:[fact_pago_ttf]]),0)</calculatedColumnFormula>
      <totalsRowFormula>SUBTOTAL(101,BB2:BB1454)</totalsRowFormula>
    </tableColumn>
    <tableColumn id="55" xr3:uid="{A4A67036-5B1D-4D6A-9C00-683D7F126CDB}" name="fecha_disposicion_ttd" dataDxfId="5274" totalsRowDxfId="5210"/>
    <tableColumn id="56" xr3:uid="{EC56AFC0-6250-482A-A8A7-755F6DFB47E7}" name="fecha_recepcion_documento_ttd" dataDxfId="5273" totalsRowDxfId="5209"/>
    <tableColumn id="57" xr3:uid="{D52708B1-9B01-4238-A7B0-412F9CBC0D6F}" name="fecha_envío_digital_documentos_ttd" dataDxfId="5272" totalsRowDxfId="5208"/>
    <tableColumn id="58" xr3:uid="{139CE766-CE80-4B00-BA76-DDB4A4D1E4A8}" name="fecha_envío_físico_documentos _ttd" dataDxfId="5271" totalsRowDxfId="5207"/>
    <tableColumn id="59" xr3:uid="{B8366E86-F5C6-4F58-BF58-CBC05339B587}" name="fs_fd_ttd" totalsRowFunction="custom" dataDxfId="5270" totalsRowDxfId="5206">
      <calculatedColumnFormula>IFERROR(IF(BC2-DATA[[#This Row],[fecha_fs]]&lt;0,0,BC2-DATA[[#This Row],[fecha_fs]]),0)</calculatedColumnFormula>
      <totalsRowFormula>SUBTOTAL(101,BG2:BG1454)</totalsRowFormula>
    </tableColumn>
    <tableColumn id="60" xr3:uid="{187E24F5-5169-49D2-AA07-A6B077940E84}" name="fd_frd_ttd" totalsRowFunction="custom" dataDxfId="5269" totalsRowDxfId="5205">
      <calculatedColumnFormula>IFERROR(IF(BD2-BC2&lt;0,0,BD2-BC2),0)</calculatedColumnFormula>
      <totalsRowFormula>SUBTOTAL(101,BH2:BH1454)</totalsRowFormula>
    </tableColumn>
    <tableColumn id="61" xr3:uid="{FD8E5199-0360-4D83-8A04-C064B56C5E51}" name="frd_fend_ttd" totalsRowFunction="custom" dataDxfId="5268" totalsRowDxfId="5204">
      <calculatedColumnFormula>IFERROR(IF(BE2-BD2&lt;0,0,BE2-BD2),0)</calculatedColumnFormula>
      <totalsRowFormula>SUBTOTAL(101,BI2:BI1454)</totalsRowFormula>
    </tableColumn>
    <tableColumn id="62" xr3:uid="{B6E7A789-4809-4116-9EB8-10D3D662D1BC}" name="fend_fenf_ttd" totalsRowFunction="custom" dataDxfId="5267" totalsRowDxfId="5203">
      <calculatedColumnFormula>IFERROR(IF(BF2-BE2&lt;0,0,BF2-BE2),0)</calculatedColumnFormula>
      <totalsRowFormula>SUBTOTAL(101,BJ2:BJ1454)</totalsRowFormula>
    </tableColumn>
    <tableColumn id="63" xr3:uid="{D7789E52-9632-4B6C-80F0-AC05D90CDFC5}" name="tiempo_td" totalsRowFunction="custom" dataDxfId="5266" totalsRowDxfId="5202">
      <calculatedColumnFormula>IFERROR(SUM(DATA[[#This Row],[fs_fd_ttd]:[fend_fenf_ttd]]),0)</calculatedColumnFormula>
      <totalsRowFormula>SUBTOTAL(101,BK2:BK1454)</totalsRowFormula>
    </tableColumn>
    <tableColumn id="64" xr3:uid="{C2F78C99-7592-431B-A121-DE40AFBBFE72}" name="ejercicio_ttd" dataDxfId="5265" totalsRowDxfId="5201">
      <calculatedColumnFormula>IF(DATA[[#This Row],[fecha_fs]]&gt;0,TEXT(DATA[[#This Row],[fecha_fs]],"YYYY"),0)</calculatedColumnFormula>
    </tableColumn>
  </tableColumns>
  <tableStyleInfo showFirstColumn="0" showLastColumn="0" showRowStripes="1" showColumnStripes="0"/>
</table>
</file>

<file path=xl/theme/theme1.xml><?xml version="1.0" encoding="utf-8"?>
<a:theme xmlns:a="http://schemas.openxmlformats.org/drawingml/2006/main" name="Tema de Office">
  <a:themeElements>
    <a:clrScheme name="GYTRES">
      <a:dk1>
        <a:srgbClr val="000000"/>
      </a:dk1>
      <a:lt1>
        <a:srgbClr val="FFFFFF"/>
      </a:lt1>
      <a:dk2>
        <a:srgbClr val="12680F"/>
      </a:dk2>
      <a:lt2>
        <a:srgbClr val="E7E6E6"/>
      </a:lt2>
      <a:accent1>
        <a:srgbClr val="5A690F"/>
      </a:accent1>
      <a:accent2>
        <a:srgbClr val="72B730"/>
      </a:accent2>
      <a:accent3>
        <a:srgbClr val="E7E6E6"/>
      </a:accent3>
      <a:accent4>
        <a:srgbClr val="B7BF34"/>
      </a:accent4>
      <a:accent5>
        <a:srgbClr val="CAE664"/>
      </a:accent5>
      <a:accent6>
        <a:srgbClr val="72B730"/>
      </a:accent6>
      <a:hlink>
        <a:srgbClr val="0563C1"/>
      </a:hlink>
      <a:folHlink>
        <a:srgbClr val="C490AA"/>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M18" dT="2025-01-21T17:15:39.54" personId="{57A47BE2-4215-4467-96F7-05BBC575E4C2}" id="{76687702-3D63-44A9-8073-832B73636EC3}">
    <text>2,600.00 Kg</text>
  </threadedComment>
  <threadedComment ref="M53" dT="2025-01-17T21:37:34.70" personId="{57A47BE2-4215-4467-96F7-05BBC575E4C2}" id="{4052DD4A-01A6-4921-967E-5DA7C834FB62}">
    <text>2,110.00 Kg.</text>
  </threadedComment>
  <threadedComment ref="F59" dT="2025-02-04T16:05:30.52" personId="{57A47BE2-4215-4467-96F7-05BBC575E4C2}" id="{D09E90C8-19AC-4E1C-8BE0-329166B04E26}">
    <text>19/12</text>
  </threadedComment>
  <threadedComment ref="M65" dT="2025-01-17T21:57:17.41" personId="{57A47BE2-4215-4467-96F7-05BBC575E4C2}" id="{F3059A38-E5E4-4541-9D8D-B4213960B3AA}">
    <text>1,290.00 Kg</text>
  </threadedComment>
  <threadedComment ref="M92" dT="2025-01-27T18:12:05.51" personId="{57A47BE2-4215-4467-96F7-05BBC575E4C2}" id="{976C3430-CB82-43DC-860A-5512FA8F5197}">
    <text>1,070.00 Kg.</text>
  </threadedComment>
  <threadedComment ref="F146" dT="2025-01-31T15:27:41.31" personId="{57A47BE2-4215-4467-96F7-05BBC575E4C2}" id="{5D68D17F-C84E-4CF4-84D9-324DECF0A206}">
    <text>30/01</text>
  </threadedComment>
  <threadedComment ref="M146" dT="2025-01-31T15:27:24.25" personId="{57A47BE2-4215-4467-96F7-05BBC575E4C2}" id="{CA691390-C90D-405B-8B61-0D90B5088085}">
    <text>1,290.00</text>
  </threadedComment>
  <threadedComment ref="M163" dT="2025-02-07T14:18:40.80" personId="{57A47BE2-4215-4467-96F7-05BBC575E4C2}" id="{EA0009A1-C12E-4651-B153-839C555F230C}">
    <text>1,320.00 Kg.</text>
  </threadedComment>
  <threadedComment ref="F167" dT="2025-02-05T14:17:49.70" personId="{57A47BE2-4215-4467-96F7-05BBC575E4C2}" id="{847B86A3-68A7-4AC0-B788-260AB1101587}">
    <text>03/02</text>
  </threadedComment>
  <threadedComment ref="F168" dT="2025-02-05T14:17:54.23" personId="{57A47BE2-4215-4467-96F7-05BBC575E4C2}" id="{ACD977B7-F26B-4E54-8A3F-C4BCC2F03B31}">
    <text>03/02</text>
  </threadedComment>
  <threadedComment ref="M182" dT="2025-02-07T14:23:39.67" personId="{57A47BE2-4215-4467-96F7-05BBC575E4C2}" id="{4EA98A6F-8DE5-4544-8DEE-32B1C56AB5AF}">
    <text>1,300.00 Kg.</text>
  </threadedComment>
  <threadedComment ref="M183" dT="2025-02-07T14:23:39.67" personId="{57A47BE2-4215-4467-96F7-05BBC575E4C2}" id="{47BFFC39-29D3-4A15-8C89-C26D3F0BFE91}">
    <text>1,290.00 Kg.</text>
  </threadedComment>
  <threadedComment ref="M207" dT="2025-02-20T18:04:20.35" personId="{57A47BE2-4215-4467-96F7-05BBC575E4C2}" id="{AB1E91C1-76BB-4EAF-8A80-031EF8CFF685}">
    <text>Aceite 950 Kg.</text>
  </threadedComment>
  <threadedComment ref="M234" dT="2025-02-20T19:38:37.59" personId="{57A47BE2-4215-4467-96F7-05BBC575E4C2}" id="{294DCAF4-AA67-41C2-8694-0BF68CFD4117}">
    <text>1,300.00 Kg.</text>
  </threadedComment>
  <threadedComment ref="M256" dT="2025-02-20T19:46:53.07" personId="{57A47BE2-4215-4467-96F7-05BBC575E4C2}" id="{662670D7-ABF1-413A-AC94-DB95919A1DA4}">
    <text>1,290.00 Kg.</text>
  </threadedComment>
  <threadedComment ref="M259" dT="2025-02-26T20:23:49.28" personId="{57A47BE2-4215-4467-96F7-05BBC575E4C2}" id="{D4F6A208-B374-4CD0-8C12-2B771C642E21}">
    <text>Se descontó bronce</text>
  </threadedComment>
  <threadedComment ref="M318" dT="2025-03-10T13:20:19.35" personId="{4DF55675-EBAE-4B30-90B6-3E67C8184CA1}" id="{67BD9D82-D179-4B68-AE7C-52C38CEFA222}">
    <text>36 Isotanques</text>
  </threadedComment>
  <threadedComment ref="M318" dT="2025-03-12T16:31:21.98" personId="{57A47BE2-4215-4467-96F7-05BBC575E4C2}" id="{E8328671-DE0A-486F-93CB-B90EC56DAB4C}" parentId="{67BD9D82-D179-4B68-AE7C-52C38CEFA222}">
    <text>2,130.00 Kg.</text>
  </threadedComment>
  <threadedComment ref="K319" dT="2025-03-12T16:12:17.73" personId="{57A47BE2-4215-4467-96F7-05BBC575E4C2}" id="{A12BAF53-BF0A-493A-9A29-0B013499E307}">
    <text xml:space="preserve">Producto Químico (Sílice) </text>
  </threadedComment>
  <threadedComment ref="K322" dT="2025-03-12T16:13:15.38" personId="{57A47BE2-4215-4467-96F7-05BBC575E4C2}" id="{4F9647F0-0485-4B59-93E2-1C8AB9D5D19C}">
    <text>Aceite</text>
  </threadedComment>
  <threadedComment ref="K376" dT="2025-03-20T18:00:56.08" personId="{4DF55675-EBAE-4B30-90B6-3E67C8184CA1}" id="{E8BCB795-396D-4FB4-89A1-94F8F5F7EB6F}">
    <text>No se cobrará el servicio</text>
  </threadedComment>
  <threadedComment ref="M385" dT="2025-03-24T15:49:33.31" personId="{57A47BE2-4215-4467-96F7-05BBC575E4C2}" id="{1B83F51F-AE7B-44D6-9B7F-F89B0A0117E2}">
    <text>1,990.00 Kg.</text>
  </threadedComment>
  <threadedComment ref="K415" dT="2025-05-21T22:38:52.91" personId="{4DF55675-EBAE-4B30-90B6-3E67C8184CA1}" id="{F4542D65-BEE4-4C52-8AA9-C2A03CA06AF8}">
    <text>Pendiente facturación  de 1500</text>
  </threadedComment>
  <threadedComment ref="X415" dT="2025-06-05T18:15:05.57" personId="{57A47BE2-4215-4467-96F7-05BBC575E4C2}" id="{33882A55-0249-4EE9-9F92-377E9E1118E1}">
    <text>Faltan S/ 90.00 - No cuenta</text>
  </threadedComment>
  <threadedComment ref="M431" dT="2025-04-08T22:37:13.06" personId="{57A47BE2-4215-4467-96F7-05BBC575E4C2}" id="{D65440DE-D1EA-4208-8E45-FCC9F2AB604B}">
    <text>2,100.00 Kg.</text>
  </threadedComment>
  <threadedComment ref="N432" dT="2025-04-02T15:00:53.03" personId="{4DF55675-EBAE-4B30-90B6-3E67C8184CA1}" id="{D7144DE5-EAD6-42F4-880B-E0CD5B87DBAF}">
    <text>Traido a almacen</text>
  </threadedComment>
  <threadedComment ref="M467" dT="2025-04-08T22:53:44.92" personId="{57A47BE2-4215-4467-96F7-05BBC575E4C2}" id="{30BFEA9E-ACAF-4A3C-BB5A-1E80E4C976F6}">
    <text>1,760.00</text>
  </threadedComment>
  <threadedComment ref="K477" dT="2025-04-09T13:38:42.76" personId="{57A47BE2-4215-4467-96F7-05BBC575E4C2}" id="{525F406A-C289-441E-9714-11A07C029C06}">
    <text>Aceite Vegetal</text>
  </threadedComment>
  <threadedComment ref="M521" dT="2025-04-22T12:35:39.91" personId="{57A47BE2-4215-4467-96F7-05BBC575E4C2}" id="{A4AC22B0-9CE0-421D-B080-1E59C27434B2}">
    <text>1,290.00 Kg.</text>
  </threadedComment>
  <threadedComment ref="M522" dT="2025-04-22T12:35:58.58" personId="{57A47BE2-4215-4467-96F7-05BBC575E4C2}" id="{A8228C3F-4FA7-4CDE-9BB8-8AB2F3EF8D2C}">
    <text>1,280.00 Kg</text>
  </threadedComment>
  <threadedComment ref="K568" dT="2025-05-02T21:15:18.17" personId="{4DF55675-EBAE-4B30-90B6-3E67C8184CA1}" id="{EA6F3B37-B101-440C-8820-BDC8AD17773A}">
    <text>Aceite Vegetal</text>
  </threadedComment>
  <threadedComment ref="M576" dT="2025-04-30T15:28:38.87" personId="{57A47BE2-4215-4467-96F7-05BBC575E4C2}" id="{AA4EC156-A64A-49C1-AFA6-F9CDBF1A1ED2}">
    <text>2,180.00 Kg</text>
  </threadedComment>
  <threadedComment ref="M590" dT="2025-05-09T12:56:20.45" personId="{57A47BE2-4215-4467-96F7-05BBC575E4C2}" id="{5CBB807F-329E-4377-8CC5-6FFA5F493DE9}">
    <text>1,290.00 Kg.</text>
  </threadedComment>
  <threadedComment ref="N590" dT="2025-05-09T12:56:52.47" personId="{57A47BE2-4215-4467-96F7-05BBC575E4C2}" id="{D29F808E-E773-4E83-9771-8E8B38F38B77}">
    <text>HINO 500 BFH-839</text>
  </threadedComment>
  <threadedComment ref="K605" dT="2025-05-05T17:39:34.31" personId="{4DF55675-EBAE-4B30-90B6-3E67C8184CA1}" id="{35D8F92F-CB7B-47EF-8604-55D33D4FE0C2}">
    <text>Elementos No Metalicos</text>
  </threadedComment>
  <threadedComment ref="K606" dT="2025-05-22T15:31:18.70" personId="{4DF55675-EBAE-4B30-90B6-3E67C8184CA1}" id="{5A4B6ADD-2188-4FFB-9B31-E6C890F8F02F}">
    <text>Baterias en desuso</text>
  </threadedComment>
  <threadedComment ref="K607" dT="2025-05-22T15:31:30.60" personId="{4DF55675-EBAE-4B30-90B6-3E67C8184CA1}" id="{C555CECE-1292-462B-9A93-3615701AC482}">
    <text>Baterias en desuso</text>
  </threadedComment>
  <threadedComment ref="K608" dT="2025-05-22T15:31:56.73" personId="{4DF55675-EBAE-4B30-90B6-3E67C8184CA1}" id="{E5177966-F7BF-4084-B983-6F63D4AD32E1}">
    <text>Baterias en desuso</text>
  </threadedComment>
  <threadedComment ref="K626" dT="2025-05-22T15:32:18.83" personId="{4DF55675-EBAE-4B30-90B6-3E67C8184CA1}" id="{31E1EBAD-A368-4544-BABE-012F26AD61CA}">
    <text>Baterias en desuso</text>
  </threadedComment>
  <threadedComment ref="K629" dT="2025-05-22T15:32:31.55" personId="{4DF55675-EBAE-4B30-90B6-3E67C8184CA1}" id="{ABD4C2EC-0645-45A3-8799-0576D4F970EF}">
    <text>Baterias en desuso</text>
  </threadedComment>
  <threadedComment ref="K630" dT="2025-05-22T15:32:50.07" personId="{4DF55675-EBAE-4B30-90B6-3E67C8184CA1}" id="{8B5DE942-437B-439E-8704-ACE47C660A80}">
    <text>Baterías en desuso</text>
  </threadedComment>
  <threadedComment ref="M697" dT="2025-05-27T14:20:47.17" personId="{4DF55675-EBAE-4B30-90B6-3E67C8184CA1}" id="{6A25092C-630E-411F-8B77-20AF158D16DF}">
    <text>1270 Kg</text>
  </threadedComment>
  <threadedComment ref="M698" dT="2025-05-27T14:21:03.47" personId="{4DF55675-EBAE-4B30-90B6-3E67C8184CA1}" id="{EB4BE572-61BB-4D6D-9461-BD00FC2C3237}">
    <text>1040</text>
  </threadedComment>
  <threadedComment ref="M719" dT="2025-05-29T20:25:48.93" personId="{57A47BE2-4215-4467-96F7-05BBC575E4C2}" id="{E04CDBEA-227F-40F6-B872-7AFB551B0E07}">
    <text>TOTAL 73,590.00 Kg.
Primera facturación 38,360.00 Kg.</text>
  </threadedComment>
  <threadedComment ref="M743" dT="2025-06-10T12:50:44.29" personId="{57A47BE2-4215-4467-96F7-05BBC575E4C2}" id="{EADD08E2-122F-459C-B724-DC4A65CC0A2B}">
    <text>1,290.00 Kg</text>
  </threadedComment>
  <threadedComment ref="M767" dT="2025-06-26T14:59:19.44" personId="{57A47BE2-4215-4467-96F7-05BBC575E4C2}" id="{E6D3AEFF-7165-4538-A78A-0CF932081BDC}">
    <text>1,280.00 Kg.</text>
  </threadedComment>
  <threadedComment ref="M769" dT="2025-06-26T14:59:36.80" personId="{57A47BE2-4215-4467-96F7-05BBC575E4C2}" id="{D0A6757E-3953-427B-9467-28716C3505B9}">
    <text>1,290.00 Kg.</text>
  </threadedComment>
  <threadedComment ref="M832" dT="2025-06-25T16:41:17.19" personId="{4DF55675-EBAE-4B30-90B6-3E67C8184CA1}" id="{B0554799-C183-4EC0-8050-F81DC62F038C}">
    <text>1290 Kg</text>
  </threadedComment>
  <threadedComment ref="M849" dT="2025-06-26T21:02:32.09" personId="{4DF55675-EBAE-4B30-90B6-3E67C8184CA1}" id="{6F24EF38-090A-4594-B3F2-CD393CA95600}">
    <text>1050 Kg</text>
  </threadedComment>
  <threadedComment ref="M912" dT="2025-07-17T20:10:26.84" personId="{57A47BE2-4215-4467-96F7-05BBC575E4C2}" id="{2BA94426-B6E2-476F-8F13-54F92210C7F6}">
    <text>270 Kg - Aceite para tratamiento</text>
  </threadedComment>
  <threadedComment ref="K916" dT="2025-07-14T15:01:23.28" personId="{57A47BE2-4215-4467-96F7-05BBC575E4C2}" id="{49DEA14B-C928-4CF4-AE9F-32780C586E66}">
    <text>Agua residual contaminada</text>
  </threadedComment>
  <threadedComment ref="M973" dT="2025-07-30T14:54:37.64" personId="{57A47BE2-4215-4467-96F7-05BBC575E4C2}" id="{63AF0428-E39C-42FE-8806-A2327C4BD5B3}">
    <text>2,070.00 Kg.</text>
  </threadedComment>
  <threadedComment ref="M974" dT="2025-07-30T14:54:52.36" personId="{57A47BE2-4215-4467-96F7-05BBC575E4C2}" id="{FBB90A3D-D5F2-4E37-BEE0-18284D107D3A}">
    <text>2,080.00 Kg.</text>
  </threadedComment>
  <threadedComment ref="F985" dT="2025-07-31T14:22:12.26" personId="{57A47BE2-4215-4467-96F7-05BBC575E4C2}" id="{EB5E164F-8EE9-4579-952A-AFB553A99C0F}">
    <text>30/07</text>
  </threadedComment>
  <threadedComment ref="F996" dT="2025-07-31T14:12:17.83" personId="{57A47BE2-4215-4467-96F7-05BBC575E4C2}" id="{CC067B42-1E87-48EF-AC5B-0E414792048D}">
    <text>30/07</text>
  </threadedComment>
  <threadedComment ref="C1033" dT="2025-08-18T15:48:45.54" personId="{57A47BE2-4215-4467-96F7-05BBC575E4C2}" id="{8DD5E045-B5F0-45B7-9798-3EC8C0A96459}">
    <text>Ilo</text>
  </threadedComment>
  <threadedComment ref="K1108" dT="2025-08-29T15:26:22.26" personId="{4DF55675-EBAE-4B30-90B6-3E67C8184CA1}" id="{8B396829-FFAC-4F32-A2CA-7055C568A0D4}">
    <text>Se facturará en septiembre</text>
  </threadedComment>
  <threadedComment ref="M1123" dT="2025-09-02T17:24:34.31" personId="{57A47BE2-4215-4467-96F7-05BBC575E4C2}" id="{6F142880-3126-4E45-B406-C19AA0E82511}">
    <text>2,090.00 Kg.</text>
  </threadedComment>
  <threadedComment ref="K1134" dT="2025-10-10T13:26:31.98" personId="{57A47BE2-4215-4467-96F7-05BBC575E4C2}" id="{629BDDE9-EC6F-4914-BA07-A8C7ADE4437A}">
    <text>Cartón</text>
  </threadedComment>
  <threadedComment ref="K1141" dT="2025-10-15T20:28:43.10" personId="{57A47BE2-4215-4467-96F7-05BBC575E4C2}" id="{894DBD95-D72F-43F6-8CE8-12AB542878E0}">
    <text>Chatarra</text>
  </threadedComment>
  <threadedComment ref="M1147" dT="2025-09-08T14:25:38.89" personId="{57A47BE2-4215-4467-96F7-05BBC575E4C2}" id="{C13CDEE8-D3F0-44FC-8943-05B7205594F5}">
    <text>1,280.00 Kg.</text>
  </threadedComment>
  <threadedComment ref="M1245" dT="2025-10-14T12:26:11.77" personId="{57A47BE2-4215-4467-96F7-05BBC575E4C2}" id="{27D1B94C-85AF-4BBE-A88E-4CE093B9CBDE}">
    <text>Se recolectó 1,233.00 pero se cobra en base al peso de DF</text>
  </threadedComment>
  <threadedComment ref="M1248" dT="2025-09-26T15:09:38.64" personId="{57A47BE2-4215-4467-96F7-05BBC575E4C2}" id="{0DA19F74-3EAD-44D2-9F70-7C81333CDA58}">
    <text>2,110.00 Kg</text>
  </threadedComment>
  <threadedComment ref="K1265" dT="2025-09-30T20:41:18.68" personId="{57A47BE2-4215-4467-96F7-05BBC575E4C2}" id="{CE8180F4-F809-4D64-B42C-10FA5AD7F885}">
    <text>Residuos no peligrosos (Libro A03CCO2501 tuberia 25 MM - AV. SAN MARTIN, SEMI RURAL PACHACUTEC CERRO COLORADO).</text>
  </threadedComment>
  <threadedComment ref="M1268" dT="2025-10-01T14:59:17.50" personId="{57A47BE2-4215-4467-96F7-05BBC575E4C2}" id="{953D1E67-89C0-4681-B900-714AB188D64B}">
    <text>2,090.00 kg.</text>
  </threadedComment>
  <threadedComment ref="BD1272" dT="2025-10-14T19:39:13.64" personId="{57A47BE2-4215-4467-96F7-05BBC575E4C2}" id="{9E3411C0-5011-45DE-81BC-E1B210A00678}">
    <text>13/10</text>
  </threadedComment>
  <threadedComment ref="BD1273" dT="2025-10-14T19:39:13.64" personId="{57A47BE2-4215-4467-96F7-05BBC575E4C2}" id="{49506699-4845-4403-8C05-8F15F8E8B705}">
    <text>13/10</text>
  </threadedComment>
  <threadedComment ref="K1307" dT="2025-10-10T13:26:31.98" personId="{57A47BE2-4215-4467-96F7-05BBC575E4C2}" id="{DE9BD6AD-B669-4441-8AF8-CEF18223088D}">
    <text>Cartón</text>
  </threadedComment>
  <threadedComment ref="M1320" dT="2025-10-13T16:26:06.97" personId="{57A47BE2-4215-4467-96F7-05BBC575E4C2}" id="{75A3F5FC-A616-4C25-8B81-5B86A3046402}">
    <text>700 Kg.</text>
  </threadedComment>
  <threadedComment ref="C1331" dT="2025-10-22T15:27:19.98" personId="{57A47BE2-4215-4467-96F7-05BBC575E4C2}" id="{F4135156-F313-48A4-AB01-7BB22D58AF06}">
    <text>La Joya</text>
  </threadedComment>
  <threadedComment ref="K1345" dT="2025-10-20T13:23:48.89" personId="{57A47BE2-4215-4467-96F7-05BBC575E4C2}" id="{22C8C504-44F4-4048-9D1B-848F71B49C67}">
    <text>Chatarra Metálica</text>
  </threadedComment>
  <threadedComment ref="M1361" dT="2025-10-23T14:35:25.50" personId="{57A47BE2-4215-4467-96F7-05BBC575E4C2}" id="{81DA21D7-46AE-4002-80D5-9BDD2C7F893D}">
    <text>No se imprimió el ticket de peso por averías en la balanza de Alicorp Molinos.</text>
  </threadedComment>
  <threadedComment ref="M1376" dT="2025-10-27T15:35:02.58" personId="{57A47BE2-4215-4467-96F7-05BBC575E4C2}" id="{0808D305-6663-4E91-BB6F-82EAE0D068CD}">
    <text>2,080.00 Kg.</text>
  </threadedComment>
  <threadedComment ref="K1408" dT="2025-11-05T21:42:05.23" personId="{57A47BE2-4215-4467-96F7-05BBC575E4C2}" id="{BCE2D2DE-FE49-49ED-9A12-03C42CAEAB6D}">
    <text>Cartón 75 Kg.
RNA 655 Kg.</text>
  </threadedComment>
  <threadedComment ref="M1448" dT="2025-11-12T14:03:00.07" personId="{57A47BE2-4215-4467-96F7-05BBC575E4C2}" id="{B1F987DB-C327-417C-9FC2-E8B317B7D569}">
    <text>1,270.00 Kg.</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8">
    <tabColor theme="3"/>
    <pageSetUpPr fitToPage="1"/>
  </sheetPr>
  <dimension ref="A1:BO1480"/>
  <sheetViews>
    <sheetView showGridLines="0" showZeros="0" tabSelected="1" zoomScale="70" zoomScaleNormal="70" zoomScaleSheetLayoutView="115" zoomScalePageLayoutView="90" workbookViewId="0">
      <selection sqref="A1:XFD1048576"/>
    </sheetView>
  </sheetViews>
  <sheetFormatPr defaultColWidth="11.44140625" defaultRowHeight="15" customHeight="1" outlineLevelCol="2" x14ac:dyDescent="0.25"/>
  <cols>
    <col min="1" max="1" width="11.5546875" style="1" bestFit="1" customWidth="1"/>
    <col min="2" max="2" width="38.5546875" style="1" bestFit="1" customWidth="1"/>
    <col min="3" max="3" width="36.109375" style="1" bestFit="1" customWidth="1"/>
    <col min="4" max="4" width="14.109375" style="1" bestFit="1" customWidth="1"/>
    <col min="5" max="5" width="40.44140625" style="1" bestFit="1" customWidth="1"/>
    <col min="6" max="6" width="16" style="1" customWidth="1" outlineLevel="1"/>
    <col min="7" max="7" width="15.33203125" style="1" customWidth="1" outlineLevel="1"/>
    <col min="8" max="8" width="15.5546875" style="1" customWidth="1" outlineLevel="1"/>
    <col min="9" max="9" width="23.88671875" style="1" customWidth="1" outlineLevel="1"/>
    <col min="10" max="10" width="17.109375" style="1" bestFit="1" customWidth="1"/>
    <col min="11" max="11" width="51.33203125" style="1" customWidth="1" outlineLevel="1"/>
    <col min="12" max="12" width="17.5546875" style="1" customWidth="1" outlineLevel="1"/>
    <col min="13" max="13" width="18.6640625" style="1" customWidth="1" outlineLevel="1"/>
    <col min="14" max="14" width="26.77734375" style="1" customWidth="1" outlineLevel="1"/>
    <col min="15" max="15" width="23" style="1" customWidth="1" outlineLevel="2"/>
    <col min="16" max="16" width="23.33203125" style="1" customWidth="1" outlineLevel="2"/>
    <col min="17" max="17" width="16.77734375" style="1" customWidth="1" outlineLevel="2"/>
    <col min="18" max="18" width="13" style="1" customWidth="1" outlineLevel="2"/>
    <col min="19" max="19" width="14.44140625" style="1" customWidth="1" outlineLevel="2"/>
    <col min="20" max="20" width="18.6640625" style="1" customWidth="1" outlineLevel="2"/>
    <col min="21" max="21" width="13.109375" style="1" customWidth="1" outlineLevel="2"/>
    <col min="22" max="22" width="14.6640625" style="1" customWidth="1" outlineLevel="2"/>
    <col min="23" max="23" width="23" style="1" customWidth="1" outlineLevel="1"/>
    <col min="24" max="24" width="69.33203125" style="1" customWidth="1" outlineLevel="1"/>
    <col min="25" max="25" width="19.33203125" style="1" customWidth="1" outlineLevel="1"/>
    <col min="26" max="26" width="26.77734375" style="1" customWidth="1" outlineLevel="2"/>
    <col min="27" max="27" width="14.88671875" style="1" customWidth="1" outlineLevel="2"/>
    <col min="28" max="28" width="16.77734375" style="1" customWidth="1" outlineLevel="2"/>
    <col min="29" max="29" width="28.5546875" style="1" customWidth="1" outlineLevel="2"/>
    <col min="30" max="30" width="21.6640625" style="1" customWidth="1" outlineLevel="2"/>
    <col min="31" max="31" width="11.5546875" style="1" customWidth="1" outlineLevel="2"/>
    <col min="32" max="32" width="21.33203125" style="1" customWidth="1" outlineLevel="1"/>
    <col min="33" max="33" width="14.21875" style="1" customWidth="1" outlineLevel="2"/>
    <col min="34" max="34" width="18.33203125" style="1" customWidth="1" outlineLevel="2"/>
    <col min="35" max="35" width="14.21875" style="1" customWidth="1" outlineLevel="2"/>
    <col min="36" max="36" width="18.33203125" style="1" customWidth="1" outlineLevel="2"/>
    <col min="37" max="37" width="14.21875" style="1" customWidth="1" outlineLevel="2"/>
    <col min="38" max="38" width="18.33203125" style="1" customWidth="1" outlineLevel="2"/>
    <col min="39" max="39" width="14.21875" style="1" customWidth="1" outlineLevel="2"/>
    <col min="40" max="40" width="18.33203125" style="1" customWidth="1" outlineLevel="2"/>
    <col min="41" max="41" width="14.21875" style="1" customWidth="1" outlineLevel="2"/>
    <col min="42" max="42" width="18.33203125" style="1" customWidth="1" outlineLevel="2"/>
    <col min="43" max="43" width="16.33203125" style="1" customWidth="1" outlineLevel="1"/>
    <col min="44" max="44" width="23.33203125" style="1" customWidth="1" outlineLevel="1"/>
    <col min="45" max="45" width="15.6640625" style="1" customWidth="1" outlineLevel="2"/>
    <col min="46" max="46" width="18.5546875" style="1" customWidth="1" outlineLevel="2"/>
    <col min="47" max="47" width="13.5546875" style="2" customWidth="1" outlineLevel="2"/>
    <col min="48" max="48" width="27.77734375" style="1" bestFit="1" customWidth="1"/>
    <col min="49" max="49" width="23.33203125" style="1" bestFit="1" customWidth="1"/>
    <col min="50" max="50" width="21.21875" style="1" bestFit="1" customWidth="1"/>
    <col min="51" max="51" width="15.77734375" style="1" bestFit="1" customWidth="1"/>
    <col min="52" max="52" width="17.5546875" style="1" bestFit="1" customWidth="1"/>
    <col min="53" max="53" width="19.44140625" style="1" bestFit="1" customWidth="1"/>
    <col min="54" max="54" width="16" style="283" bestFit="1" customWidth="1"/>
    <col min="55" max="55" width="27.77734375" style="1" bestFit="1" customWidth="1"/>
    <col min="56" max="56" width="38" style="1" bestFit="1" customWidth="1"/>
    <col min="57" max="58" width="41.5546875" style="1" bestFit="1" customWidth="1"/>
    <col min="59" max="59" width="15.5546875" style="1" bestFit="1" customWidth="1"/>
    <col min="60" max="60" width="16.33203125" style="1" bestFit="1" customWidth="1"/>
    <col min="61" max="61" width="18.5546875" style="1" bestFit="1" customWidth="1"/>
    <col min="62" max="62" width="19.44140625" style="1" bestFit="1" customWidth="1"/>
    <col min="63" max="63" width="16.44140625" style="1" bestFit="1" customWidth="1"/>
    <col min="64" max="64" width="18.6640625" style="1" bestFit="1" customWidth="1"/>
    <col min="65" max="65" width="13.5546875" style="1" bestFit="1" customWidth="1"/>
    <col min="66" max="66" width="19.109375" style="1" bestFit="1" customWidth="1"/>
    <col min="67" max="67" width="26.88671875" style="1" bestFit="1" customWidth="1"/>
    <col min="68" max="16384" width="11.44140625" style="1"/>
  </cols>
  <sheetData>
    <row r="1" spans="1:67" s="434" customFormat="1" ht="13.2" x14ac:dyDescent="0.25">
      <c r="A1" s="419" t="s">
        <v>385</v>
      </c>
      <c r="B1" s="419" t="s">
        <v>386</v>
      </c>
      <c r="C1" s="419" t="s">
        <v>387</v>
      </c>
      <c r="D1" s="419" t="s">
        <v>388</v>
      </c>
      <c r="E1" s="419" t="s">
        <v>389</v>
      </c>
      <c r="F1" s="420" t="s">
        <v>390</v>
      </c>
      <c r="G1" s="420" t="s">
        <v>391</v>
      </c>
      <c r="H1" s="421" t="s">
        <v>392</v>
      </c>
      <c r="I1" s="420" t="s">
        <v>393</v>
      </c>
      <c r="J1" s="420" t="s">
        <v>394</v>
      </c>
      <c r="K1" s="420" t="s">
        <v>395</v>
      </c>
      <c r="L1" s="420" t="s">
        <v>396</v>
      </c>
      <c r="M1" s="420" t="s">
        <v>397</v>
      </c>
      <c r="N1" s="420" t="s">
        <v>398</v>
      </c>
      <c r="O1" s="422" t="s">
        <v>86</v>
      </c>
      <c r="P1" s="422" t="s">
        <v>87</v>
      </c>
      <c r="Q1" s="422" t="s">
        <v>88</v>
      </c>
      <c r="R1" s="422" t="s">
        <v>89</v>
      </c>
      <c r="S1" s="422" t="s">
        <v>90</v>
      </c>
      <c r="T1" s="422" t="s">
        <v>91</v>
      </c>
      <c r="U1" s="422" t="s">
        <v>92</v>
      </c>
      <c r="V1" s="422" t="s">
        <v>84</v>
      </c>
      <c r="W1" s="422" t="s">
        <v>399</v>
      </c>
      <c r="X1" s="423" t="s">
        <v>400</v>
      </c>
      <c r="Y1" s="424" t="s">
        <v>401</v>
      </c>
      <c r="Z1" s="425" t="s">
        <v>93</v>
      </c>
      <c r="AA1" s="425" t="s">
        <v>94</v>
      </c>
      <c r="AB1" s="425" t="s">
        <v>95</v>
      </c>
      <c r="AC1" s="425" t="s">
        <v>96</v>
      </c>
      <c r="AD1" s="425" t="s">
        <v>97</v>
      </c>
      <c r="AE1" s="425" t="s">
        <v>98</v>
      </c>
      <c r="AF1" s="425" t="s">
        <v>402</v>
      </c>
      <c r="AG1" s="426" t="s">
        <v>99</v>
      </c>
      <c r="AH1" s="426" t="s">
        <v>100</v>
      </c>
      <c r="AI1" s="426" t="s">
        <v>101</v>
      </c>
      <c r="AJ1" s="426" t="s">
        <v>102</v>
      </c>
      <c r="AK1" s="426" t="s">
        <v>103</v>
      </c>
      <c r="AL1" s="426" t="s">
        <v>104</v>
      </c>
      <c r="AM1" s="426" t="s">
        <v>105</v>
      </c>
      <c r="AN1" s="426" t="s">
        <v>106</v>
      </c>
      <c r="AO1" s="426" t="s">
        <v>107</v>
      </c>
      <c r="AP1" s="426" t="s">
        <v>108</v>
      </c>
      <c r="AQ1" s="426" t="s">
        <v>403</v>
      </c>
      <c r="AR1" s="427" t="s">
        <v>404</v>
      </c>
      <c r="AS1" s="3" t="s">
        <v>109</v>
      </c>
      <c r="AT1" s="3" t="s">
        <v>110</v>
      </c>
      <c r="AU1" s="194" t="s">
        <v>85</v>
      </c>
      <c r="AV1" s="428" t="s">
        <v>405</v>
      </c>
      <c r="AW1" s="428" t="s">
        <v>406</v>
      </c>
      <c r="AX1" s="428" t="s">
        <v>407</v>
      </c>
      <c r="AY1" s="429" t="s">
        <v>408</v>
      </c>
      <c r="AZ1" s="429" t="s">
        <v>409</v>
      </c>
      <c r="BA1" s="429" t="s">
        <v>410</v>
      </c>
      <c r="BB1" s="429" t="s">
        <v>411</v>
      </c>
      <c r="BC1" s="430" t="s">
        <v>412</v>
      </c>
      <c r="BD1" s="430" t="s">
        <v>413</v>
      </c>
      <c r="BE1" s="430" t="s">
        <v>414</v>
      </c>
      <c r="BF1" s="430" t="s">
        <v>415</v>
      </c>
      <c r="BG1" s="431" t="s">
        <v>416</v>
      </c>
      <c r="BH1" s="431" t="s">
        <v>417</v>
      </c>
      <c r="BI1" s="431" t="s">
        <v>418</v>
      </c>
      <c r="BJ1" s="431" t="s">
        <v>419</v>
      </c>
      <c r="BK1" s="431" t="s">
        <v>423</v>
      </c>
      <c r="BL1" s="432" t="s">
        <v>420</v>
      </c>
      <c r="BM1" s="433" t="s">
        <v>421</v>
      </c>
      <c r="BN1" s="433" t="s">
        <v>422</v>
      </c>
      <c r="BO1" s="433" t="s">
        <v>400</v>
      </c>
    </row>
    <row r="2" spans="1:67" ht="30.6" customHeight="1" x14ac:dyDescent="0.25">
      <c r="A2" s="4">
        <v>20100192064</v>
      </c>
      <c r="B2" s="5" t="s">
        <v>60</v>
      </c>
      <c r="C2" s="52" t="s">
        <v>43</v>
      </c>
      <c r="D2" s="4" t="s">
        <v>120</v>
      </c>
      <c r="E2" s="5" t="s">
        <v>3</v>
      </c>
      <c r="F2" s="24">
        <v>45659</v>
      </c>
      <c r="G2" s="7" t="s">
        <v>113</v>
      </c>
      <c r="H2" s="25">
        <f t="shared" ref="H2:H60" si="0">IF(G2="","",IF(G2="LIM",2,1))</f>
        <v>1</v>
      </c>
      <c r="I2" s="67">
        <v>3916</v>
      </c>
      <c r="J2" s="8" t="s">
        <v>115</v>
      </c>
      <c r="K2" s="9" t="s">
        <v>121</v>
      </c>
      <c r="L2" s="10" t="s">
        <v>117</v>
      </c>
      <c r="M2" s="11">
        <v>570</v>
      </c>
      <c r="N2" s="12" t="s">
        <v>122</v>
      </c>
      <c r="O2" s="6">
        <v>45684</v>
      </c>
      <c r="P2" s="57">
        <v>3244</v>
      </c>
      <c r="Q2" s="14" t="s">
        <v>123</v>
      </c>
      <c r="R2" s="15">
        <f>(DATA[[#This Row],[cantidad_fs]]/1000)*(47+174.34)</f>
        <v>126.16379999999999</v>
      </c>
      <c r="S2" s="15">
        <v>137</v>
      </c>
      <c r="T2" s="15">
        <f>DATA[[#This Row],[C. DF]]+DATA[[#This Row],[C.OPE.]]</f>
        <v>263.16379999999998</v>
      </c>
      <c r="U2" s="15">
        <f>DATA[[#This Row],[SUB TOTAL]]*0.18</f>
        <v>47.369483999999993</v>
      </c>
      <c r="V2" s="15">
        <f>IFERROR(ROUND(DATA[[#This Row],[SUB TOTAL]]+DATA[[#This Row],[IGV]],2),0)</f>
        <v>310.52999999999997</v>
      </c>
      <c r="W2" s="16" t="str">
        <f>IF(DATA[[#This Row],[VALORIZACIÓN ]]="-","NO CORRESPONDE",IF(OR(A2=20558226979,A2=10470707866,A2=20111157058,A2=20100226902),"NO CORRESPONDE",IF(J2="Emitida",IF(P2&gt;0,"EMITIDA","PENDIENTE"),"NO CORRESPONDE")))</f>
        <v>EMITIDA</v>
      </c>
      <c r="X2" s="29"/>
      <c r="Y2" s="17" t="s">
        <v>118</v>
      </c>
      <c r="Z2" s="30">
        <v>45687</v>
      </c>
      <c r="AA2" s="10" t="s">
        <v>124</v>
      </c>
      <c r="AB2" s="19">
        <v>534</v>
      </c>
      <c r="AC2" s="20">
        <v>30</v>
      </c>
      <c r="AD2" s="18">
        <f>DATA[[#This Row],[FECHA DE EMISION]]+DATA[[#This Row],[CONDICION DE PAGO]]</f>
        <v>45717</v>
      </c>
      <c r="AE2" s="23" t="e">
        <f>IF(DATA[[#This Row],[MONEDA]]="USD",VLOOKUP(DATA[[#This Row],[COMBINADA]],#REF!,11,0),1)</f>
        <v>#REF!</v>
      </c>
      <c r="AF2" s="39" t="str">
        <f>IF(DATA[[#This Row],[SERIE2]]="-","NO CORRESPONDE",IF(W2="NO CORRESPONDE","NO CORRESPONDE",IF(Z2&gt;0,"FACTURADO","PENDIENTE")))</f>
        <v>FACTURADO</v>
      </c>
      <c r="AG2" s="27">
        <f>IFERROR(VLOOKUP(DATA[[#This Row],[COMBINADA]],#REF!,6,0),0)</f>
        <v>0</v>
      </c>
      <c r="AH2" s="125">
        <f>IFERROR(VLOOKUP(DATA[[#This Row],[COMBINADA]],#REF!,9,0),0)/COUNTIFS(DATA[COMBINADA],DATA[[#This Row],[COMBINADA]])</f>
        <v>0</v>
      </c>
      <c r="AI2" s="27">
        <f>IFERROR(VLOOKUP(DATA[[#This Row],[COMBINADA]],#REF!,6,0),0)</f>
        <v>0</v>
      </c>
      <c r="AJ2" s="125">
        <f>IFERROR(VLOOKUP(DATA[[#This Row],[COMBINADA]],#REF!,9,0),0)/COUNTIFS(DATA[COMBINADA],DATA[[#This Row],[COMBINADA]])</f>
        <v>0</v>
      </c>
      <c r="AK2" s="27">
        <f>IFERROR(VLOOKUP(DATA[[#This Row],[COMBINADA]],#REF!,6,0),0)</f>
        <v>0</v>
      </c>
      <c r="AL2" s="125">
        <f>IFERROR(VLOOKUP(DATA[[#This Row],[COMBINADA]],#REF!,9,0),0)/COUNTIFS(DATA[COMBINADA],DATA[[#This Row],[COMBINADA]])</f>
        <v>0</v>
      </c>
      <c r="AM2" s="27">
        <f>IFERROR(VLOOKUP(DATA[[#This Row],[COMBINADA]],#REF!,6,0),0)</f>
        <v>0</v>
      </c>
      <c r="AN2" s="125">
        <f>IFERROR(VLOOKUP(DATA[[#This Row],[COMBINADA]],#REF!,9,0),0)/COUNTIFS(DATA[COMBINADA],DATA[[#This Row],[COMBINADA]])</f>
        <v>0</v>
      </c>
      <c r="AO2" s="27">
        <f>IFERROR(VLOOKUP(DATA[[#This Row],[COMBINADA]],#REF!,6,0),0)</f>
        <v>0</v>
      </c>
      <c r="AP2" s="125">
        <f>IFERROR(VLOOKUP(DATA[[#This Row],[COMBINADA]],#REF!,9,0),0)/COUNTIFS(DATA[COMBINADA],DATA[[#This Row],[COMBINADA]])</f>
        <v>0</v>
      </c>
      <c r="AQ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575.62384615384622</v>
      </c>
      <c r="AR2" s="26" t="str">
        <f>IFERROR(IF(DATA[[#This Row],[estado_fact]]="FACTURADO",VLOOKUP(DATA[[#This Row],[SERIE2]]&amp;"-"&amp;DATA[[#This Row],[NUMERO]],#REF!,34,0),"NO CORRESPONDE"),"NO CORRESPONDE")</f>
        <v>NO CORRESPONDE</v>
      </c>
      <c r="AS2" s="22" t="str">
        <f>IF(DATA[[#This Row],[fecha_fs]]&gt;0,TEXT(DATA[[#This Row],[fecha_fs]],"Mmmm"),0)</f>
        <v>Enero</v>
      </c>
      <c r="AT2" s="22" t="str">
        <f>DATA[[#This Row],[SERIE2]]&amp;"-"&amp;DATA[[#This Row],[NUMERO]]</f>
        <v>FE01-534</v>
      </c>
      <c r="AU2" s="28" t="e">
        <f>DATA[[#This Row],[TOTAL]]*DATA[[#This Row],[T.C.]]</f>
        <v>#REF!</v>
      </c>
      <c r="AV2" s="6">
        <f>DATA[[#This Row],[FECHA DE VAL.]]</f>
        <v>45684</v>
      </c>
      <c r="AW2" s="6">
        <f>DATA[[#This Row],[FECHA DE EMISION]]</f>
        <v>45687</v>
      </c>
      <c r="AX2" s="6">
        <f>DATA[[#This Row],[F1]]</f>
        <v>0</v>
      </c>
      <c r="AY2" s="20">
        <f>IF(AV2-DATA[[#This Row],[fecha_fs]]&lt;0,0,AV2-DATA[[#This Row],[fecha_fs]])</f>
        <v>25</v>
      </c>
      <c r="AZ2" s="20">
        <f t="shared" ref="AZ2:AZ61" si="1">IF(AW2-AV2&lt;0,0,AW2-AV2)</f>
        <v>3</v>
      </c>
      <c r="BA2" s="20">
        <f t="shared" ref="BA2:BA61" si="2">IF(AX2-AW2&lt;0,0,AX2-AW2)</f>
        <v>0</v>
      </c>
      <c r="BB2" s="195">
        <f>IFERROR(SUM(DATA[[#This Row],[fs_val_ttf]:[fact_pago_ttf]]),0)</f>
        <v>28</v>
      </c>
      <c r="BC2" s="184">
        <v>45694</v>
      </c>
      <c r="BD2" s="184">
        <v>45700</v>
      </c>
      <c r="BE2" s="184">
        <v>45707</v>
      </c>
      <c r="BF2" s="184">
        <v>45758</v>
      </c>
      <c r="BG2" s="20">
        <f>IFERROR(IF(BC2-DATA[[#This Row],[fecha_fs]]&lt;0,0,BC2-DATA[[#This Row],[fecha_fs]]),0)</f>
        <v>35</v>
      </c>
      <c r="BH2" s="20">
        <f t="shared" ref="BH2:BH5" si="3">IFERROR(IF(BD2-BC2&lt;0,0,BD2-BC2),0)</f>
        <v>6</v>
      </c>
      <c r="BI2" s="20">
        <f t="shared" ref="BI2:BI5" si="4">IFERROR(IF(BE2-BD2&lt;0,0,BE2-BD2),0)</f>
        <v>7</v>
      </c>
      <c r="BJ2" s="20">
        <f t="shared" ref="BJ2:BJ5" si="5">IFERROR(IF(BF2-BE2&lt;0,0,BF2-BE2),0)</f>
        <v>51</v>
      </c>
      <c r="BK2" s="189">
        <f>IFERROR(SUM(DATA[[#This Row],[fs_fd_ttd]:[fend_fenf_ttd]]),0)</f>
        <v>99</v>
      </c>
      <c r="BL2" s="20" t="str">
        <f>IF(DATA[[#This Row],[fecha_fs]]&gt;0,TEXT(DATA[[#This Row],[fecha_fs]],"YYYY"),0)</f>
        <v>2025</v>
      </c>
      <c r="BM2" s="221" t="b">
        <v>1</v>
      </c>
      <c r="BN2" s="278">
        <f>COUNTIF(DATA[[#This Row],[tiempo_td]], "&lt;=15")</f>
        <v>0</v>
      </c>
      <c r="BO2" s="222"/>
    </row>
    <row r="3" spans="1:67" ht="30.6" customHeight="1" x14ac:dyDescent="0.25">
      <c r="A3" s="4">
        <v>20100211115</v>
      </c>
      <c r="B3" s="5" t="s">
        <v>41</v>
      </c>
      <c r="C3" s="52" t="s">
        <v>18</v>
      </c>
      <c r="D3" s="4" t="s">
        <v>120</v>
      </c>
      <c r="E3" s="5" t="s">
        <v>3</v>
      </c>
      <c r="F3" s="24">
        <v>45656</v>
      </c>
      <c r="G3" s="7" t="s">
        <v>113</v>
      </c>
      <c r="H3" s="25">
        <f t="shared" si="0"/>
        <v>1</v>
      </c>
      <c r="I3" s="67">
        <v>3917</v>
      </c>
      <c r="J3" s="8" t="s">
        <v>115</v>
      </c>
      <c r="K3" s="9" t="s">
        <v>121</v>
      </c>
      <c r="L3" s="10" t="s">
        <v>117</v>
      </c>
      <c r="M3" s="11">
        <v>90</v>
      </c>
      <c r="N3" s="12" t="s">
        <v>125</v>
      </c>
      <c r="O3" s="6">
        <v>45657</v>
      </c>
      <c r="P3" s="115">
        <v>3215</v>
      </c>
      <c r="Q3" s="14" t="s">
        <v>85</v>
      </c>
      <c r="R3" s="15">
        <v>4.37</v>
      </c>
      <c r="S3" s="15">
        <v>0</v>
      </c>
      <c r="T3" s="56">
        <f>(DATA[[#This Row],[cantidad_fs]]*4.37)</f>
        <v>393.3</v>
      </c>
      <c r="U3" s="15">
        <f>DATA[[#This Row],[SUB TOTAL]]*0.18</f>
        <v>70.793999999999997</v>
      </c>
      <c r="V3" s="15">
        <f>IFERROR(ROUND(DATA[[#This Row],[SUB TOTAL]]+DATA[[#This Row],[IGV]],2),0)</f>
        <v>464.09</v>
      </c>
      <c r="W3" s="16" t="str">
        <f>IF(DATA[[#This Row],[VALORIZACIÓN ]]="-","NO CORRESPONDE",IF(OR(A3=20558226979,A3=10470707866,A3=20111157058,A3=20100226902),"NO CORRESPONDE",IF(J3="Emitida",IF(P3&gt;0,"EMITIDA","PENDIENTE"),"NO CORRESPONDE")))</f>
        <v>EMITIDA</v>
      </c>
      <c r="X3" s="29"/>
      <c r="Y3" s="17" t="s">
        <v>118</v>
      </c>
      <c r="Z3" s="30">
        <v>45687</v>
      </c>
      <c r="AA3" s="10" t="s">
        <v>124</v>
      </c>
      <c r="AB3" s="19">
        <v>536</v>
      </c>
      <c r="AC3" s="20">
        <v>30</v>
      </c>
      <c r="AD3" s="18">
        <f>DATA[[#This Row],[FECHA DE EMISION]]+DATA[[#This Row],[CONDICION DE PAGO]]</f>
        <v>45717</v>
      </c>
      <c r="AE3" s="23">
        <f>IF(DATA[[#This Row],[MONEDA]]="USD",VLOOKUP(DATA[[#This Row],[COMBINADA]],#REF!,11,0),1)</f>
        <v>1</v>
      </c>
      <c r="AF3" s="39" t="str">
        <f>IF(DATA[[#This Row],[SERIE2]]="-","NO CORRESPONDE",IF(W3="NO CORRESPONDE","NO CORRESPONDE",IF(Z3&gt;0,"FACTURADO","PENDIENTE")))</f>
        <v>FACTURADO</v>
      </c>
      <c r="AG3" s="27">
        <f>IFERROR(VLOOKUP(DATA[[#This Row],[COMBINADA]],#REF!,6,0),0)</f>
        <v>0</v>
      </c>
      <c r="AH3" s="125">
        <f>IFERROR(VLOOKUP(DATA[[#This Row],[COMBINADA]],#REF!,9,0),0)/COUNTIFS(DATA[COMBINADA],DATA[[#This Row],[COMBINADA]])</f>
        <v>0</v>
      </c>
      <c r="AI3" s="27">
        <f>IFERROR(VLOOKUP(DATA[[#This Row],[COMBINADA]],#REF!,6,0),0)</f>
        <v>0</v>
      </c>
      <c r="AJ3" s="125">
        <f>IFERROR(VLOOKUP(DATA[[#This Row],[COMBINADA]],#REF!,9,0),0)/COUNTIFS(DATA[COMBINADA],DATA[[#This Row],[COMBINADA]])</f>
        <v>0</v>
      </c>
      <c r="AK3" s="27">
        <f>IFERROR(VLOOKUP(DATA[[#This Row],[COMBINADA]],#REF!,6,0),0)</f>
        <v>0</v>
      </c>
      <c r="AL3" s="125">
        <f>IFERROR(VLOOKUP(DATA[[#This Row],[COMBINADA]],#REF!,9,0),0)/COUNTIFS(DATA[COMBINADA],DATA[[#This Row],[COMBINADA]])</f>
        <v>0</v>
      </c>
      <c r="AM3" s="27">
        <f>IFERROR(VLOOKUP(DATA[[#This Row],[COMBINADA]],#REF!,6,0),0)</f>
        <v>0</v>
      </c>
      <c r="AN3" s="125">
        <f>IFERROR(VLOOKUP(DATA[[#This Row],[COMBINADA]],#REF!,9,0),0)/COUNTIFS(DATA[COMBINADA],DATA[[#This Row],[COMBINADA]])</f>
        <v>0</v>
      </c>
      <c r="AO3" s="27">
        <f>IFERROR(VLOOKUP(DATA[[#This Row],[COMBINADA]],#REF!,6,0),0)</f>
        <v>0</v>
      </c>
      <c r="AP3" s="125">
        <f>IFERROR(VLOOKUP(DATA[[#This Row],[COMBINADA]],#REF!,9,0),0)/COUNTIFS(DATA[COMBINADA],DATA[[#This Row],[COMBINADA]])</f>
        <v>0</v>
      </c>
      <c r="AQ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3" s="26" t="str">
        <f>IFERROR(IF(DATA[[#This Row],[estado_fact]]="FACTURADO",VLOOKUP(DATA[[#This Row],[SERIE2]]&amp;"-"&amp;DATA[[#This Row],[NUMERO]],#REF!,34,0),"NO CORRESPONDE"),"NO CORRESPONDE")</f>
        <v>NO CORRESPONDE</v>
      </c>
      <c r="AS3" s="22" t="str">
        <f>IF(DATA[[#This Row],[fecha_fs]]&gt;0,TEXT(DATA[[#This Row],[fecha_fs]],"Mmmm"),0)</f>
        <v>Diciembre</v>
      </c>
      <c r="AT3" s="22" t="str">
        <f>DATA[[#This Row],[SERIE2]]&amp;"-"&amp;DATA[[#This Row],[NUMERO]]</f>
        <v>FE01-536</v>
      </c>
      <c r="AU3" s="28">
        <f>DATA[[#This Row],[TOTAL]]*DATA[[#This Row],[T.C.]]</f>
        <v>464.09</v>
      </c>
      <c r="AV3" s="6">
        <f>DATA[[#This Row],[FECHA DE VAL.]]</f>
        <v>45657</v>
      </c>
      <c r="AW3" s="6">
        <f>DATA[[#This Row],[FECHA DE EMISION]]</f>
        <v>45687</v>
      </c>
      <c r="AX3" s="6">
        <f>DATA[[#This Row],[F1]]</f>
        <v>0</v>
      </c>
      <c r="AY3" s="20">
        <f>IF(AV3-DATA[[#This Row],[fecha_fs]]&lt;0,0,AV3-DATA[[#This Row],[fecha_fs]])</f>
        <v>1</v>
      </c>
      <c r="AZ3" s="20">
        <f t="shared" si="1"/>
        <v>30</v>
      </c>
      <c r="BA3" s="20">
        <f t="shared" si="2"/>
        <v>0</v>
      </c>
      <c r="BB3" s="195">
        <f>IFERROR(SUM(DATA[[#This Row],[fs_val_ttf]:[fact_pago_ttf]]),0)</f>
        <v>31</v>
      </c>
      <c r="BC3" s="185">
        <v>45698</v>
      </c>
      <c r="BD3" s="185">
        <v>45707</v>
      </c>
      <c r="BE3" s="185">
        <v>45712</v>
      </c>
      <c r="BF3" s="10" t="s">
        <v>270</v>
      </c>
      <c r="BG3" s="20">
        <f>IFERROR(IF(BC3-DATA[[#This Row],[fecha_fs]]&lt;0,0,BC3-DATA[[#This Row],[fecha_fs]]),0)</f>
        <v>42</v>
      </c>
      <c r="BH3" s="20">
        <f t="shared" si="3"/>
        <v>9</v>
      </c>
      <c r="BI3" s="20">
        <f t="shared" si="4"/>
        <v>5</v>
      </c>
      <c r="BJ3" s="20">
        <f t="shared" si="5"/>
        <v>0</v>
      </c>
      <c r="BK3" s="189">
        <f>IFERROR(SUM(DATA[[#This Row],[fs_fd_ttd]:[fend_fenf_ttd]]),0)</f>
        <v>56</v>
      </c>
      <c r="BL3" s="20" t="str">
        <f>IF(DATA[[#This Row],[fecha_fs]]&gt;0,TEXT(DATA[[#This Row],[fecha_fs]],"YYYY"),0)</f>
        <v>2024</v>
      </c>
      <c r="BM3" s="221" t="b">
        <v>0</v>
      </c>
      <c r="BN3" s="278">
        <f>COUNTIF(DATA[[#This Row],[tiempo_td]], "&lt;=15")</f>
        <v>0</v>
      </c>
      <c r="BO3" s="222"/>
    </row>
    <row r="4" spans="1:67" ht="30.6" customHeight="1" x14ac:dyDescent="0.25">
      <c r="A4" s="4">
        <v>20100172543</v>
      </c>
      <c r="B4" s="5" t="s">
        <v>67</v>
      </c>
      <c r="C4" s="52" t="s">
        <v>18</v>
      </c>
      <c r="D4" s="4" t="s">
        <v>112</v>
      </c>
      <c r="E4" s="5" t="s">
        <v>1</v>
      </c>
      <c r="F4" s="24">
        <v>45653</v>
      </c>
      <c r="G4" s="7" t="s">
        <v>113</v>
      </c>
      <c r="H4" s="25">
        <f t="shared" si="0"/>
        <v>1</v>
      </c>
      <c r="I4" s="224">
        <v>3918</v>
      </c>
      <c r="J4" s="8" t="s">
        <v>115</v>
      </c>
      <c r="K4" s="9" t="s">
        <v>116</v>
      </c>
      <c r="L4" s="10" t="s">
        <v>117</v>
      </c>
      <c r="M4" s="11">
        <v>110</v>
      </c>
      <c r="N4" s="12" t="s">
        <v>126</v>
      </c>
      <c r="O4" s="6">
        <v>45656</v>
      </c>
      <c r="P4" s="66">
        <v>3209</v>
      </c>
      <c r="Q4" s="14" t="s">
        <v>85</v>
      </c>
      <c r="R4" s="15">
        <v>46.2</v>
      </c>
      <c r="S4" s="15">
        <v>912.42</v>
      </c>
      <c r="T4" s="15">
        <f>(DATA[[#This Row],[cantidad_fs]]*0.42)+912.42</f>
        <v>958.62</v>
      </c>
      <c r="U4" s="15">
        <f>DATA[[#This Row],[SUB TOTAL]]*0.18</f>
        <v>172.55160000000001</v>
      </c>
      <c r="V4" s="15">
        <f>IFERROR(ROUND(DATA[[#This Row],[SUB TOTAL]]+DATA[[#This Row],[IGV]],2),0)</f>
        <v>1131.17</v>
      </c>
      <c r="W4" s="16" t="str">
        <f>IF(DATA[[#This Row],[VALORIZACIÓN ]]="-","NO CORRESPONDE",IF(OR(A4=20558226979,A4=10470707866,A4=20111157058,A4=20100226902),"NO CORRESPONDE",IF(J4="Emitida",IF(P4&gt;0,"EMITIDA","PENDIENTE"),"NO CORRESPONDE")))</f>
        <v>EMITIDA</v>
      </c>
      <c r="X4" s="29"/>
      <c r="Y4" s="17" t="s">
        <v>118</v>
      </c>
      <c r="Z4" s="30">
        <v>45664</v>
      </c>
      <c r="AA4" s="10" t="s">
        <v>124</v>
      </c>
      <c r="AB4" s="19">
        <v>502</v>
      </c>
      <c r="AC4" s="20">
        <v>15</v>
      </c>
      <c r="AD4" s="18">
        <f>DATA[[#This Row],[FECHA DE EMISION]]+DATA[[#This Row],[CONDICION DE PAGO]]</f>
        <v>45679</v>
      </c>
      <c r="AE4" s="23">
        <f>IF(DATA[[#This Row],[MONEDA]]="USD",VLOOKUP(DATA[[#This Row],[COMBINADA]],#REF!,11,0),1)</f>
        <v>1</v>
      </c>
      <c r="AF4" s="39" t="str">
        <f>IF(DATA[[#This Row],[SERIE2]]="-","NO CORRESPONDE",IF(W4="NO CORRESPONDE","NO CORRESPONDE",IF(Z4&gt;0,"FACTURADO","PENDIENTE")))</f>
        <v>FACTURADO</v>
      </c>
      <c r="AG4" s="27">
        <f>IFERROR(VLOOKUP(DATA[[#This Row],[COMBINADA]],#REF!,6,0),0)</f>
        <v>0</v>
      </c>
      <c r="AH4" s="125">
        <f>IFERROR(VLOOKUP(DATA[[#This Row],[COMBINADA]],#REF!,9,0),0)/COUNTIFS(DATA[COMBINADA],DATA[[#This Row],[COMBINADA]])</f>
        <v>0</v>
      </c>
      <c r="AI4" s="27">
        <f>IFERROR(VLOOKUP(DATA[[#This Row],[COMBINADA]],#REF!,6,0),0)</f>
        <v>0</v>
      </c>
      <c r="AJ4" s="125">
        <f>IFERROR(VLOOKUP(DATA[[#This Row],[COMBINADA]],#REF!,9,0),0)/COUNTIFS(DATA[COMBINADA],DATA[[#This Row],[COMBINADA]])</f>
        <v>0</v>
      </c>
      <c r="AK4" s="27">
        <f>IFERROR(VLOOKUP(DATA[[#This Row],[COMBINADA]],#REF!,6,0),0)</f>
        <v>0</v>
      </c>
      <c r="AL4" s="125">
        <f>IFERROR(VLOOKUP(DATA[[#This Row],[COMBINADA]],#REF!,9,0),0)/COUNTIFS(DATA[COMBINADA],DATA[[#This Row],[COMBINADA]])</f>
        <v>0</v>
      </c>
      <c r="AM4" s="27">
        <f>IFERROR(VLOOKUP(DATA[[#This Row],[COMBINADA]],#REF!,6,0),0)</f>
        <v>0</v>
      </c>
      <c r="AN4" s="125">
        <f>IFERROR(VLOOKUP(DATA[[#This Row],[COMBINADA]],#REF!,9,0),0)/COUNTIFS(DATA[COMBINADA],DATA[[#This Row],[COMBINADA]])</f>
        <v>0</v>
      </c>
      <c r="AO4" s="27">
        <f>IFERROR(VLOOKUP(DATA[[#This Row],[COMBINADA]],#REF!,6,0),0)</f>
        <v>0</v>
      </c>
      <c r="AP4" s="125">
        <f>IFERROR(VLOOKUP(DATA[[#This Row],[COMBINADA]],#REF!,9,0),0)/COUNTIFS(DATA[COMBINADA],DATA[[#This Row],[COMBINADA]])</f>
        <v>0</v>
      </c>
      <c r="AQ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1131.17</v>
      </c>
      <c r="AR4" s="26" t="str">
        <f>IFERROR(IF(DATA[[#This Row],[estado_fact]]="FACTURADO",VLOOKUP(DATA[[#This Row],[SERIE2]]&amp;"-"&amp;DATA[[#This Row],[NUMERO]],#REF!,34,0),"NO CORRESPONDE"),"NO CORRESPONDE")</f>
        <v>NO CORRESPONDE</v>
      </c>
      <c r="AS4" s="22" t="str">
        <f>IF(DATA[[#This Row],[fecha_fs]]&gt;0,TEXT(DATA[[#This Row],[fecha_fs]],"Mmmm"),0)</f>
        <v>Diciembre</v>
      </c>
      <c r="AT4" s="22" t="str">
        <f>DATA[[#This Row],[SERIE2]]&amp;"-"&amp;DATA[[#This Row],[NUMERO]]</f>
        <v>FE01-502</v>
      </c>
      <c r="AU4" s="28">
        <f>DATA[[#This Row],[TOTAL]]*DATA[[#This Row],[T.C.]]</f>
        <v>1131.17</v>
      </c>
      <c r="AV4" s="6">
        <f>DATA[[#This Row],[FECHA DE VAL.]]</f>
        <v>45656</v>
      </c>
      <c r="AW4" s="6">
        <f>DATA[[#This Row],[FECHA DE EMISION]]</f>
        <v>45664</v>
      </c>
      <c r="AX4" s="6">
        <f>DATA[[#This Row],[F1]]</f>
        <v>0</v>
      </c>
      <c r="AY4" s="20">
        <f>IF(AV4-DATA[[#This Row],[fecha_fs]]&lt;0,0,AV4-DATA[[#This Row],[fecha_fs]])</f>
        <v>3</v>
      </c>
      <c r="AZ4" s="20">
        <f t="shared" si="1"/>
        <v>8</v>
      </c>
      <c r="BA4" s="20">
        <f t="shared" si="2"/>
        <v>0</v>
      </c>
      <c r="BB4" s="195">
        <f>IFERROR(SUM(DATA[[#This Row],[fs_val_ttf]:[fact_pago_ttf]]),0)</f>
        <v>11</v>
      </c>
      <c r="BC4" s="185">
        <v>45656</v>
      </c>
      <c r="BD4" s="185">
        <v>45653</v>
      </c>
      <c r="BE4" s="185">
        <v>45674</v>
      </c>
      <c r="BF4" s="185">
        <v>45700</v>
      </c>
      <c r="BG4" s="20">
        <f>IFERROR(IF(BC4-DATA[[#This Row],[fecha_fs]]&lt;0,0,BC4-DATA[[#This Row],[fecha_fs]]),0)</f>
        <v>3</v>
      </c>
      <c r="BH4" s="20">
        <f t="shared" si="3"/>
        <v>0</v>
      </c>
      <c r="BI4" s="20">
        <f t="shared" si="4"/>
        <v>21</v>
      </c>
      <c r="BJ4" s="20">
        <f t="shared" si="5"/>
        <v>26</v>
      </c>
      <c r="BK4" s="189">
        <f>IFERROR(SUM(DATA[[#This Row],[fs_fd_ttd]:[fend_fenf_ttd]]),0)</f>
        <v>50</v>
      </c>
      <c r="BL4" s="20" t="str">
        <f>IF(DATA[[#This Row],[fecha_fs]]&gt;0,TEXT(DATA[[#This Row],[fecha_fs]],"YYYY"),0)</f>
        <v>2024</v>
      </c>
      <c r="BM4" s="221" t="b">
        <v>1</v>
      </c>
      <c r="BN4" s="278">
        <f>COUNTIF(DATA[[#This Row],[tiempo_td]], "&lt;=15")</f>
        <v>0</v>
      </c>
      <c r="BO4" s="222"/>
    </row>
    <row r="5" spans="1:67" ht="30.6" customHeight="1" x14ac:dyDescent="0.25">
      <c r="A5" s="4">
        <v>20100172543</v>
      </c>
      <c r="B5" s="5" t="s">
        <v>67</v>
      </c>
      <c r="C5" s="52" t="s">
        <v>18</v>
      </c>
      <c r="D5" s="4" t="s">
        <v>120</v>
      </c>
      <c r="E5" s="5" t="s">
        <v>3</v>
      </c>
      <c r="F5" s="24">
        <v>45653</v>
      </c>
      <c r="G5" s="7" t="s">
        <v>113</v>
      </c>
      <c r="H5" s="25">
        <f t="shared" si="0"/>
        <v>1</v>
      </c>
      <c r="I5" s="224">
        <v>3919</v>
      </c>
      <c r="J5" s="8" t="s">
        <v>115</v>
      </c>
      <c r="K5" s="9" t="s">
        <v>121</v>
      </c>
      <c r="L5" s="10" t="s">
        <v>117</v>
      </c>
      <c r="M5" s="11">
        <v>90</v>
      </c>
      <c r="N5" s="12" t="s">
        <v>126</v>
      </c>
      <c r="O5" s="6">
        <v>45656</v>
      </c>
      <c r="P5" s="66">
        <v>3210</v>
      </c>
      <c r="Q5" s="14" t="s">
        <v>85</v>
      </c>
      <c r="R5" s="15"/>
      <c r="S5" s="15"/>
      <c r="T5" s="15">
        <v>192.5</v>
      </c>
      <c r="U5" s="15">
        <f>DATA[[#This Row],[SUB TOTAL]]*0.18</f>
        <v>34.65</v>
      </c>
      <c r="V5" s="15">
        <f>IFERROR(ROUND(DATA[[#This Row],[SUB TOTAL]]+DATA[[#This Row],[IGV]],2),0)</f>
        <v>227.15</v>
      </c>
      <c r="W5" s="16" t="str">
        <f>IF(DATA[[#This Row],[VALORIZACIÓN ]]="-","NO CORRESPONDE",IF(OR(A5=20558226979,A5=10470707866,A5=20111157058,A5=20100226902),"NO CORRESPONDE",IF(J5="Emitida",IF(P5&gt;0,"EMITIDA","PENDIENTE"),"NO CORRESPONDE")))</f>
        <v>EMITIDA</v>
      </c>
      <c r="X5" s="29"/>
      <c r="Y5" s="17" t="s">
        <v>118</v>
      </c>
      <c r="Z5" s="30">
        <v>45677</v>
      </c>
      <c r="AA5" s="10" t="s">
        <v>124</v>
      </c>
      <c r="AB5" s="19">
        <v>510</v>
      </c>
      <c r="AC5" s="20">
        <v>30</v>
      </c>
      <c r="AD5" s="18">
        <f>DATA[[#This Row],[FECHA DE EMISION]]+DATA[[#This Row],[CONDICION DE PAGO]]</f>
        <v>45707</v>
      </c>
      <c r="AE5" s="23">
        <f>IF(DATA[[#This Row],[MONEDA]]="USD",VLOOKUP(DATA[[#This Row],[COMBINADA]],#REF!,11,0),1)</f>
        <v>1</v>
      </c>
      <c r="AF5" s="39" t="str">
        <f>IF(DATA[[#This Row],[SERIE2]]="-","NO CORRESPONDE",IF(W5="NO CORRESPONDE","NO CORRESPONDE",IF(Z5&gt;0,"FACTURADO","PENDIENTE")))</f>
        <v>FACTURADO</v>
      </c>
      <c r="AG5" s="27">
        <f>IFERROR(VLOOKUP(DATA[[#This Row],[COMBINADA]],#REF!,6,0),0)</f>
        <v>0</v>
      </c>
      <c r="AH5" s="125">
        <f>IFERROR(VLOOKUP(DATA[[#This Row],[COMBINADA]],#REF!,9,0),0)/COUNTIFS(DATA[COMBINADA],DATA[[#This Row],[COMBINADA]])</f>
        <v>0</v>
      </c>
      <c r="AI5" s="27">
        <f>IFERROR(VLOOKUP(DATA[[#This Row],[COMBINADA]],#REF!,6,0),0)</f>
        <v>0</v>
      </c>
      <c r="AJ5" s="125">
        <f>IFERROR(VLOOKUP(DATA[[#This Row],[COMBINADA]],#REF!,9,0),0)/COUNTIFS(DATA[COMBINADA],DATA[[#This Row],[COMBINADA]])</f>
        <v>0</v>
      </c>
      <c r="AK5" s="27">
        <f>IFERROR(VLOOKUP(DATA[[#This Row],[COMBINADA]],#REF!,6,0),0)</f>
        <v>0</v>
      </c>
      <c r="AL5" s="125">
        <f>IFERROR(VLOOKUP(DATA[[#This Row],[COMBINADA]],#REF!,9,0),0)/COUNTIFS(DATA[COMBINADA],DATA[[#This Row],[COMBINADA]])</f>
        <v>0</v>
      </c>
      <c r="AM5" s="27">
        <f>IFERROR(VLOOKUP(DATA[[#This Row],[COMBINADA]],#REF!,6,0),0)</f>
        <v>0</v>
      </c>
      <c r="AN5" s="125">
        <f>IFERROR(VLOOKUP(DATA[[#This Row],[COMBINADA]],#REF!,9,0),0)/COUNTIFS(DATA[COMBINADA],DATA[[#This Row],[COMBINADA]])</f>
        <v>0</v>
      </c>
      <c r="AO5" s="27">
        <f>IFERROR(VLOOKUP(DATA[[#This Row],[COMBINADA]],#REF!,6,0),0)</f>
        <v>0</v>
      </c>
      <c r="AP5" s="125">
        <f>IFERROR(VLOOKUP(DATA[[#This Row],[COMBINADA]],#REF!,9,0),0)/COUNTIFS(DATA[COMBINADA],DATA[[#This Row],[COMBINADA]])</f>
        <v>0</v>
      </c>
      <c r="AQ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227.15</v>
      </c>
      <c r="AR5" s="26" t="str">
        <f>IFERROR(IF(DATA[[#This Row],[estado_fact]]="FACTURADO",VLOOKUP(DATA[[#This Row],[SERIE2]]&amp;"-"&amp;DATA[[#This Row],[NUMERO]],#REF!,34,0),"NO CORRESPONDE"),"NO CORRESPONDE")</f>
        <v>NO CORRESPONDE</v>
      </c>
      <c r="AS5" s="22" t="str">
        <f>IF(DATA[[#This Row],[fecha_fs]]&gt;0,TEXT(DATA[[#This Row],[fecha_fs]],"Mmmm"),0)</f>
        <v>Diciembre</v>
      </c>
      <c r="AT5" s="22" t="str">
        <f>DATA[[#This Row],[SERIE2]]&amp;"-"&amp;DATA[[#This Row],[NUMERO]]</f>
        <v>FE01-510</v>
      </c>
      <c r="AU5" s="28">
        <f>DATA[[#This Row],[TOTAL]]*DATA[[#This Row],[T.C.]]</f>
        <v>227.15</v>
      </c>
      <c r="AV5" s="6">
        <f>DATA[[#This Row],[FECHA DE VAL.]]</f>
        <v>45656</v>
      </c>
      <c r="AW5" s="6">
        <f>DATA[[#This Row],[FECHA DE EMISION]]</f>
        <v>45677</v>
      </c>
      <c r="AX5" s="6">
        <f>DATA[[#This Row],[F1]]</f>
        <v>0</v>
      </c>
      <c r="AY5" s="20">
        <f>IF(AV5-DATA[[#This Row],[fecha_fs]]&lt;0,0,AV5-DATA[[#This Row],[fecha_fs]])</f>
        <v>3</v>
      </c>
      <c r="AZ5" s="20">
        <f t="shared" si="1"/>
        <v>21</v>
      </c>
      <c r="BA5" s="20">
        <f t="shared" si="2"/>
        <v>0</v>
      </c>
      <c r="BB5" s="195">
        <f>IFERROR(SUM(DATA[[#This Row],[fs_val_ttf]:[fact_pago_ttf]]),0)</f>
        <v>24</v>
      </c>
      <c r="BC5" s="185">
        <v>45671</v>
      </c>
      <c r="BD5" s="185">
        <v>45653</v>
      </c>
      <c r="BE5" s="185">
        <v>45693</v>
      </c>
      <c r="BF5" s="185" t="s">
        <v>270</v>
      </c>
      <c r="BG5" s="20">
        <f>IFERROR(IF(BC5-DATA[[#This Row],[fecha_fs]]&lt;0,0,BC5-DATA[[#This Row],[fecha_fs]]),0)</f>
        <v>18</v>
      </c>
      <c r="BH5" s="20">
        <f t="shared" si="3"/>
        <v>0</v>
      </c>
      <c r="BI5" s="20">
        <f t="shared" si="4"/>
        <v>40</v>
      </c>
      <c r="BJ5" s="20">
        <f t="shared" si="5"/>
        <v>0</v>
      </c>
      <c r="BK5" s="189">
        <f>IFERROR(SUM(DATA[[#This Row],[fs_fd_ttd]:[fend_fenf_ttd]]),0)</f>
        <v>58</v>
      </c>
      <c r="BL5" s="20" t="str">
        <f>IF(DATA[[#This Row],[fecha_fs]]&gt;0,TEXT(DATA[[#This Row],[fecha_fs]],"YYYY"),0)</f>
        <v>2024</v>
      </c>
      <c r="BM5" s="221" t="b">
        <v>0</v>
      </c>
      <c r="BN5" s="278">
        <f>COUNTIF(DATA[[#This Row],[tiempo_td]], "&lt;=15")</f>
        <v>0</v>
      </c>
      <c r="BO5" s="222"/>
    </row>
    <row r="6" spans="1:67" ht="30.6" customHeight="1" x14ac:dyDescent="0.25">
      <c r="A6" s="4">
        <v>20516903113</v>
      </c>
      <c r="B6" s="5" t="s">
        <v>83</v>
      </c>
      <c r="C6" s="52" t="s">
        <v>18</v>
      </c>
      <c r="D6" s="4" t="s">
        <v>112</v>
      </c>
      <c r="E6" s="5" t="s">
        <v>1</v>
      </c>
      <c r="F6" s="24">
        <v>45653</v>
      </c>
      <c r="G6" s="7" t="s">
        <v>113</v>
      </c>
      <c r="H6" s="25">
        <f t="shared" si="0"/>
        <v>1</v>
      </c>
      <c r="I6" s="67">
        <v>3920</v>
      </c>
      <c r="J6" s="8" t="s">
        <v>115</v>
      </c>
      <c r="K6" s="9" t="s">
        <v>116</v>
      </c>
      <c r="L6" s="10" t="s">
        <v>117</v>
      </c>
      <c r="M6" s="11">
        <v>120</v>
      </c>
      <c r="N6" s="12" t="s">
        <v>126</v>
      </c>
      <c r="O6" s="6">
        <v>45656</v>
      </c>
      <c r="P6" s="66">
        <v>3211</v>
      </c>
      <c r="Q6" s="14" t="s">
        <v>85</v>
      </c>
      <c r="R6" s="15">
        <v>606.61</v>
      </c>
      <c r="S6" s="15">
        <v>0</v>
      </c>
      <c r="T6" s="15">
        <v>606.61</v>
      </c>
      <c r="U6" s="15">
        <f>DATA[[#This Row],[SUB TOTAL]]*0.18</f>
        <v>109.18980000000001</v>
      </c>
      <c r="V6" s="15">
        <f>IFERROR(ROUND(DATA[[#This Row],[SUB TOTAL]]+DATA[[#This Row],[IGV]],2),0)</f>
        <v>715.8</v>
      </c>
      <c r="W6" s="16" t="str">
        <f>IF(DATA[[#This Row],[VALORIZACIÓN ]]="-","NO CORRESPONDE",IF(OR(A6=20558226979,A6=10470707866,A6=20111157058,A6=20100226902),"NO CORRESPONDE",IF(J6="Emitida",IF(P6&gt;0,"EMITIDA","PENDIENTE"),"NO CORRESPONDE")))</f>
        <v>EMITIDA</v>
      </c>
      <c r="X6" s="29"/>
      <c r="Y6" s="17" t="s">
        <v>118</v>
      </c>
      <c r="Z6" s="30">
        <v>45677</v>
      </c>
      <c r="AA6" s="10" t="s">
        <v>124</v>
      </c>
      <c r="AB6" s="19">
        <v>509</v>
      </c>
      <c r="AC6" s="20">
        <v>15</v>
      </c>
      <c r="AD6" s="18">
        <f>DATA[[#This Row],[FECHA DE EMISION]]+DATA[[#This Row],[CONDICION DE PAGO]]</f>
        <v>45692</v>
      </c>
      <c r="AE6" s="23">
        <f>IF(DATA[[#This Row],[MONEDA]]="USD",VLOOKUP(DATA[[#This Row],[COMBINADA]],#REF!,11,0),1)</f>
        <v>1</v>
      </c>
      <c r="AF6" s="39" t="str">
        <f>IF(DATA[[#This Row],[SERIE2]]="-","NO CORRESPONDE",IF(W6="NO CORRESPONDE","NO CORRESPONDE",IF(Z6&gt;0,"FACTURADO","PENDIENTE")))</f>
        <v>FACTURADO</v>
      </c>
      <c r="AG6" s="27">
        <f>IFERROR(VLOOKUP(DATA[[#This Row],[COMBINADA]],#REF!,6,0),0)</f>
        <v>0</v>
      </c>
      <c r="AH6" s="125">
        <f>IFERROR(VLOOKUP(DATA[[#This Row],[COMBINADA]],#REF!,9,0),0)/COUNTIFS(DATA[COMBINADA],DATA[[#This Row],[COMBINADA]])</f>
        <v>0</v>
      </c>
      <c r="AI6" s="27">
        <f>IFERROR(VLOOKUP(DATA[[#This Row],[COMBINADA]],#REF!,6,0),0)</f>
        <v>0</v>
      </c>
      <c r="AJ6" s="125">
        <f>IFERROR(VLOOKUP(DATA[[#This Row],[COMBINADA]],#REF!,9,0),0)/COUNTIFS(DATA[COMBINADA],DATA[[#This Row],[COMBINADA]])</f>
        <v>0</v>
      </c>
      <c r="AK6" s="27">
        <f>IFERROR(VLOOKUP(DATA[[#This Row],[COMBINADA]],#REF!,6,0),0)</f>
        <v>0</v>
      </c>
      <c r="AL6" s="125">
        <f>IFERROR(VLOOKUP(DATA[[#This Row],[COMBINADA]],#REF!,9,0),0)/COUNTIFS(DATA[COMBINADA],DATA[[#This Row],[COMBINADA]])</f>
        <v>0</v>
      </c>
      <c r="AM6" s="27">
        <f>IFERROR(VLOOKUP(DATA[[#This Row],[COMBINADA]],#REF!,6,0),0)</f>
        <v>0</v>
      </c>
      <c r="AN6" s="125">
        <f>IFERROR(VLOOKUP(DATA[[#This Row],[COMBINADA]],#REF!,9,0),0)/COUNTIFS(DATA[COMBINADA],DATA[[#This Row],[COMBINADA]])</f>
        <v>0</v>
      </c>
      <c r="AO6" s="27">
        <f>IFERROR(VLOOKUP(DATA[[#This Row],[COMBINADA]],#REF!,6,0),0)</f>
        <v>0</v>
      </c>
      <c r="AP6" s="125">
        <f>IFERROR(VLOOKUP(DATA[[#This Row],[COMBINADA]],#REF!,9,0),0)/COUNTIFS(DATA[COMBINADA],DATA[[#This Row],[COMBINADA]])</f>
        <v>0</v>
      </c>
      <c r="AQ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715.8</v>
      </c>
      <c r="AR6" s="26" t="str">
        <f>IFERROR(IF(DATA[[#This Row],[estado_fact]]="FACTURADO",VLOOKUP(DATA[[#This Row],[SERIE2]]&amp;"-"&amp;DATA[[#This Row],[NUMERO]],#REF!,34,0),"NO CORRESPONDE"),"NO CORRESPONDE")</f>
        <v>NO CORRESPONDE</v>
      </c>
      <c r="AS6" s="22" t="str">
        <f>IF(DATA[[#This Row],[fecha_fs]]&gt;0,TEXT(DATA[[#This Row],[fecha_fs]],"Mmmm"),0)</f>
        <v>Diciembre</v>
      </c>
      <c r="AT6" s="22" t="str">
        <f>DATA[[#This Row],[SERIE2]]&amp;"-"&amp;DATA[[#This Row],[NUMERO]]</f>
        <v>FE01-509</v>
      </c>
      <c r="AU6" s="28">
        <f>DATA[[#This Row],[TOTAL]]*DATA[[#This Row],[T.C.]]</f>
        <v>715.8</v>
      </c>
      <c r="AV6" s="6">
        <f>DATA[[#This Row],[FECHA DE VAL.]]</f>
        <v>45656</v>
      </c>
      <c r="AW6" s="6">
        <f>DATA[[#This Row],[FECHA DE EMISION]]</f>
        <v>45677</v>
      </c>
      <c r="AX6" s="6">
        <f>DATA[[#This Row],[F1]]</f>
        <v>0</v>
      </c>
      <c r="AY6" s="20">
        <f>IF(AV6-DATA[[#This Row],[fecha_fs]]&lt;0,0,AV6-DATA[[#This Row],[fecha_fs]])</f>
        <v>3</v>
      </c>
      <c r="AZ6" s="20">
        <f t="shared" si="1"/>
        <v>21</v>
      </c>
      <c r="BA6" s="20">
        <f t="shared" si="2"/>
        <v>0</v>
      </c>
      <c r="BB6" s="195">
        <f>IFERROR(SUM(DATA[[#This Row],[fs_val_ttf]:[fact_pago_ttf]]),0)</f>
        <v>24</v>
      </c>
      <c r="BC6" s="187">
        <v>45656</v>
      </c>
      <c r="BD6" s="187">
        <v>45653</v>
      </c>
      <c r="BE6" s="187">
        <v>45674</v>
      </c>
      <c r="BF6" s="193" t="s">
        <v>270</v>
      </c>
      <c r="BG6" s="20">
        <f>IFERROR(IF(BC6-DATA[[#This Row],[fecha_fs]]&lt;0,0,BC6-DATA[[#This Row],[fecha_fs]]),0)</f>
        <v>3</v>
      </c>
      <c r="BH6" s="20">
        <f t="shared" ref="BH6:BH69" si="6">IFERROR(IF(BD6-BC6&lt;0,0,BD6-BC6),0)</f>
        <v>0</v>
      </c>
      <c r="BI6" s="20">
        <f t="shared" ref="BI6:BI69" si="7">IFERROR(IF(BE6-BD6&lt;0,0,BE6-BD6),0)</f>
        <v>21</v>
      </c>
      <c r="BJ6" s="20">
        <f t="shared" ref="BJ6:BJ69" si="8">IFERROR(IF(BF6-BE6&lt;0,0,BF6-BE6),0)</f>
        <v>0</v>
      </c>
      <c r="BK6" s="189">
        <f>IFERROR(SUM(DATA[[#This Row],[fs_fd_ttd]:[fend_fenf_ttd]]),0)</f>
        <v>24</v>
      </c>
      <c r="BL6" s="20" t="str">
        <f>IF(DATA[[#This Row],[fecha_fs]]&gt;0,TEXT(DATA[[#This Row],[fecha_fs]],"YYYY"),0)</f>
        <v>2024</v>
      </c>
      <c r="BM6" s="221" t="b">
        <v>1</v>
      </c>
      <c r="BN6" s="278">
        <f>COUNTIF(DATA[[#This Row],[tiempo_td]], "&lt;=15")</f>
        <v>0</v>
      </c>
      <c r="BO6" s="222"/>
    </row>
    <row r="7" spans="1:67" ht="30.6" customHeight="1" x14ac:dyDescent="0.25">
      <c r="A7" s="4">
        <v>20100226902</v>
      </c>
      <c r="B7" s="5" t="s">
        <v>24</v>
      </c>
      <c r="C7" s="52" t="s">
        <v>18</v>
      </c>
      <c r="D7" s="4" t="s">
        <v>120</v>
      </c>
      <c r="E7" s="5" t="s">
        <v>3</v>
      </c>
      <c r="F7" s="24">
        <v>45656</v>
      </c>
      <c r="G7" s="7" t="s">
        <v>113</v>
      </c>
      <c r="H7" s="25">
        <f t="shared" si="0"/>
        <v>1</v>
      </c>
      <c r="I7" s="67">
        <v>3921</v>
      </c>
      <c r="J7" s="8" t="s">
        <v>115</v>
      </c>
      <c r="K7" s="9" t="s">
        <v>121</v>
      </c>
      <c r="L7" s="10" t="s">
        <v>117</v>
      </c>
      <c r="M7" s="11">
        <v>500</v>
      </c>
      <c r="N7" s="12" t="s">
        <v>127</v>
      </c>
      <c r="O7" s="40"/>
      <c r="P7" s="41" t="s">
        <v>114</v>
      </c>
      <c r="Q7" s="42"/>
      <c r="R7" s="43"/>
      <c r="S7" s="43"/>
      <c r="T7" s="43">
        <f>DATA[[#This Row],[C. DF]]+DATA[[#This Row],[C.OPE.]]</f>
        <v>0</v>
      </c>
      <c r="U7" s="43">
        <f>DATA[[#This Row],[SUB TOTAL]]*0.18</f>
        <v>0</v>
      </c>
      <c r="V7" s="43">
        <f>IFERROR(ROUND(DATA[[#This Row],[SUB TOTAL]]+DATA[[#This Row],[IGV]],2),0)</f>
        <v>0</v>
      </c>
      <c r="W7" s="44" t="str">
        <f>IF(DATA[[#This Row],[VALORIZACIÓN ]]="-","NO CORRESPONDE",IF(OR(A7=20558226979,A7=10470707866,A7=20111157058,A7=20100226902),"NO CORRESPONDE",IF(J7="Emitida",IF(P7&gt;0,"EMITIDA","PENDIENTE"),"NO CORRESPONDE")))</f>
        <v>NO CORRESPONDE</v>
      </c>
      <c r="X7" s="45"/>
      <c r="Y7" s="17" t="s">
        <v>128</v>
      </c>
      <c r="Z7" s="46"/>
      <c r="AA7" s="47"/>
      <c r="AB7" s="48"/>
      <c r="AC7" s="49"/>
      <c r="AD7" s="50">
        <f>DATA[[#This Row],[FECHA DE EMISION]]+DATA[[#This Row],[CONDICION DE PAGO]]</f>
        <v>0</v>
      </c>
      <c r="AE7" s="23">
        <f>IF(DATA[[#This Row],[MONEDA]]="USD",VLOOKUP(DATA[[#This Row],[COMBINADA]],#REF!,11,0),1)</f>
        <v>1</v>
      </c>
      <c r="AF7" s="39" t="str">
        <f>IF(DATA[[#This Row],[SERIE2]]="-","NO CORRESPONDE",IF(W7="NO CORRESPONDE","NO CORRESPONDE",IF(Z7&gt;0,"FACTURADO","PENDIENTE")))</f>
        <v>NO CORRESPONDE</v>
      </c>
      <c r="AG7" s="60">
        <f>IFERROR(VLOOKUP(DATA[[#This Row],[COMBINADA]],#REF!,6,0),0)</f>
        <v>0</v>
      </c>
      <c r="AH7" s="126">
        <f>IFERROR(VLOOKUP(DATA[[#This Row],[COMBINADA]],#REF!,9,0),0)/COUNTIFS(DATA[COMBINADA],DATA[[#This Row],[COMBINADA]])</f>
        <v>0</v>
      </c>
      <c r="AI7" s="60">
        <f>IFERROR(VLOOKUP(DATA[[#This Row],[COMBINADA]],#REF!,6,0),0)</f>
        <v>0</v>
      </c>
      <c r="AJ7" s="126">
        <f>IFERROR(VLOOKUP(DATA[[#This Row],[COMBINADA]],#REF!,9,0),0)/COUNTIFS(DATA[COMBINADA],DATA[[#This Row],[COMBINADA]])</f>
        <v>0</v>
      </c>
      <c r="AK7" s="60">
        <f>IFERROR(VLOOKUP(DATA[[#This Row],[COMBINADA]],#REF!,6,0),0)</f>
        <v>0</v>
      </c>
      <c r="AL7" s="126">
        <f>IFERROR(VLOOKUP(DATA[[#This Row],[COMBINADA]],#REF!,9,0),0)/COUNTIFS(DATA[COMBINADA],DATA[[#This Row],[COMBINADA]])</f>
        <v>0</v>
      </c>
      <c r="AM7" s="60">
        <f>IFERROR(VLOOKUP(DATA[[#This Row],[COMBINADA]],#REF!,6,0),0)</f>
        <v>0</v>
      </c>
      <c r="AN7" s="126">
        <f>IFERROR(VLOOKUP(DATA[[#This Row],[COMBINADA]],#REF!,9,0),0)/COUNTIFS(DATA[COMBINADA],DATA[[#This Row],[COMBINADA]])</f>
        <v>0</v>
      </c>
      <c r="AO7" s="60">
        <f>IFERROR(VLOOKUP(DATA[[#This Row],[COMBINADA]],#REF!,6,0),0)</f>
        <v>0</v>
      </c>
      <c r="AP7" s="126">
        <f>IFERROR(VLOOKUP(DATA[[#This Row],[COMBINADA]],#REF!,9,0),0)/COUNTIFS(DATA[COMBINADA],DATA[[#This Row],[COMBINADA]])</f>
        <v>0</v>
      </c>
      <c r="AQ7"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7" s="64" t="str">
        <f>IFERROR(IF(DATA[[#This Row],[estado_fact]]="FACTURADO",VLOOKUP(DATA[[#This Row],[SERIE2]]&amp;"-"&amp;DATA[[#This Row],[NUMERO]],#REF!,34,0),"NO CORRESPONDE"),"NO CORRESPONDE")</f>
        <v>NO CORRESPONDE</v>
      </c>
      <c r="AS7" s="22" t="str">
        <f>IF(DATA[[#This Row],[fecha_fs]]&gt;0,TEXT(DATA[[#This Row],[fecha_fs]],"Mmmm"),0)</f>
        <v>Diciembre</v>
      </c>
      <c r="AT7" s="22" t="str">
        <f>DATA[[#This Row],[SERIE2]]&amp;"-"&amp;DATA[[#This Row],[NUMERO]]</f>
        <v>-</v>
      </c>
      <c r="AU7" s="28">
        <f>DATA[[#This Row],[TOTAL]]*DATA[[#This Row],[T.C.]]</f>
        <v>0</v>
      </c>
      <c r="AV7" s="6">
        <f>DATA[[#This Row],[FECHA DE VAL.]]</f>
        <v>0</v>
      </c>
      <c r="AW7" s="6">
        <f>DATA[[#This Row],[FECHA DE EMISION]]</f>
        <v>0</v>
      </c>
      <c r="AX7" s="6">
        <f>DATA[[#This Row],[F1]]</f>
        <v>0</v>
      </c>
      <c r="AY7" s="20">
        <f>IF(AV7-DATA[[#This Row],[fecha_fs]]&lt;0,0,AV7-DATA[[#This Row],[fecha_fs]])</f>
        <v>0</v>
      </c>
      <c r="AZ7" s="20">
        <f t="shared" si="1"/>
        <v>0</v>
      </c>
      <c r="BA7" s="20">
        <f t="shared" si="2"/>
        <v>0</v>
      </c>
      <c r="BB7" s="284">
        <f>IFERROR(SUM(DATA[[#This Row],[fs_val_ttf]:[fact_pago_ttf]]),0)</f>
        <v>0</v>
      </c>
      <c r="BC7" s="10" t="s">
        <v>292</v>
      </c>
      <c r="BD7" s="10" t="s">
        <v>292</v>
      </c>
      <c r="BE7" s="10" t="s">
        <v>292</v>
      </c>
      <c r="BF7" s="10" t="s">
        <v>292</v>
      </c>
      <c r="BG7" s="285">
        <f>IFERROR(IF(BC7-DATA[[#This Row],[fecha_fs]]&lt;0,0,BC7-DATA[[#This Row],[fecha_fs]]),0)</f>
        <v>0</v>
      </c>
      <c r="BH7" s="171">
        <f t="shared" si="6"/>
        <v>0</v>
      </c>
      <c r="BI7" s="171">
        <f t="shared" si="7"/>
        <v>0</v>
      </c>
      <c r="BJ7" s="171">
        <f t="shared" si="8"/>
        <v>0</v>
      </c>
      <c r="BK7" s="197">
        <f>IFERROR(SUM(DATA[[#This Row],[fs_fd_ttd]:[fend_fenf_ttd]]),0)</f>
        <v>0</v>
      </c>
      <c r="BL7" s="20" t="str">
        <f>IF(DATA[[#This Row],[fecha_fs]]&gt;0,TEXT(DATA[[#This Row],[fecha_fs]],"YYYY"),0)</f>
        <v>2024</v>
      </c>
      <c r="BM7" s="221" t="b">
        <v>1</v>
      </c>
      <c r="BN7" s="278">
        <f>COUNTIF(DATA[[#This Row],[tiempo_td]], "&lt;=15")</f>
        <v>1</v>
      </c>
      <c r="BO7" s="222"/>
    </row>
    <row r="8" spans="1:67" ht="30.6" customHeight="1" x14ac:dyDescent="0.25">
      <c r="A8" s="4">
        <v>20523573226</v>
      </c>
      <c r="B8" s="5" t="s">
        <v>31</v>
      </c>
      <c r="C8" s="52" t="s">
        <v>20</v>
      </c>
      <c r="D8" s="4" t="s">
        <v>112</v>
      </c>
      <c r="E8" s="5" t="s">
        <v>1</v>
      </c>
      <c r="F8" s="24">
        <v>45656</v>
      </c>
      <c r="G8" s="7" t="s">
        <v>113</v>
      </c>
      <c r="H8" s="25">
        <f t="shared" si="0"/>
        <v>1</v>
      </c>
      <c r="I8" s="224">
        <v>3922</v>
      </c>
      <c r="J8" s="8" t="s">
        <v>115</v>
      </c>
      <c r="K8" s="9" t="s">
        <v>116</v>
      </c>
      <c r="L8" s="10" t="s">
        <v>117</v>
      </c>
      <c r="M8" s="11">
        <v>1510</v>
      </c>
      <c r="N8" s="12" t="s">
        <v>129</v>
      </c>
      <c r="O8" s="6">
        <v>45657</v>
      </c>
      <c r="P8" s="66">
        <v>3212</v>
      </c>
      <c r="Q8" s="14" t="s">
        <v>85</v>
      </c>
      <c r="R8" s="15">
        <f>DATA[[#This Row],[cantidad_fs]]*0.97</f>
        <v>1464.7</v>
      </c>
      <c r="S8" s="15">
        <v>1190</v>
      </c>
      <c r="T8" s="15">
        <f>(DATA[[#This Row],[cantidad_fs]]*0.97)+1190</f>
        <v>2654.7</v>
      </c>
      <c r="U8" s="15">
        <f>DATA[[#This Row],[SUB TOTAL]]*0.18</f>
        <v>477.84599999999995</v>
      </c>
      <c r="V8" s="15">
        <f>IFERROR(ROUND(DATA[[#This Row],[SUB TOTAL]]+DATA[[#This Row],[IGV]],2),0)</f>
        <v>3132.55</v>
      </c>
      <c r="W8" s="16" t="str">
        <f>IF(DATA[[#This Row],[VALORIZACIÓN ]]="-","NO CORRESPONDE",IF(OR(A8=20558226979,A8=10470707866,A8=20111157058,A8=20100226902),"NO CORRESPONDE",IF(J8="Emitida",IF(P8&gt;0,"EMITIDA","PENDIENTE"),"NO CORRESPONDE")))</f>
        <v>EMITIDA</v>
      </c>
      <c r="X8" s="29"/>
      <c r="Y8" s="17" t="s">
        <v>118</v>
      </c>
      <c r="Z8" s="30">
        <v>45694</v>
      </c>
      <c r="AA8" s="10" t="s">
        <v>124</v>
      </c>
      <c r="AB8" s="19">
        <v>549</v>
      </c>
      <c r="AC8" s="20">
        <v>15</v>
      </c>
      <c r="AD8" s="18">
        <f>DATA[[#This Row],[FECHA DE EMISION]]+DATA[[#This Row],[CONDICION DE PAGO]]</f>
        <v>45709</v>
      </c>
      <c r="AE8" s="23">
        <f>IF(DATA[[#This Row],[MONEDA]]="USD",VLOOKUP(DATA[[#This Row],[COMBINADA]],#REF!,11,0),1)</f>
        <v>1</v>
      </c>
      <c r="AF8" s="39" t="str">
        <f>IF(DATA[[#This Row],[SERIE2]]="-","NO CORRESPONDE",IF(W8="NO CORRESPONDE","NO CORRESPONDE",IF(Z8&gt;0,"FACTURADO","PENDIENTE")))</f>
        <v>FACTURADO</v>
      </c>
      <c r="AG8" s="27">
        <f>IFERROR(VLOOKUP(DATA[[#This Row],[COMBINADA]],#REF!,6,0),0)</f>
        <v>0</v>
      </c>
      <c r="AH8" s="125">
        <f>IFERROR(VLOOKUP(DATA[[#This Row],[COMBINADA]],#REF!,9,0),0)/COUNTIFS(DATA[COMBINADA],DATA[[#This Row],[COMBINADA]])</f>
        <v>0</v>
      </c>
      <c r="AI8" s="27">
        <f>IFERROR(VLOOKUP(DATA[[#This Row],[COMBINADA]],#REF!,6,0),0)</f>
        <v>0</v>
      </c>
      <c r="AJ8" s="125">
        <f>IFERROR(VLOOKUP(DATA[[#This Row],[COMBINADA]],#REF!,9,0),0)/COUNTIFS(DATA[COMBINADA],DATA[[#This Row],[COMBINADA]])</f>
        <v>0</v>
      </c>
      <c r="AK8" s="27">
        <f>IFERROR(VLOOKUP(DATA[[#This Row],[COMBINADA]],#REF!,6,0),0)</f>
        <v>0</v>
      </c>
      <c r="AL8" s="125">
        <f>IFERROR(VLOOKUP(DATA[[#This Row],[COMBINADA]],#REF!,9,0),0)/COUNTIFS(DATA[COMBINADA],DATA[[#This Row],[COMBINADA]])</f>
        <v>0</v>
      </c>
      <c r="AM8" s="27">
        <f>IFERROR(VLOOKUP(DATA[[#This Row],[COMBINADA]],#REF!,6,0),0)</f>
        <v>0</v>
      </c>
      <c r="AN8" s="125">
        <f>IFERROR(VLOOKUP(DATA[[#This Row],[COMBINADA]],#REF!,9,0),0)/COUNTIFS(DATA[COMBINADA],DATA[[#This Row],[COMBINADA]])</f>
        <v>0</v>
      </c>
      <c r="AO8" s="27">
        <f>IFERROR(VLOOKUP(DATA[[#This Row],[COMBINADA]],#REF!,6,0),0)</f>
        <v>0</v>
      </c>
      <c r="AP8" s="125">
        <f>IFERROR(VLOOKUP(DATA[[#This Row],[COMBINADA]],#REF!,9,0),0)/COUNTIFS(DATA[COMBINADA],DATA[[#This Row],[COMBINADA]])</f>
        <v>0</v>
      </c>
      <c r="AQ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3132.55</v>
      </c>
      <c r="AR8" s="26" t="str">
        <f>IFERROR(IF(DATA[[#This Row],[estado_fact]]="FACTURADO",VLOOKUP(DATA[[#This Row],[SERIE2]]&amp;"-"&amp;DATA[[#This Row],[NUMERO]],#REF!,34,0),"NO CORRESPONDE"),"NO CORRESPONDE")</f>
        <v>NO CORRESPONDE</v>
      </c>
      <c r="AS8" s="22" t="str">
        <f>IF(DATA[[#This Row],[fecha_fs]]&gt;0,TEXT(DATA[[#This Row],[fecha_fs]],"Mmmm"),0)</f>
        <v>Diciembre</v>
      </c>
      <c r="AT8" s="22" t="str">
        <f>DATA[[#This Row],[SERIE2]]&amp;"-"&amp;DATA[[#This Row],[NUMERO]]</f>
        <v>FE01-549</v>
      </c>
      <c r="AU8" s="28">
        <f>DATA[[#This Row],[TOTAL]]*DATA[[#This Row],[T.C.]]</f>
        <v>3132.55</v>
      </c>
      <c r="AV8" s="6">
        <f>DATA[[#This Row],[FECHA DE VAL.]]</f>
        <v>45657</v>
      </c>
      <c r="AW8" s="6">
        <f>DATA[[#This Row],[FECHA DE EMISION]]</f>
        <v>45694</v>
      </c>
      <c r="AX8" s="6">
        <f>DATA[[#This Row],[F1]]</f>
        <v>0</v>
      </c>
      <c r="AY8" s="20">
        <f>IF(AV8-DATA[[#This Row],[fecha_fs]]&lt;0,0,AV8-DATA[[#This Row],[fecha_fs]])</f>
        <v>1</v>
      </c>
      <c r="AZ8" s="20">
        <f t="shared" si="1"/>
        <v>37</v>
      </c>
      <c r="BA8" s="20">
        <f t="shared" si="2"/>
        <v>0</v>
      </c>
      <c r="BB8" s="195">
        <f>IFERROR(SUM(DATA[[#This Row],[fs_val_ttf]:[fact_pago_ttf]]),0)</f>
        <v>38</v>
      </c>
      <c r="BC8" s="184">
        <v>45666</v>
      </c>
      <c r="BD8" s="184">
        <v>45656</v>
      </c>
      <c r="BE8" s="184">
        <v>45673</v>
      </c>
      <c r="BF8" s="188" t="s">
        <v>270</v>
      </c>
      <c r="BG8" s="20">
        <f>IFERROR(IF(BC8-DATA[[#This Row],[fecha_fs]]&lt;0,0,BC8-DATA[[#This Row],[fecha_fs]]),0)</f>
        <v>10</v>
      </c>
      <c r="BH8" s="20">
        <f t="shared" si="6"/>
        <v>0</v>
      </c>
      <c r="BI8" s="20">
        <f t="shared" si="7"/>
        <v>17</v>
      </c>
      <c r="BJ8" s="20">
        <f t="shared" si="8"/>
        <v>0</v>
      </c>
      <c r="BK8" s="189">
        <f>IFERROR(SUM(DATA[[#This Row],[fs_fd_ttd]:[fend_fenf_ttd]]),0)</f>
        <v>27</v>
      </c>
      <c r="BL8" s="20" t="str">
        <f>IF(DATA[[#This Row],[fecha_fs]]&gt;0,TEXT(DATA[[#This Row],[fecha_fs]],"YYYY"),0)</f>
        <v>2024</v>
      </c>
      <c r="BM8" s="221" t="b">
        <v>0</v>
      </c>
      <c r="BN8" s="278">
        <f>COUNTIF(DATA[[#This Row],[tiempo_td]], "&lt;=15")</f>
        <v>0</v>
      </c>
      <c r="BO8" s="222"/>
    </row>
    <row r="9" spans="1:67" ht="30.6" customHeight="1" x14ac:dyDescent="0.25">
      <c r="A9" s="4">
        <v>20523573226</v>
      </c>
      <c r="B9" s="5" t="s">
        <v>31</v>
      </c>
      <c r="C9" s="52" t="s">
        <v>20</v>
      </c>
      <c r="D9" s="4" t="s">
        <v>120</v>
      </c>
      <c r="E9" s="5" t="s">
        <v>3</v>
      </c>
      <c r="F9" s="24">
        <v>45656</v>
      </c>
      <c r="G9" s="7" t="s">
        <v>113</v>
      </c>
      <c r="H9" s="25">
        <f t="shared" si="0"/>
        <v>1</v>
      </c>
      <c r="I9" s="224">
        <v>3923</v>
      </c>
      <c r="J9" s="8" t="s">
        <v>115</v>
      </c>
      <c r="K9" s="9" t="s">
        <v>121</v>
      </c>
      <c r="L9" s="10" t="s">
        <v>117</v>
      </c>
      <c r="M9" s="11">
        <v>1750</v>
      </c>
      <c r="N9" s="12" t="s">
        <v>253</v>
      </c>
      <c r="O9" s="6">
        <v>45657</v>
      </c>
      <c r="P9" s="66">
        <v>3213</v>
      </c>
      <c r="Q9" s="14" t="s">
        <v>85</v>
      </c>
      <c r="R9" s="15">
        <f>800+320</f>
        <v>1120</v>
      </c>
      <c r="S9" s="15">
        <v>1312.3</v>
      </c>
      <c r="T9" s="15">
        <f>320+((DATA[[#This Row],[cantidad_fs]]-500)*0.64)+1312.3</f>
        <v>2432.3000000000002</v>
      </c>
      <c r="U9" s="15">
        <f>DATA[[#This Row],[SUB TOTAL]]*0.18</f>
        <v>437.81400000000002</v>
      </c>
      <c r="V9" s="15">
        <f>IFERROR(ROUND(DATA[[#This Row],[SUB TOTAL]]+DATA[[#This Row],[IGV]],2),0)</f>
        <v>2870.11</v>
      </c>
      <c r="W9" s="16" t="str">
        <f>IF(DATA[[#This Row],[VALORIZACIÓN ]]="-","NO CORRESPONDE",IF(OR(A9=20558226979,A9=10470707866,A9=20111157058,A9=20100226902),"NO CORRESPONDE",IF(J9="Emitida",IF(P9&gt;0,"EMITIDA","PENDIENTE"),"NO CORRESPONDE")))</f>
        <v>EMITIDA</v>
      </c>
      <c r="X9" s="29"/>
      <c r="Y9" s="17" t="s">
        <v>118</v>
      </c>
      <c r="Z9" s="30">
        <v>45694</v>
      </c>
      <c r="AA9" s="10" t="s">
        <v>124</v>
      </c>
      <c r="AB9" s="19">
        <v>550</v>
      </c>
      <c r="AC9" s="20">
        <v>15</v>
      </c>
      <c r="AD9" s="18">
        <f>DATA[[#This Row],[FECHA DE EMISION]]+DATA[[#This Row],[CONDICION DE PAGO]]</f>
        <v>45709</v>
      </c>
      <c r="AE9" s="23">
        <f>IF(DATA[[#This Row],[MONEDA]]="USD",VLOOKUP(DATA[[#This Row],[COMBINADA]],#REF!,11,0),1)</f>
        <v>1</v>
      </c>
      <c r="AF9" s="39" t="str">
        <f>IF(DATA[[#This Row],[SERIE2]]="-","NO CORRESPONDE",IF(W9="NO CORRESPONDE","NO CORRESPONDE",IF(Z9&gt;0,"FACTURADO","PENDIENTE")))</f>
        <v>FACTURADO</v>
      </c>
      <c r="AG9" s="27">
        <f>IFERROR(VLOOKUP(DATA[[#This Row],[COMBINADA]],#REF!,6,0),0)</f>
        <v>0</v>
      </c>
      <c r="AH9" s="125">
        <f>IFERROR(VLOOKUP(DATA[[#This Row],[COMBINADA]],#REF!,9,0),0)/COUNTIFS(DATA[COMBINADA],DATA[[#This Row],[COMBINADA]])</f>
        <v>0</v>
      </c>
      <c r="AI9" s="27">
        <f>IFERROR(VLOOKUP(DATA[[#This Row],[COMBINADA]],#REF!,6,0),0)</f>
        <v>0</v>
      </c>
      <c r="AJ9" s="125">
        <f>IFERROR(VLOOKUP(DATA[[#This Row],[COMBINADA]],#REF!,9,0),0)/COUNTIFS(DATA[COMBINADA],DATA[[#This Row],[COMBINADA]])</f>
        <v>0</v>
      </c>
      <c r="AK9" s="27">
        <f>IFERROR(VLOOKUP(DATA[[#This Row],[COMBINADA]],#REF!,6,0),0)</f>
        <v>0</v>
      </c>
      <c r="AL9" s="125">
        <f>IFERROR(VLOOKUP(DATA[[#This Row],[COMBINADA]],#REF!,9,0),0)/COUNTIFS(DATA[COMBINADA],DATA[[#This Row],[COMBINADA]])</f>
        <v>0</v>
      </c>
      <c r="AM9" s="27">
        <f>IFERROR(VLOOKUP(DATA[[#This Row],[COMBINADA]],#REF!,6,0),0)</f>
        <v>0</v>
      </c>
      <c r="AN9" s="125">
        <f>IFERROR(VLOOKUP(DATA[[#This Row],[COMBINADA]],#REF!,9,0),0)/COUNTIFS(DATA[COMBINADA],DATA[[#This Row],[COMBINADA]])</f>
        <v>0</v>
      </c>
      <c r="AO9" s="27">
        <f>IFERROR(VLOOKUP(DATA[[#This Row],[COMBINADA]],#REF!,6,0),0)</f>
        <v>0</v>
      </c>
      <c r="AP9" s="125">
        <f>IFERROR(VLOOKUP(DATA[[#This Row],[COMBINADA]],#REF!,9,0),0)/COUNTIFS(DATA[COMBINADA],DATA[[#This Row],[COMBINADA]])</f>
        <v>0</v>
      </c>
      <c r="AQ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2870.11</v>
      </c>
      <c r="AR9" s="26" t="str">
        <f>IFERROR(IF(DATA[[#This Row],[estado_fact]]="FACTURADO",VLOOKUP(DATA[[#This Row],[SERIE2]]&amp;"-"&amp;DATA[[#This Row],[NUMERO]],#REF!,34,0),"NO CORRESPONDE"),"NO CORRESPONDE")</f>
        <v>NO CORRESPONDE</v>
      </c>
      <c r="AS9" s="22" t="str">
        <f>IF(DATA[[#This Row],[fecha_fs]]&gt;0,TEXT(DATA[[#This Row],[fecha_fs]],"Mmmm"),0)</f>
        <v>Diciembre</v>
      </c>
      <c r="AT9" s="22" t="str">
        <f>DATA[[#This Row],[SERIE2]]&amp;"-"&amp;DATA[[#This Row],[NUMERO]]</f>
        <v>FE01-550</v>
      </c>
      <c r="AU9" s="28">
        <f>DATA[[#This Row],[TOTAL]]*DATA[[#This Row],[T.C.]]</f>
        <v>2870.11</v>
      </c>
      <c r="AV9" s="6">
        <f>DATA[[#This Row],[FECHA DE VAL.]]</f>
        <v>45657</v>
      </c>
      <c r="AW9" s="6">
        <f>DATA[[#This Row],[FECHA DE EMISION]]</f>
        <v>45694</v>
      </c>
      <c r="AX9" s="6">
        <f>DATA[[#This Row],[F1]]</f>
        <v>0</v>
      </c>
      <c r="AY9" s="20">
        <f>IF(AV9-DATA[[#This Row],[fecha_fs]]&lt;0,0,AV9-DATA[[#This Row],[fecha_fs]])</f>
        <v>1</v>
      </c>
      <c r="AZ9" s="20">
        <f t="shared" si="1"/>
        <v>37</v>
      </c>
      <c r="BA9" s="20">
        <f t="shared" si="2"/>
        <v>0</v>
      </c>
      <c r="BB9" s="195">
        <f>IFERROR(SUM(DATA[[#This Row],[fs_val_ttf]:[fact_pago_ttf]]),0)</f>
        <v>38</v>
      </c>
      <c r="BC9" s="185">
        <v>45656</v>
      </c>
      <c r="BD9" s="185">
        <v>45656</v>
      </c>
      <c r="BE9" s="185">
        <v>45680</v>
      </c>
      <c r="BF9" s="10" t="s">
        <v>270</v>
      </c>
      <c r="BG9" s="20">
        <f>IFERROR(IF(BC9-DATA[[#This Row],[fecha_fs]]&lt;0,0,BC9-DATA[[#This Row],[fecha_fs]]),0)</f>
        <v>0</v>
      </c>
      <c r="BH9" s="20">
        <f t="shared" si="6"/>
        <v>0</v>
      </c>
      <c r="BI9" s="20">
        <f t="shared" si="7"/>
        <v>24</v>
      </c>
      <c r="BJ9" s="20">
        <f t="shared" si="8"/>
        <v>0</v>
      </c>
      <c r="BK9" s="189">
        <f>IFERROR(SUM(DATA[[#This Row],[fs_fd_ttd]:[fend_fenf_ttd]]),0)</f>
        <v>24</v>
      </c>
      <c r="BL9" s="20" t="str">
        <f>IF(DATA[[#This Row],[fecha_fs]]&gt;0,TEXT(DATA[[#This Row],[fecha_fs]],"YYYY"),0)</f>
        <v>2024</v>
      </c>
      <c r="BM9" s="221" t="b">
        <v>0</v>
      </c>
      <c r="BN9" s="278">
        <f>COUNTIF(DATA[[#This Row],[tiempo_td]], "&lt;=15")</f>
        <v>0</v>
      </c>
      <c r="BO9" s="222"/>
    </row>
    <row r="10" spans="1:67" ht="30.6" customHeight="1" x14ac:dyDescent="0.25">
      <c r="A10" s="4">
        <v>20170040938</v>
      </c>
      <c r="B10" s="5" t="s">
        <v>274</v>
      </c>
      <c r="C10" s="52" t="s">
        <v>40</v>
      </c>
      <c r="D10" s="4" t="s">
        <v>112</v>
      </c>
      <c r="E10" s="5" t="s">
        <v>1</v>
      </c>
      <c r="F10" s="24">
        <v>45656</v>
      </c>
      <c r="G10" s="7" t="s">
        <v>113</v>
      </c>
      <c r="H10" s="25">
        <f t="shared" si="0"/>
        <v>1</v>
      </c>
      <c r="I10" s="224">
        <v>3924</v>
      </c>
      <c r="J10" s="8" t="s">
        <v>115</v>
      </c>
      <c r="K10" s="9" t="s">
        <v>116</v>
      </c>
      <c r="L10" s="10" t="s">
        <v>117</v>
      </c>
      <c r="M10" s="11">
        <v>14448</v>
      </c>
      <c r="N10" s="12" t="s">
        <v>130</v>
      </c>
      <c r="O10" s="6">
        <v>45657</v>
      </c>
      <c r="P10" s="13">
        <v>3218</v>
      </c>
      <c r="Q10" s="14" t="s">
        <v>85</v>
      </c>
      <c r="R10" s="15"/>
      <c r="S10" s="15"/>
      <c r="T10" s="15">
        <f>(DATA[[#This Row],[cantidad_fs]]*0.45)+(3432.97/2)</f>
        <v>8218.0850000000009</v>
      </c>
      <c r="U10" s="15">
        <f>DATA[[#This Row],[SUB TOTAL]]*0.18</f>
        <v>1479.2553</v>
      </c>
      <c r="V10" s="15">
        <f>IFERROR(ROUND(DATA[[#This Row],[SUB TOTAL]]+DATA[[#This Row],[IGV]],2),0)</f>
        <v>9697.34</v>
      </c>
      <c r="W10" s="16" t="str">
        <f>IF(DATA[[#This Row],[VALORIZACIÓN ]]="-","NO CORRESPONDE",IF(OR(A10=20558226979,A10=10470707866,A10=20111157058,A10=20100226902),"NO CORRESPONDE",IF(J10="Emitida",IF(P10&gt;0,"EMITIDA","PENDIENTE"),"NO CORRESPONDE")))</f>
        <v>EMITIDA</v>
      </c>
      <c r="X10" s="29" t="s">
        <v>131</v>
      </c>
      <c r="Y10" s="17" t="s">
        <v>118</v>
      </c>
      <c r="Z10" s="76">
        <v>45699</v>
      </c>
      <c r="AA10" s="77" t="s">
        <v>124</v>
      </c>
      <c r="AB10" s="78">
        <v>555</v>
      </c>
      <c r="AC10" s="79">
        <v>30</v>
      </c>
      <c r="AD10" s="80">
        <f>DATA[[#This Row],[FECHA DE EMISION]]+DATA[[#This Row],[CONDICION DE PAGO]]</f>
        <v>45729</v>
      </c>
      <c r="AE10" s="81">
        <f>IF(DATA[[#This Row],[MONEDA]]="USD",VLOOKUP(DATA[[#This Row],[COMBINADA]],#REF!,11,0),1)</f>
        <v>1</v>
      </c>
      <c r="AF10" s="39" t="str">
        <f>IF(DATA[[#This Row],[SERIE2]]="-","NO CORRESPONDE",IF(W10="NO CORRESPONDE","NO CORRESPONDE",IF(Z10&gt;0,"FACTURADO","PENDIENTE")))</f>
        <v>FACTURADO</v>
      </c>
      <c r="AG10" s="27">
        <f>IFERROR(VLOOKUP(DATA[[#This Row],[COMBINADA]],#REF!,6,0),0)</f>
        <v>0</v>
      </c>
      <c r="AH10" s="125">
        <f>IFERROR(VLOOKUP(DATA[[#This Row],[COMBINADA]],#REF!,9,0),0)/COUNTIFS(DATA[COMBINADA],DATA[[#This Row],[COMBINADA]])</f>
        <v>0</v>
      </c>
      <c r="AI10" s="27">
        <f>IFERROR(VLOOKUP(DATA[[#This Row],[COMBINADA]],#REF!,6,0),0)</f>
        <v>0</v>
      </c>
      <c r="AJ10" s="125">
        <f>IFERROR(VLOOKUP(DATA[[#This Row],[COMBINADA]],#REF!,9,0),0)/COUNTIFS(DATA[COMBINADA],DATA[[#This Row],[COMBINADA]])</f>
        <v>0</v>
      </c>
      <c r="AK10" s="27">
        <f>IFERROR(VLOOKUP(DATA[[#This Row],[COMBINADA]],#REF!,6,0),0)</f>
        <v>0</v>
      </c>
      <c r="AL10" s="125">
        <f>IFERROR(VLOOKUP(DATA[[#This Row],[COMBINADA]],#REF!,9,0),0)/COUNTIFS(DATA[COMBINADA],DATA[[#This Row],[COMBINADA]])</f>
        <v>0</v>
      </c>
      <c r="AM10" s="27">
        <f>IFERROR(VLOOKUP(DATA[[#This Row],[COMBINADA]],#REF!,6,0),0)</f>
        <v>0</v>
      </c>
      <c r="AN10" s="125">
        <f>IFERROR(VLOOKUP(DATA[[#This Row],[COMBINADA]],#REF!,9,0),0)/COUNTIFS(DATA[COMBINADA],DATA[[#This Row],[COMBINADA]])</f>
        <v>0</v>
      </c>
      <c r="AO10" s="27">
        <f>IFERROR(VLOOKUP(DATA[[#This Row],[COMBINADA]],#REF!,6,0),0)</f>
        <v>0</v>
      </c>
      <c r="AP10" s="125">
        <f>IFERROR(VLOOKUP(DATA[[#This Row],[COMBINADA]],#REF!,9,0),0)/COUNTIFS(DATA[COMBINADA],DATA[[#This Row],[COMBINADA]])</f>
        <v>0</v>
      </c>
      <c r="AQ1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9697.34</v>
      </c>
      <c r="AR10" s="26" t="str">
        <f>IFERROR(IF(DATA[[#This Row],[estado_fact]]="FACTURADO",VLOOKUP(DATA[[#This Row],[SERIE2]]&amp;"-"&amp;DATA[[#This Row],[NUMERO]],#REF!,34,0),"NO CORRESPONDE"),"NO CORRESPONDE")</f>
        <v>NO CORRESPONDE</v>
      </c>
      <c r="AS10" s="22" t="str">
        <f>IF(DATA[[#This Row],[fecha_fs]]&gt;0,TEXT(DATA[[#This Row],[fecha_fs]],"Mmmm"),0)</f>
        <v>Diciembre</v>
      </c>
      <c r="AT10" s="22" t="str">
        <f>DATA[[#This Row],[SERIE2]]&amp;"-"&amp;DATA[[#This Row],[NUMERO]]</f>
        <v>FE01-555</v>
      </c>
      <c r="AU10" s="28">
        <f>DATA[[#This Row],[TOTAL]]*DATA[[#This Row],[T.C.]]</f>
        <v>9697.34</v>
      </c>
      <c r="AV10" s="6">
        <f>DATA[[#This Row],[FECHA DE VAL.]]</f>
        <v>45657</v>
      </c>
      <c r="AW10" s="6">
        <f>DATA[[#This Row],[FECHA DE EMISION]]</f>
        <v>45699</v>
      </c>
      <c r="AX10" s="6">
        <f>DATA[[#This Row],[F1]]</f>
        <v>0</v>
      </c>
      <c r="AY10" s="20">
        <f>IF(AV10-DATA[[#This Row],[fecha_fs]]&lt;0,0,AV10-DATA[[#This Row],[fecha_fs]])</f>
        <v>1</v>
      </c>
      <c r="AZ10" s="20">
        <f t="shared" si="1"/>
        <v>42</v>
      </c>
      <c r="BA10" s="20">
        <f t="shared" si="2"/>
        <v>0</v>
      </c>
      <c r="BB10" s="195">
        <f>IFERROR(SUM(DATA[[#This Row],[fs_val_ttf]:[fact_pago_ttf]]),0)</f>
        <v>43</v>
      </c>
      <c r="BC10" s="184">
        <v>45663</v>
      </c>
      <c r="BD10" s="184">
        <v>45666</v>
      </c>
      <c r="BE10" s="184">
        <v>45671</v>
      </c>
      <c r="BF10" s="188" t="s">
        <v>270</v>
      </c>
      <c r="BG10" s="226">
        <f>IFERROR(IF(BC10-DATA[[#This Row],[fecha_fs]]&lt;0,0,BC10-DATA[[#This Row],[fecha_fs]]),0)</f>
        <v>7</v>
      </c>
      <c r="BH10" s="226">
        <f t="shared" si="6"/>
        <v>3</v>
      </c>
      <c r="BI10" s="226">
        <f t="shared" si="7"/>
        <v>5</v>
      </c>
      <c r="BJ10" s="226">
        <f t="shared" si="8"/>
        <v>0</v>
      </c>
      <c r="BK10" s="227">
        <f>IFERROR(SUM(DATA[[#This Row],[fs_fd_ttd]:[fend_fenf_ttd]]),0)</f>
        <v>15</v>
      </c>
      <c r="BL10" s="20" t="str">
        <f>IF(DATA[[#This Row],[fecha_fs]]&gt;0,TEXT(DATA[[#This Row],[fecha_fs]],"YYYY"),0)</f>
        <v>2024</v>
      </c>
      <c r="BM10" s="221" t="b">
        <v>0</v>
      </c>
      <c r="BN10" s="278">
        <f>COUNTIF(DATA[[#This Row],[tiempo_td]], "&lt;=15")</f>
        <v>1</v>
      </c>
      <c r="BO10" s="222"/>
    </row>
    <row r="11" spans="1:67" ht="30.6" customHeight="1" x14ac:dyDescent="0.25">
      <c r="A11" s="4">
        <v>20100192064</v>
      </c>
      <c r="B11" s="5" t="s">
        <v>60</v>
      </c>
      <c r="C11" s="52" t="s">
        <v>43</v>
      </c>
      <c r="D11" s="4" t="s">
        <v>112</v>
      </c>
      <c r="E11" s="5" t="s">
        <v>1</v>
      </c>
      <c r="F11" s="24">
        <v>45659</v>
      </c>
      <c r="G11" s="7" t="s">
        <v>113</v>
      </c>
      <c r="H11" s="25">
        <f t="shared" si="0"/>
        <v>1</v>
      </c>
      <c r="I11" s="67">
        <v>3925</v>
      </c>
      <c r="J11" s="8" t="s">
        <v>115</v>
      </c>
      <c r="K11" s="9" t="s">
        <v>116</v>
      </c>
      <c r="L11" s="10" t="s">
        <v>117</v>
      </c>
      <c r="M11" s="11">
        <v>2540</v>
      </c>
      <c r="N11" s="12" t="s">
        <v>132</v>
      </c>
      <c r="O11" s="6">
        <v>45684</v>
      </c>
      <c r="P11" s="57">
        <v>3245</v>
      </c>
      <c r="Q11" s="14" t="s">
        <v>123</v>
      </c>
      <c r="R11" s="15">
        <f>(DATA[[#This Row],[cantidad_fs]]/1000)*(143+175.34)</f>
        <v>808.58360000000005</v>
      </c>
      <c r="S11" s="15">
        <v>137</v>
      </c>
      <c r="T11" s="15">
        <f>DATA[[#This Row],[C. DF]]+DATA[[#This Row],[C.OPE.]]</f>
        <v>945.58360000000005</v>
      </c>
      <c r="U11" s="15">
        <f>DATA[[#This Row],[SUB TOTAL]]*0.18</f>
        <v>170.20504800000001</v>
      </c>
      <c r="V11" s="15">
        <f>IFERROR(ROUND(DATA[[#This Row],[SUB TOTAL]]+DATA[[#This Row],[IGV]],2),0)</f>
        <v>1115.79</v>
      </c>
      <c r="W11" s="16" t="str">
        <f>IF(DATA[[#This Row],[VALORIZACIÓN ]]="-","NO CORRESPONDE",IF(OR(A11=20558226979,A11=10470707866,A11=20111157058,A11=20100226902),"NO CORRESPONDE",IF(J11="Emitida",IF(P11&gt;0,"EMITIDA","PENDIENTE"),"NO CORRESPONDE")))</f>
        <v>EMITIDA</v>
      </c>
      <c r="X11" s="29"/>
      <c r="Y11" s="17" t="s">
        <v>118</v>
      </c>
      <c r="Z11" s="30">
        <v>45687</v>
      </c>
      <c r="AA11" s="10" t="s">
        <v>124</v>
      </c>
      <c r="AB11" s="19">
        <v>534</v>
      </c>
      <c r="AC11" s="20">
        <v>30</v>
      </c>
      <c r="AD11" s="18">
        <f>DATA[[#This Row],[FECHA DE EMISION]]+DATA[[#This Row],[CONDICION DE PAGO]]</f>
        <v>45717</v>
      </c>
      <c r="AE11" s="23" t="e">
        <f>IF(DATA[[#This Row],[MONEDA]]="USD",VLOOKUP(DATA[[#This Row],[COMBINADA]],#REF!,11,0),1)</f>
        <v>#REF!</v>
      </c>
      <c r="AF11" s="39" t="str">
        <f>IF(DATA[[#This Row],[SERIE2]]="-","NO CORRESPONDE",IF(W11="NO CORRESPONDE","NO CORRESPONDE",IF(Z11&gt;0,"FACTURADO","PENDIENTE")))</f>
        <v>FACTURADO</v>
      </c>
      <c r="AG11" s="27">
        <f>IFERROR(VLOOKUP(DATA[[#This Row],[COMBINADA]],#REF!,6,0),0)</f>
        <v>0</v>
      </c>
      <c r="AH11" s="125">
        <f>IFERROR(VLOOKUP(DATA[[#This Row],[COMBINADA]],#REF!,9,0),0)/COUNTIFS(DATA[COMBINADA],DATA[[#This Row],[COMBINADA]])</f>
        <v>0</v>
      </c>
      <c r="AI11" s="27">
        <f>IFERROR(VLOOKUP(DATA[[#This Row],[COMBINADA]],#REF!,6,0),0)</f>
        <v>0</v>
      </c>
      <c r="AJ11" s="125">
        <f>IFERROR(VLOOKUP(DATA[[#This Row],[COMBINADA]],#REF!,9,0),0)/COUNTIFS(DATA[COMBINADA],DATA[[#This Row],[COMBINADA]])</f>
        <v>0</v>
      </c>
      <c r="AK11" s="27">
        <f>IFERROR(VLOOKUP(DATA[[#This Row],[COMBINADA]],#REF!,6,0),0)</f>
        <v>0</v>
      </c>
      <c r="AL11" s="125">
        <f>IFERROR(VLOOKUP(DATA[[#This Row],[COMBINADA]],#REF!,9,0),0)/COUNTIFS(DATA[COMBINADA],DATA[[#This Row],[COMBINADA]])</f>
        <v>0</v>
      </c>
      <c r="AM11" s="27">
        <f>IFERROR(VLOOKUP(DATA[[#This Row],[COMBINADA]],#REF!,6,0),0)</f>
        <v>0</v>
      </c>
      <c r="AN11" s="125">
        <f>IFERROR(VLOOKUP(DATA[[#This Row],[COMBINADA]],#REF!,9,0),0)/COUNTIFS(DATA[COMBINADA],DATA[[#This Row],[COMBINADA]])</f>
        <v>0</v>
      </c>
      <c r="AO11" s="27">
        <f>IFERROR(VLOOKUP(DATA[[#This Row],[COMBINADA]],#REF!,6,0),0)</f>
        <v>0</v>
      </c>
      <c r="AP11" s="125">
        <f>IFERROR(VLOOKUP(DATA[[#This Row],[COMBINADA]],#REF!,9,0),0)/COUNTIFS(DATA[COMBINADA],DATA[[#This Row],[COMBINADA]])</f>
        <v>0</v>
      </c>
      <c r="AQ1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575.62384615384622</v>
      </c>
      <c r="AR11" s="26" t="str">
        <f>IFERROR(IF(DATA[[#This Row],[estado_fact]]="FACTURADO",VLOOKUP(DATA[[#This Row],[SERIE2]]&amp;"-"&amp;DATA[[#This Row],[NUMERO]],#REF!,34,0),"NO CORRESPONDE"),"NO CORRESPONDE")</f>
        <v>NO CORRESPONDE</v>
      </c>
      <c r="AS11" s="22" t="str">
        <f>IF(DATA[[#This Row],[fecha_fs]]&gt;0,TEXT(DATA[[#This Row],[fecha_fs]],"Mmmm"),0)</f>
        <v>Enero</v>
      </c>
      <c r="AT11" s="22" t="str">
        <f>DATA[[#This Row],[SERIE2]]&amp;"-"&amp;DATA[[#This Row],[NUMERO]]</f>
        <v>FE01-534</v>
      </c>
      <c r="AU11" s="28" t="e">
        <f>DATA[[#This Row],[TOTAL]]*DATA[[#This Row],[T.C.]]</f>
        <v>#REF!</v>
      </c>
      <c r="AV11" s="6">
        <f>DATA[[#This Row],[FECHA DE VAL.]]</f>
        <v>45684</v>
      </c>
      <c r="AW11" s="6">
        <f>DATA[[#This Row],[FECHA DE EMISION]]</f>
        <v>45687</v>
      </c>
      <c r="AX11" s="6">
        <f>DATA[[#This Row],[F1]]</f>
        <v>0</v>
      </c>
      <c r="AY11" s="20">
        <f>IF(AV11-DATA[[#This Row],[fecha_fs]]&lt;0,0,AV11-DATA[[#This Row],[fecha_fs]])</f>
        <v>25</v>
      </c>
      <c r="AZ11" s="20">
        <f t="shared" si="1"/>
        <v>3</v>
      </c>
      <c r="BA11" s="20">
        <f t="shared" si="2"/>
        <v>0</v>
      </c>
      <c r="BB11" s="195">
        <f>IFERROR(SUM(DATA[[#This Row],[fs_val_ttf]:[fact_pago_ttf]]),0)</f>
        <v>28</v>
      </c>
      <c r="BC11" s="185">
        <v>45672</v>
      </c>
      <c r="BD11" s="185">
        <v>45686</v>
      </c>
      <c r="BE11" s="185">
        <v>45688</v>
      </c>
      <c r="BF11" s="185">
        <v>45758</v>
      </c>
      <c r="BG11" s="20">
        <f>IFERROR(IF(BC11-DATA[[#This Row],[fecha_fs]]&lt;0,0,BC11-DATA[[#This Row],[fecha_fs]]),0)</f>
        <v>13</v>
      </c>
      <c r="BH11" s="20">
        <f t="shared" si="6"/>
        <v>14</v>
      </c>
      <c r="BI11" s="20">
        <f t="shared" si="7"/>
        <v>2</v>
      </c>
      <c r="BJ11" s="20">
        <f t="shared" si="8"/>
        <v>70</v>
      </c>
      <c r="BK11" s="189">
        <f>IFERROR(SUM(DATA[[#This Row],[fs_fd_ttd]:[fend_fenf_ttd]]),0)</f>
        <v>99</v>
      </c>
      <c r="BL11" s="20" t="str">
        <f>IF(DATA[[#This Row],[fecha_fs]]&gt;0,TEXT(DATA[[#This Row],[fecha_fs]],"YYYY"),0)</f>
        <v>2025</v>
      </c>
      <c r="BM11" s="221" t="b">
        <v>1</v>
      </c>
      <c r="BN11" s="278">
        <f>COUNTIF(DATA[[#This Row],[tiempo_td]], "&lt;=15")</f>
        <v>0</v>
      </c>
      <c r="BO11" s="222"/>
    </row>
    <row r="12" spans="1:67" ht="30.6" customHeight="1" x14ac:dyDescent="0.25">
      <c r="A12" s="4">
        <v>20496535066</v>
      </c>
      <c r="B12" s="5" t="s">
        <v>36</v>
      </c>
      <c r="C12" s="52" t="s">
        <v>37</v>
      </c>
      <c r="D12" s="4" t="s">
        <v>120</v>
      </c>
      <c r="E12" s="5" t="s">
        <v>3</v>
      </c>
      <c r="F12" s="24">
        <v>45656</v>
      </c>
      <c r="G12" s="7" t="s">
        <v>113</v>
      </c>
      <c r="H12" s="25">
        <f t="shared" si="0"/>
        <v>1</v>
      </c>
      <c r="I12" s="224">
        <v>3926</v>
      </c>
      <c r="J12" s="8" t="s">
        <v>115</v>
      </c>
      <c r="K12" s="9" t="s">
        <v>121</v>
      </c>
      <c r="L12" s="10" t="s">
        <v>117</v>
      </c>
      <c r="M12" s="11">
        <v>50</v>
      </c>
      <c r="N12" s="12" t="s">
        <v>125</v>
      </c>
      <c r="O12" s="6">
        <v>45657</v>
      </c>
      <c r="P12" s="13">
        <v>3217</v>
      </c>
      <c r="Q12" s="14" t="s">
        <v>85</v>
      </c>
      <c r="R12" s="15">
        <v>154</v>
      </c>
      <c r="S12" s="15">
        <f>1383.68/2</f>
        <v>691.84</v>
      </c>
      <c r="T12" s="15">
        <f>154+(1383.68/2)</f>
        <v>845.84</v>
      </c>
      <c r="U12" s="15">
        <f>DATA[[#This Row],[SUB TOTAL]]*0.18</f>
        <v>152.25120000000001</v>
      </c>
      <c r="V12" s="15">
        <f>IFERROR(ROUND(DATA[[#This Row],[SUB TOTAL]]+DATA[[#This Row],[IGV]],2),0)</f>
        <v>998.09</v>
      </c>
      <c r="W12" s="16" t="str">
        <f>IF(DATA[[#This Row],[VALORIZACIÓN ]]="-","NO CORRESPONDE",IF(OR(A12=20558226979,A12=10470707866,A12=20111157058,A12=20100226902),"NO CORRESPONDE",IF(J12="Emitida",IF(P12&gt;0,"EMITIDA","PENDIENTE"),"NO CORRESPONDE")))</f>
        <v>EMITIDA</v>
      </c>
      <c r="X12" s="29"/>
      <c r="Y12" s="17" t="s">
        <v>118</v>
      </c>
      <c r="Z12" s="30">
        <v>45659</v>
      </c>
      <c r="AA12" s="10" t="s">
        <v>124</v>
      </c>
      <c r="AB12" s="19">
        <v>499</v>
      </c>
      <c r="AC12" s="20">
        <v>15</v>
      </c>
      <c r="AD12" s="18">
        <f>DATA[[#This Row],[FECHA DE EMISION]]+DATA[[#This Row],[CONDICION DE PAGO]]</f>
        <v>45674</v>
      </c>
      <c r="AE12" s="23">
        <f>IF(DATA[[#This Row],[MONEDA]]="USD",VLOOKUP(DATA[[#This Row],[COMBINADA]],#REF!,11,0),1)</f>
        <v>1</v>
      </c>
      <c r="AF12" s="39" t="str">
        <f>IF(DATA[[#This Row],[SERIE2]]="-","NO CORRESPONDE",IF(W12="NO CORRESPONDE","NO CORRESPONDE",IF(Z12&gt;0,"FACTURADO","PENDIENTE")))</f>
        <v>FACTURADO</v>
      </c>
      <c r="AG12" s="27">
        <f>IFERROR(VLOOKUP(DATA[[#This Row],[COMBINADA]],#REF!,6,0),0)</f>
        <v>0</v>
      </c>
      <c r="AH12" s="125">
        <f>IFERROR(VLOOKUP(DATA[[#This Row],[COMBINADA]],#REF!,9,0),0)/COUNTIFS(DATA[COMBINADA],DATA[[#This Row],[COMBINADA]])</f>
        <v>0</v>
      </c>
      <c r="AI12" s="27">
        <f>IFERROR(VLOOKUP(DATA[[#This Row],[COMBINADA]],#REF!,6,0),0)</f>
        <v>0</v>
      </c>
      <c r="AJ12" s="125">
        <f>IFERROR(VLOOKUP(DATA[[#This Row],[COMBINADA]],#REF!,9,0),0)/COUNTIFS(DATA[COMBINADA],DATA[[#This Row],[COMBINADA]])</f>
        <v>0</v>
      </c>
      <c r="AK12" s="27">
        <f>IFERROR(VLOOKUP(DATA[[#This Row],[COMBINADA]],#REF!,6,0),0)</f>
        <v>0</v>
      </c>
      <c r="AL12" s="125">
        <f>IFERROR(VLOOKUP(DATA[[#This Row],[COMBINADA]],#REF!,9,0),0)/COUNTIFS(DATA[COMBINADA],DATA[[#This Row],[COMBINADA]])</f>
        <v>0</v>
      </c>
      <c r="AM12" s="27">
        <f>IFERROR(VLOOKUP(DATA[[#This Row],[COMBINADA]],#REF!,6,0),0)</f>
        <v>0</v>
      </c>
      <c r="AN12" s="125">
        <f>IFERROR(VLOOKUP(DATA[[#This Row],[COMBINADA]],#REF!,9,0),0)/COUNTIFS(DATA[COMBINADA],DATA[[#This Row],[COMBINADA]])</f>
        <v>0</v>
      </c>
      <c r="AO12" s="27">
        <f>IFERROR(VLOOKUP(DATA[[#This Row],[COMBINADA]],#REF!,6,0),0)</f>
        <v>0</v>
      </c>
      <c r="AP12" s="125">
        <f>IFERROR(VLOOKUP(DATA[[#This Row],[COMBINADA]],#REF!,9,0),0)/COUNTIFS(DATA[COMBINADA],DATA[[#This Row],[COMBINADA]])</f>
        <v>0</v>
      </c>
      <c r="AQ1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1048.83</v>
      </c>
      <c r="AR12" s="26" t="str">
        <f>IFERROR(IF(DATA[[#This Row],[estado_fact]]="FACTURADO",VLOOKUP(DATA[[#This Row],[SERIE2]]&amp;"-"&amp;DATA[[#This Row],[NUMERO]],#REF!,34,0),"NO CORRESPONDE"),"NO CORRESPONDE")</f>
        <v>NO CORRESPONDE</v>
      </c>
      <c r="AS12" s="22" t="str">
        <f>IF(DATA[[#This Row],[fecha_fs]]&gt;0,TEXT(DATA[[#This Row],[fecha_fs]],"Mmmm"),0)</f>
        <v>Diciembre</v>
      </c>
      <c r="AT12" s="22" t="str">
        <f>DATA[[#This Row],[SERIE2]]&amp;"-"&amp;DATA[[#This Row],[NUMERO]]</f>
        <v>FE01-499</v>
      </c>
      <c r="AU12" s="28">
        <f>DATA[[#This Row],[TOTAL]]*DATA[[#This Row],[T.C.]]</f>
        <v>998.09</v>
      </c>
      <c r="AV12" s="6">
        <f>DATA[[#This Row],[FECHA DE VAL.]]</f>
        <v>45657</v>
      </c>
      <c r="AW12" s="6">
        <f>DATA[[#This Row],[FECHA DE EMISION]]</f>
        <v>45659</v>
      </c>
      <c r="AX12" s="6">
        <f>DATA[[#This Row],[F1]]</f>
        <v>0</v>
      </c>
      <c r="AY12" s="20">
        <f>IF(AV12-DATA[[#This Row],[fecha_fs]]&lt;0,0,AV12-DATA[[#This Row],[fecha_fs]])</f>
        <v>1</v>
      </c>
      <c r="AZ12" s="20">
        <f t="shared" si="1"/>
        <v>2</v>
      </c>
      <c r="BA12" s="20">
        <f t="shared" si="2"/>
        <v>0</v>
      </c>
      <c r="BB12" s="195">
        <f>IFERROR(SUM(DATA[[#This Row],[fs_val_ttf]:[fact_pago_ttf]]),0)</f>
        <v>3</v>
      </c>
      <c r="BC12" s="185">
        <v>45671</v>
      </c>
      <c r="BD12" s="185">
        <v>45656</v>
      </c>
      <c r="BE12" s="185">
        <v>45692</v>
      </c>
      <c r="BF12" s="10" t="s">
        <v>270</v>
      </c>
      <c r="BG12" s="20">
        <f>IFERROR(IF(BC12-DATA[[#This Row],[fecha_fs]]&lt;0,0,BC12-DATA[[#This Row],[fecha_fs]]),0)</f>
        <v>15</v>
      </c>
      <c r="BH12" s="20">
        <f t="shared" si="6"/>
        <v>0</v>
      </c>
      <c r="BI12" s="20">
        <f t="shared" si="7"/>
        <v>36</v>
      </c>
      <c r="BJ12" s="20">
        <f t="shared" si="8"/>
        <v>0</v>
      </c>
      <c r="BK12" s="189">
        <f>IFERROR(SUM(DATA[[#This Row],[fs_fd_ttd]:[fend_fenf_ttd]]),0)</f>
        <v>51</v>
      </c>
      <c r="BL12" s="20" t="str">
        <f>IF(DATA[[#This Row],[fecha_fs]]&gt;0,TEXT(DATA[[#This Row],[fecha_fs]],"YYYY"),0)</f>
        <v>2024</v>
      </c>
      <c r="BM12" s="221" t="b">
        <v>0</v>
      </c>
      <c r="BN12" s="278">
        <f>COUNTIF(DATA[[#This Row],[tiempo_td]], "&lt;=15")</f>
        <v>0</v>
      </c>
      <c r="BO12" s="222"/>
    </row>
    <row r="13" spans="1:67" ht="30.6" customHeight="1" x14ac:dyDescent="0.25">
      <c r="A13" s="4">
        <v>20496535066</v>
      </c>
      <c r="B13" s="5" t="s">
        <v>36</v>
      </c>
      <c r="C13" s="52" t="s">
        <v>37</v>
      </c>
      <c r="D13" s="4" t="s">
        <v>120</v>
      </c>
      <c r="E13" s="5" t="s">
        <v>3</v>
      </c>
      <c r="F13" s="24">
        <v>45656</v>
      </c>
      <c r="G13" s="7" t="s">
        <v>113</v>
      </c>
      <c r="H13" s="25">
        <f t="shared" si="0"/>
        <v>1</v>
      </c>
      <c r="I13" s="224">
        <v>3927</v>
      </c>
      <c r="J13" s="8" t="s">
        <v>115</v>
      </c>
      <c r="K13" s="9" t="s">
        <v>121</v>
      </c>
      <c r="L13" s="10" t="s">
        <v>117</v>
      </c>
      <c r="M13" s="11">
        <v>50</v>
      </c>
      <c r="N13" s="12" t="s">
        <v>125</v>
      </c>
      <c r="O13" s="6">
        <v>45657</v>
      </c>
      <c r="P13" s="13">
        <v>3217</v>
      </c>
      <c r="Q13" s="14" t="s">
        <v>85</v>
      </c>
      <c r="R13" s="15">
        <v>154</v>
      </c>
      <c r="S13" s="15">
        <v>691.84</v>
      </c>
      <c r="T13" s="15">
        <f>154+(1383.68/2)</f>
        <v>845.84</v>
      </c>
      <c r="U13" s="15">
        <f>DATA[[#This Row],[SUB TOTAL]]*0.18</f>
        <v>152.25120000000001</v>
      </c>
      <c r="V13" s="15">
        <f>IFERROR(ROUND(DATA[[#This Row],[SUB TOTAL]]+DATA[[#This Row],[IGV]],2),0)</f>
        <v>998.09</v>
      </c>
      <c r="W13" s="16" t="str">
        <f>IF(DATA[[#This Row],[VALORIZACIÓN ]]="-","NO CORRESPONDE",IF(OR(A13=20558226979,A13=10470707866,A13=20111157058,A13=20100226902),"NO CORRESPONDE",IF(J13="Emitida",IF(P13&gt;0,"EMITIDA","PENDIENTE"),"NO CORRESPONDE")))</f>
        <v>EMITIDA</v>
      </c>
      <c r="X13" s="29"/>
      <c r="Y13" s="17" t="s">
        <v>118</v>
      </c>
      <c r="Z13" s="30">
        <v>45659</v>
      </c>
      <c r="AA13" s="10" t="s">
        <v>124</v>
      </c>
      <c r="AB13" s="19">
        <v>499</v>
      </c>
      <c r="AC13" s="20">
        <v>15</v>
      </c>
      <c r="AD13" s="18">
        <f>DATA[[#This Row],[FECHA DE EMISION]]+DATA[[#This Row],[CONDICION DE PAGO]]</f>
        <v>45674</v>
      </c>
      <c r="AE13" s="23">
        <f>IF(DATA[[#This Row],[MONEDA]]="USD",VLOOKUP(DATA[[#This Row],[COMBINADA]],#REF!,11,0),1)</f>
        <v>1</v>
      </c>
      <c r="AF13" s="39" t="str">
        <f>IF(DATA[[#This Row],[SERIE2]]="-","NO CORRESPONDE",IF(W13="NO CORRESPONDE","NO CORRESPONDE",IF(Z13&gt;0,"FACTURADO","PENDIENTE")))</f>
        <v>FACTURADO</v>
      </c>
      <c r="AG13" s="27">
        <f>IFERROR(VLOOKUP(DATA[[#This Row],[COMBINADA]],#REF!,6,0),0)</f>
        <v>0</v>
      </c>
      <c r="AH13" s="125">
        <f>IFERROR(VLOOKUP(DATA[[#This Row],[COMBINADA]],#REF!,9,0),0)/COUNTIFS(DATA[COMBINADA],DATA[[#This Row],[COMBINADA]])</f>
        <v>0</v>
      </c>
      <c r="AI13" s="27">
        <f>IFERROR(VLOOKUP(DATA[[#This Row],[COMBINADA]],#REF!,6,0),0)</f>
        <v>0</v>
      </c>
      <c r="AJ13" s="125">
        <f>IFERROR(VLOOKUP(DATA[[#This Row],[COMBINADA]],#REF!,9,0),0)/COUNTIFS(DATA[COMBINADA],DATA[[#This Row],[COMBINADA]])</f>
        <v>0</v>
      </c>
      <c r="AK13" s="27">
        <f>IFERROR(VLOOKUP(DATA[[#This Row],[COMBINADA]],#REF!,6,0),0)</f>
        <v>0</v>
      </c>
      <c r="AL13" s="125">
        <f>IFERROR(VLOOKUP(DATA[[#This Row],[COMBINADA]],#REF!,9,0),0)/COUNTIFS(DATA[COMBINADA],DATA[[#This Row],[COMBINADA]])</f>
        <v>0</v>
      </c>
      <c r="AM13" s="27">
        <f>IFERROR(VLOOKUP(DATA[[#This Row],[COMBINADA]],#REF!,6,0),0)</f>
        <v>0</v>
      </c>
      <c r="AN13" s="125">
        <f>IFERROR(VLOOKUP(DATA[[#This Row],[COMBINADA]],#REF!,9,0),0)/COUNTIFS(DATA[COMBINADA],DATA[[#This Row],[COMBINADA]])</f>
        <v>0</v>
      </c>
      <c r="AO13" s="27">
        <f>IFERROR(VLOOKUP(DATA[[#This Row],[COMBINADA]],#REF!,6,0),0)</f>
        <v>0</v>
      </c>
      <c r="AP13" s="125">
        <f>IFERROR(VLOOKUP(DATA[[#This Row],[COMBINADA]],#REF!,9,0),0)/COUNTIFS(DATA[COMBINADA],DATA[[#This Row],[COMBINADA]])</f>
        <v>0</v>
      </c>
      <c r="AQ1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1048.83</v>
      </c>
      <c r="AR13" s="26" t="str">
        <f>IFERROR(IF(DATA[[#This Row],[estado_fact]]="FACTURADO",VLOOKUP(DATA[[#This Row],[SERIE2]]&amp;"-"&amp;DATA[[#This Row],[NUMERO]],#REF!,34,0),"NO CORRESPONDE"),"NO CORRESPONDE")</f>
        <v>NO CORRESPONDE</v>
      </c>
      <c r="AS13" s="22" t="str">
        <f>IF(DATA[[#This Row],[fecha_fs]]&gt;0,TEXT(DATA[[#This Row],[fecha_fs]],"Mmmm"),0)</f>
        <v>Diciembre</v>
      </c>
      <c r="AT13" s="22" t="str">
        <f>DATA[[#This Row],[SERIE2]]&amp;"-"&amp;DATA[[#This Row],[NUMERO]]</f>
        <v>FE01-499</v>
      </c>
      <c r="AU13" s="28">
        <f>DATA[[#This Row],[TOTAL]]*DATA[[#This Row],[T.C.]]</f>
        <v>998.09</v>
      </c>
      <c r="AV13" s="6">
        <f>DATA[[#This Row],[FECHA DE VAL.]]</f>
        <v>45657</v>
      </c>
      <c r="AW13" s="6">
        <f>DATA[[#This Row],[FECHA DE EMISION]]</f>
        <v>45659</v>
      </c>
      <c r="AX13" s="6">
        <f>DATA[[#This Row],[F1]]</f>
        <v>0</v>
      </c>
      <c r="AY13" s="20">
        <f>IF(AV13-DATA[[#This Row],[fecha_fs]]&lt;0,0,AV13-DATA[[#This Row],[fecha_fs]])</f>
        <v>1</v>
      </c>
      <c r="AZ13" s="20">
        <f t="shared" si="1"/>
        <v>2</v>
      </c>
      <c r="BA13" s="20">
        <f t="shared" si="2"/>
        <v>0</v>
      </c>
      <c r="BB13" s="195">
        <f>IFERROR(SUM(DATA[[#This Row],[fs_val_ttf]:[fact_pago_ttf]]),0)</f>
        <v>3</v>
      </c>
      <c r="BC13" s="185">
        <v>45671</v>
      </c>
      <c r="BD13" s="185">
        <v>45656</v>
      </c>
      <c r="BE13" s="185">
        <v>45692</v>
      </c>
      <c r="BF13" s="10" t="s">
        <v>270</v>
      </c>
      <c r="BG13" s="20">
        <f>IFERROR(IF(BC13-DATA[[#This Row],[fecha_fs]]&lt;0,0,BC13-DATA[[#This Row],[fecha_fs]]),0)</f>
        <v>15</v>
      </c>
      <c r="BH13" s="20">
        <f t="shared" si="6"/>
        <v>0</v>
      </c>
      <c r="BI13" s="20">
        <f t="shared" si="7"/>
        <v>36</v>
      </c>
      <c r="BJ13" s="20">
        <f t="shared" si="8"/>
        <v>0</v>
      </c>
      <c r="BK13" s="189">
        <f>IFERROR(SUM(DATA[[#This Row],[fs_fd_ttd]:[fend_fenf_ttd]]),0)</f>
        <v>51</v>
      </c>
      <c r="BL13" s="20" t="str">
        <f>IF(DATA[[#This Row],[fecha_fs]]&gt;0,TEXT(DATA[[#This Row],[fecha_fs]],"YYYY"),0)</f>
        <v>2024</v>
      </c>
      <c r="BM13" s="221" t="b">
        <v>0</v>
      </c>
      <c r="BN13" s="278">
        <f>COUNTIF(DATA[[#This Row],[tiempo_td]], "&lt;=15")</f>
        <v>0</v>
      </c>
      <c r="BO13" s="222"/>
    </row>
    <row r="14" spans="1:67" ht="30.6" customHeight="1" x14ac:dyDescent="0.25">
      <c r="A14" s="4">
        <v>20100192064</v>
      </c>
      <c r="B14" s="5" t="s">
        <v>60</v>
      </c>
      <c r="C14" s="52" t="s">
        <v>43</v>
      </c>
      <c r="D14" s="4" t="s">
        <v>120</v>
      </c>
      <c r="E14" s="5" t="s">
        <v>3</v>
      </c>
      <c r="F14" s="24">
        <v>45659</v>
      </c>
      <c r="G14" s="7" t="s">
        <v>113</v>
      </c>
      <c r="H14" s="25">
        <f t="shared" si="0"/>
        <v>1</v>
      </c>
      <c r="I14" s="67">
        <v>3928</v>
      </c>
      <c r="J14" s="8" t="s">
        <v>115</v>
      </c>
      <c r="K14" s="9" t="s">
        <v>121</v>
      </c>
      <c r="L14" s="10" t="s">
        <v>117</v>
      </c>
      <c r="M14" s="11">
        <v>550</v>
      </c>
      <c r="N14" s="12" t="s">
        <v>132</v>
      </c>
      <c r="O14" s="6">
        <v>45684</v>
      </c>
      <c r="P14" s="57">
        <v>3244</v>
      </c>
      <c r="Q14" s="14" t="s">
        <v>123</v>
      </c>
      <c r="R14" s="15">
        <f>(DATA[[#This Row],[cantidad_fs]]/1000)*(47+174.34)</f>
        <v>121.73700000000001</v>
      </c>
      <c r="S14" s="15">
        <v>137</v>
      </c>
      <c r="T14" s="15">
        <f>DATA[[#This Row],[C. DF]]+DATA[[#This Row],[C.OPE.]]</f>
        <v>258.73700000000002</v>
      </c>
      <c r="U14" s="15">
        <f>DATA[[#This Row],[SUB TOTAL]]*0.18</f>
        <v>46.572659999999999</v>
      </c>
      <c r="V14" s="15">
        <f>IFERROR(ROUND(DATA[[#This Row],[SUB TOTAL]]+DATA[[#This Row],[IGV]],2),0)</f>
        <v>305.31</v>
      </c>
      <c r="W14" s="16" t="str">
        <f>IF(DATA[[#This Row],[VALORIZACIÓN ]]="-","NO CORRESPONDE",IF(OR(A14=20558226979,A14=10470707866,A14=20111157058,A14=20100226902),"NO CORRESPONDE",IF(J14="Emitida",IF(P14&gt;0,"EMITIDA","PENDIENTE"),"NO CORRESPONDE")))</f>
        <v>EMITIDA</v>
      </c>
      <c r="X14" s="29"/>
      <c r="Y14" s="17" t="s">
        <v>118</v>
      </c>
      <c r="Z14" s="30">
        <v>45687</v>
      </c>
      <c r="AA14" s="10" t="s">
        <v>124</v>
      </c>
      <c r="AB14" s="19">
        <v>534</v>
      </c>
      <c r="AC14" s="20">
        <v>30</v>
      </c>
      <c r="AD14" s="18">
        <f>DATA[[#This Row],[FECHA DE EMISION]]+DATA[[#This Row],[CONDICION DE PAGO]]</f>
        <v>45717</v>
      </c>
      <c r="AE14" s="23" t="e">
        <f>IF(DATA[[#This Row],[MONEDA]]="USD",VLOOKUP(DATA[[#This Row],[COMBINADA]],#REF!,11,0),1)</f>
        <v>#REF!</v>
      </c>
      <c r="AF14" s="39" t="str">
        <f>IF(DATA[[#This Row],[SERIE2]]="-","NO CORRESPONDE",IF(W14="NO CORRESPONDE","NO CORRESPONDE",IF(Z14&gt;0,"FACTURADO","PENDIENTE")))</f>
        <v>FACTURADO</v>
      </c>
      <c r="AG14" s="27">
        <f>IFERROR(VLOOKUP(DATA[[#This Row],[COMBINADA]],#REF!,6,0),0)</f>
        <v>0</v>
      </c>
      <c r="AH14" s="125">
        <f>IFERROR(VLOOKUP(DATA[[#This Row],[COMBINADA]],#REF!,9,0),0)/COUNTIFS(DATA[COMBINADA],DATA[[#This Row],[COMBINADA]])</f>
        <v>0</v>
      </c>
      <c r="AI14" s="27">
        <f>IFERROR(VLOOKUP(DATA[[#This Row],[COMBINADA]],#REF!,6,0),0)</f>
        <v>0</v>
      </c>
      <c r="AJ14" s="125">
        <f>IFERROR(VLOOKUP(DATA[[#This Row],[COMBINADA]],#REF!,9,0),0)/COUNTIFS(DATA[COMBINADA],DATA[[#This Row],[COMBINADA]])</f>
        <v>0</v>
      </c>
      <c r="AK14" s="27">
        <f>IFERROR(VLOOKUP(DATA[[#This Row],[COMBINADA]],#REF!,6,0),0)</f>
        <v>0</v>
      </c>
      <c r="AL14" s="125">
        <f>IFERROR(VLOOKUP(DATA[[#This Row],[COMBINADA]],#REF!,9,0),0)/COUNTIFS(DATA[COMBINADA],DATA[[#This Row],[COMBINADA]])</f>
        <v>0</v>
      </c>
      <c r="AM14" s="27">
        <f>IFERROR(VLOOKUP(DATA[[#This Row],[COMBINADA]],#REF!,6,0),0)</f>
        <v>0</v>
      </c>
      <c r="AN14" s="125">
        <f>IFERROR(VLOOKUP(DATA[[#This Row],[COMBINADA]],#REF!,9,0),0)/COUNTIFS(DATA[COMBINADA],DATA[[#This Row],[COMBINADA]])</f>
        <v>0</v>
      </c>
      <c r="AO14" s="27">
        <f>IFERROR(VLOOKUP(DATA[[#This Row],[COMBINADA]],#REF!,6,0),0)</f>
        <v>0</v>
      </c>
      <c r="AP14" s="125">
        <f>IFERROR(VLOOKUP(DATA[[#This Row],[COMBINADA]],#REF!,9,0),0)/COUNTIFS(DATA[COMBINADA],DATA[[#This Row],[COMBINADA]])</f>
        <v>0</v>
      </c>
      <c r="AQ1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575.62384615384622</v>
      </c>
      <c r="AR14" s="26" t="str">
        <f>IFERROR(IF(DATA[[#This Row],[estado_fact]]="FACTURADO",VLOOKUP(DATA[[#This Row],[SERIE2]]&amp;"-"&amp;DATA[[#This Row],[NUMERO]],#REF!,34,0),"NO CORRESPONDE"),"NO CORRESPONDE")</f>
        <v>NO CORRESPONDE</v>
      </c>
      <c r="AS14" s="22" t="str">
        <f>IF(DATA[[#This Row],[fecha_fs]]&gt;0,TEXT(DATA[[#This Row],[fecha_fs]],"Mmmm"),0)</f>
        <v>Enero</v>
      </c>
      <c r="AT14" s="22" t="str">
        <f>DATA[[#This Row],[SERIE2]]&amp;"-"&amp;DATA[[#This Row],[NUMERO]]</f>
        <v>FE01-534</v>
      </c>
      <c r="AU14" s="28" t="e">
        <f>DATA[[#This Row],[TOTAL]]*DATA[[#This Row],[T.C.]]</f>
        <v>#REF!</v>
      </c>
      <c r="AV14" s="6">
        <f>DATA[[#This Row],[FECHA DE VAL.]]</f>
        <v>45684</v>
      </c>
      <c r="AW14" s="6">
        <f>DATA[[#This Row],[FECHA DE EMISION]]</f>
        <v>45687</v>
      </c>
      <c r="AX14" s="6">
        <f>DATA[[#This Row],[F1]]</f>
        <v>0</v>
      </c>
      <c r="AY14" s="20">
        <f>IF(AV14-DATA[[#This Row],[fecha_fs]]&lt;0,0,AV14-DATA[[#This Row],[fecha_fs]])</f>
        <v>25</v>
      </c>
      <c r="AZ14" s="20">
        <f t="shared" si="1"/>
        <v>3</v>
      </c>
      <c r="BA14" s="20">
        <f t="shared" si="2"/>
        <v>0</v>
      </c>
      <c r="BB14" s="195">
        <f>IFERROR(SUM(DATA[[#This Row],[fs_val_ttf]:[fact_pago_ttf]]),0)</f>
        <v>28</v>
      </c>
      <c r="BC14" s="185">
        <v>45694</v>
      </c>
      <c r="BD14" s="185">
        <v>45700</v>
      </c>
      <c r="BE14" s="185">
        <v>45707</v>
      </c>
      <c r="BF14" s="185">
        <v>45758</v>
      </c>
      <c r="BG14" s="20">
        <f>IFERROR(IF(BC14-DATA[[#This Row],[fecha_fs]]&lt;0,0,BC14-DATA[[#This Row],[fecha_fs]]),0)</f>
        <v>35</v>
      </c>
      <c r="BH14" s="20">
        <f t="shared" si="6"/>
        <v>6</v>
      </c>
      <c r="BI14" s="20">
        <f t="shared" si="7"/>
        <v>7</v>
      </c>
      <c r="BJ14" s="20">
        <f t="shared" si="8"/>
        <v>51</v>
      </c>
      <c r="BK14" s="189">
        <f>IFERROR(SUM(DATA[[#This Row],[fs_fd_ttd]:[fend_fenf_ttd]]),0)</f>
        <v>99</v>
      </c>
      <c r="BL14" s="20" t="str">
        <f>IF(DATA[[#This Row],[fecha_fs]]&gt;0,TEXT(DATA[[#This Row],[fecha_fs]],"YYYY"),0)</f>
        <v>2025</v>
      </c>
      <c r="BM14" s="221" t="b">
        <v>1</v>
      </c>
      <c r="BN14" s="278">
        <f>COUNTIF(DATA[[#This Row],[tiempo_td]], "&lt;=15")</f>
        <v>0</v>
      </c>
      <c r="BO14" s="222"/>
    </row>
    <row r="15" spans="1:67" ht="30.6" customHeight="1" x14ac:dyDescent="0.25">
      <c r="A15" s="4">
        <v>20496535066</v>
      </c>
      <c r="B15" s="5" t="s">
        <v>36</v>
      </c>
      <c r="C15" s="52" t="s">
        <v>37</v>
      </c>
      <c r="D15" s="4" t="s">
        <v>112</v>
      </c>
      <c r="E15" s="5" t="s">
        <v>1</v>
      </c>
      <c r="F15" s="24">
        <v>45656</v>
      </c>
      <c r="G15" s="7" t="s">
        <v>113</v>
      </c>
      <c r="H15" s="25">
        <f t="shared" si="0"/>
        <v>1</v>
      </c>
      <c r="I15" s="224">
        <v>3929</v>
      </c>
      <c r="J15" s="8" t="s">
        <v>115</v>
      </c>
      <c r="K15" s="9" t="s">
        <v>116</v>
      </c>
      <c r="L15" s="10" t="s">
        <v>117</v>
      </c>
      <c r="M15" s="11">
        <v>75</v>
      </c>
      <c r="N15" s="12" t="s">
        <v>125</v>
      </c>
      <c r="O15" s="6">
        <v>45657</v>
      </c>
      <c r="P15" s="13">
        <v>3217</v>
      </c>
      <c r="Q15" s="14" t="s">
        <v>85</v>
      </c>
      <c r="R15" s="15">
        <v>240</v>
      </c>
      <c r="S15" s="15">
        <v>691.84</v>
      </c>
      <c r="T15" s="15">
        <f>240+(1383.68/2)</f>
        <v>931.84</v>
      </c>
      <c r="U15" s="15">
        <f>DATA[[#This Row],[SUB TOTAL]]*0.18</f>
        <v>167.7312</v>
      </c>
      <c r="V15" s="15">
        <f>IFERROR(ROUND(DATA[[#This Row],[SUB TOTAL]]+DATA[[#This Row],[IGV]],2),0)</f>
        <v>1099.57</v>
      </c>
      <c r="W15" s="16" t="str">
        <f>IF(DATA[[#This Row],[VALORIZACIÓN ]]="-","NO CORRESPONDE",IF(OR(A15=20558226979,A15=10470707866,A15=20111157058,A15=20100226902),"NO CORRESPONDE",IF(J15="Emitida",IF(P15&gt;0,"EMITIDA","PENDIENTE"),"NO CORRESPONDE")))</f>
        <v>EMITIDA</v>
      </c>
      <c r="X15" s="29"/>
      <c r="Y15" s="17" t="s">
        <v>118</v>
      </c>
      <c r="Z15" s="30">
        <v>45659</v>
      </c>
      <c r="AA15" s="10" t="s">
        <v>124</v>
      </c>
      <c r="AB15" s="19">
        <v>499</v>
      </c>
      <c r="AC15" s="20">
        <v>15</v>
      </c>
      <c r="AD15" s="18">
        <f>DATA[[#This Row],[FECHA DE EMISION]]+DATA[[#This Row],[CONDICION DE PAGO]]</f>
        <v>45674</v>
      </c>
      <c r="AE15" s="23">
        <f>IF(DATA[[#This Row],[MONEDA]]="USD",VLOOKUP(DATA[[#This Row],[COMBINADA]],#REF!,11,0),1)</f>
        <v>1</v>
      </c>
      <c r="AF15" s="39" t="str">
        <f>IF(DATA[[#This Row],[SERIE2]]="-","NO CORRESPONDE",IF(W15="NO CORRESPONDE","NO CORRESPONDE",IF(Z15&gt;0,"FACTURADO","PENDIENTE")))</f>
        <v>FACTURADO</v>
      </c>
      <c r="AG15" s="27">
        <f>IFERROR(VLOOKUP(DATA[[#This Row],[COMBINADA]],#REF!,6,0),0)</f>
        <v>0</v>
      </c>
      <c r="AH15" s="125">
        <f>IFERROR(VLOOKUP(DATA[[#This Row],[COMBINADA]],#REF!,9,0),0)/COUNTIFS(DATA[COMBINADA],DATA[[#This Row],[COMBINADA]])</f>
        <v>0</v>
      </c>
      <c r="AI15" s="27">
        <f>IFERROR(VLOOKUP(DATA[[#This Row],[COMBINADA]],#REF!,6,0),0)</f>
        <v>0</v>
      </c>
      <c r="AJ15" s="125">
        <f>IFERROR(VLOOKUP(DATA[[#This Row],[COMBINADA]],#REF!,9,0),0)/COUNTIFS(DATA[COMBINADA],DATA[[#This Row],[COMBINADA]])</f>
        <v>0</v>
      </c>
      <c r="AK15" s="27">
        <f>IFERROR(VLOOKUP(DATA[[#This Row],[COMBINADA]],#REF!,6,0),0)</f>
        <v>0</v>
      </c>
      <c r="AL15" s="125">
        <f>IFERROR(VLOOKUP(DATA[[#This Row],[COMBINADA]],#REF!,9,0),0)/COUNTIFS(DATA[COMBINADA],DATA[[#This Row],[COMBINADA]])</f>
        <v>0</v>
      </c>
      <c r="AM15" s="27">
        <f>IFERROR(VLOOKUP(DATA[[#This Row],[COMBINADA]],#REF!,6,0),0)</f>
        <v>0</v>
      </c>
      <c r="AN15" s="125">
        <f>IFERROR(VLOOKUP(DATA[[#This Row],[COMBINADA]],#REF!,9,0),0)/COUNTIFS(DATA[COMBINADA],DATA[[#This Row],[COMBINADA]])</f>
        <v>0</v>
      </c>
      <c r="AO15" s="27">
        <f>IFERROR(VLOOKUP(DATA[[#This Row],[COMBINADA]],#REF!,6,0),0)</f>
        <v>0</v>
      </c>
      <c r="AP15" s="125">
        <f>IFERROR(VLOOKUP(DATA[[#This Row],[COMBINADA]],#REF!,9,0),0)/COUNTIFS(DATA[COMBINADA],DATA[[#This Row],[COMBINADA]])</f>
        <v>0</v>
      </c>
      <c r="AQ1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1048.83</v>
      </c>
      <c r="AR15" s="26" t="str">
        <f>IFERROR(IF(DATA[[#This Row],[estado_fact]]="FACTURADO",VLOOKUP(DATA[[#This Row],[SERIE2]]&amp;"-"&amp;DATA[[#This Row],[NUMERO]],#REF!,34,0),"NO CORRESPONDE"),"NO CORRESPONDE")</f>
        <v>NO CORRESPONDE</v>
      </c>
      <c r="AS15" s="22" t="str">
        <f>IF(DATA[[#This Row],[fecha_fs]]&gt;0,TEXT(DATA[[#This Row],[fecha_fs]],"Mmmm"),0)</f>
        <v>Diciembre</v>
      </c>
      <c r="AT15" s="22" t="str">
        <f>DATA[[#This Row],[SERIE2]]&amp;"-"&amp;DATA[[#This Row],[NUMERO]]</f>
        <v>FE01-499</v>
      </c>
      <c r="AU15" s="28">
        <f>DATA[[#This Row],[TOTAL]]*DATA[[#This Row],[T.C.]]</f>
        <v>1099.57</v>
      </c>
      <c r="AV15" s="6">
        <f>DATA[[#This Row],[FECHA DE VAL.]]</f>
        <v>45657</v>
      </c>
      <c r="AW15" s="6">
        <f>DATA[[#This Row],[FECHA DE EMISION]]</f>
        <v>45659</v>
      </c>
      <c r="AX15" s="6">
        <f>DATA[[#This Row],[F1]]</f>
        <v>0</v>
      </c>
      <c r="AY15" s="20">
        <f>IF(AV15-DATA[[#This Row],[fecha_fs]]&lt;0,0,AV15-DATA[[#This Row],[fecha_fs]])</f>
        <v>1</v>
      </c>
      <c r="AZ15" s="20">
        <f t="shared" si="1"/>
        <v>2</v>
      </c>
      <c r="BA15" s="20">
        <f t="shared" si="2"/>
        <v>0</v>
      </c>
      <c r="BB15" s="195">
        <f>IFERROR(SUM(DATA[[#This Row],[fs_val_ttf]:[fact_pago_ttf]]),0)</f>
        <v>3</v>
      </c>
      <c r="BC15" s="185">
        <v>45666</v>
      </c>
      <c r="BD15" s="185">
        <v>45687</v>
      </c>
      <c r="BE15" s="185">
        <v>45672</v>
      </c>
      <c r="BF15" s="10" t="s">
        <v>270</v>
      </c>
      <c r="BG15" s="20">
        <f>IFERROR(IF(BC15-DATA[[#This Row],[fecha_fs]]&lt;0,0,BC15-DATA[[#This Row],[fecha_fs]]),0)</f>
        <v>10</v>
      </c>
      <c r="BH15" s="20">
        <f t="shared" si="6"/>
        <v>21</v>
      </c>
      <c r="BI15" s="20">
        <f t="shared" si="7"/>
        <v>0</v>
      </c>
      <c r="BJ15" s="20">
        <f t="shared" si="8"/>
        <v>0</v>
      </c>
      <c r="BK15" s="189">
        <f>IFERROR(SUM(DATA[[#This Row],[fs_fd_ttd]:[fend_fenf_ttd]]),0)</f>
        <v>31</v>
      </c>
      <c r="BL15" s="20" t="str">
        <f>IF(DATA[[#This Row],[fecha_fs]]&gt;0,TEXT(DATA[[#This Row],[fecha_fs]],"YYYY"),0)</f>
        <v>2024</v>
      </c>
      <c r="BM15" s="221" t="b">
        <v>0</v>
      </c>
      <c r="BN15" s="278">
        <f>COUNTIF(DATA[[#This Row],[tiempo_td]], "&lt;=15")</f>
        <v>0</v>
      </c>
      <c r="BO15" s="222"/>
    </row>
    <row r="16" spans="1:67" ht="30.6" customHeight="1" x14ac:dyDescent="0.25">
      <c r="A16" s="4">
        <v>20496535066</v>
      </c>
      <c r="B16" s="5" t="s">
        <v>36</v>
      </c>
      <c r="C16" s="52" t="s">
        <v>37</v>
      </c>
      <c r="D16" s="4" t="s">
        <v>112</v>
      </c>
      <c r="E16" s="5" t="s">
        <v>1</v>
      </c>
      <c r="F16" s="24">
        <v>45656</v>
      </c>
      <c r="G16" s="7" t="s">
        <v>113</v>
      </c>
      <c r="H16" s="25">
        <f t="shared" si="0"/>
        <v>1</v>
      </c>
      <c r="I16" s="224">
        <v>3930</v>
      </c>
      <c r="J16" s="8" t="s">
        <v>115</v>
      </c>
      <c r="K16" s="9" t="s">
        <v>116</v>
      </c>
      <c r="L16" s="10" t="s">
        <v>117</v>
      </c>
      <c r="M16" s="11">
        <v>75</v>
      </c>
      <c r="N16" s="12" t="s">
        <v>125</v>
      </c>
      <c r="O16" s="6">
        <v>45657</v>
      </c>
      <c r="P16" s="13">
        <v>3217</v>
      </c>
      <c r="Q16" s="14" t="s">
        <v>85</v>
      </c>
      <c r="R16" s="15">
        <v>240</v>
      </c>
      <c r="S16" s="15">
        <v>691.84</v>
      </c>
      <c r="T16" s="15">
        <f>240+(1383.68/2)</f>
        <v>931.84</v>
      </c>
      <c r="U16" s="15">
        <f>DATA[[#This Row],[SUB TOTAL]]*0.18</f>
        <v>167.7312</v>
      </c>
      <c r="V16" s="15">
        <f>IFERROR(ROUND(DATA[[#This Row],[SUB TOTAL]]+DATA[[#This Row],[IGV]],2),0)</f>
        <v>1099.57</v>
      </c>
      <c r="W16" s="16" t="str">
        <f>IF(DATA[[#This Row],[VALORIZACIÓN ]]="-","NO CORRESPONDE",IF(OR(A16=20558226979,A16=10470707866,A16=20111157058,A16=20100226902),"NO CORRESPONDE",IF(J16="Emitida",IF(P16&gt;0,"EMITIDA","PENDIENTE"),"NO CORRESPONDE")))</f>
        <v>EMITIDA</v>
      </c>
      <c r="X16" s="29"/>
      <c r="Y16" s="17" t="s">
        <v>118</v>
      </c>
      <c r="Z16" s="30">
        <v>45659</v>
      </c>
      <c r="AA16" s="10" t="s">
        <v>124</v>
      </c>
      <c r="AB16" s="19">
        <v>499</v>
      </c>
      <c r="AC16" s="20">
        <v>15</v>
      </c>
      <c r="AD16" s="18">
        <f>DATA[[#This Row],[FECHA DE EMISION]]+DATA[[#This Row],[CONDICION DE PAGO]]</f>
        <v>45674</v>
      </c>
      <c r="AE16" s="23">
        <f>IF(DATA[[#This Row],[MONEDA]]="USD",VLOOKUP(DATA[[#This Row],[COMBINADA]],#REF!,11,0),1)</f>
        <v>1</v>
      </c>
      <c r="AF16" s="39" t="str">
        <f>IF(DATA[[#This Row],[SERIE2]]="-","NO CORRESPONDE",IF(W16="NO CORRESPONDE","NO CORRESPONDE",IF(Z16&gt;0,"FACTURADO","PENDIENTE")))</f>
        <v>FACTURADO</v>
      </c>
      <c r="AG16" s="27">
        <f>IFERROR(VLOOKUP(DATA[[#This Row],[COMBINADA]],#REF!,6,0),0)</f>
        <v>0</v>
      </c>
      <c r="AH16" s="125">
        <f>IFERROR(VLOOKUP(DATA[[#This Row],[COMBINADA]],#REF!,9,0),0)/COUNTIFS(DATA[COMBINADA],DATA[[#This Row],[COMBINADA]])</f>
        <v>0</v>
      </c>
      <c r="AI16" s="27">
        <f>IFERROR(VLOOKUP(DATA[[#This Row],[COMBINADA]],#REF!,6,0),0)</f>
        <v>0</v>
      </c>
      <c r="AJ16" s="125">
        <f>IFERROR(VLOOKUP(DATA[[#This Row],[COMBINADA]],#REF!,9,0),0)/COUNTIFS(DATA[COMBINADA],DATA[[#This Row],[COMBINADA]])</f>
        <v>0</v>
      </c>
      <c r="AK16" s="27">
        <f>IFERROR(VLOOKUP(DATA[[#This Row],[COMBINADA]],#REF!,6,0),0)</f>
        <v>0</v>
      </c>
      <c r="AL16" s="125">
        <f>IFERROR(VLOOKUP(DATA[[#This Row],[COMBINADA]],#REF!,9,0),0)/COUNTIFS(DATA[COMBINADA],DATA[[#This Row],[COMBINADA]])</f>
        <v>0</v>
      </c>
      <c r="AM16" s="27">
        <f>IFERROR(VLOOKUP(DATA[[#This Row],[COMBINADA]],#REF!,6,0),0)</f>
        <v>0</v>
      </c>
      <c r="AN16" s="125">
        <f>IFERROR(VLOOKUP(DATA[[#This Row],[COMBINADA]],#REF!,9,0),0)/COUNTIFS(DATA[COMBINADA],DATA[[#This Row],[COMBINADA]])</f>
        <v>0</v>
      </c>
      <c r="AO16" s="27">
        <f>IFERROR(VLOOKUP(DATA[[#This Row],[COMBINADA]],#REF!,6,0),0)</f>
        <v>0</v>
      </c>
      <c r="AP16" s="125">
        <f>IFERROR(VLOOKUP(DATA[[#This Row],[COMBINADA]],#REF!,9,0),0)/COUNTIFS(DATA[COMBINADA],DATA[[#This Row],[COMBINADA]])</f>
        <v>0</v>
      </c>
      <c r="AQ1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1048.83</v>
      </c>
      <c r="AR16" s="26" t="str">
        <f>IFERROR(IF(DATA[[#This Row],[estado_fact]]="FACTURADO",VLOOKUP(DATA[[#This Row],[SERIE2]]&amp;"-"&amp;DATA[[#This Row],[NUMERO]],#REF!,34,0),"NO CORRESPONDE"),"NO CORRESPONDE")</f>
        <v>NO CORRESPONDE</v>
      </c>
      <c r="AS16" s="22" t="str">
        <f>IF(DATA[[#This Row],[fecha_fs]]&gt;0,TEXT(DATA[[#This Row],[fecha_fs]],"Mmmm"),0)</f>
        <v>Diciembre</v>
      </c>
      <c r="AT16" s="22" t="str">
        <f>DATA[[#This Row],[SERIE2]]&amp;"-"&amp;DATA[[#This Row],[NUMERO]]</f>
        <v>FE01-499</v>
      </c>
      <c r="AU16" s="28">
        <f>DATA[[#This Row],[TOTAL]]*DATA[[#This Row],[T.C.]]</f>
        <v>1099.57</v>
      </c>
      <c r="AV16" s="6">
        <f>DATA[[#This Row],[FECHA DE VAL.]]</f>
        <v>45657</v>
      </c>
      <c r="AW16" s="6">
        <f>DATA[[#This Row],[FECHA DE EMISION]]</f>
        <v>45659</v>
      </c>
      <c r="AX16" s="6">
        <f>DATA[[#This Row],[F1]]</f>
        <v>0</v>
      </c>
      <c r="AY16" s="20">
        <f>IF(AV16-DATA[[#This Row],[fecha_fs]]&lt;0,0,AV16-DATA[[#This Row],[fecha_fs]])</f>
        <v>1</v>
      </c>
      <c r="AZ16" s="20">
        <f t="shared" si="1"/>
        <v>2</v>
      </c>
      <c r="BA16" s="20">
        <f t="shared" si="2"/>
        <v>0</v>
      </c>
      <c r="BB16" s="195">
        <f>IFERROR(SUM(DATA[[#This Row],[fs_val_ttf]:[fact_pago_ttf]]),0)</f>
        <v>3</v>
      </c>
      <c r="BC16" s="185">
        <v>45666</v>
      </c>
      <c r="BD16" s="185">
        <v>45656</v>
      </c>
      <c r="BE16" s="185">
        <v>45672</v>
      </c>
      <c r="BF16" s="10" t="s">
        <v>270</v>
      </c>
      <c r="BG16" s="20">
        <f>IFERROR(IF(BC16-DATA[[#This Row],[fecha_fs]]&lt;0,0,BC16-DATA[[#This Row],[fecha_fs]]),0)</f>
        <v>10</v>
      </c>
      <c r="BH16" s="20">
        <f t="shared" si="6"/>
        <v>0</v>
      </c>
      <c r="BI16" s="20">
        <f t="shared" si="7"/>
        <v>16</v>
      </c>
      <c r="BJ16" s="20">
        <f t="shared" si="8"/>
        <v>0</v>
      </c>
      <c r="BK16" s="189">
        <f>IFERROR(SUM(DATA[[#This Row],[fs_fd_ttd]:[fend_fenf_ttd]]),0)</f>
        <v>26</v>
      </c>
      <c r="BL16" s="20" t="str">
        <f>IF(DATA[[#This Row],[fecha_fs]]&gt;0,TEXT(DATA[[#This Row],[fecha_fs]],"YYYY"),0)</f>
        <v>2024</v>
      </c>
      <c r="BM16" s="221" t="b">
        <v>0</v>
      </c>
      <c r="BN16" s="278">
        <f>COUNTIF(DATA[[#This Row],[tiempo_td]], "&lt;=15")</f>
        <v>0</v>
      </c>
      <c r="BO16" s="222"/>
    </row>
    <row r="17" spans="1:67" ht="30.6" customHeight="1" x14ac:dyDescent="0.25">
      <c r="A17" s="4">
        <v>20170040938</v>
      </c>
      <c r="B17" s="5" t="s">
        <v>274</v>
      </c>
      <c r="C17" s="52" t="s">
        <v>40</v>
      </c>
      <c r="D17" s="4" t="s">
        <v>133</v>
      </c>
      <c r="E17" s="5" t="s">
        <v>291</v>
      </c>
      <c r="F17" s="24">
        <v>45656</v>
      </c>
      <c r="G17" s="7" t="s">
        <v>113</v>
      </c>
      <c r="H17" s="25">
        <f t="shared" si="0"/>
        <v>1</v>
      </c>
      <c r="I17" s="224">
        <v>3931</v>
      </c>
      <c r="J17" s="8" t="s">
        <v>115</v>
      </c>
      <c r="K17" s="9" t="s">
        <v>134</v>
      </c>
      <c r="L17" s="10" t="s">
        <v>117</v>
      </c>
      <c r="M17" s="11">
        <v>82</v>
      </c>
      <c r="N17" s="12" t="s">
        <v>135</v>
      </c>
      <c r="O17" s="6">
        <v>45657</v>
      </c>
      <c r="P17" s="13">
        <v>3218</v>
      </c>
      <c r="Q17" s="14" t="s">
        <v>85</v>
      </c>
      <c r="R17" s="15"/>
      <c r="S17" s="15"/>
      <c r="T17" s="15">
        <f>225+(3432.97/2)</f>
        <v>1941.4849999999999</v>
      </c>
      <c r="U17" s="15">
        <f>DATA[[#This Row],[SUB TOTAL]]*0.18</f>
        <v>349.46729999999997</v>
      </c>
      <c r="V17" s="15">
        <f>IFERROR(ROUND(DATA[[#This Row],[SUB TOTAL]]+DATA[[#This Row],[IGV]],2),0)</f>
        <v>2290.9499999999998</v>
      </c>
      <c r="W17" s="16" t="str">
        <f>IF(DATA[[#This Row],[VALORIZACIÓN ]]="-","NO CORRESPONDE",IF(OR(A17=20558226979,A17=10470707866,A17=20111157058,A17=20100226902),"NO CORRESPONDE",IF(J17="Emitida",IF(P17&gt;0,"EMITIDA","PENDIENTE"),"NO CORRESPONDE")))</f>
        <v>EMITIDA</v>
      </c>
      <c r="X17" s="29" t="s">
        <v>131</v>
      </c>
      <c r="Y17" s="17" t="s">
        <v>118</v>
      </c>
      <c r="Z17" s="76">
        <v>45699</v>
      </c>
      <c r="AA17" s="77" t="s">
        <v>124</v>
      </c>
      <c r="AB17" s="78">
        <v>55</v>
      </c>
      <c r="AC17" s="79">
        <v>30</v>
      </c>
      <c r="AD17" s="80">
        <f>DATA[[#This Row],[FECHA DE EMISION]]+DATA[[#This Row],[CONDICION DE PAGO]]</f>
        <v>45729</v>
      </c>
      <c r="AE17" s="81">
        <f>IF(DATA[[#This Row],[MONEDA]]="USD",VLOOKUP(DATA[[#This Row],[COMBINADA]],#REF!,11,0),1)</f>
        <v>1</v>
      </c>
      <c r="AF17" s="39" t="str">
        <f>IF(DATA[[#This Row],[SERIE2]]="-","NO CORRESPONDE",IF(W17="NO CORRESPONDE","NO CORRESPONDE",IF(Z17&gt;0,"FACTURADO","PENDIENTE")))</f>
        <v>FACTURADO</v>
      </c>
      <c r="AG17" s="27">
        <f>IFERROR(VLOOKUP(DATA[[#This Row],[COMBINADA]],#REF!,6,0),0)</f>
        <v>0</v>
      </c>
      <c r="AH17" s="125">
        <f>IFERROR(VLOOKUP(DATA[[#This Row],[COMBINADA]],#REF!,9,0),0)/COUNTIFS(DATA[COMBINADA],DATA[[#This Row],[COMBINADA]])</f>
        <v>0</v>
      </c>
      <c r="AI17" s="27">
        <f>IFERROR(VLOOKUP(DATA[[#This Row],[COMBINADA]],#REF!,6,0),0)</f>
        <v>0</v>
      </c>
      <c r="AJ17" s="125">
        <f>IFERROR(VLOOKUP(DATA[[#This Row],[COMBINADA]],#REF!,9,0),0)/COUNTIFS(DATA[COMBINADA],DATA[[#This Row],[COMBINADA]])</f>
        <v>0</v>
      </c>
      <c r="AK17" s="27">
        <f>IFERROR(VLOOKUP(DATA[[#This Row],[COMBINADA]],#REF!,6,0),0)</f>
        <v>0</v>
      </c>
      <c r="AL17" s="125">
        <f>IFERROR(VLOOKUP(DATA[[#This Row],[COMBINADA]],#REF!,9,0),0)/COUNTIFS(DATA[COMBINADA],DATA[[#This Row],[COMBINADA]])</f>
        <v>0</v>
      </c>
      <c r="AM17" s="27">
        <f>IFERROR(VLOOKUP(DATA[[#This Row],[COMBINADA]],#REF!,6,0),0)</f>
        <v>0</v>
      </c>
      <c r="AN17" s="125">
        <f>IFERROR(VLOOKUP(DATA[[#This Row],[COMBINADA]],#REF!,9,0),0)/COUNTIFS(DATA[COMBINADA],DATA[[#This Row],[COMBINADA]])</f>
        <v>0</v>
      </c>
      <c r="AO17" s="27">
        <f>IFERROR(VLOOKUP(DATA[[#This Row],[COMBINADA]],#REF!,6,0),0)</f>
        <v>0</v>
      </c>
      <c r="AP17" s="125">
        <f>IFERROR(VLOOKUP(DATA[[#This Row],[COMBINADA]],#REF!,9,0),0)/COUNTIFS(DATA[COMBINADA],DATA[[#This Row],[COMBINADA]])</f>
        <v>0</v>
      </c>
      <c r="AQ1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2290.9499999999998</v>
      </c>
      <c r="AR17" s="26" t="str">
        <f>IFERROR(IF(DATA[[#This Row],[estado_fact]]="FACTURADO",VLOOKUP(DATA[[#This Row],[SERIE2]]&amp;"-"&amp;DATA[[#This Row],[NUMERO]],#REF!,34,0),"NO CORRESPONDE"),"NO CORRESPONDE")</f>
        <v>NO CORRESPONDE</v>
      </c>
      <c r="AS17" s="22" t="str">
        <f>IF(DATA[[#This Row],[fecha_fs]]&gt;0,TEXT(DATA[[#This Row],[fecha_fs]],"Mmmm"),0)</f>
        <v>Diciembre</v>
      </c>
      <c r="AT17" s="22" t="str">
        <f>DATA[[#This Row],[SERIE2]]&amp;"-"&amp;DATA[[#This Row],[NUMERO]]</f>
        <v>FE01-55</v>
      </c>
      <c r="AU17" s="28">
        <f>DATA[[#This Row],[TOTAL]]*DATA[[#This Row],[T.C.]]</f>
        <v>2290.9499999999998</v>
      </c>
      <c r="AV17" s="6">
        <f>DATA[[#This Row],[FECHA DE VAL.]]</f>
        <v>45657</v>
      </c>
      <c r="AW17" s="6">
        <f>DATA[[#This Row],[FECHA DE EMISION]]</f>
        <v>45699</v>
      </c>
      <c r="AX17" s="6">
        <f>DATA[[#This Row],[F1]]</f>
        <v>0</v>
      </c>
      <c r="AY17" s="20">
        <f>IF(AV17-DATA[[#This Row],[fecha_fs]]&lt;0,0,AV17-DATA[[#This Row],[fecha_fs]])</f>
        <v>1</v>
      </c>
      <c r="AZ17" s="20">
        <f t="shared" si="1"/>
        <v>42</v>
      </c>
      <c r="BA17" s="20">
        <f t="shared" si="2"/>
        <v>0</v>
      </c>
      <c r="BB17" s="195">
        <f>IFERROR(SUM(DATA[[#This Row],[fs_val_ttf]:[fact_pago_ttf]]),0)</f>
        <v>43</v>
      </c>
      <c r="BC17" s="185">
        <v>45663</v>
      </c>
      <c r="BD17" s="185">
        <v>45666</v>
      </c>
      <c r="BE17" s="185">
        <v>45671</v>
      </c>
      <c r="BF17" s="10" t="s">
        <v>270</v>
      </c>
      <c r="BG17" s="20">
        <f>IFERROR(IF(BC17-DATA[[#This Row],[fecha_fs]]&lt;0,0,BC17-DATA[[#This Row],[fecha_fs]]),0)</f>
        <v>7</v>
      </c>
      <c r="BH17" s="20">
        <f t="shared" si="6"/>
        <v>3</v>
      </c>
      <c r="BI17" s="20">
        <f t="shared" si="7"/>
        <v>5</v>
      </c>
      <c r="BJ17" s="20">
        <f t="shared" si="8"/>
        <v>0</v>
      </c>
      <c r="BK17" s="189">
        <f>IFERROR(SUM(DATA[[#This Row],[fs_fd_ttd]:[fend_fenf_ttd]]),0)</f>
        <v>15</v>
      </c>
      <c r="BL17" s="20" t="str">
        <f>IF(DATA[[#This Row],[fecha_fs]]&gt;0,TEXT(DATA[[#This Row],[fecha_fs]],"YYYY"),0)</f>
        <v>2024</v>
      </c>
      <c r="BM17" s="221" t="b">
        <v>0</v>
      </c>
      <c r="BN17" s="278">
        <f>COUNTIF(DATA[[#This Row],[tiempo_td]], "&lt;=15")</f>
        <v>1</v>
      </c>
      <c r="BO17" s="222"/>
    </row>
    <row r="18" spans="1:67" ht="30.6" customHeight="1" x14ac:dyDescent="0.25">
      <c r="A18" s="4">
        <v>20100192064</v>
      </c>
      <c r="B18" s="5" t="s">
        <v>60</v>
      </c>
      <c r="C18" s="52" t="s">
        <v>64</v>
      </c>
      <c r="D18" s="4" t="s">
        <v>112</v>
      </c>
      <c r="E18" s="5" t="s">
        <v>1</v>
      </c>
      <c r="F18" s="24">
        <v>45659</v>
      </c>
      <c r="G18" s="7" t="s">
        <v>113</v>
      </c>
      <c r="H18" s="25">
        <f t="shared" si="0"/>
        <v>1</v>
      </c>
      <c r="I18" s="67">
        <v>3932</v>
      </c>
      <c r="J18" s="8" t="s">
        <v>115</v>
      </c>
      <c r="K18" s="9" t="s">
        <v>136</v>
      </c>
      <c r="L18" s="10" t="s">
        <v>137</v>
      </c>
      <c r="M18" s="11">
        <f>22+22</f>
        <v>44</v>
      </c>
      <c r="N18" s="12" t="s">
        <v>129</v>
      </c>
      <c r="O18" s="6">
        <v>45684</v>
      </c>
      <c r="P18" s="57">
        <v>3246</v>
      </c>
      <c r="Q18" s="14" t="s">
        <v>123</v>
      </c>
      <c r="R18" s="15">
        <f>DATA[[#This Row],[cantidad_fs]]*33.34</f>
        <v>1466.96</v>
      </c>
      <c r="S18" s="15"/>
      <c r="T18" s="15">
        <f>DATA[[#This Row],[C. DF]]+DATA[[#This Row],[C.OPE.]]</f>
        <v>1466.96</v>
      </c>
      <c r="U18" s="15">
        <f>DATA[[#This Row],[SUB TOTAL]]*0.18</f>
        <v>264.05279999999999</v>
      </c>
      <c r="V18" s="15">
        <f>IFERROR(ROUND(DATA[[#This Row],[SUB TOTAL]]+DATA[[#This Row],[IGV]],2),0)</f>
        <v>1731.01</v>
      </c>
      <c r="W18" s="16" t="str">
        <f>IF(DATA[[#This Row],[VALORIZACIÓN ]]="-","NO CORRESPONDE",IF(OR(A18=20558226979,A18=10470707866,A18=20111157058,A18=20100226902),"NO CORRESPONDE",IF(J18="Emitida",IF(P18&gt;0,"EMITIDA","PENDIENTE"),"NO CORRESPONDE")))</f>
        <v>EMITIDA</v>
      </c>
      <c r="X18" s="29"/>
      <c r="Y18" s="17" t="s">
        <v>118</v>
      </c>
      <c r="Z18" s="30">
        <v>45687</v>
      </c>
      <c r="AA18" s="10" t="s">
        <v>124</v>
      </c>
      <c r="AB18" s="19">
        <v>535</v>
      </c>
      <c r="AC18" s="20">
        <v>30</v>
      </c>
      <c r="AD18" s="18">
        <f>DATA[[#This Row],[FECHA DE EMISION]]+DATA[[#This Row],[CONDICION DE PAGO]]</f>
        <v>45717</v>
      </c>
      <c r="AE18" s="23" t="e">
        <f>IF(DATA[[#This Row],[MONEDA]]="USD",VLOOKUP(DATA[[#This Row],[COMBINADA]],#REF!,11,0),1)</f>
        <v>#REF!</v>
      </c>
      <c r="AF18" s="39" t="str">
        <f>IF(DATA[[#This Row],[SERIE2]]="-","NO CORRESPONDE",IF(W18="NO CORRESPONDE","NO CORRESPONDE",IF(Z18&gt;0,"FACTURADO","PENDIENTE")))</f>
        <v>FACTURADO</v>
      </c>
      <c r="AG18" s="27">
        <f>IFERROR(VLOOKUP(DATA[[#This Row],[COMBINADA]],#REF!,6,0),0)</f>
        <v>0</v>
      </c>
      <c r="AH18" s="125">
        <f>IFERROR(VLOOKUP(DATA[[#This Row],[COMBINADA]],#REF!,9,0),0)/COUNTIFS(DATA[COMBINADA],DATA[[#This Row],[COMBINADA]])</f>
        <v>0</v>
      </c>
      <c r="AI18" s="27">
        <f>IFERROR(VLOOKUP(DATA[[#This Row],[COMBINADA]],#REF!,6,0),0)</f>
        <v>0</v>
      </c>
      <c r="AJ18" s="125">
        <f>IFERROR(VLOOKUP(DATA[[#This Row],[COMBINADA]],#REF!,9,0),0)/COUNTIFS(DATA[COMBINADA],DATA[[#This Row],[COMBINADA]])</f>
        <v>0</v>
      </c>
      <c r="AK18" s="27">
        <f>IFERROR(VLOOKUP(DATA[[#This Row],[COMBINADA]],#REF!,6,0),0)</f>
        <v>0</v>
      </c>
      <c r="AL18" s="125">
        <f>IFERROR(VLOOKUP(DATA[[#This Row],[COMBINADA]],#REF!,9,0),0)/COUNTIFS(DATA[COMBINADA],DATA[[#This Row],[COMBINADA]])</f>
        <v>0</v>
      </c>
      <c r="AM18" s="27">
        <f>IFERROR(VLOOKUP(DATA[[#This Row],[COMBINADA]],#REF!,6,0),0)</f>
        <v>0</v>
      </c>
      <c r="AN18" s="125">
        <f>IFERROR(VLOOKUP(DATA[[#This Row],[COMBINADA]],#REF!,9,0),0)/COUNTIFS(DATA[COMBINADA],DATA[[#This Row],[COMBINADA]])</f>
        <v>0</v>
      </c>
      <c r="AO18" s="27">
        <f>IFERROR(VLOOKUP(DATA[[#This Row],[COMBINADA]],#REF!,6,0),0)</f>
        <v>0</v>
      </c>
      <c r="AP18" s="125">
        <f>IFERROR(VLOOKUP(DATA[[#This Row],[COMBINADA]],#REF!,9,0),0)/COUNTIFS(DATA[COMBINADA],DATA[[#This Row],[COMBINADA]])</f>
        <v>0</v>
      </c>
      <c r="AQ1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996.05400000000009</v>
      </c>
      <c r="AR18" s="26" t="str">
        <f>IFERROR(IF(DATA[[#This Row],[estado_fact]]="FACTURADO",VLOOKUP(DATA[[#This Row],[SERIE2]]&amp;"-"&amp;DATA[[#This Row],[NUMERO]],#REF!,34,0),"NO CORRESPONDE"),"NO CORRESPONDE")</f>
        <v>NO CORRESPONDE</v>
      </c>
      <c r="AS18" s="22" t="str">
        <f>IF(DATA[[#This Row],[fecha_fs]]&gt;0,TEXT(DATA[[#This Row],[fecha_fs]],"Mmmm"),0)</f>
        <v>Enero</v>
      </c>
      <c r="AT18" s="22" t="str">
        <f>DATA[[#This Row],[SERIE2]]&amp;"-"&amp;DATA[[#This Row],[NUMERO]]</f>
        <v>FE01-535</v>
      </c>
      <c r="AU18" s="28" t="e">
        <f>DATA[[#This Row],[TOTAL]]*DATA[[#This Row],[T.C.]]</f>
        <v>#REF!</v>
      </c>
      <c r="AV18" s="6">
        <f>DATA[[#This Row],[FECHA DE VAL.]]</f>
        <v>45684</v>
      </c>
      <c r="AW18" s="6">
        <f>DATA[[#This Row],[FECHA DE EMISION]]</f>
        <v>45687</v>
      </c>
      <c r="AX18" s="6">
        <f>DATA[[#This Row],[F1]]</f>
        <v>0</v>
      </c>
      <c r="AY18" s="20">
        <f>IF(AV18-DATA[[#This Row],[fecha_fs]]&lt;0,0,AV18-DATA[[#This Row],[fecha_fs]])</f>
        <v>25</v>
      </c>
      <c r="AZ18" s="20">
        <f t="shared" si="1"/>
        <v>3</v>
      </c>
      <c r="BA18" s="20">
        <f t="shared" si="2"/>
        <v>0</v>
      </c>
      <c r="BB18" s="195">
        <f>IFERROR(SUM(DATA[[#This Row],[fs_val_ttf]:[fact_pago_ttf]]),0)</f>
        <v>28</v>
      </c>
      <c r="BC18" s="186">
        <v>45660</v>
      </c>
      <c r="BD18" s="185">
        <v>45667</v>
      </c>
      <c r="BE18" s="185">
        <v>45688</v>
      </c>
      <c r="BF18" s="185">
        <v>45758</v>
      </c>
      <c r="BG18" s="20">
        <f>IFERROR(IF(BC18-DATA[[#This Row],[fecha_fs]]&lt;0,0,BC18-DATA[[#This Row],[fecha_fs]]),0)</f>
        <v>1</v>
      </c>
      <c r="BH18" s="20">
        <f t="shared" si="6"/>
        <v>7</v>
      </c>
      <c r="BI18" s="20">
        <f t="shared" si="7"/>
        <v>21</v>
      </c>
      <c r="BJ18" s="20">
        <f t="shared" si="8"/>
        <v>70</v>
      </c>
      <c r="BK18" s="189">
        <f>IFERROR(SUM(DATA[[#This Row],[fs_fd_ttd]:[fend_fenf_ttd]]),0)</f>
        <v>99</v>
      </c>
      <c r="BL18" s="20" t="str">
        <f>IF(DATA[[#This Row],[fecha_fs]]&gt;0,TEXT(DATA[[#This Row],[fecha_fs]],"YYYY"),0)</f>
        <v>2025</v>
      </c>
      <c r="BM18" s="221" t="b">
        <v>1</v>
      </c>
      <c r="BN18" s="278">
        <f>COUNTIF(DATA[[#This Row],[tiempo_td]], "&lt;=15")</f>
        <v>0</v>
      </c>
      <c r="BO18" s="222"/>
    </row>
    <row r="19" spans="1:67" ht="30.6" customHeight="1" x14ac:dyDescent="0.25">
      <c r="A19" s="4">
        <v>20100055237</v>
      </c>
      <c r="B19" s="5" t="s">
        <v>21</v>
      </c>
      <c r="C19" s="52" t="s">
        <v>138</v>
      </c>
      <c r="D19" s="4" t="s">
        <v>139</v>
      </c>
      <c r="E19" s="5" t="s">
        <v>23</v>
      </c>
      <c r="F19" s="24">
        <v>45659</v>
      </c>
      <c r="G19" s="7" t="s">
        <v>113</v>
      </c>
      <c r="H19" s="25">
        <f t="shared" si="0"/>
        <v>1</v>
      </c>
      <c r="I19" s="67">
        <v>3933</v>
      </c>
      <c r="J19" s="8" t="s">
        <v>115</v>
      </c>
      <c r="K19" s="9" t="s">
        <v>121</v>
      </c>
      <c r="L19" s="10" t="s">
        <v>117</v>
      </c>
      <c r="M19" s="11">
        <v>60</v>
      </c>
      <c r="N19" s="12" t="s">
        <v>125</v>
      </c>
      <c r="O19" s="6">
        <v>45687</v>
      </c>
      <c r="P19" s="54">
        <v>3273</v>
      </c>
      <c r="Q19" s="14" t="s">
        <v>85</v>
      </c>
      <c r="R19" s="15"/>
      <c r="S19" s="15">
        <v>297.92</v>
      </c>
      <c r="T19" s="15">
        <f>DATA[[#This Row],[C. DF]]+DATA[[#This Row],[C.OPE.]]</f>
        <v>297.92</v>
      </c>
      <c r="U19" s="15">
        <f>DATA[[#This Row],[SUB TOTAL]]*0.18</f>
        <v>53.625599999999999</v>
      </c>
      <c r="V19" s="15">
        <f>IFERROR(ROUND(DATA[[#This Row],[SUB TOTAL]]+DATA[[#This Row],[IGV]],2),0)</f>
        <v>351.55</v>
      </c>
      <c r="W19" s="16" t="str">
        <f>IF(DATA[[#This Row],[VALORIZACIÓN ]]="-","NO CORRESPONDE",IF(OR(A19=20558226979,A19=10470707866,A19=20111157058,A19=20100226902),"NO CORRESPONDE",IF(J19="Emitida",IF(P19&gt;0,"EMITIDA","PENDIENTE"),"NO CORRESPONDE")))</f>
        <v>EMITIDA</v>
      </c>
      <c r="X19" s="29" t="s">
        <v>140</v>
      </c>
      <c r="Y19" s="17" t="s">
        <v>118</v>
      </c>
      <c r="Z19" s="30">
        <v>45701</v>
      </c>
      <c r="AA19" s="10" t="s">
        <v>124</v>
      </c>
      <c r="AB19" s="19">
        <v>562</v>
      </c>
      <c r="AC19" s="20">
        <v>30</v>
      </c>
      <c r="AD19" s="18">
        <f>DATA[[#This Row],[FECHA DE EMISION]]+DATA[[#This Row],[CONDICION DE PAGO]]</f>
        <v>45731</v>
      </c>
      <c r="AE19" s="23">
        <f>IF(DATA[[#This Row],[MONEDA]]="USD",VLOOKUP(DATA[[#This Row],[COMBINADA]],#REF!,11,0),1)</f>
        <v>1</v>
      </c>
      <c r="AF19" s="39" t="str">
        <f>IF(DATA[[#This Row],[SERIE2]]="-","NO CORRESPONDE",IF(W19="NO CORRESPONDE","NO CORRESPONDE",IF(Z19&gt;0,"FACTURADO","PENDIENTE")))</f>
        <v>FACTURADO</v>
      </c>
      <c r="AG19" s="27">
        <f>IFERROR(VLOOKUP(DATA[[#This Row],[COMBINADA]],#REF!,6,0),0)</f>
        <v>0</v>
      </c>
      <c r="AH19" s="125">
        <f>IFERROR(VLOOKUP(DATA[[#This Row],[COMBINADA]],#REF!,9,0),0)/COUNTIFS(DATA[COMBINADA],DATA[[#This Row],[COMBINADA]])</f>
        <v>0</v>
      </c>
      <c r="AI19" s="27">
        <f>IFERROR(VLOOKUP(DATA[[#This Row],[COMBINADA]],#REF!,6,0),0)</f>
        <v>0</v>
      </c>
      <c r="AJ19" s="125">
        <f>IFERROR(VLOOKUP(DATA[[#This Row],[COMBINADA]],#REF!,9,0),0)/COUNTIFS(DATA[COMBINADA],DATA[[#This Row],[COMBINADA]])</f>
        <v>0</v>
      </c>
      <c r="AK19" s="27">
        <f>IFERROR(VLOOKUP(DATA[[#This Row],[COMBINADA]],#REF!,6,0),0)</f>
        <v>0</v>
      </c>
      <c r="AL19" s="125">
        <f>IFERROR(VLOOKUP(DATA[[#This Row],[COMBINADA]],#REF!,9,0),0)/COUNTIFS(DATA[COMBINADA],DATA[[#This Row],[COMBINADA]])</f>
        <v>0</v>
      </c>
      <c r="AM19" s="27">
        <f>IFERROR(VLOOKUP(DATA[[#This Row],[COMBINADA]],#REF!,6,0),0)</f>
        <v>0</v>
      </c>
      <c r="AN19" s="125">
        <f>IFERROR(VLOOKUP(DATA[[#This Row],[COMBINADA]],#REF!,9,0),0)/COUNTIFS(DATA[COMBINADA],DATA[[#This Row],[COMBINADA]])</f>
        <v>0</v>
      </c>
      <c r="AO19" s="27">
        <f>IFERROR(VLOOKUP(DATA[[#This Row],[COMBINADA]],#REF!,6,0),0)</f>
        <v>0</v>
      </c>
      <c r="AP19" s="125">
        <f>IFERROR(VLOOKUP(DATA[[#This Row],[COMBINADA]],#REF!,9,0),0)/COUNTIFS(DATA[COMBINADA],DATA[[#This Row],[COMBINADA]])</f>
        <v>0</v>
      </c>
      <c r="AQ1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9" s="26" t="str">
        <f>IFERROR(IF(DATA[[#This Row],[estado_fact]]="FACTURADO",VLOOKUP(DATA[[#This Row],[SERIE2]]&amp;"-"&amp;DATA[[#This Row],[NUMERO]],#REF!,34,0),"NO CORRESPONDE"),"NO CORRESPONDE")</f>
        <v>NO CORRESPONDE</v>
      </c>
      <c r="AS19" s="22" t="str">
        <f>IF(DATA[[#This Row],[fecha_fs]]&gt;0,TEXT(DATA[[#This Row],[fecha_fs]],"Mmmm"),0)</f>
        <v>Enero</v>
      </c>
      <c r="AT19" s="22" t="str">
        <f>DATA[[#This Row],[SERIE2]]&amp;"-"&amp;DATA[[#This Row],[NUMERO]]</f>
        <v>FE01-562</v>
      </c>
      <c r="AU19" s="28">
        <f>DATA[[#This Row],[TOTAL]]*DATA[[#This Row],[T.C.]]</f>
        <v>351.55</v>
      </c>
      <c r="AV19" s="6">
        <f>DATA[[#This Row],[FECHA DE VAL.]]</f>
        <v>45687</v>
      </c>
      <c r="AW19" s="6">
        <f>DATA[[#This Row],[FECHA DE EMISION]]</f>
        <v>45701</v>
      </c>
      <c r="AX19" s="6">
        <f>DATA[[#This Row],[F1]]</f>
        <v>0</v>
      </c>
      <c r="AY19" s="20">
        <f>IF(AV19-DATA[[#This Row],[fecha_fs]]&lt;0,0,AV19-DATA[[#This Row],[fecha_fs]])</f>
        <v>28</v>
      </c>
      <c r="AZ19" s="20">
        <f t="shared" si="1"/>
        <v>14</v>
      </c>
      <c r="BA19" s="20">
        <f t="shared" si="2"/>
        <v>0</v>
      </c>
      <c r="BB19" s="195">
        <f>IFERROR(SUM(DATA[[#This Row],[fs_val_ttf]:[fact_pago_ttf]]),0)</f>
        <v>42</v>
      </c>
      <c r="BC19" s="185">
        <v>45659</v>
      </c>
      <c r="BD19" s="185">
        <v>45659</v>
      </c>
      <c r="BE19" s="185">
        <v>45691</v>
      </c>
      <c r="BF19" s="185">
        <v>45691</v>
      </c>
      <c r="BG19" s="20">
        <f>IFERROR(IF(BC19-DATA[[#This Row],[fecha_fs]]&lt;0,0,BC19-DATA[[#This Row],[fecha_fs]]),0)</f>
        <v>0</v>
      </c>
      <c r="BH19" s="20">
        <f t="shared" si="6"/>
        <v>0</v>
      </c>
      <c r="BI19" s="20">
        <f t="shared" si="7"/>
        <v>32</v>
      </c>
      <c r="BJ19" s="20">
        <f t="shared" si="8"/>
        <v>0</v>
      </c>
      <c r="BK19" s="189">
        <f>IFERROR(SUM(DATA[[#This Row],[fs_fd_ttd]:[fend_fenf_ttd]]),0)</f>
        <v>32</v>
      </c>
      <c r="BL19" s="20" t="str">
        <f>IF(DATA[[#This Row],[fecha_fs]]&gt;0,TEXT(DATA[[#This Row],[fecha_fs]],"YYYY"),0)</f>
        <v>2025</v>
      </c>
      <c r="BM19" s="221" t="b">
        <v>1</v>
      </c>
      <c r="BN19" s="278">
        <f>COUNTIF(DATA[[#This Row],[tiempo_td]], "&lt;=15")</f>
        <v>0</v>
      </c>
      <c r="BO19" s="222"/>
    </row>
    <row r="20" spans="1:67" ht="30.6" customHeight="1" x14ac:dyDescent="0.25">
      <c r="A20" s="4">
        <v>20100055237</v>
      </c>
      <c r="B20" s="5" t="s">
        <v>21</v>
      </c>
      <c r="C20" s="52" t="s">
        <v>138</v>
      </c>
      <c r="D20" s="4" t="s">
        <v>139</v>
      </c>
      <c r="E20" s="5" t="s">
        <v>23</v>
      </c>
      <c r="F20" s="24">
        <v>45657</v>
      </c>
      <c r="G20" s="7" t="s">
        <v>113</v>
      </c>
      <c r="H20" s="25">
        <f t="shared" si="0"/>
        <v>1</v>
      </c>
      <c r="I20" s="67">
        <v>3934</v>
      </c>
      <c r="J20" s="8" t="s">
        <v>115</v>
      </c>
      <c r="K20" s="9" t="s">
        <v>121</v>
      </c>
      <c r="L20" s="10" t="s">
        <v>117</v>
      </c>
      <c r="M20" s="11">
        <v>60</v>
      </c>
      <c r="N20" s="12" t="s">
        <v>132</v>
      </c>
      <c r="O20" s="6">
        <v>45657</v>
      </c>
      <c r="P20" s="54">
        <v>3214</v>
      </c>
      <c r="Q20" s="14" t="s">
        <v>85</v>
      </c>
      <c r="R20" s="15"/>
      <c r="S20" s="15">
        <v>297.92</v>
      </c>
      <c r="T20" s="15">
        <f>DATA[[#This Row],[C. DF]]+DATA[[#This Row],[C.OPE.]]</f>
        <v>297.92</v>
      </c>
      <c r="U20" s="15">
        <f>DATA[[#This Row],[SUB TOTAL]]*0.18</f>
        <v>53.625599999999999</v>
      </c>
      <c r="V20" s="15">
        <f>IFERROR(ROUND(DATA[[#This Row],[SUB TOTAL]]+DATA[[#This Row],[IGV]],2),0)</f>
        <v>351.55</v>
      </c>
      <c r="W20" s="16" t="str">
        <f>IF(DATA[[#This Row],[VALORIZACIÓN ]]="-","NO CORRESPONDE",IF(OR(A20=20558226979,A20=10470707866,A20=20111157058,A20=20100226902),"NO CORRESPONDE",IF(J20="Emitida",IF(P20&gt;0,"EMITIDA","PENDIENTE"),"NO CORRESPONDE")))</f>
        <v>EMITIDA</v>
      </c>
      <c r="X20" s="29" t="s">
        <v>140</v>
      </c>
      <c r="Y20" s="17" t="s">
        <v>118</v>
      </c>
      <c r="Z20" s="30">
        <v>45679</v>
      </c>
      <c r="AA20" s="10" t="s">
        <v>124</v>
      </c>
      <c r="AB20" s="19">
        <v>519</v>
      </c>
      <c r="AC20" s="20">
        <v>30</v>
      </c>
      <c r="AD20" s="18">
        <f>DATA[[#This Row],[FECHA DE EMISION]]+DATA[[#This Row],[CONDICION DE PAGO]]</f>
        <v>45709</v>
      </c>
      <c r="AE20" s="23">
        <f>IF(DATA[[#This Row],[MONEDA]]="USD",VLOOKUP(DATA[[#This Row],[COMBINADA]],#REF!,11,0),1)</f>
        <v>1</v>
      </c>
      <c r="AF20" s="39" t="str">
        <f>IF(DATA[[#This Row],[SERIE2]]="-","NO CORRESPONDE",IF(W20="NO CORRESPONDE","NO CORRESPONDE",IF(Z20&gt;0,"FACTURADO","PENDIENTE")))</f>
        <v>FACTURADO</v>
      </c>
      <c r="AG20" s="27">
        <f>IFERROR(VLOOKUP(DATA[[#This Row],[COMBINADA]],#REF!,6,0),0)</f>
        <v>0</v>
      </c>
      <c r="AH20" s="125">
        <f>IFERROR(VLOOKUP(DATA[[#This Row],[COMBINADA]],#REF!,9,0),0)/COUNTIFS(DATA[COMBINADA],DATA[[#This Row],[COMBINADA]])</f>
        <v>0</v>
      </c>
      <c r="AI20" s="27">
        <f>IFERROR(VLOOKUP(DATA[[#This Row],[COMBINADA]],#REF!,6,0),0)</f>
        <v>0</v>
      </c>
      <c r="AJ20" s="125">
        <f>IFERROR(VLOOKUP(DATA[[#This Row],[COMBINADA]],#REF!,9,0),0)/COUNTIFS(DATA[COMBINADA],DATA[[#This Row],[COMBINADA]])</f>
        <v>0</v>
      </c>
      <c r="AK20" s="27">
        <f>IFERROR(VLOOKUP(DATA[[#This Row],[COMBINADA]],#REF!,6,0),0)</f>
        <v>0</v>
      </c>
      <c r="AL20" s="125">
        <f>IFERROR(VLOOKUP(DATA[[#This Row],[COMBINADA]],#REF!,9,0),0)/COUNTIFS(DATA[COMBINADA],DATA[[#This Row],[COMBINADA]])</f>
        <v>0</v>
      </c>
      <c r="AM20" s="27">
        <f>IFERROR(VLOOKUP(DATA[[#This Row],[COMBINADA]],#REF!,6,0),0)</f>
        <v>0</v>
      </c>
      <c r="AN20" s="125">
        <f>IFERROR(VLOOKUP(DATA[[#This Row],[COMBINADA]],#REF!,9,0),0)/COUNTIFS(DATA[COMBINADA],DATA[[#This Row],[COMBINADA]])</f>
        <v>0</v>
      </c>
      <c r="AO20" s="27">
        <f>IFERROR(VLOOKUP(DATA[[#This Row],[COMBINADA]],#REF!,6,0),0)</f>
        <v>0</v>
      </c>
      <c r="AP20" s="125">
        <f>IFERROR(VLOOKUP(DATA[[#This Row],[COMBINADA]],#REF!,9,0),0)/COUNTIFS(DATA[COMBINADA],DATA[[#This Row],[COMBINADA]])</f>
        <v>0</v>
      </c>
      <c r="AQ2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v>
      </c>
      <c r="AR20" s="26" t="str">
        <f>IFERROR(IF(DATA[[#This Row],[estado_fact]]="FACTURADO",VLOOKUP(DATA[[#This Row],[SERIE2]]&amp;"-"&amp;DATA[[#This Row],[NUMERO]],#REF!,34,0),"NO CORRESPONDE"),"NO CORRESPONDE")</f>
        <v>NO CORRESPONDE</v>
      </c>
      <c r="AS20" s="22" t="str">
        <f>IF(DATA[[#This Row],[fecha_fs]]&gt;0,TEXT(DATA[[#This Row],[fecha_fs]],"Mmmm"),0)</f>
        <v>Diciembre</v>
      </c>
      <c r="AT20" s="22" t="str">
        <f>DATA[[#This Row],[SERIE2]]&amp;"-"&amp;DATA[[#This Row],[NUMERO]]</f>
        <v>FE01-519</v>
      </c>
      <c r="AU20" s="28">
        <f>DATA[[#This Row],[TOTAL]]*DATA[[#This Row],[T.C.]]</f>
        <v>351.55</v>
      </c>
      <c r="AV20" s="6">
        <f>DATA[[#This Row],[FECHA DE VAL.]]</f>
        <v>45657</v>
      </c>
      <c r="AW20" s="6">
        <f>DATA[[#This Row],[FECHA DE EMISION]]</f>
        <v>45679</v>
      </c>
      <c r="AX20" s="6">
        <f>DATA[[#This Row],[F1]]</f>
        <v>0</v>
      </c>
      <c r="AY20" s="20">
        <f>IF(AV20-DATA[[#This Row],[fecha_fs]]&lt;0,0,AV20-DATA[[#This Row],[fecha_fs]])</f>
        <v>0</v>
      </c>
      <c r="AZ20" s="20">
        <f t="shared" si="1"/>
        <v>22</v>
      </c>
      <c r="BA20" s="20">
        <f t="shared" si="2"/>
        <v>0</v>
      </c>
      <c r="BB20" s="195">
        <f>IFERROR(SUM(DATA[[#This Row],[fs_val_ttf]:[fact_pago_ttf]]),0)</f>
        <v>22</v>
      </c>
      <c r="BC20" s="10" t="s">
        <v>292</v>
      </c>
      <c r="BD20" s="10" t="s">
        <v>292</v>
      </c>
      <c r="BE20" s="185">
        <v>45671</v>
      </c>
      <c r="BF20" s="185">
        <v>45671</v>
      </c>
      <c r="BG20" s="20">
        <f>IFERROR(IF(BC20-DATA[[#This Row],[fecha_fs]]&lt;0,0,BC20-DATA[[#This Row],[fecha_fs]]),0)</f>
        <v>0</v>
      </c>
      <c r="BH20" s="20">
        <f t="shared" si="6"/>
        <v>0</v>
      </c>
      <c r="BI20" s="20">
        <f t="shared" si="7"/>
        <v>0</v>
      </c>
      <c r="BJ20" s="20">
        <f t="shared" si="8"/>
        <v>0</v>
      </c>
      <c r="BK20" s="189">
        <f>IFERROR(SUM(DATA[[#This Row],[fs_fd_ttd]:[fend_fenf_ttd]]),0)</f>
        <v>0</v>
      </c>
      <c r="BL20" s="20" t="str">
        <f>IF(DATA[[#This Row],[fecha_fs]]&gt;0,TEXT(DATA[[#This Row],[fecha_fs]],"YYYY"),0)</f>
        <v>2024</v>
      </c>
      <c r="BM20" s="221" t="b">
        <v>0</v>
      </c>
      <c r="BN20" s="278">
        <f>COUNTIF(DATA[[#This Row],[tiempo_td]], "&lt;=15")</f>
        <v>1</v>
      </c>
      <c r="BO20" s="222"/>
    </row>
    <row r="21" spans="1:67" ht="30.6" customHeight="1" x14ac:dyDescent="0.25">
      <c r="A21" s="4">
        <v>20120858425</v>
      </c>
      <c r="B21" s="5" t="s">
        <v>68</v>
      </c>
      <c r="C21" s="52" t="s">
        <v>18</v>
      </c>
      <c r="D21" s="4" t="s">
        <v>120</v>
      </c>
      <c r="E21" s="5" t="s">
        <v>3</v>
      </c>
      <c r="F21" s="24">
        <v>45659</v>
      </c>
      <c r="G21" s="7" t="s">
        <v>113</v>
      </c>
      <c r="H21" s="25">
        <f t="shared" si="0"/>
        <v>1</v>
      </c>
      <c r="I21" s="67">
        <v>3935</v>
      </c>
      <c r="J21" s="8" t="s">
        <v>115</v>
      </c>
      <c r="K21" s="9" t="s">
        <v>121</v>
      </c>
      <c r="L21" s="10" t="s">
        <v>117</v>
      </c>
      <c r="M21" s="11">
        <v>46</v>
      </c>
      <c r="N21" s="12" t="s">
        <v>132</v>
      </c>
      <c r="O21" s="6">
        <v>45660</v>
      </c>
      <c r="P21" s="13">
        <v>3220</v>
      </c>
      <c r="Q21" s="14" t="s">
        <v>85</v>
      </c>
      <c r="R21" s="15">
        <f>DATA[[#This Row],[cantidad_fs]]*0.67</f>
        <v>30.82</v>
      </c>
      <c r="S21" s="15">
        <f>649.9/3</f>
        <v>216.63333333333333</v>
      </c>
      <c r="T21" s="15">
        <f>DATA[[#This Row],[C. DF]]+DATA[[#This Row],[C.OPE.]]</f>
        <v>247.45333333333332</v>
      </c>
      <c r="U21" s="15">
        <f>DATA[[#This Row],[SUB TOTAL]]*0.18</f>
        <v>44.541599999999995</v>
      </c>
      <c r="V21" s="15">
        <f>IFERROR(ROUND(DATA[[#This Row],[SUB TOTAL]]+DATA[[#This Row],[IGV]],2),0)</f>
        <v>291.99</v>
      </c>
      <c r="W21" s="16" t="str">
        <f>IF(DATA[[#This Row],[VALORIZACIÓN ]]="-","NO CORRESPONDE",IF(OR(A21=20558226979,A21=10470707866,A21=20111157058,A21=20100226902),"NO CORRESPONDE",IF(J21="Emitida",IF(P21&gt;0,"EMITIDA","PENDIENTE"),"NO CORRESPONDE")))</f>
        <v>EMITIDA</v>
      </c>
      <c r="X21" s="29"/>
      <c r="Y21" s="17" t="s">
        <v>118</v>
      </c>
      <c r="Z21" s="30">
        <v>45680</v>
      </c>
      <c r="AA21" s="10" t="s">
        <v>124</v>
      </c>
      <c r="AB21" s="19">
        <v>526</v>
      </c>
      <c r="AC21" s="20">
        <v>15</v>
      </c>
      <c r="AD21" s="18">
        <f>DATA[[#This Row],[FECHA DE EMISION]]+DATA[[#This Row],[CONDICION DE PAGO]]</f>
        <v>45695</v>
      </c>
      <c r="AE21" s="23">
        <f>IF(DATA[[#This Row],[MONEDA]]="USD",VLOOKUP(DATA[[#This Row],[COMBINADA]],#REF!,11,0),1)</f>
        <v>1</v>
      </c>
      <c r="AF21" s="39" t="str">
        <f>IF(DATA[[#This Row],[SERIE2]]="-","NO CORRESPONDE",IF(W21="NO CORRESPONDE","NO CORRESPONDE",IF(Z21&gt;0,"FACTURADO","PENDIENTE")))</f>
        <v>FACTURADO</v>
      </c>
      <c r="AG21" s="27">
        <f>IFERROR(VLOOKUP(DATA[[#This Row],[COMBINADA]],#REF!,6,0),0)</f>
        <v>0</v>
      </c>
      <c r="AH21" s="125">
        <f>IFERROR(VLOOKUP(DATA[[#This Row],[COMBINADA]],#REF!,9,0),0)/COUNTIFS(DATA[COMBINADA],DATA[[#This Row],[COMBINADA]])</f>
        <v>0</v>
      </c>
      <c r="AI21" s="27">
        <f>IFERROR(VLOOKUP(DATA[[#This Row],[COMBINADA]],#REF!,6,0),0)</f>
        <v>0</v>
      </c>
      <c r="AJ21" s="125">
        <f>IFERROR(VLOOKUP(DATA[[#This Row],[COMBINADA]],#REF!,9,0),0)/COUNTIFS(DATA[COMBINADA],DATA[[#This Row],[COMBINADA]])</f>
        <v>0</v>
      </c>
      <c r="AK21" s="27">
        <f>IFERROR(VLOOKUP(DATA[[#This Row],[COMBINADA]],#REF!,6,0),0)</f>
        <v>0</v>
      </c>
      <c r="AL21" s="125">
        <f>IFERROR(VLOOKUP(DATA[[#This Row],[COMBINADA]],#REF!,9,0),0)/COUNTIFS(DATA[COMBINADA],DATA[[#This Row],[COMBINADA]])</f>
        <v>0</v>
      </c>
      <c r="AM21" s="27">
        <f>IFERROR(VLOOKUP(DATA[[#This Row],[COMBINADA]],#REF!,6,0),0)</f>
        <v>0</v>
      </c>
      <c r="AN21" s="125">
        <f>IFERROR(VLOOKUP(DATA[[#This Row],[COMBINADA]],#REF!,9,0),0)/COUNTIFS(DATA[COMBINADA],DATA[[#This Row],[COMBINADA]])</f>
        <v>0</v>
      </c>
      <c r="AO21" s="27">
        <f>IFERROR(VLOOKUP(DATA[[#This Row],[COMBINADA]],#REF!,6,0),0)</f>
        <v>0</v>
      </c>
      <c r="AP21" s="125">
        <f>IFERROR(VLOOKUP(DATA[[#This Row],[COMBINADA]],#REF!,9,0),0)/COUNTIFS(DATA[COMBINADA],DATA[[#This Row],[COMBINADA]])</f>
        <v>0</v>
      </c>
      <c r="AQ2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442.58666666666664</v>
      </c>
      <c r="AR21" s="26" t="str">
        <f>IFERROR(IF(DATA[[#This Row],[estado_fact]]="FACTURADO",VLOOKUP(DATA[[#This Row],[SERIE2]]&amp;"-"&amp;DATA[[#This Row],[NUMERO]],#REF!,34,0),"NO CORRESPONDE"),"NO CORRESPONDE")</f>
        <v>NO CORRESPONDE</v>
      </c>
      <c r="AS21" s="22" t="str">
        <f>IF(DATA[[#This Row],[fecha_fs]]&gt;0,TEXT(DATA[[#This Row],[fecha_fs]],"Mmmm"),0)</f>
        <v>Enero</v>
      </c>
      <c r="AT21" s="22" t="str">
        <f>DATA[[#This Row],[SERIE2]]&amp;"-"&amp;DATA[[#This Row],[NUMERO]]</f>
        <v>FE01-526</v>
      </c>
      <c r="AU21" s="28">
        <f>DATA[[#This Row],[TOTAL]]*DATA[[#This Row],[T.C.]]</f>
        <v>291.99</v>
      </c>
      <c r="AV21" s="6">
        <f>DATA[[#This Row],[FECHA DE VAL.]]</f>
        <v>45660</v>
      </c>
      <c r="AW21" s="6">
        <f>DATA[[#This Row],[FECHA DE EMISION]]</f>
        <v>45680</v>
      </c>
      <c r="AX21" s="6">
        <f>DATA[[#This Row],[F1]]</f>
        <v>0</v>
      </c>
      <c r="AY21" s="20">
        <f>IF(AV21-DATA[[#This Row],[fecha_fs]]&lt;0,0,AV21-DATA[[#This Row],[fecha_fs]])</f>
        <v>1</v>
      </c>
      <c r="AZ21" s="20">
        <f t="shared" si="1"/>
        <v>20</v>
      </c>
      <c r="BA21" s="20">
        <f t="shared" si="2"/>
        <v>0</v>
      </c>
      <c r="BB21" s="195">
        <f>IFERROR(SUM(DATA[[#This Row],[fs_val_ttf]:[fact_pago_ttf]]),0)</f>
        <v>21</v>
      </c>
      <c r="BC21" s="185">
        <v>45671</v>
      </c>
      <c r="BD21" s="185">
        <v>45659</v>
      </c>
      <c r="BE21" s="185">
        <v>45752</v>
      </c>
      <c r="BF21" s="185">
        <v>45700</v>
      </c>
      <c r="BG21" s="20">
        <f>IFERROR(IF(BC21-DATA[[#This Row],[fecha_fs]]&lt;0,0,BC21-DATA[[#This Row],[fecha_fs]]),0)</f>
        <v>12</v>
      </c>
      <c r="BH21" s="20">
        <f t="shared" si="6"/>
        <v>0</v>
      </c>
      <c r="BI21" s="20">
        <f t="shared" si="7"/>
        <v>93</v>
      </c>
      <c r="BJ21" s="20">
        <f t="shared" si="8"/>
        <v>0</v>
      </c>
      <c r="BK21" s="189">
        <f>IFERROR(SUM(DATA[[#This Row],[fs_fd_ttd]:[fend_fenf_ttd]]),0)</f>
        <v>105</v>
      </c>
      <c r="BL21" s="20" t="str">
        <f>IF(DATA[[#This Row],[fecha_fs]]&gt;0,TEXT(DATA[[#This Row],[fecha_fs]],"YYYY"),0)</f>
        <v>2025</v>
      </c>
      <c r="BM21" s="221" t="b">
        <v>1</v>
      </c>
      <c r="BN21" s="278">
        <f>COUNTIF(DATA[[#This Row],[tiempo_td]], "&lt;=15")</f>
        <v>0</v>
      </c>
      <c r="BO21" s="222"/>
    </row>
    <row r="22" spans="1:67" ht="30.6" customHeight="1" x14ac:dyDescent="0.25">
      <c r="A22" s="4">
        <v>20120858425</v>
      </c>
      <c r="B22" s="5" t="s">
        <v>68</v>
      </c>
      <c r="C22" s="52" t="s">
        <v>18</v>
      </c>
      <c r="D22" s="4" t="s">
        <v>112</v>
      </c>
      <c r="E22" s="5" t="s">
        <v>1</v>
      </c>
      <c r="F22" s="24">
        <v>45659</v>
      </c>
      <c r="G22" s="7" t="s">
        <v>113</v>
      </c>
      <c r="H22" s="25">
        <f t="shared" si="0"/>
        <v>1</v>
      </c>
      <c r="I22" s="67">
        <v>3936</v>
      </c>
      <c r="J22" s="8" t="s">
        <v>115</v>
      </c>
      <c r="K22" s="9" t="s">
        <v>116</v>
      </c>
      <c r="L22" s="10" t="s">
        <v>117</v>
      </c>
      <c r="M22" s="11">
        <v>520</v>
      </c>
      <c r="N22" s="12" t="s">
        <v>141</v>
      </c>
      <c r="O22" s="6">
        <v>45660</v>
      </c>
      <c r="P22" s="13">
        <v>3220</v>
      </c>
      <c r="Q22" s="14" t="s">
        <v>85</v>
      </c>
      <c r="R22" s="15">
        <f>((DATA[[#This Row],[cantidad_fs]]-370)*0.97)</f>
        <v>145.5</v>
      </c>
      <c r="S22" s="15">
        <f>649.9/3</f>
        <v>216.63333333333333</v>
      </c>
      <c r="T22" s="15">
        <f>DATA[[#This Row],[C. DF]]+DATA[[#This Row],[C.OPE.]]</f>
        <v>362.13333333333333</v>
      </c>
      <c r="U22" s="15">
        <f>DATA[[#This Row],[SUB TOTAL]]*0.18</f>
        <v>65.183999999999997</v>
      </c>
      <c r="V22" s="15">
        <f>IFERROR(ROUND(DATA[[#This Row],[SUB TOTAL]]+DATA[[#This Row],[IGV]],2),0)</f>
        <v>427.32</v>
      </c>
      <c r="W22" s="16" t="str">
        <f>IF(DATA[[#This Row],[VALORIZACIÓN ]]="-","NO CORRESPONDE",IF(OR(A22=20558226979,A22=10470707866,A22=20111157058,A22=20100226902),"NO CORRESPONDE",IF(J22="Emitida",IF(P22&gt;0,"EMITIDA","PENDIENTE"),"NO CORRESPONDE")))</f>
        <v>EMITIDA</v>
      </c>
      <c r="X22" s="29"/>
      <c r="Y22" s="17" t="s">
        <v>118</v>
      </c>
      <c r="Z22" s="30">
        <v>45680</v>
      </c>
      <c r="AA22" s="10" t="s">
        <v>124</v>
      </c>
      <c r="AB22" s="19">
        <v>526</v>
      </c>
      <c r="AC22" s="20">
        <v>15</v>
      </c>
      <c r="AD22" s="18">
        <f>DATA[[#This Row],[FECHA DE EMISION]]+DATA[[#This Row],[CONDICION DE PAGO]]</f>
        <v>45695</v>
      </c>
      <c r="AE22" s="23">
        <f>IF(DATA[[#This Row],[MONEDA]]="USD",VLOOKUP(DATA[[#This Row],[COMBINADA]],#REF!,11,0),1)</f>
        <v>1</v>
      </c>
      <c r="AF22" s="39" t="str">
        <f>IF(DATA[[#This Row],[SERIE2]]="-","NO CORRESPONDE",IF(W22="NO CORRESPONDE","NO CORRESPONDE",IF(Z22&gt;0,"FACTURADO","PENDIENTE")))</f>
        <v>FACTURADO</v>
      </c>
      <c r="AG22" s="27">
        <f>IFERROR(VLOOKUP(DATA[[#This Row],[COMBINADA]],#REF!,6,0),0)</f>
        <v>0</v>
      </c>
      <c r="AH22" s="125">
        <f>IFERROR(VLOOKUP(DATA[[#This Row],[COMBINADA]],#REF!,9,0),0)/COUNTIFS(DATA[COMBINADA],DATA[[#This Row],[COMBINADA]])</f>
        <v>0</v>
      </c>
      <c r="AI22" s="27">
        <f>IFERROR(VLOOKUP(DATA[[#This Row],[COMBINADA]],#REF!,6,0),0)</f>
        <v>0</v>
      </c>
      <c r="AJ22" s="125">
        <f>IFERROR(VLOOKUP(DATA[[#This Row],[COMBINADA]],#REF!,9,0),0)/COUNTIFS(DATA[COMBINADA],DATA[[#This Row],[COMBINADA]])</f>
        <v>0</v>
      </c>
      <c r="AK22" s="27">
        <f>IFERROR(VLOOKUP(DATA[[#This Row],[COMBINADA]],#REF!,6,0),0)</f>
        <v>0</v>
      </c>
      <c r="AL22" s="125">
        <f>IFERROR(VLOOKUP(DATA[[#This Row],[COMBINADA]],#REF!,9,0),0)/COUNTIFS(DATA[COMBINADA],DATA[[#This Row],[COMBINADA]])</f>
        <v>0</v>
      </c>
      <c r="AM22" s="27">
        <f>IFERROR(VLOOKUP(DATA[[#This Row],[COMBINADA]],#REF!,6,0),0)</f>
        <v>0</v>
      </c>
      <c r="AN22" s="125">
        <f>IFERROR(VLOOKUP(DATA[[#This Row],[COMBINADA]],#REF!,9,0),0)/COUNTIFS(DATA[COMBINADA],DATA[[#This Row],[COMBINADA]])</f>
        <v>0</v>
      </c>
      <c r="AO22" s="27">
        <f>IFERROR(VLOOKUP(DATA[[#This Row],[COMBINADA]],#REF!,6,0),0)</f>
        <v>0</v>
      </c>
      <c r="AP22" s="125">
        <f>IFERROR(VLOOKUP(DATA[[#This Row],[COMBINADA]],#REF!,9,0),0)/COUNTIFS(DATA[COMBINADA],DATA[[#This Row],[COMBINADA]])</f>
        <v>0</v>
      </c>
      <c r="AQ2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442.58666666666664</v>
      </c>
      <c r="AR22" s="26" t="str">
        <f>IFERROR(IF(DATA[[#This Row],[estado_fact]]="FACTURADO",VLOOKUP(DATA[[#This Row],[SERIE2]]&amp;"-"&amp;DATA[[#This Row],[NUMERO]],#REF!,34,0),"NO CORRESPONDE"),"NO CORRESPONDE")</f>
        <v>NO CORRESPONDE</v>
      </c>
      <c r="AS22" s="22" t="str">
        <f>IF(DATA[[#This Row],[fecha_fs]]&gt;0,TEXT(DATA[[#This Row],[fecha_fs]],"Mmmm"),0)</f>
        <v>Enero</v>
      </c>
      <c r="AT22" s="22" t="str">
        <f>DATA[[#This Row],[SERIE2]]&amp;"-"&amp;DATA[[#This Row],[NUMERO]]</f>
        <v>FE01-526</v>
      </c>
      <c r="AU22" s="28">
        <f>DATA[[#This Row],[TOTAL]]*DATA[[#This Row],[T.C.]]</f>
        <v>427.32</v>
      </c>
      <c r="AV22" s="6">
        <f>DATA[[#This Row],[FECHA DE VAL.]]</f>
        <v>45660</v>
      </c>
      <c r="AW22" s="6">
        <f>DATA[[#This Row],[FECHA DE EMISION]]</f>
        <v>45680</v>
      </c>
      <c r="AX22" s="6">
        <f>DATA[[#This Row],[F1]]</f>
        <v>0</v>
      </c>
      <c r="AY22" s="20">
        <f>IF(AV22-DATA[[#This Row],[fecha_fs]]&lt;0,0,AV22-DATA[[#This Row],[fecha_fs]])</f>
        <v>1</v>
      </c>
      <c r="AZ22" s="20">
        <f t="shared" si="1"/>
        <v>20</v>
      </c>
      <c r="BA22" s="20">
        <f t="shared" si="2"/>
        <v>0</v>
      </c>
      <c r="BB22" s="195">
        <f>IFERROR(SUM(DATA[[#This Row],[fs_val_ttf]:[fact_pago_ttf]]),0)</f>
        <v>21</v>
      </c>
      <c r="BC22" s="187">
        <v>45666</v>
      </c>
      <c r="BD22" s="187">
        <v>45671</v>
      </c>
      <c r="BE22" s="187">
        <v>45687</v>
      </c>
      <c r="BF22" s="187">
        <v>45700</v>
      </c>
      <c r="BG22" s="20">
        <f>IFERROR(IF(BC22-DATA[[#This Row],[fecha_fs]]&lt;0,0,BC22-DATA[[#This Row],[fecha_fs]]),0)</f>
        <v>7</v>
      </c>
      <c r="BH22" s="20">
        <f t="shared" si="6"/>
        <v>5</v>
      </c>
      <c r="BI22" s="20">
        <f t="shared" si="7"/>
        <v>16</v>
      </c>
      <c r="BJ22" s="20">
        <f t="shared" si="8"/>
        <v>13</v>
      </c>
      <c r="BK22" s="189">
        <f>IFERROR(SUM(DATA[[#This Row],[fs_fd_ttd]:[fend_fenf_ttd]]),0)</f>
        <v>41</v>
      </c>
      <c r="BL22" s="20" t="str">
        <f>IF(DATA[[#This Row],[fecha_fs]]&gt;0,TEXT(DATA[[#This Row],[fecha_fs]],"YYYY"),0)</f>
        <v>2025</v>
      </c>
      <c r="BM22" s="221" t="b">
        <v>1</v>
      </c>
      <c r="BN22" s="278">
        <f>COUNTIF(DATA[[#This Row],[tiempo_td]], "&lt;=15")</f>
        <v>0</v>
      </c>
      <c r="BO22" s="222"/>
    </row>
    <row r="23" spans="1:67" ht="30.6" customHeight="1" x14ac:dyDescent="0.25">
      <c r="A23" s="4">
        <v>20100192064</v>
      </c>
      <c r="B23" s="5" t="s">
        <v>60</v>
      </c>
      <c r="C23" s="52" t="s">
        <v>65</v>
      </c>
      <c r="D23" s="4" t="s">
        <v>120</v>
      </c>
      <c r="E23" s="5" t="s">
        <v>3</v>
      </c>
      <c r="F23" s="24">
        <v>45659</v>
      </c>
      <c r="G23" s="7" t="s">
        <v>142</v>
      </c>
      <c r="H23" s="25">
        <f t="shared" si="0"/>
        <v>2</v>
      </c>
      <c r="I23" s="67">
        <v>1025</v>
      </c>
      <c r="J23" s="8" t="s">
        <v>115</v>
      </c>
      <c r="K23" s="9" t="s">
        <v>121</v>
      </c>
      <c r="L23" s="10" t="s">
        <v>117</v>
      </c>
      <c r="M23" s="11">
        <v>500</v>
      </c>
      <c r="N23" s="12" t="s">
        <v>143</v>
      </c>
      <c r="O23" s="6">
        <v>45684</v>
      </c>
      <c r="P23" s="57">
        <v>3250</v>
      </c>
      <c r="Q23" s="14" t="s">
        <v>123</v>
      </c>
      <c r="R23" s="15">
        <f>(DATA[[#This Row],[cantidad_fs]]/1000)*(37+81.01)</f>
        <v>59.005000000000003</v>
      </c>
      <c r="S23" s="15">
        <v>103.6</v>
      </c>
      <c r="T23" s="15">
        <f>DATA[[#This Row],[C. DF]]+DATA[[#This Row],[C.OPE.]]</f>
        <v>162.60499999999999</v>
      </c>
      <c r="U23" s="15">
        <f>DATA[[#This Row],[SUB TOTAL]]*0.18</f>
        <v>29.268899999999999</v>
      </c>
      <c r="V23" s="15">
        <f>IFERROR(ROUND(DATA[[#This Row],[SUB TOTAL]]+DATA[[#This Row],[IGV]],2),0)</f>
        <v>191.87</v>
      </c>
      <c r="W23" s="16" t="str">
        <f>IF(DATA[[#This Row],[VALORIZACIÓN ]]="-","NO CORRESPONDE",IF(OR(A23=20558226979,A23=10470707866,A23=20111157058,A23=20100226902),"NO CORRESPONDE",IF(J23="Emitida",IF(P23&gt;0,"EMITIDA","PENDIENTE"),"NO CORRESPONDE")))</f>
        <v>EMITIDA</v>
      </c>
      <c r="X23" s="29" t="s">
        <v>144</v>
      </c>
      <c r="Y23" s="17" t="s">
        <v>118</v>
      </c>
      <c r="Z23" s="30">
        <v>45686</v>
      </c>
      <c r="AA23" s="10" t="s">
        <v>124</v>
      </c>
      <c r="AB23" s="19">
        <v>530</v>
      </c>
      <c r="AC23" s="20">
        <v>30</v>
      </c>
      <c r="AD23" s="18">
        <f>DATA[[#This Row],[FECHA DE EMISION]]+DATA[[#This Row],[CONDICION DE PAGO]]</f>
        <v>45716</v>
      </c>
      <c r="AE23" s="23" t="e">
        <f>IF(DATA[[#This Row],[MONEDA]]="USD",VLOOKUP(DATA[[#This Row],[COMBINADA]],#REF!,11,0),1)</f>
        <v>#REF!</v>
      </c>
      <c r="AF23" s="39" t="str">
        <f>IF(DATA[[#This Row],[SERIE2]]="-","NO CORRESPONDE",IF(W23="NO CORRESPONDE","NO CORRESPONDE",IF(Z23&gt;0,"FACTURADO","PENDIENTE")))</f>
        <v>FACTURADO</v>
      </c>
      <c r="AG23" s="27">
        <f>IFERROR(VLOOKUP(DATA[[#This Row],[COMBINADA]],#REF!,6,0),0)</f>
        <v>0</v>
      </c>
      <c r="AH23" s="125">
        <f>IFERROR(VLOOKUP(DATA[[#This Row],[COMBINADA]],#REF!,9,0),0)/COUNTIFS(DATA[COMBINADA],DATA[[#This Row],[COMBINADA]])</f>
        <v>0</v>
      </c>
      <c r="AI23" s="27">
        <f>IFERROR(VLOOKUP(DATA[[#This Row],[COMBINADA]],#REF!,6,0),0)</f>
        <v>0</v>
      </c>
      <c r="AJ23" s="125">
        <f>IFERROR(VLOOKUP(DATA[[#This Row],[COMBINADA]],#REF!,9,0),0)/COUNTIFS(DATA[COMBINADA],DATA[[#This Row],[COMBINADA]])</f>
        <v>0</v>
      </c>
      <c r="AK23" s="27">
        <f>IFERROR(VLOOKUP(DATA[[#This Row],[COMBINADA]],#REF!,6,0),0)</f>
        <v>0</v>
      </c>
      <c r="AL23" s="125">
        <f>IFERROR(VLOOKUP(DATA[[#This Row],[COMBINADA]],#REF!,9,0),0)/COUNTIFS(DATA[COMBINADA],DATA[[#This Row],[COMBINADA]])</f>
        <v>0</v>
      </c>
      <c r="AM23" s="27">
        <f>IFERROR(VLOOKUP(DATA[[#This Row],[COMBINADA]],#REF!,6,0),0)</f>
        <v>0</v>
      </c>
      <c r="AN23" s="125">
        <f>IFERROR(VLOOKUP(DATA[[#This Row],[COMBINADA]],#REF!,9,0),0)/COUNTIFS(DATA[COMBINADA],DATA[[#This Row],[COMBINADA]])</f>
        <v>0</v>
      </c>
      <c r="AO23" s="27">
        <f>IFERROR(VLOOKUP(DATA[[#This Row],[COMBINADA]],#REF!,6,0),0)</f>
        <v>0</v>
      </c>
      <c r="AP23" s="125">
        <f>IFERROR(VLOOKUP(DATA[[#This Row],[COMBINADA]],#REF!,9,0),0)/COUNTIFS(DATA[COMBINADA],DATA[[#This Row],[COMBINADA]])</f>
        <v>0</v>
      </c>
      <c r="AQ2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830.60666666666657</v>
      </c>
      <c r="AR23" s="26" t="str">
        <f>IFERROR(IF(DATA[[#This Row],[estado_fact]]="FACTURADO",VLOOKUP(DATA[[#This Row],[SERIE2]]&amp;"-"&amp;DATA[[#This Row],[NUMERO]],#REF!,34,0),"NO CORRESPONDE"),"NO CORRESPONDE")</f>
        <v>NO CORRESPONDE</v>
      </c>
      <c r="AS23" s="22" t="str">
        <f>IF(DATA[[#This Row],[fecha_fs]]&gt;0,TEXT(DATA[[#This Row],[fecha_fs]],"Mmmm"),0)</f>
        <v>Enero</v>
      </c>
      <c r="AT23" s="22" t="str">
        <f>DATA[[#This Row],[SERIE2]]&amp;"-"&amp;DATA[[#This Row],[NUMERO]]</f>
        <v>FE01-530</v>
      </c>
      <c r="AU23" s="28" t="e">
        <f>DATA[[#This Row],[TOTAL]]*DATA[[#This Row],[T.C.]]</f>
        <v>#REF!</v>
      </c>
      <c r="AV23" s="6">
        <f>DATA[[#This Row],[FECHA DE VAL.]]</f>
        <v>45684</v>
      </c>
      <c r="AW23" s="6">
        <f>DATA[[#This Row],[FECHA DE EMISION]]</f>
        <v>45686</v>
      </c>
      <c r="AX23" s="6">
        <f>DATA[[#This Row],[F1]]</f>
        <v>0</v>
      </c>
      <c r="AY23" s="20">
        <f>IF(AV23-DATA[[#This Row],[fecha_fs]]&lt;0,0,AV23-DATA[[#This Row],[fecha_fs]])</f>
        <v>25</v>
      </c>
      <c r="AZ23" s="20">
        <f t="shared" si="1"/>
        <v>2</v>
      </c>
      <c r="BA23" s="20">
        <f t="shared" si="2"/>
        <v>0</v>
      </c>
      <c r="BB23" s="195">
        <f>IFERROR(SUM(DATA[[#This Row],[fs_val_ttf]:[fact_pago_ttf]]),0)</f>
        <v>27</v>
      </c>
      <c r="BC23" s="185">
        <v>45671</v>
      </c>
      <c r="BD23" s="185">
        <v>45679</v>
      </c>
      <c r="BE23" s="185">
        <v>45698</v>
      </c>
      <c r="BF23" s="185">
        <v>45758</v>
      </c>
      <c r="BG23" s="20">
        <f>IFERROR(IF(BC23-DATA[[#This Row],[fecha_fs]]&lt;0,0,BC23-DATA[[#This Row],[fecha_fs]]),0)</f>
        <v>12</v>
      </c>
      <c r="BH23" s="20">
        <f t="shared" si="6"/>
        <v>8</v>
      </c>
      <c r="BI23" s="20">
        <f t="shared" si="7"/>
        <v>19</v>
      </c>
      <c r="BJ23" s="20">
        <f t="shared" si="8"/>
        <v>60</v>
      </c>
      <c r="BK23" s="189">
        <f>IFERROR(SUM(DATA[[#This Row],[fs_fd_ttd]:[fend_fenf_ttd]]),0)</f>
        <v>99</v>
      </c>
      <c r="BL23" s="20" t="str">
        <f>IF(DATA[[#This Row],[fecha_fs]]&gt;0,TEXT(DATA[[#This Row],[fecha_fs]],"YYYY"),0)</f>
        <v>2025</v>
      </c>
      <c r="BM23" s="221" t="b">
        <v>1</v>
      </c>
      <c r="BN23" s="278">
        <f>COUNTIF(DATA[[#This Row],[tiempo_td]], "&lt;=15")</f>
        <v>0</v>
      </c>
      <c r="BO23" s="222"/>
    </row>
    <row r="24" spans="1:67" ht="30.6" customHeight="1" x14ac:dyDescent="0.25">
      <c r="A24" s="4">
        <v>20100192064</v>
      </c>
      <c r="B24" s="5" t="s">
        <v>60</v>
      </c>
      <c r="C24" s="52" t="s">
        <v>65</v>
      </c>
      <c r="D24" s="4" t="s">
        <v>120</v>
      </c>
      <c r="E24" s="5" t="s">
        <v>3</v>
      </c>
      <c r="F24" s="24">
        <v>45659</v>
      </c>
      <c r="G24" s="7" t="s">
        <v>142</v>
      </c>
      <c r="H24" s="25">
        <f t="shared" si="0"/>
        <v>2</v>
      </c>
      <c r="I24" s="67">
        <v>1026</v>
      </c>
      <c r="J24" s="8" t="s">
        <v>115</v>
      </c>
      <c r="K24" s="9" t="s">
        <v>121</v>
      </c>
      <c r="L24" s="10" t="s">
        <v>117</v>
      </c>
      <c r="M24" s="11">
        <v>320</v>
      </c>
      <c r="N24" s="12" t="s">
        <v>143</v>
      </c>
      <c r="O24" s="6">
        <v>45684</v>
      </c>
      <c r="P24" s="57">
        <v>3250</v>
      </c>
      <c r="Q24" s="14" t="s">
        <v>123</v>
      </c>
      <c r="R24" s="15">
        <f>(DATA[[#This Row],[cantidad_fs]]/1000)*(37+81.01)</f>
        <v>37.763200000000005</v>
      </c>
      <c r="S24" s="15">
        <v>103.6</v>
      </c>
      <c r="T24" s="15">
        <f>DATA[[#This Row],[C. DF]]+DATA[[#This Row],[C.OPE.]]</f>
        <v>141.36320000000001</v>
      </c>
      <c r="U24" s="15">
        <f>DATA[[#This Row],[SUB TOTAL]]*0.18</f>
        <v>25.445376</v>
      </c>
      <c r="V24" s="15">
        <f>IFERROR(ROUND(DATA[[#This Row],[SUB TOTAL]]+DATA[[#This Row],[IGV]],2),0)</f>
        <v>166.81</v>
      </c>
      <c r="W24" s="16" t="str">
        <f>IF(DATA[[#This Row],[VALORIZACIÓN ]]="-","NO CORRESPONDE",IF(OR(A24=20558226979,A24=10470707866,A24=20111157058,A24=20100226902),"NO CORRESPONDE",IF(J24="Emitida",IF(P24&gt;0,"EMITIDA","PENDIENTE"),"NO CORRESPONDE")))</f>
        <v>EMITIDA</v>
      </c>
      <c r="X24" s="29" t="s">
        <v>144</v>
      </c>
      <c r="Y24" s="17" t="s">
        <v>118</v>
      </c>
      <c r="Z24" s="30">
        <v>45686</v>
      </c>
      <c r="AA24" s="10" t="s">
        <v>124</v>
      </c>
      <c r="AB24" s="19">
        <v>531</v>
      </c>
      <c r="AC24" s="20">
        <v>30</v>
      </c>
      <c r="AD24" s="18">
        <f>DATA[[#This Row],[FECHA DE EMISION]]+DATA[[#This Row],[CONDICION DE PAGO]]</f>
        <v>45716</v>
      </c>
      <c r="AE24" s="23" t="e">
        <f>IF(DATA[[#This Row],[MONEDA]]="USD",VLOOKUP(DATA[[#This Row],[COMBINADA]],#REF!,11,0),1)</f>
        <v>#REF!</v>
      </c>
      <c r="AF24" s="39" t="str">
        <f>IF(DATA[[#This Row],[SERIE2]]="-","NO CORRESPONDE",IF(W24="NO CORRESPONDE","NO CORRESPONDE",IF(Z24&gt;0,"FACTURADO","PENDIENTE")))</f>
        <v>FACTURADO</v>
      </c>
      <c r="AG24" s="27">
        <f>IFERROR(VLOOKUP(DATA[[#This Row],[COMBINADA]],#REF!,6,0),0)</f>
        <v>0</v>
      </c>
      <c r="AH24" s="125">
        <f>IFERROR(VLOOKUP(DATA[[#This Row],[COMBINADA]],#REF!,9,0),0)/COUNTIFS(DATA[COMBINADA],DATA[[#This Row],[COMBINADA]])</f>
        <v>0</v>
      </c>
      <c r="AI24" s="27">
        <f>IFERROR(VLOOKUP(DATA[[#This Row],[COMBINADA]],#REF!,6,0),0)</f>
        <v>0</v>
      </c>
      <c r="AJ24" s="125">
        <f>IFERROR(VLOOKUP(DATA[[#This Row],[COMBINADA]],#REF!,9,0),0)/COUNTIFS(DATA[COMBINADA],DATA[[#This Row],[COMBINADA]])</f>
        <v>0</v>
      </c>
      <c r="AK24" s="27">
        <f>IFERROR(VLOOKUP(DATA[[#This Row],[COMBINADA]],#REF!,6,0),0)</f>
        <v>0</v>
      </c>
      <c r="AL24" s="125">
        <f>IFERROR(VLOOKUP(DATA[[#This Row],[COMBINADA]],#REF!,9,0),0)/COUNTIFS(DATA[COMBINADA],DATA[[#This Row],[COMBINADA]])</f>
        <v>0</v>
      </c>
      <c r="AM24" s="27">
        <f>IFERROR(VLOOKUP(DATA[[#This Row],[COMBINADA]],#REF!,6,0),0)</f>
        <v>0</v>
      </c>
      <c r="AN24" s="125">
        <f>IFERROR(VLOOKUP(DATA[[#This Row],[COMBINADA]],#REF!,9,0),0)/COUNTIFS(DATA[COMBINADA],DATA[[#This Row],[COMBINADA]])</f>
        <v>0</v>
      </c>
      <c r="AO24" s="27">
        <f>IFERROR(VLOOKUP(DATA[[#This Row],[COMBINADA]],#REF!,6,0),0)</f>
        <v>0</v>
      </c>
      <c r="AP24" s="125">
        <f>IFERROR(VLOOKUP(DATA[[#This Row],[COMBINADA]],#REF!,9,0),0)/COUNTIFS(DATA[COMBINADA],DATA[[#This Row],[COMBINADA]])</f>
        <v>0</v>
      </c>
      <c r="AQ2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256.16428571428571</v>
      </c>
      <c r="AR24" s="26" t="str">
        <f>IFERROR(IF(DATA[[#This Row],[estado_fact]]="FACTURADO",VLOOKUP(DATA[[#This Row],[SERIE2]]&amp;"-"&amp;DATA[[#This Row],[NUMERO]],#REF!,34,0),"NO CORRESPONDE"),"NO CORRESPONDE")</f>
        <v>NO CORRESPONDE</v>
      </c>
      <c r="AS24" s="22" t="str">
        <f>IF(DATA[[#This Row],[fecha_fs]]&gt;0,TEXT(DATA[[#This Row],[fecha_fs]],"Mmmm"),0)</f>
        <v>Enero</v>
      </c>
      <c r="AT24" s="22" t="str">
        <f>DATA[[#This Row],[SERIE2]]&amp;"-"&amp;DATA[[#This Row],[NUMERO]]</f>
        <v>FE01-531</v>
      </c>
      <c r="AU24" s="28" t="e">
        <f>DATA[[#This Row],[TOTAL]]*DATA[[#This Row],[T.C.]]</f>
        <v>#REF!</v>
      </c>
      <c r="AV24" s="6">
        <f>DATA[[#This Row],[FECHA DE VAL.]]</f>
        <v>45684</v>
      </c>
      <c r="AW24" s="6">
        <f>DATA[[#This Row],[FECHA DE EMISION]]</f>
        <v>45686</v>
      </c>
      <c r="AX24" s="6">
        <f>DATA[[#This Row],[F1]]</f>
        <v>0</v>
      </c>
      <c r="AY24" s="20">
        <f>IF(AV24-DATA[[#This Row],[fecha_fs]]&lt;0,0,AV24-DATA[[#This Row],[fecha_fs]])</f>
        <v>25</v>
      </c>
      <c r="AZ24" s="20">
        <f t="shared" si="1"/>
        <v>2</v>
      </c>
      <c r="BA24" s="20">
        <f t="shared" si="2"/>
        <v>0</v>
      </c>
      <c r="BB24" s="195">
        <f>IFERROR(SUM(DATA[[#This Row],[fs_val_ttf]:[fact_pago_ttf]]),0)</f>
        <v>27</v>
      </c>
      <c r="BC24" s="185">
        <v>45671</v>
      </c>
      <c r="BD24" s="185">
        <v>45679</v>
      </c>
      <c r="BE24" s="185">
        <v>45698</v>
      </c>
      <c r="BF24" s="185">
        <v>45758</v>
      </c>
      <c r="BG24" s="20">
        <f>IFERROR(IF(BC24-DATA[[#This Row],[fecha_fs]]&lt;0,0,BC24-DATA[[#This Row],[fecha_fs]]),0)</f>
        <v>12</v>
      </c>
      <c r="BH24" s="20">
        <f t="shared" si="6"/>
        <v>8</v>
      </c>
      <c r="BI24" s="20">
        <f t="shared" si="7"/>
        <v>19</v>
      </c>
      <c r="BJ24" s="20">
        <f t="shared" si="8"/>
        <v>60</v>
      </c>
      <c r="BK24" s="189">
        <f>IFERROR(SUM(DATA[[#This Row],[fs_fd_ttd]:[fend_fenf_ttd]]),0)</f>
        <v>99</v>
      </c>
      <c r="BL24" s="20" t="str">
        <f>IF(DATA[[#This Row],[fecha_fs]]&gt;0,TEXT(DATA[[#This Row],[fecha_fs]],"YYYY"),0)</f>
        <v>2025</v>
      </c>
      <c r="BM24" s="221" t="b">
        <v>1</v>
      </c>
      <c r="BN24" s="278">
        <f>COUNTIF(DATA[[#This Row],[tiempo_td]], "&lt;=15")</f>
        <v>0</v>
      </c>
      <c r="BO24" s="222"/>
    </row>
    <row r="25" spans="1:67" ht="30.6" customHeight="1" x14ac:dyDescent="0.25">
      <c r="A25" s="4">
        <v>20100192064</v>
      </c>
      <c r="B25" s="5" t="s">
        <v>60</v>
      </c>
      <c r="C25" s="52" t="s">
        <v>63</v>
      </c>
      <c r="D25" s="4" t="s">
        <v>112</v>
      </c>
      <c r="E25" s="5" t="s">
        <v>1</v>
      </c>
      <c r="F25" s="24">
        <v>45659</v>
      </c>
      <c r="G25" s="7" t="s">
        <v>142</v>
      </c>
      <c r="H25" s="25">
        <f t="shared" si="0"/>
        <v>2</v>
      </c>
      <c r="I25" s="67">
        <v>1027</v>
      </c>
      <c r="J25" s="8" t="s">
        <v>115</v>
      </c>
      <c r="K25" s="9" t="s">
        <v>116</v>
      </c>
      <c r="L25" s="10" t="s">
        <v>117</v>
      </c>
      <c r="M25" s="11">
        <v>10</v>
      </c>
      <c r="N25" s="12" t="s">
        <v>145</v>
      </c>
      <c r="O25" s="6">
        <v>45684</v>
      </c>
      <c r="P25" s="57">
        <v>3253</v>
      </c>
      <c r="Q25" s="14" t="s">
        <v>123</v>
      </c>
      <c r="R25" s="15">
        <f>(DATA[[#This Row],[cantidad_fs]]/1000)*(147+82.74)</f>
        <v>2.2974000000000001</v>
      </c>
      <c r="S25" s="15">
        <v>148.53</v>
      </c>
      <c r="T25" s="15">
        <f>DATA[[#This Row],[C. DF]]+DATA[[#This Row],[C.OPE.]]</f>
        <v>150.82740000000001</v>
      </c>
      <c r="U25" s="15">
        <f>DATA[[#This Row],[SUB TOTAL]]*0.18</f>
        <v>27.148932000000002</v>
      </c>
      <c r="V25" s="15">
        <f>IFERROR(ROUND(DATA[[#This Row],[SUB TOTAL]]+DATA[[#This Row],[IGV]],2),0)</f>
        <v>177.98</v>
      </c>
      <c r="W25" s="16" t="str">
        <f>IF(DATA[[#This Row],[VALORIZACIÓN ]]="-","NO CORRESPONDE",IF(OR(A25=20558226979,A25=10470707866,A25=20111157058,A25=20100226902),"NO CORRESPONDE",IF(J25="Emitida",IF(P25&gt;0,"EMITIDA","PENDIENTE"),"NO CORRESPONDE")))</f>
        <v>EMITIDA</v>
      </c>
      <c r="X25" s="29" t="s">
        <v>144</v>
      </c>
      <c r="Y25" s="17" t="s">
        <v>118</v>
      </c>
      <c r="Z25" s="30">
        <v>45686</v>
      </c>
      <c r="AA25" s="10" t="s">
        <v>124</v>
      </c>
      <c r="AB25" s="19">
        <v>531</v>
      </c>
      <c r="AC25" s="20">
        <v>30</v>
      </c>
      <c r="AD25" s="18">
        <f>DATA[[#This Row],[FECHA DE EMISION]]+DATA[[#This Row],[CONDICION DE PAGO]]</f>
        <v>45716</v>
      </c>
      <c r="AE25" s="23" t="e">
        <f>IF(DATA[[#This Row],[MONEDA]]="USD",VLOOKUP(DATA[[#This Row],[COMBINADA]],#REF!,11,0),1)</f>
        <v>#REF!</v>
      </c>
      <c r="AF25" s="39" t="str">
        <f>IF(DATA[[#This Row],[SERIE2]]="-","NO CORRESPONDE",IF(W25="NO CORRESPONDE","NO CORRESPONDE",IF(Z25&gt;0,"FACTURADO","PENDIENTE")))</f>
        <v>FACTURADO</v>
      </c>
      <c r="AG25" s="27">
        <f>IFERROR(VLOOKUP(DATA[[#This Row],[COMBINADA]],#REF!,6,0),0)</f>
        <v>0</v>
      </c>
      <c r="AH25" s="125">
        <f>IFERROR(VLOOKUP(DATA[[#This Row],[COMBINADA]],#REF!,9,0),0)/COUNTIFS(DATA[COMBINADA],DATA[[#This Row],[COMBINADA]])</f>
        <v>0</v>
      </c>
      <c r="AI25" s="27">
        <f>IFERROR(VLOOKUP(DATA[[#This Row],[COMBINADA]],#REF!,6,0),0)</f>
        <v>0</v>
      </c>
      <c r="AJ25" s="125">
        <f>IFERROR(VLOOKUP(DATA[[#This Row],[COMBINADA]],#REF!,9,0),0)/COUNTIFS(DATA[COMBINADA],DATA[[#This Row],[COMBINADA]])</f>
        <v>0</v>
      </c>
      <c r="AK25" s="27">
        <f>IFERROR(VLOOKUP(DATA[[#This Row],[COMBINADA]],#REF!,6,0),0)</f>
        <v>0</v>
      </c>
      <c r="AL25" s="125">
        <f>IFERROR(VLOOKUP(DATA[[#This Row],[COMBINADA]],#REF!,9,0),0)/COUNTIFS(DATA[COMBINADA],DATA[[#This Row],[COMBINADA]])</f>
        <v>0</v>
      </c>
      <c r="AM25" s="27">
        <f>IFERROR(VLOOKUP(DATA[[#This Row],[COMBINADA]],#REF!,6,0),0)</f>
        <v>0</v>
      </c>
      <c r="AN25" s="125">
        <f>IFERROR(VLOOKUP(DATA[[#This Row],[COMBINADA]],#REF!,9,0),0)/COUNTIFS(DATA[COMBINADA],DATA[[#This Row],[COMBINADA]])</f>
        <v>0</v>
      </c>
      <c r="AO25" s="27">
        <f>IFERROR(VLOOKUP(DATA[[#This Row],[COMBINADA]],#REF!,6,0),0)</f>
        <v>0</v>
      </c>
      <c r="AP25" s="125">
        <f>IFERROR(VLOOKUP(DATA[[#This Row],[COMBINADA]],#REF!,9,0),0)/COUNTIFS(DATA[COMBINADA],DATA[[#This Row],[COMBINADA]])</f>
        <v>0</v>
      </c>
      <c r="AQ2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256.16428571428571</v>
      </c>
      <c r="AR25" s="26" t="str">
        <f>IFERROR(IF(DATA[[#This Row],[estado_fact]]="FACTURADO",VLOOKUP(DATA[[#This Row],[SERIE2]]&amp;"-"&amp;DATA[[#This Row],[NUMERO]],#REF!,34,0),"NO CORRESPONDE"),"NO CORRESPONDE")</f>
        <v>NO CORRESPONDE</v>
      </c>
      <c r="AS25" s="22" t="str">
        <f>IF(DATA[[#This Row],[fecha_fs]]&gt;0,TEXT(DATA[[#This Row],[fecha_fs]],"Mmmm"),0)</f>
        <v>Enero</v>
      </c>
      <c r="AT25" s="22" t="str">
        <f>DATA[[#This Row],[SERIE2]]&amp;"-"&amp;DATA[[#This Row],[NUMERO]]</f>
        <v>FE01-531</v>
      </c>
      <c r="AU25" s="28" t="e">
        <f>DATA[[#This Row],[TOTAL]]*DATA[[#This Row],[T.C.]]</f>
        <v>#REF!</v>
      </c>
      <c r="AV25" s="6">
        <f>DATA[[#This Row],[FECHA DE VAL.]]</f>
        <v>45684</v>
      </c>
      <c r="AW25" s="6">
        <f>DATA[[#This Row],[FECHA DE EMISION]]</f>
        <v>45686</v>
      </c>
      <c r="AX25" s="6">
        <f>DATA[[#This Row],[F1]]</f>
        <v>0</v>
      </c>
      <c r="AY25" s="20">
        <f>IF(AV25-DATA[[#This Row],[fecha_fs]]&lt;0,0,AV25-DATA[[#This Row],[fecha_fs]])</f>
        <v>25</v>
      </c>
      <c r="AZ25" s="20">
        <f t="shared" si="1"/>
        <v>2</v>
      </c>
      <c r="BA25" s="20">
        <f t="shared" si="2"/>
        <v>0</v>
      </c>
      <c r="BB25" s="195">
        <f>IFERROR(SUM(DATA[[#This Row],[fs_val_ttf]:[fact_pago_ttf]]),0)</f>
        <v>27</v>
      </c>
      <c r="BC25" s="185">
        <v>45672</v>
      </c>
      <c r="BD25" s="185">
        <v>45685</v>
      </c>
      <c r="BE25" s="185">
        <v>45687</v>
      </c>
      <c r="BF25" s="185">
        <v>45758</v>
      </c>
      <c r="BG25" s="20">
        <f>IFERROR(IF(BC25-DATA[[#This Row],[fecha_fs]]&lt;0,0,BC25-DATA[[#This Row],[fecha_fs]]),0)</f>
        <v>13</v>
      </c>
      <c r="BH25" s="20">
        <f t="shared" si="6"/>
        <v>13</v>
      </c>
      <c r="BI25" s="20">
        <f t="shared" si="7"/>
        <v>2</v>
      </c>
      <c r="BJ25" s="20">
        <f t="shared" si="8"/>
        <v>71</v>
      </c>
      <c r="BK25" s="189">
        <f>IFERROR(SUM(DATA[[#This Row],[fs_fd_ttd]:[fend_fenf_ttd]]),0)</f>
        <v>99</v>
      </c>
      <c r="BL25" s="20" t="str">
        <f>IF(DATA[[#This Row],[fecha_fs]]&gt;0,TEXT(DATA[[#This Row],[fecha_fs]],"YYYY"),0)</f>
        <v>2025</v>
      </c>
      <c r="BM25" s="221" t="b">
        <v>1</v>
      </c>
      <c r="BN25" s="278">
        <f>COUNTIF(DATA[[#This Row],[tiempo_td]], "&lt;=15")</f>
        <v>0</v>
      </c>
      <c r="BO25" s="222"/>
    </row>
    <row r="26" spans="1:67" ht="30.6" customHeight="1" x14ac:dyDescent="0.25">
      <c r="A26" s="4">
        <v>20100192064</v>
      </c>
      <c r="B26" s="5" t="s">
        <v>60</v>
      </c>
      <c r="C26" s="52" t="s">
        <v>63</v>
      </c>
      <c r="D26" s="4" t="s">
        <v>120</v>
      </c>
      <c r="E26" s="5" t="s">
        <v>3</v>
      </c>
      <c r="F26" s="24">
        <v>45659</v>
      </c>
      <c r="G26" s="7" t="s">
        <v>142</v>
      </c>
      <c r="H26" s="25">
        <f t="shared" si="0"/>
        <v>2</v>
      </c>
      <c r="I26" s="67">
        <v>1028</v>
      </c>
      <c r="J26" s="8" t="s">
        <v>115</v>
      </c>
      <c r="K26" s="9" t="s">
        <v>121</v>
      </c>
      <c r="L26" s="10" t="s">
        <v>117</v>
      </c>
      <c r="M26" s="11">
        <v>106</v>
      </c>
      <c r="N26" s="12" t="s">
        <v>145</v>
      </c>
      <c r="O26" s="6">
        <v>45684</v>
      </c>
      <c r="P26" s="57">
        <v>3252</v>
      </c>
      <c r="Q26" s="14" t="s">
        <v>123</v>
      </c>
      <c r="R26" s="15">
        <f>(DATA[[#This Row],[cantidad_fs]]/1000)*(37+82.74)</f>
        <v>12.69244</v>
      </c>
      <c r="S26" s="15">
        <v>148.53</v>
      </c>
      <c r="T26" s="15">
        <f>DATA[[#This Row],[C. DF]]+DATA[[#This Row],[C.OPE.]]</f>
        <v>161.22244000000001</v>
      </c>
      <c r="U26" s="15">
        <f>DATA[[#This Row],[SUB TOTAL]]*0.18</f>
        <v>29.020039199999999</v>
      </c>
      <c r="V26" s="15">
        <f>IFERROR(ROUND(DATA[[#This Row],[SUB TOTAL]]+DATA[[#This Row],[IGV]],2),0)</f>
        <v>190.24</v>
      </c>
      <c r="W26" s="16" t="str">
        <f>IF(DATA[[#This Row],[VALORIZACIÓN ]]="-","NO CORRESPONDE",IF(OR(A26=20558226979,A26=10470707866,A26=20111157058,A26=20100226902),"NO CORRESPONDE",IF(J26="Emitida",IF(P26&gt;0,"EMITIDA","PENDIENTE"),"NO CORRESPONDE")))</f>
        <v>EMITIDA</v>
      </c>
      <c r="X26" s="29" t="s">
        <v>144</v>
      </c>
      <c r="Y26" s="17" t="s">
        <v>118</v>
      </c>
      <c r="Z26" s="30">
        <v>45686</v>
      </c>
      <c r="AA26" s="10" t="s">
        <v>124</v>
      </c>
      <c r="AB26" s="19">
        <v>531</v>
      </c>
      <c r="AC26" s="20">
        <v>30</v>
      </c>
      <c r="AD26" s="18">
        <f>DATA[[#This Row],[FECHA DE EMISION]]+DATA[[#This Row],[CONDICION DE PAGO]]</f>
        <v>45716</v>
      </c>
      <c r="AE26" s="23" t="e">
        <f>IF(DATA[[#This Row],[MONEDA]]="USD",VLOOKUP(DATA[[#This Row],[COMBINADA]],#REF!,11,0),1)</f>
        <v>#REF!</v>
      </c>
      <c r="AF26" s="39" t="str">
        <f>IF(DATA[[#This Row],[SERIE2]]="-","NO CORRESPONDE",IF(W26="NO CORRESPONDE","NO CORRESPONDE",IF(Z26&gt;0,"FACTURADO","PENDIENTE")))</f>
        <v>FACTURADO</v>
      </c>
      <c r="AG26" s="27">
        <f>IFERROR(VLOOKUP(DATA[[#This Row],[COMBINADA]],#REF!,6,0),0)</f>
        <v>0</v>
      </c>
      <c r="AH26" s="125">
        <f>IFERROR(VLOOKUP(DATA[[#This Row],[COMBINADA]],#REF!,9,0),0)/COUNTIFS(DATA[COMBINADA],DATA[[#This Row],[COMBINADA]])</f>
        <v>0</v>
      </c>
      <c r="AI26" s="27">
        <f>IFERROR(VLOOKUP(DATA[[#This Row],[COMBINADA]],#REF!,6,0),0)</f>
        <v>0</v>
      </c>
      <c r="AJ26" s="125">
        <f>IFERROR(VLOOKUP(DATA[[#This Row],[COMBINADA]],#REF!,9,0),0)/COUNTIFS(DATA[COMBINADA],DATA[[#This Row],[COMBINADA]])</f>
        <v>0</v>
      </c>
      <c r="AK26" s="27">
        <f>IFERROR(VLOOKUP(DATA[[#This Row],[COMBINADA]],#REF!,6,0),0)</f>
        <v>0</v>
      </c>
      <c r="AL26" s="125">
        <f>IFERROR(VLOOKUP(DATA[[#This Row],[COMBINADA]],#REF!,9,0),0)/COUNTIFS(DATA[COMBINADA],DATA[[#This Row],[COMBINADA]])</f>
        <v>0</v>
      </c>
      <c r="AM26" s="27">
        <f>IFERROR(VLOOKUP(DATA[[#This Row],[COMBINADA]],#REF!,6,0),0)</f>
        <v>0</v>
      </c>
      <c r="AN26" s="125">
        <f>IFERROR(VLOOKUP(DATA[[#This Row],[COMBINADA]],#REF!,9,0),0)/COUNTIFS(DATA[COMBINADA],DATA[[#This Row],[COMBINADA]])</f>
        <v>0</v>
      </c>
      <c r="AO26" s="27">
        <f>IFERROR(VLOOKUP(DATA[[#This Row],[COMBINADA]],#REF!,6,0),0)</f>
        <v>0</v>
      </c>
      <c r="AP26" s="125">
        <f>IFERROR(VLOOKUP(DATA[[#This Row],[COMBINADA]],#REF!,9,0),0)/COUNTIFS(DATA[COMBINADA],DATA[[#This Row],[COMBINADA]])</f>
        <v>0</v>
      </c>
      <c r="AQ2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256.16428571428571</v>
      </c>
      <c r="AR26" s="26" t="str">
        <f>IFERROR(IF(DATA[[#This Row],[estado_fact]]="FACTURADO",VLOOKUP(DATA[[#This Row],[SERIE2]]&amp;"-"&amp;DATA[[#This Row],[NUMERO]],#REF!,34,0),"NO CORRESPONDE"),"NO CORRESPONDE")</f>
        <v>NO CORRESPONDE</v>
      </c>
      <c r="AS26" s="22" t="str">
        <f>IF(DATA[[#This Row],[fecha_fs]]&gt;0,TEXT(DATA[[#This Row],[fecha_fs]],"Mmmm"),0)</f>
        <v>Enero</v>
      </c>
      <c r="AT26" s="22" t="str">
        <f>DATA[[#This Row],[SERIE2]]&amp;"-"&amp;DATA[[#This Row],[NUMERO]]</f>
        <v>FE01-531</v>
      </c>
      <c r="AU26" s="28" t="e">
        <f>DATA[[#This Row],[TOTAL]]*DATA[[#This Row],[T.C.]]</f>
        <v>#REF!</v>
      </c>
      <c r="AV26" s="6">
        <f>DATA[[#This Row],[FECHA DE VAL.]]</f>
        <v>45684</v>
      </c>
      <c r="AW26" s="6">
        <f>DATA[[#This Row],[FECHA DE EMISION]]</f>
        <v>45686</v>
      </c>
      <c r="AX26" s="6">
        <f>DATA[[#This Row],[F1]]</f>
        <v>0</v>
      </c>
      <c r="AY26" s="20">
        <f>IF(AV26-DATA[[#This Row],[fecha_fs]]&lt;0,0,AV26-DATA[[#This Row],[fecha_fs]])</f>
        <v>25</v>
      </c>
      <c r="AZ26" s="20">
        <f t="shared" si="1"/>
        <v>2</v>
      </c>
      <c r="BA26" s="20">
        <f t="shared" si="2"/>
        <v>0</v>
      </c>
      <c r="BB26" s="195">
        <f>IFERROR(SUM(DATA[[#This Row],[fs_val_ttf]:[fact_pago_ttf]]),0)</f>
        <v>27</v>
      </c>
      <c r="BC26" s="187">
        <v>45673</v>
      </c>
      <c r="BD26" s="187">
        <v>45679</v>
      </c>
      <c r="BE26" s="187">
        <v>45698</v>
      </c>
      <c r="BF26" s="187">
        <v>45758</v>
      </c>
      <c r="BG26" s="20">
        <f>IFERROR(IF(BC26-DATA[[#This Row],[fecha_fs]]&lt;0,0,BC26-DATA[[#This Row],[fecha_fs]]),0)</f>
        <v>14</v>
      </c>
      <c r="BH26" s="20">
        <f t="shared" si="6"/>
        <v>6</v>
      </c>
      <c r="BI26" s="20">
        <f t="shared" si="7"/>
        <v>19</v>
      </c>
      <c r="BJ26" s="20">
        <f t="shared" si="8"/>
        <v>60</v>
      </c>
      <c r="BK26" s="189">
        <f>IFERROR(SUM(DATA[[#This Row],[fs_fd_ttd]:[fend_fenf_ttd]]),0)</f>
        <v>99</v>
      </c>
      <c r="BL26" s="20" t="str">
        <f>IF(DATA[[#This Row],[fecha_fs]]&gt;0,TEXT(DATA[[#This Row],[fecha_fs]],"YYYY"),0)</f>
        <v>2025</v>
      </c>
      <c r="BM26" s="221" t="b">
        <v>1</v>
      </c>
      <c r="BN26" s="278">
        <f>COUNTIF(DATA[[#This Row],[tiempo_td]], "&lt;=15")</f>
        <v>0</v>
      </c>
      <c r="BO26" s="222"/>
    </row>
    <row r="27" spans="1:67" ht="30.6" customHeight="1" x14ac:dyDescent="0.25">
      <c r="A27" s="4">
        <v>20100226902</v>
      </c>
      <c r="B27" s="5" t="s">
        <v>24</v>
      </c>
      <c r="C27" s="52" t="s">
        <v>18</v>
      </c>
      <c r="D27" s="4" t="s">
        <v>120</v>
      </c>
      <c r="E27" s="5" t="s">
        <v>3</v>
      </c>
      <c r="F27" s="24">
        <v>45660</v>
      </c>
      <c r="G27" s="7" t="s">
        <v>113</v>
      </c>
      <c r="H27" s="25">
        <f t="shared" si="0"/>
        <v>1</v>
      </c>
      <c r="I27" s="67">
        <v>3937</v>
      </c>
      <c r="J27" s="8" t="s">
        <v>115</v>
      </c>
      <c r="K27" s="9" t="s">
        <v>121</v>
      </c>
      <c r="L27" s="10" t="s">
        <v>117</v>
      </c>
      <c r="M27" s="11">
        <v>1490</v>
      </c>
      <c r="N27" s="12" t="s">
        <v>127</v>
      </c>
      <c r="O27" s="40"/>
      <c r="P27" s="41" t="s">
        <v>114</v>
      </c>
      <c r="Q27" s="42"/>
      <c r="R27" s="43"/>
      <c r="S27" s="43"/>
      <c r="T27" s="43">
        <f>DATA[[#This Row],[C. DF]]+DATA[[#This Row],[C.OPE.]]</f>
        <v>0</v>
      </c>
      <c r="U27" s="43">
        <f>DATA[[#This Row],[SUB TOTAL]]*0.18</f>
        <v>0</v>
      </c>
      <c r="V27" s="43">
        <f>IFERROR(ROUND(DATA[[#This Row],[SUB TOTAL]]+DATA[[#This Row],[IGV]],2),0)</f>
        <v>0</v>
      </c>
      <c r="W27" s="44" t="str">
        <f>IF(DATA[[#This Row],[VALORIZACIÓN ]]="-","NO CORRESPONDE",IF(OR(A27=20558226979,A27=10470707866,A27=20111157058,A27=20100226902),"NO CORRESPONDE",IF(J27="Emitida",IF(P27&gt;0,"EMITIDA","PENDIENTE"),"NO CORRESPONDE")))</f>
        <v>NO CORRESPONDE</v>
      </c>
      <c r="X27" s="45"/>
      <c r="Y27" s="58" t="s">
        <v>128</v>
      </c>
      <c r="Z27" s="46"/>
      <c r="AA27" s="47"/>
      <c r="AB27" s="48"/>
      <c r="AC27" s="49"/>
      <c r="AD27" s="50">
        <f>DATA[[#This Row],[FECHA DE EMISION]]+DATA[[#This Row],[CONDICION DE PAGO]]</f>
        <v>0</v>
      </c>
      <c r="AE27" s="23">
        <f>IF(DATA[[#This Row],[MONEDA]]="USD",VLOOKUP(DATA[[#This Row],[COMBINADA]],#REF!,11,0),1)</f>
        <v>1</v>
      </c>
      <c r="AF27" s="59" t="str">
        <f>IF(DATA[[#This Row],[SERIE2]]="-","NO CORRESPONDE",IF(W27="NO CORRESPONDE","NO CORRESPONDE",IF(Z27&gt;0,"FACTURADO","PENDIENTE")))</f>
        <v>NO CORRESPONDE</v>
      </c>
      <c r="AG27" s="60">
        <f>IFERROR(VLOOKUP(DATA[[#This Row],[COMBINADA]],#REF!,6,0),0)</f>
        <v>0</v>
      </c>
      <c r="AH27" s="126">
        <f>IFERROR(VLOOKUP(DATA[[#This Row],[COMBINADA]],#REF!,9,0),0)/COUNTIFS(DATA[COMBINADA],DATA[[#This Row],[COMBINADA]])</f>
        <v>0</v>
      </c>
      <c r="AI27" s="60">
        <f>IFERROR(VLOOKUP(DATA[[#This Row],[COMBINADA]],#REF!,6,0),0)</f>
        <v>0</v>
      </c>
      <c r="AJ27" s="126">
        <f>IFERROR(VLOOKUP(DATA[[#This Row],[COMBINADA]],#REF!,9,0),0)/COUNTIFS(DATA[COMBINADA],DATA[[#This Row],[COMBINADA]])</f>
        <v>0</v>
      </c>
      <c r="AK27" s="60">
        <f>IFERROR(VLOOKUP(DATA[[#This Row],[COMBINADA]],#REF!,6,0),0)</f>
        <v>0</v>
      </c>
      <c r="AL27" s="126">
        <f>IFERROR(VLOOKUP(DATA[[#This Row],[COMBINADA]],#REF!,9,0),0)/COUNTIFS(DATA[COMBINADA],DATA[[#This Row],[COMBINADA]])</f>
        <v>0</v>
      </c>
      <c r="AM27" s="60">
        <f>IFERROR(VLOOKUP(DATA[[#This Row],[COMBINADA]],#REF!,6,0),0)</f>
        <v>0</v>
      </c>
      <c r="AN27" s="126">
        <f>IFERROR(VLOOKUP(DATA[[#This Row],[COMBINADA]],#REF!,9,0),0)/COUNTIFS(DATA[COMBINADA],DATA[[#This Row],[COMBINADA]])</f>
        <v>0</v>
      </c>
      <c r="AO27" s="60">
        <f>IFERROR(VLOOKUP(DATA[[#This Row],[COMBINADA]],#REF!,6,0),0)</f>
        <v>0</v>
      </c>
      <c r="AP27" s="126">
        <f>IFERROR(VLOOKUP(DATA[[#This Row],[COMBINADA]],#REF!,9,0),0)/COUNTIFS(DATA[COMBINADA],DATA[[#This Row],[COMBINADA]])</f>
        <v>0</v>
      </c>
      <c r="AQ27"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27" s="64" t="str">
        <f>IFERROR(IF(DATA[[#This Row],[estado_fact]]="FACTURADO",VLOOKUP(DATA[[#This Row],[SERIE2]]&amp;"-"&amp;DATA[[#This Row],[NUMERO]],#REF!,34,0),"NO CORRESPONDE"),"NO CORRESPONDE")</f>
        <v>NO CORRESPONDE</v>
      </c>
      <c r="AS27" s="22" t="str">
        <f>IF(DATA[[#This Row],[fecha_fs]]&gt;0,TEXT(DATA[[#This Row],[fecha_fs]],"Mmmm"),0)</f>
        <v>Enero</v>
      </c>
      <c r="AT27" s="22" t="str">
        <f>DATA[[#This Row],[SERIE2]]&amp;"-"&amp;DATA[[#This Row],[NUMERO]]</f>
        <v>-</v>
      </c>
      <c r="AU27" s="28">
        <f>DATA[[#This Row],[TOTAL]]*DATA[[#This Row],[T.C.]]</f>
        <v>0</v>
      </c>
      <c r="AV27" s="6">
        <f>DATA[[#This Row],[FECHA DE VAL.]]</f>
        <v>0</v>
      </c>
      <c r="AW27" s="6">
        <f>DATA[[#This Row],[FECHA DE EMISION]]</f>
        <v>0</v>
      </c>
      <c r="AX27" s="6">
        <f>DATA[[#This Row],[F1]]</f>
        <v>0</v>
      </c>
      <c r="AY27" s="20">
        <f>IF(AV27-DATA[[#This Row],[fecha_fs]]&lt;0,0,AV27-DATA[[#This Row],[fecha_fs]])</f>
        <v>0</v>
      </c>
      <c r="AZ27" s="20">
        <f t="shared" si="1"/>
        <v>0</v>
      </c>
      <c r="BA27" s="20">
        <f t="shared" si="2"/>
        <v>0</v>
      </c>
      <c r="BB27" s="284">
        <f>IFERROR(SUM(DATA[[#This Row],[fs_val_ttf]:[fact_pago_ttf]]),0)</f>
        <v>0</v>
      </c>
      <c r="BC27" s="185">
        <v>45660</v>
      </c>
      <c r="BD27" s="185">
        <v>45660</v>
      </c>
      <c r="BE27" s="185">
        <v>45691</v>
      </c>
      <c r="BF27" s="185">
        <v>45691</v>
      </c>
      <c r="BG27" s="286">
        <f>IFERROR(IF(BC27-DATA[[#This Row],[fecha_fs]]&lt;0,0,BC27-DATA[[#This Row],[fecha_fs]]),0)</f>
        <v>0</v>
      </c>
      <c r="BH27" s="20">
        <f t="shared" si="6"/>
        <v>0</v>
      </c>
      <c r="BI27" s="20">
        <f t="shared" si="7"/>
        <v>31</v>
      </c>
      <c r="BJ27" s="20">
        <f t="shared" si="8"/>
        <v>0</v>
      </c>
      <c r="BK27" s="189">
        <f>IFERROR(SUM(DATA[[#This Row],[fs_fd_ttd]:[fend_fenf_ttd]]),0)</f>
        <v>31</v>
      </c>
      <c r="BL27" s="20" t="str">
        <f>IF(DATA[[#This Row],[fecha_fs]]&gt;0,TEXT(DATA[[#This Row],[fecha_fs]],"YYYY"),0)</f>
        <v>2025</v>
      </c>
      <c r="BM27" s="221" t="b">
        <v>1</v>
      </c>
      <c r="BN27" s="278">
        <f>COUNTIF(DATA[[#This Row],[tiempo_td]], "&lt;=15")</f>
        <v>0</v>
      </c>
      <c r="BO27" s="222"/>
    </row>
    <row r="28" spans="1:67" ht="30.6" customHeight="1" x14ac:dyDescent="0.25">
      <c r="A28" s="4">
        <v>20505675836</v>
      </c>
      <c r="B28" s="5" t="s">
        <v>42</v>
      </c>
      <c r="C28" s="52" t="s">
        <v>20</v>
      </c>
      <c r="D28" s="4" t="s">
        <v>120</v>
      </c>
      <c r="E28" s="5" t="s">
        <v>3</v>
      </c>
      <c r="F28" s="24">
        <v>45659</v>
      </c>
      <c r="G28" s="7" t="s">
        <v>113</v>
      </c>
      <c r="H28" s="25">
        <f t="shared" si="0"/>
        <v>1</v>
      </c>
      <c r="I28" s="67">
        <v>3938</v>
      </c>
      <c r="J28" s="8" t="s">
        <v>115</v>
      </c>
      <c r="K28" s="9" t="s">
        <v>121</v>
      </c>
      <c r="L28" s="10" t="s">
        <v>117</v>
      </c>
      <c r="M28" s="11">
        <v>80</v>
      </c>
      <c r="N28" s="12" t="s">
        <v>125</v>
      </c>
      <c r="O28" s="6">
        <v>45684</v>
      </c>
      <c r="P28" s="57">
        <v>3260</v>
      </c>
      <c r="Q28" s="14" t="s">
        <v>85</v>
      </c>
      <c r="R28" s="15"/>
      <c r="S28" s="15">
        <v>1387.83</v>
      </c>
      <c r="T28" s="15">
        <f>DATA[[#This Row],[C. DF]]+DATA[[#This Row],[C.OPE.]]</f>
        <v>1387.83</v>
      </c>
      <c r="U28" s="15">
        <f>DATA[[#This Row],[SUB TOTAL]]*0.18</f>
        <v>249.80939999999998</v>
      </c>
      <c r="V28" s="15">
        <f>IFERROR(ROUND(DATA[[#This Row],[SUB TOTAL]]+DATA[[#This Row],[IGV]],2),0)</f>
        <v>1637.64</v>
      </c>
      <c r="W28" s="16" t="str">
        <f>IF(DATA[[#This Row],[VALORIZACIÓN ]]="-","NO CORRESPONDE",IF(OR(A28=20558226979,A28=10470707866,A28=20111157058,A28=20100226902),"NO CORRESPONDE",IF(J28="Emitida",IF(P28&gt;0,"EMITIDA","PENDIENTE"),"NO CORRESPONDE")))</f>
        <v>EMITIDA</v>
      </c>
      <c r="X28" s="29" t="s">
        <v>146</v>
      </c>
      <c r="Y28" s="17" t="s">
        <v>118</v>
      </c>
      <c r="Z28" s="30">
        <v>45708</v>
      </c>
      <c r="AA28" s="10" t="s">
        <v>124</v>
      </c>
      <c r="AB28" s="19">
        <v>572</v>
      </c>
      <c r="AC28" s="20">
        <v>30</v>
      </c>
      <c r="AD28" s="18">
        <f>DATA[[#This Row],[FECHA DE EMISION]]+DATA[[#This Row],[CONDICION DE PAGO]]</f>
        <v>45738</v>
      </c>
      <c r="AE28" s="23">
        <f>IF(DATA[[#This Row],[MONEDA]]="USD",VLOOKUP(DATA[[#This Row],[COMBINADA]],#REF!,11,0),1)</f>
        <v>1</v>
      </c>
      <c r="AF28" s="39" t="str">
        <f>IF(DATA[[#This Row],[SERIE2]]="-","NO CORRESPONDE",IF(W28="NO CORRESPONDE","NO CORRESPONDE",IF(Z28&gt;0,"FACTURADO","PENDIENTE")))</f>
        <v>FACTURADO</v>
      </c>
      <c r="AG28" s="27">
        <f>IFERROR(VLOOKUP(DATA[[#This Row],[COMBINADA]],#REF!,6,0),0)</f>
        <v>0</v>
      </c>
      <c r="AH28" s="125">
        <f>IFERROR(VLOOKUP(DATA[[#This Row],[COMBINADA]],#REF!,9,0),0)/COUNTIFS(DATA[COMBINADA],DATA[[#This Row],[COMBINADA]])</f>
        <v>0</v>
      </c>
      <c r="AI28" s="27">
        <f>IFERROR(VLOOKUP(DATA[[#This Row],[COMBINADA]],#REF!,6,0),0)</f>
        <v>0</v>
      </c>
      <c r="AJ28" s="125">
        <f>IFERROR(VLOOKUP(DATA[[#This Row],[COMBINADA]],#REF!,9,0),0)/COUNTIFS(DATA[COMBINADA],DATA[[#This Row],[COMBINADA]])</f>
        <v>0</v>
      </c>
      <c r="AK28" s="27">
        <f>IFERROR(VLOOKUP(DATA[[#This Row],[COMBINADA]],#REF!,6,0),0)</f>
        <v>0</v>
      </c>
      <c r="AL28" s="125">
        <f>IFERROR(VLOOKUP(DATA[[#This Row],[COMBINADA]],#REF!,9,0),0)/COUNTIFS(DATA[COMBINADA],DATA[[#This Row],[COMBINADA]])</f>
        <v>0</v>
      </c>
      <c r="AM28" s="27">
        <f>IFERROR(VLOOKUP(DATA[[#This Row],[COMBINADA]],#REF!,6,0),0)</f>
        <v>0</v>
      </c>
      <c r="AN28" s="125">
        <f>IFERROR(VLOOKUP(DATA[[#This Row],[COMBINADA]],#REF!,9,0),0)/COUNTIFS(DATA[COMBINADA],DATA[[#This Row],[COMBINADA]])</f>
        <v>0</v>
      </c>
      <c r="AO28" s="27">
        <f>IFERROR(VLOOKUP(DATA[[#This Row],[COMBINADA]],#REF!,6,0),0)</f>
        <v>0</v>
      </c>
      <c r="AP28" s="125">
        <f>IFERROR(VLOOKUP(DATA[[#This Row],[COMBINADA]],#REF!,9,0),0)/COUNTIFS(DATA[COMBINADA],DATA[[#This Row],[COMBINADA]])</f>
        <v>0</v>
      </c>
      <c r="AQ2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2020.5600000000002</v>
      </c>
      <c r="AR28" s="26" t="str">
        <f>IFERROR(IF(DATA[[#This Row],[estado_fact]]="FACTURADO",VLOOKUP(DATA[[#This Row],[SERIE2]]&amp;"-"&amp;DATA[[#This Row],[NUMERO]],#REF!,34,0),"NO CORRESPONDE"),"NO CORRESPONDE")</f>
        <v>NO CORRESPONDE</v>
      </c>
      <c r="AS28" s="22" t="str">
        <f>IF(DATA[[#This Row],[fecha_fs]]&gt;0,TEXT(DATA[[#This Row],[fecha_fs]],"Mmmm"),0)</f>
        <v>Enero</v>
      </c>
      <c r="AT28" s="22" t="str">
        <f>DATA[[#This Row],[SERIE2]]&amp;"-"&amp;DATA[[#This Row],[NUMERO]]</f>
        <v>FE01-572</v>
      </c>
      <c r="AU28" s="28">
        <f>DATA[[#This Row],[TOTAL]]*DATA[[#This Row],[T.C.]]</f>
        <v>1637.64</v>
      </c>
      <c r="AV28" s="6">
        <f>DATA[[#This Row],[FECHA DE VAL.]]</f>
        <v>45684</v>
      </c>
      <c r="AW28" s="6">
        <f>DATA[[#This Row],[FECHA DE EMISION]]</f>
        <v>45708</v>
      </c>
      <c r="AX28" s="6">
        <f>DATA[[#This Row],[F1]]</f>
        <v>0</v>
      </c>
      <c r="AY28" s="20">
        <f>IF(AV28-DATA[[#This Row],[fecha_fs]]&lt;0,0,AV28-DATA[[#This Row],[fecha_fs]])</f>
        <v>25</v>
      </c>
      <c r="AZ28" s="20">
        <f t="shared" si="1"/>
        <v>24</v>
      </c>
      <c r="BA28" s="20">
        <f t="shared" si="2"/>
        <v>0</v>
      </c>
      <c r="BB28" s="195">
        <f>IFERROR(SUM(DATA[[#This Row],[fs_val_ttf]:[fact_pago_ttf]]),0)</f>
        <v>49</v>
      </c>
      <c r="BC28" s="184">
        <v>45671</v>
      </c>
      <c r="BD28" s="184">
        <v>45700</v>
      </c>
      <c r="BE28" s="184">
        <v>45735</v>
      </c>
      <c r="BF28" s="184">
        <v>45691</v>
      </c>
      <c r="BG28" s="20">
        <f>IFERROR(IF(BC28-DATA[[#This Row],[fecha_fs]]&lt;0,0,BC28-DATA[[#This Row],[fecha_fs]]),0)</f>
        <v>12</v>
      </c>
      <c r="BH28" s="20">
        <f t="shared" si="6"/>
        <v>29</v>
      </c>
      <c r="BI28" s="20">
        <f t="shared" si="7"/>
        <v>35</v>
      </c>
      <c r="BJ28" s="20">
        <f t="shared" si="8"/>
        <v>0</v>
      </c>
      <c r="BK28" s="189">
        <f>IFERROR(SUM(DATA[[#This Row],[fs_fd_ttd]:[fend_fenf_ttd]]),0)</f>
        <v>76</v>
      </c>
      <c r="BL28" s="20" t="str">
        <f>IF(DATA[[#This Row],[fecha_fs]]&gt;0,TEXT(DATA[[#This Row],[fecha_fs]],"YYYY"),0)</f>
        <v>2025</v>
      </c>
      <c r="BM28" s="221" t="b">
        <v>1</v>
      </c>
      <c r="BN28" s="278">
        <f>COUNTIF(DATA[[#This Row],[tiempo_td]], "&lt;=15")</f>
        <v>0</v>
      </c>
      <c r="BO28" s="222"/>
    </row>
    <row r="29" spans="1:67" ht="30.6" customHeight="1" x14ac:dyDescent="0.25">
      <c r="A29" s="4">
        <v>20100211115</v>
      </c>
      <c r="B29" s="5" t="s">
        <v>41</v>
      </c>
      <c r="C29" s="52" t="s">
        <v>18</v>
      </c>
      <c r="D29" s="4" t="s">
        <v>120</v>
      </c>
      <c r="E29" s="5" t="s">
        <v>3</v>
      </c>
      <c r="F29" s="24">
        <v>45660</v>
      </c>
      <c r="G29" s="7" t="s">
        <v>113</v>
      </c>
      <c r="H29" s="25">
        <f t="shared" si="0"/>
        <v>1</v>
      </c>
      <c r="I29" s="67">
        <v>3939</v>
      </c>
      <c r="J29" s="8" t="s">
        <v>115</v>
      </c>
      <c r="K29" s="9" t="s">
        <v>121</v>
      </c>
      <c r="L29" s="10" t="s">
        <v>117</v>
      </c>
      <c r="M29" s="11">
        <v>90</v>
      </c>
      <c r="N29" s="12" t="s">
        <v>125</v>
      </c>
      <c r="O29" s="6">
        <v>45684</v>
      </c>
      <c r="P29" s="115">
        <v>3267</v>
      </c>
      <c r="Q29" s="14" t="s">
        <v>85</v>
      </c>
      <c r="R29" s="15"/>
      <c r="S29" s="15">
        <f>(DATA[[#This Row],[cantidad_fs]]*4.37)</f>
        <v>393.3</v>
      </c>
      <c r="T29" s="15">
        <f>DATA[[#This Row],[C. DF]]+DATA[[#This Row],[C.OPE.]]</f>
        <v>393.3</v>
      </c>
      <c r="U29" s="15">
        <f>DATA[[#This Row],[SUB TOTAL]]*0.18</f>
        <v>70.793999999999997</v>
      </c>
      <c r="V29" s="15">
        <f>IFERROR(ROUND(DATA[[#This Row],[SUB TOTAL]]+DATA[[#This Row],[IGV]],2),0)</f>
        <v>464.09</v>
      </c>
      <c r="W29" s="16" t="str">
        <f>IF(DATA[[#This Row],[VALORIZACIÓN ]]="-","NO CORRESPONDE",IF(OR(A29=20558226979,A29=10470707866,A29=20111157058,A29=20100226902),"NO CORRESPONDE",IF(J29="Emitida",IF(P29&gt;0,"EMITIDA","PENDIENTE"),"NO CORRESPONDE")))</f>
        <v>EMITIDA</v>
      </c>
      <c r="X29" s="29"/>
      <c r="Y29" s="17" t="s">
        <v>118</v>
      </c>
      <c r="Z29" s="30">
        <v>45687</v>
      </c>
      <c r="AA29" s="10" t="s">
        <v>124</v>
      </c>
      <c r="AB29" s="19">
        <v>536</v>
      </c>
      <c r="AC29" s="20">
        <v>30</v>
      </c>
      <c r="AD29" s="18">
        <f>DATA[[#This Row],[FECHA DE EMISION]]+DATA[[#This Row],[CONDICION DE PAGO]]</f>
        <v>45717</v>
      </c>
      <c r="AE29" s="23">
        <f>IF(DATA[[#This Row],[MONEDA]]="USD",VLOOKUP(DATA[[#This Row],[COMBINADA]],#REF!,11,0),1)</f>
        <v>1</v>
      </c>
      <c r="AF29" s="39" t="str">
        <f>IF(DATA[[#This Row],[SERIE2]]="-","NO CORRESPONDE",IF(W29="NO CORRESPONDE","NO CORRESPONDE",IF(Z29&gt;0,"FACTURADO","PENDIENTE")))</f>
        <v>FACTURADO</v>
      </c>
      <c r="AG29" s="27">
        <f>IFERROR(VLOOKUP(DATA[[#This Row],[COMBINADA]],#REF!,6,0),0)</f>
        <v>0</v>
      </c>
      <c r="AH29" s="125">
        <f>IFERROR(VLOOKUP(DATA[[#This Row],[COMBINADA]],#REF!,9,0),0)/COUNTIFS(DATA[COMBINADA],DATA[[#This Row],[COMBINADA]])</f>
        <v>0</v>
      </c>
      <c r="AI29" s="27">
        <f>IFERROR(VLOOKUP(DATA[[#This Row],[COMBINADA]],#REF!,6,0),0)</f>
        <v>0</v>
      </c>
      <c r="AJ29" s="125">
        <f>IFERROR(VLOOKUP(DATA[[#This Row],[COMBINADA]],#REF!,9,0),0)/COUNTIFS(DATA[COMBINADA],DATA[[#This Row],[COMBINADA]])</f>
        <v>0</v>
      </c>
      <c r="AK29" s="27">
        <f>IFERROR(VLOOKUP(DATA[[#This Row],[COMBINADA]],#REF!,6,0),0)</f>
        <v>0</v>
      </c>
      <c r="AL29" s="125">
        <f>IFERROR(VLOOKUP(DATA[[#This Row],[COMBINADA]],#REF!,9,0),0)/COUNTIFS(DATA[COMBINADA],DATA[[#This Row],[COMBINADA]])</f>
        <v>0</v>
      </c>
      <c r="AM29" s="27">
        <f>IFERROR(VLOOKUP(DATA[[#This Row],[COMBINADA]],#REF!,6,0),0)</f>
        <v>0</v>
      </c>
      <c r="AN29" s="125">
        <f>IFERROR(VLOOKUP(DATA[[#This Row],[COMBINADA]],#REF!,9,0),0)/COUNTIFS(DATA[COMBINADA],DATA[[#This Row],[COMBINADA]])</f>
        <v>0</v>
      </c>
      <c r="AO29" s="27">
        <f>IFERROR(VLOOKUP(DATA[[#This Row],[COMBINADA]],#REF!,6,0),0)</f>
        <v>0</v>
      </c>
      <c r="AP29" s="125">
        <f>IFERROR(VLOOKUP(DATA[[#This Row],[COMBINADA]],#REF!,9,0),0)/COUNTIFS(DATA[COMBINADA],DATA[[#This Row],[COMBINADA]])</f>
        <v>0</v>
      </c>
      <c r="AQ2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29" s="26" t="str">
        <f>IFERROR(IF(DATA[[#This Row],[estado_fact]]="FACTURADO",VLOOKUP(DATA[[#This Row],[SERIE2]]&amp;"-"&amp;DATA[[#This Row],[NUMERO]],#REF!,34,0),"NO CORRESPONDE"),"NO CORRESPONDE")</f>
        <v>NO CORRESPONDE</v>
      </c>
      <c r="AS29" s="22" t="str">
        <f>IF(DATA[[#This Row],[fecha_fs]]&gt;0,TEXT(DATA[[#This Row],[fecha_fs]],"Mmmm"),0)</f>
        <v>Enero</v>
      </c>
      <c r="AT29" s="22" t="str">
        <f>DATA[[#This Row],[SERIE2]]&amp;"-"&amp;DATA[[#This Row],[NUMERO]]</f>
        <v>FE01-536</v>
      </c>
      <c r="AU29" s="28">
        <f>DATA[[#This Row],[TOTAL]]*DATA[[#This Row],[T.C.]]</f>
        <v>464.09</v>
      </c>
      <c r="AV29" s="6">
        <f>DATA[[#This Row],[FECHA DE VAL.]]</f>
        <v>45684</v>
      </c>
      <c r="AW29" s="6">
        <f>DATA[[#This Row],[FECHA DE EMISION]]</f>
        <v>45687</v>
      </c>
      <c r="AX29" s="6">
        <f>DATA[[#This Row],[F1]]</f>
        <v>0</v>
      </c>
      <c r="AY29" s="20">
        <f>IF(AV29-DATA[[#This Row],[fecha_fs]]&lt;0,0,AV29-DATA[[#This Row],[fecha_fs]])</f>
        <v>24</v>
      </c>
      <c r="AZ29" s="20">
        <f t="shared" si="1"/>
        <v>3</v>
      </c>
      <c r="BA29" s="20">
        <f t="shared" si="2"/>
        <v>0</v>
      </c>
      <c r="BB29" s="195">
        <f>IFERROR(SUM(DATA[[#This Row],[fs_val_ttf]:[fact_pago_ttf]]),0)</f>
        <v>27</v>
      </c>
      <c r="BC29" s="185">
        <v>45698</v>
      </c>
      <c r="BD29" s="185">
        <v>45707</v>
      </c>
      <c r="BE29" s="185">
        <v>45712</v>
      </c>
      <c r="BF29" s="185">
        <v>45714</v>
      </c>
      <c r="BG29" s="20">
        <f>IFERROR(IF(BC29-DATA[[#This Row],[fecha_fs]]&lt;0,0,BC29-DATA[[#This Row],[fecha_fs]]),0)</f>
        <v>38</v>
      </c>
      <c r="BH29" s="20">
        <f t="shared" si="6"/>
        <v>9</v>
      </c>
      <c r="BI29" s="20">
        <f t="shared" si="7"/>
        <v>5</v>
      </c>
      <c r="BJ29" s="20">
        <f t="shared" si="8"/>
        <v>2</v>
      </c>
      <c r="BK29" s="189">
        <f>IFERROR(SUM(DATA[[#This Row],[fs_fd_ttd]:[fend_fenf_ttd]]),0)</f>
        <v>54</v>
      </c>
      <c r="BL29" s="20" t="str">
        <f>IF(DATA[[#This Row],[fecha_fs]]&gt;0,TEXT(DATA[[#This Row],[fecha_fs]],"YYYY"),0)</f>
        <v>2025</v>
      </c>
      <c r="BM29" s="221" t="b">
        <v>1</v>
      </c>
      <c r="BN29" s="278">
        <f>COUNTIF(DATA[[#This Row],[tiempo_td]], "&lt;=15")</f>
        <v>0</v>
      </c>
      <c r="BO29" s="222"/>
    </row>
    <row r="30" spans="1:67" ht="30.6" customHeight="1" x14ac:dyDescent="0.25">
      <c r="A30" s="4">
        <v>20100211115</v>
      </c>
      <c r="B30" s="5" t="s">
        <v>41</v>
      </c>
      <c r="C30" s="52" t="s">
        <v>18</v>
      </c>
      <c r="D30" s="4" t="s">
        <v>112</v>
      </c>
      <c r="E30" s="5" t="s">
        <v>1</v>
      </c>
      <c r="F30" s="24">
        <v>45660</v>
      </c>
      <c r="G30" s="7" t="s">
        <v>113</v>
      </c>
      <c r="H30" s="25">
        <f t="shared" si="0"/>
        <v>1</v>
      </c>
      <c r="I30" s="67">
        <v>3940</v>
      </c>
      <c r="J30" s="8" t="s">
        <v>115</v>
      </c>
      <c r="K30" s="9" t="s">
        <v>116</v>
      </c>
      <c r="L30" s="10" t="s">
        <v>117</v>
      </c>
      <c r="M30" s="11">
        <v>6</v>
      </c>
      <c r="N30" s="12" t="s">
        <v>125</v>
      </c>
      <c r="O30" s="6">
        <v>45684</v>
      </c>
      <c r="P30" s="115">
        <v>3269</v>
      </c>
      <c r="Q30" s="14" t="s">
        <v>85</v>
      </c>
      <c r="R30" s="15"/>
      <c r="S30" s="15">
        <f>(DATA[[#This Row],[cantidad_fs]]*4.57)</f>
        <v>27.42</v>
      </c>
      <c r="T30" s="15">
        <f>DATA[[#This Row],[C. DF]]+DATA[[#This Row],[C.OPE.]]</f>
        <v>27.42</v>
      </c>
      <c r="U30" s="15">
        <f>DATA[[#This Row],[SUB TOTAL]]*0.18</f>
        <v>4.9356</v>
      </c>
      <c r="V30" s="15">
        <f>IFERROR(ROUND(DATA[[#This Row],[SUB TOTAL]]+DATA[[#This Row],[IGV]],2),0)</f>
        <v>32.36</v>
      </c>
      <c r="W30" s="16" t="str">
        <f>IF(DATA[[#This Row],[VALORIZACIÓN ]]="-","NO CORRESPONDE",IF(OR(A30=20558226979,A30=10470707866,A30=20111157058,A30=20100226902),"NO CORRESPONDE",IF(J30="Emitida",IF(P30&gt;0,"EMITIDA","PENDIENTE"),"NO CORRESPONDE")))</f>
        <v>EMITIDA</v>
      </c>
      <c r="X30" s="29"/>
      <c r="Y30" s="17" t="s">
        <v>118</v>
      </c>
      <c r="Z30" s="30">
        <v>45687</v>
      </c>
      <c r="AA30" s="10" t="s">
        <v>124</v>
      </c>
      <c r="AB30" s="19">
        <v>538</v>
      </c>
      <c r="AC30" s="20">
        <v>30</v>
      </c>
      <c r="AD30" s="18">
        <f>DATA[[#This Row],[FECHA DE EMISION]]+DATA[[#This Row],[CONDICION DE PAGO]]</f>
        <v>45717</v>
      </c>
      <c r="AE30" s="23">
        <f>IF(DATA[[#This Row],[MONEDA]]="USD",VLOOKUP(DATA[[#This Row],[COMBINADA]],#REF!,11,0),1)</f>
        <v>1</v>
      </c>
      <c r="AF30" s="39" t="str">
        <f>IF(DATA[[#This Row],[SERIE2]]="-","NO CORRESPONDE",IF(W30="NO CORRESPONDE","NO CORRESPONDE",IF(Z30&gt;0,"FACTURADO","PENDIENTE")))</f>
        <v>FACTURADO</v>
      </c>
      <c r="AG30" s="27">
        <f>IFERROR(VLOOKUP(DATA[[#This Row],[COMBINADA]],#REF!,6,0),0)</f>
        <v>0</v>
      </c>
      <c r="AH30" s="125">
        <f>IFERROR(VLOOKUP(DATA[[#This Row],[COMBINADA]],#REF!,9,0),0)/COUNTIFS(DATA[COMBINADA],DATA[[#This Row],[COMBINADA]])</f>
        <v>0</v>
      </c>
      <c r="AI30" s="27">
        <f>IFERROR(VLOOKUP(DATA[[#This Row],[COMBINADA]],#REF!,6,0),0)</f>
        <v>0</v>
      </c>
      <c r="AJ30" s="125">
        <f>IFERROR(VLOOKUP(DATA[[#This Row],[COMBINADA]],#REF!,9,0),0)/COUNTIFS(DATA[COMBINADA],DATA[[#This Row],[COMBINADA]])</f>
        <v>0</v>
      </c>
      <c r="AK30" s="27">
        <f>IFERROR(VLOOKUP(DATA[[#This Row],[COMBINADA]],#REF!,6,0),0)</f>
        <v>0</v>
      </c>
      <c r="AL30" s="125">
        <f>IFERROR(VLOOKUP(DATA[[#This Row],[COMBINADA]],#REF!,9,0),0)/COUNTIFS(DATA[COMBINADA],DATA[[#This Row],[COMBINADA]])</f>
        <v>0</v>
      </c>
      <c r="AM30" s="27">
        <f>IFERROR(VLOOKUP(DATA[[#This Row],[COMBINADA]],#REF!,6,0),0)</f>
        <v>0</v>
      </c>
      <c r="AN30" s="125">
        <f>IFERROR(VLOOKUP(DATA[[#This Row],[COMBINADA]],#REF!,9,0),0)/COUNTIFS(DATA[COMBINADA],DATA[[#This Row],[COMBINADA]])</f>
        <v>0</v>
      </c>
      <c r="AO30" s="27">
        <f>IFERROR(VLOOKUP(DATA[[#This Row],[COMBINADA]],#REF!,6,0),0)</f>
        <v>0</v>
      </c>
      <c r="AP30" s="125">
        <f>IFERROR(VLOOKUP(DATA[[#This Row],[COMBINADA]],#REF!,9,0),0)/COUNTIFS(DATA[COMBINADA],DATA[[#This Row],[COMBINADA]])</f>
        <v>0</v>
      </c>
      <c r="AQ3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26.965</v>
      </c>
      <c r="AR30" s="26" t="str">
        <f>IFERROR(IF(DATA[[#This Row],[estado_fact]]="FACTURADO",VLOOKUP(DATA[[#This Row],[SERIE2]]&amp;"-"&amp;DATA[[#This Row],[NUMERO]],#REF!,34,0),"NO CORRESPONDE"),"NO CORRESPONDE")</f>
        <v>NO CORRESPONDE</v>
      </c>
      <c r="AS30" s="22" t="str">
        <f>IF(DATA[[#This Row],[fecha_fs]]&gt;0,TEXT(DATA[[#This Row],[fecha_fs]],"Mmmm"),0)</f>
        <v>Enero</v>
      </c>
      <c r="AT30" s="22" t="str">
        <f>DATA[[#This Row],[SERIE2]]&amp;"-"&amp;DATA[[#This Row],[NUMERO]]</f>
        <v>FE01-538</v>
      </c>
      <c r="AU30" s="28">
        <f>DATA[[#This Row],[TOTAL]]*DATA[[#This Row],[T.C.]]</f>
        <v>32.36</v>
      </c>
      <c r="AV30" s="6">
        <f>DATA[[#This Row],[FECHA DE VAL.]]</f>
        <v>45684</v>
      </c>
      <c r="AW30" s="6">
        <f>DATA[[#This Row],[FECHA DE EMISION]]</f>
        <v>45687</v>
      </c>
      <c r="AX30" s="6">
        <f>DATA[[#This Row],[F1]]</f>
        <v>0</v>
      </c>
      <c r="AY30" s="20">
        <f>IF(AV30-DATA[[#This Row],[fecha_fs]]&lt;0,0,AV30-DATA[[#This Row],[fecha_fs]])</f>
        <v>24</v>
      </c>
      <c r="AZ30" s="20">
        <f t="shared" si="1"/>
        <v>3</v>
      </c>
      <c r="BA30" s="20">
        <f t="shared" si="2"/>
        <v>0</v>
      </c>
      <c r="BB30" s="195">
        <f>IFERROR(SUM(DATA[[#This Row],[fs_val_ttf]:[fact_pago_ttf]]),0)</f>
        <v>27</v>
      </c>
      <c r="BC30" s="185">
        <v>45694</v>
      </c>
      <c r="BD30" s="185">
        <v>45705</v>
      </c>
      <c r="BE30" s="185">
        <v>45707</v>
      </c>
      <c r="BF30" s="185">
        <v>45714</v>
      </c>
      <c r="BG30" s="20">
        <f>IFERROR(IF(BC30-DATA[[#This Row],[fecha_fs]]&lt;0,0,BC30-DATA[[#This Row],[fecha_fs]]),0)</f>
        <v>34</v>
      </c>
      <c r="BH30" s="20">
        <f t="shared" si="6"/>
        <v>11</v>
      </c>
      <c r="BI30" s="20">
        <f t="shared" si="7"/>
        <v>2</v>
      </c>
      <c r="BJ30" s="20">
        <f t="shared" si="8"/>
        <v>7</v>
      </c>
      <c r="BK30" s="189">
        <f>IFERROR(SUM(DATA[[#This Row],[fs_fd_ttd]:[fend_fenf_ttd]]),0)</f>
        <v>54</v>
      </c>
      <c r="BL30" s="20" t="str">
        <f>IF(DATA[[#This Row],[fecha_fs]]&gt;0,TEXT(DATA[[#This Row],[fecha_fs]],"YYYY"),0)</f>
        <v>2025</v>
      </c>
      <c r="BM30" s="221" t="b">
        <v>1</v>
      </c>
      <c r="BN30" s="278">
        <f>COUNTIF(DATA[[#This Row],[tiempo_td]], "&lt;=15")</f>
        <v>0</v>
      </c>
      <c r="BO30" s="222"/>
    </row>
    <row r="31" spans="1:67" ht="30.6" customHeight="1" x14ac:dyDescent="0.25">
      <c r="A31" s="4">
        <v>20419158462</v>
      </c>
      <c r="B31" s="5" t="s">
        <v>2</v>
      </c>
      <c r="C31" s="52" t="s">
        <v>147</v>
      </c>
      <c r="D31" s="4" t="s">
        <v>120</v>
      </c>
      <c r="E31" s="5" t="s">
        <v>3</v>
      </c>
      <c r="F31" s="24">
        <v>45660</v>
      </c>
      <c r="G31" s="7" t="s">
        <v>113</v>
      </c>
      <c r="H31" s="25">
        <f t="shared" si="0"/>
        <v>1</v>
      </c>
      <c r="I31" s="67">
        <v>3941</v>
      </c>
      <c r="J31" s="8" t="s">
        <v>115</v>
      </c>
      <c r="K31" s="9" t="s">
        <v>148</v>
      </c>
      <c r="L31" s="10" t="s">
        <v>117</v>
      </c>
      <c r="M31" s="11">
        <v>2230</v>
      </c>
      <c r="N31" s="12" t="s">
        <v>129</v>
      </c>
      <c r="O31" s="6">
        <v>45663</v>
      </c>
      <c r="P31" s="13">
        <v>3221</v>
      </c>
      <c r="Q31" s="14" t="s">
        <v>85</v>
      </c>
      <c r="R31" s="15">
        <v>0</v>
      </c>
      <c r="S31" s="15">
        <v>2597.6999999999998</v>
      </c>
      <c r="T31" s="15">
        <f>DATA[[#This Row],[C. DF]]+DATA[[#This Row],[C.OPE.]]</f>
        <v>2597.6999999999998</v>
      </c>
      <c r="U31" s="15">
        <f>DATA[[#This Row],[SUB TOTAL]]*0.18</f>
        <v>467.58599999999996</v>
      </c>
      <c r="V31" s="15">
        <f>IFERROR(ROUND(DATA[[#This Row],[SUB TOTAL]]+DATA[[#This Row],[IGV]],2),0)</f>
        <v>3065.29</v>
      </c>
      <c r="W31" s="16" t="str">
        <f>IF(DATA[[#This Row],[VALORIZACIÓN ]]="-","NO CORRESPONDE",IF(OR(A31=20558226979,A31=10470707866,A31=20111157058,A31=20100226902),"NO CORRESPONDE",IF(J31="Emitida",IF(P31&gt;0,"EMITIDA","PENDIENTE"),"NO CORRESPONDE")))</f>
        <v>EMITIDA</v>
      </c>
      <c r="X31" s="29" t="s">
        <v>149</v>
      </c>
      <c r="Y31" s="17" t="s">
        <v>118</v>
      </c>
      <c r="Z31" s="30">
        <v>45754</v>
      </c>
      <c r="AA31" s="10" t="s">
        <v>150</v>
      </c>
      <c r="AB31" s="19">
        <v>20</v>
      </c>
      <c r="AC31" s="20">
        <v>15</v>
      </c>
      <c r="AD31" s="18">
        <f>DATA[[#This Row],[FECHA DE EMISION]]+DATA[[#This Row],[CONDICION DE PAGO]]</f>
        <v>45769</v>
      </c>
      <c r="AE31" s="23">
        <f>IF(DATA[[#This Row],[MONEDA]]="USD",VLOOKUP(DATA[[#This Row],[COMBINADA]],#REF!,11,0),1)</f>
        <v>1</v>
      </c>
      <c r="AF31" s="39" t="str">
        <f>IF(DATA[[#This Row],[SERIE2]]="-","NO CORRESPONDE",IF(W31="NO CORRESPONDE","NO CORRESPONDE",IF(Z31&gt;0,"FACTURADO","PENDIENTE")))</f>
        <v>FACTURADO</v>
      </c>
      <c r="AG31" s="27">
        <f>IFERROR(VLOOKUP(DATA[[#This Row],[COMBINADA]],#REF!,6,0),0)</f>
        <v>0</v>
      </c>
      <c r="AH31" s="125">
        <f>IFERROR(VLOOKUP(DATA[[#This Row],[COMBINADA]],#REF!,9,0),0)/COUNTIFS(DATA[COMBINADA],DATA[[#This Row],[COMBINADA]])</f>
        <v>0</v>
      </c>
      <c r="AI31" s="27">
        <f>IFERROR(VLOOKUP(DATA[[#This Row],[COMBINADA]],#REF!,6,0),0)</f>
        <v>0</v>
      </c>
      <c r="AJ31" s="125">
        <f>IFERROR(VLOOKUP(DATA[[#This Row],[COMBINADA]],#REF!,9,0),0)/COUNTIFS(DATA[COMBINADA],DATA[[#This Row],[COMBINADA]])</f>
        <v>0</v>
      </c>
      <c r="AK31" s="27">
        <f>IFERROR(VLOOKUP(DATA[[#This Row],[COMBINADA]],#REF!,6,0),0)</f>
        <v>0</v>
      </c>
      <c r="AL31" s="125">
        <f>IFERROR(VLOOKUP(DATA[[#This Row],[COMBINADA]],#REF!,9,0),0)/COUNTIFS(DATA[COMBINADA],DATA[[#This Row],[COMBINADA]])</f>
        <v>0</v>
      </c>
      <c r="AM31" s="27">
        <f>IFERROR(VLOOKUP(DATA[[#This Row],[COMBINADA]],#REF!,6,0),0)</f>
        <v>0</v>
      </c>
      <c r="AN31" s="125">
        <f>IFERROR(VLOOKUP(DATA[[#This Row],[COMBINADA]],#REF!,9,0),0)/COUNTIFS(DATA[COMBINADA],DATA[[#This Row],[COMBINADA]])</f>
        <v>0</v>
      </c>
      <c r="AO31" s="27">
        <f>IFERROR(VLOOKUP(DATA[[#This Row],[COMBINADA]],#REF!,6,0),0)</f>
        <v>0</v>
      </c>
      <c r="AP31" s="125">
        <f>IFERROR(VLOOKUP(DATA[[#This Row],[COMBINADA]],#REF!,9,0),0)/COUNTIFS(DATA[COMBINADA],DATA[[#This Row],[COMBINADA]])</f>
        <v>0</v>
      </c>
      <c r="AQ3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3065.29</v>
      </c>
      <c r="AR31" s="26" t="str">
        <f>IFERROR(IF(DATA[[#This Row],[estado_fact]]="FACTURADO",VLOOKUP(DATA[[#This Row],[SERIE2]]&amp;"-"&amp;DATA[[#This Row],[NUMERO]],#REF!,34,0),"NO CORRESPONDE"),"NO CORRESPONDE")</f>
        <v>NO CORRESPONDE</v>
      </c>
      <c r="AS31" s="22" t="str">
        <f>IF(DATA[[#This Row],[fecha_fs]]&gt;0,TEXT(DATA[[#This Row],[fecha_fs]],"Mmmm"),0)</f>
        <v>Enero</v>
      </c>
      <c r="AT31" s="22" t="str">
        <f>DATA[[#This Row],[SERIE2]]&amp;"-"&amp;DATA[[#This Row],[NUMERO]]</f>
        <v>FF01-20</v>
      </c>
      <c r="AU31" s="28">
        <f>DATA[[#This Row],[TOTAL]]*DATA[[#This Row],[T.C.]]</f>
        <v>3065.29</v>
      </c>
      <c r="AV31" s="6">
        <f>DATA[[#This Row],[FECHA DE VAL.]]</f>
        <v>45663</v>
      </c>
      <c r="AW31" s="6">
        <f>DATA[[#This Row],[FECHA DE EMISION]]</f>
        <v>45754</v>
      </c>
      <c r="AX31" s="6">
        <f>DATA[[#This Row],[F1]]</f>
        <v>0</v>
      </c>
      <c r="AY31" s="20">
        <f>IF(AV31-DATA[[#This Row],[fecha_fs]]&lt;0,0,AV31-DATA[[#This Row],[fecha_fs]])</f>
        <v>3</v>
      </c>
      <c r="AZ31" s="20">
        <f t="shared" si="1"/>
        <v>91</v>
      </c>
      <c r="BA31" s="20">
        <f t="shared" si="2"/>
        <v>0</v>
      </c>
      <c r="BB31" s="195">
        <f>IFERROR(SUM(DATA[[#This Row],[fs_val_ttf]:[fact_pago_ttf]]),0)</f>
        <v>94</v>
      </c>
      <c r="BC31" s="185">
        <v>45660</v>
      </c>
      <c r="BD31" s="185">
        <v>45660</v>
      </c>
      <c r="BE31" s="185">
        <v>45686</v>
      </c>
      <c r="BF31" s="185">
        <v>45686</v>
      </c>
      <c r="BG31" s="20">
        <f>IFERROR(IF(BC31-DATA[[#This Row],[fecha_fs]]&lt;0,0,BC31-DATA[[#This Row],[fecha_fs]]),0)</f>
        <v>0</v>
      </c>
      <c r="BH31" s="20">
        <f t="shared" si="6"/>
        <v>0</v>
      </c>
      <c r="BI31" s="20">
        <f t="shared" si="7"/>
        <v>26</v>
      </c>
      <c r="BJ31" s="20">
        <f t="shared" si="8"/>
        <v>0</v>
      </c>
      <c r="BK31" s="189">
        <f>IFERROR(SUM(DATA[[#This Row],[fs_fd_ttd]:[fend_fenf_ttd]]),0)</f>
        <v>26</v>
      </c>
      <c r="BL31" s="20" t="str">
        <f>IF(DATA[[#This Row],[fecha_fs]]&gt;0,TEXT(DATA[[#This Row],[fecha_fs]],"YYYY"),0)</f>
        <v>2025</v>
      </c>
      <c r="BM31" s="221" t="b">
        <v>1</v>
      </c>
      <c r="BN31" s="278">
        <f>COUNTIF(DATA[[#This Row],[tiempo_td]], "&lt;=15")</f>
        <v>0</v>
      </c>
      <c r="BO31" s="222"/>
    </row>
    <row r="32" spans="1:67" ht="30" customHeight="1" x14ac:dyDescent="0.25">
      <c r="A32" s="4"/>
      <c r="B32" s="5" t="s">
        <v>0</v>
      </c>
      <c r="C32" s="52"/>
      <c r="D32" s="4"/>
      <c r="E32" s="5" t="s">
        <v>0</v>
      </c>
      <c r="F32" s="24">
        <v>45659</v>
      </c>
      <c r="G32" s="7" t="s">
        <v>113</v>
      </c>
      <c r="H32" s="25">
        <f t="shared" si="0"/>
        <v>1</v>
      </c>
      <c r="I32" s="67">
        <v>3942</v>
      </c>
      <c r="J32" s="8" t="s">
        <v>151</v>
      </c>
      <c r="K32" s="9"/>
      <c r="L32" s="10"/>
      <c r="M32" s="111"/>
      <c r="N32" s="112"/>
      <c r="O32" s="6"/>
      <c r="P32" s="13" t="s">
        <v>114</v>
      </c>
      <c r="Q32" s="14"/>
      <c r="R32" s="43"/>
      <c r="S32" s="43"/>
      <c r="T32" s="43">
        <f>DATA[[#This Row],[C. DF]]+DATA[[#This Row],[C.OPE.]]</f>
        <v>0</v>
      </c>
      <c r="U32" s="73">
        <f>DATA[[#This Row],[SUB TOTAL]]*0.18</f>
        <v>0</v>
      </c>
      <c r="V32" s="45">
        <f>IFERROR(ROUND(DATA[[#This Row],[SUB TOTAL]]+DATA[[#This Row],[IGV]],2),0)</f>
        <v>0</v>
      </c>
      <c r="W32" s="58" t="str">
        <f>IF(DATA[[#This Row],[VALORIZACIÓN ]]="-","NO CORRESPONDE",IF(OR(A32=20558226979,A32=10470707866,A32=20111157058,A32=20100226902),"NO CORRESPONDE",IF(J32="Emitida",IF(P32&gt;0,"EMITIDA","PENDIENTE"),"NO CORRESPONDE")))</f>
        <v>NO CORRESPONDE</v>
      </c>
      <c r="X32" s="46"/>
      <c r="Y32" s="17" t="s">
        <v>128</v>
      </c>
      <c r="Z32" s="48"/>
      <c r="AA32" s="49"/>
      <c r="AB32" s="50"/>
      <c r="AC32" s="51"/>
      <c r="AD32" s="59">
        <f>DATA[[#This Row],[FECHA DE EMISION]]+DATA[[#This Row],[CONDICION DE PAGO]]</f>
        <v>0</v>
      </c>
      <c r="AE32" s="23">
        <f>IF(DATA[[#This Row],[MONEDA]]="USD",VLOOKUP(DATA[[#This Row],[COMBINADA]],#REF!,11,0),1)</f>
        <v>1</v>
      </c>
      <c r="AF32" s="39" t="str">
        <f>IF(DATA[[#This Row],[SERIE2]]="-","NO CORRESPONDE",IF(W32="NO CORRESPONDE","NO CORRESPONDE",IF(Z32&gt;0,"FACTURADO","PENDIENTE")))</f>
        <v>NO CORRESPONDE</v>
      </c>
      <c r="AG32" s="61">
        <f>IFERROR(VLOOKUP(DATA[[#This Row],[COMBINADA]],#REF!,6,0),0)</f>
        <v>0</v>
      </c>
      <c r="AH32" s="62">
        <f>IFERROR(VLOOKUP(DATA[[#This Row],[COMBINADA]],#REF!,9,0),0)/COUNTIFS(DATA[COMBINADA],DATA[[#This Row],[COMBINADA]])</f>
        <v>0</v>
      </c>
      <c r="AI32" s="61">
        <f>IFERROR(VLOOKUP(DATA[[#This Row],[COMBINADA]],#REF!,6,0),0)</f>
        <v>0</v>
      </c>
      <c r="AJ32" s="62">
        <f>IFERROR(VLOOKUP(DATA[[#This Row],[COMBINADA]],#REF!,9,0),0)/COUNTIFS(DATA[COMBINADA],DATA[[#This Row],[COMBINADA]])</f>
        <v>0</v>
      </c>
      <c r="AK32" s="61">
        <f>IFERROR(VLOOKUP(DATA[[#This Row],[COMBINADA]],#REF!,6,0),0)</f>
        <v>0</v>
      </c>
      <c r="AL32" s="62">
        <f>IFERROR(VLOOKUP(DATA[[#This Row],[COMBINADA]],#REF!,9,0),0)/COUNTIFS(DATA[COMBINADA],DATA[[#This Row],[COMBINADA]])</f>
        <v>0</v>
      </c>
      <c r="AM32" s="61">
        <f>IFERROR(VLOOKUP(DATA[[#This Row],[COMBINADA]],#REF!,6,0),0)</f>
        <v>0</v>
      </c>
      <c r="AN32" s="62">
        <f>IFERROR(VLOOKUP(DATA[[#This Row],[COMBINADA]],#REF!,9,0),0)/COUNTIFS(DATA[COMBINADA],DATA[[#This Row],[COMBINADA]])</f>
        <v>0</v>
      </c>
      <c r="AO32" s="61">
        <f>IFERROR(VLOOKUP(DATA[[#This Row],[COMBINADA]],#REF!,6,0),0)</f>
        <v>0</v>
      </c>
      <c r="AP32" s="62">
        <f>IFERROR(VLOOKUP(DATA[[#This Row],[COMBINADA]],#REF!,9,0),0)/COUNTIFS(DATA[COMBINADA],DATA[[#This Row],[COMBINADA]])</f>
        <v>0</v>
      </c>
      <c r="AQ32"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32" s="22" t="str">
        <f>IFERROR(IF(DATA[[#This Row],[estado_fact]]="FACTURADO",VLOOKUP(DATA[[#This Row],[SERIE2]]&amp;"-"&amp;DATA[[#This Row],[NUMERO]],#REF!,34,0),"NO CORRESPONDE"),"NO CORRESPONDE")</f>
        <v>NO CORRESPONDE</v>
      </c>
      <c r="AS32" s="198" t="str">
        <f>IF(DATA[[#This Row],[fecha_fs]]&gt;0,TEXT(DATA[[#This Row],[fecha_fs]],"Mmmm"),0)</f>
        <v>Enero</v>
      </c>
      <c r="AT32" s="199" t="str">
        <f>DATA[[#This Row],[SERIE2]]&amp;"-"&amp;DATA[[#This Row],[NUMERO]]</f>
        <v>-</v>
      </c>
      <c r="AU32" s="198">
        <f>DATA[[#This Row],[TOTAL]]*DATA[[#This Row],[T.C.]]</f>
        <v>0</v>
      </c>
      <c r="AV32" s="40">
        <f>DATA[[#This Row],[FECHA DE VAL.]]</f>
        <v>0</v>
      </c>
      <c r="AW32" s="40">
        <f>DATA[[#This Row],[FECHA DE EMISION]]</f>
        <v>0</v>
      </c>
      <c r="AX32" s="40">
        <f>DATA[[#This Row],[F1]]</f>
        <v>0</v>
      </c>
      <c r="AY32" s="49">
        <f>IF(AV32-DATA[[#This Row],[fecha_fs]]&lt;0,0,AV32-DATA[[#This Row],[fecha_fs]])</f>
        <v>0</v>
      </c>
      <c r="AZ32" s="49">
        <f t="shared" si="1"/>
        <v>0</v>
      </c>
      <c r="BA32" s="49">
        <f t="shared" si="2"/>
        <v>0</v>
      </c>
      <c r="BB32" s="195">
        <f>IFERROR(SUM(DATA[[#This Row],[fs_val_ttf]:[fact_pago_ttf]]),0)</f>
        <v>0</v>
      </c>
      <c r="BC32" s="200"/>
      <c r="BD32" s="200"/>
      <c r="BE32" s="200"/>
      <c r="BF32" s="200"/>
      <c r="BG32" s="49">
        <f>IFERROR(IF(BC32-DATA[[#This Row],[fecha_fs]]&lt;0,0,BC32-DATA[[#This Row],[fecha_fs]]),0)</f>
        <v>0</v>
      </c>
      <c r="BH32" s="49">
        <f t="shared" si="6"/>
        <v>0</v>
      </c>
      <c r="BI32" s="49">
        <f t="shared" si="7"/>
        <v>0</v>
      </c>
      <c r="BJ32" s="49">
        <f t="shared" si="8"/>
        <v>0</v>
      </c>
      <c r="BK32" s="189">
        <f>IFERROR(SUM(DATA[[#This Row],[fs_fd_ttd]:[fend_fenf_ttd]]),0)</f>
        <v>0</v>
      </c>
      <c r="BL32" s="20" t="str">
        <f>IF(DATA[[#This Row],[fecha_fs]]&gt;0,TEXT(DATA[[#This Row],[fecha_fs]],"YYYY"),0)</f>
        <v>2025</v>
      </c>
      <c r="BM32" s="221" t="b">
        <v>0</v>
      </c>
      <c r="BN32" s="278"/>
      <c r="BO32" s="222"/>
    </row>
    <row r="33" spans="1:67" ht="30.6" customHeight="1" x14ac:dyDescent="0.25">
      <c r="A33" s="4">
        <v>20100192064</v>
      </c>
      <c r="B33" s="5" t="s">
        <v>60</v>
      </c>
      <c r="C33" s="52" t="s">
        <v>43</v>
      </c>
      <c r="D33" s="4" t="s">
        <v>120</v>
      </c>
      <c r="E33" s="5" t="s">
        <v>3</v>
      </c>
      <c r="F33" s="24">
        <v>45660</v>
      </c>
      <c r="G33" s="7" t="s">
        <v>113</v>
      </c>
      <c r="H33" s="25">
        <f t="shared" si="0"/>
        <v>1</v>
      </c>
      <c r="I33" s="67">
        <v>3943</v>
      </c>
      <c r="J33" s="8" t="s">
        <v>115</v>
      </c>
      <c r="K33" s="9" t="s">
        <v>121</v>
      </c>
      <c r="L33" s="10" t="s">
        <v>117</v>
      </c>
      <c r="M33" s="11">
        <v>360</v>
      </c>
      <c r="N33" s="12" t="s">
        <v>132</v>
      </c>
      <c r="O33" s="6">
        <v>45684</v>
      </c>
      <c r="P33" s="57">
        <v>3244</v>
      </c>
      <c r="Q33" s="14" t="s">
        <v>123</v>
      </c>
      <c r="R33" s="15">
        <f>(DATA[[#This Row],[cantidad_fs]]/1000)*(47+174.34)</f>
        <v>79.682400000000001</v>
      </c>
      <c r="S33" s="15">
        <v>137</v>
      </c>
      <c r="T33" s="15">
        <f>DATA[[#This Row],[C. DF]]+DATA[[#This Row],[C.OPE.]]</f>
        <v>216.6824</v>
      </c>
      <c r="U33" s="15">
        <f>DATA[[#This Row],[SUB TOTAL]]*0.18</f>
        <v>39.002831999999998</v>
      </c>
      <c r="V33" s="15">
        <f>IFERROR(ROUND(DATA[[#This Row],[SUB TOTAL]]+DATA[[#This Row],[IGV]],2),0)</f>
        <v>255.69</v>
      </c>
      <c r="W33" s="16" t="str">
        <f>IF(DATA[[#This Row],[VALORIZACIÓN ]]="-","NO CORRESPONDE",IF(OR(A33=20558226979,A33=10470707866,A33=20111157058,A33=20100226902),"NO CORRESPONDE",IF(J33="Emitida",IF(P33&gt;0,"EMITIDA","PENDIENTE"),"NO CORRESPONDE")))</f>
        <v>EMITIDA</v>
      </c>
      <c r="X33" s="29"/>
      <c r="Y33" s="17" t="s">
        <v>118</v>
      </c>
      <c r="Z33" s="30">
        <v>45687</v>
      </c>
      <c r="AA33" s="10" t="s">
        <v>124</v>
      </c>
      <c r="AB33" s="19">
        <v>534</v>
      </c>
      <c r="AC33" s="20">
        <v>30</v>
      </c>
      <c r="AD33" s="18">
        <f>DATA[[#This Row],[FECHA DE EMISION]]+DATA[[#This Row],[CONDICION DE PAGO]]</f>
        <v>45717</v>
      </c>
      <c r="AE33" s="23" t="e">
        <f>IF(DATA[[#This Row],[MONEDA]]="USD",VLOOKUP(DATA[[#This Row],[COMBINADA]],#REF!,11,0),1)</f>
        <v>#REF!</v>
      </c>
      <c r="AF33" s="39" t="str">
        <f>IF(DATA[[#This Row],[SERIE2]]="-","NO CORRESPONDE",IF(W33="NO CORRESPONDE","NO CORRESPONDE",IF(Z33&gt;0,"FACTURADO","PENDIENTE")))</f>
        <v>FACTURADO</v>
      </c>
      <c r="AG33" s="27">
        <f>IFERROR(VLOOKUP(DATA[[#This Row],[COMBINADA]],#REF!,6,0),0)</f>
        <v>0</v>
      </c>
      <c r="AH33" s="125">
        <f>IFERROR(VLOOKUP(DATA[[#This Row],[COMBINADA]],#REF!,9,0),0)/COUNTIFS(DATA[COMBINADA],DATA[[#This Row],[COMBINADA]])</f>
        <v>0</v>
      </c>
      <c r="AI33" s="27">
        <f>IFERROR(VLOOKUP(DATA[[#This Row],[COMBINADA]],#REF!,6,0),0)</f>
        <v>0</v>
      </c>
      <c r="AJ33" s="125">
        <f>IFERROR(VLOOKUP(DATA[[#This Row],[COMBINADA]],#REF!,9,0),0)/COUNTIFS(DATA[COMBINADA],DATA[[#This Row],[COMBINADA]])</f>
        <v>0</v>
      </c>
      <c r="AK33" s="27">
        <f>IFERROR(VLOOKUP(DATA[[#This Row],[COMBINADA]],#REF!,6,0),0)</f>
        <v>0</v>
      </c>
      <c r="AL33" s="125">
        <f>IFERROR(VLOOKUP(DATA[[#This Row],[COMBINADA]],#REF!,9,0),0)/COUNTIFS(DATA[COMBINADA],DATA[[#This Row],[COMBINADA]])</f>
        <v>0</v>
      </c>
      <c r="AM33" s="27">
        <f>IFERROR(VLOOKUP(DATA[[#This Row],[COMBINADA]],#REF!,6,0),0)</f>
        <v>0</v>
      </c>
      <c r="AN33" s="125">
        <f>IFERROR(VLOOKUP(DATA[[#This Row],[COMBINADA]],#REF!,9,0),0)/COUNTIFS(DATA[COMBINADA],DATA[[#This Row],[COMBINADA]])</f>
        <v>0</v>
      </c>
      <c r="AO33" s="27">
        <f>IFERROR(VLOOKUP(DATA[[#This Row],[COMBINADA]],#REF!,6,0),0)</f>
        <v>0</v>
      </c>
      <c r="AP33" s="125">
        <f>IFERROR(VLOOKUP(DATA[[#This Row],[COMBINADA]],#REF!,9,0),0)/COUNTIFS(DATA[COMBINADA],DATA[[#This Row],[COMBINADA]])</f>
        <v>0</v>
      </c>
      <c r="AQ3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575.62384615384622</v>
      </c>
      <c r="AR33" s="26" t="str">
        <f>IFERROR(IF(DATA[[#This Row],[estado_fact]]="FACTURADO",VLOOKUP(DATA[[#This Row],[SERIE2]]&amp;"-"&amp;DATA[[#This Row],[NUMERO]],#REF!,34,0),"NO CORRESPONDE"),"NO CORRESPONDE")</f>
        <v>NO CORRESPONDE</v>
      </c>
      <c r="AS33" s="22" t="str">
        <f>IF(DATA[[#This Row],[fecha_fs]]&gt;0,TEXT(DATA[[#This Row],[fecha_fs]],"Mmmm"),0)</f>
        <v>Enero</v>
      </c>
      <c r="AT33" s="22" t="str">
        <f>DATA[[#This Row],[SERIE2]]&amp;"-"&amp;DATA[[#This Row],[NUMERO]]</f>
        <v>FE01-534</v>
      </c>
      <c r="AU33" s="28" t="e">
        <f>DATA[[#This Row],[TOTAL]]*DATA[[#This Row],[T.C.]]</f>
        <v>#REF!</v>
      </c>
      <c r="AV33" s="6">
        <f>DATA[[#This Row],[FECHA DE VAL.]]</f>
        <v>45684</v>
      </c>
      <c r="AW33" s="6">
        <f>DATA[[#This Row],[FECHA DE EMISION]]</f>
        <v>45687</v>
      </c>
      <c r="AX33" s="6">
        <f>DATA[[#This Row],[F1]]</f>
        <v>0</v>
      </c>
      <c r="AY33" s="20">
        <f>IF(AV33-DATA[[#This Row],[fecha_fs]]&lt;0,0,AV33-DATA[[#This Row],[fecha_fs]])</f>
        <v>24</v>
      </c>
      <c r="AZ33" s="20">
        <f t="shared" si="1"/>
        <v>3</v>
      </c>
      <c r="BA33" s="20">
        <f t="shared" si="2"/>
        <v>0</v>
      </c>
      <c r="BB33" s="195">
        <f>IFERROR(SUM(DATA[[#This Row],[fs_val_ttf]:[fact_pago_ttf]]),0)</f>
        <v>27</v>
      </c>
      <c r="BC33" s="185">
        <v>45694</v>
      </c>
      <c r="BD33" s="185">
        <v>45700</v>
      </c>
      <c r="BE33" s="185">
        <v>45707</v>
      </c>
      <c r="BF33" s="185">
        <v>45758</v>
      </c>
      <c r="BG33" s="20">
        <f>IFERROR(IF(BC33-DATA[[#This Row],[fecha_fs]]&lt;0,0,BC33-DATA[[#This Row],[fecha_fs]]),0)</f>
        <v>34</v>
      </c>
      <c r="BH33" s="20">
        <f t="shared" si="6"/>
        <v>6</v>
      </c>
      <c r="BI33" s="20">
        <f t="shared" si="7"/>
        <v>7</v>
      </c>
      <c r="BJ33" s="20">
        <f t="shared" si="8"/>
        <v>51</v>
      </c>
      <c r="BK33" s="189">
        <f>IFERROR(SUM(DATA[[#This Row],[fs_fd_ttd]:[fend_fenf_ttd]]),0)</f>
        <v>98</v>
      </c>
      <c r="BL33" s="20" t="str">
        <f>IF(DATA[[#This Row],[fecha_fs]]&gt;0,TEXT(DATA[[#This Row],[fecha_fs]],"YYYY"),0)</f>
        <v>2025</v>
      </c>
      <c r="BM33" s="221" t="b">
        <v>1</v>
      </c>
      <c r="BN33" s="278">
        <f>COUNTIF(DATA[[#This Row],[tiempo_td]], "&lt;=15")</f>
        <v>0</v>
      </c>
      <c r="BO33" s="222"/>
    </row>
    <row r="34" spans="1:67" ht="30.6" customHeight="1" x14ac:dyDescent="0.25">
      <c r="A34" s="4">
        <v>20100192064</v>
      </c>
      <c r="B34" s="5" t="s">
        <v>60</v>
      </c>
      <c r="C34" s="52" t="s">
        <v>59</v>
      </c>
      <c r="D34" s="4" t="s">
        <v>120</v>
      </c>
      <c r="E34" s="5" t="s">
        <v>3</v>
      </c>
      <c r="F34" s="24">
        <v>45660</v>
      </c>
      <c r="G34" s="7" t="s">
        <v>113</v>
      </c>
      <c r="H34" s="25">
        <f t="shared" si="0"/>
        <v>1</v>
      </c>
      <c r="I34" s="67">
        <v>3944</v>
      </c>
      <c r="J34" s="8" t="s">
        <v>115</v>
      </c>
      <c r="K34" s="9" t="s">
        <v>121</v>
      </c>
      <c r="L34" s="10" t="s">
        <v>117</v>
      </c>
      <c r="M34" s="11">
        <v>810</v>
      </c>
      <c r="N34" s="12" t="s">
        <v>125</v>
      </c>
      <c r="O34" s="6">
        <v>45684</v>
      </c>
      <c r="P34" s="71">
        <v>3243</v>
      </c>
      <c r="Q34" s="14" t="s">
        <v>123</v>
      </c>
      <c r="R34" s="15">
        <f>(DATA[[#This Row],[cantidad_fs]]/1000)*(47+169.83)</f>
        <v>175.63230000000001</v>
      </c>
      <c r="S34" s="15">
        <v>67</v>
      </c>
      <c r="T34" s="15">
        <f>DATA[[#This Row],[C. DF]]+DATA[[#This Row],[C.OPE.]]</f>
        <v>242.63230000000001</v>
      </c>
      <c r="U34" s="15">
        <f>DATA[[#This Row],[SUB TOTAL]]*0.18</f>
        <v>43.673814</v>
      </c>
      <c r="V34" s="15">
        <f>IFERROR(ROUND(DATA[[#This Row],[SUB TOTAL]]+DATA[[#This Row],[IGV]],2),0)</f>
        <v>286.31</v>
      </c>
      <c r="W34" s="16" t="str">
        <f>IF(DATA[[#This Row],[VALORIZACIÓN ]]="-","NO CORRESPONDE",IF(OR(A34=20558226979,A34=10470707866,A34=20111157058,A34=20100226902),"NO CORRESPONDE",IF(J34="Emitida",IF(P34&gt;0,"EMITIDA","PENDIENTE"),"NO CORRESPONDE")))</f>
        <v>EMITIDA</v>
      </c>
      <c r="X34" s="29"/>
      <c r="Y34" s="17" t="s">
        <v>118</v>
      </c>
      <c r="Z34" s="30">
        <v>45687</v>
      </c>
      <c r="AA34" s="10" t="s">
        <v>124</v>
      </c>
      <c r="AB34" s="19">
        <v>533</v>
      </c>
      <c r="AC34" s="20">
        <v>30</v>
      </c>
      <c r="AD34" s="18">
        <f>DATA[[#This Row],[FECHA DE EMISION]]+DATA[[#This Row],[CONDICION DE PAGO]]</f>
        <v>45717</v>
      </c>
      <c r="AE34" s="23" t="e">
        <f>IF(DATA[[#This Row],[MONEDA]]="USD",VLOOKUP(DATA[[#This Row],[COMBINADA]],#REF!,11,0),1)</f>
        <v>#REF!</v>
      </c>
      <c r="AF34" s="39" t="str">
        <f>IF(DATA[[#This Row],[SERIE2]]="-","NO CORRESPONDE",IF(W34="NO CORRESPONDE","NO CORRESPONDE",IF(Z34&gt;0,"FACTURADO","PENDIENTE")))</f>
        <v>FACTURADO</v>
      </c>
      <c r="AG34" s="27">
        <f>IFERROR(VLOOKUP(DATA[[#This Row],[COMBINADA]],#REF!,6,0),0)</f>
        <v>0</v>
      </c>
      <c r="AH34" s="125">
        <f>IFERROR(VLOOKUP(DATA[[#This Row],[COMBINADA]],#REF!,9,0),0)/COUNTIFS(DATA[COMBINADA],DATA[[#This Row],[COMBINADA]])</f>
        <v>0</v>
      </c>
      <c r="AI34" s="27">
        <f>IFERROR(VLOOKUP(DATA[[#This Row],[COMBINADA]],#REF!,6,0),0)</f>
        <v>0</v>
      </c>
      <c r="AJ34" s="125">
        <f>IFERROR(VLOOKUP(DATA[[#This Row],[COMBINADA]],#REF!,9,0),0)/COUNTIFS(DATA[COMBINADA],DATA[[#This Row],[COMBINADA]])</f>
        <v>0</v>
      </c>
      <c r="AK34" s="27">
        <f>IFERROR(VLOOKUP(DATA[[#This Row],[COMBINADA]],#REF!,6,0),0)</f>
        <v>0</v>
      </c>
      <c r="AL34" s="125">
        <f>IFERROR(VLOOKUP(DATA[[#This Row],[COMBINADA]],#REF!,9,0),0)/COUNTIFS(DATA[COMBINADA],DATA[[#This Row],[COMBINADA]])</f>
        <v>0</v>
      </c>
      <c r="AM34" s="27">
        <f>IFERROR(VLOOKUP(DATA[[#This Row],[COMBINADA]],#REF!,6,0),0)</f>
        <v>0</v>
      </c>
      <c r="AN34" s="125">
        <f>IFERROR(VLOOKUP(DATA[[#This Row],[COMBINADA]],#REF!,9,0),0)/COUNTIFS(DATA[COMBINADA],DATA[[#This Row],[COMBINADA]])</f>
        <v>0</v>
      </c>
      <c r="AO34" s="27">
        <f>IFERROR(VLOOKUP(DATA[[#This Row],[COMBINADA]],#REF!,6,0),0)</f>
        <v>0</v>
      </c>
      <c r="AP34" s="125">
        <f>IFERROR(VLOOKUP(DATA[[#This Row],[COMBINADA]],#REF!,9,0),0)/COUNTIFS(DATA[COMBINADA],DATA[[#This Row],[COMBINADA]])</f>
        <v>0</v>
      </c>
      <c r="AQ3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215.94499999999999</v>
      </c>
      <c r="AR34" s="26" t="str">
        <f>IFERROR(IF(DATA[[#This Row],[estado_fact]]="FACTURADO",VLOOKUP(DATA[[#This Row],[SERIE2]]&amp;"-"&amp;DATA[[#This Row],[NUMERO]],#REF!,34,0),"NO CORRESPONDE"),"NO CORRESPONDE")</f>
        <v>NO CORRESPONDE</v>
      </c>
      <c r="AS34" s="22" t="str">
        <f>IF(DATA[[#This Row],[fecha_fs]]&gt;0,TEXT(DATA[[#This Row],[fecha_fs]],"Mmmm"),0)</f>
        <v>Enero</v>
      </c>
      <c r="AT34" s="22" t="str">
        <f>DATA[[#This Row],[SERIE2]]&amp;"-"&amp;DATA[[#This Row],[NUMERO]]</f>
        <v>FE01-533</v>
      </c>
      <c r="AU34" s="28" t="e">
        <f>DATA[[#This Row],[TOTAL]]*DATA[[#This Row],[T.C.]]</f>
        <v>#REF!</v>
      </c>
      <c r="AV34" s="6">
        <f>DATA[[#This Row],[FECHA DE VAL.]]</f>
        <v>45684</v>
      </c>
      <c r="AW34" s="6">
        <f>DATA[[#This Row],[FECHA DE EMISION]]</f>
        <v>45687</v>
      </c>
      <c r="AX34" s="6">
        <f>DATA[[#This Row],[F1]]</f>
        <v>0</v>
      </c>
      <c r="AY34" s="20">
        <f>IF(AV34-DATA[[#This Row],[fecha_fs]]&lt;0,0,AV34-DATA[[#This Row],[fecha_fs]])</f>
        <v>24</v>
      </c>
      <c r="AZ34" s="20">
        <f t="shared" si="1"/>
        <v>3</v>
      </c>
      <c r="BA34" s="20">
        <f t="shared" si="2"/>
        <v>0</v>
      </c>
      <c r="BB34" s="195">
        <f>IFERROR(SUM(DATA[[#This Row],[fs_val_ttf]:[fact_pago_ttf]]),0)</f>
        <v>27</v>
      </c>
      <c r="BC34" s="185">
        <v>45698</v>
      </c>
      <c r="BD34" s="185">
        <v>45705</v>
      </c>
      <c r="BE34" s="185">
        <v>45727</v>
      </c>
      <c r="BF34" s="185">
        <v>45723</v>
      </c>
      <c r="BG34" s="20">
        <f>IFERROR(IF(BC34-DATA[[#This Row],[fecha_fs]]&lt;0,0,BC34-DATA[[#This Row],[fecha_fs]]),0)</f>
        <v>38</v>
      </c>
      <c r="BH34" s="20">
        <f t="shared" si="6"/>
        <v>7</v>
      </c>
      <c r="BI34" s="20">
        <f t="shared" si="7"/>
        <v>22</v>
      </c>
      <c r="BJ34" s="20">
        <f t="shared" si="8"/>
        <v>0</v>
      </c>
      <c r="BK34" s="189">
        <f>IFERROR(SUM(DATA[[#This Row],[fs_fd_ttd]:[fend_fenf_ttd]]),0)</f>
        <v>67</v>
      </c>
      <c r="BL34" s="20" t="str">
        <f>IF(DATA[[#This Row],[fecha_fs]]&gt;0,TEXT(DATA[[#This Row],[fecha_fs]],"YYYY"),0)</f>
        <v>2025</v>
      </c>
      <c r="BM34" s="221" t="b">
        <v>1</v>
      </c>
      <c r="BN34" s="278">
        <f>COUNTIF(DATA[[#This Row],[tiempo_td]], "&lt;=15")</f>
        <v>0</v>
      </c>
      <c r="BO34" s="222"/>
    </row>
    <row r="35" spans="1:67" ht="30.6" customHeight="1" x14ac:dyDescent="0.25">
      <c r="A35" s="4">
        <v>20120858425</v>
      </c>
      <c r="B35" s="5" t="s">
        <v>68</v>
      </c>
      <c r="C35" s="52" t="s">
        <v>18</v>
      </c>
      <c r="D35" s="4" t="s">
        <v>152</v>
      </c>
      <c r="E35" s="5" t="s">
        <v>10</v>
      </c>
      <c r="F35" s="24">
        <v>45659</v>
      </c>
      <c r="G35" s="7" t="s">
        <v>113</v>
      </c>
      <c r="H35" s="25">
        <f t="shared" si="0"/>
        <v>1</v>
      </c>
      <c r="I35" s="67">
        <v>3945</v>
      </c>
      <c r="J35" s="8" t="s">
        <v>115</v>
      </c>
      <c r="K35" s="9" t="s">
        <v>153</v>
      </c>
      <c r="L35" s="10" t="s">
        <v>117</v>
      </c>
      <c r="M35" s="11">
        <v>42</v>
      </c>
      <c r="N35" s="12" t="s">
        <v>132</v>
      </c>
      <c r="O35" s="6">
        <v>45660</v>
      </c>
      <c r="P35" s="13">
        <v>3220</v>
      </c>
      <c r="Q35" s="14" t="s">
        <v>85</v>
      </c>
      <c r="R35" s="15">
        <v>299</v>
      </c>
      <c r="S35" s="15">
        <f>649.9/3</f>
        <v>216.63333333333333</v>
      </c>
      <c r="T35" s="15">
        <f>DATA[[#This Row],[C. DF]]+DATA[[#This Row],[C.OPE.]]</f>
        <v>515.63333333333333</v>
      </c>
      <c r="U35" s="15">
        <f>DATA[[#This Row],[SUB TOTAL]]*0.18</f>
        <v>92.813999999999993</v>
      </c>
      <c r="V35" s="15">
        <f>IFERROR(ROUND(DATA[[#This Row],[SUB TOTAL]]+DATA[[#This Row],[IGV]],2),0)</f>
        <v>608.45000000000005</v>
      </c>
      <c r="W35" s="16" t="str">
        <f>IF(DATA[[#This Row],[VALORIZACIÓN ]]="-","NO CORRESPONDE",IF(OR(A35=20558226979,A35=10470707866,A35=20111157058,A35=20100226902),"NO CORRESPONDE",IF(J35="Emitida",IF(P35&gt;0,"EMITIDA","PENDIENTE"),"NO CORRESPONDE")))</f>
        <v>EMITIDA</v>
      </c>
      <c r="X35" s="29"/>
      <c r="Y35" s="17" t="s">
        <v>118</v>
      </c>
      <c r="Z35" s="30">
        <v>45680</v>
      </c>
      <c r="AA35" s="10" t="s">
        <v>124</v>
      </c>
      <c r="AB35" s="19">
        <v>526</v>
      </c>
      <c r="AC35" s="20">
        <v>15</v>
      </c>
      <c r="AD35" s="18">
        <f>DATA[[#This Row],[FECHA DE EMISION]]+DATA[[#This Row],[CONDICION DE PAGO]]</f>
        <v>45695</v>
      </c>
      <c r="AE35" s="23">
        <f>IF(DATA[[#This Row],[MONEDA]]="USD",VLOOKUP(DATA[[#This Row],[COMBINADA]],#REF!,11,0),1)</f>
        <v>1</v>
      </c>
      <c r="AF35" s="39" t="str">
        <f>IF(DATA[[#This Row],[SERIE2]]="-","NO CORRESPONDE",IF(W35="NO CORRESPONDE","NO CORRESPONDE",IF(Z35&gt;0,"FACTURADO","PENDIENTE")))</f>
        <v>FACTURADO</v>
      </c>
      <c r="AG35" s="27">
        <f>IFERROR(VLOOKUP(DATA[[#This Row],[COMBINADA]],#REF!,6,0),0)</f>
        <v>0</v>
      </c>
      <c r="AH35" s="125">
        <f>IFERROR(VLOOKUP(DATA[[#This Row],[COMBINADA]],#REF!,9,0),0)/COUNTIFS(DATA[COMBINADA],DATA[[#This Row],[COMBINADA]])</f>
        <v>0</v>
      </c>
      <c r="AI35" s="27">
        <f>IFERROR(VLOOKUP(DATA[[#This Row],[COMBINADA]],#REF!,6,0),0)</f>
        <v>0</v>
      </c>
      <c r="AJ35" s="125">
        <f>IFERROR(VLOOKUP(DATA[[#This Row],[COMBINADA]],#REF!,9,0),0)/COUNTIFS(DATA[COMBINADA],DATA[[#This Row],[COMBINADA]])</f>
        <v>0</v>
      </c>
      <c r="AK35" s="27">
        <f>IFERROR(VLOOKUP(DATA[[#This Row],[COMBINADA]],#REF!,6,0),0)</f>
        <v>0</v>
      </c>
      <c r="AL35" s="125">
        <f>IFERROR(VLOOKUP(DATA[[#This Row],[COMBINADA]],#REF!,9,0),0)/COUNTIFS(DATA[COMBINADA],DATA[[#This Row],[COMBINADA]])</f>
        <v>0</v>
      </c>
      <c r="AM35" s="27">
        <f>IFERROR(VLOOKUP(DATA[[#This Row],[COMBINADA]],#REF!,6,0),0)</f>
        <v>0</v>
      </c>
      <c r="AN35" s="125">
        <f>IFERROR(VLOOKUP(DATA[[#This Row],[COMBINADA]],#REF!,9,0),0)/COUNTIFS(DATA[COMBINADA],DATA[[#This Row],[COMBINADA]])</f>
        <v>0</v>
      </c>
      <c r="AO35" s="27">
        <f>IFERROR(VLOOKUP(DATA[[#This Row],[COMBINADA]],#REF!,6,0),0)</f>
        <v>0</v>
      </c>
      <c r="AP35" s="125">
        <f>IFERROR(VLOOKUP(DATA[[#This Row],[COMBINADA]],#REF!,9,0),0)/COUNTIFS(DATA[COMBINADA],DATA[[#This Row],[COMBINADA]])</f>
        <v>0</v>
      </c>
      <c r="AQ3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442.58666666666664</v>
      </c>
      <c r="AR35" s="26" t="str">
        <f>IFERROR(IF(DATA[[#This Row],[estado_fact]]="FACTURADO",VLOOKUP(DATA[[#This Row],[SERIE2]]&amp;"-"&amp;DATA[[#This Row],[NUMERO]],#REF!,34,0),"NO CORRESPONDE"),"NO CORRESPONDE")</f>
        <v>NO CORRESPONDE</v>
      </c>
      <c r="AS35" s="22" t="str">
        <f>IF(DATA[[#This Row],[fecha_fs]]&gt;0,TEXT(DATA[[#This Row],[fecha_fs]],"Mmmm"),0)</f>
        <v>Enero</v>
      </c>
      <c r="AT35" s="22" t="str">
        <f>DATA[[#This Row],[SERIE2]]&amp;"-"&amp;DATA[[#This Row],[NUMERO]]</f>
        <v>FE01-526</v>
      </c>
      <c r="AU35" s="28">
        <f>DATA[[#This Row],[TOTAL]]*DATA[[#This Row],[T.C.]]</f>
        <v>608.45000000000005</v>
      </c>
      <c r="AV35" s="6">
        <f>DATA[[#This Row],[FECHA DE VAL.]]</f>
        <v>45660</v>
      </c>
      <c r="AW35" s="6">
        <f>DATA[[#This Row],[FECHA DE EMISION]]</f>
        <v>45680</v>
      </c>
      <c r="AX35" s="6">
        <f>DATA[[#This Row],[F1]]</f>
        <v>0</v>
      </c>
      <c r="AY35" s="20">
        <f>IF(AV35-DATA[[#This Row],[fecha_fs]]&lt;0,0,AV35-DATA[[#This Row],[fecha_fs]])</f>
        <v>1</v>
      </c>
      <c r="AZ35" s="20">
        <f t="shared" si="1"/>
        <v>20</v>
      </c>
      <c r="BA35" s="20">
        <f t="shared" si="2"/>
        <v>0</v>
      </c>
      <c r="BB35" s="195">
        <f>IFERROR(SUM(DATA[[#This Row],[fs_val_ttf]:[fact_pago_ttf]]),0)</f>
        <v>21</v>
      </c>
      <c r="BC35" s="185">
        <v>45675</v>
      </c>
      <c r="BD35" s="185">
        <v>45679</v>
      </c>
      <c r="BE35" s="185">
        <v>45687</v>
      </c>
      <c r="BF35" s="185">
        <v>45700</v>
      </c>
      <c r="BG35" s="20">
        <f>IFERROR(IF(BC35-DATA[[#This Row],[fecha_fs]]&lt;0,0,BC35-DATA[[#This Row],[fecha_fs]]),0)</f>
        <v>16</v>
      </c>
      <c r="BH35" s="20">
        <f t="shared" si="6"/>
        <v>4</v>
      </c>
      <c r="BI35" s="20">
        <f t="shared" si="7"/>
        <v>8</v>
      </c>
      <c r="BJ35" s="20">
        <f t="shared" si="8"/>
        <v>13</v>
      </c>
      <c r="BK35" s="189">
        <f>IFERROR(SUM(DATA[[#This Row],[fs_fd_ttd]:[fend_fenf_ttd]]),0)</f>
        <v>41</v>
      </c>
      <c r="BL35" s="20" t="str">
        <f>IF(DATA[[#This Row],[fecha_fs]]&gt;0,TEXT(DATA[[#This Row],[fecha_fs]],"YYYY"),0)</f>
        <v>2025</v>
      </c>
      <c r="BM35" s="221" t="b">
        <v>1</v>
      </c>
      <c r="BN35" s="278">
        <f>COUNTIF(DATA[[#This Row],[tiempo_td]], "&lt;=15")</f>
        <v>0</v>
      </c>
      <c r="BO35" s="222"/>
    </row>
    <row r="36" spans="1:67" ht="30.6" customHeight="1" x14ac:dyDescent="0.25">
      <c r="A36" s="4">
        <v>20100211115</v>
      </c>
      <c r="B36" s="5" t="s">
        <v>41</v>
      </c>
      <c r="C36" s="52" t="s">
        <v>18</v>
      </c>
      <c r="D36" s="4" t="s">
        <v>120</v>
      </c>
      <c r="E36" s="5" t="s">
        <v>3</v>
      </c>
      <c r="F36" s="24">
        <v>45663</v>
      </c>
      <c r="G36" s="7" t="s">
        <v>113</v>
      </c>
      <c r="H36" s="25">
        <f t="shared" si="0"/>
        <v>1</v>
      </c>
      <c r="I36" s="67">
        <v>3946</v>
      </c>
      <c r="J36" s="8" t="s">
        <v>115</v>
      </c>
      <c r="K36" s="9" t="s">
        <v>121</v>
      </c>
      <c r="L36" s="10" t="s">
        <v>117</v>
      </c>
      <c r="M36" s="11">
        <v>90</v>
      </c>
      <c r="N36" s="12" t="s">
        <v>125</v>
      </c>
      <c r="O36" s="6">
        <v>45684</v>
      </c>
      <c r="P36" s="115">
        <v>3267</v>
      </c>
      <c r="Q36" s="14" t="s">
        <v>85</v>
      </c>
      <c r="R36" s="15"/>
      <c r="S36" s="15">
        <f>(DATA[[#This Row],[cantidad_fs]]*4.37)</f>
        <v>393.3</v>
      </c>
      <c r="T36" s="15">
        <f>DATA[[#This Row],[C. DF]]+DATA[[#This Row],[C.OPE.]]</f>
        <v>393.3</v>
      </c>
      <c r="U36" s="15">
        <f>DATA[[#This Row],[SUB TOTAL]]*0.18</f>
        <v>70.793999999999997</v>
      </c>
      <c r="V36" s="15">
        <f>IFERROR(ROUND(DATA[[#This Row],[SUB TOTAL]]+DATA[[#This Row],[IGV]],2),0)</f>
        <v>464.09</v>
      </c>
      <c r="W36" s="16" t="str">
        <f>IF(DATA[[#This Row],[VALORIZACIÓN ]]="-","NO CORRESPONDE",IF(OR(A36=20558226979,A36=10470707866,A36=20111157058,A36=20100226902),"NO CORRESPONDE",IF(J36="Emitida",IF(P36&gt;0,"EMITIDA","PENDIENTE"),"NO CORRESPONDE")))</f>
        <v>EMITIDA</v>
      </c>
      <c r="X36" s="29"/>
      <c r="Y36" s="17" t="s">
        <v>118</v>
      </c>
      <c r="Z36" s="30">
        <v>45687</v>
      </c>
      <c r="AA36" s="10" t="s">
        <v>124</v>
      </c>
      <c r="AB36" s="19">
        <v>536</v>
      </c>
      <c r="AC36" s="20">
        <v>30</v>
      </c>
      <c r="AD36" s="18">
        <f>DATA[[#This Row],[FECHA DE EMISION]]+DATA[[#This Row],[CONDICION DE PAGO]]</f>
        <v>45717</v>
      </c>
      <c r="AE36" s="23">
        <f>IF(DATA[[#This Row],[MONEDA]]="USD",VLOOKUP(DATA[[#This Row],[COMBINADA]],#REF!,11,0),1)</f>
        <v>1</v>
      </c>
      <c r="AF36" s="39" t="str">
        <f>IF(DATA[[#This Row],[SERIE2]]="-","NO CORRESPONDE",IF(W36="NO CORRESPONDE","NO CORRESPONDE",IF(Z36&gt;0,"FACTURADO","PENDIENTE")))</f>
        <v>FACTURADO</v>
      </c>
      <c r="AG36" s="27">
        <f>IFERROR(VLOOKUP(DATA[[#This Row],[COMBINADA]],#REF!,6,0),0)</f>
        <v>0</v>
      </c>
      <c r="AH36" s="125">
        <f>IFERROR(VLOOKUP(DATA[[#This Row],[COMBINADA]],#REF!,9,0),0)/COUNTIFS(DATA[COMBINADA],DATA[[#This Row],[COMBINADA]])</f>
        <v>0</v>
      </c>
      <c r="AI36" s="27">
        <f>IFERROR(VLOOKUP(DATA[[#This Row],[COMBINADA]],#REF!,6,0),0)</f>
        <v>0</v>
      </c>
      <c r="AJ36" s="125">
        <f>IFERROR(VLOOKUP(DATA[[#This Row],[COMBINADA]],#REF!,9,0),0)/COUNTIFS(DATA[COMBINADA],DATA[[#This Row],[COMBINADA]])</f>
        <v>0</v>
      </c>
      <c r="AK36" s="27">
        <f>IFERROR(VLOOKUP(DATA[[#This Row],[COMBINADA]],#REF!,6,0),0)</f>
        <v>0</v>
      </c>
      <c r="AL36" s="125">
        <f>IFERROR(VLOOKUP(DATA[[#This Row],[COMBINADA]],#REF!,9,0),0)/COUNTIFS(DATA[COMBINADA],DATA[[#This Row],[COMBINADA]])</f>
        <v>0</v>
      </c>
      <c r="AM36" s="27">
        <f>IFERROR(VLOOKUP(DATA[[#This Row],[COMBINADA]],#REF!,6,0),0)</f>
        <v>0</v>
      </c>
      <c r="AN36" s="125">
        <f>IFERROR(VLOOKUP(DATA[[#This Row],[COMBINADA]],#REF!,9,0),0)/COUNTIFS(DATA[COMBINADA],DATA[[#This Row],[COMBINADA]])</f>
        <v>0</v>
      </c>
      <c r="AO36" s="27">
        <f>IFERROR(VLOOKUP(DATA[[#This Row],[COMBINADA]],#REF!,6,0),0)</f>
        <v>0</v>
      </c>
      <c r="AP36" s="125">
        <f>IFERROR(VLOOKUP(DATA[[#This Row],[COMBINADA]],#REF!,9,0),0)/COUNTIFS(DATA[COMBINADA],DATA[[#This Row],[COMBINADA]])</f>
        <v>0</v>
      </c>
      <c r="AQ3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36" s="26" t="str">
        <f>IFERROR(IF(DATA[[#This Row],[estado_fact]]="FACTURADO",VLOOKUP(DATA[[#This Row],[SERIE2]]&amp;"-"&amp;DATA[[#This Row],[NUMERO]],#REF!,34,0),"NO CORRESPONDE"),"NO CORRESPONDE")</f>
        <v>NO CORRESPONDE</v>
      </c>
      <c r="AS36" s="22" t="str">
        <f>IF(DATA[[#This Row],[fecha_fs]]&gt;0,TEXT(DATA[[#This Row],[fecha_fs]],"Mmmm"),0)</f>
        <v>Enero</v>
      </c>
      <c r="AT36" s="22" t="str">
        <f>DATA[[#This Row],[SERIE2]]&amp;"-"&amp;DATA[[#This Row],[NUMERO]]</f>
        <v>FE01-536</v>
      </c>
      <c r="AU36" s="28">
        <f>DATA[[#This Row],[TOTAL]]*DATA[[#This Row],[T.C.]]</f>
        <v>464.09</v>
      </c>
      <c r="AV36" s="6">
        <f>DATA[[#This Row],[FECHA DE VAL.]]</f>
        <v>45684</v>
      </c>
      <c r="AW36" s="6">
        <f>DATA[[#This Row],[FECHA DE EMISION]]</f>
        <v>45687</v>
      </c>
      <c r="AX36" s="6">
        <f>DATA[[#This Row],[F1]]</f>
        <v>0</v>
      </c>
      <c r="AY36" s="20">
        <f>IF(AV36-DATA[[#This Row],[fecha_fs]]&lt;0,0,AV36-DATA[[#This Row],[fecha_fs]])</f>
        <v>21</v>
      </c>
      <c r="AZ36" s="20">
        <f t="shared" si="1"/>
        <v>3</v>
      </c>
      <c r="BA36" s="20">
        <f t="shared" si="2"/>
        <v>0</v>
      </c>
      <c r="BB36" s="195">
        <f>IFERROR(SUM(DATA[[#This Row],[fs_val_ttf]:[fact_pago_ttf]]),0)</f>
        <v>24</v>
      </c>
      <c r="BC36" s="185">
        <v>45698</v>
      </c>
      <c r="BD36" s="185">
        <v>45707</v>
      </c>
      <c r="BE36" s="185">
        <v>45712</v>
      </c>
      <c r="BF36" s="185">
        <v>45714</v>
      </c>
      <c r="BG36" s="20">
        <f>IFERROR(IF(BC36-DATA[[#This Row],[fecha_fs]]&lt;0,0,BC36-DATA[[#This Row],[fecha_fs]]),0)</f>
        <v>35</v>
      </c>
      <c r="BH36" s="20">
        <f t="shared" si="6"/>
        <v>9</v>
      </c>
      <c r="BI36" s="20">
        <f t="shared" si="7"/>
        <v>5</v>
      </c>
      <c r="BJ36" s="20">
        <f t="shared" si="8"/>
        <v>2</v>
      </c>
      <c r="BK36" s="189">
        <f>IFERROR(SUM(DATA[[#This Row],[fs_fd_ttd]:[fend_fenf_ttd]]),0)</f>
        <v>51</v>
      </c>
      <c r="BL36" s="20" t="str">
        <f>IF(DATA[[#This Row],[fecha_fs]]&gt;0,TEXT(DATA[[#This Row],[fecha_fs]],"YYYY"),0)</f>
        <v>2025</v>
      </c>
      <c r="BM36" s="221" t="b">
        <v>1</v>
      </c>
      <c r="BN36" s="278">
        <f>COUNTIF(DATA[[#This Row],[tiempo_td]], "&lt;=15")</f>
        <v>0</v>
      </c>
      <c r="BO36" s="222"/>
    </row>
    <row r="37" spans="1:67" ht="30.6" customHeight="1" x14ac:dyDescent="0.25">
      <c r="A37" s="4">
        <v>20141637941</v>
      </c>
      <c r="B37" s="5" t="s">
        <v>79</v>
      </c>
      <c r="C37" s="52" t="s">
        <v>154</v>
      </c>
      <c r="D37" s="4" t="s">
        <v>120</v>
      </c>
      <c r="E37" s="5" t="s">
        <v>3</v>
      </c>
      <c r="F37" s="24">
        <v>45660</v>
      </c>
      <c r="G37" s="7" t="s">
        <v>113</v>
      </c>
      <c r="H37" s="25">
        <f t="shared" si="0"/>
        <v>1</v>
      </c>
      <c r="I37" s="67">
        <v>3947</v>
      </c>
      <c r="J37" s="8" t="s">
        <v>115</v>
      </c>
      <c r="K37" s="9" t="s">
        <v>121</v>
      </c>
      <c r="L37" s="10" t="s">
        <v>117</v>
      </c>
      <c r="M37" s="11">
        <v>340</v>
      </c>
      <c r="N37" s="12" t="s">
        <v>132</v>
      </c>
      <c r="O37" s="6">
        <v>45667</v>
      </c>
      <c r="P37" s="68">
        <v>3230</v>
      </c>
      <c r="Q37" s="14" t="s">
        <v>85</v>
      </c>
      <c r="R37" s="15">
        <v>70</v>
      </c>
      <c r="S37" s="15">
        <v>517</v>
      </c>
      <c r="T37" s="15">
        <f>DATA[[#This Row],[C. DF]]+DATA[[#This Row],[C.OPE.]]</f>
        <v>587</v>
      </c>
      <c r="U37" s="15">
        <f>DATA[[#This Row],[SUB TOTAL]]*0.18</f>
        <v>105.66</v>
      </c>
      <c r="V37" s="15">
        <f>IFERROR(ROUND(DATA[[#This Row],[SUB TOTAL]]+DATA[[#This Row],[IGV]],2),0)</f>
        <v>692.66</v>
      </c>
      <c r="W37" s="16" t="str">
        <f>IF(DATA[[#This Row],[VALORIZACIÓN ]]="-","NO CORRESPONDE",IF(OR(A37=20558226979,A37=10470707866,A37=20111157058,A37=20100226902),"NO CORRESPONDE",IF(J37="Emitida",IF(P37&gt;0,"EMITIDA","PENDIENTE"),"NO CORRESPONDE")))</f>
        <v>EMITIDA</v>
      </c>
      <c r="X37" s="29"/>
      <c r="Y37" s="17" t="s">
        <v>118</v>
      </c>
      <c r="Z37" s="30">
        <v>45678</v>
      </c>
      <c r="AA37" s="10" t="s">
        <v>124</v>
      </c>
      <c r="AB37" s="19">
        <v>511</v>
      </c>
      <c r="AC37" s="20">
        <v>30</v>
      </c>
      <c r="AD37" s="18">
        <f>DATA[[#This Row],[FECHA DE EMISION]]+DATA[[#This Row],[CONDICION DE PAGO]]</f>
        <v>45708</v>
      </c>
      <c r="AE37" s="23">
        <f>IF(DATA[[#This Row],[MONEDA]]="USD",VLOOKUP(DATA[[#This Row],[COMBINADA]],#REF!,11,0),1)</f>
        <v>1</v>
      </c>
      <c r="AF37" s="39" t="str">
        <f>IF(DATA[[#This Row],[SERIE2]]="-","NO CORRESPONDE",IF(W37="NO CORRESPONDE","NO CORRESPONDE",IF(Z37&gt;0,"FACTURADO","PENDIENTE")))</f>
        <v>FACTURADO</v>
      </c>
      <c r="AG37" s="27">
        <f>IFERROR(VLOOKUP(DATA[[#This Row],[COMBINADA]],#REF!,6,0),0)</f>
        <v>0</v>
      </c>
      <c r="AH37" s="125">
        <f>IFERROR(VLOOKUP(DATA[[#This Row],[COMBINADA]],#REF!,9,0),0)/COUNTIFS(DATA[COMBINADA],DATA[[#This Row],[COMBINADA]])</f>
        <v>0</v>
      </c>
      <c r="AI37" s="27">
        <f>IFERROR(VLOOKUP(DATA[[#This Row],[COMBINADA]],#REF!,6,0),0)</f>
        <v>0</v>
      </c>
      <c r="AJ37" s="125">
        <f>IFERROR(VLOOKUP(DATA[[#This Row],[COMBINADA]],#REF!,9,0),0)/COUNTIFS(DATA[COMBINADA],DATA[[#This Row],[COMBINADA]])</f>
        <v>0</v>
      </c>
      <c r="AK37" s="27">
        <f>IFERROR(VLOOKUP(DATA[[#This Row],[COMBINADA]],#REF!,6,0),0)</f>
        <v>0</v>
      </c>
      <c r="AL37" s="125">
        <f>IFERROR(VLOOKUP(DATA[[#This Row],[COMBINADA]],#REF!,9,0),0)/COUNTIFS(DATA[COMBINADA],DATA[[#This Row],[COMBINADA]])</f>
        <v>0</v>
      </c>
      <c r="AM37" s="27">
        <f>IFERROR(VLOOKUP(DATA[[#This Row],[COMBINADA]],#REF!,6,0),0)</f>
        <v>0</v>
      </c>
      <c r="AN37" s="125">
        <f>IFERROR(VLOOKUP(DATA[[#This Row],[COMBINADA]],#REF!,9,0),0)/COUNTIFS(DATA[COMBINADA],DATA[[#This Row],[COMBINADA]])</f>
        <v>0</v>
      </c>
      <c r="AO37" s="27">
        <f>IFERROR(VLOOKUP(DATA[[#This Row],[COMBINADA]],#REF!,6,0),0)</f>
        <v>0</v>
      </c>
      <c r="AP37" s="125">
        <f>IFERROR(VLOOKUP(DATA[[#This Row],[COMBINADA]],#REF!,9,0),0)/COUNTIFS(DATA[COMBINADA],DATA[[#This Row],[COMBINADA]])</f>
        <v>0</v>
      </c>
      <c r="AQ3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701.86399999999992</v>
      </c>
      <c r="AR37" s="26" t="str">
        <f>IFERROR(IF(DATA[[#This Row],[estado_fact]]="FACTURADO",VLOOKUP(DATA[[#This Row],[SERIE2]]&amp;"-"&amp;DATA[[#This Row],[NUMERO]],#REF!,34,0),"NO CORRESPONDE"),"NO CORRESPONDE")</f>
        <v>NO CORRESPONDE</v>
      </c>
      <c r="AS37" s="22" t="str">
        <f>IF(DATA[[#This Row],[fecha_fs]]&gt;0,TEXT(DATA[[#This Row],[fecha_fs]],"Mmmm"),0)</f>
        <v>Enero</v>
      </c>
      <c r="AT37" s="22" t="str">
        <f>DATA[[#This Row],[SERIE2]]&amp;"-"&amp;DATA[[#This Row],[NUMERO]]</f>
        <v>FE01-511</v>
      </c>
      <c r="AU37" s="28">
        <f>DATA[[#This Row],[TOTAL]]*DATA[[#This Row],[T.C.]]</f>
        <v>692.66</v>
      </c>
      <c r="AV37" s="6">
        <f>DATA[[#This Row],[FECHA DE VAL.]]</f>
        <v>45667</v>
      </c>
      <c r="AW37" s="6">
        <f>DATA[[#This Row],[FECHA DE EMISION]]</f>
        <v>45678</v>
      </c>
      <c r="AX37" s="6">
        <f>DATA[[#This Row],[F1]]</f>
        <v>0</v>
      </c>
      <c r="AY37" s="20">
        <f>IF(AV37-DATA[[#This Row],[fecha_fs]]&lt;0,0,AV37-DATA[[#This Row],[fecha_fs]])</f>
        <v>7</v>
      </c>
      <c r="AZ37" s="20">
        <f t="shared" si="1"/>
        <v>11</v>
      </c>
      <c r="BA37" s="20">
        <f t="shared" si="2"/>
        <v>0</v>
      </c>
      <c r="BB37" s="195">
        <f>IFERROR(SUM(DATA[[#This Row],[fs_val_ttf]:[fact_pago_ttf]]),0)</f>
        <v>18</v>
      </c>
      <c r="BC37" s="185">
        <v>45660</v>
      </c>
      <c r="BD37" s="185">
        <v>45660</v>
      </c>
      <c r="BE37" s="185">
        <v>45678</v>
      </c>
      <c r="BF37" s="185">
        <v>45678</v>
      </c>
      <c r="BG37" s="20">
        <f>IFERROR(IF(BC37-DATA[[#This Row],[fecha_fs]]&lt;0,0,BC37-DATA[[#This Row],[fecha_fs]]),0)</f>
        <v>0</v>
      </c>
      <c r="BH37" s="20">
        <f t="shared" si="6"/>
        <v>0</v>
      </c>
      <c r="BI37" s="20">
        <f t="shared" si="7"/>
        <v>18</v>
      </c>
      <c r="BJ37" s="20">
        <f t="shared" si="8"/>
        <v>0</v>
      </c>
      <c r="BK37" s="189">
        <f>IFERROR(SUM(DATA[[#This Row],[fs_fd_ttd]:[fend_fenf_ttd]]),0)</f>
        <v>18</v>
      </c>
      <c r="BL37" s="20" t="str">
        <f>IF(DATA[[#This Row],[fecha_fs]]&gt;0,TEXT(DATA[[#This Row],[fecha_fs]],"YYYY"),0)</f>
        <v>2025</v>
      </c>
      <c r="BM37" s="221" t="b">
        <v>1</v>
      </c>
      <c r="BN37" s="278">
        <f>COUNTIF(DATA[[#This Row],[tiempo_td]], "&lt;=15")</f>
        <v>0</v>
      </c>
      <c r="BO37" s="222"/>
    </row>
    <row r="38" spans="1:67" ht="30.6" customHeight="1" x14ac:dyDescent="0.25">
      <c r="A38" s="4">
        <v>20419158462</v>
      </c>
      <c r="B38" s="5" t="s">
        <v>2</v>
      </c>
      <c r="C38" s="52" t="s">
        <v>155</v>
      </c>
      <c r="D38" s="4" t="s">
        <v>120</v>
      </c>
      <c r="E38" s="5" t="s">
        <v>3</v>
      </c>
      <c r="F38" s="24">
        <v>45663</v>
      </c>
      <c r="G38" s="7" t="s">
        <v>113</v>
      </c>
      <c r="H38" s="25">
        <f t="shared" si="0"/>
        <v>1</v>
      </c>
      <c r="I38" s="67">
        <v>3948</v>
      </c>
      <c r="J38" s="8" t="s">
        <v>115</v>
      </c>
      <c r="K38" s="9" t="s">
        <v>156</v>
      </c>
      <c r="L38" s="10" t="s">
        <v>117</v>
      </c>
      <c r="M38" s="11">
        <v>780</v>
      </c>
      <c r="N38" s="12" t="s">
        <v>125</v>
      </c>
      <c r="O38" s="6">
        <v>45664</v>
      </c>
      <c r="P38" s="13">
        <v>3222</v>
      </c>
      <c r="Q38" s="14" t="s">
        <v>85</v>
      </c>
      <c r="R38" s="15">
        <v>0</v>
      </c>
      <c r="S38" s="15">
        <f>1429.7/2</f>
        <v>714.85</v>
      </c>
      <c r="T38" s="15">
        <f>DATA[[#This Row],[C. DF]]+DATA[[#This Row],[C.OPE.]]</f>
        <v>714.85</v>
      </c>
      <c r="U38" s="15">
        <f>DATA[[#This Row],[SUB TOTAL]]*0.18</f>
        <v>128.673</v>
      </c>
      <c r="V38" s="15">
        <f>IFERROR(ROUND(DATA[[#This Row],[SUB TOTAL]]+DATA[[#This Row],[IGV]],2),0)</f>
        <v>843.52</v>
      </c>
      <c r="W38" s="16" t="str">
        <f>IF(DATA[[#This Row],[VALORIZACIÓN ]]="-","NO CORRESPONDE",IF(OR(A38=20558226979,A38=10470707866,A38=20111157058,A38=20100226902),"NO CORRESPONDE",IF(J38="Emitida",IF(P38&gt;0,"EMITIDA","PENDIENTE"),"NO CORRESPONDE")))</f>
        <v>EMITIDA</v>
      </c>
      <c r="X38" s="29" t="s">
        <v>149</v>
      </c>
      <c r="Y38" s="17" t="s">
        <v>118</v>
      </c>
      <c r="Z38" s="30">
        <v>45761</v>
      </c>
      <c r="AA38" s="10" t="s">
        <v>150</v>
      </c>
      <c r="AB38" s="19">
        <v>27</v>
      </c>
      <c r="AC38" s="20">
        <v>15</v>
      </c>
      <c r="AD38" s="18">
        <f>DATA[[#This Row],[FECHA DE EMISION]]+DATA[[#This Row],[CONDICION DE PAGO]]</f>
        <v>45776</v>
      </c>
      <c r="AE38" s="23">
        <f>IF(DATA[[#This Row],[MONEDA]]="USD",VLOOKUP(DATA[[#This Row],[COMBINADA]],#REF!,11,0),1)</f>
        <v>1</v>
      </c>
      <c r="AF38" s="39" t="str">
        <f>IF(DATA[[#This Row],[SERIE2]]="-","NO CORRESPONDE",IF(W38="NO CORRESPONDE","NO CORRESPONDE",IF(Z38&gt;0,"FACTURADO","PENDIENTE")))</f>
        <v>FACTURADO</v>
      </c>
      <c r="AG38" s="27">
        <f>IFERROR(VLOOKUP(DATA[[#This Row],[COMBINADA]],#REF!,6,0),0)</f>
        <v>0</v>
      </c>
      <c r="AH38" s="125">
        <f>IFERROR(VLOOKUP(DATA[[#This Row],[COMBINADA]],#REF!,9,0),0)/COUNTIFS(DATA[COMBINADA],DATA[[#This Row],[COMBINADA]])</f>
        <v>0</v>
      </c>
      <c r="AI38" s="27">
        <f>IFERROR(VLOOKUP(DATA[[#This Row],[COMBINADA]],#REF!,6,0),0)</f>
        <v>0</v>
      </c>
      <c r="AJ38" s="125">
        <f>IFERROR(VLOOKUP(DATA[[#This Row],[COMBINADA]],#REF!,9,0),0)/COUNTIFS(DATA[COMBINADA],DATA[[#This Row],[COMBINADA]])</f>
        <v>0</v>
      </c>
      <c r="AK38" s="27">
        <f>IFERROR(VLOOKUP(DATA[[#This Row],[COMBINADA]],#REF!,6,0),0)</f>
        <v>0</v>
      </c>
      <c r="AL38" s="125">
        <f>IFERROR(VLOOKUP(DATA[[#This Row],[COMBINADA]],#REF!,9,0),0)/COUNTIFS(DATA[COMBINADA],DATA[[#This Row],[COMBINADA]])</f>
        <v>0</v>
      </c>
      <c r="AM38" s="27">
        <f>IFERROR(VLOOKUP(DATA[[#This Row],[COMBINADA]],#REF!,6,0),0)</f>
        <v>0</v>
      </c>
      <c r="AN38" s="125">
        <f>IFERROR(VLOOKUP(DATA[[#This Row],[COMBINADA]],#REF!,9,0),0)/COUNTIFS(DATA[COMBINADA],DATA[[#This Row],[COMBINADA]])</f>
        <v>0</v>
      </c>
      <c r="AO38" s="27">
        <f>IFERROR(VLOOKUP(DATA[[#This Row],[COMBINADA]],#REF!,6,0),0)</f>
        <v>0</v>
      </c>
      <c r="AP38" s="125">
        <f>IFERROR(VLOOKUP(DATA[[#This Row],[COMBINADA]],#REF!,9,0),0)/COUNTIFS(DATA[COMBINADA],DATA[[#This Row],[COMBINADA]])</f>
        <v>0</v>
      </c>
      <c r="AQ3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38" s="26" t="str">
        <f>IFERROR(IF(DATA[[#This Row],[estado_fact]]="FACTURADO",VLOOKUP(DATA[[#This Row],[SERIE2]]&amp;"-"&amp;DATA[[#This Row],[NUMERO]],#REF!,34,0),"NO CORRESPONDE"),"NO CORRESPONDE")</f>
        <v>NO CORRESPONDE</v>
      </c>
      <c r="AS38" s="22" t="str">
        <f>IF(DATA[[#This Row],[fecha_fs]]&gt;0,TEXT(DATA[[#This Row],[fecha_fs]],"Mmmm"),0)</f>
        <v>Enero</v>
      </c>
      <c r="AT38" s="22" t="str">
        <f>DATA[[#This Row],[SERIE2]]&amp;"-"&amp;DATA[[#This Row],[NUMERO]]</f>
        <v>FF01-27</v>
      </c>
      <c r="AU38" s="28">
        <f>DATA[[#This Row],[TOTAL]]*DATA[[#This Row],[T.C.]]</f>
        <v>843.52</v>
      </c>
      <c r="AV38" s="6">
        <f>DATA[[#This Row],[FECHA DE VAL.]]</f>
        <v>45664</v>
      </c>
      <c r="AW38" s="6">
        <f>DATA[[#This Row],[FECHA DE EMISION]]</f>
        <v>45761</v>
      </c>
      <c r="AX38" s="6">
        <f>DATA[[#This Row],[F1]]</f>
        <v>0</v>
      </c>
      <c r="AY38" s="20">
        <f>IF(AV38-DATA[[#This Row],[fecha_fs]]&lt;0,0,AV38-DATA[[#This Row],[fecha_fs]])</f>
        <v>1</v>
      </c>
      <c r="AZ38" s="20">
        <f t="shared" si="1"/>
        <v>97</v>
      </c>
      <c r="BA38" s="20">
        <f t="shared" si="2"/>
        <v>0</v>
      </c>
      <c r="BB38" s="195">
        <f>IFERROR(SUM(DATA[[#This Row],[fs_val_ttf]:[fact_pago_ttf]]),0)</f>
        <v>98</v>
      </c>
      <c r="BC38" s="185">
        <v>45663</v>
      </c>
      <c r="BD38" s="185">
        <v>45663</v>
      </c>
      <c r="BE38" s="185">
        <v>45686</v>
      </c>
      <c r="BF38" s="185">
        <v>45686</v>
      </c>
      <c r="BG38" s="20">
        <f>IFERROR(IF(BC38-DATA[[#This Row],[fecha_fs]]&lt;0,0,BC38-DATA[[#This Row],[fecha_fs]]),0)</f>
        <v>0</v>
      </c>
      <c r="BH38" s="20">
        <f t="shared" si="6"/>
        <v>0</v>
      </c>
      <c r="BI38" s="20">
        <f t="shared" si="7"/>
        <v>23</v>
      </c>
      <c r="BJ38" s="20">
        <f t="shared" si="8"/>
        <v>0</v>
      </c>
      <c r="BK38" s="189">
        <f>IFERROR(SUM(DATA[[#This Row],[fs_fd_ttd]:[fend_fenf_ttd]]),0)</f>
        <v>23</v>
      </c>
      <c r="BL38" s="20" t="str">
        <f>IF(DATA[[#This Row],[fecha_fs]]&gt;0,TEXT(DATA[[#This Row],[fecha_fs]],"YYYY"),0)</f>
        <v>2025</v>
      </c>
      <c r="BM38" s="221" t="b">
        <v>1</v>
      </c>
      <c r="BN38" s="278">
        <f>COUNTIF(DATA[[#This Row],[tiempo_td]], "&lt;=15")</f>
        <v>0</v>
      </c>
      <c r="BO38" s="222"/>
    </row>
    <row r="39" spans="1:67" ht="30.6" customHeight="1" x14ac:dyDescent="0.25">
      <c r="A39" s="4">
        <v>20141637941</v>
      </c>
      <c r="B39" s="5" t="s">
        <v>79</v>
      </c>
      <c r="C39" s="52" t="s">
        <v>154</v>
      </c>
      <c r="D39" s="4" t="s">
        <v>120</v>
      </c>
      <c r="E39" s="5" t="s">
        <v>3</v>
      </c>
      <c r="F39" s="24">
        <v>45663</v>
      </c>
      <c r="G39" s="7" t="s">
        <v>113</v>
      </c>
      <c r="H39" s="25">
        <f t="shared" si="0"/>
        <v>1</v>
      </c>
      <c r="I39" s="67">
        <v>3949</v>
      </c>
      <c r="J39" s="8" t="s">
        <v>115</v>
      </c>
      <c r="K39" s="9" t="s">
        <v>121</v>
      </c>
      <c r="L39" s="10" t="s">
        <v>117</v>
      </c>
      <c r="M39" s="11">
        <v>640</v>
      </c>
      <c r="N39" s="12" t="s">
        <v>141</v>
      </c>
      <c r="O39" s="6">
        <v>45667</v>
      </c>
      <c r="P39" s="68">
        <v>3230</v>
      </c>
      <c r="Q39" s="14" t="s">
        <v>85</v>
      </c>
      <c r="R39" s="15">
        <v>70</v>
      </c>
      <c r="S39" s="15">
        <v>517</v>
      </c>
      <c r="T39" s="15">
        <f>DATA[[#This Row],[C. DF]]+DATA[[#This Row],[C.OPE.]]</f>
        <v>587</v>
      </c>
      <c r="U39" s="15">
        <f>DATA[[#This Row],[SUB TOTAL]]*0.18</f>
        <v>105.66</v>
      </c>
      <c r="V39" s="15">
        <f>IFERROR(ROUND(DATA[[#This Row],[SUB TOTAL]]+DATA[[#This Row],[IGV]],2),0)</f>
        <v>692.66</v>
      </c>
      <c r="W39" s="16" t="str">
        <f>IF(DATA[[#This Row],[VALORIZACIÓN ]]="-","NO CORRESPONDE",IF(OR(A39=20558226979,A39=10470707866,A39=20111157058,A39=20100226902),"NO CORRESPONDE",IF(J39="Emitida",IF(P39&gt;0,"EMITIDA","PENDIENTE"),"NO CORRESPONDE")))</f>
        <v>EMITIDA</v>
      </c>
      <c r="X39" s="29"/>
      <c r="Y39" s="17" t="s">
        <v>118</v>
      </c>
      <c r="Z39" s="30">
        <v>45678</v>
      </c>
      <c r="AA39" s="10" t="s">
        <v>124</v>
      </c>
      <c r="AB39" s="19">
        <v>511</v>
      </c>
      <c r="AC39" s="20">
        <v>30</v>
      </c>
      <c r="AD39" s="18">
        <f>DATA[[#This Row],[FECHA DE EMISION]]+DATA[[#This Row],[CONDICION DE PAGO]]</f>
        <v>45708</v>
      </c>
      <c r="AE39" s="23">
        <f>IF(DATA[[#This Row],[MONEDA]]="USD",VLOOKUP(DATA[[#This Row],[COMBINADA]],#REF!,11,0),1)</f>
        <v>1</v>
      </c>
      <c r="AF39" s="39" t="str">
        <f>IF(DATA[[#This Row],[SERIE2]]="-","NO CORRESPONDE",IF(W39="NO CORRESPONDE","NO CORRESPONDE",IF(Z39&gt;0,"FACTURADO","PENDIENTE")))</f>
        <v>FACTURADO</v>
      </c>
      <c r="AG39" s="27">
        <f>IFERROR(VLOOKUP(DATA[[#This Row],[COMBINADA]],#REF!,6,0),0)</f>
        <v>0</v>
      </c>
      <c r="AH39" s="125">
        <f>IFERROR(VLOOKUP(DATA[[#This Row],[COMBINADA]],#REF!,9,0),0)/COUNTIFS(DATA[COMBINADA],DATA[[#This Row],[COMBINADA]])</f>
        <v>0</v>
      </c>
      <c r="AI39" s="27">
        <f>IFERROR(VLOOKUP(DATA[[#This Row],[COMBINADA]],#REF!,6,0),0)</f>
        <v>0</v>
      </c>
      <c r="AJ39" s="125">
        <f>IFERROR(VLOOKUP(DATA[[#This Row],[COMBINADA]],#REF!,9,0),0)/COUNTIFS(DATA[COMBINADA],DATA[[#This Row],[COMBINADA]])</f>
        <v>0</v>
      </c>
      <c r="AK39" s="27">
        <f>IFERROR(VLOOKUP(DATA[[#This Row],[COMBINADA]],#REF!,6,0),0)</f>
        <v>0</v>
      </c>
      <c r="AL39" s="125">
        <f>IFERROR(VLOOKUP(DATA[[#This Row],[COMBINADA]],#REF!,9,0),0)/COUNTIFS(DATA[COMBINADA],DATA[[#This Row],[COMBINADA]])</f>
        <v>0</v>
      </c>
      <c r="AM39" s="27">
        <f>IFERROR(VLOOKUP(DATA[[#This Row],[COMBINADA]],#REF!,6,0),0)</f>
        <v>0</v>
      </c>
      <c r="AN39" s="125">
        <f>IFERROR(VLOOKUP(DATA[[#This Row],[COMBINADA]],#REF!,9,0),0)/COUNTIFS(DATA[COMBINADA],DATA[[#This Row],[COMBINADA]])</f>
        <v>0</v>
      </c>
      <c r="AO39" s="27">
        <f>IFERROR(VLOOKUP(DATA[[#This Row],[COMBINADA]],#REF!,6,0),0)</f>
        <v>0</v>
      </c>
      <c r="AP39" s="125">
        <f>IFERROR(VLOOKUP(DATA[[#This Row],[COMBINADA]],#REF!,9,0),0)/COUNTIFS(DATA[COMBINADA],DATA[[#This Row],[COMBINADA]])</f>
        <v>0</v>
      </c>
      <c r="AQ3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701.86399999999992</v>
      </c>
      <c r="AR39" s="26" t="str">
        <f>IFERROR(IF(DATA[[#This Row],[estado_fact]]="FACTURADO",VLOOKUP(DATA[[#This Row],[SERIE2]]&amp;"-"&amp;DATA[[#This Row],[NUMERO]],#REF!,34,0),"NO CORRESPONDE"),"NO CORRESPONDE")</f>
        <v>NO CORRESPONDE</v>
      </c>
      <c r="AS39" s="22" t="str">
        <f>IF(DATA[[#This Row],[fecha_fs]]&gt;0,TEXT(DATA[[#This Row],[fecha_fs]],"Mmmm"),0)</f>
        <v>Enero</v>
      </c>
      <c r="AT39" s="22" t="str">
        <f>DATA[[#This Row],[SERIE2]]&amp;"-"&amp;DATA[[#This Row],[NUMERO]]</f>
        <v>FE01-511</v>
      </c>
      <c r="AU39" s="28">
        <f>DATA[[#This Row],[TOTAL]]*DATA[[#This Row],[T.C.]]</f>
        <v>692.66</v>
      </c>
      <c r="AV39" s="6">
        <f>DATA[[#This Row],[FECHA DE VAL.]]</f>
        <v>45667</v>
      </c>
      <c r="AW39" s="6">
        <f>DATA[[#This Row],[FECHA DE EMISION]]</f>
        <v>45678</v>
      </c>
      <c r="AX39" s="6">
        <f>DATA[[#This Row],[F1]]</f>
        <v>0</v>
      </c>
      <c r="AY39" s="20">
        <f>IF(AV39-DATA[[#This Row],[fecha_fs]]&lt;0,0,AV39-DATA[[#This Row],[fecha_fs]])</f>
        <v>4</v>
      </c>
      <c r="AZ39" s="20">
        <f t="shared" si="1"/>
        <v>11</v>
      </c>
      <c r="BA39" s="20">
        <f t="shared" si="2"/>
        <v>0</v>
      </c>
      <c r="BB39" s="195">
        <f>IFERROR(SUM(DATA[[#This Row],[fs_val_ttf]:[fact_pago_ttf]]),0)</f>
        <v>15</v>
      </c>
      <c r="BC39" s="185">
        <v>45663</v>
      </c>
      <c r="BD39" s="185">
        <v>45663</v>
      </c>
      <c r="BE39" s="185">
        <v>45678</v>
      </c>
      <c r="BF39" s="185">
        <v>45678</v>
      </c>
      <c r="BG39" s="20">
        <f>IFERROR(IF(BC39-DATA[[#This Row],[fecha_fs]]&lt;0,0,BC39-DATA[[#This Row],[fecha_fs]]),0)</f>
        <v>0</v>
      </c>
      <c r="BH39" s="20">
        <f t="shared" si="6"/>
        <v>0</v>
      </c>
      <c r="BI39" s="20">
        <f>IFERROR(IF(BE39-BD39&lt;0,0,BE39-BD39),0)</f>
        <v>15</v>
      </c>
      <c r="BJ39" s="20">
        <f t="shared" si="8"/>
        <v>0</v>
      </c>
      <c r="BK39" s="189">
        <f>IFERROR(SUM(DATA[[#This Row],[fs_fd_ttd]:[fend_fenf_ttd]]),0)</f>
        <v>15</v>
      </c>
      <c r="BL39" s="20" t="str">
        <f>IF(DATA[[#This Row],[fecha_fs]]&gt;0,TEXT(DATA[[#This Row],[fecha_fs]],"YYYY"),0)</f>
        <v>2025</v>
      </c>
      <c r="BM39" s="221" t="b">
        <v>1</v>
      </c>
      <c r="BN39" s="278">
        <f>COUNTIF(DATA[[#This Row],[tiempo_td]], "&lt;=15")</f>
        <v>1</v>
      </c>
      <c r="BO39" s="222"/>
    </row>
    <row r="40" spans="1:67" ht="30.6" customHeight="1" x14ac:dyDescent="0.25">
      <c r="A40" s="4">
        <v>20505675836</v>
      </c>
      <c r="B40" s="5" t="s">
        <v>42</v>
      </c>
      <c r="C40" s="52" t="s">
        <v>43</v>
      </c>
      <c r="D40" s="4" t="s">
        <v>157</v>
      </c>
      <c r="E40" s="5" t="s">
        <v>44</v>
      </c>
      <c r="F40" s="24">
        <v>45663</v>
      </c>
      <c r="G40" s="7" t="s">
        <v>113</v>
      </c>
      <c r="H40" s="25">
        <f t="shared" si="0"/>
        <v>1</v>
      </c>
      <c r="I40" s="67">
        <v>3950</v>
      </c>
      <c r="J40" s="8" t="s">
        <v>115</v>
      </c>
      <c r="K40" s="9" t="s">
        <v>158</v>
      </c>
      <c r="L40" s="10" t="s">
        <v>137</v>
      </c>
      <c r="M40" s="11">
        <v>1</v>
      </c>
      <c r="N40" s="12" t="s">
        <v>114</v>
      </c>
      <c r="O40" s="6">
        <v>45684</v>
      </c>
      <c r="P40" s="57">
        <v>3256</v>
      </c>
      <c r="Q40" s="14" t="s">
        <v>85</v>
      </c>
      <c r="R40" s="15"/>
      <c r="S40" s="15">
        <v>396.7</v>
      </c>
      <c r="T40" s="15">
        <f>DATA[[#This Row],[C. DF]]+DATA[[#This Row],[C.OPE.]]</f>
        <v>396.7</v>
      </c>
      <c r="U40" s="15">
        <f>DATA[[#This Row],[SUB TOTAL]]*0.18</f>
        <v>71.405999999999992</v>
      </c>
      <c r="V40" s="15">
        <f>IFERROR(ROUND(DATA[[#This Row],[SUB TOTAL]]+DATA[[#This Row],[IGV]],2),0)</f>
        <v>468.11</v>
      </c>
      <c r="W40" s="16" t="str">
        <f>IF(DATA[[#This Row],[VALORIZACIÓN ]]="-","NO CORRESPONDE",IF(OR(A40=20558226979,A40=10470707866,A40=20111157058,A40=20100226902),"NO CORRESPONDE",IF(J40="Emitida",IF(P40&gt;0,"EMITIDA","PENDIENTE"),"NO CORRESPONDE")))</f>
        <v>EMITIDA</v>
      </c>
      <c r="X40" s="29"/>
      <c r="Y40" s="17" t="s">
        <v>118</v>
      </c>
      <c r="Z40" s="30">
        <v>45712</v>
      </c>
      <c r="AA40" s="10" t="s">
        <v>124</v>
      </c>
      <c r="AB40" s="19">
        <v>576</v>
      </c>
      <c r="AC40" s="20">
        <v>30</v>
      </c>
      <c r="AD40" s="18">
        <f>DATA[[#This Row],[FECHA DE EMISION]]+DATA[[#This Row],[CONDICION DE PAGO]]</f>
        <v>45742</v>
      </c>
      <c r="AE40" s="23">
        <f>IF(DATA[[#This Row],[MONEDA]]="USD",VLOOKUP(DATA[[#This Row],[COMBINADA]],#REF!,11,0),1)</f>
        <v>1</v>
      </c>
      <c r="AF40" s="39" t="str">
        <f>IF(DATA[[#This Row],[SERIE2]]="-","NO CORRESPONDE",IF(W40="NO CORRESPONDE","NO CORRESPONDE",IF(Z40&gt;0,"FACTURADO","PENDIENTE")))</f>
        <v>FACTURADO</v>
      </c>
      <c r="AG40" s="27">
        <f>IFERROR(VLOOKUP(DATA[[#This Row],[COMBINADA]],#REF!,6,0),0)</f>
        <v>0</v>
      </c>
      <c r="AH40" s="125">
        <f>IFERROR(VLOOKUP(DATA[[#This Row],[COMBINADA]],#REF!,9,0),0)/COUNTIFS(DATA[COMBINADA],DATA[[#This Row],[COMBINADA]])</f>
        <v>0</v>
      </c>
      <c r="AI40" s="27">
        <f>IFERROR(VLOOKUP(DATA[[#This Row],[COMBINADA]],#REF!,6,0),0)</f>
        <v>0</v>
      </c>
      <c r="AJ40" s="125">
        <f>IFERROR(VLOOKUP(DATA[[#This Row],[COMBINADA]],#REF!,9,0),0)/COUNTIFS(DATA[COMBINADA],DATA[[#This Row],[COMBINADA]])</f>
        <v>0</v>
      </c>
      <c r="AK40" s="27">
        <f>IFERROR(VLOOKUP(DATA[[#This Row],[COMBINADA]],#REF!,6,0),0)</f>
        <v>0</v>
      </c>
      <c r="AL40" s="125">
        <f>IFERROR(VLOOKUP(DATA[[#This Row],[COMBINADA]],#REF!,9,0),0)/COUNTIFS(DATA[COMBINADA],DATA[[#This Row],[COMBINADA]])</f>
        <v>0</v>
      </c>
      <c r="AM40" s="27">
        <f>IFERROR(VLOOKUP(DATA[[#This Row],[COMBINADA]],#REF!,6,0),0)</f>
        <v>0</v>
      </c>
      <c r="AN40" s="125">
        <f>IFERROR(VLOOKUP(DATA[[#This Row],[COMBINADA]],#REF!,9,0),0)/COUNTIFS(DATA[COMBINADA],DATA[[#This Row],[COMBINADA]])</f>
        <v>0</v>
      </c>
      <c r="AO40" s="27">
        <f>IFERROR(VLOOKUP(DATA[[#This Row],[COMBINADA]],#REF!,6,0),0)</f>
        <v>0</v>
      </c>
      <c r="AP40" s="125">
        <f>IFERROR(VLOOKUP(DATA[[#This Row],[COMBINADA]],#REF!,9,0),0)/COUNTIFS(DATA[COMBINADA],DATA[[#This Row],[COMBINADA]])</f>
        <v>0</v>
      </c>
      <c r="AQ4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3237.1550000000007</v>
      </c>
      <c r="AR40" s="26" t="str">
        <f>IFERROR(IF(DATA[[#This Row],[estado_fact]]="FACTURADO",VLOOKUP(DATA[[#This Row],[SERIE2]]&amp;"-"&amp;DATA[[#This Row],[NUMERO]],#REF!,34,0),"NO CORRESPONDE"),"NO CORRESPONDE")</f>
        <v>NO CORRESPONDE</v>
      </c>
      <c r="AS40" s="22" t="str">
        <f>IF(DATA[[#This Row],[fecha_fs]]&gt;0,TEXT(DATA[[#This Row],[fecha_fs]],"Mmmm"),0)</f>
        <v>Enero</v>
      </c>
      <c r="AT40" s="22" t="str">
        <f>DATA[[#This Row],[SERIE2]]&amp;"-"&amp;DATA[[#This Row],[NUMERO]]</f>
        <v>FE01-576</v>
      </c>
      <c r="AU40" s="28">
        <f>DATA[[#This Row],[TOTAL]]*DATA[[#This Row],[T.C.]]</f>
        <v>468.11</v>
      </c>
      <c r="AV40" s="6">
        <f>DATA[[#This Row],[FECHA DE VAL.]]</f>
        <v>45684</v>
      </c>
      <c r="AW40" s="6">
        <f>DATA[[#This Row],[FECHA DE EMISION]]</f>
        <v>45712</v>
      </c>
      <c r="AX40" s="6">
        <f>DATA[[#This Row],[F1]]</f>
        <v>0</v>
      </c>
      <c r="AY40" s="20">
        <f>IF(AV40-DATA[[#This Row],[fecha_fs]]&lt;0,0,AV40-DATA[[#This Row],[fecha_fs]])</f>
        <v>21</v>
      </c>
      <c r="AZ40" s="20">
        <f t="shared" si="1"/>
        <v>28</v>
      </c>
      <c r="BA40" s="20">
        <f t="shared" si="2"/>
        <v>0</v>
      </c>
      <c r="BB40" s="195">
        <f>IFERROR(SUM(DATA[[#This Row],[fs_val_ttf]:[fact_pago_ttf]]),0)</f>
        <v>49</v>
      </c>
      <c r="BC40" s="185">
        <v>45663</v>
      </c>
      <c r="BD40" s="185">
        <v>45663</v>
      </c>
      <c r="BE40" s="185">
        <v>45686</v>
      </c>
      <c r="BF40" s="185">
        <v>45686</v>
      </c>
      <c r="BG40" s="20">
        <f>IFERROR(IF(BC40-DATA[[#This Row],[fecha_fs]]&lt;0,0,BC40-DATA[[#This Row],[fecha_fs]]),0)</f>
        <v>0</v>
      </c>
      <c r="BH40" s="20">
        <f t="shared" si="6"/>
        <v>0</v>
      </c>
      <c r="BI40" s="20">
        <f t="shared" si="7"/>
        <v>23</v>
      </c>
      <c r="BJ40" s="20">
        <f t="shared" si="8"/>
        <v>0</v>
      </c>
      <c r="BK40" s="189">
        <f>IFERROR(SUM(DATA[[#This Row],[fs_fd_ttd]:[fend_fenf_ttd]]),0)</f>
        <v>23</v>
      </c>
      <c r="BL40" s="20" t="str">
        <f>IF(DATA[[#This Row],[fecha_fs]]&gt;0,TEXT(DATA[[#This Row],[fecha_fs]],"YYYY"),0)</f>
        <v>2025</v>
      </c>
      <c r="BM40" s="221" t="b">
        <v>1</v>
      </c>
      <c r="BN40" s="278">
        <f>COUNTIF(DATA[[#This Row],[tiempo_td]], "&lt;=15")</f>
        <v>0</v>
      </c>
      <c r="BO40" s="222"/>
    </row>
    <row r="41" spans="1:67" ht="30.6" customHeight="1" x14ac:dyDescent="0.25">
      <c r="A41" s="4">
        <v>20100055237</v>
      </c>
      <c r="B41" s="5" t="s">
        <v>21</v>
      </c>
      <c r="C41" s="52" t="s">
        <v>138</v>
      </c>
      <c r="D41" s="4" t="s">
        <v>139</v>
      </c>
      <c r="E41" s="5" t="s">
        <v>23</v>
      </c>
      <c r="F41" s="24">
        <v>45664</v>
      </c>
      <c r="G41" s="7" t="s">
        <v>113</v>
      </c>
      <c r="H41" s="25">
        <f t="shared" si="0"/>
        <v>1</v>
      </c>
      <c r="I41" s="67">
        <v>3951</v>
      </c>
      <c r="J41" s="8" t="s">
        <v>115</v>
      </c>
      <c r="K41" s="9" t="s">
        <v>121</v>
      </c>
      <c r="L41" s="10" t="s">
        <v>117</v>
      </c>
      <c r="M41" s="11">
        <v>70</v>
      </c>
      <c r="N41" s="12" t="s">
        <v>125</v>
      </c>
      <c r="O41" s="6">
        <v>45687</v>
      </c>
      <c r="P41" s="54">
        <v>3273</v>
      </c>
      <c r="Q41" s="14" t="s">
        <v>85</v>
      </c>
      <c r="R41" s="15"/>
      <c r="S41" s="15">
        <v>297.92</v>
      </c>
      <c r="T41" s="15">
        <f>DATA[[#This Row],[C. DF]]+DATA[[#This Row],[C.OPE.]]</f>
        <v>297.92</v>
      </c>
      <c r="U41" s="15">
        <f>DATA[[#This Row],[SUB TOTAL]]*0.18</f>
        <v>53.625599999999999</v>
      </c>
      <c r="V41" s="15">
        <f>IFERROR(ROUND(DATA[[#This Row],[SUB TOTAL]]+DATA[[#This Row],[IGV]],2),0)</f>
        <v>351.55</v>
      </c>
      <c r="W41" s="16" t="str">
        <f>IF(DATA[[#This Row],[VALORIZACIÓN ]]="-","NO CORRESPONDE",IF(OR(A41=20558226979,A41=10470707866,A41=20111157058,A41=20100226902),"NO CORRESPONDE",IF(J41="Emitida",IF(P41&gt;0,"EMITIDA","PENDIENTE"),"NO CORRESPONDE")))</f>
        <v>EMITIDA</v>
      </c>
      <c r="X41" s="29" t="s">
        <v>140</v>
      </c>
      <c r="Y41" s="17" t="s">
        <v>118</v>
      </c>
      <c r="Z41" s="30">
        <v>45701</v>
      </c>
      <c r="AA41" s="10" t="s">
        <v>124</v>
      </c>
      <c r="AB41" s="19">
        <v>562</v>
      </c>
      <c r="AC41" s="20">
        <v>30</v>
      </c>
      <c r="AD41" s="18">
        <f>DATA[[#This Row],[FECHA DE EMISION]]+DATA[[#This Row],[CONDICION DE PAGO]]</f>
        <v>45731</v>
      </c>
      <c r="AE41" s="23">
        <f>IF(DATA[[#This Row],[MONEDA]]="USD",VLOOKUP(DATA[[#This Row],[COMBINADA]],#REF!,11,0),1)</f>
        <v>1</v>
      </c>
      <c r="AF41" s="39" t="str">
        <f>IF(DATA[[#This Row],[SERIE2]]="-","NO CORRESPONDE",IF(W41="NO CORRESPONDE","NO CORRESPONDE",IF(Z41&gt;0,"FACTURADO","PENDIENTE")))</f>
        <v>FACTURADO</v>
      </c>
      <c r="AG41" s="27">
        <f>IFERROR(VLOOKUP(DATA[[#This Row],[COMBINADA]],#REF!,6,0),0)</f>
        <v>0</v>
      </c>
      <c r="AH41" s="125">
        <f>IFERROR(VLOOKUP(DATA[[#This Row],[COMBINADA]],#REF!,9,0),0)/COUNTIFS(DATA[COMBINADA],DATA[[#This Row],[COMBINADA]])</f>
        <v>0</v>
      </c>
      <c r="AI41" s="27">
        <f>IFERROR(VLOOKUP(DATA[[#This Row],[COMBINADA]],#REF!,6,0),0)</f>
        <v>0</v>
      </c>
      <c r="AJ41" s="125">
        <f>IFERROR(VLOOKUP(DATA[[#This Row],[COMBINADA]],#REF!,9,0),0)/COUNTIFS(DATA[COMBINADA],DATA[[#This Row],[COMBINADA]])</f>
        <v>0</v>
      </c>
      <c r="AK41" s="27">
        <f>IFERROR(VLOOKUP(DATA[[#This Row],[COMBINADA]],#REF!,6,0),0)</f>
        <v>0</v>
      </c>
      <c r="AL41" s="125">
        <f>IFERROR(VLOOKUP(DATA[[#This Row],[COMBINADA]],#REF!,9,0),0)/COUNTIFS(DATA[COMBINADA],DATA[[#This Row],[COMBINADA]])</f>
        <v>0</v>
      </c>
      <c r="AM41" s="27">
        <f>IFERROR(VLOOKUP(DATA[[#This Row],[COMBINADA]],#REF!,6,0),0)</f>
        <v>0</v>
      </c>
      <c r="AN41" s="125">
        <f>IFERROR(VLOOKUP(DATA[[#This Row],[COMBINADA]],#REF!,9,0),0)/COUNTIFS(DATA[COMBINADA],DATA[[#This Row],[COMBINADA]])</f>
        <v>0</v>
      </c>
      <c r="AO41" s="27">
        <f>IFERROR(VLOOKUP(DATA[[#This Row],[COMBINADA]],#REF!,6,0),0)</f>
        <v>0</v>
      </c>
      <c r="AP41" s="125">
        <f>IFERROR(VLOOKUP(DATA[[#This Row],[COMBINADA]],#REF!,9,0),0)/COUNTIFS(DATA[COMBINADA],DATA[[#This Row],[COMBINADA]])</f>
        <v>0</v>
      </c>
      <c r="AQ4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41" s="26" t="str">
        <f>IFERROR(IF(DATA[[#This Row],[estado_fact]]="FACTURADO",VLOOKUP(DATA[[#This Row],[SERIE2]]&amp;"-"&amp;DATA[[#This Row],[NUMERO]],#REF!,34,0),"NO CORRESPONDE"),"NO CORRESPONDE")</f>
        <v>NO CORRESPONDE</v>
      </c>
      <c r="AS41" s="22" t="str">
        <f>IF(DATA[[#This Row],[fecha_fs]]&gt;0,TEXT(DATA[[#This Row],[fecha_fs]],"Mmmm"),0)</f>
        <v>Enero</v>
      </c>
      <c r="AT41" s="22" t="str">
        <f>DATA[[#This Row],[SERIE2]]&amp;"-"&amp;DATA[[#This Row],[NUMERO]]</f>
        <v>FE01-562</v>
      </c>
      <c r="AU41" s="28">
        <f>DATA[[#This Row],[TOTAL]]*DATA[[#This Row],[T.C.]]</f>
        <v>351.55</v>
      </c>
      <c r="AV41" s="6">
        <f>DATA[[#This Row],[FECHA DE VAL.]]</f>
        <v>45687</v>
      </c>
      <c r="AW41" s="6">
        <f>DATA[[#This Row],[FECHA DE EMISION]]</f>
        <v>45701</v>
      </c>
      <c r="AX41" s="6">
        <f>DATA[[#This Row],[F1]]</f>
        <v>0</v>
      </c>
      <c r="AY41" s="20">
        <f>IF(AV41-DATA[[#This Row],[fecha_fs]]&lt;0,0,AV41-DATA[[#This Row],[fecha_fs]])</f>
        <v>23</v>
      </c>
      <c r="AZ41" s="20">
        <f t="shared" si="1"/>
        <v>14</v>
      </c>
      <c r="BA41" s="20">
        <f t="shared" si="2"/>
        <v>0</v>
      </c>
      <c r="BB41" s="195">
        <f>IFERROR(SUM(DATA[[#This Row],[fs_val_ttf]:[fact_pago_ttf]]),0)</f>
        <v>37</v>
      </c>
      <c r="BC41" s="185">
        <v>45664</v>
      </c>
      <c r="BD41" s="185">
        <v>45664</v>
      </c>
      <c r="BE41" s="185">
        <v>45691</v>
      </c>
      <c r="BF41" s="185">
        <v>45691</v>
      </c>
      <c r="BG41" s="20">
        <f>IFERROR(IF(BC41-DATA[[#This Row],[fecha_fs]]&lt;0,0,BC41-DATA[[#This Row],[fecha_fs]]),0)</f>
        <v>0</v>
      </c>
      <c r="BH41" s="20">
        <f t="shared" si="6"/>
        <v>0</v>
      </c>
      <c r="BI41" s="20">
        <f t="shared" si="7"/>
        <v>27</v>
      </c>
      <c r="BJ41" s="20">
        <f t="shared" si="8"/>
        <v>0</v>
      </c>
      <c r="BK41" s="189">
        <f>IFERROR(SUM(DATA[[#This Row],[fs_fd_ttd]:[fend_fenf_ttd]]),0)</f>
        <v>27</v>
      </c>
      <c r="BL41" s="20" t="str">
        <f>IF(DATA[[#This Row],[fecha_fs]]&gt;0,TEXT(DATA[[#This Row],[fecha_fs]],"YYYY"),0)</f>
        <v>2025</v>
      </c>
      <c r="BM41" s="221" t="b">
        <v>1</v>
      </c>
      <c r="BN41" s="278">
        <f>COUNTIF(DATA[[#This Row],[tiempo_td]], "&lt;=15")</f>
        <v>0</v>
      </c>
      <c r="BO41" s="222"/>
    </row>
    <row r="42" spans="1:67" ht="30.6" customHeight="1" x14ac:dyDescent="0.25">
      <c r="A42" s="4">
        <v>20419158462</v>
      </c>
      <c r="B42" s="5" t="s">
        <v>2</v>
      </c>
      <c r="C42" s="52" t="s">
        <v>6</v>
      </c>
      <c r="D42" s="4" t="s">
        <v>120</v>
      </c>
      <c r="E42" s="5" t="s">
        <v>3</v>
      </c>
      <c r="F42" s="24">
        <v>45663</v>
      </c>
      <c r="G42" s="7" t="s">
        <v>113</v>
      </c>
      <c r="H42" s="25">
        <f t="shared" si="0"/>
        <v>1</v>
      </c>
      <c r="I42" s="67">
        <v>3952</v>
      </c>
      <c r="J42" s="8" t="s">
        <v>115</v>
      </c>
      <c r="K42" s="9" t="s">
        <v>156</v>
      </c>
      <c r="L42" s="10" t="s">
        <v>117</v>
      </c>
      <c r="M42" s="11">
        <v>550</v>
      </c>
      <c r="N42" s="12" t="s">
        <v>125</v>
      </c>
      <c r="O42" s="6">
        <v>45664</v>
      </c>
      <c r="P42" s="13">
        <v>3222</v>
      </c>
      <c r="Q42" s="14" t="s">
        <v>85</v>
      </c>
      <c r="R42" s="15">
        <v>0</v>
      </c>
      <c r="S42" s="15">
        <f>1429.7/2</f>
        <v>714.85</v>
      </c>
      <c r="T42" s="15">
        <f>DATA[[#This Row],[C. DF]]+DATA[[#This Row],[C.OPE.]]</f>
        <v>714.85</v>
      </c>
      <c r="U42" s="15">
        <f>DATA[[#This Row],[SUB TOTAL]]*0.18</f>
        <v>128.673</v>
      </c>
      <c r="V42" s="15">
        <f>IFERROR(ROUND(DATA[[#This Row],[SUB TOTAL]]+DATA[[#This Row],[IGV]],2),0)</f>
        <v>843.52</v>
      </c>
      <c r="W42" s="16" t="str">
        <f>IF(DATA[[#This Row],[VALORIZACIÓN ]]="-","NO CORRESPONDE",IF(OR(A42=20558226979,A42=10470707866,A42=20111157058,A42=20100226902),"NO CORRESPONDE",IF(J42="Emitida",IF(P42&gt;0,"EMITIDA","PENDIENTE"),"NO CORRESPONDE")))</f>
        <v>EMITIDA</v>
      </c>
      <c r="X42" s="29" t="s">
        <v>149</v>
      </c>
      <c r="Y42" s="17" t="s">
        <v>118</v>
      </c>
      <c r="Z42" s="30">
        <v>45761</v>
      </c>
      <c r="AA42" s="10" t="s">
        <v>150</v>
      </c>
      <c r="AB42" s="19">
        <v>27</v>
      </c>
      <c r="AC42" s="20">
        <v>15</v>
      </c>
      <c r="AD42" s="18">
        <f>DATA[[#This Row],[FECHA DE EMISION]]+DATA[[#This Row],[CONDICION DE PAGO]]</f>
        <v>45776</v>
      </c>
      <c r="AE42" s="23">
        <f>IF(DATA[[#This Row],[MONEDA]]="USD",VLOOKUP(DATA[[#This Row],[COMBINADA]],#REF!,11,0),1)</f>
        <v>1</v>
      </c>
      <c r="AF42" s="39" t="str">
        <f>IF(DATA[[#This Row],[SERIE2]]="-","NO CORRESPONDE",IF(W42="NO CORRESPONDE","NO CORRESPONDE",IF(Z42&gt;0,"FACTURADO","PENDIENTE")))</f>
        <v>FACTURADO</v>
      </c>
      <c r="AG42" s="27">
        <f>IFERROR(VLOOKUP(DATA[[#This Row],[COMBINADA]],#REF!,6,0),0)</f>
        <v>0</v>
      </c>
      <c r="AH42" s="125">
        <f>IFERROR(VLOOKUP(DATA[[#This Row],[COMBINADA]],#REF!,9,0),0)/COUNTIFS(DATA[COMBINADA],DATA[[#This Row],[COMBINADA]])</f>
        <v>0</v>
      </c>
      <c r="AI42" s="27">
        <f>IFERROR(VLOOKUP(DATA[[#This Row],[COMBINADA]],#REF!,6,0),0)</f>
        <v>0</v>
      </c>
      <c r="AJ42" s="125">
        <f>IFERROR(VLOOKUP(DATA[[#This Row],[COMBINADA]],#REF!,9,0),0)/COUNTIFS(DATA[COMBINADA],DATA[[#This Row],[COMBINADA]])</f>
        <v>0</v>
      </c>
      <c r="AK42" s="27">
        <f>IFERROR(VLOOKUP(DATA[[#This Row],[COMBINADA]],#REF!,6,0),0)</f>
        <v>0</v>
      </c>
      <c r="AL42" s="125">
        <f>IFERROR(VLOOKUP(DATA[[#This Row],[COMBINADA]],#REF!,9,0),0)/COUNTIFS(DATA[COMBINADA],DATA[[#This Row],[COMBINADA]])</f>
        <v>0</v>
      </c>
      <c r="AM42" s="27">
        <f>IFERROR(VLOOKUP(DATA[[#This Row],[COMBINADA]],#REF!,6,0),0)</f>
        <v>0</v>
      </c>
      <c r="AN42" s="125">
        <f>IFERROR(VLOOKUP(DATA[[#This Row],[COMBINADA]],#REF!,9,0),0)/COUNTIFS(DATA[COMBINADA],DATA[[#This Row],[COMBINADA]])</f>
        <v>0</v>
      </c>
      <c r="AO42" s="27">
        <f>IFERROR(VLOOKUP(DATA[[#This Row],[COMBINADA]],#REF!,6,0),0)</f>
        <v>0</v>
      </c>
      <c r="AP42" s="125">
        <f>IFERROR(VLOOKUP(DATA[[#This Row],[COMBINADA]],#REF!,9,0),0)/COUNTIFS(DATA[COMBINADA],DATA[[#This Row],[COMBINADA]])</f>
        <v>0</v>
      </c>
      <c r="AQ4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42" s="26" t="str">
        <f>IFERROR(IF(DATA[[#This Row],[estado_fact]]="FACTURADO",VLOOKUP(DATA[[#This Row],[SERIE2]]&amp;"-"&amp;DATA[[#This Row],[NUMERO]],#REF!,34,0),"NO CORRESPONDE"),"NO CORRESPONDE")</f>
        <v>NO CORRESPONDE</v>
      </c>
      <c r="AS42" s="22" t="str">
        <f>IF(DATA[[#This Row],[fecha_fs]]&gt;0,TEXT(DATA[[#This Row],[fecha_fs]],"Mmmm"),0)</f>
        <v>Enero</v>
      </c>
      <c r="AT42" s="22" t="str">
        <f>DATA[[#This Row],[SERIE2]]&amp;"-"&amp;DATA[[#This Row],[NUMERO]]</f>
        <v>FF01-27</v>
      </c>
      <c r="AU42" s="28">
        <f>DATA[[#This Row],[TOTAL]]*DATA[[#This Row],[T.C.]]</f>
        <v>843.52</v>
      </c>
      <c r="AV42" s="6">
        <f>DATA[[#This Row],[FECHA DE VAL.]]</f>
        <v>45664</v>
      </c>
      <c r="AW42" s="6">
        <f>DATA[[#This Row],[FECHA DE EMISION]]</f>
        <v>45761</v>
      </c>
      <c r="AX42" s="6">
        <f>DATA[[#This Row],[F1]]</f>
        <v>0</v>
      </c>
      <c r="AY42" s="20">
        <f>IF(AV42-DATA[[#This Row],[fecha_fs]]&lt;0,0,AV42-DATA[[#This Row],[fecha_fs]])</f>
        <v>1</v>
      </c>
      <c r="AZ42" s="20">
        <f t="shared" si="1"/>
        <v>97</v>
      </c>
      <c r="BA42" s="20">
        <f t="shared" si="2"/>
        <v>0</v>
      </c>
      <c r="BB42" s="195">
        <f>IFERROR(SUM(DATA[[#This Row],[fs_val_ttf]:[fact_pago_ttf]]),0)</f>
        <v>98</v>
      </c>
      <c r="BC42" s="185">
        <v>45663</v>
      </c>
      <c r="BD42" s="185">
        <v>45663</v>
      </c>
      <c r="BE42" s="185">
        <v>45686</v>
      </c>
      <c r="BF42" s="185">
        <v>45686</v>
      </c>
      <c r="BG42" s="20">
        <f>IFERROR(IF(BC42-DATA[[#This Row],[fecha_fs]]&lt;0,0,BC42-DATA[[#This Row],[fecha_fs]]),0)</f>
        <v>0</v>
      </c>
      <c r="BH42" s="20">
        <f t="shared" si="6"/>
        <v>0</v>
      </c>
      <c r="BI42" s="20">
        <f t="shared" si="7"/>
        <v>23</v>
      </c>
      <c r="BJ42" s="20">
        <f t="shared" si="8"/>
        <v>0</v>
      </c>
      <c r="BK42" s="189">
        <f>IFERROR(SUM(DATA[[#This Row],[fs_fd_ttd]:[fend_fenf_ttd]]),0)</f>
        <v>23</v>
      </c>
      <c r="BL42" s="20" t="str">
        <f>IF(DATA[[#This Row],[fecha_fs]]&gt;0,TEXT(DATA[[#This Row],[fecha_fs]],"YYYY"),0)</f>
        <v>2025</v>
      </c>
      <c r="BM42" s="221" t="b">
        <v>1</v>
      </c>
      <c r="BN42" s="278">
        <f>COUNTIF(DATA[[#This Row],[tiempo_td]], "&lt;=15")</f>
        <v>0</v>
      </c>
      <c r="BO42" s="222"/>
    </row>
    <row r="43" spans="1:67" ht="30.6" customHeight="1" x14ac:dyDescent="0.25">
      <c r="A43" s="4">
        <v>20141637941</v>
      </c>
      <c r="B43" s="5" t="s">
        <v>79</v>
      </c>
      <c r="C43" s="52" t="s">
        <v>18</v>
      </c>
      <c r="D43" s="4" t="s">
        <v>120</v>
      </c>
      <c r="E43" s="5" t="s">
        <v>3</v>
      </c>
      <c r="F43" s="24">
        <v>45663</v>
      </c>
      <c r="G43" s="7" t="s">
        <v>113</v>
      </c>
      <c r="H43" s="25">
        <f t="shared" si="0"/>
        <v>1</v>
      </c>
      <c r="I43" s="67">
        <v>3953</v>
      </c>
      <c r="J43" s="8" t="s">
        <v>115</v>
      </c>
      <c r="K43" s="9" t="s">
        <v>121</v>
      </c>
      <c r="L43" s="10" t="s">
        <v>117</v>
      </c>
      <c r="M43" s="11">
        <v>1180</v>
      </c>
      <c r="N43" s="12" t="s">
        <v>159</v>
      </c>
      <c r="O43" s="6">
        <v>45667</v>
      </c>
      <c r="P43" s="68">
        <v>3230</v>
      </c>
      <c r="Q43" s="14" t="s">
        <v>85</v>
      </c>
      <c r="R43" s="15">
        <f>70+(DATA[[#This Row],[cantidad_fs]]-1000)*0.1</f>
        <v>88</v>
      </c>
      <c r="S43" s="15">
        <v>517</v>
      </c>
      <c r="T43" s="15">
        <f>DATA[[#This Row],[C. DF]]+DATA[[#This Row],[C.OPE.]]</f>
        <v>605</v>
      </c>
      <c r="U43" s="15">
        <f>DATA[[#This Row],[SUB TOTAL]]*0.18</f>
        <v>108.89999999999999</v>
      </c>
      <c r="V43" s="15">
        <f>IFERROR(ROUND(DATA[[#This Row],[SUB TOTAL]]+DATA[[#This Row],[IGV]],2),0)</f>
        <v>713.9</v>
      </c>
      <c r="W43" s="16" t="str">
        <f>IF(DATA[[#This Row],[VALORIZACIÓN ]]="-","NO CORRESPONDE",IF(OR(A43=20558226979,A43=10470707866,A43=20111157058,A43=20100226902),"NO CORRESPONDE",IF(J43="Emitida",IF(P43&gt;0,"EMITIDA","PENDIENTE"),"NO CORRESPONDE")))</f>
        <v>EMITIDA</v>
      </c>
      <c r="X43" s="29"/>
      <c r="Y43" s="17" t="s">
        <v>118</v>
      </c>
      <c r="Z43" s="30">
        <v>45678</v>
      </c>
      <c r="AA43" s="10" t="s">
        <v>124</v>
      </c>
      <c r="AB43" s="19">
        <v>511</v>
      </c>
      <c r="AC43" s="20">
        <v>30</v>
      </c>
      <c r="AD43" s="18">
        <f>DATA[[#This Row],[FECHA DE EMISION]]+DATA[[#This Row],[CONDICION DE PAGO]]</f>
        <v>45708</v>
      </c>
      <c r="AE43" s="23">
        <f>IF(DATA[[#This Row],[MONEDA]]="USD",VLOOKUP(DATA[[#This Row],[COMBINADA]],#REF!,11,0),1)</f>
        <v>1</v>
      </c>
      <c r="AF43" s="39" t="str">
        <f>IF(DATA[[#This Row],[SERIE2]]="-","NO CORRESPONDE",IF(W43="NO CORRESPONDE","NO CORRESPONDE",IF(Z43&gt;0,"FACTURADO","PENDIENTE")))</f>
        <v>FACTURADO</v>
      </c>
      <c r="AG43" s="27">
        <f>IFERROR(VLOOKUP(DATA[[#This Row],[COMBINADA]],#REF!,6,0),0)</f>
        <v>0</v>
      </c>
      <c r="AH43" s="125">
        <f>IFERROR(VLOOKUP(DATA[[#This Row],[COMBINADA]],#REF!,9,0),0)/COUNTIFS(DATA[COMBINADA],DATA[[#This Row],[COMBINADA]])</f>
        <v>0</v>
      </c>
      <c r="AI43" s="27">
        <f>IFERROR(VLOOKUP(DATA[[#This Row],[COMBINADA]],#REF!,6,0),0)</f>
        <v>0</v>
      </c>
      <c r="AJ43" s="125">
        <f>IFERROR(VLOOKUP(DATA[[#This Row],[COMBINADA]],#REF!,9,0),0)/COUNTIFS(DATA[COMBINADA],DATA[[#This Row],[COMBINADA]])</f>
        <v>0</v>
      </c>
      <c r="AK43" s="27">
        <f>IFERROR(VLOOKUP(DATA[[#This Row],[COMBINADA]],#REF!,6,0),0)</f>
        <v>0</v>
      </c>
      <c r="AL43" s="125">
        <f>IFERROR(VLOOKUP(DATA[[#This Row],[COMBINADA]],#REF!,9,0),0)/COUNTIFS(DATA[COMBINADA],DATA[[#This Row],[COMBINADA]])</f>
        <v>0</v>
      </c>
      <c r="AM43" s="27">
        <f>IFERROR(VLOOKUP(DATA[[#This Row],[COMBINADA]],#REF!,6,0),0)</f>
        <v>0</v>
      </c>
      <c r="AN43" s="125">
        <f>IFERROR(VLOOKUP(DATA[[#This Row],[COMBINADA]],#REF!,9,0),0)/COUNTIFS(DATA[COMBINADA],DATA[[#This Row],[COMBINADA]])</f>
        <v>0</v>
      </c>
      <c r="AO43" s="27">
        <f>IFERROR(VLOOKUP(DATA[[#This Row],[COMBINADA]],#REF!,6,0),0)</f>
        <v>0</v>
      </c>
      <c r="AP43" s="125">
        <f>IFERROR(VLOOKUP(DATA[[#This Row],[COMBINADA]],#REF!,9,0),0)/COUNTIFS(DATA[COMBINADA],DATA[[#This Row],[COMBINADA]])</f>
        <v>0</v>
      </c>
      <c r="AQ4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701.86399999999992</v>
      </c>
      <c r="AR43" s="26" t="str">
        <f>IFERROR(IF(DATA[[#This Row],[estado_fact]]="FACTURADO",VLOOKUP(DATA[[#This Row],[SERIE2]]&amp;"-"&amp;DATA[[#This Row],[NUMERO]],#REF!,34,0),"NO CORRESPONDE"),"NO CORRESPONDE")</f>
        <v>NO CORRESPONDE</v>
      </c>
      <c r="AS43" s="22" t="str">
        <f>IF(DATA[[#This Row],[fecha_fs]]&gt;0,TEXT(DATA[[#This Row],[fecha_fs]],"Mmmm"),0)</f>
        <v>Enero</v>
      </c>
      <c r="AT43" s="22" t="str">
        <f>DATA[[#This Row],[SERIE2]]&amp;"-"&amp;DATA[[#This Row],[NUMERO]]</f>
        <v>FE01-511</v>
      </c>
      <c r="AU43" s="28">
        <f>DATA[[#This Row],[TOTAL]]*DATA[[#This Row],[T.C.]]</f>
        <v>713.9</v>
      </c>
      <c r="AV43" s="6">
        <f>DATA[[#This Row],[FECHA DE VAL.]]</f>
        <v>45667</v>
      </c>
      <c r="AW43" s="6">
        <f>DATA[[#This Row],[FECHA DE EMISION]]</f>
        <v>45678</v>
      </c>
      <c r="AX43" s="6">
        <f>DATA[[#This Row],[F1]]</f>
        <v>0</v>
      </c>
      <c r="AY43" s="20">
        <f>IF(AV43-DATA[[#This Row],[fecha_fs]]&lt;0,0,AV43-DATA[[#This Row],[fecha_fs]])</f>
        <v>4</v>
      </c>
      <c r="AZ43" s="20">
        <f t="shared" si="1"/>
        <v>11</v>
      </c>
      <c r="BA43" s="20">
        <f t="shared" si="2"/>
        <v>0</v>
      </c>
      <c r="BB43" s="195">
        <f>IFERROR(SUM(DATA[[#This Row],[fs_val_ttf]:[fact_pago_ttf]]),0)</f>
        <v>15</v>
      </c>
      <c r="BC43" s="185">
        <v>45663</v>
      </c>
      <c r="BD43" s="185">
        <v>45663</v>
      </c>
      <c r="BE43" s="185">
        <v>45678</v>
      </c>
      <c r="BF43" s="185">
        <v>45678</v>
      </c>
      <c r="BG43" s="20">
        <f>IFERROR(IF(BC43-DATA[[#This Row],[fecha_fs]]&lt;0,0,BC43-DATA[[#This Row],[fecha_fs]]),0)</f>
        <v>0</v>
      </c>
      <c r="BH43" s="20">
        <f t="shared" si="6"/>
        <v>0</v>
      </c>
      <c r="BI43" s="20">
        <f t="shared" si="7"/>
        <v>15</v>
      </c>
      <c r="BJ43" s="20">
        <f t="shared" si="8"/>
        <v>0</v>
      </c>
      <c r="BK43" s="189">
        <f>IFERROR(SUM(DATA[[#This Row],[fs_fd_ttd]:[fend_fenf_ttd]]),0)</f>
        <v>15</v>
      </c>
      <c r="BL43" s="20" t="str">
        <f>IF(DATA[[#This Row],[fecha_fs]]&gt;0,TEXT(DATA[[#This Row],[fecha_fs]],"YYYY"),0)</f>
        <v>2025</v>
      </c>
      <c r="BM43" s="221" t="b">
        <v>1</v>
      </c>
      <c r="BN43" s="278">
        <f>COUNTIF(DATA[[#This Row],[tiempo_td]], "&lt;=15")</f>
        <v>1</v>
      </c>
      <c r="BO43" s="222"/>
    </row>
    <row r="44" spans="1:67" ht="30.6" customHeight="1" x14ac:dyDescent="0.25">
      <c r="A44" s="4">
        <v>20505675836</v>
      </c>
      <c r="B44" s="5" t="s">
        <v>42</v>
      </c>
      <c r="C44" s="52" t="s">
        <v>20</v>
      </c>
      <c r="D44" s="4" t="s">
        <v>112</v>
      </c>
      <c r="E44" s="5" t="s">
        <v>1</v>
      </c>
      <c r="F44" s="24">
        <v>45664</v>
      </c>
      <c r="G44" s="7" t="s">
        <v>113</v>
      </c>
      <c r="H44" s="25">
        <f t="shared" si="0"/>
        <v>1</v>
      </c>
      <c r="I44" s="67">
        <v>3954</v>
      </c>
      <c r="J44" s="8" t="s">
        <v>115</v>
      </c>
      <c r="K44" s="9" t="s">
        <v>116</v>
      </c>
      <c r="L44" s="10" t="s">
        <v>117</v>
      </c>
      <c r="M44" s="11">
        <v>390</v>
      </c>
      <c r="N44" s="12" t="s">
        <v>132</v>
      </c>
      <c r="O44" s="6">
        <v>45684</v>
      </c>
      <c r="P44" s="57">
        <v>3261</v>
      </c>
      <c r="Q44" s="14" t="s">
        <v>85</v>
      </c>
      <c r="R44" s="15"/>
      <c r="S44" s="15">
        <v>1988.35</v>
      </c>
      <c r="T44" s="15">
        <f>DATA[[#This Row],[C. DF]]+DATA[[#This Row],[C.OPE.]]</f>
        <v>1988.35</v>
      </c>
      <c r="U44" s="15">
        <f>DATA[[#This Row],[SUB TOTAL]]*0.18</f>
        <v>357.90299999999996</v>
      </c>
      <c r="V44" s="15">
        <f>IFERROR(ROUND(DATA[[#This Row],[SUB TOTAL]]+DATA[[#This Row],[IGV]],2),0)</f>
        <v>2346.25</v>
      </c>
      <c r="W44" s="16" t="str">
        <f>IF(DATA[[#This Row],[VALORIZACIÓN ]]="-","NO CORRESPONDE",IF(OR(A44=20558226979,A44=10470707866,A44=20111157058,A44=20100226902),"NO CORRESPONDE",IF(J44="Emitida",IF(P44&gt;0,"EMITIDA","PENDIENTE"),"NO CORRESPONDE")))</f>
        <v>EMITIDA</v>
      </c>
      <c r="X44" s="29" t="s">
        <v>146</v>
      </c>
      <c r="Y44" s="17" t="s">
        <v>118</v>
      </c>
      <c r="Z44" s="30">
        <v>45708</v>
      </c>
      <c r="AA44" s="10" t="s">
        <v>124</v>
      </c>
      <c r="AB44" s="19">
        <v>572</v>
      </c>
      <c r="AC44" s="20">
        <v>30</v>
      </c>
      <c r="AD44" s="18">
        <f>DATA[[#This Row],[FECHA DE EMISION]]+DATA[[#This Row],[CONDICION DE PAGO]]</f>
        <v>45738</v>
      </c>
      <c r="AE44" s="23">
        <f>IF(DATA[[#This Row],[MONEDA]]="USD",VLOOKUP(DATA[[#This Row],[COMBINADA]],#REF!,11,0),1)</f>
        <v>1</v>
      </c>
      <c r="AF44" s="39" t="str">
        <f>IF(DATA[[#This Row],[SERIE2]]="-","NO CORRESPONDE",IF(W44="NO CORRESPONDE","NO CORRESPONDE",IF(Z44&gt;0,"FACTURADO","PENDIENTE")))</f>
        <v>FACTURADO</v>
      </c>
      <c r="AG44" s="27">
        <f>IFERROR(VLOOKUP(DATA[[#This Row],[COMBINADA]],#REF!,6,0),0)</f>
        <v>0</v>
      </c>
      <c r="AH44" s="125">
        <f>IFERROR(VLOOKUP(DATA[[#This Row],[COMBINADA]],#REF!,9,0),0)/COUNTIFS(DATA[COMBINADA],DATA[[#This Row],[COMBINADA]])</f>
        <v>0</v>
      </c>
      <c r="AI44" s="27">
        <f>IFERROR(VLOOKUP(DATA[[#This Row],[COMBINADA]],#REF!,6,0),0)</f>
        <v>0</v>
      </c>
      <c r="AJ44" s="125">
        <f>IFERROR(VLOOKUP(DATA[[#This Row],[COMBINADA]],#REF!,9,0),0)/COUNTIFS(DATA[COMBINADA],DATA[[#This Row],[COMBINADA]])</f>
        <v>0</v>
      </c>
      <c r="AK44" s="27">
        <f>IFERROR(VLOOKUP(DATA[[#This Row],[COMBINADA]],#REF!,6,0),0)</f>
        <v>0</v>
      </c>
      <c r="AL44" s="125">
        <f>IFERROR(VLOOKUP(DATA[[#This Row],[COMBINADA]],#REF!,9,0),0)/COUNTIFS(DATA[COMBINADA],DATA[[#This Row],[COMBINADA]])</f>
        <v>0</v>
      </c>
      <c r="AM44" s="27">
        <f>IFERROR(VLOOKUP(DATA[[#This Row],[COMBINADA]],#REF!,6,0),0)</f>
        <v>0</v>
      </c>
      <c r="AN44" s="125">
        <f>IFERROR(VLOOKUP(DATA[[#This Row],[COMBINADA]],#REF!,9,0),0)/COUNTIFS(DATA[COMBINADA],DATA[[#This Row],[COMBINADA]])</f>
        <v>0</v>
      </c>
      <c r="AO44" s="27">
        <f>IFERROR(VLOOKUP(DATA[[#This Row],[COMBINADA]],#REF!,6,0),0)</f>
        <v>0</v>
      </c>
      <c r="AP44" s="125">
        <f>IFERROR(VLOOKUP(DATA[[#This Row],[COMBINADA]],#REF!,9,0),0)/COUNTIFS(DATA[COMBINADA],DATA[[#This Row],[COMBINADA]])</f>
        <v>0</v>
      </c>
      <c r="AQ4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2020.5600000000002</v>
      </c>
      <c r="AR44" s="26" t="str">
        <f>IFERROR(IF(DATA[[#This Row],[estado_fact]]="FACTURADO",VLOOKUP(DATA[[#This Row],[SERIE2]]&amp;"-"&amp;DATA[[#This Row],[NUMERO]],#REF!,34,0),"NO CORRESPONDE"),"NO CORRESPONDE")</f>
        <v>NO CORRESPONDE</v>
      </c>
      <c r="AS44" s="22" t="str">
        <f>IF(DATA[[#This Row],[fecha_fs]]&gt;0,TEXT(DATA[[#This Row],[fecha_fs]],"Mmmm"),0)</f>
        <v>Enero</v>
      </c>
      <c r="AT44" s="22" t="str">
        <f>DATA[[#This Row],[SERIE2]]&amp;"-"&amp;DATA[[#This Row],[NUMERO]]</f>
        <v>FE01-572</v>
      </c>
      <c r="AU44" s="28">
        <f>DATA[[#This Row],[TOTAL]]*DATA[[#This Row],[T.C.]]</f>
        <v>2346.25</v>
      </c>
      <c r="AV44" s="6">
        <f>DATA[[#This Row],[FECHA DE VAL.]]</f>
        <v>45684</v>
      </c>
      <c r="AW44" s="6">
        <f>DATA[[#This Row],[FECHA DE EMISION]]</f>
        <v>45708</v>
      </c>
      <c r="AX44" s="6">
        <f>DATA[[#This Row],[F1]]</f>
        <v>0</v>
      </c>
      <c r="AY44" s="20">
        <f>IF(AV44-DATA[[#This Row],[fecha_fs]]&lt;0,0,AV44-DATA[[#This Row],[fecha_fs]])</f>
        <v>20</v>
      </c>
      <c r="AZ44" s="20">
        <f t="shared" si="1"/>
        <v>24</v>
      </c>
      <c r="BA44" s="20">
        <f t="shared" si="2"/>
        <v>0</v>
      </c>
      <c r="BB44" s="195">
        <f>IFERROR(SUM(DATA[[#This Row],[fs_val_ttf]:[fact_pago_ttf]]),0)</f>
        <v>44</v>
      </c>
      <c r="BC44" s="185">
        <v>45678</v>
      </c>
      <c r="BD44" s="185">
        <v>45686</v>
      </c>
      <c r="BE44" s="185">
        <v>45688</v>
      </c>
      <c r="BF44" s="185">
        <v>45768</v>
      </c>
      <c r="BG44" s="20">
        <f>IFERROR(IF(BC44-DATA[[#This Row],[fecha_fs]]&lt;0,0,BC44-DATA[[#This Row],[fecha_fs]]),0)</f>
        <v>14</v>
      </c>
      <c r="BH44" s="20">
        <f t="shared" si="6"/>
        <v>8</v>
      </c>
      <c r="BI44" s="20">
        <f t="shared" si="7"/>
        <v>2</v>
      </c>
      <c r="BJ44" s="20">
        <f t="shared" si="8"/>
        <v>80</v>
      </c>
      <c r="BK44" s="189">
        <f>IFERROR(SUM(DATA[[#This Row],[fs_fd_ttd]:[fend_fenf_ttd]]),0)</f>
        <v>104</v>
      </c>
      <c r="BL44" s="20" t="str">
        <f>IF(DATA[[#This Row],[fecha_fs]]&gt;0,TEXT(DATA[[#This Row],[fecha_fs]],"YYYY"),0)</f>
        <v>2025</v>
      </c>
      <c r="BM44" s="221" t="b">
        <v>1</v>
      </c>
      <c r="BN44" s="278">
        <f>COUNTIF(DATA[[#This Row],[tiempo_td]], "&lt;=15")</f>
        <v>0</v>
      </c>
      <c r="BO44" s="222"/>
    </row>
    <row r="45" spans="1:67" ht="30.6" customHeight="1" x14ac:dyDescent="0.25">
      <c r="A45" s="4">
        <v>20100247730</v>
      </c>
      <c r="B45" s="5" t="s">
        <v>19</v>
      </c>
      <c r="C45" s="52" t="s">
        <v>20</v>
      </c>
      <c r="D45" s="4" t="s">
        <v>112</v>
      </c>
      <c r="E45" s="5" t="s">
        <v>1</v>
      </c>
      <c r="F45" s="24">
        <v>45664</v>
      </c>
      <c r="G45" s="7" t="s">
        <v>113</v>
      </c>
      <c r="H45" s="25">
        <f t="shared" si="0"/>
        <v>1</v>
      </c>
      <c r="I45" s="67">
        <v>3955</v>
      </c>
      <c r="J45" s="8" t="s">
        <v>115</v>
      </c>
      <c r="K45" s="9" t="s">
        <v>116</v>
      </c>
      <c r="L45" s="10" t="s">
        <v>117</v>
      </c>
      <c r="M45" s="11">
        <v>410</v>
      </c>
      <c r="N45" s="12" t="s">
        <v>132</v>
      </c>
      <c r="O45" s="6">
        <v>45665</v>
      </c>
      <c r="P45" s="13">
        <v>3225</v>
      </c>
      <c r="Q45" s="14" t="s">
        <v>85</v>
      </c>
      <c r="R45" s="15">
        <f>DATA[[#This Row],[cantidad_fs]]*0.97</f>
        <v>397.7</v>
      </c>
      <c r="S45" s="15">
        <v>590</v>
      </c>
      <c r="T45" s="15">
        <f>DATA[[#This Row],[C. DF]]+DATA[[#This Row],[C.OPE.]]</f>
        <v>987.7</v>
      </c>
      <c r="U45" s="15">
        <f>DATA[[#This Row],[SUB TOTAL]]*0.18</f>
        <v>177.786</v>
      </c>
      <c r="V45" s="15">
        <f>IFERROR(ROUND(DATA[[#This Row],[SUB TOTAL]]+DATA[[#This Row],[IGV]],2),0)</f>
        <v>1165.49</v>
      </c>
      <c r="W45" s="16" t="str">
        <f>IF(DATA[[#This Row],[VALORIZACIÓN ]]="-","NO CORRESPONDE",IF(OR(A45=20558226979,A45=10470707866,A45=20111157058,A45=20100226902),"NO CORRESPONDE",IF(J45="Emitida",IF(P45&gt;0,"EMITIDA","PENDIENTE"),"NO CORRESPONDE")))</f>
        <v>EMITIDA</v>
      </c>
      <c r="X45" s="29"/>
      <c r="Y45" s="17" t="s">
        <v>118</v>
      </c>
      <c r="Z45" s="30">
        <v>45680</v>
      </c>
      <c r="AA45" s="10" t="s">
        <v>124</v>
      </c>
      <c r="AB45" s="19">
        <v>524</v>
      </c>
      <c r="AC45" s="20">
        <v>30</v>
      </c>
      <c r="AD45" s="18">
        <f>DATA[[#This Row],[FECHA DE EMISION]]+DATA[[#This Row],[CONDICION DE PAGO]]</f>
        <v>45710</v>
      </c>
      <c r="AE45" s="23">
        <f>IF(DATA[[#This Row],[MONEDA]]="USD",VLOOKUP(DATA[[#This Row],[COMBINADA]],#REF!,11,0),1)</f>
        <v>1</v>
      </c>
      <c r="AF45" s="39" t="str">
        <f>IF(DATA[[#This Row],[SERIE2]]="-","NO CORRESPONDE",IF(W45="NO CORRESPONDE","NO CORRESPONDE",IF(Z45&gt;0,"FACTURADO","PENDIENTE")))</f>
        <v>FACTURADO</v>
      </c>
      <c r="AG45" s="27">
        <f>IFERROR(VLOOKUP(DATA[[#This Row],[COMBINADA]],#REF!,6,0),0)</f>
        <v>0</v>
      </c>
      <c r="AH45" s="125">
        <f>IFERROR(VLOOKUP(DATA[[#This Row],[COMBINADA]],#REF!,9,0),0)/COUNTIFS(DATA[COMBINADA],DATA[[#This Row],[COMBINADA]])</f>
        <v>0</v>
      </c>
      <c r="AI45" s="27">
        <f>IFERROR(VLOOKUP(DATA[[#This Row],[COMBINADA]],#REF!,6,0),0)</f>
        <v>0</v>
      </c>
      <c r="AJ45" s="125">
        <f>IFERROR(VLOOKUP(DATA[[#This Row],[COMBINADA]],#REF!,9,0),0)/COUNTIFS(DATA[COMBINADA],DATA[[#This Row],[COMBINADA]])</f>
        <v>0</v>
      </c>
      <c r="AK45" s="27">
        <f>IFERROR(VLOOKUP(DATA[[#This Row],[COMBINADA]],#REF!,6,0),0)</f>
        <v>0</v>
      </c>
      <c r="AL45" s="125">
        <f>IFERROR(VLOOKUP(DATA[[#This Row],[COMBINADA]],#REF!,9,0),0)/COUNTIFS(DATA[COMBINADA],DATA[[#This Row],[COMBINADA]])</f>
        <v>0</v>
      </c>
      <c r="AM45" s="27">
        <f>IFERROR(VLOOKUP(DATA[[#This Row],[COMBINADA]],#REF!,6,0),0)</f>
        <v>0</v>
      </c>
      <c r="AN45" s="125">
        <f>IFERROR(VLOOKUP(DATA[[#This Row],[COMBINADA]],#REF!,9,0),0)/COUNTIFS(DATA[COMBINADA],DATA[[#This Row],[COMBINADA]])</f>
        <v>0</v>
      </c>
      <c r="AO45" s="27">
        <f>IFERROR(VLOOKUP(DATA[[#This Row],[COMBINADA]],#REF!,6,0),0)</f>
        <v>0</v>
      </c>
      <c r="AP45" s="125">
        <f>IFERROR(VLOOKUP(DATA[[#This Row],[COMBINADA]],#REF!,9,0),0)/COUNTIFS(DATA[COMBINADA],DATA[[#This Row],[COMBINADA]])</f>
        <v>0</v>
      </c>
      <c r="AQ4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1165.49</v>
      </c>
      <c r="AR45" s="26" t="str">
        <f>IFERROR(IF(DATA[[#This Row],[estado_fact]]="FACTURADO",VLOOKUP(DATA[[#This Row],[SERIE2]]&amp;"-"&amp;DATA[[#This Row],[NUMERO]],#REF!,34,0),"NO CORRESPONDE"),"NO CORRESPONDE")</f>
        <v>NO CORRESPONDE</v>
      </c>
      <c r="AS45" s="22" t="str">
        <f>IF(DATA[[#This Row],[fecha_fs]]&gt;0,TEXT(DATA[[#This Row],[fecha_fs]],"Mmmm"),0)</f>
        <v>Enero</v>
      </c>
      <c r="AT45" s="22" t="str">
        <f>DATA[[#This Row],[SERIE2]]&amp;"-"&amp;DATA[[#This Row],[NUMERO]]</f>
        <v>FE01-524</v>
      </c>
      <c r="AU45" s="28">
        <f>DATA[[#This Row],[TOTAL]]*DATA[[#This Row],[T.C.]]</f>
        <v>1165.49</v>
      </c>
      <c r="AV45" s="6">
        <f>DATA[[#This Row],[FECHA DE VAL.]]</f>
        <v>45665</v>
      </c>
      <c r="AW45" s="6">
        <f>DATA[[#This Row],[FECHA DE EMISION]]</f>
        <v>45680</v>
      </c>
      <c r="AX45" s="6">
        <f>DATA[[#This Row],[F1]]</f>
        <v>0</v>
      </c>
      <c r="AY45" s="20">
        <f>IF(AV45-DATA[[#This Row],[fecha_fs]]&lt;0,0,AV45-DATA[[#This Row],[fecha_fs]])</f>
        <v>1</v>
      </c>
      <c r="AZ45" s="20">
        <f t="shared" si="1"/>
        <v>15</v>
      </c>
      <c r="BA45" s="20">
        <f t="shared" si="2"/>
        <v>0</v>
      </c>
      <c r="BB45" s="195">
        <f>IFERROR(SUM(DATA[[#This Row],[fs_val_ttf]:[fact_pago_ttf]]),0)</f>
        <v>16</v>
      </c>
      <c r="BC45" s="187">
        <v>45678</v>
      </c>
      <c r="BD45" s="187">
        <v>45685</v>
      </c>
      <c r="BE45" s="187">
        <v>45687</v>
      </c>
      <c r="BF45" s="187">
        <v>45783</v>
      </c>
      <c r="BG45" s="20">
        <f>IFERROR(IF(BC45-DATA[[#This Row],[fecha_fs]]&lt;0,0,BC45-DATA[[#This Row],[fecha_fs]]),0)</f>
        <v>14</v>
      </c>
      <c r="BH45" s="20">
        <f t="shared" si="6"/>
        <v>7</v>
      </c>
      <c r="BI45" s="20">
        <f t="shared" si="7"/>
        <v>2</v>
      </c>
      <c r="BJ45" s="20">
        <f t="shared" si="8"/>
        <v>96</v>
      </c>
      <c r="BK45" s="189">
        <f>IFERROR(SUM(DATA[[#This Row],[fs_fd_ttd]:[fend_fenf_ttd]]),0)</f>
        <v>119</v>
      </c>
      <c r="BL45" s="20" t="str">
        <f>IF(DATA[[#This Row],[fecha_fs]]&gt;0,TEXT(DATA[[#This Row],[fecha_fs]],"YYYY"),0)</f>
        <v>2025</v>
      </c>
      <c r="BM45" s="221" t="b">
        <v>0</v>
      </c>
      <c r="BN45" s="278">
        <f>COUNTIF(DATA[[#This Row],[tiempo_td]], "&lt;=15")</f>
        <v>0</v>
      </c>
      <c r="BO45" s="222"/>
    </row>
    <row r="46" spans="1:67" ht="30.6" customHeight="1" x14ac:dyDescent="0.25">
      <c r="A46" s="4">
        <v>20100192064</v>
      </c>
      <c r="B46" s="5" t="s">
        <v>60</v>
      </c>
      <c r="C46" s="52" t="s">
        <v>65</v>
      </c>
      <c r="D46" s="4" t="s">
        <v>112</v>
      </c>
      <c r="E46" s="5" t="s">
        <v>1</v>
      </c>
      <c r="F46" s="24">
        <v>45664</v>
      </c>
      <c r="G46" s="7" t="s">
        <v>142</v>
      </c>
      <c r="H46" s="25">
        <f t="shared" si="0"/>
        <v>2</v>
      </c>
      <c r="I46" s="67">
        <v>1029</v>
      </c>
      <c r="J46" s="8" t="s">
        <v>115</v>
      </c>
      <c r="K46" s="9" t="s">
        <v>116</v>
      </c>
      <c r="L46" s="10" t="s">
        <v>117</v>
      </c>
      <c r="M46" s="11">
        <v>2520</v>
      </c>
      <c r="N46" s="12" t="s">
        <v>143</v>
      </c>
      <c r="O46" s="6">
        <v>45684</v>
      </c>
      <c r="P46" s="57">
        <v>3251</v>
      </c>
      <c r="Q46" s="14" t="s">
        <v>123</v>
      </c>
      <c r="R46" s="15">
        <f>(DATA[[#This Row],[cantidad_fs]]/1000)*(147+81.01)</f>
        <v>574.58519999999999</v>
      </c>
      <c r="S46" s="15">
        <v>103.6</v>
      </c>
      <c r="T46" s="15">
        <f>DATA[[#This Row],[C. DF]]+DATA[[#This Row],[C.OPE.]]</f>
        <v>678.18520000000001</v>
      </c>
      <c r="U46" s="15">
        <f>DATA[[#This Row],[SUB TOTAL]]*0.18</f>
        <v>122.073336</v>
      </c>
      <c r="V46" s="15">
        <f>IFERROR(ROUND(DATA[[#This Row],[SUB TOTAL]]+DATA[[#This Row],[IGV]],2),0)</f>
        <v>800.26</v>
      </c>
      <c r="W46" s="16" t="str">
        <f>IF(DATA[[#This Row],[VALORIZACIÓN ]]="-","NO CORRESPONDE",IF(OR(A46=20558226979,A46=10470707866,A46=20111157058,A46=20100226902),"NO CORRESPONDE",IF(J46="Emitida",IF(P46&gt;0,"EMITIDA","PENDIENTE"),"NO CORRESPONDE")))</f>
        <v>EMITIDA</v>
      </c>
      <c r="X46" s="29" t="s">
        <v>144</v>
      </c>
      <c r="Y46" s="17" t="s">
        <v>118</v>
      </c>
      <c r="Z46" s="30">
        <v>45686</v>
      </c>
      <c r="AA46" s="10" t="s">
        <v>124</v>
      </c>
      <c r="AB46" s="19">
        <v>531</v>
      </c>
      <c r="AC46" s="20">
        <v>30</v>
      </c>
      <c r="AD46" s="18">
        <f>DATA[[#This Row],[FECHA DE EMISION]]+DATA[[#This Row],[CONDICION DE PAGO]]</f>
        <v>45716</v>
      </c>
      <c r="AE46" s="23" t="e">
        <f>IF(DATA[[#This Row],[MONEDA]]="USD",VLOOKUP(DATA[[#This Row],[COMBINADA]],#REF!,11,0),1)</f>
        <v>#REF!</v>
      </c>
      <c r="AF46" s="39" t="str">
        <f>IF(DATA[[#This Row],[SERIE2]]="-","NO CORRESPONDE",IF(W46="NO CORRESPONDE","NO CORRESPONDE",IF(Z46&gt;0,"FACTURADO","PENDIENTE")))</f>
        <v>FACTURADO</v>
      </c>
      <c r="AG46" s="27">
        <f>IFERROR(VLOOKUP(DATA[[#This Row],[COMBINADA]],#REF!,6,0),0)</f>
        <v>0</v>
      </c>
      <c r="AH46" s="125">
        <f>IFERROR(VLOOKUP(DATA[[#This Row],[COMBINADA]],#REF!,9,0),0)/COUNTIFS(DATA[COMBINADA],DATA[[#This Row],[COMBINADA]])</f>
        <v>0</v>
      </c>
      <c r="AI46" s="27">
        <f>IFERROR(VLOOKUP(DATA[[#This Row],[COMBINADA]],#REF!,6,0),0)</f>
        <v>0</v>
      </c>
      <c r="AJ46" s="125">
        <f>IFERROR(VLOOKUP(DATA[[#This Row],[COMBINADA]],#REF!,9,0),0)/COUNTIFS(DATA[COMBINADA],DATA[[#This Row],[COMBINADA]])</f>
        <v>0</v>
      </c>
      <c r="AK46" s="27">
        <f>IFERROR(VLOOKUP(DATA[[#This Row],[COMBINADA]],#REF!,6,0),0)</f>
        <v>0</v>
      </c>
      <c r="AL46" s="125">
        <f>IFERROR(VLOOKUP(DATA[[#This Row],[COMBINADA]],#REF!,9,0),0)/COUNTIFS(DATA[COMBINADA],DATA[[#This Row],[COMBINADA]])</f>
        <v>0</v>
      </c>
      <c r="AM46" s="27">
        <f>IFERROR(VLOOKUP(DATA[[#This Row],[COMBINADA]],#REF!,6,0),0)</f>
        <v>0</v>
      </c>
      <c r="AN46" s="125">
        <f>IFERROR(VLOOKUP(DATA[[#This Row],[COMBINADA]],#REF!,9,0),0)/COUNTIFS(DATA[COMBINADA],DATA[[#This Row],[COMBINADA]])</f>
        <v>0</v>
      </c>
      <c r="AO46" s="27">
        <f>IFERROR(VLOOKUP(DATA[[#This Row],[COMBINADA]],#REF!,6,0),0)</f>
        <v>0</v>
      </c>
      <c r="AP46" s="125">
        <f>IFERROR(VLOOKUP(DATA[[#This Row],[COMBINADA]],#REF!,9,0),0)/COUNTIFS(DATA[COMBINADA],DATA[[#This Row],[COMBINADA]])</f>
        <v>0</v>
      </c>
      <c r="AQ4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256.16428571428571</v>
      </c>
      <c r="AR46" s="26" t="str">
        <f>IFERROR(IF(DATA[[#This Row],[estado_fact]]="FACTURADO",VLOOKUP(DATA[[#This Row],[SERIE2]]&amp;"-"&amp;DATA[[#This Row],[NUMERO]],#REF!,34,0),"NO CORRESPONDE"),"NO CORRESPONDE")</f>
        <v>NO CORRESPONDE</v>
      </c>
      <c r="AS46" s="22" t="str">
        <f>IF(DATA[[#This Row],[fecha_fs]]&gt;0,TEXT(DATA[[#This Row],[fecha_fs]],"Mmmm"),0)</f>
        <v>Enero</v>
      </c>
      <c r="AT46" s="22" t="str">
        <f>DATA[[#This Row],[SERIE2]]&amp;"-"&amp;DATA[[#This Row],[NUMERO]]</f>
        <v>FE01-531</v>
      </c>
      <c r="AU46" s="28" t="e">
        <f>DATA[[#This Row],[TOTAL]]*DATA[[#This Row],[T.C.]]</f>
        <v>#REF!</v>
      </c>
      <c r="AV46" s="6">
        <f>DATA[[#This Row],[FECHA DE VAL.]]</f>
        <v>45684</v>
      </c>
      <c r="AW46" s="6">
        <f>DATA[[#This Row],[FECHA DE EMISION]]</f>
        <v>45686</v>
      </c>
      <c r="AX46" s="6">
        <f>DATA[[#This Row],[F1]]</f>
        <v>0</v>
      </c>
      <c r="AY46" s="20">
        <f>IF(AV46-DATA[[#This Row],[fecha_fs]]&lt;0,0,AV46-DATA[[#This Row],[fecha_fs]])</f>
        <v>20</v>
      </c>
      <c r="AZ46" s="20">
        <f t="shared" si="1"/>
        <v>2</v>
      </c>
      <c r="BA46" s="20">
        <f t="shared" si="2"/>
        <v>0</v>
      </c>
      <c r="BB46" s="195">
        <f>IFERROR(SUM(DATA[[#This Row],[fs_val_ttf]:[fact_pago_ttf]]),0)</f>
        <v>22</v>
      </c>
      <c r="BC46" s="185">
        <v>45664</v>
      </c>
      <c r="BD46" s="185">
        <v>45686</v>
      </c>
      <c r="BE46" s="185">
        <v>45687</v>
      </c>
      <c r="BF46" s="185">
        <v>45758</v>
      </c>
      <c r="BG46" s="20">
        <f>IFERROR(IF(BC46-DATA[[#This Row],[fecha_fs]]&lt;0,0,BC46-DATA[[#This Row],[fecha_fs]]),0)</f>
        <v>0</v>
      </c>
      <c r="BH46" s="20">
        <f t="shared" si="6"/>
        <v>22</v>
      </c>
      <c r="BI46" s="20">
        <f t="shared" si="7"/>
        <v>1</v>
      </c>
      <c r="BJ46" s="20">
        <f t="shared" si="8"/>
        <v>71</v>
      </c>
      <c r="BK46" s="189">
        <f>IFERROR(SUM(DATA[[#This Row],[fs_fd_ttd]:[fend_fenf_ttd]]),0)</f>
        <v>94</v>
      </c>
      <c r="BL46" s="20" t="str">
        <f>IF(DATA[[#This Row],[fecha_fs]]&gt;0,TEXT(DATA[[#This Row],[fecha_fs]],"YYYY"),0)</f>
        <v>2025</v>
      </c>
      <c r="BM46" s="221" t="b">
        <v>1</v>
      </c>
      <c r="BN46" s="278">
        <f>COUNTIF(DATA[[#This Row],[tiempo_td]], "&lt;=15")</f>
        <v>0</v>
      </c>
      <c r="BO46" s="222"/>
    </row>
    <row r="47" spans="1:67" ht="30.6" customHeight="1" x14ac:dyDescent="0.25">
      <c r="A47" s="4">
        <v>20100211115</v>
      </c>
      <c r="B47" s="5" t="s">
        <v>41</v>
      </c>
      <c r="C47" s="52" t="s">
        <v>18</v>
      </c>
      <c r="D47" s="4" t="s">
        <v>120</v>
      </c>
      <c r="E47" s="5" t="s">
        <v>3</v>
      </c>
      <c r="F47" s="24">
        <v>45665</v>
      </c>
      <c r="G47" s="7" t="s">
        <v>113</v>
      </c>
      <c r="H47" s="25">
        <f t="shared" si="0"/>
        <v>1</v>
      </c>
      <c r="I47" s="67">
        <v>3956</v>
      </c>
      <c r="J47" s="8" t="s">
        <v>115</v>
      </c>
      <c r="K47" s="9" t="s">
        <v>121</v>
      </c>
      <c r="L47" s="10" t="s">
        <v>117</v>
      </c>
      <c r="M47" s="11">
        <v>90</v>
      </c>
      <c r="N47" s="12" t="s">
        <v>132</v>
      </c>
      <c r="O47" s="6">
        <v>45684</v>
      </c>
      <c r="P47" s="115">
        <v>3267</v>
      </c>
      <c r="Q47" s="14" t="s">
        <v>85</v>
      </c>
      <c r="R47" s="15"/>
      <c r="S47" s="15">
        <f>(DATA[[#This Row],[cantidad_fs]]*4.37)</f>
        <v>393.3</v>
      </c>
      <c r="T47" s="15">
        <f>DATA[[#This Row],[C. DF]]+DATA[[#This Row],[C.OPE.]]</f>
        <v>393.3</v>
      </c>
      <c r="U47" s="15">
        <f>DATA[[#This Row],[SUB TOTAL]]*0.18</f>
        <v>70.793999999999997</v>
      </c>
      <c r="V47" s="15">
        <f>IFERROR(ROUND(DATA[[#This Row],[SUB TOTAL]]+DATA[[#This Row],[IGV]],2),0)</f>
        <v>464.09</v>
      </c>
      <c r="W47" s="16" t="str">
        <f>IF(DATA[[#This Row],[VALORIZACIÓN ]]="-","NO CORRESPONDE",IF(OR(A47=20558226979,A47=10470707866,A47=20111157058,A47=20100226902),"NO CORRESPONDE",IF(J47="Emitida",IF(P47&gt;0,"EMITIDA","PENDIENTE"),"NO CORRESPONDE")))</f>
        <v>EMITIDA</v>
      </c>
      <c r="X47" s="29"/>
      <c r="Y47" s="17" t="s">
        <v>118</v>
      </c>
      <c r="Z47" s="30">
        <v>45687</v>
      </c>
      <c r="AA47" s="10" t="s">
        <v>124</v>
      </c>
      <c r="AB47" s="19">
        <v>536</v>
      </c>
      <c r="AC47" s="20">
        <v>30</v>
      </c>
      <c r="AD47" s="18">
        <f>DATA[[#This Row],[FECHA DE EMISION]]+DATA[[#This Row],[CONDICION DE PAGO]]</f>
        <v>45717</v>
      </c>
      <c r="AE47" s="23">
        <f>IF(DATA[[#This Row],[MONEDA]]="USD",VLOOKUP(DATA[[#This Row],[COMBINADA]],#REF!,11,0),1)</f>
        <v>1</v>
      </c>
      <c r="AF47" s="39" t="str">
        <f>IF(DATA[[#This Row],[SERIE2]]="-","NO CORRESPONDE",IF(W47="NO CORRESPONDE","NO CORRESPONDE",IF(Z47&gt;0,"FACTURADO","PENDIENTE")))</f>
        <v>FACTURADO</v>
      </c>
      <c r="AG47" s="27">
        <f>IFERROR(VLOOKUP(DATA[[#This Row],[COMBINADA]],#REF!,6,0),0)</f>
        <v>0</v>
      </c>
      <c r="AH47" s="125">
        <f>IFERROR(VLOOKUP(DATA[[#This Row],[COMBINADA]],#REF!,9,0),0)/COUNTIFS(DATA[COMBINADA],DATA[[#This Row],[COMBINADA]])</f>
        <v>0</v>
      </c>
      <c r="AI47" s="27">
        <f>IFERROR(VLOOKUP(DATA[[#This Row],[COMBINADA]],#REF!,6,0),0)</f>
        <v>0</v>
      </c>
      <c r="AJ47" s="125">
        <f>IFERROR(VLOOKUP(DATA[[#This Row],[COMBINADA]],#REF!,9,0),0)/COUNTIFS(DATA[COMBINADA],DATA[[#This Row],[COMBINADA]])</f>
        <v>0</v>
      </c>
      <c r="AK47" s="27">
        <f>IFERROR(VLOOKUP(DATA[[#This Row],[COMBINADA]],#REF!,6,0),0)</f>
        <v>0</v>
      </c>
      <c r="AL47" s="125">
        <f>IFERROR(VLOOKUP(DATA[[#This Row],[COMBINADA]],#REF!,9,0),0)/COUNTIFS(DATA[COMBINADA],DATA[[#This Row],[COMBINADA]])</f>
        <v>0</v>
      </c>
      <c r="AM47" s="27">
        <f>IFERROR(VLOOKUP(DATA[[#This Row],[COMBINADA]],#REF!,6,0),0)</f>
        <v>0</v>
      </c>
      <c r="AN47" s="125">
        <f>IFERROR(VLOOKUP(DATA[[#This Row],[COMBINADA]],#REF!,9,0),0)/COUNTIFS(DATA[COMBINADA],DATA[[#This Row],[COMBINADA]])</f>
        <v>0</v>
      </c>
      <c r="AO47" s="27">
        <f>IFERROR(VLOOKUP(DATA[[#This Row],[COMBINADA]],#REF!,6,0),0)</f>
        <v>0</v>
      </c>
      <c r="AP47" s="125">
        <f>IFERROR(VLOOKUP(DATA[[#This Row],[COMBINADA]],#REF!,9,0),0)/COUNTIFS(DATA[COMBINADA],DATA[[#This Row],[COMBINADA]])</f>
        <v>0</v>
      </c>
      <c r="AQ4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47" s="26" t="str">
        <f>IFERROR(IF(DATA[[#This Row],[estado_fact]]="FACTURADO",VLOOKUP(DATA[[#This Row],[SERIE2]]&amp;"-"&amp;DATA[[#This Row],[NUMERO]],#REF!,34,0),"NO CORRESPONDE"),"NO CORRESPONDE")</f>
        <v>NO CORRESPONDE</v>
      </c>
      <c r="AS47" s="22" t="str">
        <f>IF(DATA[[#This Row],[fecha_fs]]&gt;0,TEXT(DATA[[#This Row],[fecha_fs]],"Mmmm"),0)</f>
        <v>Enero</v>
      </c>
      <c r="AT47" s="22" t="str">
        <f>DATA[[#This Row],[SERIE2]]&amp;"-"&amp;DATA[[#This Row],[NUMERO]]</f>
        <v>FE01-536</v>
      </c>
      <c r="AU47" s="28">
        <f>DATA[[#This Row],[TOTAL]]*DATA[[#This Row],[T.C.]]</f>
        <v>464.09</v>
      </c>
      <c r="AV47" s="6">
        <f>DATA[[#This Row],[FECHA DE VAL.]]</f>
        <v>45684</v>
      </c>
      <c r="AW47" s="6">
        <f>DATA[[#This Row],[FECHA DE EMISION]]</f>
        <v>45687</v>
      </c>
      <c r="AX47" s="6">
        <f>DATA[[#This Row],[F1]]</f>
        <v>0</v>
      </c>
      <c r="AY47" s="20">
        <f>IF(AV47-DATA[[#This Row],[fecha_fs]]&lt;0,0,AV47-DATA[[#This Row],[fecha_fs]])</f>
        <v>19</v>
      </c>
      <c r="AZ47" s="20">
        <f t="shared" si="1"/>
        <v>3</v>
      </c>
      <c r="BA47" s="20">
        <f t="shared" si="2"/>
        <v>0</v>
      </c>
      <c r="BB47" s="195">
        <f>IFERROR(SUM(DATA[[#This Row],[fs_val_ttf]:[fact_pago_ttf]]),0)</f>
        <v>22</v>
      </c>
      <c r="BC47" s="184">
        <v>45698</v>
      </c>
      <c r="BD47" s="184">
        <v>45707</v>
      </c>
      <c r="BE47" s="184">
        <v>45712</v>
      </c>
      <c r="BF47" s="184">
        <v>45714</v>
      </c>
      <c r="BG47" s="20">
        <f>IFERROR(IF(BC47-DATA[[#This Row],[fecha_fs]]&lt;0,0,BC47-DATA[[#This Row],[fecha_fs]]),0)</f>
        <v>33</v>
      </c>
      <c r="BH47" s="20">
        <f t="shared" si="6"/>
        <v>9</v>
      </c>
      <c r="BI47" s="20">
        <f t="shared" si="7"/>
        <v>5</v>
      </c>
      <c r="BJ47" s="20">
        <f t="shared" si="8"/>
        <v>2</v>
      </c>
      <c r="BK47" s="189">
        <f>IFERROR(SUM(DATA[[#This Row],[fs_fd_ttd]:[fend_fenf_ttd]]),0)</f>
        <v>49</v>
      </c>
      <c r="BL47" s="20" t="str">
        <f>IF(DATA[[#This Row],[fecha_fs]]&gt;0,TEXT(DATA[[#This Row],[fecha_fs]],"YYYY"),0)</f>
        <v>2025</v>
      </c>
      <c r="BM47" s="221" t="b">
        <v>1</v>
      </c>
      <c r="BN47" s="278">
        <f>COUNTIF(DATA[[#This Row],[tiempo_td]], "&lt;=15")</f>
        <v>0</v>
      </c>
      <c r="BO47" s="222"/>
    </row>
    <row r="48" spans="1:67" ht="30.6" customHeight="1" x14ac:dyDescent="0.25">
      <c r="A48" s="4">
        <v>20100192064</v>
      </c>
      <c r="B48" s="5" t="s">
        <v>60</v>
      </c>
      <c r="C48" s="52" t="s">
        <v>43</v>
      </c>
      <c r="D48" s="4" t="s">
        <v>112</v>
      </c>
      <c r="E48" s="5" t="s">
        <v>1</v>
      </c>
      <c r="F48" s="24">
        <v>45665</v>
      </c>
      <c r="G48" s="7" t="s">
        <v>113</v>
      </c>
      <c r="H48" s="25">
        <f t="shared" si="0"/>
        <v>1</v>
      </c>
      <c r="I48" s="67">
        <v>3957</v>
      </c>
      <c r="J48" s="8" t="s">
        <v>115</v>
      </c>
      <c r="K48" s="9" t="s">
        <v>116</v>
      </c>
      <c r="L48" s="10" t="s">
        <v>117</v>
      </c>
      <c r="M48" s="11">
        <v>980</v>
      </c>
      <c r="N48" s="12" t="s">
        <v>125</v>
      </c>
      <c r="O48" s="6">
        <v>45684</v>
      </c>
      <c r="P48" s="57">
        <v>3245</v>
      </c>
      <c r="Q48" s="14" t="s">
        <v>123</v>
      </c>
      <c r="R48" s="15">
        <f>(DATA[[#This Row],[cantidad_fs]]/1000)*(143+175.34)</f>
        <v>311.97320000000002</v>
      </c>
      <c r="S48" s="15">
        <v>137</v>
      </c>
      <c r="T48" s="15">
        <f>DATA[[#This Row],[C. DF]]+DATA[[#This Row],[C.OPE.]]</f>
        <v>448.97320000000002</v>
      </c>
      <c r="U48" s="15">
        <f>DATA[[#This Row],[SUB TOTAL]]*0.18</f>
        <v>80.815175999999994</v>
      </c>
      <c r="V48" s="15">
        <f>IFERROR(ROUND(DATA[[#This Row],[SUB TOTAL]]+DATA[[#This Row],[IGV]],2),0)</f>
        <v>529.79</v>
      </c>
      <c r="W48" s="16" t="str">
        <f>IF(DATA[[#This Row],[VALORIZACIÓN ]]="-","NO CORRESPONDE",IF(OR(A48=20558226979,A48=10470707866,A48=20111157058,A48=20100226902),"NO CORRESPONDE",IF(J48="Emitida",IF(P48&gt;0,"EMITIDA","PENDIENTE"),"NO CORRESPONDE")))</f>
        <v>EMITIDA</v>
      </c>
      <c r="X48" s="29"/>
      <c r="Y48" s="17" t="s">
        <v>118</v>
      </c>
      <c r="Z48" s="30">
        <v>45687</v>
      </c>
      <c r="AA48" s="10" t="s">
        <v>124</v>
      </c>
      <c r="AB48" s="19">
        <v>534</v>
      </c>
      <c r="AC48" s="20">
        <v>30</v>
      </c>
      <c r="AD48" s="18">
        <f>DATA[[#This Row],[FECHA DE EMISION]]+DATA[[#This Row],[CONDICION DE PAGO]]</f>
        <v>45717</v>
      </c>
      <c r="AE48" s="23" t="e">
        <f>IF(DATA[[#This Row],[MONEDA]]="USD",VLOOKUP(DATA[[#This Row],[COMBINADA]],#REF!,11,0),1)</f>
        <v>#REF!</v>
      </c>
      <c r="AF48" s="39" t="str">
        <f>IF(DATA[[#This Row],[SERIE2]]="-","NO CORRESPONDE",IF(W48="NO CORRESPONDE","NO CORRESPONDE",IF(Z48&gt;0,"FACTURADO","PENDIENTE")))</f>
        <v>FACTURADO</v>
      </c>
      <c r="AG48" s="27">
        <f>IFERROR(VLOOKUP(DATA[[#This Row],[COMBINADA]],#REF!,6,0),0)</f>
        <v>0</v>
      </c>
      <c r="AH48" s="125">
        <f>IFERROR(VLOOKUP(DATA[[#This Row],[COMBINADA]],#REF!,9,0),0)/COUNTIFS(DATA[COMBINADA],DATA[[#This Row],[COMBINADA]])</f>
        <v>0</v>
      </c>
      <c r="AI48" s="27">
        <f>IFERROR(VLOOKUP(DATA[[#This Row],[COMBINADA]],#REF!,6,0),0)</f>
        <v>0</v>
      </c>
      <c r="AJ48" s="125">
        <f>IFERROR(VLOOKUP(DATA[[#This Row],[COMBINADA]],#REF!,9,0),0)/COUNTIFS(DATA[COMBINADA],DATA[[#This Row],[COMBINADA]])</f>
        <v>0</v>
      </c>
      <c r="AK48" s="27">
        <f>IFERROR(VLOOKUP(DATA[[#This Row],[COMBINADA]],#REF!,6,0),0)</f>
        <v>0</v>
      </c>
      <c r="AL48" s="125">
        <f>IFERROR(VLOOKUP(DATA[[#This Row],[COMBINADA]],#REF!,9,0),0)/COUNTIFS(DATA[COMBINADA],DATA[[#This Row],[COMBINADA]])</f>
        <v>0</v>
      </c>
      <c r="AM48" s="27">
        <f>IFERROR(VLOOKUP(DATA[[#This Row],[COMBINADA]],#REF!,6,0),0)</f>
        <v>0</v>
      </c>
      <c r="AN48" s="125">
        <f>IFERROR(VLOOKUP(DATA[[#This Row],[COMBINADA]],#REF!,9,0),0)/COUNTIFS(DATA[COMBINADA],DATA[[#This Row],[COMBINADA]])</f>
        <v>0</v>
      </c>
      <c r="AO48" s="27">
        <f>IFERROR(VLOOKUP(DATA[[#This Row],[COMBINADA]],#REF!,6,0),0)</f>
        <v>0</v>
      </c>
      <c r="AP48" s="125">
        <f>IFERROR(VLOOKUP(DATA[[#This Row],[COMBINADA]],#REF!,9,0),0)/COUNTIFS(DATA[COMBINADA],DATA[[#This Row],[COMBINADA]])</f>
        <v>0</v>
      </c>
      <c r="AQ4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575.62384615384622</v>
      </c>
      <c r="AR48" s="26" t="str">
        <f>IFERROR(IF(DATA[[#This Row],[estado_fact]]="FACTURADO",VLOOKUP(DATA[[#This Row],[SERIE2]]&amp;"-"&amp;DATA[[#This Row],[NUMERO]],#REF!,34,0),"NO CORRESPONDE"),"NO CORRESPONDE")</f>
        <v>NO CORRESPONDE</v>
      </c>
      <c r="AS48" s="22" t="str">
        <f>IF(DATA[[#This Row],[fecha_fs]]&gt;0,TEXT(DATA[[#This Row],[fecha_fs]],"Mmmm"),0)</f>
        <v>Enero</v>
      </c>
      <c r="AT48" s="22" t="str">
        <f>DATA[[#This Row],[SERIE2]]&amp;"-"&amp;DATA[[#This Row],[NUMERO]]</f>
        <v>FE01-534</v>
      </c>
      <c r="AU48" s="28" t="e">
        <f>DATA[[#This Row],[TOTAL]]*DATA[[#This Row],[T.C.]]</f>
        <v>#REF!</v>
      </c>
      <c r="AV48" s="6">
        <f>DATA[[#This Row],[FECHA DE VAL.]]</f>
        <v>45684</v>
      </c>
      <c r="AW48" s="6">
        <f>DATA[[#This Row],[FECHA DE EMISION]]</f>
        <v>45687</v>
      </c>
      <c r="AX48" s="6">
        <f>DATA[[#This Row],[F1]]</f>
        <v>0</v>
      </c>
      <c r="AY48" s="20">
        <f>IF(AV48-DATA[[#This Row],[fecha_fs]]&lt;0,0,AV48-DATA[[#This Row],[fecha_fs]])</f>
        <v>19</v>
      </c>
      <c r="AZ48" s="20">
        <f t="shared" si="1"/>
        <v>3</v>
      </c>
      <c r="BA48" s="20">
        <f t="shared" si="2"/>
        <v>0</v>
      </c>
      <c r="BB48" s="195">
        <f>IFERROR(SUM(DATA[[#This Row],[fs_val_ttf]:[fact_pago_ttf]]),0)</f>
        <v>22</v>
      </c>
      <c r="BC48" s="185">
        <v>45678</v>
      </c>
      <c r="BD48" s="185">
        <v>45686</v>
      </c>
      <c r="BE48" s="185">
        <v>45688</v>
      </c>
      <c r="BF48" s="185">
        <v>45825</v>
      </c>
      <c r="BG48" s="20">
        <f>IFERROR(IF(BC48-DATA[[#This Row],[fecha_fs]]&lt;0,0,BC48-DATA[[#This Row],[fecha_fs]]),0)</f>
        <v>13</v>
      </c>
      <c r="BH48" s="20">
        <f t="shared" si="6"/>
        <v>8</v>
      </c>
      <c r="BI48" s="20">
        <f t="shared" si="7"/>
        <v>2</v>
      </c>
      <c r="BJ48" s="20">
        <f t="shared" si="8"/>
        <v>137</v>
      </c>
      <c r="BK48" s="189">
        <f>IFERROR(SUM(DATA[[#This Row],[fs_fd_ttd]:[fend_fenf_ttd]]),0)</f>
        <v>160</v>
      </c>
      <c r="BL48" s="20" t="str">
        <f>IF(DATA[[#This Row],[fecha_fs]]&gt;0,TEXT(DATA[[#This Row],[fecha_fs]],"YYYY"),0)</f>
        <v>2025</v>
      </c>
      <c r="BM48" s="221" t="b">
        <v>1</v>
      </c>
      <c r="BN48" s="278">
        <f>COUNTIF(DATA[[#This Row],[tiempo_td]], "&lt;=15")</f>
        <v>0</v>
      </c>
      <c r="BO48" s="222"/>
    </row>
    <row r="49" spans="1:67" ht="30.6" customHeight="1" x14ac:dyDescent="0.25">
      <c r="A49" s="4">
        <v>20340584237</v>
      </c>
      <c r="B49" s="5" t="s">
        <v>272</v>
      </c>
      <c r="C49" s="52" t="s">
        <v>160</v>
      </c>
      <c r="D49" s="4" t="s">
        <v>112</v>
      </c>
      <c r="E49" s="5" t="s">
        <v>1</v>
      </c>
      <c r="F49" s="24">
        <v>45665</v>
      </c>
      <c r="G49" s="7" t="s">
        <v>113</v>
      </c>
      <c r="H49" s="25">
        <f t="shared" si="0"/>
        <v>1</v>
      </c>
      <c r="I49" s="67">
        <v>3958</v>
      </c>
      <c r="J49" s="8" t="s">
        <v>115</v>
      </c>
      <c r="K49" s="9" t="s">
        <v>116</v>
      </c>
      <c r="L49" s="10" t="s">
        <v>117</v>
      </c>
      <c r="M49" s="11">
        <v>910</v>
      </c>
      <c r="N49" s="12" t="s">
        <v>125</v>
      </c>
      <c r="O49" s="6">
        <v>45666</v>
      </c>
      <c r="P49" s="13">
        <v>3228</v>
      </c>
      <c r="Q49" s="14" t="s">
        <v>85</v>
      </c>
      <c r="R49" s="15">
        <f>DATA[[#This Row],[cantidad_fs]]*0.32</f>
        <v>291.2</v>
      </c>
      <c r="S49" s="15">
        <v>2515.06</v>
      </c>
      <c r="T49" s="15">
        <f>DATA[[#This Row],[C. DF]]+DATA[[#This Row],[C.OPE.]]</f>
        <v>2806.2599999999998</v>
      </c>
      <c r="U49" s="15">
        <f>DATA[[#This Row],[SUB TOTAL]]*0.18</f>
        <v>505.12679999999995</v>
      </c>
      <c r="V49" s="15">
        <f>IFERROR(ROUND(DATA[[#This Row],[SUB TOTAL]]+DATA[[#This Row],[IGV]],2),0)</f>
        <v>3311.39</v>
      </c>
      <c r="W49" s="16" t="str">
        <f>IF(DATA[[#This Row],[VALORIZACIÓN ]]="-","NO CORRESPONDE",IF(OR(A49=20558226979,A49=10470707866,A49=20111157058,A49=20100226902),"NO CORRESPONDE",IF(J49="Emitida",IF(P49&gt;0,"EMITIDA","PENDIENTE"),"NO CORRESPONDE")))</f>
        <v>EMITIDA</v>
      </c>
      <c r="X49" s="29" t="s">
        <v>161</v>
      </c>
      <c r="Y49" s="17" t="s">
        <v>118</v>
      </c>
      <c r="Z49" s="30">
        <v>45701</v>
      </c>
      <c r="AA49" s="10" t="s">
        <v>124</v>
      </c>
      <c r="AB49" s="19">
        <v>560</v>
      </c>
      <c r="AC49" s="20">
        <v>15</v>
      </c>
      <c r="AD49" s="18">
        <f>DATA[[#This Row],[FECHA DE EMISION]]+DATA[[#This Row],[CONDICION DE PAGO]]</f>
        <v>45716</v>
      </c>
      <c r="AE49" s="23">
        <f>IF(DATA[[#This Row],[MONEDA]]="USD",VLOOKUP(DATA[[#This Row],[COMBINADA]],#REF!,11,0),1)</f>
        <v>1</v>
      </c>
      <c r="AF49" s="39" t="str">
        <f>IF(DATA[[#This Row],[SERIE2]]="-","NO CORRESPONDE",IF(W49="NO CORRESPONDE","NO CORRESPONDE",IF(Z49&gt;0,"FACTURADO","PENDIENTE")))</f>
        <v>FACTURADO</v>
      </c>
      <c r="AG49" s="27">
        <f>IFERROR(VLOOKUP(DATA[[#This Row],[COMBINADA]],#REF!,6,0),0)</f>
        <v>0</v>
      </c>
      <c r="AH49" s="125">
        <f>IFERROR(VLOOKUP(DATA[[#This Row],[COMBINADA]],#REF!,9,0),0)/COUNTIFS(DATA[COMBINADA],DATA[[#This Row],[COMBINADA]])</f>
        <v>0</v>
      </c>
      <c r="AI49" s="27">
        <f>IFERROR(VLOOKUP(DATA[[#This Row],[COMBINADA]],#REF!,6,0),0)</f>
        <v>0</v>
      </c>
      <c r="AJ49" s="125">
        <f>IFERROR(VLOOKUP(DATA[[#This Row],[COMBINADA]],#REF!,9,0),0)/COUNTIFS(DATA[COMBINADA],DATA[[#This Row],[COMBINADA]])</f>
        <v>0</v>
      </c>
      <c r="AK49" s="27">
        <f>IFERROR(VLOOKUP(DATA[[#This Row],[COMBINADA]],#REF!,6,0),0)</f>
        <v>0</v>
      </c>
      <c r="AL49" s="125">
        <f>IFERROR(VLOOKUP(DATA[[#This Row],[COMBINADA]],#REF!,9,0),0)/COUNTIFS(DATA[COMBINADA],DATA[[#This Row],[COMBINADA]])</f>
        <v>0</v>
      </c>
      <c r="AM49" s="27">
        <f>IFERROR(VLOOKUP(DATA[[#This Row],[COMBINADA]],#REF!,6,0),0)</f>
        <v>0</v>
      </c>
      <c r="AN49" s="125">
        <f>IFERROR(VLOOKUP(DATA[[#This Row],[COMBINADA]],#REF!,9,0),0)/COUNTIFS(DATA[COMBINADA],DATA[[#This Row],[COMBINADA]])</f>
        <v>0</v>
      </c>
      <c r="AO49" s="27">
        <f>IFERROR(VLOOKUP(DATA[[#This Row],[COMBINADA]],#REF!,6,0),0)</f>
        <v>0</v>
      </c>
      <c r="AP49" s="125">
        <f>IFERROR(VLOOKUP(DATA[[#This Row],[COMBINADA]],#REF!,9,0),0)/COUNTIFS(DATA[COMBINADA],DATA[[#This Row],[COMBINADA]])</f>
        <v>0</v>
      </c>
      <c r="AQ4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3311.39</v>
      </c>
      <c r="AR49" s="26" t="str">
        <f>IFERROR(IF(DATA[[#This Row],[estado_fact]]="FACTURADO",VLOOKUP(DATA[[#This Row],[SERIE2]]&amp;"-"&amp;DATA[[#This Row],[NUMERO]],#REF!,34,0),"NO CORRESPONDE"),"NO CORRESPONDE")</f>
        <v>NO CORRESPONDE</v>
      </c>
      <c r="AS49" s="22" t="str">
        <f>IF(DATA[[#This Row],[fecha_fs]]&gt;0,TEXT(DATA[[#This Row],[fecha_fs]],"Mmmm"),0)</f>
        <v>Enero</v>
      </c>
      <c r="AT49" s="22" t="str">
        <f>DATA[[#This Row],[SERIE2]]&amp;"-"&amp;DATA[[#This Row],[NUMERO]]</f>
        <v>FE01-560</v>
      </c>
      <c r="AU49" s="28">
        <f>DATA[[#This Row],[TOTAL]]*DATA[[#This Row],[T.C.]]</f>
        <v>3311.39</v>
      </c>
      <c r="AV49" s="6">
        <f>DATA[[#This Row],[FECHA DE VAL.]]</f>
        <v>45666</v>
      </c>
      <c r="AW49" s="6">
        <f>DATA[[#This Row],[FECHA DE EMISION]]</f>
        <v>45701</v>
      </c>
      <c r="AX49" s="6">
        <f>DATA[[#This Row],[F1]]</f>
        <v>0</v>
      </c>
      <c r="AY49" s="20">
        <f>IF(AV49-DATA[[#This Row],[fecha_fs]]&lt;0,0,AV49-DATA[[#This Row],[fecha_fs]])</f>
        <v>1</v>
      </c>
      <c r="AZ49" s="20">
        <f t="shared" si="1"/>
        <v>35</v>
      </c>
      <c r="BA49" s="20">
        <f t="shared" si="2"/>
        <v>0</v>
      </c>
      <c r="BB49" s="195">
        <f>IFERROR(SUM(DATA[[#This Row],[fs_val_ttf]:[fact_pago_ttf]]),0)</f>
        <v>36</v>
      </c>
      <c r="BC49" s="185">
        <v>45678</v>
      </c>
      <c r="BD49" s="185">
        <v>45686</v>
      </c>
      <c r="BE49" s="185">
        <v>45687</v>
      </c>
      <c r="BF49" s="185">
        <v>45776</v>
      </c>
      <c r="BG49" s="20">
        <f>IFERROR(IF(BC49-DATA[[#This Row],[fecha_fs]]&lt;0,0,BC49-DATA[[#This Row],[fecha_fs]]),0)</f>
        <v>13</v>
      </c>
      <c r="BH49" s="20">
        <f t="shared" si="6"/>
        <v>8</v>
      </c>
      <c r="BI49" s="20">
        <f t="shared" si="7"/>
        <v>1</v>
      </c>
      <c r="BJ49" s="20">
        <f t="shared" si="8"/>
        <v>89</v>
      </c>
      <c r="BK49" s="189">
        <f>IFERROR(SUM(DATA[[#This Row],[fs_fd_ttd]:[fend_fenf_ttd]]),0)</f>
        <v>111</v>
      </c>
      <c r="BL49" s="20" t="str">
        <f>IF(DATA[[#This Row],[fecha_fs]]&gt;0,TEXT(DATA[[#This Row],[fecha_fs]],"YYYY"),0)</f>
        <v>2025</v>
      </c>
      <c r="BM49" s="221" t="b">
        <v>1</v>
      </c>
      <c r="BN49" s="278">
        <f>COUNTIF(DATA[[#This Row],[tiempo_td]], "&lt;=15")</f>
        <v>0</v>
      </c>
      <c r="BO49" s="222"/>
    </row>
    <row r="50" spans="1:67" ht="30.6" customHeight="1" x14ac:dyDescent="0.25">
      <c r="A50" s="4">
        <v>20454186002</v>
      </c>
      <c r="B50" s="5" t="s">
        <v>25</v>
      </c>
      <c r="C50" s="52" t="s">
        <v>26</v>
      </c>
      <c r="D50" s="4" t="s">
        <v>120</v>
      </c>
      <c r="E50" s="5" t="s">
        <v>3</v>
      </c>
      <c r="F50" s="24">
        <v>45663</v>
      </c>
      <c r="G50" s="7" t="s">
        <v>113</v>
      </c>
      <c r="H50" s="25">
        <f t="shared" si="0"/>
        <v>1</v>
      </c>
      <c r="I50" s="67">
        <v>3959</v>
      </c>
      <c r="J50" s="8" t="s">
        <v>115</v>
      </c>
      <c r="K50" s="9" t="s">
        <v>121</v>
      </c>
      <c r="L50" s="10" t="s">
        <v>117</v>
      </c>
      <c r="M50" s="11">
        <v>1130</v>
      </c>
      <c r="N50" s="12" t="s">
        <v>253</v>
      </c>
      <c r="O50" s="6">
        <v>45665</v>
      </c>
      <c r="P50" s="13">
        <v>3226</v>
      </c>
      <c r="Q50" s="14" t="s">
        <v>85</v>
      </c>
      <c r="R50" s="70">
        <v>1366</v>
      </c>
      <c r="S50" s="15"/>
      <c r="T50" s="15">
        <f>DATA[[#This Row],[C. DF]]+DATA[[#This Row],[C.OPE.]]</f>
        <v>1366</v>
      </c>
      <c r="U50" s="15">
        <f>DATA[[#This Row],[SUB TOTAL]]*0.18</f>
        <v>245.88</v>
      </c>
      <c r="V50" s="15">
        <f>IFERROR(ROUND(DATA[[#This Row],[SUB TOTAL]]+DATA[[#This Row],[IGV]],2),0)</f>
        <v>1611.88</v>
      </c>
      <c r="W50" s="16" t="str">
        <f>IF(DATA[[#This Row],[VALORIZACIÓN ]]="-","NO CORRESPONDE",IF(OR(A50=20558226979,A50=10470707866,A50=20111157058,A50=20100226902),"NO CORRESPONDE",IF(J50="Emitida",IF(P50&gt;0,"EMITIDA","PENDIENTE"),"NO CORRESPONDE")))</f>
        <v>EMITIDA</v>
      </c>
      <c r="X50" s="29"/>
      <c r="Y50" s="17" t="s">
        <v>118</v>
      </c>
      <c r="Z50" s="30">
        <v>45679</v>
      </c>
      <c r="AA50" s="10" t="s">
        <v>124</v>
      </c>
      <c r="AB50" s="19">
        <v>522</v>
      </c>
      <c r="AC50" s="20">
        <v>5</v>
      </c>
      <c r="AD50" s="18">
        <f>DATA[[#This Row],[FECHA DE EMISION]]+DATA[[#This Row],[CONDICION DE PAGO]]</f>
        <v>45684</v>
      </c>
      <c r="AE50" s="23">
        <f>IF(DATA[[#This Row],[MONEDA]]="USD",VLOOKUP(DATA[[#This Row],[COMBINADA]],#REF!,11,0),1)</f>
        <v>1</v>
      </c>
      <c r="AF50" s="39" t="str">
        <f>IF(DATA[[#This Row],[SERIE2]]="-","NO CORRESPONDE",IF(W50="NO CORRESPONDE","NO CORRESPONDE",IF(Z50&gt;0,"FACTURADO","PENDIENTE")))</f>
        <v>FACTURADO</v>
      </c>
      <c r="AG50" s="27">
        <f>IFERROR(VLOOKUP(DATA[[#This Row],[COMBINADA]],#REF!,6,0),0)</f>
        <v>0</v>
      </c>
      <c r="AH50" s="125">
        <f>IFERROR(VLOOKUP(DATA[[#This Row],[COMBINADA]],#REF!,9,0),0)/COUNTIFS(DATA[COMBINADA],DATA[[#This Row],[COMBINADA]])</f>
        <v>0</v>
      </c>
      <c r="AI50" s="27">
        <f>IFERROR(VLOOKUP(DATA[[#This Row],[COMBINADA]],#REF!,6,0),0)</f>
        <v>0</v>
      </c>
      <c r="AJ50" s="125">
        <f>IFERROR(VLOOKUP(DATA[[#This Row],[COMBINADA]],#REF!,9,0),0)/COUNTIFS(DATA[COMBINADA],DATA[[#This Row],[COMBINADA]])</f>
        <v>0</v>
      </c>
      <c r="AK50" s="27">
        <f>IFERROR(VLOOKUP(DATA[[#This Row],[COMBINADA]],#REF!,6,0),0)</f>
        <v>0</v>
      </c>
      <c r="AL50" s="125">
        <f>IFERROR(VLOOKUP(DATA[[#This Row],[COMBINADA]],#REF!,9,0),0)/COUNTIFS(DATA[COMBINADA],DATA[[#This Row],[COMBINADA]])</f>
        <v>0</v>
      </c>
      <c r="AM50" s="27">
        <f>IFERROR(VLOOKUP(DATA[[#This Row],[COMBINADA]],#REF!,6,0),0)</f>
        <v>0</v>
      </c>
      <c r="AN50" s="125">
        <f>IFERROR(VLOOKUP(DATA[[#This Row],[COMBINADA]],#REF!,9,0),0)/COUNTIFS(DATA[COMBINADA],DATA[[#This Row],[COMBINADA]])</f>
        <v>0</v>
      </c>
      <c r="AO50" s="27">
        <f>IFERROR(VLOOKUP(DATA[[#This Row],[COMBINADA]],#REF!,6,0),0)</f>
        <v>0</v>
      </c>
      <c r="AP50" s="125">
        <f>IFERROR(VLOOKUP(DATA[[#This Row],[COMBINADA]],#REF!,9,0),0)/COUNTIFS(DATA[COMBINADA],DATA[[#This Row],[COMBINADA]])</f>
        <v>0</v>
      </c>
      <c r="AQ5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1611.88</v>
      </c>
      <c r="AR50" s="26" t="str">
        <f>IFERROR(IF(DATA[[#This Row],[estado_fact]]="FACTURADO",VLOOKUP(DATA[[#This Row],[SERIE2]]&amp;"-"&amp;DATA[[#This Row],[NUMERO]],#REF!,34,0),"NO CORRESPONDE"),"NO CORRESPONDE")</f>
        <v>NO CORRESPONDE</v>
      </c>
      <c r="AS50" s="22" t="str">
        <f>IF(DATA[[#This Row],[fecha_fs]]&gt;0,TEXT(DATA[[#This Row],[fecha_fs]],"Mmmm"),0)</f>
        <v>Enero</v>
      </c>
      <c r="AT50" s="22" t="str">
        <f>DATA[[#This Row],[SERIE2]]&amp;"-"&amp;DATA[[#This Row],[NUMERO]]</f>
        <v>FE01-522</v>
      </c>
      <c r="AU50" s="28">
        <f>DATA[[#This Row],[TOTAL]]*DATA[[#This Row],[T.C.]]</f>
        <v>1611.88</v>
      </c>
      <c r="AV50" s="6">
        <f>DATA[[#This Row],[FECHA DE VAL.]]</f>
        <v>45665</v>
      </c>
      <c r="AW50" s="6">
        <f>DATA[[#This Row],[FECHA DE EMISION]]</f>
        <v>45679</v>
      </c>
      <c r="AX50" s="6">
        <f>DATA[[#This Row],[F1]]</f>
        <v>0</v>
      </c>
      <c r="AY50" s="20">
        <f>IF(AV50-DATA[[#This Row],[fecha_fs]]&lt;0,0,AV50-DATA[[#This Row],[fecha_fs]])</f>
        <v>2</v>
      </c>
      <c r="AZ50" s="20">
        <f t="shared" si="1"/>
        <v>14</v>
      </c>
      <c r="BA50" s="20">
        <f t="shared" si="2"/>
        <v>0</v>
      </c>
      <c r="BB50" s="195">
        <f>IFERROR(SUM(DATA[[#This Row],[fs_val_ttf]:[fact_pago_ttf]]),0)</f>
        <v>16</v>
      </c>
      <c r="BC50" s="185">
        <v>45663</v>
      </c>
      <c r="BD50" s="185" t="s">
        <v>292</v>
      </c>
      <c r="BE50" s="185">
        <v>45686</v>
      </c>
      <c r="BF50" s="185">
        <v>45686</v>
      </c>
      <c r="BG50" s="20">
        <f>IFERROR(IF(BC50-DATA[[#This Row],[fecha_fs]]&lt;0,0,BC50-DATA[[#This Row],[fecha_fs]]),0)</f>
        <v>0</v>
      </c>
      <c r="BH50" s="20">
        <f t="shared" si="6"/>
        <v>0</v>
      </c>
      <c r="BI50" s="20">
        <f t="shared" si="7"/>
        <v>0</v>
      </c>
      <c r="BJ50" s="20">
        <f t="shared" si="8"/>
        <v>0</v>
      </c>
      <c r="BK50" s="189">
        <f>IFERROR(SUM(DATA[[#This Row],[fs_fd_ttd]:[fend_fenf_ttd]]),0)</f>
        <v>0</v>
      </c>
      <c r="BL50" s="20" t="str">
        <f>IF(DATA[[#This Row],[fecha_fs]]&gt;0,TEXT(DATA[[#This Row],[fecha_fs]],"YYYY"),0)</f>
        <v>2025</v>
      </c>
      <c r="BM50" s="221" t="b">
        <v>0</v>
      </c>
      <c r="BN50" s="278">
        <f>COUNTIF(DATA[[#This Row],[tiempo_td]], "&lt;=15")</f>
        <v>1</v>
      </c>
      <c r="BO50" s="222"/>
    </row>
    <row r="51" spans="1:67" ht="29.25" customHeight="1" x14ac:dyDescent="0.25">
      <c r="A51" s="4">
        <v>20432552072</v>
      </c>
      <c r="B51" s="5" t="s">
        <v>30</v>
      </c>
      <c r="C51" s="52" t="s">
        <v>18</v>
      </c>
      <c r="D51" s="4" t="s">
        <v>112</v>
      </c>
      <c r="E51" s="5" t="s">
        <v>1</v>
      </c>
      <c r="F51" s="24">
        <v>45665</v>
      </c>
      <c r="G51" s="7" t="s">
        <v>113</v>
      </c>
      <c r="H51" s="25">
        <f t="shared" si="0"/>
        <v>1</v>
      </c>
      <c r="I51" s="67">
        <v>3960</v>
      </c>
      <c r="J51" s="8" t="s">
        <v>115</v>
      </c>
      <c r="K51" s="9" t="s">
        <v>116</v>
      </c>
      <c r="L51" s="10" t="s">
        <v>117</v>
      </c>
      <c r="M51" s="11">
        <v>520</v>
      </c>
      <c r="N51" s="12" t="s">
        <v>141</v>
      </c>
      <c r="O51" s="6">
        <v>45665</v>
      </c>
      <c r="P51" s="13">
        <v>3227</v>
      </c>
      <c r="Q51" s="14" t="s">
        <v>85</v>
      </c>
      <c r="R51" s="15">
        <f>242.5+((DATA[[#This Row],[cantidad_fs]]-250)*0.97)</f>
        <v>504.4</v>
      </c>
      <c r="S51" s="15">
        <v>599</v>
      </c>
      <c r="T51" s="15">
        <f>DATA[[#This Row],[C. DF]]+DATA[[#This Row],[C.OPE.]]</f>
        <v>1103.4000000000001</v>
      </c>
      <c r="U51" s="15">
        <f>DATA[[#This Row],[SUB TOTAL]]*0.18</f>
        <v>198.61200000000002</v>
      </c>
      <c r="V51" s="15">
        <f>IFERROR(ROUND(DATA[[#This Row],[SUB TOTAL]]+DATA[[#This Row],[IGV]],2),0)</f>
        <v>1302.01</v>
      </c>
      <c r="W51" s="16" t="str">
        <f>IF(DATA[[#This Row],[VALORIZACIÓN ]]="-","NO CORRESPONDE",IF(OR(A51=20558226979,A51=10470707866,A51=20111157058,A51=20100226902),"NO CORRESPONDE",IF(J51="Emitida",IF(P51&gt;0,"EMITIDA","PENDIENTE"),"NO CORRESPONDE")))</f>
        <v>EMITIDA</v>
      </c>
      <c r="X51" s="29" t="s">
        <v>162</v>
      </c>
      <c r="Y51" s="17" t="s">
        <v>118</v>
      </c>
      <c r="Z51" s="30">
        <v>45719</v>
      </c>
      <c r="AA51" s="10" t="s">
        <v>124</v>
      </c>
      <c r="AB51" s="19">
        <v>584</v>
      </c>
      <c r="AC51" s="20">
        <v>15</v>
      </c>
      <c r="AD51" s="18">
        <f>DATA[[#This Row],[FECHA DE EMISION]]+DATA[[#This Row],[CONDICION DE PAGO]]</f>
        <v>45734</v>
      </c>
      <c r="AE51" s="23">
        <f>IF(DATA[[#This Row],[MONEDA]]="USD",VLOOKUP(DATA[[#This Row],[COMBINADA]],#REF!,11,0),1)</f>
        <v>1</v>
      </c>
      <c r="AF51" s="39" t="str">
        <f>IF(DATA[[#This Row],[SERIE2]]="-","NO CORRESPONDE",IF(W51="NO CORRESPONDE","NO CORRESPONDE",IF(Z51&gt;0,"FACTURADO","PENDIENTE")))</f>
        <v>FACTURADO</v>
      </c>
      <c r="AG51" s="27">
        <f>IFERROR(VLOOKUP(DATA[[#This Row],[COMBINADA]],#REF!,6,0),0)</f>
        <v>0</v>
      </c>
      <c r="AH51" s="125">
        <f>IFERROR(VLOOKUP(DATA[[#This Row],[COMBINADA]],#REF!,9,0),0)/COUNTIFS(DATA[COMBINADA],DATA[[#This Row],[COMBINADA]])</f>
        <v>0</v>
      </c>
      <c r="AI51" s="27">
        <f>IFERROR(VLOOKUP(DATA[[#This Row],[COMBINADA]],#REF!,6,0),0)</f>
        <v>0</v>
      </c>
      <c r="AJ51" s="125">
        <f>IFERROR(VLOOKUP(DATA[[#This Row],[COMBINADA]],#REF!,9,0),0)/COUNTIFS(DATA[COMBINADA],DATA[[#This Row],[COMBINADA]])</f>
        <v>0</v>
      </c>
      <c r="AK51" s="27">
        <f>IFERROR(VLOOKUP(DATA[[#This Row],[COMBINADA]],#REF!,6,0),0)</f>
        <v>0</v>
      </c>
      <c r="AL51" s="125">
        <f>IFERROR(VLOOKUP(DATA[[#This Row],[COMBINADA]],#REF!,9,0),0)/COUNTIFS(DATA[COMBINADA],DATA[[#This Row],[COMBINADA]])</f>
        <v>0</v>
      </c>
      <c r="AM51" s="27">
        <f>IFERROR(VLOOKUP(DATA[[#This Row],[COMBINADA]],#REF!,6,0),0)</f>
        <v>0</v>
      </c>
      <c r="AN51" s="125">
        <f>IFERROR(VLOOKUP(DATA[[#This Row],[COMBINADA]],#REF!,9,0),0)/COUNTIFS(DATA[COMBINADA],DATA[[#This Row],[COMBINADA]])</f>
        <v>0</v>
      </c>
      <c r="AO51" s="27">
        <f>IFERROR(VLOOKUP(DATA[[#This Row],[COMBINADA]],#REF!,6,0),0)</f>
        <v>0</v>
      </c>
      <c r="AP51" s="125">
        <f>IFERROR(VLOOKUP(DATA[[#This Row],[COMBINADA]],#REF!,9,0),0)/COUNTIFS(DATA[COMBINADA],DATA[[#This Row],[COMBINADA]])</f>
        <v>0</v>
      </c>
      <c r="AQ5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1302.01</v>
      </c>
      <c r="AR51" s="26" t="str">
        <f>IFERROR(IF(DATA[[#This Row],[estado_fact]]="FACTURADO",VLOOKUP(DATA[[#This Row],[SERIE2]]&amp;"-"&amp;DATA[[#This Row],[NUMERO]],#REF!,34,0),"NO CORRESPONDE"),"NO CORRESPONDE")</f>
        <v>NO CORRESPONDE</v>
      </c>
      <c r="AS51" s="22" t="str">
        <f>IF(DATA[[#This Row],[fecha_fs]]&gt;0,TEXT(DATA[[#This Row],[fecha_fs]],"Mmmm"),0)</f>
        <v>Enero</v>
      </c>
      <c r="AT51" s="22" t="str">
        <f>DATA[[#This Row],[SERIE2]]&amp;"-"&amp;DATA[[#This Row],[NUMERO]]</f>
        <v>FE01-584</v>
      </c>
      <c r="AU51" s="28">
        <f>DATA[[#This Row],[TOTAL]]*DATA[[#This Row],[T.C.]]</f>
        <v>1302.01</v>
      </c>
      <c r="AV51" s="6">
        <f>DATA[[#This Row],[FECHA DE VAL.]]</f>
        <v>45665</v>
      </c>
      <c r="AW51" s="6">
        <f>DATA[[#This Row],[FECHA DE EMISION]]</f>
        <v>45719</v>
      </c>
      <c r="AX51" s="6">
        <f>DATA[[#This Row],[F1]]</f>
        <v>0</v>
      </c>
      <c r="AY51" s="20">
        <f>IF(AV51-DATA[[#This Row],[fecha_fs]]&lt;0,0,AV51-DATA[[#This Row],[fecha_fs]])</f>
        <v>0</v>
      </c>
      <c r="AZ51" s="20">
        <f t="shared" si="1"/>
        <v>54</v>
      </c>
      <c r="BA51" s="20">
        <f t="shared" si="2"/>
        <v>0</v>
      </c>
      <c r="BB51" s="195">
        <f>IFERROR(SUM(DATA[[#This Row],[fs_val_ttf]:[fact_pago_ttf]]),0)</f>
        <v>54</v>
      </c>
      <c r="BC51" s="185">
        <v>45678</v>
      </c>
      <c r="BD51" s="185">
        <v>45686</v>
      </c>
      <c r="BE51" s="185">
        <v>45687</v>
      </c>
      <c r="BF51" s="185">
        <v>45688</v>
      </c>
      <c r="BG51" s="20">
        <f>IFERROR(IF(BC51-DATA[[#This Row],[fecha_fs]]&lt;0,0,BC51-DATA[[#This Row],[fecha_fs]]),0)</f>
        <v>13</v>
      </c>
      <c r="BH51" s="20">
        <f t="shared" si="6"/>
        <v>8</v>
      </c>
      <c r="BI51" s="20">
        <f t="shared" si="7"/>
        <v>1</v>
      </c>
      <c r="BJ51" s="20">
        <f t="shared" si="8"/>
        <v>1</v>
      </c>
      <c r="BK51" s="189">
        <f>IFERROR(SUM(DATA[[#This Row],[fs_fd_ttd]:[fend_fenf_ttd]]),0)</f>
        <v>23</v>
      </c>
      <c r="BL51" s="20" t="str">
        <f>IF(DATA[[#This Row],[fecha_fs]]&gt;0,TEXT(DATA[[#This Row],[fecha_fs]],"YYYY"),0)</f>
        <v>2025</v>
      </c>
      <c r="BM51" s="221" t="b">
        <v>1</v>
      </c>
      <c r="BN51" s="278">
        <f>COUNTIF(DATA[[#This Row],[tiempo_td]], "&lt;=15")</f>
        <v>0</v>
      </c>
      <c r="BO51" s="222"/>
    </row>
    <row r="52" spans="1:67" ht="30.6" customHeight="1" x14ac:dyDescent="0.25">
      <c r="A52" s="4">
        <v>20100211115</v>
      </c>
      <c r="B52" s="5" t="s">
        <v>41</v>
      </c>
      <c r="C52" s="52" t="s">
        <v>18</v>
      </c>
      <c r="D52" s="4" t="s">
        <v>120</v>
      </c>
      <c r="E52" s="5" t="s">
        <v>3</v>
      </c>
      <c r="F52" s="24">
        <v>45665</v>
      </c>
      <c r="G52" s="7" t="s">
        <v>113</v>
      </c>
      <c r="H52" s="25">
        <f t="shared" si="0"/>
        <v>1</v>
      </c>
      <c r="I52" s="67">
        <v>3961</v>
      </c>
      <c r="J52" s="8" t="s">
        <v>115</v>
      </c>
      <c r="K52" s="9" t="s">
        <v>163</v>
      </c>
      <c r="L52" s="10" t="s">
        <v>117</v>
      </c>
      <c r="M52" s="11">
        <v>1972</v>
      </c>
      <c r="N52" s="12" t="s">
        <v>126</v>
      </c>
      <c r="O52" s="6">
        <v>45684</v>
      </c>
      <c r="P52" s="115">
        <v>3268</v>
      </c>
      <c r="Q52" s="14" t="s">
        <v>85</v>
      </c>
      <c r="R52" s="15"/>
      <c r="S52" s="15">
        <f>DATA[[#This Row],[cantidad_fs]]*0.75</f>
        <v>1479</v>
      </c>
      <c r="T52" s="15">
        <f>DATA[[#This Row],[C. DF]]+DATA[[#This Row],[C.OPE.]]</f>
        <v>1479</v>
      </c>
      <c r="U52" s="15">
        <f>DATA[[#This Row],[SUB TOTAL]]*0.18</f>
        <v>266.21999999999997</v>
      </c>
      <c r="V52" s="15">
        <f>IFERROR(ROUND(DATA[[#This Row],[SUB TOTAL]]+DATA[[#This Row],[IGV]],2),0)</f>
        <v>1745.22</v>
      </c>
      <c r="W52" s="16" t="str">
        <f>IF(DATA[[#This Row],[VALORIZACIÓN ]]="-","NO CORRESPONDE",IF(OR(A52=20558226979,A52=10470707866,A52=20111157058,A52=20100226902),"NO CORRESPONDE",IF(J52="Emitida",IF(P52&gt;0,"EMITIDA","PENDIENTE"),"NO CORRESPONDE")))</f>
        <v>EMITIDA</v>
      </c>
      <c r="X52" s="29"/>
      <c r="Y52" s="17" t="s">
        <v>118</v>
      </c>
      <c r="Z52" s="30">
        <v>45687</v>
      </c>
      <c r="AA52" s="10" t="s">
        <v>124</v>
      </c>
      <c r="AB52" s="19">
        <v>537</v>
      </c>
      <c r="AC52" s="20">
        <v>30</v>
      </c>
      <c r="AD52" s="18">
        <f>DATA[[#This Row],[FECHA DE EMISION]]+DATA[[#This Row],[CONDICION DE PAGO]]</f>
        <v>45717</v>
      </c>
      <c r="AE52" s="23">
        <f>IF(DATA[[#This Row],[MONEDA]]="USD",VLOOKUP(DATA[[#This Row],[COMBINADA]],#REF!,11,0),1)</f>
        <v>1</v>
      </c>
      <c r="AF52" s="39" t="str">
        <f>IF(DATA[[#This Row],[SERIE2]]="-","NO CORRESPONDE",IF(W52="NO CORRESPONDE","NO CORRESPONDE",IF(Z52&gt;0,"FACTURADO","PENDIENTE")))</f>
        <v>FACTURADO</v>
      </c>
      <c r="AG52" s="27">
        <f>IFERROR(VLOOKUP(DATA[[#This Row],[COMBINADA]],#REF!,6,0),0)</f>
        <v>0</v>
      </c>
      <c r="AH52" s="125">
        <f>IFERROR(VLOOKUP(DATA[[#This Row],[COMBINADA]],#REF!,9,0),0)/COUNTIFS(DATA[COMBINADA],DATA[[#This Row],[COMBINADA]])</f>
        <v>0</v>
      </c>
      <c r="AI52" s="27">
        <f>IFERROR(VLOOKUP(DATA[[#This Row],[COMBINADA]],#REF!,6,0),0)</f>
        <v>0</v>
      </c>
      <c r="AJ52" s="125">
        <f>IFERROR(VLOOKUP(DATA[[#This Row],[COMBINADA]],#REF!,9,0),0)/COUNTIFS(DATA[COMBINADA],DATA[[#This Row],[COMBINADA]])</f>
        <v>0</v>
      </c>
      <c r="AK52" s="27">
        <f>IFERROR(VLOOKUP(DATA[[#This Row],[COMBINADA]],#REF!,6,0),0)</f>
        <v>0</v>
      </c>
      <c r="AL52" s="125">
        <f>IFERROR(VLOOKUP(DATA[[#This Row],[COMBINADA]],#REF!,9,0),0)/COUNTIFS(DATA[COMBINADA],DATA[[#This Row],[COMBINADA]])</f>
        <v>0</v>
      </c>
      <c r="AM52" s="27">
        <f>IFERROR(VLOOKUP(DATA[[#This Row],[COMBINADA]],#REF!,6,0),0)</f>
        <v>0</v>
      </c>
      <c r="AN52" s="125">
        <f>IFERROR(VLOOKUP(DATA[[#This Row],[COMBINADA]],#REF!,9,0),0)/COUNTIFS(DATA[COMBINADA],DATA[[#This Row],[COMBINADA]])</f>
        <v>0</v>
      </c>
      <c r="AO52" s="27">
        <f>IFERROR(VLOOKUP(DATA[[#This Row],[COMBINADA]],#REF!,6,0),0)</f>
        <v>0</v>
      </c>
      <c r="AP52" s="125">
        <f>IFERROR(VLOOKUP(DATA[[#This Row],[COMBINADA]],#REF!,9,0),0)/COUNTIFS(DATA[COMBINADA],DATA[[#This Row],[COMBINADA]])</f>
        <v>0</v>
      </c>
      <c r="AQ5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996.5100000000001</v>
      </c>
      <c r="AR52" s="26" t="str">
        <f>IFERROR(IF(DATA[[#This Row],[estado_fact]]="FACTURADO",VLOOKUP(DATA[[#This Row],[SERIE2]]&amp;"-"&amp;DATA[[#This Row],[NUMERO]],#REF!,34,0),"NO CORRESPONDE"),"NO CORRESPONDE")</f>
        <v>NO CORRESPONDE</v>
      </c>
      <c r="AS52" s="22" t="str">
        <f>IF(DATA[[#This Row],[fecha_fs]]&gt;0,TEXT(DATA[[#This Row],[fecha_fs]],"Mmmm"),0)</f>
        <v>Enero</v>
      </c>
      <c r="AT52" s="22" t="str">
        <f>DATA[[#This Row],[SERIE2]]&amp;"-"&amp;DATA[[#This Row],[NUMERO]]</f>
        <v>FE01-537</v>
      </c>
      <c r="AU52" s="28">
        <f>DATA[[#This Row],[TOTAL]]*DATA[[#This Row],[T.C.]]</f>
        <v>1745.22</v>
      </c>
      <c r="AV52" s="6">
        <f>DATA[[#This Row],[FECHA DE VAL.]]</f>
        <v>45684</v>
      </c>
      <c r="AW52" s="6">
        <f>DATA[[#This Row],[FECHA DE EMISION]]</f>
        <v>45687</v>
      </c>
      <c r="AX52" s="6">
        <f>DATA[[#This Row],[F1]]</f>
        <v>0</v>
      </c>
      <c r="AY52" s="20">
        <f>IF(AV52-DATA[[#This Row],[fecha_fs]]&lt;0,0,AV52-DATA[[#This Row],[fecha_fs]])</f>
        <v>19</v>
      </c>
      <c r="AZ52" s="20">
        <f t="shared" si="1"/>
        <v>3</v>
      </c>
      <c r="BA52" s="20">
        <f t="shared" si="2"/>
        <v>0</v>
      </c>
      <c r="BB52" s="195">
        <f>IFERROR(SUM(DATA[[#This Row],[fs_val_ttf]:[fact_pago_ttf]]),0)</f>
        <v>22</v>
      </c>
      <c r="BC52" s="185">
        <v>45698</v>
      </c>
      <c r="BD52" s="185">
        <v>45707</v>
      </c>
      <c r="BE52" s="185">
        <v>45712</v>
      </c>
      <c r="BF52" s="185">
        <v>45714</v>
      </c>
      <c r="BG52" s="20">
        <f>IFERROR(IF(BC52-DATA[[#This Row],[fecha_fs]]&lt;0,0,BC52-DATA[[#This Row],[fecha_fs]]),0)</f>
        <v>33</v>
      </c>
      <c r="BH52" s="20">
        <f t="shared" si="6"/>
        <v>9</v>
      </c>
      <c r="BI52" s="20">
        <f t="shared" si="7"/>
        <v>5</v>
      </c>
      <c r="BJ52" s="20">
        <f t="shared" si="8"/>
        <v>2</v>
      </c>
      <c r="BK52" s="189">
        <f>IFERROR(SUM(DATA[[#This Row],[fs_fd_ttd]:[fend_fenf_ttd]]),0)</f>
        <v>49</v>
      </c>
      <c r="BL52" s="20" t="str">
        <f>IF(DATA[[#This Row],[fecha_fs]]&gt;0,TEXT(DATA[[#This Row],[fecha_fs]],"YYYY"),0)</f>
        <v>2025</v>
      </c>
      <c r="BM52" s="221" t="b">
        <v>1</v>
      </c>
      <c r="BN52" s="278">
        <f>COUNTIF(DATA[[#This Row],[tiempo_td]], "&lt;=15")</f>
        <v>0</v>
      </c>
      <c r="BO52" s="222"/>
    </row>
    <row r="53" spans="1:67" ht="30.6" customHeight="1" x14ac:dyDescent="0.25">
      <c r="A53" s="4">
        <v>20100192064</v>
      </c>
      <c r="B53" s="5" t="s">
        <v>60</v>
      </c>
      <c r="C53" s="52" t="s">
        <v>64</v>
      </c>
      <c r="D53" s="4" t="s">
        <v>112</v>
      </c>
      <c r="E53" s="5" t="s">
        <v>1</v>
      </c>
      <c r="F53" s="24">
        <v>45666</v>
      </c>
      <c r="G53" s="7" t="s">
        <v>113</v>
      </c>
      <c r="H53" s="25">
        <f t="shared" si="0"/>
        <v>1</v>
      </c>
      <c r="I53" s="67">
        <v>3962</v>
      </c>
      <c r="J53" s="8" t="s">
        <v>115</v>
      </c>
      <c r="K53" s="9" t="s">
        <v>136</v>
      </c>
      <c r="L53" s="10" t="s">
        <v>137</v>
      </c>
      <c r="M53" s="11">
        <v>36</v>
      </c>
      <c r="N53" s="12" t="s">
        <v>135</v>
      </c>
      <c r="O53" s="6">
        <v>45684</v>
      </c>
      <c r="P53" s="57">
        <v>3246</v>
      </c>
      <c r="Q53" s="14" t="s">
        <v>123</v>
      </c>
      <c r="R53" s="15">
        <f>DATA[[#This Row],[cantidad_fs]]*33.34</f>
        <v>1200.2400000000002</v>
      </c>
      <c r="S53" s="15"/>
      <c r="T53" s="15">
        <f>DATA[[#This Row],[C. DF]]+DATA[[#This Row],[C.OPE.]]</f>
        <v>1200.2400000000002</v>
      </c>
      <c r="U53" s="15">
        <f>DATA[[#This Row],[SUB TOTAL]]*0.18</f>
        <v>216.04320000000004</v>
      </c>
      <c r="V53" s="15">
        <f>IFERROR(ROUND(DATA[[#This Row],[SUB TOTAL]]+DATA[[#This Row],[IGV]],2),0)</f>
        <v>1416.28</v>
      </c>
      <c r="W53" s="16" t="str">
        <f>IF(DATA[[#This Row],[VALORIZACIÓN ]]="-","NO CORRESPONDE",IF(OR(A53=20558226979,A53=10470707866,A53=20111157058,A53=20100226902),"NO CORRESPONDE",IF(J53="Emitida",IF(P53&gt;0,"EMITIDA","PENDIENTE"),"NO CORRESPONDE")))</f>
        <v>EMITIDA</v>
      </c>
      <c r="X53" s="29"/>
      <c r="Y53" s="17" t="s">
        <v>118</v>
      </c>
      <c r="Z53" s="30">
        <v>45687</v>
      </c>
      <c r="AA53" s="10" t="s">
        <v>124</v>
      </c>
      <c r="AB53" s="19">
        <v>535</v>
      </c>
      <c r="AC53" s="20">
        <v>30</v>
      </c>
      <c r="AD53" s="18">
        <f>DATA[[#This Row],[FECHA DE EMISION]]+DATA[[#This Row],[CONDICION DE PAGO]]</f>
        <v>45717</v>
      </c>
      <c r="AE53" s="23" t="e">
        <f>IF(DATA[[#This Row],[MONEDA]]="USD",VLOOKUP(DATA[[#This Row],[COMBINADA]],#REF!,11,0),1)</f>
        <v>#REF!</v>
      </c>
      <c r="AF53" s="39" t="str">
        <f>IF(DATA[[#This Row],[SERIE2]]="-","NO CORRESPONDE",IF(W53="NO CORRESPONDE","NO CORRESPONDE",IF(Z53&gt;0,"FACTURADO","PENDIENTE")))</f>
        <v>FACTURADO</v>
      </c>
      <c r="AG53" s="27">
        <f>IFERROR(VLOOKUP(DATA[[#This Row],[COMBINADA]],#REF!,6,0),0)</f>
        <v>0</v>
      </c>
      <c r="AH53" s="125">
        <f>IFERROR(VLOOKUP(DATA[[#This Row],[COMBINADA]],#REF!,9,0),0)/COUNTIFS(DATA[COMBINADA],DATA[[#This Row],[COMBINADA]])</f>
        <v>0</v>
      </c>
      <c r="AI53" s="27">
        <f>IFERROR(VLOOKUP(DATA[[#This Row],[COMBINADA]],#REF!,6,0),0)</f>
        <v>0</v>
      </c>
      <c r="AJ53" s="125">
        <f>IFERROR(VLOOKUP(DATA[[#This Row],[COMBINADA]],#REF!,9,0),0)/COUNTIFS(DATA[COMBINADA],DATA[[#This Row],[COMBINADA]])</f>
        <v>0</v>
      </c>
      <c r="AK53" s="27">
        <f>IFERROR(VLOOKUP(DATA[[#This Row],[COMBINADA]],#REF!,6,0),0)</f>
        <v>0</v>
      </c>
      <c r="AL53" s="125">
        <f>IFERROR(VLOOKUP(DATA[[#This Row],[COMBINADA]],#REF!,9,0),0)/COUNTIFS(DATA[COMBINADA],DATA[[#This Row],[COMBINADA]])</f>
        <v>0</v>
      </c>
      <c r="AM53" s="27">
        <f>IFERROR(VLOOKUP(DATA[[#This Row],[COMBINADA]],#REF!,6,0),0)</f>
        <v>0</v>
      </c>
      <c r="AN53" s="125">
        <f>IFERROR(VLOOKUP(DATA[[#This Row],[COMBINADA]],#REF!,9,0),0)/COUNTIFS(DATA[COMBINADA],DATA[[#This Row],[COMBINADA]])</f>
        <v>0</v>
      </c>
      <c r="AO53" s="27">
        <f>IFERROR(VLOOKUP(DATA[[#This Row],[COMBINADA]],#REF!,6,0),0)</f>
        <v>0</v>
      </c>
      <c r="AP53" s="125">
        <f>IFERROR(VLOOKUP(DATA[[#This Row],[COMBINADA]],#REF!,9,0),0)/COUNTIFS(DATA[COMBINADA],DATA[[#This Row],[COMBINADA]])</f>
        <v>0</v>
      </c>
      <c r="AQ5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996.05400000000009</v>
      </c>
      <c r="AR53" s="26" t="str">
        <f>IFERROR(IF(DATA[[#This Row],[estado_fact]]="FACTURADO",VLOOKUP(DATA[[#This Row],[SERIE2]]&amp;"-"&amp;DATA[[#This Row],[NUMERO]],#REF!,34,0),"NO CORRESPONDE"),"NO CORRESPONDE")</f>
        <v>NO CORRESPONDE</v>
      </c>
      <c r="AS53" s="22" t="str">
        <f>IF(DATA[[#This Row],[fecha_fs]]&gt;0,TEXT(DATA[[#This Row],[fecha_fs]],"Mmmm"),0)</f>
        <v>Enero</v>
      </c>
      <c r="AT53" s="22" t="str">
        <f>DATA[[#This Row],[SERIE2]]&amp;"-"&amp;DATA[[#This Row],[NUMERO]]</f>
        <v>FE01-535</v>
      </c>
      <c r="AU53" s="28" t="e">
        <f>DATA[[#This Row],[TOTAL]]*DATA[[#This Row],[T.C.]]</f>
        <v>#REF!</v>
      </c>
      <c r="AV53" s="6">
        <f>DATA[[#This Row],[FECHA DE VAL.]]</f>
        <v>45684</v>
      </c>
      <c r="AW53" s="6">
        <f>DATA[[#This Row],[FECHA DE EMISION]]</f>
        <v>45687</v>
      </c>
      <c r="AX53" s="6">
        <f>DATA[[#This Row],[F1]]</f>
        <v>0</v>
      </c>
      <c r="AY53" s="20">
        <f>IF(AV53-DATA[[#This Row],[fecha_fs]]&lt;0,0,AV53-DATA[[#This Row],[fecha_fs]])</f>
        <v>18</v>
      </c>
      <c r="AZ53" s="20">
        <f t="shared" si="1"/>
        <v>3</v>
      </c>
      <c r="BA53" s="20">
        <f t="shared" si="2"/>
        <v>0</v>
      </c>
      <c r="BB53" s="195">
        <f>IFERROR(SUM(DATA[[#This Row],[fs_val_ttf]:[fact_pago_ttf]]),0)</f>
        <v>21</v>
      </c>
      <c r="BC53" s="185">
        <v>45682</v>
      </c>
      <c r="BD53" s="185">
        <v>45705</v>
      </c>
      <c r="BE53" s="185">
        <v>45727</v>
      </c>
      <c r="BF53" s="185">
        <v>45758</v>
      </c>
      <c r="BG53" s="20">
        <f>IFERROR(IF(BC53-DATA[[#This Row],[fecha_fs]]&lt;0,0,BC53-DATA[[#This Row],[fecha_fs]]),0)</f>
        <v>16</v>
      </c>
      <c r="BH53" s="20">
        <f t="shared" si="6"/>
        <v>23</v>
      </c>
      <c r="BI53" s="20">
        <f t="shared" si="7"/>
        <v>22</v>
      </c>
      <c r="BJ53" s="20">
        <f t="shared" si="8"/>
        <v>31</v>
      </c>
      <c r="BK53" s="189">
        <f>IFERROR(SUM(DATA[[#This Row],[fs_fd_ttd]:[fend_fenf_ttd]]),0)</f>
        <v>92</v>
      </c>
      <c r="BL53" s="20" t="str">
        <f>IF(DATA[[#This Row],[fecha_fs]]&gt;0,TEXT(DATA[[#This Row],[fecha_fs]],"YYYY"),0)</f>
        <v>2025</v>
      </c>
      <c r="BM53" s="221" t="b">
        <v>1</v>
      </c>
      <c r="BN53" s="278">
        <f>COUNTIF(DATA[[#This Row],[tiempo_td]], "&lt;=15")</f>
        <v>0</v>
      </c>
      <c r="BO53" s="222"/>
    </row>
    <row r="54" spans="1:67" ht="30.6" customHeight="1" x14ac:dyDescent="0.25">
      <c r="A54" s="4">
        <v>20454186002</v>
      </c>
      <c r="B54" s="5" t="s">
        <v>25</v>
      </c>
      <c r="C54" s="52" t="s">
        <v>18</v>
      </c>
      <c r="D54" s="4" t="s">
        <v>120</v>
      </c>
      <c r="E54" s="5" t="s">
        <v>3</v>
      </c>
      <c r="F54" s="24">
        <v>45666</v>
      </c>
      <c r="G54" s="7" t="s">
        <v>113</v>
      </c>
      <c r="H54" s="25">
        <f t="shared" si="0"/>
        <v>1</v>
      </c>
      <c r="I54" s="67">
        <v>3963</v>
      </c>
      <c r="J54" s="8" t="s">
        <v>115</v>
      </c>
      <c r="K54" s="9" t="s">
        <v>121</v>
      </c>
      <c r="L54" s="10" t="s">
        <v>117</v>
      </c>
      <c r="M54" s="11">
        <v>5350</v>
      </c>
      <c r="N54" s="12" t="s">
        <v>164</v>
      </c>
      <c r="O54" s="6">
        <v>45667</v>
      </c>
      <c r="P54" s="13">
        <v>3229</v>
      </c>
      <c r="Q54" s="14" t="s">
        <v>85</v>
      </c>
      <c r="R54" s="70">
        <f>1299+((DATA[[#This Row],[cantidad_fs]]-3000)*0.43)</f>
        <v>2309.5</v>
      </c>
      <c r="S54" s="15"/>
      <c r="T54" s="15">
        <f>DATA[[#This Row],[C. DF]]+DATA[[#This Row],[C.OPE.]]</f>
        <v>2309.5</v>
      </c>
      <c r="U54" s="15">
        <f>DATA[[#This Row],[SUB TOTAL]]*0.18</f>
        <v>415.71</v>
      </c>
      <c r="V54" s="15">
        <f>IFERROR(ROUND(DATA[[#This Row],[SUB TOTAL]]+DATA[[#This Row],[IGV]],2),0)</f>
        <v>2725.21</v>
      </c>
      <c r="W54" s="16" t="str">
        <f>IF(DATA[[#This Row],[VALORIZACIÓN ]]="-","NO CORRESPONDE",IF(OR(A54=20558226979,A54=10470707866,A54=20111157058,A54=20100226902),"NO CORRESPONDE",IF(J54="Emitida",IF(P54&gt;0,"EMITIDA","PENDIENTE"),"NO CORRESPONDE")))</f>
        <v>EMITIDA</v>
      </c>
      <c r="X54" s="29"/>
      <c r="Y54" s="17" t="s">
        <v>118</v>
      </c>
      <c r="Z54" s="30">
        <v>45679</v>
      </c>
      <c r="AA54" s="10" t="s">
        <v>124</v>
      </c>
      <c r="AB54" s="19">
        <v>523</v>
      </c>
      <c r="AC54" s="20">
        <v>7</v>
      </c>
      <c r="AD54" s="18">
        <f>DATA[[#This Row],[FECHA DE EMISION]]+DATA[[#This Row],[CONDICION DE PAGO]]</f>
        <v>45686</v>
      </c>
      <c r="AE54" s="23">
        <f>IF(DATA[[#This Row],[MONEDA]]="USD",VLOOKUP(DATA[[#This Row],[COMBINADA]],#REF!,11,0),1)</f>
        <v>1</v>
      </c>
      <c r="AF54" s="39" t="str">
        <f>IF(DATA[[#This Row],[SERIE2]]="-","NO CORRESPONDE",IF(W54="NO CORRESPONDE","NO CORRESPONDE",IF(Z54&gt;0,"FACTURADO","PENDIENTE")))</f>
        <v>FACTURADO</v>
      </c>
      <c r="AG54" s="27">
        <f>IFERROR(VLOOKUP(DATA[[#This Row],[COMBINADA]],#REF!,6,0),0)</f>
        <v>0</v>
      </c>
      <c r="AH54" s="125">
        <f>IFERROR(VLOOKUP(DATA[[#This Row],[COMBINADA]],#REF!,9,0),0)/COUNTIFS(DATA[COMBINADA],DATA[[#This Row],[COMBINADA]])</f>
        <v>0</v>
      </c>
      <c r="AI54" s="27">
        <f>IFERROR(VLOOKUP(DATA[[#This Row],[COMBINADA]],#REF!,6,0),0)</f>
        <v>0</v>
      </c>
      <c r="AJ54" s="125">
        <f>IFERROR(VLOOKUP(DATA[[#This Row],[COMBINADA]],#REF!,9,0),0)/COUNTIFS(DATA[COMBINADA],DATA[[#This Row],[COMBINADA]])</f>
        <v>0</v>
      </c>
      <c r="AK54" s="27">
        <f>IFERROR(VLOOKUP(DATA[[#This Row],[COMBINADA]],#REF!,6,0),0)</f>
        <v>0</v>
      </c>
      <c r="AL54" s="125">
        <f>IFERROR(VLOOKUP(DATA[[#This Row],[COMBINADA]],#REF!,9,0),0)/COUNTIFS(DATA[COMBINADA],DATA[[#This Row],[COMBINADA]])</f>
        <v>0</v>
      </c>
      <c r="AM54" s="27">
        <f>IFERROR(VLOOKUP(DATA[[#This Row],[COMBINADA]],#REF!,6,0),0)</f>
        <v>0</v>
      </c>
      <c r="AN54" s="125">
        <f>IFERROR(VLOOKUP(DATA[[#This Row],[COMBINADA]],#REF!,9,0),0)/COUNTIFS(DATA[COMBINADA],DATA[[#This Row],[COMBINADA]])</f>
        <v>0</v>
      </c>
      <c r="AO54" s="27">
        <f>IFERROR(VLOOKUP(DATA[[#This Row],[COMBINADA]],#REF!,6,0),0)</f>
        <v>0</v>
      </c>
      <c r="AP54" s="125">
        <f>IFERROR(VLOOKUP(DATA[[#This Row],[COMBINADA]],#REF!,9,0),0)/COUNTIFS(DATA[COMBINADA],DATA[[#This Row],[COMBINADA]])</f>
        <v>0</v>
      </c>
      <c r="AQ5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2725.21</v>
      </c>
      <c r="AR54" s="26" t="str">
        <f>IFERROR(IF(DATA[[#This Row],[estado_fact]]="FACTURADO",VLOOKUP(DATA[[#This Row],[SERIE2]]&amp;"-"&amp;DATA[[#This Row],[NUMERO]],#REF!,34,0),"NO CORRESPONDE"),"NO CORRESPONDE")</f>
        <v>NO CORRESPONDE</v>
      </c>
      <c r="AS54" s="22" t="str">
        <f>IF(DATA[[#This Row],[fecha_fs]]&gt;0,TEXT(DATA[[#This Row],[fecha_fs]],"Mmmm"),0)</f>
        <v>Enero</v>
      </c>
      <c r="AT54" s="22" t="str">
        <f>DATA[[#This Row],[SERIE2]]&amp;"-"&amp;DATA[[#This Row],[NUMERO]]</f>
        <v>FE01-523</v>
      </c>
      <c r="AU54" s="28">
        <f>DATA[[#This Row],[TOTAL]]*DATA[[#This Row],[T.C.]]</f>
        <v>2725.21</v>
      </c>
      <c r="AV54" s="6">
        <f>DATA[[#This Row],[FECHA DE VAL.]]</f>
        <v>45667</v>
      </c>
      <c r="AW54" s="6">
        <f>DATA[[#This Row],[FECHA DE EMISION]]</f>
        <v>45679</v>
      </c>
      <c r="AX54" s="6">
        <f>DATA[[#This Row],[F1]]</f>
        <v>0</v>
      </c>
      <c r="AY54" s="20">
        <f>IF(AV54-DATA[[#This Row],[fecha_fs]]&lt;0,0,AV54-DATA[[#This Row],[fecha_fs]])</f>
        <v>1</v>
      </c>
      <c r="AZ54" s="20">
        <f t="shared" si="1"/>
        <v>12</v>
      </c>
      <c r="BA54" s="20">
        <f t="shared" si="2"/>
        <v>0</v>
      </c>
      <c r="BB54" s="195">
        <f>IFERROR(SUM(DATA[[#This Row],[fs_val_ttf]:[fact_pago_ttf]]),0)</f>
        <v>13</v>
      </c>
      <c r="BC54" s="185">
        <v>45666</v>
      </c>
      <c r="BD54" s="185">
        <v>45666</v>
      </c>
      <c r="BE54" s="185">
        <v>45686</v>
      </c>
      <c r="BF54" s="185">
        <v>45686</v>
      </c>
      <c r="BG54" s="20">
        <f>IFERROR(IF(BC54-DATA[[#This Row],[fecha_fs]]&lt;0,0,BC54-DATA[[#This Row],[fecha_fs]]),0)</f>
        <v>0</v>
      </c>
      <c r="BH54" s="20">
        <f t="shared" si="6"/>
        <v>0</v>
      </c>
      <c r="BI54" s="20">
        <f t="shared" si="7"/>
        <v>20</v>
      </c>
      <c r="BJ54" s="20">
        <f t="shared" si="8"/>
        <v>0</v>
      </c>
      <c r="BK54" s="189">
        <f>IFERROR(SUM(DATA[[#This Row],[fs_fd_ttd]:[fend_fenf_ttd]]),0)</f>
        <v>20</v>
      </c>
      <c r="BL54" s="20" t="str">
        <f>IF(DATA[[#This Row],[fecha_fs]]&gt;0,TEXT(DATA[[#This Row],[fecha_fs]],"YYYY"),0)</f>
        <v>2025</v>
      </c>
      <c r="BM54" s="221" t="b">
        <v>0</v>
      </c>
      <c r="BN54" s="278">
        <f>COUNTIF(DATA[[#This Row],[tiempo_td]], "&lt;=15")</f>
        <v>0</v>
      </c>
      <c r="BO54" s="222"/>
    </row>
    <row r="55" spans="1:67" ht="30.6" customHeight="1" x14ac:dyDescent="0.25">
      <c r="A55" s="4">
        <v>20100055237</v>
      </c>
      <c r="B55" s="5" t="s">
        <v>21</v>
      </c>
      <c r="C55" s="52" t="s">
        <v>138</v>
      </c>
      <c r="D55" s="4" t="s">
        <v>139</v>
      </c>
      <c r="E55" s="5" t="s">
        <v>23</v>
      </c>
      <c r="F55" s="24">
        <v>45666</v>
      </c>
      <c r="G55" s="7" t="s">
        <v>113</v>
      </c>
      <c r="H55" s="25">
        <f t="shared" si="0"/>
        <v>1</v>
      </c>
      <c r="I55" s="67">
        <v>3964</v>
      </c>
      <c r="J55" s="8" t="s">
        <v>115</v>
      </c>
      <c r="K55" s="9" t="s">
        <v>121</v>
      </c>
      <c r="L55" s="10" t="s">
        <v>117</v>
      </c>
      <c r="M55" s="11">
        <v>40</v>
      </c>
      <c r="N55" s="12" t="s">
        <v>165</v>
      </c>
      <c r="O55" s="6">
        <v>45687</v>
      </c>
      <c r="P55" s="54">
        <v>3273</v>
      </c>
      <c r="Q55" s="14" t="s">
        <v>85</v>
      </c>
      <c r="R55" s="15"/>
      <c r="S55" s="15">
        <v>297.92</v>
      </c>
      <c r="T55" s="15">
        <f>DATA[[#This Row],[C. DF]]+DATA[[#This Row],[C.OPE.]]</f>
        <v>297.92</v>
      </c>
      <c r="U55" s="15">
        <f>DATA[[#This Row],[SUB TOTAL]]*0.18</f>
        <v>53.625599999999999</v>
      </c>
      <c r="V55" s="15">
        <f>IFERROR(ROUND(DATA[[#This Row],[SUB TOTAL]]+DATA[[#This Row],[IGV]],2),0)</f>
        <v>351.55</v>
      </c>
      <c r="W55" s="16" t="str">
        <f>IF(DATA[[#This Row],[VALORIZACIÓN ]]="-","NO CORRESPONDE",IF(OR(A55=20558226979,A55=10470707866,A55=20111157058,A55=20100226902),"NO CORRESPONDE",IF(J55="Emitida",IF(P55&gt;0,"EMITIDA","PENDIENTE"),"NO CORRESPONDE")))</f>
        <v>EMITIDA</v>
      </c>
      <c r="X55" s="29" t="s">
        <v>140</v>
      </c>
      <c r="Y55" s="17" t="s">
        <v>118</v>
      </c>
      <c r="Z55" s="30">
        <v>45701</v>
      </c>
      <c r="AA55" s="10" t="s">
        <v>124</v>
      </c>
      <c r="AB55" s="19">
        <v>562</v>
      </c>
      <c r="AC55" s="20">
        <v>30</v>
      </c>
      <c r="AD55" s="18">
        <f>DATA[[#This Row],[FECHA DE EMISION]]+DATA[[#This Row],[CONDICION DE PAGO]]</f>
        <v>45731</v>
      </c>
      <c r="AE55" s="23">
        <f>IF(DATA[[#This Row],[MONEDA]]="USD",VLOOKUP(DATA[[#This Row],[COMBINADA]],#REF!,11,0),1)</f>
        <v>1</v>
      </c>
      <c r="AF55" s="39" t="str">
        <f>IF(DATA[[#This Row],[SERIE2]]="-","NO CORRESPONDE",IF(W55="NO CORRESPONDE","NO CORRESPONDE",IF(Z55&gt;0,"FACTURADO","PENDIENTE")))</f>
        <v>FACTURADO</v>
      </c>
      <c r="AG55" s="27">
        <f>IFERROR(VLOOKUP(DATA[[#This Row],[COMBINADA]],#REF!,6,0),0)</f>
        <v>0</v>
      </c>
      <c r="AH55" s="125">
        <f>IFERROR(VLOOKUP(DATA[[#This Row],[COMBINADA]],#REF!,9,0),0)/COUNTIFS(DATA[COMBINADA],DATA[[#This Row],[COMBINADA]])</f>
        <v>0</v>
      </c>
      <c r="AI55" s="27">
        <f>IFERROR(VLOOKUP(DATA[[#This Row],[COMBINADA]],#REF!,6,0),0)</f>
        <v>0</v>
      </c>
      <c r="AJ55" s="125">
        <f>IFERROR(VLOOKUP(DATA[[#This Row],[COMBINADA]],#REF!,9,0),0)/COUNTIFS(DATA[COMBINADA],DATA[[#This Row],[COMBINADA]])</f>
        <v>0</v>
      </c>
      <c r="AK55" s="27">
        <f>IFERROR(VLOOKUP(DATA[[#This Row],[COMBINADA]],#REF!,6,0),0)</f>
        <v>0</v>
      </c>
      <c r="AL55" s="125">
        <f>IFERROR(VLOOKUP(DATA[[#This Row],[COMBINADA]],#REF!,9,0),0)/COUNTIFS(DATA[COMBINADA],DATA[[#This Row],[COMBINADA]])</f>
        <v>0</v>
      </c>
      <c r="AM55" s="27">
        <f>IFERROR(VLOOKUP(DATA[[#This Row],[COMBINADA]],#REF!,6,0),0)</f>
        <v>0</v>
      </c>
      <c r="AN55" s="125">
        <f>IFERROR(VLOOKUP(DATA[[#This Row],[COMBINADA]],#REF!,9,0),0)/COUNTIFS(DATA[COMBINADA],DATA[[#This Row],[COMBINADA]])</f>
        <v>0</v>
      </c>
      <c r="AO55" s="27">
        <f>IFERROR(VLOOKUP(DATA[[#This Row],[COMBINADA]],#REF!,6,0),0)</f>
        <v>0</v>
      </c>
      <c r="AP55" s="125">
        <f>IFERROR(VLOOKUP(DATA[[#This Row],[COMBINADA]],#REF!,9,0),0)/COUNTIFS(DATA[COMBINADA],DATA[[#This Row],[COMBINADA]])</f>
        <v>0</v>
      </c>
      <c r="AQ5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55" s="26" t="str">
        <f>IFERROR(IF(DATA[[#This Row],[estado_fact]]="FACTURADO",VLOOKUP(DATA[[#This Row],[SERIE2]]&amp;"-"&amp;DATA[[#This Row],[NUMERO]],#REF!,34,0),"NO CORRESPONDE"),"NO CORRESPONDE")</f>
        <v>NO CORRESPONDE</v>
      </c>
      <c r="AS55" s="22" t="str">
        <f>IF(DATA[[#This Row],[fecha_fs]]&gt;0,TEXT(DATA[[#This Row],[fecha_fs]],"Mmmm"),0)</f>
        <v>Enero</v>
      </c>
      <c r="AT55" s="22" t="str">
        <f>DATA[[#This Row],[SERIE2]]&amp;"-"&amp;DATA[[#This Row],[NUMERO]]</f>
        <v>FE01-562</v>
      </c>
      <c r="AU55" s="28">
        <f>DATA[[#This Row],[TOTAL]]*DATA[[#This Row],[T.C.]]</f>
        <v>351.55</v>
      </c>
      <c r="AV55" s="6">
        <f>DATA[[#This Row],[FECHA DE VAL.]]</f>
        <v>45687</v>
      </c>
      <c r="AW55" s="6">
        <f>DATA[[#This Row],[FECHA DE EMISION]]</f>
        <v>45701</v>
      </c>
      <c r="AX55" s="6">
        <f>DATA[[#This Row],[F1]]</f>
        <v>0</v>
      </c>
      <c r="AY55" s="20">
        <f>IF(AV55-DATA[[#This Row],[fecha_fs]]&lt;0,0,AV55-DATA[[#This Row],[fecha_fs]])</f>
        <v>21</v>
      </c>
      <c r="AZ55" s="20">
        <f t="shared" si="1"/>
        <v>14</v>
      </c>
      <c r="BA55" s="20">
        <f t="shared" si="2"/>
        <v>0</v>
      </c>
      <c r="BB55" s="195">
        <f>IFERROR(SUM(DATA[[#This Row],[fs_val_ttf]:[fact_pago_ttf]]),0)</f>
        <v>35</v>
      </c>
      <c r="BC55" s="185">
        <v>45666</v>
      </c>
      <c r="BD55" s="185">
        <v>45666</v>
      </c>
      <c r="BE55" s="185">
        <v>45691</v>
      </c>
      <c r="BF55" s="185">
        <v>45691</v>
      </c>
      <c r="BG55" s="20">
        <f>IFERROR(IF(BC55-DATA[[#This Row],[fecha_fs]]&lt;0,0,BC55-DATA[[#This Row],[fecha_fs]]),0)</f>
        <v>0</v>
      </c>
      <c r="BH55" s="20">
        <f t="shared" si="6"/>
        <v>0</v>
      </c>
      <c r="BI55" s="20">
        <f t="shared" si="7"/>
        <v>25</v>
      </c>
      <c r="BJ55" s="20">
        <f t="shared" si="8"/>
        <v>0</v>
      </c>
      <c r="BK55" s="189">
        <f>IFERROR(SUM(DATA[[#This Row],[fs_fd_ttd]:[fend_fenf_ttd]]),0)</f>
        <v>25</v>
      </c>
      <c r="BL55" s="20" t="str">
        <f>IF(DATA[[#This Row],[fecha_fs]]&gt;0,TEXT(DATA[[#This Row],[fecha_fs]],"YYYY"),0)</f>
        <v>2025</v>
      </c>
      <c r="BM55" s="221" t="b">
        <v>1</v>
      </c>
      <c r="BN55" s="278">
        <f>COUNTIF(DATA[[#This Row],[tiempo_td]], "&lt;=15")</f>
        <v>0</v>
      </c>
      <c r="BO55" s="222"/>
    </row>
    <row r="56" spans="1:67" ht="30.6" customHeight="1" x14ac:dyDescent="0.25">
      <c r="A56" s="4">
        <v>20505675836</v>
      </c>
      <c r="B56" s="5" t="s">
        <v>42</v>
      </c>
      <c r="C56" s="52" t="s">
        <v>43</v>
      </c>
      <c r="D56" s="4" t="s">
        <v>157</v>
      </c>
      <c r="E56" s="5" t="s">
        <v>44</v>
      </c>
      <c r="F56" s="24">
        <v>45666</v>
      </c>
      <c r="G56" s="7" t="s">
        <v>113</v>
      </c>
      <c r="H56" s="25">
        <f t="shared" si="0"/>
        <v>1</v>
      </c>
      <c r="I56" s="67">
        <v>3965</v>
      </c>
      <c r="J56" s="8" t="s">
        <v>115</v>
      </c>
      <c r="K56" s="9" t="s">
        <v>166</v>
      </c>
      <c r="L56" s="10" t="s">
        <v>137</v>
      </c>
      <c r="M56" s="11">
        <v>1</v>
      </c>
      <c r="N56" s="12" t="s">
        <v>114</v>
      </c>
      <c r="O56" s="6">
        <v>45684</v>
      </c>
      <c r="P56" s="69">
        <v>3257</v>
      </c>
      <c r="Q56" s="14" t="s">
        <v>85</v>
      </c>
      <c r="R56" s="15"/>
      <c r="S56" s="15">
        <v>7390</v>
      </c>
      <c r="T56" s="15">
        <f>DATA[[#This Row],[C. DF]]+DATA[[#This Row],[C.OPE.]]</f>
        <v>7390</v>
      </c>
      <c r="U56" s="15">
        <f>DATA[[#This Row],[SUB TOTAL]]*0.18</f>
        <v>1330.2</v>
      </c>
      <c r="V56" s="15">
        <f>IFERROR(ROUND(DATA[[#This Row],[SUB TOTAL]]+DATA[[#This Row],[IGV]],2),0)</f>
        <v>8720.2000000000007</v>
      </c>
      <c r="W56" s="16" t="str">
        <f>IF(DATA[[#This Row],[VALORIZACIÓN ]]="-","NO CORRESPONDE",IF(OR(A56=20558226979,A56=10470707866,A56=20111157058,A56=20100226902),"NO CORRESPONDE",IF(J56="Emitida",IF(P56&gt;0,"EMITIDA","PENDIENTE"),"NO CORRESPONDE")))</f>
        <v>EMITIDA</v>
      </c>
      <c r="X56" s="29"/>
      <c r="Y56" s="17" t="s">
        <v>118</v>
      </c>
      <c r="Z56" s="30">
        <v>45712</v>
      </c>
      <c r="AA56" s="10" t="s">
        <v>124</v>
      </c>
      <c r="AB56" s="19">
        <v>576</v>
      </c>
      <c r="AC56" s="20">
        <v>30</v>
      </c>
      <c r="AD56" s="18">
        <f>DATA[[#This Row],[FECHA DE EMISION]]+DATA[[#This Row],[CONDICION DE PAGO]]</f>
        <v>45742</v>
      </c>
      <c r="AE56" s="23">
        <f>IF(DATA[[#This Row],[MONEDA]]="USD",VLOOKUP(DATA[[#This Row],[COMBINADA]],#REF!,11,0),1)</f>
        <v>1</v>
      </c>
      <c r="AF56" s="39" t="str">
        <f>IF(DATA[[#This Row],[SERIE2]]="-","NO CORRESPONDE",IF(W56="NO CORRESPONDE","NO CORRESPONDE",IF(Z56&gt;0,"FACTURADO","PENDIENTE")))</f>
        <v>FACTURADO</v>
      </c>
      <c r="AG56" s="27">
        <f>IFERROR(VLOOKUP(DATA[[#This Row],[COMBINADA]],#REF!,6,0),0)</f>
        <v>0</v>
      </c>
      <c r="AH56" s="125">
        <f>IFERROR(VLOOKUP(DATA[[#This Row],[COMBINADA]],#REF!,9,0),0)/COUNTIFS(DATA[COMBINADA],DATA[[#This Row],[COMBINADA]])</f>
        <v>0</v>
      </c>
      <c r="AI56" s="27">
        <f>IFERROR(VLOOKUP(DATA[[#This Row],[COMBINADA]],#REF!,6,0),0)</f>
        <v>0</v>
      </c>
      <c r="AJ56" s="125">
        <f>IFERROR(VLOOKUP(DATA[[#This Row],[COMBINADA]],#REF!,9,0),0)/COUNTIFS(DATA[COMBINADA],DATA[[#This Row],[COMBINADA]])</f>
        <v>0</v>
      </c>
      <c r="AK56" s="27">
        <f>IFERROR(VLOOKUP(DATA[[#This Row],[COMBINADA]],#REF!,6,0),0)</f>
        <v>0</v>
      </c>
      <c r="AL56" s="125">
        <f>IFERROR(VLOOKUP(DATA[[#This Row],[COMBINADA]],#REF!,9,0),0)/COUNTIFS(DATA[COMBINADA],DATA[[#This Row],[COMBINADA]])</f>
        <v>0</v>
      </c>
      <c r="AM56" s="27">
        <f>IFERROR(VLOOKUP(DATA[[#This Row],[COMBINADA]],#REF!,6,0),0)</f>
        <v>0</v>
      </c>
      <c r="AN56" s="125">
        <f>IFERROR(VLOOKUP(DATA[[#This Row],[COMBINADA]],#REF!,9,0),0)/COUNTIFS(DATA[COMBINADA],DATA[[#This Row],[COMBINADA]])</f>
        <v>0</v>
      </c>
      <c r="AO56" s="27">
        <f>IFERROR(VLOOKUP(DATA[[#This Row],[COMBINADA]],#REF!,6,0),0)</f>
        <v>0</v>
      </c>
      <c r="AP56" s="125">
        <f>IFERROR(VLOOKUP(DATA[[#This Row],[COMBINADA]],#REF!,9,0),0)/COUNTIFS(DATA[COMBINADA],DATA[[#This Row],[COMBINADA]])</f>
        <v>0</v>
      </c>
      <c r="AQ5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3237.1550000000007</v>
      </c>
      <c r="AR56" s="26" t="str">
        <f>IFERROR(IF(DATA[[#This Row],[estado_fact]]="FACTURADO",VLOOKUP(DATA[[#This Row],[SERIE2]]&amp;"-"&amp;DATA[[#This Row],[NUMERO]],#REF!,34,0),"NO CORRESPONDE"),"NO CORRESPONDE")</f>
        <v>NO CORRESPONDE</v>
      </c>
      <c r="AS56" s="22" t="str">
        <f>IF(DATA[[#This Row],[fecha_fs]]&gt;0,TEXT(DATA[[#This Row],[fecha_fs]],"Mmmm"),0)</f>
        <v>Enero</v>
      </c>
      <c r="AT56" s="22" t="str">
        <f>DATA[[#This Row],[SERIE2]]&amp;"-"&amp;DATA[[#This Row],[NUMERO]]</f>
        <v>FE01-576</v>
      </c>
      <c r="AU56" s="28">
        <f>DATA[[#This Row],[TOTAL]]*DATA[[#This Row],[T.C.]]</f>
        <v>8720.2000000000007</v>
      </c>
      <c r="AV56" s="6">
        <f>DATA[[#This Row],[FECHA DE VAL.]]</f>
        <v>45684</v>
      </c>
      <c r="AW56" s="6">
        <f>DATA[[#This Row],[FECHA DE EMISION]]</f>
        <v>45712</v>
      </c>
      <c r="AX56" s="6">
        <f>DATA[[#This Row],[F1]]</f>
        <v>0</v>
      </c>
      <c r="AY56" s="20">
        <f>IF(AV56-DATA[[#This Row],[fecha_fs]]&lt;0,0,AV56-DATA[[#This Row],[fecha_fs]])</f>
        <v>18</v>
      </c>
      <c r="AZ56" s="20">
        <f t="shared" si="1"/>
        <v>28</v>
      </c>
      <c r="BA56" s="20">
        <f t="shared" si="2"/>
        <v>0</v>
      </c>
      <c r="BB56" s="195">
        <f>IFERROR(SUM(DATA[[#This Row],[fs_val_ttf]:[fact_pago_ttf]]),0)</f>
        <v>46</v>
      </c>
      <c r="BC56" s="185">
        <v>45666</v>
      </c>
      <c r="BD56" s="185">
        <v>45666</v>
      </c>
      <c r="BE56" s="185">
        <v>45686</v>
      </c>
      <c r="BF56" s="185">
        <v>45686</v>
      </c>
      <c r="BG56" s="20">
        <f>IFERROR(IF(BC56-DATA[[#This Row],[fecha_fs]]&lt;0,0,BC56-DATA[[#This Row],[fecha_fs]]),0)</f>
        <v>0</v>
      </c>
      <c r="BH56" s="20">
        <f t="shared" si="6"/>
        <v>0</v>
      </c>
      <c r="BI56" s="20">
        <f t="shared" si="7"/>
        <v>20</v>
      </c>
      <c r="BJ56" s="20">
        <f t="shared" si="8"/>
        <v>0</v>
      </c>
      <c r="BK56" s="189">
        <f>IFERROR(SUM(DATA[[#This Row],[fs_fd_ttd]:[fend_fenf_ttd]]),0)</f>
        <v>20</v>
      </c>
      <c r="BL56" s="20" t="str">
        <f>IF(DATA[[#This Row],[fecha_fs]]&gt;0,TEXT(DATA[[#This Row],[fecha_fs]],"YYYY"),0)</f>
        <v>2025</v>
      </c>
      <c r="BM56" s="221" t="b">
        <v>1</v>
      </c>
      <c r="BN56" s="278">
        <f>COUNTIF(DATA[[#This Row],[tiempo_td]], "&lt;=15")</f>
        <v>0</v>
      </c>
      <c r="BO56" s="222"/>
    </row>
    <row r="57" spans="1:67" ht="30.6" customHeight="1" x14ac:dyDescent="0.25">
      <c r="A57" s="4">
        <v>20505675836</v>
      </c>
      <c r="B57" s="5" t="s">
        <v>42</v>
      </c>
      <c r="C57" s="52" t="s">
        <v>43</v>
      </c>
      <c r="D57" s="4" t="s">
        <v>112</v>
      </c>
      <c r="E57" s="5" t="s">
        <v>1</v>
      </c>
      <c r="F57" s="24">
        <v>45666</v>
      </c>
      <c r="G57" s="7" t="s">
        <v>113</v>
      </c>
      <c r="H57" s="25">
        <f t="shared" si="0"/>
        <v>1</v>
      </c>
      <c r="I57" s="67">
        <v>3966</v>
      </c>
      <c r="J57" s="8" t="s">
        <v>115</v>
      </c>
      <c r="K57" s="9" t="s">
        <v>116</v>
      </c>
      <c r="L57" s="10" t="s">
        <v>117</v>
      </c>
      <c r="M57" s="11">
        <v>8330</v>
      </c>
      <c r="N57" s="12" t="s">
        <v>122</v>
      </c>
      <c r="O57" s="6">
        <v>45684</v>
      </c>
      <c r="P57" s="69">
        <v>3259</v>
      </c>
      <c r="Q57" s="14" t="s">
        <v>85</v>
      </c>
      <c r="R57" s="15">
        <f>(DATA[[#This Row],[cantidad_fs]]-600)*0.97</f>
        <v>7498.0999999999995</v>
      </c>
      <c r="S57" s="15">
        <v>1427.2</v>
      </c>
      <c r="T57" s="15">
        <f>DATA[[#This Row],[C. DF]]+DATA[[#This Row],[C.OPE.]]</f>
        <v>8925.2999999999993</v>
      </c>
      <c r="U57" s="15">
        <f>DATA[[#This Row],[SUB TOTAL]]*0.18</f>
        <v>1606.5539999999999</v>
      </c>
      <c r="V57" s="15">
        <f>IFERROR(ROUND(DATA[[#This Row],[SUB TOTAL]]+DATA[[#This Row],[IGV]],2),0)</f>
        <v>10531.85</v>
      </c>
      <c r="W57" s="16" t="str">
        <f>IF(DATA[[#This Row],[VALORIZACIÓN ]]="-","NO CORRESPONDE",IF(OR(A57=20558226979,A57=10470707866,A57=20111157058,A57=20100226902),"NO CORRESPONDE",IF(J57="Emitida",IF(P57&gt;0,"EMITIDA","PENDIENTE"),"NO CORRESPONDE")))</f>
        <v>EMITIDA</v>
      </c>
      <c r="X57" s="29" t="s">
        <v>146</v>
      </c>
      <c r="Y57" s="17" t="s">
        <v>118</v>
      </c>
      <c r="Z57" s="30">
        <v>45708</v>
      </c>
      <c r="AA57" s="10" t="s">
        <v>124</v>
      </c>
      <c r="AB57" s="19">
        <v>571</v>
      </c>
      <c r="AC57" s="20">
        <v>30</v>
      </c>
      <c r="AD57" s="18">
        <f>DATA[[#This Row],[FECHA DE EMISION]]+DATA[[#This Row],[CONDICION DE PAGO]]</f>
        <v>45738</v>
      </c>
      <c r="AE57" s="23">
        <f>IF(DATA[[#This Row],[MONEDA]]="USD",VLOOKUP(DATA[[#This Row],[COMBINADA]],#REF!,11,0),1)</f>
        <v>1</v>
      </c>
      <c r="AF57" s="39" t="str">
        <f>IF(DATA[[#This Row],[SERIE2]]="-","NO CORRESPONDE",IF(W57="NO CORRESPONDE","NO CORRESPONDE",IF(Z57&gt;0,"FACTURADO","PENDIENTE")))</f>
        <v>FACTURADO</v>
      </c>
      <c r="AG57" s="27">
        <f>IFERROR(VLOOKUP(DATA[[#This Row],[COMBINADA]],#REF!,6,0),0)</f>
        <v>0</v>
      </c>
      <c r="AH57" s="125">
        <f>IFERROR(VLOOKUP(DATA[[#This Row],[COMBINADA]],#REF!,9,0),0)/COUNTIFS(DATA[COMBINADA],DATA[[#This Row],[COMBINADA]])</f>
        <v>0</v>
      </c>
      <c r="AI57" s="27">
        <f>IFERROR(VLOOKUP(DATA[[#This Row],[COMBINADA]],#REF!,6,0),0)</f>
        <v>0</v>
      </c>
      <c r="AJ57" s="125">
        <f>IFERROR(VLOOKUP(DATA[[#This Row],[COMBINADA]],#REF!,9,0),0)/COUNTIFS(DATA[COMBINADA],DATA[[#This Row],[COMBINADA]])</f>
        <v>0</v>
      </c>
      <c r="AK57" s="27">
        <f>IFERROR(VLOOKUP(DATA[[#This Row],[COMBINADA]],#REF!,6,0),0)</f>
        <v>0</v>
      </c>
      <c r="AL57" s="125">
        <f>IFERROR(VLOOKUP(DATA[[#This Row],[COMBINADA]],#REF!,9,0),0)/COUNTIFS(DATA[COMBINADA],DATA[[#This Row],[COMBINADA]])</f>
        <v>0</v>
      </c>
      <c r="AM57" s="27">
        <f>IFERROR(VLOOKUP(DATA[[#This Row],[COMBINADA]],#REF!,6,0),0)</f>
        <v>0</v>
      </c>
      <c r="AN57" s="125">
        <f>IFERROR(VLOOKUP(DATA[[#This Row],[COMBINADA]],#REF!,9,0),0)/COUNTIFS(DATA[COMBINADA],DATA[[#This Row],[COMBINADA]])</f>
        <v>0</v>
      </c>
      <c r="AO57" s="27">
        <f>IFERROR(VLOOKUP(DATA[[#This Row],[COMBINADA]],#REF!,6,0),0)</f>
        <v>0</v>
      </c>
      <c r="AP57" s="125">
        <f>IFERROR(VLOOKUP(DATA[[#This Row],[COMBINADA]],#REF!,9,0),0)/COUNTIFS(DATA[COMBINADA],DATA[[#This Row],[COMBINADA]])</f>
        <v>0</v>
      </c>
      <c r="AQ5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6464.8840000000009</v>
      </c>
      <c r="AR57" s="26" t="str">
        <f>IFERROR(IF(DATA[[#This Row],[estado_fact]]="FACTURADO",VLOOKUP(DATA[[#This Row],[SERIE2]]&amp;"-"&amp;DATA[[#This Row],[NUMERO]],#REF!,34,0),"NO CORRESPONDE"),"NO CORRESPONDE")</f>
        <v>NO CORRESPONDE</v>
      </c>
      <c r="AS57" s="22" t="str">
        <f>IF(DATA[[#This Row],[fecha_fs]]&gt;0,TEXT(DATA[[#This Row],[fecha_fs]],"Mmmm"),0)</f>
        <v>Enero</v>
      </c>
      <c r="AT57" s="22" t="str">
        <f>DATA[[#This Row],[SERIE2]]&amp;"-"&amp;DATA[[#This Row],[NUMERO]]</f>
        <v>FE01-571</v>
      </c>
      <c r="AU57" s="28">
        <f>DATA[[#This Row],[TOTAL]]*DATA[[#This Row],[T.C.]]</f>
        <v>10531.85</v>
      </c>
      <c r="AV57" s="6">
        <f>DATA[[#This Row],[FECHA DE VAL.]]</f>
        <v>45684</v>
      </c>
      <c r="AW57" s="6">
        <f>DATA[[#This Row],[FECHA DE EMISION]]</f>
        <v>45708</v>
      </c>
      <c r="AX57" s="6">
        <f>DATA[[#This Row],[F1]]</f>
        <v>0</v>
      </c>
      <c r="AY57" s="20">
        <f>IF(AV57-DATA[[#This Row],[fecha_fs]]&lt;0,0,AV57-DATA[[#This Row],[fecha_fs]])</f>
        <v>18</v>
      </c>
      <c r="AZ57" s="20">
        <f t="shared" si="1"/>
        <v>24</v>
      </c>
      <c r="BA57" s="20">
        <f t="shared" si="2"/>
        <v>0</v>
      </c>
      <c r="BB57" s="195">
        <f>IFERROR(SUM(DATA[[#This Row],[fs_val_ttf]:[fact_pago_ttf]]),0)</f>
        <v>42</v>
      </c>
      <c r="BC57" s="185">
        <v>45679</v>
      </c>
      <c r="BD57" s="185">
        <v>45686</v>
      </c>
      <c r="BE57" s="185">
        <v>45688</v>
      </c>
      <c r="BF57" s="185">
        <v>45700</v>
      </c>
      <c r="BG57" s="20">
        <f>IFERROR(IF(BC57-DATA[[#This Row],[fecha_fs]]&lt;0,0,BC57-DATA[[#This Row],[fecha_fs]]),0)</f>
        <v>13</v>
      </c>
      <c r="BH57" s="20">
        <f t="shared" si="6"/>
        <v>7</v>
      </c>
      <c r="BI57" s="20">
        <f t="shared" si="7"/>
        <v>2</v>
      </c>
      <c r="BJ57" s="20">
        <f t="shared" si="8"/>
        <v>12</v>
      </c>
      <c r="BK57" s="189">
        <f>IFERROR(SUM(DATA[[#This Row],[fs_fd_ttd]:[fend_fenf_ttd]]),0)</f>
        <v>34</v>
      </c>
      <c r="BL57" s="20" t="str">
        <f>IF(DATA[[#This Row],[fecha_fs]]&gt;0,TEXT(DATA[[#This Row],[fecha_fs]],"YYYY"),0)</f>
        <v>2025</v>
      </c>
      <c r="BM57" s="221" t="b">
        <v>1</v>
      </c>
      <c r="BN57" s="278">
        <f>COUNTIF(DATA[[#This Row],[tiempo_td]], "&lt;=15")</f>
        <v>0</v>
      </c>
      <c r="BO57" s="222"/>
    </row>
    <row r="58" spans="1:67" ht="30.6" customHeight="1" x14ac:dyDescent="0.25">
      <c r="A58" s="4">
        <v>20141637941</v>
      </c>
      <c r="B58" s="5" t="s">
        <v>79</v>
      </c>
      <c r="C58" s="52" t="s">
        <v>80</v>
      </c>
      <c r="D58" s="4" t="s">
        <v>120</v>
      </c>
      <c r="E58" s="5" t="s">
        <v>3</v>
      </c>
      <c r="F58" s="24">
        <v>45666</v>
      </c>
      <c r="G58" s="7" t="s">
        <v>113</v>
      </c>
      <c r="H58" s="25">
        <f t="shared" si="0"/>
        <v>1</v>
      </c>
      <c r="I58" s="67">
        <v>3967</v>
      </c>
      <c r="J58" s="8" t="s">
        <v>115</v>
      </c>
      <c r="K58" s="9" t="s">
        <v>121</v>
      </c>
      <c r="L58" s="10" t="s">
        <v>117</v>
      </c>
      <c r="M58" s="11">
        <v>1210</v>
      </c>
      <c r="N58" s="12" t="s">
        <v>167</v>
      </c>
      <c r="O58" s="6">
        <v>45667</v>
      </c>
      <c r="P58" s="68">
        <v>3230</v>
      </c>
      <c r="Q58" s="14" t="s">
        <v>85</v>
      </c>
      <c r="R58" s="15">
        <f>70+(DATA[[#This Row],[cantidad_fs]]-1000)*0.1</f>
        <v>91</v>
      </c>
      <c r="S58" s="15">
        <v>517</v>
      </c>
      <c r="T58" s="15">
        <f>DATA[[#This Row],[C. DF]]+DATA[[#This Row],[C.OPE.]]</f>
        <v>608</v>
      </c>
      <c r="U58" s="15">
        <f>DATA[[#This Row],[SUB TOTAL]]*0.18</f>
        <v>109.44</v>
      </c>
      <c r="V58" s="15">
        <f>IFERROR(ROUND(DATA[[#This Row],[SUB TOTAL]]+DATA[[#This Row],[IGV]],2),0)</f>
        <v>717.44</v>
      </c>
      <c r="W58" s="16" t="str">
        <f>IF(DATA[[#This Row],[VALORIZACIÓN ]]="-","NO CORRESPONDE",IF(OR(A58=20558226979,A58=10470707866,A58=20111157058,A58=20100226902),"NO CORRESPONDE",IF(J58="Emitida",IF(P58&gt;0,"EMITIDA","PENDIENTE"),"NO CORRESPONDE")))</f>
        <v>EMITIDA</v>
      </c>
      <c r="X58" s="29"/>
      <c r="Y58" s="17" t="s">
        <v>118</v>
      </c>
      <c r="Z58" s="30">
        <v>45678</v>
      </c>
      <c r="AA58" s="10" t="s">
        <v>124</v>
      </c>
      <c r="AB58" s="19">
        <v>511</v>
      </c>
      <c r="AC58" s="20">
        <v>30</v>
      </c>
      <c r="AD58" s="18">
        <f>DATA[[#This Row],[FECHA DE EMISION]]+DATA[[#This Row],[CONDICION DE PAGO]]</f>
        <v>45708</v>
      </c>
      <c r="AE58" s="23">
        <f>IF(DATA[[#This Row],[MONEDA]]="USD",VLOOKUP(DATA[[#This Row],[COMBINADA]],#REF!,11,0),1)</f>
        <v>1</v>
      </c>
      <c r="AF58" s="39" t="str">
        <f>IF(DATA[[#This Row],[SERIE2]]="-","NO CORRESPONDE",IF(W58="NO CORRESPONDE","NO CORRESPONDE",IF(Z58&gt;0,"FACTURADO","PENDIENTE")))</f>
        <v>FACTURADO</v>
      </c>
      <c r="AG58" s="27">
        <f>IFERROR(VLOOKUP(DATA[[#This Row],[COMBINADA]],#REF!,6,0),0)</f>
        <v>0</v>
      </c>
      <c r="AH58" s="125">
        <f>IFERROR(VLOOKUP(DATA[[#This Row],[COMBINADA]],#REF!,9,0),0)/COUNTIFS(DATA[COMBINADA],DATA[[#This Row],[COMBINADA]])</f>
        <v>0</v>
      </c>
      <c r="AI58" s="27">
        <f>IFERROR(VLOOKUP(DATA[[#This Row],[COMBINADA]],#REF!,6,0),0)</f>
        <v>0</v>
      </c>
      <c r="AJ58" s="125">
        <f>IFERROR(VLOOKUP(DATA[[#This Row],[COMBINADA]],#REF!,9,0),0)/COUNTIFS(DATA[COMBINADA],DATA[[#This Row],[COMBINADA]])</f>
        <v>0</v>
      </c>
      <c r="AK58" s="27">
        <f>IFERROR(VLOOKUP(DATA[[#This Row],[COMBINADA]],#REF!,6,0),0)</f>
        <v>0</v>
      </c>
      <c r="AL58" s="125">
        <f>IFERROR(VLOOKUP(DATA[[#This Row],[COMBINADA]],#REF!,9,0),0)/COUNTIFS(DATA[COMBINADA],DATA[[#This Row],[COMBINADA]])</f>
        <v>0</v>
      </c>
      <c r="AM58" s="27">
        <f>IFERROR(VLOOKUP(DATA[[#This Row],[COMBINADA]],#REF!,6,0),0)</f>
        <v>0</v>
      </c>
      <c r="AN58" s="125">
        <f>IFERROR(VLOOKUP(DATA[[#This Row],[COMBINADA]],#REF!,9,0),0)/COUNTIFS(DATA[COMBINADA],DATA[[#This Row],[COMBINADA]])</f>
        <v>0</v>
      </c>
      <c r="AO58" s="27">
        <f>IFERROR(VLOOKUP(DATA[[#This Row],[COMBINADA]],#REF!,6,0),0)</f>
        <v>0</v>
      </c>
      <c r="AP58" s="125">
        <f>IFERROR(VLOOKUP(DATA[[#This Row],[COMBINADA]],#REF!,9,0),0)/COUNTIFS(DATA[COMBINADA],DATA[[#This Row],[COMBINADA]])</f>
        <v>0</v>
      </c>
      <c r="AQ5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701.86399999999992</v>
      </c>
      <c r="AR58" s="26" t="str">
        <f>IFERROR(IF(DATA[[#This Row],[estado_fact]]="FACTURADO",VLOOKUP(DATA[[#This Row],[SERIE2]]&amp;"-"&amp;DATA[[#This Row],[NUMERO]],#REF!,34,0),"NO CORRESPONDE"),"NO CORRESPONDE")</f>
        <v>NO CORRESPONDE</v>
      </c>
      <c r="AS58" s="22" t="str">
        <f>IF(DATA[[#This Row],[fecha_fs]]&gt;0,TEXT(DATA[[#This Row],[fecha_fs]],"Mmmm"),0)</f>
        <v>Enero</v>
      </c>
      <c r="AT58" s="22" t="str">
        <f>DATA[[#This Row],[SERIE2]]&amp;"-"&amp;DATA[[#This Row],[NUMERO]]</f>
        <v>FE01-511</v>
      </c>
      <c r="AU58" s="28">
        <f>DATA[[#This Row],[TOTAL]]*DATA[[#This Row],[T.C.]]</f>
        <v>717.44</v>
      </c>
      <c r="AV58" s="6">
        <f>DATA[[#This Row],[FECHA DE VAL.]]</f>
        <v>45667</v>
      </c>
      <c r="AW58" s="6">
        <f>DATA[[#This Row],[FECHA DE EMISION]]</f>
        <v>45678</v>
      </c>
      <c r="AX58" s="6">
        <f>DATA[[#This Row],[F1]]</f>
        <v>0</v>
      </c>
      <c r="AY58" s="20">
        <f>IF(AV58-DATA[[#This Row],[fecha_fs]]&lt;0,0,AV58-DATA[[#This Row],[fecha_fs]])</f>
        <v>1</v>
      </c>
      <c r="AZ58" s="20">
        <f t="shared" si="1"/>
        <v>11</v>
      </c>
      <c r="BA58" s="20">
        <f t="shared" si="2"/>
        <v>0</v>
      </c>
      <c r="BB58" s="195">
        <f>IFERROR(SUM(DATA[[#This Row],[fs_val_ttf]:[fact_pago_ttf]]),0)</f>
        <v>12</v>
      </c>
      <c r="BC58" s="185">
        <v>45666</v>
      </c>
      <c r="BD58" s="185">
        <v>45666</v>
      </c>
      <c r="BE58" s="185">
        <v>45678</v>
      </c>
      <c r="BF58" s="185">
        <v>45678</v>
      </c>
      <c r="BG58" s="20">
        <f>IFERROR(IF(BC58-DATA[[#This Row],[fecha_fs]]&lt;0,0,BC58-DATA[[#This Row],[fecha_fs]]),0)</f>
        <v>0</v>
      </c>
      <c r="BH58" s="20">
        <f t="shared" si="6"/>
        <v>0</v>
      </c>
      <c r="BI58" s="20">
        <f t="shared" si="7"/>
        <v>12</v>
      </c>
      <c r="BJ58" s="20">
        <f t="shared" si="8"/>
        <v>0</v>
      </c>
      <c r="BK58" s="189">
        <f>IFERROR(SUM(DATA[[#This Row],[fs_fd_ttd]:[fend_fenf_ttd]]),0)</f>
        <v>12</v>
      </c>
      <c r="BL58" s="20" t="str">
        <f>IF(DATA[[#This Row],[fecha_fs]]&gt;0,TEXT(DATA[[#This Row],[fecha_fs]],"YYYY"),0)</f>
        <v>2025</v>
      </c>
      <c r="BM58" s="221" t="b">
        <v>1</v>
      </c>
      <c r="BN58" s="278">
        <f>COUNTIF(DATA[[#This Row],[tiempo_td]], "&lt;=15")</f>
        <v>1</v>
      </c>
      <c r="BO58" s="222"/>
    </row>
    <row r="59" spans="1:67" ht="30.6" customHeight="1" x14ac:dyDescent="0.25">
      <c r="A59" s="4">
        <v>20454186002</v>
      </c>
      <c r="B59" s="5" t="s">
        <v>25</v>
      </c>
      <c r="C59" s="52" t="s">
        <v>18</v>
      </c>
      <c r="D59" s="4" t="s">
        <v>133</v>
      </c>
      <c r="E59" s="5" t="s">
        <v>291</v>
      </c>
      <c r="F59" s="24">
        <v>45660</v>
      </c>
      <c r="G59" s="7" t="s">
        <v>113</v>
      </c>
      <c r="H59" s="25">
        <f t="shared" si="0"/>
        <v>1</v>
      </c>
      <c r="I59" s="67">
        <v>3968</v>
      </c>
      <c r="J59" s="8" t="s">
        <v>115</v>
      </c>
      <c r="K59" s="9" t="s">
        <v>134</v>
      </c>
      <c r="L59" s="10" t="s">
        <v>117</v>
      </c>
      <c r="M59" s="11">
        <v>7</v>
      </c>
      <c r="N59" s="12" t="s">
        <v>125</v>
      </c>
      <c r="O59" s="6">
        <v>45646</v>
      </c>
      <c r="P59" s="13">
        <v>3190</v>
      </c>
      <c r="Q59" s="14" t="s">
        <v>85</v>
      </c>
      <c r="R59" s="70"/>
      <c r="S59" s="15">
        <f>997+(998.3/2)</f>
        <v>1496.15</v>
      </c>
      <c r="T59" s="15">
        <f>DATA[[#This Row],[C. DF]]+DATA[[#This Row],[C.OPE.]]</f>
        <v>1496.15</v>
      </c>
      <c r="U59" s="15">
        <f>DATA[[#This Row],[SUB TOTAL]]*0.18</f>
        <v>269.30700000000002</v>
      </c>
      <c r="V59" s="15">
        <f>IFERROR(ROUND(DATA[[#This Row],[SUB TOTAL]]+DATA[[#This Row],[IGV]],2),0)</f>
        <v>1765.46</v>
      </c>
      <c r="W59" s="16" t="str">
        <f>IF(DATA[[#This Row],[VALORIZACIÓN ]]="-","NO CORRESPONDE",IF(OR(A59=20558226979,A59=10470707866,A59=20111157058,A59=20100226902),"NO CORRESPONDE",IF(J59="Emitida",IF(P59&gt;0,"EMITIDA","PENDIENTE"),"NO CORRESPONDE")))</f>
        <v>EMITIDA</v>
      </c>
      <c r="X59" s="29" t="s">
        <v>168</v>
      </c>
      <c r="Y59" s="17" t="s">
        <v>118</v>
      </c>
      <c r="Z59" s="30">
        <v>45652</v>
      </c>
      <c r="AA59" s="10" t="s">
        <v>124</v>
      </c>
      <c r="AB59" s="19">
        <v>487</v>
      </c>
      <c r="AC59" s="20">
        <v>7</v>
      </c>
      <c r="AD59" s="18">
        <f>DATA[[#This Row],[FECHA DE EMISION]]+DATA[[#This Row],[CONDICION DE PAGO]]</f>
        <v>45659</v>
      </c>
      <c r="AE59" s="23">
        <f>IF(DATA[[#This Row],[MONEDA]]="USD",VLOOKUP(DATA[[#This Row],[COMBINADA]],#REF!,11,0),1)</f>
        <v>1</v>
      </c>
      <c r="AF59" s="39" t="str">
        <f>IF(DATA[[#This Row],[SERIE2]]="-","NO CORRESPONDE",IF(W59="NO CORRESPONDE","NO CORRESPONDE",IF(Z59&gt;0,"FACTURADO","PENDIENTE")))</f>
        <v>FACTURADO</v>
      </c>
      <c r="AG59" s="27">
        <f>IFERROR(VLOOKUP(DATA[[#This Row],[COMBINADA]],#REF!,6,0),0)</f>
        <v>0</v>
      </c>
      <c r="AH59" s="125">
        <f>IFERROR(VLOOKUP(DATA[[#This Row],[COMBINADA]],#REF!,9,0),0)/COUNTIFS(DATA[COMBINADA],DATA[[#This Row],[COMBINADA]])</f>
        <v>0</v>
      </c>
      <c r="AI59" s="27">
        <f>IFERROR(VLOOKUP(DATA[[#This Row],[COMBINADA]],#REF!,6,0),0)</f>
        <v>0</v>
      </c>
      <c r="AJ59" s="125">
        <f>IFERROR(VLOOKUP(DATA[[#This Row],[COMBINADA]],#REF!,9,0),0)/COUNTIFS(DATA[COMBINADA],DATA[[#This Row],[COMBINADA]])</f>
        <v>0</v>
      </c>
      <c r="AK59" s="27">
        <f>IFERROR(VLOOKUP(DATA[[#This Row],[COMBINADA]],#REF!,6,0),0)</f>
        <v>0</v>
      </c>
      <c r="AL59" s="125">
        <f>IFERROR(VLOOKUP(DATA[[#This Row],[COMBINADA]],#REF!,9,0),0)/COUNTIFS(DATA[COMBINADA],DATA[[#This Row],[COMBINADA]])</f>
        <v>0</v>
      </c>
      <c r="AM59" s="27">
        <f>IFERROR(VLOOKUP(DATA[[#This Row],[COMBINADA]],#REF!,6,0),0)</f>
        <v>0</v>
      </c>
      <c r="AN59" s="125">
        <f>IFERROR(VLOOKUP(DATA[[#This Row],[COMBINADA]],#REF!,9,0),0)/COUNTIFS(DATA[COMBINADA],DATA[[#This Row],[COMBINADA]])</f>
        <v>0</v>
      </c>
      <c r="AO59" s="27">
        <f>IFERROR(VLOOKUP(DATA[[#This Row],[COMBINADA]],#REF!,6,0),0)</f>
        <v>0</v>
      </c>
      <c r="AP59" s="125">
        <f>IFERROR(VLOOKUP(DATA[[#This Row],[COMBINADA]],#REF!,9,0),0)/COUNTIFS(DATA[COMBINADA],DATA[[#This Row],[COMBINADA]])</f>
        <v>0</v>
      </c>
      <c r="AQ5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1765.46</v>
      </c>
      <c r="AR59" s="26" t="str">
        <f>IFERROR(IF(DATA[[#This Row],[estado_fact]]="FACTURADO",VLOOKUP(DATA[[#This Row],[SERIE2]]&amp;"-"&amp;DATA[[#This Row],[NUMERO]],#REF!,34,0),"NO CORRESPONDE"),"NO CORRESPONDE")</f>
        <v>NO CORRESPONDE</v>
      </c>
      <c r="AS59" s="22" t="str">
        <f>IF(DATA[[#This Row],[fecha_fs]]&gt;0,TEXT(DATA[[#This Row],[fecha_fs]],"Mmmm"),0)</f>
        <v>Enero</v>
      </c>
      <c r="AT59" s="22" t="str">
        <f>DATA[[#This Row],[SERIE2]]&amp;"-"&amp;DATA[[#This Row],[NUMERO]]</f>
        <v>FE01-487</v>
      </c>
      <c r="AU59" s="28">
        <f>DATA[[#This Row],[TOTAL]]*DATA[[#This Row],[T.C.]]</f>
        <v>1765.46</v>
      </c>
      <c r="AV59" s="6">
        <f>DATA[[#This Row],[FECHA DE VAL.]]</f>
        <v>45646</v>
      </c>
      <c r="AW59" s="6">
        <f>DATA[[#This Row],[FECHA DE EMISION]]</f>
        <v>45652</v>
      </c>
      <c r="AX59" s="6">
        <f>DATA[[#This Row],[F1]]</f>
        <v>0</v>
      </c>
      <c r="AY59" s="20">
        <f>IF(AV59-DATA[[#This Row],[fecha_fs]]&lt;0,0,AV59-DATA[[#This Row],[fecha_fs]])</f>
        <v>0</v>
      </c>
      <c r="AZ59" s="20">
        <f t="shared" si="1"/>
        <v>6</v>
      </c>
      <c r="BA59" s="20">
        <f t="shared" si="2"/>
        <v>0</v>
      </c>
      <c r="BB59" s="195">
        <f>IFERROR(SUM(DATA[[#This Row],[fs_val_ttf]:[fact_pago_ttf]]),0)</f>
        <v>6</v>
      </c>
      <c r="BC59" s="187">
        <v>45663</v>
      </c>
      <c r="BD59" s="187">
        <v>45666</v>
      </c>
      <c r="BE59" s="187">
        <v>45700</v>
      </c>
      <c r="BF59" s="187">
        <v>45714</v>
      </c>
      <c r="BG59" s="20">
        <f>IFERROR(IF(BC59-DATA[[#This Row],[fecha_fs]]&lt;0,0,BC59-DATA[[#This Row],[fecha_fs]]),0)</f>
        <v>3</v>
      </c>
      <c r="BH59" s="20">
        <f t="shared" si="6"/>
        <v>3</v>
      </c>
      <c r="BI59" s="20">
        <f t="shared" si="7"/>
        <v>34</v>
      </c>
      <c r="BJ59" s="20">
        <f t="shared" si="8"/>
        <v>14</v>
      </c>
      <c r="BK59" s="189">
        <f>IFERROR(SUM(DATA[[#This Row],[fs_fd_ttd]:[fend_fenf_ttd]]),0)</f>
        <v>54</v>
      </c>
      <c r="BL59" s="20" t="str">
        <f>IF(DATA[[#This Row],[fecha_fs]]&gt;0,TEXT(DATA[[#This Row],[fecha_fs]],"YYYY"),0)</f>
        <v>2025</v>
      </c>
      <c r="BM59" s="221" t="b">
        <v>0</v>
      </c>
      <c r="BN59" s="278">
        <f>COUNTIF(DATA[[#This Row],[tiempo_td]], "&lt;=15")</f>
        <v>0</v>
      </c>
      <c r="BO59" s="222"/>
    </row>
    <row r="60" spans="1:67" ht="30.6" customHeight="1" x14ac:dyDescent="0.25">
      <c r="A60" s="4">
        <v>20100192064</v>
      </c>
      <c r="B60" s="5" t="s">
        <v>60</v>
      </c>
      <c r="C60" s="52" t="s">
        <v>65</v>
      </c>
      <c r="D60" s="4" t="s">
        <v>120</v>
      </c>
      <c r="E60" s="5" t="s">
        <v>3</v>
      </c>
      <c r="F60" s="24">
        <v>45666</v>
      </c>
      <c r="G60" s="7" t="s">
        <v>142</v>
      </c>
      <c r="H60" s="25">
        <f t="shared" si="0"/>
        <v>2</v>
      </c>
      <c r="I60" s="67">
        <v>1030</v>
      </c>
      <c r="J60" s="8" t="s">
        <v>115</v>
      </c>
      <c r="K60" s="9" t="s">
        <v>121</v>
      </c>
      <c r="L60" s="10" t="s">
        <v>117</v>
      </c>
      <c r="M60" s="11">
        <v>380</v>
      </c>
      <c r="N60" s="12" t="s">
        <v>143</v>
      </c>
      <c r="O60" s="6">
        <v>45684</v>
      </c>
      <c r="P60" s="57">
        <v>3250</v>
      </c>
      <c r="Q60" s="14" t="s">
        <v>123</v>
      </c>
      <c r="R60" s="15">
        <f>(DATA[[#This Row],[cantidad_fs]]/1000)*(37+81.01)</f>
        <v>44.843800000000002</v>
      </c>
      <c r="S60" s="15">
        <v>103.6</v>
      </c>
      <c r="T60" s="15">
        <f>DATA[[#This Row],[C. DF]]+DATA[[#This Row],[C.OPE.]]</f>
        <v>148.44380000000001</v>
      </c>
      <c r="U60" s="15">
        <f>DATA[[#This Row],[SUB TOTAL]]*0.18</f>
        <v>26.719884</v>
      </c>
      <c r="V60" s="15">
        <f>IFERROR(ROUND(DATA[[#This Row],[SUB TOTAL]]+DATA[[#This Row],[IGV]],2),0)</f>
        <v>175.16</v>
      </c>
      <c r="W60" s="16" t="str">
        <f>IF(DATA[[#This Row],[VALORIZACIÓN ]]="-","NO CORRESPONDE",IF(OR(A60=20558226979,A60=10470707866,A60=20111157058,A60=20100226902),"NO CORRESPONDE",IF(J60="Emitida",IF(P60&gt;0,"EMITIDA","PENDIENTE"),"NO CORRESPONDE")))</f>
        <v>EMITIDA</v>
      </c>
      <c r="X60" s="29" t="s">
        <v>144</v>
      </c>
      <c r="Y60" s="17" t="s">
        <v>118</v>
      </c>
      <c r="Z60" s="30">
        <v>45686</v>
      </c>
      <c r="AA60" s="10" t="s">
        <v>124</v>
      </c>
      <c r="AB60" s="19">
        <v>531</v>
      </c>
      <c r="AC60" s="20">
        <v>30</v>
      </c>
      <c r="AD60" s="18">
        <f>DATA[[#This Row],[FECHA DE EMISION]]+DATA[[#This Row],[CONDICION DE PAGO]]</f>
        <v>45716</v>
      </c>
      <c r="AE60" s="23" t="e">
        <f>IF(DATA[[#This Row],[MONEDA]]="USD",VLOOKUP(DATA[[#This Row],[COMBINADA]],#REF!,11,0),1)</f>
        <v>#REF!</v>
      </c>
      <c r="AF60" s="39" t="str">
        <f>IF(DATA[[#This Row],[SERIE2]]="-","NO CORRESPONDE",IF(W60="NO CORRESPONDE","NO CORRESPONDE",IF(Z60&gt;0,"FACTURADO","PENDIENTE")))</f>
        <v>FACTURADO</v>
      </c>
      <c r="AG60" s="27">
        <f>IFERROR(VLOOKUP(DATA[[#This Row],[COMBINADA]],#REF!,6,0),0)</f>
        <v>0</v>
      </c>
      <c r="AH60" s="125">
        <f>IFERROR(VLOOKUP(DATA[[#This Row],[COMBINADA]],#REF!,9,0),0)/COUNTIFS(DATA[COMBINADA],DATA[[#This Row],[COMBINADA]])</f>
        <v>0</v>
      </c>
      <c r="AI60" s="27">
        <f>IFERROR(VLOOKUP(DATA[[#This Row],[COMBINADA]],#REF!,6,0),0)</f>
        <v>0</v>
      </c>
      <c r="AJ60" s="125">
        <f>IFERROR(VLOOKUP(DATA[[#This Row],[COMBINADA]],#REF!,9,0),0)/COUNTIFS(DATA[COMBINADA],DATA[[#This Row],[COMBINADA]])</f>
        <v>0</v>
      </c>
      <c r="AK60" s="27">
        <f>IFERROR(VLOOKUP(DATA[[#This Row],[COMBINADA]],#REF!,6,0),0)</f>
        <v>0</v>
      </c>
      <c r="AL60" s="125">
        <f>IFERROR(VLOOKUP(DATA[[#This Row],[COMBINADA]],#REF!,9,0),0)/COUNTIFS(DATA[COMBINADA],DATA[[#This Row],[COMBINADA]])</f>
        <v>0</v>
      </c>
      <c r="AM60" s="27">
        <f>IFERROR(VLOOKUP(DATA[[#This Row],[COMBINADA]],#REF!,6,0),0)</f>
        <v>0</v>
      </c>
      <c r="AN60" s="125">
        <f>IFERROR(VLOOKUP(DATA[[#This Row],[COMBINADA]],#REF!,9,0),0)/COUNTIFS(DATA[COMBINADA],DATA[[#This Row],[COMBINADA]])</f>
        <v>0</v>
      </c>
      <c r="AO60" s="27">
        <f>IFERROR(VLOOKUP(DATA[[#This Row],[COMBINADA]],#REF!,6,0),0)</f>
        <v>0</v>
      </c>
      <c r="AP60" s="125">
        <f>IFERROR(VLOOKUP(DATA[[#This Row],[COMBINADA]],#REF!,9,0),0)/COUNTIFS(DATA[COMBINADA],DATA[[#This Row],[COMBINADA]])</f>
        <v>0</v>
      </c>
      <c r="AQ6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256.16428571428571</v>
      </c>
      <c r="AR60" s="26" t="str">
        <f>IFERROR(IF(DATA[[#This Row],[estado_fact]]="FACTURADO",VLOOKUP(DATA[[#This Row],[SERIE2]]&amp;"-"&amp;DATA[[#This Row],[NUMERO]],#REF!,34,0),"NO CORRESPONDE"),"NO CORRESPONDE")</f>
        <v>NO CORRESPONDE</v>
      </c>
      <c r="AS60" s="22" t="str">
        <f>IF(DATA[[#This Row],[fecha_fs]]&gt;0,TEXT(DATA[[#This Row],[fecha_fs]],"Mmmm"),0)</f>
        <v>Enero</v>
      </c>
      <c r="AT60" s="22" t="str">
        <f>DATA[[#This Row],[SERIE2]]&amp;"-"&amp;DATA[[#This Row],[NUMERO]]</f>
        <v>FE01-531</v>
      </c>
      <c r="AU60" s="28" t="e">
        <f>DATA[[#This Row],[TOTAL]]*DATA[[#This Row],[T.C.]]</f>
        <v>#REF!</v>
      </c>
      <c r="AV60" s="6">
        <f>DATA[[#This Row],[FECHA DE VAL.]]</f>
        <v>45684</v>
      </c>
      <c r="AW60" s="6">
        <f>DATA[[#This Row],[FECHA DE EMISION]]</f>
        <v>45686</v>
      </c>
      <c r="AX60" s="6">
        <f>DATA[[#This Row],[F1]]</f>
        <v>0</v>
      </c>
      <c r="AY60" s="20">
        <f>IF(AV60-DATA[[#This Row],[fecha_fs]]&lt;0,0,AV60-DATA[[#This Row],[fecha_fs]])</f>
        <v>18</v>
      </c>
      <c r="AZ60" s="20">
        <f t="shared" si="1"/>
        <v>2</v>
      </c>
      <c r="BA60" s="20">
        <f t="shared" si="2"/>
        <v>0</v>
      </c>
      <c r="BB60" s="195">
        <f>IFERROR(SUM(DATA[[#This Row],[fs_val_ttf]:[fact_pago_ttf]]),0)</f>
        <v>20</v>
      </c>
      <c r="BC60" s="185">
        <v>45671</v>
      </c>
      <c r="BD60" s="185">
        <v>45679</v>
      </c>
      <c r="BE60" s="185">
        <v>45698</v>
      </c>
      <c r="BF60" s="185">
        <v>45758</v>
      </c>
      <c r="BG60" s="20">
        <f>IFERROR(IF(BC60-DATA[[#This Row],[fecha_fs]]&lt;0,0,BC60-DATA[[#This Row],[fecha_fs]]),0)</f>
        <v>5</v>
      </c>
      <c r="BH60" s="20">
        <f t="shared" si="6"/>
        <v>8</v>
      </c>
      <c r="BI60" s="20">
        <f t="shared" si="7"/>
        <v>19</v>
      </c>
      <c r="BJ60" s="20">
        <f t="shared" si="8"/>
        <v>60</v>
      </c>
      <c r="BK60" s="189">
        <f>IFERROR(SUM(DATA[[#This Row],[fs_fd_ttd]:[fend_fenf_ttd]]),0)</f>
        <v>92</v>
      </c>
      <c r="BL60" s="20" t="str">
        <f>IF(DATA[[#This Row],[fecha_fs]]&gt;0,TEXT(DATA[[#This Row],[fecha_fs]],"YYYY"),0)</f>
        <v>2025</v>
      </c>
      <c r="BM60" s="221" t="b">
        <v>1</v>
      </c>
      <c r="BN60" s="278">
        <f>COUNTIF(DATA[[#This Row],[tiempo_td]], "&lt;=15")</f>
        <v>0</v>
      </c>
      <c r="BO60" s="222"/>
    </row>
    <row r="61" spans="1:67" ht="30.6" customHeight="1" x14ac:dyDescent="0.25">
      <c r="A61" s="4">
        <v>20100192064</v>
      </c>
      <c r="B61" s="5" t="s">
        <v>60</v>
      </c>
      <c r="C61" s="52" t="s">
        <v>66</v>
      </c>
      <c r="D61" s="4" t="s">
        <v>120</v>
      </c>
      <c r="E61" s="5" t="s">
        <v>3</v>
      </c>
      <c r="F61" s="24">
        <v>45667</v>
      </c>
      <c r="G61" s="7" t="s">
        <v>142</v>
      </c>
      <c r="H61" s="25">
        <f t="shared" ref="H61:H124" si="9">IF(G61="","",IF(G61="LIM",2,1))</f>
        <v>2</v>
      </c>
      <c r="I61" s="67">
        <v>1031</v>
      </c>
      <c r="J61" s="8" t="s">
        <v>115</v>
      </c>
      <c r="K61" s="9" t="s">
        <v>121</v>
      </c>
      <c r="L61" s="10" t="s">
        <v>117</v>
      </c>
      <c r="M61" s="11">
        <v>340</v>
      </c>
      <c r="N61" s="12" t="s">
        <v>143</v>
      </c>
      <c r="O61" s="6">
        <v>45684</v>
      </c>
      <c r="P61" s="71">
        <v>3254</v>
      </c>
      <c r="Q61" s="14" t="s">
        <v>123</v>
      </c>
      <c r="R61" s="15">
        <f>(DATA[[#This Row],[cantidad_fs]]/1000)*37</f>
        <v>12.58</v>
      </c>
      <c r="S61" s="15">
        <f>227/2</f>
        <v>113.5</v>
      </c>
      <c r="T61" s="15">
        <f>DATA[[#This Row],[C. DF]]+DATA[[#This Row],[C.OPE.]]</f>
        <v>126.08</v>
      </c>
      <c r="U61" s="15">
        <f>DATA[[#This Row],[SUB TOTAL]]*0.18</f>
        <v>22.694399999999998</v>
      </c>
      <c r="V61" s="15">
        <f>IFERROR(ROUND(DATA[[#This Row],[SUB TOTAL]]+DATA[[#This Row],[IGV]],2),0)</f>
        <v>148.77000000000001</v>
      </c>
      <c r="W61" s="16" t="str">
        <f>IF(DATA[[#This Row],[VALORIZACIÓN ]]="-","NO CORRESPONDE",IF(OR(A61=20558226979,A61=10470707866,A61=20111157058,A61=20100226902),"NO CORRESPONDE",IF(J61="Emitida",IF(P61&gt;0,"EMITIDA","PENDIENTE"),"NO CORRESPONDE")))</f>
        <v>EMITIDA</v>
      </c>
      <c r="X61" s="29" t="s">
        <v>144</v>
      </c>
      <c r="Y61" s="17" t="s">
        <v>118</v>
      </c>
      <c r="Z61" s="30">
        <v>45686</v>
      </c>
      <c r="AA61" s="10" t="s">
        <v>124</v>
      </c>
      <c r="AB61" s="19">
        <v>531</v>
      </c>
      <c r="AC61" s="20">
        <v>30</v>
      </c>
      <c r="AD61" s="18">
        <f>DATA[[#This Row],[FECHA DE EMISION]]+DATA[[#This Row],[CONDICION DE PAGO]]</f>
        <v>45716</v>
      </c>
      <c r="AE61" s="23" t="e">
        <f>IF(DATA[[#This Row],[MONEDA]]="USD",VLOOKUP(DATA[[#This Row],[COMBINADA]],#REF!,11,0),1)</f>
        <v>#REF!</v>
      </c>
      <c r="AF61" s="39" t="str">
        <f>IF(DATA[[#This Row],[SERIE2]]="-","NO CORRESPONDE",IF(W61="NO CORRESPONDE","NO CORRESPONDE",IF(Z61&gt;0,"FACTURADO","PENDIENTE")))</f>
        <v>FACTURADO</v>
      </c>
      <c r="AG61" s="27">
        <f>IFERROR(VLOOKUP(DATA[[#This Row],[COMBINADA]],#REF!,6,0),0)</f>
        <v>0</v>
      </c>
      <c r="AH61" s="125">
        <f>IFERROR(VLOOKUP(DATA[[#This Row],[COMBINADA]],#REF!,9,0),0)/COUNTIFS(DATA[COMBINADA],DATA[[#This Row],[COMBINADA]])</f>
        <v>0</v>
      </c>
      <c r="AI61" s="27">
        <f>IFERROR(VLOOKUP(DATA[[#This Row],[COMBINADA]],#REF!,6,0),0)</f>
        <v>0</v>
      </c>
      <c r="AJ61" s="125">
        <f>IFERROR(VLOOKUP(DATA[[#This Row],[COMBINADA]],#REF!,9,0),0)/COUNTIFS(DATA[COMBINADA],DATA[[#This Row],[COMBINADA]])</f>
        <v>0</v>
      </c>
      <c r="AK61" s="27">
        <f>IFERROR(VLOOKUP(DATA[[#This Row],[COMBINADA]],#REF!,6,0),0)</f>
        <v>0</v>
      </c>
      <c r="AL61" s="125">
        <f>IFERROR(VLOOKUP(DATA[[#This Row],[COMBINADA]],#REF!,9,0),0)/COUNTIFS(DATA[COMBINADA],DATA[[#This Row],[COMBINADA]])</f>
        <v>0</v>
      </c>
      <c r="AM61" s="27">
        <f>IFERROR(VLOOKUP(DATA[[#This Row],[COMBINADA]],#REF!,6,0),0)</f>
        <v>0</v>
      </c>
      <c r="AN61" s="125">
        <f>IFERROR(VLOOKUP(DATA[[#This Row],[COMBINADA]],#REF!,9,0),0)/COUNTIFS(DATA[COMBINADA],DATA[[#This Row],[COMBINADA]])</f>
        <v>0</v>
      </c>
      <c r="AO61" s="27">
        <f>IFERROR(VLOOKUP(DATA[[#This Row],[COMBINADA]],#REF!,6,0),0)</f>
        <v>0</v>
      </c>
      <c r="AP61" s="125">
        <f>IFERROR(VLOOKUP(DATA[[#This Row],[COMBINADA]],#REF!,9,0),0)/COUNTIFS(DATA[COMBINADA],DATA[[#This Row],[COMBINADA]])</f>
        <v>0</v>
      </c>
      <c r="AQ6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256.16428571428571</v>
      </c>
      <c r="AR61" s="26" t="str">
        <f>IFERROR(IF(DATA[[#This Row],[estado_fact]]="FACTURADO",VLOOKUP(DATA[[#This Row],[SERIE2]]&amp;"-"&amp;DATA[[#This Row],[NUMERO]],#REF!,34,0),"NO CORRESPONDE"),"NO CORRESPONDE")</f>
        <v>NO CORRESPONDE</v>
      </c>
      <c r="AS61" s="22" t="str">
        <f>IF(DATA[[#This Row],[fecha_fs]]&gt;0,TEXT(DATA[[#This Row],[fecha_fs]],"Mmmm"),0)</f>
        <v>Enero</v>
      </c>
      <c r="AT61" s="22" t="str">
        <f>DATA[[#This Row],[SERIE2]]&amp;"-"&amp;DATA[[#This Row],[NUMERO]]</f>
        <v>FE01-531</v>
      </c>
      <c r="AU61" s="28" t="e">
        <f>DATA[[#This Row],[TOTAL]]*DATA[[#This Row],[T.C.]]</f>
        <v>#REF!</v>
      </c>
      <c r="AV61" s="6">
        <f>DATA[[#This Row],[FECHA DE VAL.]]</f>
        <v>45684</v>
      </c>
      <c r="AW61" s="6">
        <f>DATA[[#This Row],[FECHA DE EMISION]]</f>
        <v>45686</v>
      </c>
      <c r="AX61" s="6">
        <f>DATA[[#This Row],[F1]]</f>
        <v>0</v>
      </c>
      <c r="AY61" s="20">
        <f>IF(AV61-DATA[[#This Row],[fecha_fs]]&lt;0,0,AV61-DATA[[#This Row],[fecha_fs]])</f>
        <v>17</v>
      </c>
      <c r="AZ61" s="20">
        <f t="shared" si="1"/>
        <v>2</v>
      </c>
      <c r="BA61" s="20">
        <f t="shared" si="2"/>
        <v>0</v>
      </c>
      <c r="BB61" s="195">
        <f>IFERROR(SUM(DATA[[#This Row],[fs_val_ttf]:[fact_pago_ttf]]),0)</f>
        <v>19</v>
      </c>
      <c r="BC61" s="185">
        <v>45673</v>
      </c>
      <c r="BD61" s="185">
        <v>45679</v>
      </c>
      <c r="BE61" s="185">
        <v>45698</v>
      </c>
      <c r="BF61" s="185">
        <v>45758</v>
      </c>
      <c r="BG61" s="20">
        <f>IFERROR(IF(BC61-DATA[[#This Row],[fecha_fs]]&lt;0,0,BC61-DATA[[#This Row],[fecha_fs]]),0)</f>
        <v>6</v>
      </c>
      <c r="BH61" s="20">
        <f t="shared" si="6"/>
        <v>6</v>
      </c>
      <c r="BI61" s="20">
        <f t="shared" si="7"/>
        <v>19</v>
      </c>
      <c r="BJ61" s="20">
        <f t="shared" si="8"/>
        <v>60</v>
      </c>
      <c r="BK61" s="189">
        <f>IFERROR(SUM(DATA[[#This Row],[fs_fd_ttd]:[fend_fenf_ttd]]),0)</f>
        <v>91</v>
      </c>
      <c r="BL61" s="20" t="str">
        <f>IF(DATA[[#This Row],[fecha_fs]]&gt;0,TEXT(DATA[[#This Row],[fecha_fs]],"YYYY"),0)</f>
        <v>2025</v>
      </c>
      <c r="BM61" s="221" t="b">
        <v>1</v>
      </c>
      <c r="BN61" s="278">
        <f>COUNTIF(DATA[[#This Row],[tiempo_td]], "&lt;=15")</f>
        <v>0</v>
      </c>
      <c r="BO61" s="222"/>
    </row>
    <row r="62" spans="1:67" ht="30.6" customHeight="1" x14ac:dyDescent="0.25">
      <c r="A62" s="4">
        <v>20100192064</v>
      </c>
      <c r="B62" s="5" t="s">
        <v>60</v>
      </c>
      <c r="C62" s="52" t="s">
        <v>66</v>
      </c>
      <c r="D62" s="4" t="s">
        <v>120</v>
      </c>
      <c r="E62" s="5" t="s">
        <v>3</v>
      </c>
      <c r="F62" s="24">
        <v>45667</v>
      </c>
      <c r="G62" s="7" t="s">
        <v>142</v>
      </c>
      <c r="H62" s="25">
        <f t="shared" si="9"/>
        <v>2</v>
      </c>
      <c r="I62" s="67">
        <v>1032</v>
      </c>
      <c r="J62" s="8" t="s">
        <v>115</v>
      </c>
      <c r="K62" s="9" t="s">
        <v>169</v>
      </c>
      <c r="L62" s="10" t="s">
        <v>117</v>
      </c>
      <c r="M62" s="11">
        <v>530</v>
      </c>
      <c r="N62" s="12" t="s">
        <v>143</v>
      </c>
      <c r="O62" s="6">
        <v>45684</v>
      </c>
      <c r="P62" s="71">
        <v>3254</v>
      </c>
      <c r="Q62" s="14" t="s">
        <v>123</v>
      </c>
      <c r="R62" s="15">
        <v>0</v>
      </c>
      <c r="S62" s="15">
        <f>227/2</f>
        <v>113.5</v>
      </c>
      <c r="T62" s="15">
        <f>DATA[[#This Row],[C. DF]]+DATA[[#This Row],[C.OPE.]]</f>
        <v>113.5</v>
      </c>
      <c r="U62" s="15">
        <f>DATA[[#This Row],[SUB TOTAL]]*0.18</f>
        <v>20.43</v>
      </c>
      <c r="V62" s="15">
        <f>IFERROR(ROUND(DATA[[#This Row],[SUB TOTAL]]+DATA[[#This Row],[IGV]],2),0)</f>
        <v>133.93</v>
      </c>
      <c r="W62" s="16" t="str">
        <f>IF(DATA[[#This Row],[VALORIZACIÓN ]]="-","NO CORRESPONDE",IF(OR(A62=20558226979,A62=10470707866,A62=20111157058,A62=20100226902),"NO CORRESPONDE",IF(J62="Emitida",IF(P62&gt;0,"EMITIDA","PENDIENTE"),"NO CORRESPONDE")))</f>
        <v>EMITIDA</v>
      </c>
      <c r="X62" s="29" t="s">
        <v>144</v>
      </c>
      <c r="Y62" s="17" t="s">
        <v>118</v>
      </c>
      <c r="Z62" s="30">
        <v>45686</v>
      </c>
      <c r="AA62" s="10" t="s">
        <v>124</v>
      </c>
      <c r="AB62" s="19">
        <v>531</v>
      </c>
      <c r="AC62" s="20">
        <v>30</v>
      </c>
      <c r="AD62" s="18">
        <f>DATA[[#This Row],[FECHA DE EMISION]]+DATA[[#This Row],[CONDICION DE PAGO]]</f>
        <v>45716</v>
      </c>
      <c r="AE62" s="23" t="e">
        <f>IF(DATA[[#This Row],[MONEDA]]="USD",VLOOKUP(DATA[[#This Row],[COMBINADA]],#REF!,11,0),1)</f>
        <v>#REF!</v>
      </c>
      <c r="AF62" s="39" t="str">
        <f>IF(DATA[[#This Row],[SERIE2]]="-","NO CORRESPONDE",IF(W62="NO CORRESPONDE","NO CORRESPONDE",IF(Z62&gt;0,"FACTURADO","PENDIENTE")))</f>
        <v>FACTURADO</v>
      </c>
      <c r="AG62" s="27">
        <f>IFERROR(VLOOKUP(DATA[[#This Row],[COMBINADA]],#REF!,6,0),0)</f>
        <v>0</v>
      </c>
      <c r="AH62" s="125">
        <f>IFERROR(VLOOKUP(DATA[[#This Row],[COMBINADA]],#REF!,9,0),0)/COUNTIFS(DATA[COMBINADA],DATA[[#This Row],[COMBINADA]])</f>
        <v>0</v>
      </c>
      <c r="AI62" s="27">
        <f>IFERROR(VLOOKUP(DATA[[#This Row],[COMBINADA]],#REF!,6,0),0)</f>
        <v>0</v>
      </c>
      <c r="AJ62" s="125">
        <f>IFERROR(VLOOKUP(DATA[[#This Row],[COMBINADA]],#REF!,9,0),0)/COUNTIFS(DATA[COMBINADA],DATA[[#This Row],[COMBINADA]])</f>
        <v>0</v>
      </c>
      <c r="AK62" s="27">
        <f>IFERROR(VLOOKUP(DATA[[#This Row],[COMBINADA]],#REF!,6,0),0)</f>
        <v>0</v>
      </c>
      <c r="AL62" s="125">
        <f>IFERROR(VLOOKUP(DATA[[#This Row],[COMBINADA]],#REF!,9,0),0)/COUNTIFS(DATA[COMBINADA],DATA[[#This Row],[COMBINADA]])</f>
        <v>0</v>
      </c>
      <c r="AM62" s="27">
        <f>IFERROR(VLOOKUP(DATA[[#This Row],[COMBINADA]],#REF!,6,0),0)</f>
        <v>0</v>
      </c>
      <c r="AN62" s="125">
        <f>IFERROR(VLOOKUP(DATA[[#This Row],[COMBINADA]],#REF!,9,0),0)/COUNTIFS(DATA[COMBINADA],DATA[[#This Row],[COMBINADA]])</f>
        <v>0</v>
      </c>
      <c r="AO62" s="27">
        <f>IFERROR(VLOOKUP(DATA[[#This Row],[COMBINADA]],#REF!,6,0),0)</f>
        <v>0</v>
      </c>
      <c r="AP62" s="125">
        <f>IFERROR(VLOOKUP(DATA[[#This Row],[COMBINADA]],#REF!,9,0),0)/COUNTIFS(DATA[COMBINADA],DATA[[#This Row],[COMBINADA]])</f>
        <v>0</v>
      </c>
      <c r="AQ6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256.16428571428571</v>
      </c>
      <c r="AR62" s="26" t="str">
        <f>IFERROR(IF(DATA[[#This Row],[estado_fact]]="FACTURADO",VLOOKUP(DATA[[#This Row],[SERIE2]]&amp;"-"&amp;DATA[[#This Row],[NUMERO]],#REF!,34,0),"NO CORRESPONDE"),"NO CORRESPONDE")</f>
        <v>NO CORRESPONDE</v>
      </c>
      <c r="AS62" s="22" t="str">
        <f>IF(DATA[[#This Row],[fecha_fs]]&gt;0,TEXT(DATA[[#This Row],[fecha_fs]],"Mmmm"),0)</f>
        <v>Enero</v>
      </c>
      <c r="AT62" s="22" t="str">
        <f>DATA[[#This Row],[SERIE2]]&amp;"-"&amp;DATA[[#This Row],[NUMERO]]</f>
        <v>FE01-531</v>
      </c>
      <c r="AU62" s="28" t="e">
        <f>DATA[[#This Row],[TOTAL]]*DATA[[#This Row],[T.C.]]</f>
        <v>#REF!</v>
      </c>
      <c r="AV62" s="6">
        <f>DATA[[#This Row],[FECHA DE VAL.]]</f>
        <v>45684</v>
      </c>
      <c r="AW62" s="6">
        <f>DATA[[#This Row],[FECHA DE EMISION]]</f>
        <v>45686</v>
      </c>
      <c r="AX62" s="6">
        <f>DATA[[#This Row],[F1]]</f>
        <v>0</v>
      </c>
      <c r="AY62" s="20">
        <f>IF(AV62-DATA[[#This Row],[fecha_fs]]&lt;0,0,AV62-DATA[[#This Row],[fecha_fs]])</f>
        <v>17</v>
      </c>
      <c r="AZ62" s="20">
        <f t="shared" ref="AZ62:AZ125" si="10">IF(AW62-AV62&lt;0,0,AW62-AV62)</f>
        <v>2</v>
      </c>
      <c r="BA62" s="20">
        <f t="shared" ref="BA62:BA125" si="11">IF(AX62-AW62&lt;0,0,AX62-AW62)</f>
        <v>0</v>
      </c>
      <c r="BB62" s="195">
        <f>IFERROR(SUM(DATA[[#This Row],[fs_val_ttf]:[fact_pago_ttf]]),0)</f>
        <v>19</v>
      </c>
      <c r="BC62" s="185">
        <v>45667</v>
      </c>
      <c r="BD62" s="185">
        <v>45679</v>
      </c>
      <c r="BE62" s="185">
        <v>45707</v>
      </c>
      <c r="BF62" s="185">
        <v>45707</v>
      </c>
      <c r="BG62" s="20">
        <f>IFERROR(IF(BC62-DATA[[#This Row],[fecha_fs]]&lt;0,0,BC62-DATA[[#This Row],[fecha_fs]]),0)</f>
        <v>0</v>
      </c>
      <c r="BH62" s="20">
        <f t="shared" si="6"/>
        <v>12</v>
      </c>
      <c r="BI62" s="20">
        <f t="shared" si="7"/>
        <v>28</v>
      </c>
      <c r="BJ62" s="20">
        <f t="shared" si="8"/>
        <v>0</v>
      </c>
      <c r="BK62" s="189">
        <f>IFERROR(SUM(DATA[[#This Row],[fs_fd_ttd]:[fend_fenf_ttd]]),0)</f>
        <v>40</v>
      </c>
      <c r="BL62" s="20" t="str">
        <f>IF(DATA[[#This Row],[fecha_fs]]&gt;0,TEXT(DATA[[#This Row],[fecha_fs]],"YYYY"),0)</f>
        <v>2025</v>
      </c>
      <c r="BM62" s="221" t="b">
        <v>1</v>
      </c>
      <c r="BN62" s="278">
        <f>COUNTIF(DATA[[#This Row],[tiempo_td]], "&lt;=15")</f>
        <v>0</v>
      </c>
      <c r="BO62" s="222"/>
    </row>
    <row r="63" spans="1:67" ht="30.6" customHeight="1" x14ac:dyDescent="0.25">
      <c r="A63" s="4">
        <v>20100211115</v>
      </c>
      <c r="B63" s="5" t="s">
        <v>41</v>
      </c>
      <c r="C63" s="52" t="s">
        <v>18</v>
      </c>
      <c r="D63" s="4" t="s">
        <v>120</v>
      </c>
      <c r="E63" s="5" t="s">
        <v>3</v>
      </c>
      <c r="F63" s="24">
        <v>45667</v>
      </c>
      <c r="G63" s="7" t="s">
        <v>113</v>
      </c>
      <c r="H63" s="25">
        <f t="shared" si="9"/>
        <v>1</v>
      </c>
      <c r="I63" s="67">
        <v>3969</v>
      </c>
      <c r="J63" s="8" t="s">
        <v>115</v>
      </c>
      <c r="K63" s="9" t="s">
        <v>121</v>
      </c>
      <c r="L63" s="10" t="s">
        <v>117</v>
      </c>
      <c r="M63" s="11">
        <v>90</v>
      </c>
      <c r="N63" s="12" t="s">
        <v>167</v>
      </c>
      <c r="O63" s="6">
        <v>45684</v>
      </c>
      <c r="P63" s="115">
        <v>3267</v>
      </c>
      <c r="Q63" s="14" t="s">
        <v>85</v>
      </c>
      <c r="R63" s="15"/>
      <c r="S63" s="15">
        <f>(DATA[[#This Row],[cantidad_fs]]*4.37)</f>
        <v>393.3</v>
      </c>
      <c r="T63" s="15">
        <f>DATA[[#This Row],[C. DF]]+DATA[[#This Row],[C.OPE.]]</f>
        <v>393.3</v>
      </c>
      <c r="U63" s="15">
        <f>DATA[[#This Row],[SUB TOTAL]]*0.18</f>
        <v>70.793999999999997</v>
      </c>
      <c r="V63" s="15">
        <f>IFERROR(ROUND(DATA[[#This Row],[SUB TOTAL]]+DATA[[#This Row],[IGV]],2),0)</f>
        <v>464.09</v>
      </c>
      <c r="W63" s="16" t="str">
        <f>IF(DATA[[#This Row],[VALORIZACIÓN ]]="-","NO CORRESPONDE",IF(OR(A63=20558226979,A63=10470707866,A63=20111157058,A63=20100226902),"NO CORRESPONDE",IF(J63="Emitida",IF(P63&gt;0,"EMITIDA","PENDIENTE"),"NO CORRESPONDE")))</f>
        <v>EMITIDA</v>
      </c>
      <c r="X63" s="29"/>
      <c r="Y63" s="17" t="s">
        <v>118</v>
      </c>
      <c r="Z63" s="30">
        <v>45687</v>
      </c>
      <c r="AA63" s="10" t="s">
        <v>124</v>
      </c>
      <c r="AB63" s="19">
        <v>536</v>
      </c>
      <c r="AC63" s="20">
        <v>30</v>
      </c>
      <c r="AD63" s="18">
        <f>DATA[[#This Row],[FECHA DE EMISION]]+DATA[[#This Row],[CONDICION DE PAGO]]</f>
        <v>45717</v>
      </c>
      <c r="AE63" s="23">
        <f>IF(DATA[[#This Row],[MONEDA]]="USD",VLOOKUP(DATA[[#This Row],[COMBINADA]],#REF!,11,0),1)</f>
        <v>1</v>
      </c>
      <c r="AF63" s="39" t="str">
        <f>IF(DATA[[#This Row],[SERIE2]]="-","NO CORRESPONDE",IF(W63="NO CORRESPONDE","NO CORRESPONDE",IF(Z63&gt;0,"FACTURADO","PENDIENTE")))</f>
        <v>FACTURADO</v>
      </c>
      <c r="AG63" s="27">
        <f>IFERROR(VLOOKUP(DATA[[#This Row],[COMBINADA]],#REF!,6,0),0)</f>
        <v>0</v>
      </c>
      <c r="AH63" s="125">
        <f>IFERROR(VLOOKUP(DATA[[#This Row],[COMBINADA]],#REF!,9,0),0)/COUNTIFS(DATA[COMBINADA],DATA[[#This Row],[COMBINADA]])</f>
        <v>0</v>
      </c>
      <c r="AI63" s="27">
        <f>IFERROR(VLOOKUP(DATA[[#This Row],[COMBINADA]],#REF!,6,0),0)</f>
        <v>0</v>
      </c>
      <c r="AJ63" s="125">
        <f>IFERROR(VLOOKUP(DATA[[#This Row],[COMBINADA]],#REF!,9,0),0)/COUNTIFS(DATA[COMBINADA],DATA[[#This Row],[COMBINADA]])</f>
        <v>0</v>
      </c>
      <c r="AK63" s="27">
        <f>IFERROR(VLOOKUP(DATA[[#This Row],[COMBINADA]],#REF!,6,0),0)</f>
        <v>0</v>
      </c>
      <c r="AL63" s="125">
        <f>IFERROR(VLOOKUP(DATA[[#This Row],[COMBINADA]],#REF!,9,0),0)/COUNTIFS(DATA[COMBINADA],DATA[[#This Row],[COMBINADA]])</f>
        <v>0</v>
      </c>
      <c r="AM63" s="27">
        <f>IFERROR(VLOOKUP(DATA[[#This Row],[COMBINADA]],#REF!,6,0),0)</f>
        <v>0</v>
      </c>
      <c r="AN63" s="125">
        <f>IFERROR(VLOOKUP(DATA[[#This Row],[COMBINADA]],#REF!,9,0),0)/COUNTIFS(DATA[COMBINADA],DATA[[#This Row],[COMBINADA]])</f>
        <v>0</v>
      </c>
      <c r="AO63" s="27">
        <f>IFERROR(VLOOKUP(DATA[[#This Row],[COMBINADA]],#REF!,6,0),0)</f>
        <v>0</v>
      </c>
      <c r="AP63" s="125">
        <f>IFERROR(VLOOKUP(DATA[[#This Row],[COMBINADA]],#REF!,9,0),0)/COUNTIFS(DATA[COMBINADA],DATA[[#This Row],[COMBINADA]])</f>
        <v>0</v>
      </c>
      <c r="AQ6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63" s="26" t="str">
        <f>IFERROR(IF(DATA[[#This Row],[estado_fact]]="FACTURADO",VLOOKUP(DATA[[#This Row],[SERIE2]]&amp;"-"&amp;DATA[[#This Row],[NUMERO]],#REF!,34,0),"NO CORRESPONDE"),"NO CORRESPONDE")</f>
        <v>NO CORRESPONDE</v>
      </c>
      <c r="AS63" s="22" t="str">
        <f>IF(DATA[[#This Row],[fecha_fs]]&gt;0,TEXT(DATA[[#This Row],[fecha_fs]],"Mmmm"),0)</f>
        <v>Enero</v>
      </c>
      <c r="AT63" s="22" t="str">
        <f>DATA[[#This Row],[SERIE2]]&amp;"-"&amp;DATA[[#This Row],[NUMERO]]</f>
        <v>FE01-536</v>
      </c>
      <c r="AU63" s="28">
        <f>DATA[[#This Row],[TOTAL]]*DATA[[#This Row],[T.C.]]</f>
        <v>464.09</v>
      </c>
      <c r="AV63" s="6">
        <f>DATA[[#This Row],[FECHA DE VAL.]]</f>
        <v>45684</v>
      </c>
      <c r="AW63" s="6">
        <f>DATA[[#This Row],[FECHA DE EMISION]]</f>
        <v>45687</v>
      </c>
      <c r="AX63" s="6">
        <f>DATA[[#This Row],[F1]]</f>
        <v>0</v>
      </c>
      <c r="AY63" s="20">
        <f>IF(AV63-DATA[[#This Row],[fecha_fs]]&lt;0,0,AV63-DATA[[#This Row],[fecha_fs]])</f>
        <v>17</v>
      </c>
      <c r="AZ63" s="20">
        <f t="shared" si="10"/>
        <v>3</v>
      </c>
      <c r="BA63" s="20">
        <f t="shared" si="11"/>
        <v>0</v>
      </c>
      <c r="BB63" s="195">
        <f>IFERROR(SUM(DATA[[#This Row],[fs_val_ttf]:[fact_pago_ttf]]),0)</f>
        <v>20</v>
      </c>
      <c r="BC63" s="184">
        <v>45698</v>
      </c>
      <c r="BD63" s="184">
        <v>45707</v>
      </c>
      <c r="BE63" s="184">
        <v>45712</v>
      </c>
      <c r="BF63" s="184">
        <v>45714</v>
      </c>
      <c r="BG63" s="20">
        <f>IFERROR(IF(BC63-DATA[[#This Row],[fecha_fs]]&lt;0,0,BC63-DATA[[#This Row],[fecha_fs]]),0)</f>
        <v>31</v>
      </c>
      <c r="BH63" s="20">
        <f t="shared" si="6"/>
        <v>9</v>
      </c>
      <c r="BI63" s="20">
        <f t="shared" si="7"/>
        <v>5</v>
      </c>
      <c r="BJ63" s="20">
        <f t="shared" si="8"/>
        <v>2</v>
      </c>
      <c r="BK63" s="189">
        <f>IFERROR(SUM(DATA[[#This Row],[fs_fd_ttd]:[fend_fenf_ttd]]),0)</f>
        <v>47</v>
      </c>
      <c r="BL63" s="20" t="str">
        <f>IF(DATA[[#This Row],[fecha_fs]]&gt;0,TEXT(DATA[[#This Row],[fecha_fs]],"YYYY"),0)</f>
        <v>2025</v>
      </c>
      <c r="BM63" s="221" t="b">
        <v>1</v>
      </c>
      <c r="BN63" s="278">
        <f>COUNTIF(DATA[[#This Row],[tiempo_td]], "&lt;=15")</f>
        <v>0</v>
      </c>
      <c r="BO63" s="222"/>
    </row>
    <row r="64" spans="1:67" ht="30.6" customHeight="1" x14ac:dyDescent="0.25">
      <c r="A64" s="4">
        <v>20100211115</v>
      </c>
      <c r="B64" s="5" t="s">
        <v>41</v>
      </c>
      <c r="C64" s="52" t="s">
        <v>18</v>
      </c>
      <c r="D64" s="4" t="s">
        <v>112</v>
      </c>
      <c r="E64" s="5" t="s">
        <v>1</v>
      </c>
      <c r="F64" s="24">
        <v>45667</v>
      </c>
      <c r="G64" s="7" t="s">
        <v>113</v>
      </c>
      <c r="H64" s="25">
        <f t="shared" si="9"/>
        <v>1</v>
      </c>
      <c r="I64" s="67">
        <v>3970</v>
      </c>
      <c r="J64" s="8" t="s">
        <v>115</v>
      </c>
      <c r="K64" s="9" t="s">
        <v>116</v>
      </c>
      <c r="L64" s="10" t="s">
        <v>117</v>
      </c>
      <c r="M64" s="11">
        <v>1</v>
      </c>
      <c r="N64" s="12" t="s">
        <v>167</v>
      </c>
      <c r="O64" s="6">
        <v>45684</v>
      </c>
      <c r="P64" s="115">
        <v>3269</v>
      </c>
      <c r="Q64" s="14" t="s">
        <v>85</v>
      </c>
      <c r="R64" s="15"/>
      <c r="S64" s="15">
        <f>(DATA[[#This Row],[cantidad_fs]]*4.57)</f>
        <v>4.57</v>
      </c>
      <c r="T64" s="15">
        <f>DATA[[#This Row],[C. DF]]+DATA[[#This Row],[C.OPE.]]</f>
        <v>4.57</v>
      </c>
      <c r="U64" s="15">
        <f>DATA[[#This Row],[SUB TOTAL]]*0.18</f>
        <v>0.8226</v>
      </c>
      <c r="V64" s="15">
        <f>IFERROR(ROUND(DATA[[#This Row],[SUB TOTAL]]+DATA[[#This Row],[IGV]],2),0)</f>
        <v>5.39</v>
      </c>
      <c r="W64" s="16" t="str">
        <f>IF(DATA[[#This Row],[VALORIZACIÓN ]]="-","NO CORRESPONDE",IF(OR(A64=20558226979,A64=10470707866,A64=20111157058,A64=20100226902),"NO CORRESPONDE",IF(J64="Emitida",IF(P64&gt;0,"EMITIDA","PENDIENTE"),"NO CORRESPONDE")))</f>
        <v>EMITIDA</v>
      </c>
      <c r="X64" s="29"/>
      <c r="Y64" s="17" t="s">
        <v>118</v>
      </c>
      <c r="Z64" s="30">
        <v>45687</v>
      </c>
      <c r="AA64" s="10" t="s">
        <v>124</v>
      </c>
      <c r="AB64" s="19">
        <v>538</v>
      </c>
      <c r="AC64" s="20">
        <v>30</v>
      </c>
      <c r="AD64" s="18">
        <f>DATA[[#This Row],[FECHA DE EMISION]]+DATA[[#This Row],[CONDICION DE PAGO]]</f>
        <v>45717</v>
      </c>
      <c r="AE64" s="23">
        <f>IF(DATA[[#This Row],[MONEDA]]="USD",VLOOKUP(DATA[[#This Row],[COMBINADA]],#REF!,11,0),1)</f>
        <v>1</v>
      </c>
      <c r="AF64" s="39" t="str">
        <f>IF(DATA[[#This Row],[SERIE2]]="-","NO CORRESPONDE",IF(W64="NO CORRESPONDE","NO CORRESPONDE",IF(Z64&gt;0,"FACTURADO","PENDIENTE")))</f>
        <v>FACTURADO</v>
      </c>
      <c r="AG64" s="27">
        <f>IFERROR(VLOOKUP(DATA[[#This Row],[COMBINADA]],#REF!,6,0),0)</f>
        <v>0</v>
      </c>
      <c r="AH64" s="125">
        <f>IFERROR(VLOOKUP(DATA[[#This Row],[COMBINADA]],#REF!,9,0),0)/COUNTIFS(DATA[COMBINADA],DATA[[#This Row],[COMBINADA]])</f>
        <v>0</v>
      </c>
      <c r="AI64" s="27">
        <f>IFERROR(VLOOKUP(DATA[[#This Row],[COMBINADA]],#REF!,6,0),0)</f>
        <v>0</v>
      </c>
      <c r="AJ64" s="125">
        <f>IFERROR(VLOOKUP(DATA[[#This Row],[COMBINADA]],#REF!,9,0),0)/COUNTIFS(DATA[COMBINADA],DATA[[#This Row],[COMBINADA]])</f>
        <v>0</v>
      </c>
      <c r="AK64" s="27">
        <f>IFERROR(VLOOKUP(DATA[[#This Row],[COMBINADA]],#REF!,6,0),0)</f>
        <v>0</v>
      </c>
      <c r="AL64" s="125">
        <f>IFERROR(VLOOKUP(DATA[[#This Row],[COMBINADA]],#REF!,9,0),0)/COUNTIFS(DATA[COMBINADA],DATA[[#This Row],[COMBINADA]])</f>
        <v>0</v>
      </c>
      <c r="AM64" s="27">
        <f>IFERROR(VLOOKUP(DATA[[#This Row],[COMBINADA]],#REF!,6,0),0)</f>
        <v>0</v>
      </c>
      <c r="AN64" s="125">
        <f>IFERROR(VLOOKUP(DATA[[#This Row],[COMBINADA]],#REF!,9,0),0)/COUNTIFS(DATA[COMBINADA],DATA[[#This Row],[COMBINADA]])</f>
        <v>0</v>
      </c>
      <c r="AO64" s="27">
        <f>IFERROR(VLOOKUP(DATA[[#This Row],[COMBINADA]],#REF!,6,0),0)</f>
        <v>0</v>
      </c>
      <c r="AP64" s="125">
        <f>IFERROR(VLOOKUP(DATA[[#This Row],[COMBINADA]],#REF!,9,0),0)/COUNTIFS(DATA[COMBINADA],DATA[[#This Row],[COMBINADA]])</f>
        <v>0</v>
      </c>
      <c r="AQ6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26.965</v>
      </c>
      <c r="AR64" s="26" t="str">
        <f>IFERROR(IF(DATA[[#This Row],[estado_fact]]="FACTURADO",VLOOKUP(DATA[[#This Row],[SERIE2]]&amp;"-"&amp;DATA[[#This Row],[NUMERO]],#REF!,34,0),"NO CORRESPONDE"),"NO CORRESPONDE")</f>
        <v>NO CORRESPONDE</v>
      </c>
      <c r="AS64" s="22" t="str">
        <f>IF(DATA[[#This Row],[fecha_fs]]&gt;0,TEXT(DATA[[#This Row],[fecha_fs]],"Mmmm"),0)</f>
        <v>Enero</v>
      </c>
      <c r="AT64" s="22" t="str">
        <f>DATA[[#This Row],[SERIE2]]&amp;"-"&amp;DATA[[#This Row],[NUMERO]]</f>
        <v>FE01-538</v>
      </c>
      <c r="AU64" s="28">
        <f>DATA[[#This Row],[TOTAL]]*DATA[[#This Row],[T.C.]]</f>
        <v>5.39</v>
      </c>
      <c r="AV64" s="6">
        <f>DATA[[#This Row],[FECHA DE VAL.]]</f>
        <v>45684</v>
      </c>
      <c r="AW64" s="6">
        <f>DATA[[#This Row],[FECHA DE EMISION]]</f>
        <v>45687</v>
      </c>
      <c r="AX64" s="6">
        <f>DATA[[#This Row],[F1]]</f>
        <v>0</v>
      </c>
      <c r="AY64" s="20">
        <f>IF(AV64-DATA[[#This Row],[fecha_fs]]&lt;0,0,AV64-DATA[[#This Row],[fecha_fs]])</f>
        <v>17</v>
      </c>
      <c r="AZ64" s="20">
        <f t="shared" si="10"/>
        <v>3</v>
      </c>
      <c r="BA64" s="20">
        <f t="shared" si="11"/>
        <v>0</v>
      </c>
      <c r="BB64" s="195">
        <f>IFERROR(SUM(DATA[[#This Row],[fs_val_ttf]:[fact_pago_ttf]]),0)</f>
        <v>20</v>
      </c>
      <c r="BC64" s="185">
        <v>45694</v>
      </c>
      <c r="BD64" s="185">
        <v>45705</v>
      </c>
      <c r="BE64" s="185">
        <v>45707</v>
      </c>
      <c r="BF64" s="185">
        <v>45714</v>
      </c>
      <c r="BG64" s="20">
        <f>IFERROR(IF(BC64-DATA[[#This Row],[fecha_fs]]&lt;0,0,BC64-DATA[[#This Row],[fecha_fs]]),0)</f>
        <v>27</v>
      </c>
      <c r="BH64" s="20">
        <f t="shared" si="6"/>
        <v>11</v>
      </c>
      <c r="BI64" s="20">
        <f t="shared" si="7"/>
        <v>2</v>
      </c>
      <c r="BJ64" s="20">
        <f t="shared" si="8"/>
        <v>7</v>
      </c>
      <c r="BK64" s="189">
        <f>IFERROR(SUM(DATA[[#This Row],[fs_fd_ttd]:[fend_fenf_ttd]]),0)</f>
        <v>47</v>
      </c>
      <c r="BL64" s="20" t="str">
        <f>IF(DATA[[#This Row],[fecha_fs]]&gt;0,TEXT(DATA[[#This Row],[fecha_fs]],"YYYY"),0)</f>
        <v>2025</v>
      </c>
      <c r="BM64" s="221" t="b">
        <v>1</v>
      </c>
      <c r="BN64" s="278">
        <f>COUNTIF(DATA[[#This Row],[tiempo_td]], "&lt;=15")</f>
        <v>0</v>
      </c>
      <c r="BO64" s="222"/>
    </row>
    <row r="65" spans="1:67" ht="30.6" customHeight="1" x14ac:dyDescent="0.25">
      <c r="A65" s="4">
        <v>20100192064</v>
      </c>
      <c r="B65" s="5" t="s">
        <v>60</v>
      </c>
      <c r="C65" s="52" t="s">
        <v>64</v>
      </c>
      <c r="D65" s="4" t="s">
        <v>112</v>
      </c>
      <c r="E65" s="5" t="s">
        <v>1</v>
      </c>
      <c r="F65" s="24">
        <v>45667</v>
      </c>
      <c r="G65" s="7" t="s">
        <v>113</v>
      </c>
      <c r="H65" s="25">
        <f t="shared" si="9"/>
        <v>1</v>
      </c>
      <c r="I65" s="67">
        <v>3971</v>
      </c>
      <c r="J65" s="8" t="s">
        <v>115</v>
      </c>
      <c r="K65" s="9" t="s">
        <v>136</v>
      </c>
      <c r="L65" s="10" t="s">
        <v>137</v>
      </c>
      <c r="M65" s="11">
        <v>22</v>
      </c>
      <c r="N65" s="12" t="s">
        <v>122</v>
      </c>
      <c r="O65" s="6">
        <v>45684</v>
      </c>
      <c r="P65" s="57">
        <v>3246</v>
      </c>
      <c r="Q65" s="14" t="s">
        <v>123</v>
      </c>
      <c r="R65" s="15">
        <f>DATA[[#This Row],[cantidad_fs]]*33.34</f>
        <v>733.48</v>
      </c>
      <c r="S65" s="15"/>
      <c r="T65" s="15">
        <f>DATA[[#This Row],[C. DF]]+DATA[[#This Row],[C.OPE.]]</f>
        <v>733.48</v>
      </c>
      <c r="U65" s="15">
        <f>DATA[[#This Row],[SUB TOTAL]]*0.18</f>
        <v>132.0264</v>
      </c>
      <c r="V65" s="15">
        <f>IFERROR(ROUND(DATA[[#This Row],[SUB TOTAL]]+DATA[[#This Row],[IGV]],2),0)</f>
        <v>865.51</v>
      </c>
      <c r="W65" s="16" t="str">
        <f>IF(DATA[[#This Row],[VALORIZACIÓN ]]="-","NO CORRESPONDE",IF(OR(A65=20558226979,A65=10470707866,A65=20111157058,A65=20100226902),"NO CORRESPONDE",IF(J65="Emitida",IF(P65&gt;0,"EMITIDA","PENDIENTE"),"NO CORRESPONDE")))</f>
        <v>EMITIDA</v>
      </c>
      <c r="X65" s="29"/>
      <c r="Y65" s="17" t="s">
        <v>118</v>
      </c>
      <c r="Z65" s="30">
        <v>45687</v>
      </c>
      <c r="AA65" s="10" t="s">
        <v>124</v>
      </c>
      <c r="AB65" s="19">
        <v>535</v>
      </c>
      <c r="AC65" s="20">
        <v>30</v>
      </c>
      <c r="AD65" s="18">
        <f>DATA[[#This Row],[FECHA DE EMISION]]+DATA[[#This Row],[CONDICION DE PAGO]]</f>
        <v>45717</v>
      </c>
      <c r="AE65" s="23" t="e">
        <f>IF(DATA[[#This Row],[MONEDA]]="USD",VLOOKUP(DATA[[#This Row],[COMBINADA]],#REF!,11,0),1)</f>
        <v>#REF!</v>
      </c>
      <c r="AF65" s="39" t="str">
        <f>IF(DATA[[#This Row],[SERIE2]]="-","NO CORRESPONDE",IF(W65="NO CORRESPONDE","NO CORRESPONDE",IF(Z65&gt;0,"FACTURADO","PENDIENTE")))</f>
        <v>FACTURADO</v>
      </c>
      <c r="AG65" s="27">
        <f>IFERROR(VLOOKUP(DATA[[#This Row],[COMBINADA]],#REF!,6,0),0)</f>
        <v>0</v>
      </c>
      <c r="AH65" s="125">
        <f>IFERROR(VLOOKUP(DATA[[#This Row],[COMBINADA]],#REF!,9,0),0)/COUNTIFS(DATA[COMBINADA],DATA[[#This Row],[COMBINADA]])</f>
        <v>0</v>
      </c>
      <c r="AI65" s="27">
        <f>IFERROR(VLOOKUP(DATA[[#This Row],[COMBINADA]],#REF!,6,0),0)</f>
        <v>0</v>
      </c>
      <c r="AJ65" s="125">
        <f>IFERROR(VLOOKUP(DATA[[#This Row],[COMBINADA]],#REF!,9,0),0)/COUNTIFS(DATA[COMBINADA],DATA[[#This Row],[COMBINADA]])</f>
        <v>0</v>
      </c>
      <c r="AK65" s="27">
        <f>IFERROR(VLOOKUP(DATA[[#This Row],[COMBINADA]],#REF!,6,0),0)</f>
        <v>0</v>
      </c>
      <c r="AL65" s="125">
        <f>IFERROR(VLOOKUP(DATA[[#This Row],[COMBINADA]],#REF!,9,0),0)/COUNTIFS(DATA[COMBINADA],DATA[[#This Row],[COMBINADA]])</f>
        <v>0</v>
      </c>
      <c r="AM65" s="27">
        <f>IFERROR(VLOOKUP(DATA[[#This Row],[COMBINADA]],#REF!,6,0),0)</f>
        <v>0</v>
      </c>
      <c r="AN65" s="125">
        <f>IFERROR(VLOOKUP(DATA[[#This Row],[COMBINADA]],#REF!,9,0),0)/COUNTIFS(DATA[COMBINADA],DATA[[#This Row],[COMBINADA]])</f>
        <v>0</v>
      </c>
      <c r="AO65" s="27">
        <f>IFERROR(VLOOKUP(DATA[[#This Row],[COMBINADA]],#REF!,6,0),0)</f>
        <v>0</v>
      </c>
      <c r="AP65" s="125">
        <f>IFERROR(VLOOKUP(DATA[[#This Row],[COMBINADA]],#REF!,9,0),0)/COUNTIFS(DATA[COMBINADA],DATA[[#This Row],[COMBINADA]])</f>
        <v>0</v>
      </c>
      <c r="AQ6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996.05400000000009</v>
      </c>
      <c r="AR65" s="26" t="str">
        <f>IFERROR(IF(DATA[[#This Row],[estado_fact]]="FACTURADO",VLOOKUP(DATA[[#This Row],[SERIE2]]&amp;"-"&amp;DATA[[#This Row],[NUMERO]],#REF!,34,0),"NO CORRESPONDE"),"NO CORRESPONDE")</f>
        <v>NO CORRESPONDE</v>
      </c>
      <c r="AS65" s="22" t="str">
        <f>IF(DATA[[#This Row],[fecha_fs]]&gt;0,TEXT(DATA[[#This Row],[fecha_fs]],"Mmmm"),0)</f>
        <v>Enero</v>
      </c>
      <c r="AT65" s="22" t="str">
        <f>DATA[[#This Row],[SERIE2]]&amp;"-"&amp;DATA[[#This Row],[NUMERO]]</f>
        <v>FE01-535</v>
      </c>
      <c r="AU65" s="28" t="e">
        <f>DATA[[#This Row],[TOTAL]]*DATA[[#This Row],[T.C.]]</f>
        <v>#REF!</v>
      </c>
      <c r="AV65" s="6">
        <f>DATA[[#This Row],[FECHA DE VAL.]]</f>
        <v>45684</v>
      </c>
      <c r="AW65" s="6">
        <f>DATA[[#This Row],[FECHA DE EMISION]]</f>
        <v>45687</v>
      </c>
      <c r="AX65" s="6">
        <f>DATA[[#This Row],[F1]]</f>
        <v>0</v>
      </c>
      <c r="AY65" s="20">
        <f>IF(AV65-DATA[[#This Row],[fecha_fs]]&lt;0,0,AV65-DATA[[#This Row],[fecha_fs]])</f>
        <v>17</v>
      </c>
      <c r="AZ65" s="20">
        <f t="shared" si="10"/>
        <v>3</v>
      </c>
      <c r="BA65" s="20">
        <f t="shared" si="11"/>
        <v>0</v>
      </c>
      <c r="BB65" s="195">
        <f>IFERROR(SUM(DATA[[#This Row],[fs_val_ttf]:[fact_pago_ttf]]),0)</f>
        <v>20</v>
      </c>
      <c r="BC65" s="185">
        <v>45682</v>
      </c>
      <c r="BD65" s="185">
        <v>45705</v>
      </c>
      <c r="BE65" s="185">
        <v>45727</v>
      </c>
      <c r="BF65" s="185">
        <v>45758</v>
      </c>
      <c r="BG65" s="20">
        <f>IFERROR(IF(BC65-DATA[[#This Row],[fecha_fs]]&lt;0,0,BC65-DATA[[#This Row],[fecha_fs]]),0)</f>
        <v>15</v>
      </c>
      <c r="BH65" s="20">
        <f t="shared" si="6"/>
        <v>23</v>
      </c>
      <c r="BI65" s="20">
        <f t="shared" si="7"/>
        <v>22</v>
      </c>
      <c r="BJ65" s="20">
        <f t="shared" si="8"/>
        <v>31</v>
      </c>
      <c r="BK65" s="189">
        <f>IFERROR(SUM(DATA[[#This Row],[fs_fd_ttd]:[fend_fenf_ttd]]),0)</f>
        <v>91</v>
      </c>
      <c r="BL65" s="20" t="str">
        <f>IF(DATA[[#This Row],[fecha_fs]]&gt;0,TEXT(DATA[[#This Row],[fecha_fs]],"YYYY"),0)</f>
        <v>2025</v>
      </c>
      <c r="BM65" s="221" t="b">
        <v>1</v>
      </c>
      <c r="BN65" s="278">
        <f>COUNTIF(DATA[[#This Row],[tiempo_td]], "&lt;=15")</f>
        <v>0</v>
      </c>
      <c r="BO65" s="222"/>
    </row>
    <row r="66" spans="1:67" ht="30.6" customHeight="1" x14ac:dyDescent="0.25">
      <c r="A66" s="4">
        <v>20100192064</v>
      </c>
      <c r="B66" s="5" t="s">
        <v>60</v>
      </c>
      <c r="C66" s="52" t="s">
        <v>43</v>
      </c>
      <c r="D66" s="4" t="s">
        <v>120</v>
      </c>
      <c r="E66" s="5" t="s">
        <v>3</v>
      </c>
      <c r="F66" s="24">
        <v>45667</v>
      </c>
      <c r="G66" s="7" t="s">
        <v>113</v>
      </c>
      <c r="H66" s="25">
        <f t="shared" si="9"/>
        <v>1</v>
      </c>
      <c r="I66" s="67">
        <v>3972</v>
      </c>
      <c r="J66" s="8" t="s">
        <v>115</v>
      </c>
      <c r="K66" s="9" t="s">
        <v>121</v>
      </c>
      <c r="L66" s="10" t="s">
        <v>117</v>
      </c>
      <c r="M66" s="11">
        <v>840</v>
      </c>
      <c r="N66" s="12" t="s">
        <v>132</v>
      </c>
      <c r="O66" s="6">
        <v>45684</v>
      </c>
      <c r="P66" s="57">
        <v>3244</v>
      </c>
      <c r="Q66" s="14" t="s">
        <v>123</v>
      </c>
      <c r="R66" s="15">
        <f>(DATA[[#This Row],[cantidad_fs]]/1000)*(47+174.34)</f>
        <v>185.9256</v>
      </c>
      <c r="S66" s="15">
        <v>137</v>
      </c>
      <c r="T66" s="15">
        <f>DATA[[#This Row],[C. DF]]+DATA[[#This Row],[C.OPE.]]</f>
        <v>322.92560000000003</v>
      </c>
      <c r="U66" s="15">
        <f>DATA[[#This Row],[SUB TOTAL]]*0.18</f>
        <v>58.126608000000004</v>
      </c>
      <c r="V66" s="15">
        <f>IFERROR(ROUND(DATA[[#This Row],[SUB TOTAL]]+DATA[[#This Row],[IGV]],2),0)</f>
        <v>381.05</v>
      </c>
      <c r="W66" s="16" t="str">
        <f>IF(DATA[[#This Row],[VALORIZACIÓN ]]="-","NO CORRESPONDE",IF(OR(A66=20558226979,A66=10470707866,A66=20111157058,A66=20100226902),"NO CORRESPONDE",IF(J66="Emitida",IF(P66&gt;0,"EMITIDA","PENDIENTE"),"NO CORRESPONDE")))</f>
        <v>EMITIDA</v>
      </c>
      <c r="X66" s="29"/>
      <c r="Y66" s="17" t="s">
        <v>118</v>
      </c>
      <c r="Z66" s="30">
        <v>45687</v>
      </c>
      <c r="AA66" s="10" t="s">
        <v>124</v>
      </c>
      <c r="AB66" s="19">
        <v>534</v>
      </c>
      <c r="AC66" s="20">
        <v>30</v>
      </c>
      <c r="AD66" s="18">
        <f>DATA[[#This Row],[FECHA DE EMISION]]+DATA[[#This Row],[CONDICION DE PAGO]]</f>
        <v>45717</v>
      </c>
      <c r="AE66" s="23" t="e">
        <f>IF(DATA[[#This Row],[MONEDA]]="USD",VLOOKUP(DATA[[#This Row],[COMBINADA]],#REF!,11,0),1)</f>
        <v>#REF!</v>
      </c>
      <c r="AF66" s="39" t="str">
        <f>IF(DATA[[#This Row],[SERIE2]]="-","NO CORRESPONDE",IF(W66="NO CORRESPONDE","NO CORRESPONDE",IF(Z66&gt;0,"FACTURADO","PENDIENTE")))</f>
        <v>FACTURADO</v>
      </c>
      <c r="AG66" s="27">
        <f>IFERROR(VLOOKUP(DATA[[#This Row],[COMBINADA]],#REF!,6,0),0)</f>
        <v>0</v>
      </c>
      <c r="AH66" s="125">
        <f>IFERROR(VLOOKUP(DATA[[#This Row],[COMBINADA]],#REF!,9,0),0)/COUNTIFS(DATA[COMBINADA],DATA[[#This Row],[COMBINADA]])</f>
        <v>0</v>
      </c>
      <c r="AI66" s="27">
        <f>IFERROR(VLOOKUP(DATA[[#This Row],[COMBINADA]],#REF!,6,0),0)</f>
        <v>0</v>
      </c>
      <c r="AJ66" s="125">
        <f>IFERROR(VLOOKUP(DATA[[#This Row],[COMBINADA]],#REF!,9,0),0)/COUNTIFS(DATA[COMBINADA],DATA[[#This Row],[COMBINADA]])</f>
        <v>0</v>
      </c>
      <c r="AK66" s="27">
        <f>IFERROR(VLOOKUP(DATA[[#This Row],[COMBINADA]],#REF!,6,0),0)</f>
        <v>0</v>
      </c>
      <c r="AL66" s="125">
        <f>IFERROR(VLOOKUP(DATA[[#This Row],[COMBINADA]],#REF!,9,0),0)/COUNTIFS(DATA[COMBINADA],DATA[[#This Row],[COMBINADA]])</f>
        <v>0</v>
      </c>
      <c r="AM66" s="27">
        <f>IFERROR(VLOOKUP(DATA[[#This Row],[COMBINADA]],#REF!,6,0),0)</f>
        <v>0</v>
      </c>
      <c r="AN66" s="125">
        <f>IFERROR(VLOOKUP(DATA[[#This Row],[COMBINADA]],#REF!,9,0),0)/COUNTIFS(DATA[COMBINADA],DATA[[#This Row],[COMBINADA]])</f>
        <v>0</v>
      </c>
      <c r="AO66" s="27">
        <f>IFERROR(VLOOKUP(DATA[[#This Row],[COMBINADA]],#REF!,6,0),0)</f>
        <v>0</v>
      </c>
      <c r="AP66" s="125">
        <f>IFERROR(VLOOKUP(DATA[[#This Row],[COMBINADA]],#REF!,9,0),0)/COUNTIFS(DATA[COMBINADA],DATA[[#This Row],[COMBINADA]])</f>
        <v>0</v>
      </c>
      <c r="AQ6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575.62384615384622</v>
      </c>
      <c r="AR66" s="26" t="str">
        <f>IFERROR(IF(DATA[[#This Row],[estado_fact]]="FACTURADO",VLOOKUP(DATA[[#This Row],[SERIE2]]&amp;"-"&amp;DATA[[#This Row],[NUMERO]],#REF!,34,0),"NO CORRESPONDE"),"NO CORRESPONDE")</f>
        <v>NO CORRESPONDE</v>
      </c>
      <c r="AS66" s="22" t="str">
        <f>IF(DATA[[#This Row],[fecha_fs]]&gt;0,TEXT(DATA[[#This Row],[fecha_fs]],"Mmmm"),0)</f>
        <v>Enero</v>
      </c>
      <c r="AT66" s="22" t="str">
        <f>DATA[[#This Row],[SERIE2]]&amp;"-"&amp;DATA[[#This Row],[NUMERO]]</f>
        <v>FE01-534</v>
      </c>
      <c r="AU66" s="28" t="e">
        <f>DATA[[#This Row],[TOTAL]]*DATA[[#This Row],[T.C.]]</f>
        <v>#REF!</v>
      </c>
      <c r="AV66" s="6">
        <f>DATA[[#This Row],[FECHA DE VAL.]]</f>
        <v>45684</v>
      </c>
      <c r="AW66" s="6">
        <f>DATA[[#This Row],[FECHA DE EMISION]]</f>
        <v>45687</v>
      </c>
      <c r="AX66" s="6">
        <f>DATA[[#This Row],[F1]]</f>
        <v>0</v>
      </c>
      <c r="AY66" s="20">
        <f>IF(AV66-DATA[[#This Row],[fecha_fs]]&lt;0,0,AV66-DATA[[#This Row],[fecha_fs]])</f>
        <v>17</v>
      </c>
      <c r="AZ66" s="20">
        <f t="shared" si="10"/>
        <v>3</v>
      </c>
      <c r="BA66" s="20">
        <f t="shared" si="11"/>
        <v>0</v>
      </c>
      <c r="BB66" s="195">
        <f>IFERROR(SUM(DATA[[#This Row],[fs_val_ttf]:[fact_pago_ttf]]),0)</f>
        <v>20</v>
      </c>
      <c r="BC66" s="185">
        <v>45694</v>
      </c>
      <c r="BD66" s="185">
        <v>45700</v>
      </c>
      <c r="BE66" s="185">
        <v>45707</v>
      </c>
      <c r="BF66" s="185">
        <v>45758</v>
      </c>
      <c r="BG66" s="20">
        <f>IFERROR(IF(BC66-DATA[[#This Row],[fecha_fs]]&lt;0,0,BC66-DATA[[#This Row],[fecha_fs]]),0)</f>
        <v>27</v>
      </c>
      <c r="BH66" s="20">
        <f t="shared" si="6"/>
        <v>6</v>
      </c>
      <c r="BI66" s="20">
        <f t="shared" si="7"/>
        <v>7</v>
      </c>
      <c r="BJ66" s="20">
        <f t="shared" si="8"/>
        <v>51</v>
      </c>
      <c r="BK66" s="189">
        <f>IFERROR(SUM(DATA[[#This Row],[fs_fd_ttd]:[fend_fenf_ttd]]),0)</f>
        <v>91</v>
      </c>
      <c r="BL66" s="20" t="str">
        <f>IF(DATA[[#This Row],[fecha_fs]]&gt;0,TEXT(DATA[[#This Row],[fecha_fs]],"YYYY"),0)</f>
        <v>2025</v>
      </c>
      <c r="BM66" s="221" t="b">
        <v>1</v>
      </c>
      <c r="BN66" s="278">
        <f>COUNTIF(DATA[[#This Row],[tiempo_td]], "&lt;=15")</f>
        <v>0</v>
      </c>
      <c r="BO66" s="222"/>
    </row>
    <row r="67" spans="1:67" ht="30.6" customHeight="1" x14ac:dyDescent="0.25">
      <c r="A67" s="4">
        <v>20141637941</v>
      </c>
      <c r="B67" s="5" t="s">
        <v>79</v>
      </c>
      <c r="C67" s="52" t="s">
        <v>80</v>
      </c>
      <c r="D67" s="4" t="s">
        <v>120</v>
      </c>
      <c r="E67" s="5" t="s">
        <v>3</v>
      </c>
      <c r="F67" s="24">
        <v>45667</v>
      </c>
      <c r="G67" s="7" t="s">
        <v>113</v>
      </c>
      <c r="H67" s="25">
        <f t="shared" si="9"/>
        <v>1</v>
      </c>
      <c r="I67" s="67">
        <v>3973</v>
      </c>
      <c r="J67" s="8" t="s">
        <v>115</v>
      </c>
      <c r="K67" s="9" t="s">
        <v>121</v>
      </c>
      <c r="L67" s="10" t="s">
        <v>117</v>
      </c>
      <c r="M67" s="11">
        <v>290</v>
      </c>
      <c r="N67" s="12" t="s">
        <v>125</v>
      </c>
      <c r="O67" s="6">
        <v>45667</v>
      </c>
      <c r="P67" s="68">
        <v>3230</v>
      </c>
      <c r="Q67" s="14" t="s">
        <v>85</v>
      </c>
      <c r="R67" s="15">
        <v>70</v>
      </c>
      <c r="S67" s="15">
        <v>517</v>
      </c>
      <c r="T67" s="15">
        <f>DATA[[#This Row],[C. DF]]+DATA[[#This Row],[C.OPE.]]</f>
        <v>587</v>
      </c>
      <c r="U67" s="15">
        <f>DATA[[#This Row],[SUB TOTAL]]*0.18</f>
        <v>105.66</v>
      </c>
      <c r="V67" s="15">
        <f>IFERROR(ROUND(DATA[[#This Row],[SUB TOTAL]]+DATA[[#This Row],[IGV]],2),0)</f>
        <v>692.66</v>
      </c>
      <c r="W67" s="16" t="str">
        <f>IF(DATA[[#This Row],[VALORIZACIÓN ]]="-","NO CORRESPONDE",IF(OR(A67=20558226979,A67=10470707866,A67=20111157058,A67=20100226902),"NO CORRESPONDE",IF(J67="Emitida",IF(P67&gt;0,"EMITIDA","PENDIENTE"),"NO CORRESPONDE")))</f>
        <v>EMITIDA</v>
      </c>
      <c r="X67" s="29"/>
      <c r="Y67" s="17" t="s">
        <v>118</v>
      </c>
      <c r="Z67" s="30">
        <v>45678</v>
      </c>
      <c r="AA67" s="10" t="s">
        <v>124</v>
      </c>
      <c r="AB67" s="19">
        <v>511</v>
      </c>
      <c r="AC67" s="20">
        <v>30</v>
      </c>
      <c r="AD67" s="18">
        <f>DATA[[#This Row],[FECHA DE EMISION]]+DATA[[#This Row],[CONDICION DE PAGO]]</f>
        <v>45708</v>
      </c>
      <c r="AE67" s="23">
        <f>IF(DATA[[#This Row],[MONEDA]]="USD",VLOOKUP(DATA[[#This Row],[COMBINADA]],#REF!,11,0),1)</f>
        <v>1</v>
      </c>
      <c r="AF67" s="39" t="str">
        <f>IF(DATA[[#This Row],[SERIE2]]="-","NO CORRESPONDE",IF(W67="NO CORRESPONDE","NO CORRESPONDE",IF(Z67&gt;0,"FACTURADO","PENDIENTE")))</f>
        <v>FACTURADO</v>
      </c>
      <c r="AG67" s="27">
        <f>IFERROR(VLOOKUP(DATA[[#This Row],[COMBINADA]],#REF!,6,0),0)</f>
        <v>0</v>
      </c>
      <c r="AH67" s="125">
        <f>IFERROR(VLOOKUP(DATA[[#This Row],[COMBINADA]],#REF!,9,0),0)/COUNTIFS(DATA[COMBINADA],DATA[[#This Row],[COMBINADA]])</f>
        <v>0</v>
      </c>
      <c r="AI67" s="27">
        <f>IFERROR(VLOOKUP(DATA[[#This Row],[COMBINADA]],#REF!,6,0),0)</f>
        <v>0</v>
      </c>
      <c r="AJ67" s="125">
        <f>IFERROR(VLOOKUP(DATA[[#This Row],[COMBINADA]],#REF!,9,0),0)/COUNTIFS(DATA[COMBINADA],DATA[[#This Row],[COMBINADA]])</f>
        <v>0</v>
      </c>
      <c r="AK67" s="27">
        <f>IFERROR(VLOOKUP(DATA[[#This Row],[COMBINADA]],#REF!,6,0),0)</f>
        <v>0</v>
      </c>
      <c r="AL67" s="125">
        <f>IFERROR(VLOOKUP(DATA[[#This Row],[COMBINADA]],#REF!,9,0),0)/COUNTIFS(DATA[COMBINADA],DATA[[#This Row],[COMBINADA]])</f>
        <v>0</v>
      </c>
      <c r="AM67" s="27">
        <f>IFERROR(VLOOKUP(DATA[[#This Row],[COMBINADA]],#REF!,6,0),0)</f>
        <v>0</v>
      </c>
      <c r="AN67" s="125">
        <f>IFERROR(VLOOKUP(DATA[[#This Row],[COMBINADA]],#REF!,9,0),0)/COUNTIFS(DATA[COMBINADA],DATA[[#This Row],[COMBINADA]])</f>
        <v>0</v>
      </c>
      <c r="AO67" s="27">
        <f>IFERROR(VLOOKUP(DATA[[#This Row],[COMBINADA]],#REF!,6,0),0)</f>
        <v>0</v>
      </c>
      <c r="AP67" s="125">
        <f>IFERROR(VLOOKUP(DATA[[#This Row],[COMBINADA]],#REF!,9,0),0)/COUNTIFS(DATA[COMBINADA],DATA[[#This Row],[COMBINADA]])</f>
        <v>0</v>
      </c>
      <c r="AQ6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701.86399999999992</v>
      </c>
      <c r="AR67" s="26" t="str">
        <f>IFERROR(IF(DATA[[#This Row],[estado_fact]]="FACTURADO",VLOOKUP(DATA[[#This Row],[SERIE2]]&amp;"-"&amp;DATA[[#This Row],[NUMERO]],#REF!,34,0),"NO CORRESPONDE"),"NO CORRESPONDE")</f>
        <v>NO CORRESPONDE</v>
      </c>
      <c r="AS67" s="22" t="str">
        <f>IF(DATA[[#This Row],[fecha_fs]]&gt;0,TEXT(DATA[[#This Row],[fecha_fs]],"Mmmm"),0)</f>
        <v>Enero</v>
      </c>
      <c r="AT67" s="22" t="str">
        <f>DATA[[#This Row],[SERIE2]]&amp;"-"&amp;DATA[[#This Row],[NUMERO]]</f>
        <v>FE01-511</v>
      </c>
      <c r="AU67" s="28">
        <f>DATA[[#This Row],[TOTAL]]*DATA[[#This Row],[T.C.]]</f>
        <v>692.66</v>
      </c>
      <c r="AV67" s="6">
        <f>DATA[[#This Row],[FECHA DE VAL.]]</f>
        <v>45667</v>
      </c>
      <c r="AW67" s="6">
        <f>DATA[[#This Row],[FECHA DE EMISION]]</f>
        <v>45678</v>
      </c>
      <c r="AX67" s="6">
        <f>DATA[[#This Row],[F1]]</f>
        <v>0</v>
      </c>
      <c r="AY67" s="20">
        <f>IF(AV67-DATA[[#This Row],[fecha_fs]]&lt;0,0,AV67-DATA[[#This Row],[fecha_fs]])</f>
        <v>0</v>
      </c>
      <c r="AZ67" s="20">
        <f t="shared" si="10"/>
        <v>11</v>
      </c>
      <c r="BA67" s="20">
        <f t="shared" si="11"/>
        <v>0</v>
      </c>
      <c r="BB67" s="195">
        <f>IFERROR(SUM(DATA[[#This Row],[fs_val_ttf]:[fact_pago_ttf]]),0)</f>
        <v>11</v>
      </c>
      <c r="BC67" s="185">
        <v>45667</v>
      </c>
      <c r="BD67" s="185">
        <v>45667</v>
      </c>
      <c r="BE67" s="185">
        <v>45678</v>
      </c>
      <c r="BF67" s="185">
        <v>45678</v>
      </c>
      <c r="BG67" s="20">
        <f>IFERROR(IF(BC67-DATA[[#This Row],[fecha_fs]]&lt;0,0,BC67-DATA[[#This Row],[fecha_fs]]),0)</f>
        <v>0</v>
      </c>
      <c r="BH67" s="20">
        <f t="shared" si="6"/>
        <v>0</v>
      </c>
      <c r="BI67" s="20">
        <f t="shared" si="7"/>
        <v>11</v>
      </c>
      <c r="BJ67" s="20">
        <f t="shared" si="8"/>
        <v>0</v>
      </c>
      <c r="BK67" s="189">
        <f>IFERROR(SUM(DATA[[#This Row],[fs_fd_ttd]:[fend_fenf_ttd]]),0)</f>
        <v>11</v>
      </c>
      <c r="BL67" s="20" t="str">
        <f>IF(DATA[[#This Row],[fecha_fs]]&gt;0,TEXT(DATA[[#This Row],[fecha_fs]],"YYYY"),0)</f>
        <v>2025</v>
      </c>
      <c r="BM67" s="221" t="b">
        <v>1</v>
      </c>
      <c r="BN67" s="278">
        <f>COUNTIF(DATA[[#This Row],[tiempo_td]], "&lt;=15")</f>
        <v>1</v>
      </c>
      <c r="BO67" s="222"/>
    </row>
    <row r="68" spans="1:67" ht="30.6" customHeight="1" x14ac:dyDescent="0.25">
      <c r="A68" s="4">
        <v>20141637941</v>
      </c>
      <c r="B68" s="5" t="s">
        <v>79</v>
      </c>
      <c r="C68" s="52" t="s">
        <v>18</v>
      </c>
      <c r="D68" s="4" t="s">
        <v>120</v>
      </c>
      <c r="E68" s="5" t="s">
        <v>3</v>
      </c>
      <c r="F68" s="24">
        <v>45670</v>
      </c>
      <c r="G68" s="7" t="s">
        <v>113</v>
      </c>
      <c r="H68" s="25">
        <f t="shared" si="9"/>
        <v>1</v>
      </c>
      <c r="I68" s="67">
        <v>3974</v>
      </c>
      <c r="J68" s="8" t="s">
        <v>115</v>
      </c>
      <c r="K68" s="9" t="s">
        <v>121</v>
      </c>
      <c r="L68" s="10" t="s">
        <v>117</v>
      </c>
      <c r="M68" s="11">
        <v>1060</v>
      </c>
      <c r="N68" s="12" t="s">
        <v>170</v>
      </c>
      <c r="O68" s="6">
        <v>45674</v>
      </c>
      <c r="P68" s="68">
        <v>3235</v>
      </c>
      <c r="Q68" s="14" t="s">
        <v>85</v>
      </c>
      <c r="R68" s="15">
        <f>70+(DATA[[#This Row],[cantidad_fs]]-1000)*0.1</f>
        <v>76</v>
      </c>
      <c r="S68" s="15">
        <v>517</v>
      </c>
      <c r="T68" s="15">
        <f>DATA[[#This Row],[C. DF]]+DATA[[#This Row],[C.OPE.]]</f>
        <v>593</v>
      </c>
      <c r="U68" s="15">
        <f>DATA[[#This Row],[SUB TOTAL]]*0.18</f>
        <v>106.74</v>
      </c>
      <c r="V68" s="15">
        <f>IFERROR(ROUND(DATA[[#This Row],[SUB TOTAL]]+DATA[[#This Row],[IGV]],2),0)</f>
        <v>699.74</v>
      </c>
      <c r="W68" s="16" t="str">
        <f>IF(DATA[[#This Row],[VALORIZACIÓN ]]="-","NO CORRESPONDE",IF(OR(A68=20558226979,A68=10470707866,A68=20111157058,A68=20100226902),"NO CORRESPONDE",IF(J68="Emitida",IF(P68&gt;0,"EMITIDA","PENDIENTE"),"NO CORRESPONDE")))</f>
        <v>EMITIDA</v>
      </c>
      <c r="X68" s="29"/>
      <c r="Y68" s="17" t="s">
        <v>118</v>
      </c>
      <c r="Z68" s="30">
        <v>45678</v>
      </c>
      <c r="AA68" s="10" t="s">
        <v>124</v>
      </c>
      <c r="AB68" s="19">
        <v>512</v>
      </c>
      <c r="AC68" s="20">
        <v>30</v>
      </c>
      <c r="AD68" s="18">
        <f>DATA[[#This Row],[FECHA DE EMISION]]+DATA[[#This Row],[CONDICION DE PAGO]]</f>
        <v>45708</v>
      </c>
      <c r="AE68" s="23">
        <f>IF(DATA[[#This Row],[MONEDA]]="USD",VLOOKUP(DATA[[#This Row],[COMBINADA]],#REF!,11,0),1)</f>
        <v>1</v>
      </c>
      <c r="AF68" s="39" t="str">
        <f>IF(DATA[[#This Row],[SERIE2]]="-","NO CORRESPONDE",IF(W68="NO CORRESPONDE","NO CORRESPONDE",IF(Z68&gt;0,"FACTURADO","PENDIENTE")))</f>
        <v>FACTURADO</v>
      </c>
      <c r="AG68" s="27">
        <f>IFERROR(VLOOKUP(DATA[[#This Row],[COMBINADA]],#REF!,6,0),0)</f>
        <v>0</v>
      </c>
      <c r="AH68" s="125">
        <f>IFERROR(VLOOKUP(DATA[[#This Row],[COMBINADA]],#REF!,9,0),0)/COUNTIFS(DATA[COMBINADA],DATA[[#This Row],[COMBINADA]])</f>
        <v>0</v>
      </c>
      <c r="AI68" s="27">
        <f>IFERROR(VLOOKUP(DATA[[#This Row],[COMBINADA]],#REF!,6,0),0)</f>
        <v>0</v>
      </c>
      <c r="AJ68" s="125">
        <f>IFERROR(VLOOKUP(DATA[[#This Row],[COMBINADA]],#REF!,9,0),0)/COUNTIFS(DATA[COMBINADA],DATA[[#This Row],[COMBINADA]])</f>
        <v>0</v>
      </c>
      <c r="AK68" s="27">
        <f>IFERROR(VLOOKUP(DATA[[#This Row],[COMBINADA]],#REF!,6,0),0)</f>
        <v>0</v>
      </c>
      <c r="AL68" s="125">
        <f>IFERROR(VLOOKUP(DATA[[#This Row],[COMBINADA]],#REF!,9,0),0)/COUNTIFS(DATA[COMBINADA],DATA[[#This Row],[COMBINADA]])</f>
        <v>0</v>
      </c>
      <c r="AM68" s="27">
        <f>IFERROR(VLOOKUP(DATA[[#This Row],[COMBINADA]],#REF!,6,0),0)</f>
        <v>0</v>
      </c>
      <c r="AN68" s="125">
        <f>IFERROR(VLOOKUP(DATA[[#This Row],[COMBINADA]],#REF!,9,0),0)/COUNTIFS(DATA[COMBINADA],DATA[[#This Row],[COMBINADA]])</f>
        <v>0</v>
      </c>
      <c r="AO68" s="27">
        <f>IFERROR(VLOOKUP(DATA[[#This Row],[COMBINADA]],#REF!,6,0),0)</f>
        <v>0</v>
      </c>
      <c r="AP68" s="125">
        <f>IFERROR(VLOOKUP(DATA[[#This Row],[COMBINADA]],#REF!,9,0),0)/COUNTIFS(DATA[COMBINADA],DATA[[#This Row],[COMBINADA]])</f>
        <v>0</v>
      </c>
      <c r="AQ6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735.73</v>
      </c>
      <c r="AR68" s="26" t="str">
        <f>IFERROR(IF(DATA[[#This Row],[estado_fact]]="FACTURADO",VLOOKUP(DATA[[#This Row],[SERIE2]]&amp;"-"&amp;DATA[[#This Row],[NUMERO]],#REF!,34,0),"NO CORRESPONDE"),"NO CORRESPONDE")</f>
        <v>NO CORRESPONDE</v>
      </c>
      <c r="AS68" s="22" t="str">
        <f>IF(DATA[[#This Row],[fecha_fs]]&gt;0,TEXT(DATA[[#This Row],[fecha_fs]],"Mmmm"),0)</f>
        <v>Enero</v>
      </c>
      <c r="AT68" s="22" t="str">
        <f>DATA[[#This Row],[SERIE2]]&amp;"-"&amp;DATA[[#This Row],[NUMERO]]</f>
        <v>FE01-512</v>
      </c>
      <c r="AU68" s="28">
        <f>DATA[[#This Row],[TOTAL]]*DATA[[#This Row],[T.C.]]</f>
        <v>699.74</v>
      </c>
      <c r="AV68" s="6">
        <f>DATA[[#This Row],[FECHA DE VAL.]]</f>
        <v>45674</v>
      </c>
      <c r="AW68" s="6">
        <f>DATA[[#This Row],[FECHA DE EMISION]]</f>
        <v>45678</v>
      </c>
      <c r="AX68" s="6">
        <f>DATA[[#This Row],[F1]]</f>
        <v>0</v>
      </c>
      <c r="AY68" s="20">
        <f>IF(AV68-DATA[[#This Row],[fecha_fs]]&lt;0,0,AV68-DATA[[#This Row],[fecha_fs]])</f>
        <v>4</v>
      </c>
      <c r="AZ68" s="20">
        <f t="shared" si="10"/>
        <v>4</v>
      </c>
      <c r="BA68" s="20">
        <f t="shared" si="11"/>
        <v>0</v>
      </c>
      <c r="BB68" s="195">
        <f>IFERROR(SUM(DATA[[#This Row],[fs_val_ttf]:[fact_pago_ttf]]),0)</f>
        <v>8</v>
      </c>
      <c r="BC68" s="185">
        <v>45670</v>
      </c>
      <c r="BD68" s="185">
        <v>45670</v>
      </c>
      <c r="BE68" s="185">
        <v>45678</v>
      </c>
      <c r="BF68" s="185">
        <v>45678</v>
      </c>
      <c r="BG68" s="20">
        <f>IFERROR(IF(BC68-DATA[[#This Row],[fecha_fs]]&lt;0,0,BC68-DATA[[#This Row],[fecha_fs]]),0)</f>
        <v>0</v>
      </c>
      <c r="BH68" s="20">
        <f t="shared" si="6"/>
        <v>0</v>
      </c>
      <c r="BI68" s="20">
        <f t="shared" si="7"/>
        <v>8</v>
      </c>
      <c r="BJ68" s="20">
        <f t="shared" si="8"/>
        <v>0</v>
      </c>
      <c r="BK68" s="189">
        <f>IFERROR(SUM(DATA[[#This Row],[fs_fd_ttd]:[fend_fenf_ttd]]),0)</f>
        <v>8</v>
      </c>
      <c r="BL68" s="20" t="str">
        <f>IF(DATA[[#This Row],[fecha_fs]]&gt;0,TEXT(DATA[[#This Row],[fecha_fs]],"YYYY"),0)</f>
        <v>2025</v>
      </c>
      <c r="BM68" s="221" t="b">
        <v>1</v>
      </c>
      <c r="BN68" s="278">
        <f>COUNTIF(DATA[[#This Row],[tiempo_td]], "&lt;=15")</f>
        <v>1</v>
      </c>
      <c r="BO68" s="222"/>
    </row>
    <row r="69" spans="1:67" ht="30.6" customHeight="1" x14ac:dyDescent="0.25">
      <c r="A69" s="4">
        <v>20100211115</v>
      </c>
      <c r="B69" s="5" t="s">
        <v>41</v>
      </c>
      <c r="C69" s="52" t="s">
        <v>18</v>
      </c>
      <c r="D69" s="4" t="s">
        <v>120</v>
      </c>
      <c r="E69" s="5" t="s">
        <v>3</v>
      </c>
      <c r="F69" s="24">
        <v>45670</v>
      </c>
      <c r="G69" s="7" t="s">
        <v>113</v>
      </c>
      <c r="H69" s="25">
        <f t="shared" si="9"/>
        <v>1</v>
      </c>
      <c r="I69" s="67">
        <v>3975</v>
      </c>
      <c r="J69" s="8" t="s">
        <v>115</v>
      </c>
      <c r="K69" s="9" t="s">
        <v>121</v>
      </c>
      <c r="L69" s="10" t="s">
        <v>117</v>
      </c>
      <c r="M69" s="11">
        <v>90</v>
      </c>
      <c r="N69" s="12" t="s">
        <v>132</v>
      </c>
      <c r="O69" s="6">
        <v>45684</v>
      </c>
      <c r="P69" s="115">
        <v>3267</v>
      </c>
      <c r="Q69" s="14" t="s">
        <v>85</v>
      </c>
      <c r="R69" s="15"/>
      <c r="S69" s="15">
        <f>(DATA[[#This Row],[cantidad_fs]]*4.37)</f>
        <v>393.3</v>
      </c>
      <c r="T69" s="15">
        <f>DATA[[#This Row],[C. DF]]+DATA[[#This Row],[C.OPE.]]</f>
        <v>393.3</v>
      </c>
      <c r="U69" s="15">
        <f>DATA[[#This Row],[SUB TOTAL]]*0.18</f>
        <v>70.793999999999997</v>
      </c>
      <c r="V69" s="15">
        <f>IFERROR(ROUND(DATA[[#This Row],[SUB TOTAL]]+DATA[[#This Row],[IGV]],2),0)</f>
        <v>464.09</v>
      </c>
      <c r="W69" s="16" t="str">
        <f>IF(DATA[[#This Row],[VALORIZACIÓN ]]="-","NO CORRESPONDE",IF(OR(A69=20558226979,A69=10470707866,A69=20111157058,A69=20100226902),"NO CORRESPONDE",IF(J69="Emitida",IF(P69&gt;0,"EMITIDA","PENDIENTE"),"NO CORRESPONDE")))</f>
        <v>EMITIDA</v>
      </c>
      <c r="X69" s="29"/>
      <c r="Y69" s="17" t="s">
        <v>118</v>
      </c>
      <c r="Z69" s="30">
        <v>45687</v>
      </c>
      <c r="AA69" s="10" t="s">
        <v>124</v>
      </c>
      <c r="AB69" s="19">
        <v>536</v>
      </c>
      <c r="AC69" s="20">
        <v>30</v>
      </c>
      <c r="AD69" s="18">
        <f>DATA[[#This Row],[FECHA DE EMISION]]+DATA[[#This Row],[CONDICION DE PAGO]]</f>
        <v>45717</v>
      </c>
      <c r="AE69" s="23">
        <f>IF(DATA[[#This Row],[MONEDA]]="USD",VLOOKUP(DATA[[#This Row],[COMBINADA]],#REF!,11,0),1)</f>
        <v>1</v>
      </c>
      <c r="AF69" s="39" t="str">
        <f>IF(DATA[[#This Row],[SERIE2]]="-","NO CORRESPONDE",IF(W69="NO CORRESPONDE","NO CORRESPONDE",IF(Z69&gt;0,"FACTURADO","PENDIENTE")))</f>
        <v>FACTURADO</v>
      </c>
      <c r="AG69" s="27">
        <f>IFERROR(VLOOKUP(DATA[[#This Row],[COMBINADA]],#REF!,6,0),0)</f>
        <v>0</v>
      </c>
      <c r="AH69" s="125">
        <f>IFERROR(VLOOKUP(DATA[[#This Row],[COMBINADA]],#REF!,9,0),0)/COUNTIFS(DATA[COMBINADA],DATA[[#This Row],[COMBINADA]])</f>
        <v>0</v>
      </c>
      <c r="AI69" s="27">
        <f>IFERROR(VLOOKUP(DATA[[#This Row],[COMBINADA]],#REF!,6,0),0)</f>
        <v>0</v>
      </c>
      <c r="AJ69" s="125">
        <f>IFERROR(VLOOKUP(DATA[[#This Row],[COMBINADA]],#REF!,9,0),0)/COUNTIFS(DATA[COMBINADA],DATA[[#This Row],[COMBINADA]])</f>
        <v>0</v>
      </c>
      <c r="AK69" s="27">
        <f>IFERROR(VLOOKUP(DATA[[#This Row],[COMBINADA]],#REF!,6,0),0)</f>
        <v>0</v>
      </c>
      <c r="AL69" s="125">
        <f>IFERROR(VLOOKUP(DATA[[#This Row],[COMBINADA]],#REF!,9,0),0)/COUNTIFS(DATA[COMBINADA],DATA[[#This Row],[COMBINADA]])</f>
        <v>0</v>
      </c>
      <c r="AM69" s="27">
        <f>IFERROR(VLOOKUP(DATA[[#This Row],[COMBINADA]],#REF!,6,0),0)</f>
        <v>0</v>
      </c>
      <c r="AN69" s="125">
        <f>IFERROR(VLOOKUP(DATA[[#This Row],[COMBINADA]],#REF!,9,0),0)/COUNTIFS(DATA[COMBINADA],DATA[[#This Row],[COMBINADA]])</f>
        <v>0</v>
      </c>
      <c r="AO69" s="27">
        <f>IFERROR(VLOOKUP(DATA[[#This Row],[COMBINADA]],#REF!,6,0),0)</f>
        <v>0</v>
      </c>
      <c r="AP69" s="125">
        <f>IFERROR(VLOOKUP(DATA[[#This Row],[COMBINADA]],#REF!,9,0),0)/COUNTIFS(DATA[COMBINADA],DATA[[#This Row],[COMBINADA]])</f>
        <v>0</v>
      </c>
      <c r="AQ6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69" s="26" t="str">
        <f>IFERROR(IF(DATA[[#This Row],[estado_fact]]="FACTURADO",VLOOKUP(DATA[[#This Row],[SERIE2]]&amp;"-"&amp;DATA[[#This Row],[NUMERO]],#REF!,34,0),"NO CORRESPONDE"),"NO CORRESPONDE")</f>
        <v>NO CORRESPONDE</v>
      </c>
      <c r="AS69" s="22" t="str">
        <f>IF(DATA[[#This Row],[fecha_fs]]&gt;0,TEXT(DATA[[#This Row],[fecha_fs]],"Mmmm"),0)</f>
        <v>Enero</v>
      </c>
      <c r="AT69" s="22" t="str">
        <f>DATA[[#This Row],[SERIE2]]&amp;"-"&amp;DATA[[#This Row],[NUMERO]]</f>
        <v>FE01-536</v>
      </c>
      <c r="AU69" s="28">
        <f>DATA[[#This Row],[TOTAL]]*DATA[[#This Row],[T.C.]]</f>
        <v>464.09</v>
      </c>
      <c r="AV69" s="6">
        <f>DATA[[#This Row],[FECHA DE VAL.]]</f>
        <v>45684</v>
      </c>
      <c r="AW69" s="6">
        <f>DATA[[#This Row],[FECHA DE EMISION]]</f>
        <v>45687</v>
      </c>
      <c r="AX69" s="6">
        <f>DATA[[#This Row],[F1]]</f>
        <v>0</v>
      </c>
      <c r="AY69" s="20">
        <f>IF(AV69-DATA[[#This Row],[fecha_fs]]&lt;0,0,AV69-DATA[[#This Row],[fecha_fs]])</f>
        <v>14</v>
      </c>
      <c r="AZ69" s="20">
        <f t="shared" si="10"/>
        <v>3</v>
      </c>
      <c r="BA69" s="20">
        <f t="shared" si="11"/>
        <v>0</v>
      </c>
      <c r="BB69" s="195">
        <f>IFERROR(SUM(DATA[[#This Row],[fs_val_ttf]:[fact_pago_ttf]]),0)</f>
        <v>17</v>
      </c>
      <c r="BC69" s="187">
        <v>45698</v>
      </c>
      <c r="BD69" s="187">
        <v>45707</v>
      </c>
      <c r="BE69" s="187">
        <v>45712</v>
      </c>
      <c r="BF69" s="187">
        <v>45714</v>
      </c>
      <c r="BG69" s="20">
        <f>IFERROR(IF(BC69-DATA[[#This Row],[fecha_fs]]&lt;0,0,BC69-DATA[[#This Row],[fecha_fs]]),0)</f>
        <v>28</v>
      </c>
      <c r="BH69" s="20">
        <f t="shared" si="6"/>
        <v>9</v>
      </c>
      <c r="BI69" s="20">
        <f t="shared" si="7"/>
        <v>5</v>
      </c>
      <c r="BJ69" s="20">
        <f t="shared" si="8"/>
        <v>2</v>
      </c>
      <c r="BK69" s="189">
        <f>IFERROR(SUM(DATA[[#This Row],[fs_fd_ttd]:[fend_fenf_ttd]]),0)</f>
        <v>44</v>
      </c>
      <c r="BL69" s="20" t="str">
        <f>IF(DATA[[#This Row],[fecha_fs]]&gt;0,TEXT(DATA[[#This Row],[fecha_fs]],"YYYY"),0)</f>
        <v>2025</v>
      </c>
      <c r="BM69" s="221" t="b">
        <v>1</v>
      </c>
      <c r="BN69" s="278">
        <f>COUNTIF(DATA[[#This Row],[tiempo_td]], "&lt;=15")</f>
        <v>0</v>
      </c>
      <c r="BO69" s="222"/>
    </row>
    <row r="70" spans="1:67" ht="30.6" customHeight="1" x14ac:dyDescent="0.25">
      <c r="A70" s="4">
        <v>20100226902</v>
      </c>
      <c r="B70" s="5" t="s">
        <v>24</v>
      </c>
      <c r="C70" s="52" t="s">
        <v>18</v>
      </c>
      <c r="D70" s="4" t="s">
        <v>120</v>
      </c>
      <c r="E70" s="5" t="s">
        <v>3</v>
      </c>
      <c r="F70" s="24">
        <v>45670</v>
      </c>
      <c r="G70" s="7" t="s">
        <v>113</v>
      </c>
      <c r="H70" s="25">
        <f t="shared" si="9"/>
        <v>1</v>
      </c>
      <c r="I70" s="67">
        <v>3976</v>
      </c>
      <c r="J70" s="8" t="s">
        <v>115</v>
      </c>
      <c r="K70" s="9" t="s">
        <v>121</v>
      </c>
      <c r="L70" s="10" t="s">
        <v>117</v>
      </c>
      <c r="M70" s="11">
        <v>410</v>
      </c>
      <c r="N70" s="12" t="s">
        <v>127</v>
      </c>
      <c r="O70" s="40"/>
      <c r="P70" s="41" t="s">
        <v>114</v>
      </c>
      <c r="Q70" s="42"/>
      <c r="R70" s="43"/>
      <c r="S70" s="43"/>
      <c r="T70" s="43">
        <f>DATA[[#This Row],[C. DF]]+DATA[[#This Row],[C.OPE.]]</f>
        <v>0</v>
      </c>
      <c r="U70" s="43">
        <f>DATA[[#This Row],[SUB TOTAL]]*0.18</f>
        <v>0</v>
      </c>
      <c r="V70" s="43">
        <f>IFERROR(ROUND(DATA[[#This Row],[SUB TOTAL]]+DATA[[#This Row],[IGV]],2),0)</f>
        <v>0</v>
      </c>
      <c r="W70" s="44" t="str">
        <f>IF(DATA[[#This Row],[VALORIZACIÓN ]]="-","NO CORRESPONDE",IF(OR(A70=20558226979,A70=10470707866,A70=20111157058,A70=20100226902),"NO CORRESPONDE",IF(J70="Emitida",IF(P70&gt;0,"EMITIDA","PENDIENTE"),"NO CORRESPONDE")))</f>
        <v>NO CORRESPONDE</v>
      </c>
      <c r="X70" s="45"/>
      <c r="Y70" s="58" t="s">
        <v>128</v>
      </c>
      <c r="Z70" s="46"/>
      <c r="AA70" s="47"/>
      <c r="AB70" s="48"/>
      <c r="AC70" s="49"/>
      <c r="AD70" s="50">
        <f>DATA[[#This Row],[FECHA DE EMISION]]+DATA[[#This Row],[CONDICION DE PAGO]]</f>
        <v>0</v>
      </c>
      <c r="AE70" s="23">
        <f>IF(DATA[[#This Row],[MONEDA]]="USD",VLOOKUP(DATA[[#This Row],[COMBINADA]],#REF!,11,0),1)</f>
        <v>1</v>
      </c>
      <c r="AF70" s="59" t="str">
        <f>IF(DATA[[#This Row],[SERIE2]]="-","NO CORRESPONDE",IF(W70="NO CORRESPONDE","NO CORRESPONDE",IF(Z70&gt;0,"FACTURADO","PENDIENTE")))</f>
        <v>NO CORRESPONDE</v>
      </c>
      <c r="AG70" s="60">
        <f>IFERROR(VLOOKUP(DATA[[#This Row],[COMBINADA]],#REF!,6,0),0)</f>
        <v>0</v>
      </c>
      <c r="AH70" s="126">
        <f>IFERROR(VLOOKUP(DATA[[#This Row],[COMBINADA]],#REF!,9,0),0)/COUNTIFS(DATA[COMBINADA],DATA[[#This Row],[COMBINADA]])</f>
        <v>0</v>
      </c>
      <c r="AI70" s="60">
        <f>IFERROR(VLOOKUP(DATA[[#This Row],[COMBINADA]],#REF!,6,0),0)</f>
        <v>0</v>
      </c>
      <c r="AJ70" s="126">
        <f>IFERROR(VLOOKUP(DATA[[#This Row],[COMBINADA]],#REF!,9,0),0)/COUNTIFS(DATA[COMBINADA],DATA[[#This Row],[COMBINADA]])</f>
        <v>0</v>
      </c>
      <c r="AK70" s="60">
        <f>IFERROR(VLOOKUP(DATA[[#This Row],[COMBINADA]],#REF!,6,0),0)</f>
        <v>0</v>
      </c>
      <c r="AL70" s="126">
        <f>IFERROR(VLOOKUP(DATA[[#This Row],[COMBINADA]],#REF!,9,0),0)/COUNTIFS(DATA[COMBINADA],DATA[[#This Row],[COMBINADA]])</f>
        <v>0</v>
      </c>
      <c r="AM70" s="60">
        <f>IFERROR(VLOOKUP(DATA[[#This Row],[COMBINADA]],#REF!,6,0),0)</f>
        <v>0</v>
      </c>
      <c r="AN70" s="126">
        <f>IFERROR(VLOOKUP(DATA[[#This Row],[COMBINADA]],#REF!,9,0),0)/COUNTIFS(DATA[COMBINADA],DATA[[#This Row],[COMBINADA]])</f>
        <v>0</v>
      </c>
      <c r="AO70" s="60">
        <f>IFERROR(VLOOKUP(DATA[[#This Row],[COMBINADA]],#REF!,6,0),0)</f>
        <v>0</v>
      </c>
      <c r="AP70" s="126">
        <f>IFERROR(VLOOKUP(DATA[[#This Row],[COMBINADA]],#REF!,9,0),0)/COUNTIFS(DATA[COMBINADA],DATA[[#This Row],[COMBINADA]])</f>
        <v>0</v>
      </c>
      <c r="AQ70"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70" s="64" t="str">
        <f>IFERROR(IF(DATA[[#This Row],[estado_fact]]="FACTURADO",VLOOKUP(DATA[[#This Row],[SERIE2]]&amp;"-"&amp;DATA[[#This Row],[NUMERO]],#REF!,34,0),"NO CORRESPONDE"),"NO CORRESPONDE")</f>
        <v>NO CORRESPONDE</v>
      </c>
      <c r="AS70" s="22" t="str">
        <f>IF(DATA[[#This Row],[fecha_fs]]&gt;0,TEXT(DATA[[#This Row],[fecha_fs]],"Mmmm"),0)</f>
        <v>Enero</v>
      </c>
      <c r="AT70" s="22" t="str">
        <f>DATA[[#This Row],[SERIE2]]&amp;"-"&amp;DATA[[#This Row],[NUMERO]]</f>
        <v>-</v>
      </c>
      <c r="AU70" s="28">
        <f>DATA[[#This Row],[TOTAL]]*DATA[[#This Row],[T.C.]]</f>
        <v>0</v>
      </c>
      <c r="AV70" s="6">
        <f>DATA[[#This Row],[FECHA DE VAL.]]</f>
        <v>0</v>
      </c>
      <c r="AW70" s="6">
        <f>DATA[[#This Row],[FECHA DE EMISION]]</f>
        <v>0</v>
      </c>
      <c r="AX70" s="6">
        <f>DATA[[#This Row],[F1]]</f>
        <v>0</v>
      </c>
      <c r="AY70" s="20">
        <f>IF(AV70-DATA[[#This Row],[fecha_fs]]&lt;0,0,AV70-DATA[[#This Row],[fecha_fs]])</f>
        <v>0</v>
      </c>
      <c r="AZ70" s="20">
        <f t="shared" si="10"/>
        <v>0</v>
      </c>
      <c r="BA70" s="20">
        <f t="shared" si="11"/>
        <v>0</v>
      </c>
      <c r="BB70" s="284">
        <f>IFERROR(SUM(DATA[[#This Row],[fs_val_ttf]:[fact_pago_ttf]]),0)</f>
        <v>0</v>
      </c>
      <c r="BC70" s="185">
        <v>45670</v>
      </c>
      <c r="BD70" s="185">
        <v>45670</v>
      </c>
      <c r="BE70" s="185">
        <v>45691</v>
      </c>
      <c r="BF70" s="185">
        <v>45691</v>
      </c>
      <c r="BG70" s="286">
        <f>IFERROR(IF(BC70-DATA[[#This Row],[fecha_fs]]&lt;0,0,BC70-DATA[[#This Row],[fecha_fs]]),0)</f>
        <v>0</v>
      </c>
      <c r="BH70" s="20">
        <f t="shared" ref="BH70:BH133" si="12">IFERROR(IF(BD70-BC70&lt;0,0,BD70-BC70),0)</f>
        <v>0</v>
      </c>
      <c r="BI70" s="20">
        <f t="shared" ref="BI70:BI133" si="13">IFERROR(IF(BE70-BD70&lt;0,0,BE70-BD70),0)</f>
        <v>21</v>
      </c>
      <c r="BJ70" s="20">
        <f t="shared" ref="BJ70:BJ133" si="14">IFERROR(IF(BF70-BE70&lt;0,0,BF70-BE70),0)</f>
        <v>0</v>
      </c>
      <c r="BK70" s="189">
        <f>IFERROR(SUM(DATA[[#This Row],[fs_fd_ttd]:[fend_fenf_ttd]]),0)</f>
        <v>21</v>
      </c>
      <c r="BL70" s="20" t="str">
        <f>IF(DATA[[#This Row],[fecha_fs]]&gt;0,TEXT(DATA[[#This Row],[fecha_fs]],"YYYY"),0)</f>
        <v>2025</v>
      </c>
      <c r="BM70" s="221" t="b">
        <v>1</v>
      </c>
      <c r="BN70" s="278">
        <f>COUNTIF(DATA[[#This Row],[tiempo_td]], "&lt;=15")</f>
        <v>0</v>
      </c>
      <c r="BO70" s="222"/>
    </row>
    <row r="71" spans="1:67" ht="30.6" customHeight="1" x14ac:dyDescent="0.25">
      <c r="A71" s="4">
        <v>20505675836</v>
      </c>
      <c r="B71" s="5" t="s">
        <v>42</v>
      </c>
      <c r="C71" s="52" t="s">
        <v>43</v>
      </c>
      <c r="D71" s="4" t="s">
        <v>112</v>
      </c>
      <c r="E71" s="5" t="s">
        <v>1</v>
      </c>
      <c r="F71" s="24">
        <v>45670</v>
      </c>
      <c r="G71" s="7" t="s">
        <v>113</v>
      </c>
      <c r="H71" s="25">
        <f t="shared" si="9"/>
        <v>1</v>
      </c>
      <c r="I71" s="67">
        <v>3977</v>
      </c>
      <c r="J71" s="8" t="s">
        <v>115</v>
      </c>
      <c r="K71" s="9" t="s">
        <v>116</v>
      </c>
      <c r="L71" s="10" t="s">
        <v>117</v>
      </c>
      <c r="M71" s="11">
        <v>6480</v>
      </c>
      <c r="N71" s="12" t="s">
        <v>122</v>
      </c>
      <c r="O71" s="6">
        <v>45684</v>
      </c>
      <c r="P71" s="69">
        <v>3259</v>
      </c>
      <c r="Q71" s="14" t="s">
        <v>85</v>
      </c>
      <c r="R71" s="15">
        <f>(DATA[[#This Row],[cantidad_fs]]-600)*0.97</f>
        <v>5703.5999999999995</v>
      </c>
      <c r="S71" s="15">
        <v>1427.2</v>
      </c>
      <c r="T71" s="15">
        <f>DATA[[#This Row],[C. DF]]+DATA[[#This Row],[C.OPE.]]</f>
        <v>7130.7999999999993</v>
      </c>
      <c r="U71" s="15">
        <f>DATA[[#This Row],[SUB TOTAL]]*0.18</f>
        <v>1283.5439999999999</v>
      </c>
      <c r="V71" s="15">
        <f>IFERROR(ROUND(DATA[[#This Row],[SUB TOTAL]]+DATA[[#This Row],[IGV]],2),0)</f>
        <v>8414.34</v>
      </c>
      <c r="W71" s="16" t="str">
        <f>IF(DATA[[#This Row],[VALORIZACIÓN ]]="-","NO CORRESPONDE",IF(OR(A71=20558226979,A71=10470707866,A71=20111157058,A71=20100226902),"NO CORRESPONDE",IF(J71="Emitida",IF(P71&gt;0,"EMITIDA","PENDIENTE"),"NO CORRESPONDE")))</f>
        <v>EMITIDA</v>
      </c>
      <c r="X71" s="29" t="s">
        <v>146</v>
      </c>
      <c r="Y71" s="17" t="s">
        <v>118</v>
      </c>
      <c r="Z71" s="30">
        <v>45708</v>
      </c>
      <c r="AA71" s="10" t="s">
        <v>124</v>
      </c>
      <c r="AB71" s="19">
        <v>571</v>
      </c>
      <c r="AC71" s="20">
        <v>30</v>
      </c>
      <c r="AD71" s="18">
        <f>DATA[[#This Row],[FECHA DE EMISION]]+DATA[[#This Row],[CONDICION DE PAGO]]</f>
        <v>45738</v>
      </c>
      <c r="AE71" s="23">
        <f>IF(DATA[[#This Row],[MONEDA]]="USD",VLOOKUP(DATA[[#This Row],[COMBINADA]],#REF!,11,0),1)</f>
        <v>1</v>
      </c>
      <c r="AF71" s="39" t="str">
        <f>IF(DATA[[#This Row],[SERIE2]]="-","NO CORRESPONDE",IF(W71="NO CORRESPONDE","NO CORRESPONDE",IF(Z71&gt;0,"FACTURADO","PENDIENTE")))</f>
        <v>FACTURADO</v>
      </c>
      <c r="AG71" s="27">
        <f>IFERROR(VLOOKUP(DATA[[#This Row],[COMBINADA]],#REF!,6,0),0)</f>
        <v>0</v>
      </c>
      <c r="AH71" s="125">
        <f>IFERROR(VLOOKUP(DATA[[#This Row],[COMBINADA]],#REF!,9,0),0)/COUNTIFS(DATA[COMBINADA],DATA[[#This Row],[COMBINADA]])</f>
        <v>0</v>
      </c>
      <c r="AI71" s="27">
        <f>IFERROR(VLOOKUP(DATA[[#This Row],[COMBINADA]],#REF!,6,0),0)</f>
        <v>0</v>
      </c>
      <c r="AJ71" s="125">
        <f>IFERROR(VLOOKUP(DATA[[#This Row],[COMBINADA]],#REF!,9,0),0)/COUNTIFS(DATA[COMBINADA],DATA[[#This Row],[COMBINADA]])</f>
        <v>0</v>
      </c>
      <c r="AK71" s="27">
        <f>IFERROR(VLOOKUP(DATA[[#This Row],[COMBINADA]],#REF!,6,0),0)</f>
        <v>0</v>
      </c>
      <c r="AL71" s="125">
        <f>IFERROR(VLOOKUP(DATA[[#This Row],[COMBINADA]],#REF!,9,0),0)/COUNTIFS(DATA[COMBINADA],DATA[[#This Row],[COMBINADA]])</f>
        <v>0</v>
      </c>
      <c r="AM71" s="27">
        <f>IFERROR(VLOOKUP(DATA[[#This Row],[COMBINADA]],#REF!,6,0),0)</f>
        <v>0</v>
      </c>
      <c r="AN71" s="125">
        <f>IFERROR(VLOOKUP(DATA[[#This Row],[COMBINADA]],#REF!,9,0),0)/COUNTIFS(DATA[COMBINADA],DATA[[#This Row],[COMBINADA]])</f>
        <v>0</v>
      </c>
      <c r="AO71" s="27">
        <f>IFERROR(VLOOKUP(DATA[[#This Row],[COMBINADA]],#REF!,6,0),0)</f>
        <v>0</v>
      </c>
      <c r="AP71" s="125">
        <f>IFERROR(VLOOKUP(DATA[[#This Row],[COMBINADA]],#REF!,9,0),0)/COUNTIFS(DATA[COMBINADA],DATA[[#This Row],[COMBINADA]])</f>
        <v>0</v>
      </c>
      <c r="AQ7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6464.8840000000009</v>
      </c>
      <c r="AR71" s="26" t="str">
        <f>IFERROR(IF(DATA[[#This Row],[estado_fact]]="FACTURADO",VLOOKUP(DATA[[#This Row],[SERIE2]]&amp;"-"&amp;DATA[[#This Row],[NUMERO]],#REF!,34,0),"NO CORRESPONDE"),"NO CORRESPONDE")</f>
        <v>NO CORRESPONDE</v>
      </c>
      <c r="AS71" s="22" t="str">
        <f>IF(DATA[[#This Row],[fecha_fs]]&gt;0,TEXT(DATA[[#This Row],[fecha_fs]],"Mmmm"),0)</f>
        <v>Enero</v>
      </c>
      <c r="AT71" s="22" t="str">
        <f>DATA[[#This Row],[SERIE2]]&amp;"-"&amp;DATA[[#This Row],[NUMERO]]</f>
        <v>FE01-571</v>
      </c>
      <c r="AU71" s="28">
        <f>DATA[[#This Row],[TOTAL]]*DATA[[#This Row],[T.C.]]</f>
        <v>8414.34</v>
      </c>
      <c r="AV71" s="6">
        <f>DATA[[#This Row],[FECHA DE VAL.]]</f>
        <v>45684</v>
      </c>
      <c r="AW71" s="6">
        <f>DATA[[#This Row],[FECHA DE EMISION]]</f>
        <v>45708</v>
      </c>
      <c r="AX71" s="6">
        <f>DATA[[#This Row],[F1]]</f>
        <v>0</v>
      </c>
      <c r="AY71" s="20">
        <f>IF(AV71-DATA[[#This Row],[fecha_fs]]&lt;0,0,AV71-DATA[[#This Row],[fecha_fs]])</f>
        <v>14</v>
      </c>
      <c r="AZ71" s="20">
        <f t="shared" si="10"/>
        <v>24</v>
      </c>
      <c r="BA71" s="20">
        <f t="shared" si="11"/>
        <v>0</v>
      </c>
      <c r="BB71" s="195">
        <f>IFERROR(SUM(DATA[[#This Row],[fs_val_ttf]:[fact_pago_ttf]]),0)</f>
        <v>38</v>
      </c>
      <c r="BC71" s="184">
        <v>45684</v>
      </c>
      <c r="BD71" s="184">
        <v>45692</v>
      </c>
      <c r="BE71" s="184">
        <v>45695</v>
      </c>
      <c r="BF71" s="184">
        <v>45734</v>
      </c>
      <c r="BG71" s="20">
        <f>IFERROR(IF(BC71-DATA[[#This Row],[fecha_fs]]&lt;0,0,BC71-DATA[[#This Row],[fecha_fs]]),0)</f>
        <v>14</v>
      </c>
      <c r="BH71" s="20">
        <f t="shared" si="12"/>
        <v>8</v>
      </c>
      <c r="BI71" s="20">
        <f t="shared" si="13"/>
        <v>3</v>
      </c>
      <c r="BJ71" s="20">
        <f t="shared" si="14"/>
        <v>39</v>
      </c>
      <c r="BK71" s="189">
        <f>IFERROR(SUM(DATA[[#This Row],[fs_fd_ttd]:[fend_fenf_ttd]]),0)</f>
        <v>64</v>
      </c>
      <c r="BL71" s="20" t="str">
        <f>IF(DATA[[#This Row],[fecha_fs]]&gt;0,TEXT(DATA[[#This Row],[fecha_fs]],"YYYY"),0)</f>
        <v>2025</v>
      </c>
      <c r="BM71" s="221" t="b">
        <v>1</v>
      </c>
      <c r="BN71" s="278">
        <f>COUNTIF(DATA[[#This Row],[tiempo_td]], "&lt;=15")</f>
        <v>0</v>
      </c>
      <c r="BO71" s="222"/>
    </row>
    <row r="72" spans="1:67" ht="30.6" customHeight="1" x14ac:dyDescent="0.25">
      <c r="A72" s="4">
        <v>20419158462</v>
      </c>
      <c r="B72" s="5" t="s">
        <v>2</v>
      </c>
      <c r="C72" s="52" t="s">
        <v>11</v>
      </c>
      <c r="D72" s="4" t="s">
        <v>120</v>
      </c>
      <c r="E72" s="5" t="s">
        <v>3</v>
      </c>
      <c r="F72" s="24">
        <v>45670</v>
      </c>
      <c r="G72" s="7" t="s">
        <v>113</v>
      </c>
      <c r="H72" s="25">
        <f t="shared" si="9"/>
        <v>1</v>
      </c>
      <c r="I72" s="67">
        <v>3978</v>
      </c>
      <c r="J72" s="8" t="s">
        <v>115</v>
      </c>
      <c r="K72" s="9" t="s">
        <v>156</v>
      </c>
      <c r="L72" s="10" t="s">
        <v>117</v>
      </c>
      <c r="M72" s="11">
        <v>390</v>
      </c>
      <c r="N72" s="12" t="s">
        <v>125</v>
      </c>
      <c r="O72" s="6">
        <v>45671</v>
      </c>
      <c r="P72" s="13">
        <v>3231</v>
      </c>
      <c r="Q72" s="14" t="s">
        <v>85</v>
      </c>
      <c r="R72" s="15">
        <v>0</v>
      </c>
      <c r="S72" s="15">
        <f>1429.7/3</f>
        <v>476.56666666666666</v>
      </c>
      <c r="T72" s="15">
        <f>DATA[[#This Row],[C. DF]]+DATA[[#This Row],[C.OPE.]]</f>
        <v>476.56666666666666</v>
      </c>
      <c r="U72" s="15">
        <f>DATA[[#This Row],[SUB TOTAL]]*0.18</f>
        <v>85.781999999999996</v>
      </c>
      <c r="V72" s="15">
        <f>IFERROR(ROUND(DATA[[#This Row],[SUB TOTAL]]+DATA[[#This Row],[IGV]],2),0)</f>
        <v>562.35</v>
      </c>
      <c r="W72" s="16" t="str">
        <f>IF(DATA[[#This Row],[VALORIZACIÓN ]]="-","NO CORRESPONDE",IF(OR(A72=20558226979,A72=10470707866,A72=20111157058,A72=20100226902),"NO CORRESPONDE",IF(J72="Emitida",IF(P72&gt;0,"EMITIDA","PENDIENTE"),"NO CORRESPONDE")))</f>
        <v>EMITIDA</v>
      </c>
      <c r="X72" s="29" t="s">
        <v>149</v>
      </c>
      <c r="Y72" s="17" t="s">
        <v>118</v>
      </c>
      <c r="Z72" s="30">
        <v>45761</v>
      </c>
      <c r="AA72" s="10" t="s">
        <v>150</v>
      </c>
      <c r="AB72" s="19">
        <v>28</v>
      </c>
      <c r="AC72" s="20">
        <v>15</v>
      </c>
      <c r="AD72" s="18">
        <f>DATA[[#This Row],[FECHA DE EMISION]]+DATA[[#This Row],[CONDICION DE PAGO]]</f>
        <v>45776</v>
      </c>
      <c r="AE72" s="23">
        <f>IF(DATA[[#This Row],[MONEDA]]="USD",VLOOKUP(DATA[[#This Row],[COMBINADA]],#REF!,11,0),1)</f>
        <v>1</v>
      </c>
      <c r="AF72" s="39" t="str">
        <f>IF(DATA[[#This Row],[SERIE2]]="-","NO CORRESPONDE",IF(W72="NO CORRESPONDE","NO CORRESPONDE",IF(Z72&gt;0,"FACTURADO","PENDIENTE")))</f>
        <v>FACTURADO</v>
      </c>
      <c r="AG72" s="27">
        <f>IFERROR(VLOOKUP(DATA[[#This Row],[COMBINADA]],#REF!,6,0),0)</f>
        <v>0</v>
      </c>
      <c r="AH72" s="125">
        <f>IFERROR(VLOOKUP(DATA[[#This Row],[COMBINADA]],#REF!,9,0),0)/COUNTIFS(DATA[COMBINADA],DATA[[#This Row],[COMBINADA]])</f>
        <v>0</v>
      </c>
      <c r="AI72" s="27">
        <f>IFERROR(VLOOKUP(DATA[[#This Row],[COMBINADA]],#REF!,6,0),0)</f>
        <v>0</v>
      </c>
      <c r="AJ72" s="125">
        <f>IFERROR(VLOOKUP(DATA[[#This Row],[COMBINADA]],#REF!,9,0),0)/COUNTIFS(DATA[COMBINADA],DATA[[#This Row],[COMBINADA]])</f>
        <v>0</v>
      </c>
      <c r="AK72" s="27">
        <f>IFERROR(VLOOKUP(DATA[[#This Row],[COMBINADA]],#REF!,6,0),0)</f>
        <v>0</v>
      </c>
      <c r="AL72" s="125">
        <f>IFERROR(VLOOKUP(DATA[[#This Row],[COMBINADA]],#REF!,9,0),0)/COUNTIFS(DATA[COMBINADA],DATA[[#This Row],[COMBINADA]])</f>
        <v>0</v>
      </c>
      <c r="AM72" s="27">
        <f>IFERROR(VLOOKUP(DATA[[#This Row],[COMBINADA]],#REF!,6,0),0)</f>
        <v>0</v>
      </c>
      <c r="AN72" s="125">
        <f>IFERROR(VLOOKUP(DATA[[#This Row],[COMBINADA]],#REF!,9,0),0)/COUNTIFS(DATA[COMBINADA],DATA[[#This Row],[COMBINADA]])</f>
        <v>0</v>
      </c>
      <c r="AO72" s="27">
        <f>IFERROR(VLOOKUP(DATA[[#This Row],[COMBINADA]],#REF!,6,0),0)</f>
        <v>0</v>
      </c>
      <c r="AP72" s="125">
        <f>IFERROR(VLOOKUP(DATA[[#This Row],[COMBINADA]],#REF!,9,0),0)/COUNTIFS(DATA[COMBINADA],DATA[[#This Row],[COMBINADA]])</f>
        <v>0</v>
      </c>
      <c r="AQ7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562.35</v>
      </c>
      <c r="AR72" s="26" t="str">
        <f>IFERROR(IF(DATA[[#This Row],[estado_fact]]="FACTURADO",VLOOKUP(DATA[[#This Row],[SERIE2]]&amp;"-"&amp;DATA[[#This Row],[NUMERO]],#REF!,34,0),"NO CORRESPONDE"),"NO CORRESPONDE")</f>
        <v>NO CORRESPONDE</v>
      </c>
      <c r="AS72" s="22" t="str">
        <f>IF(DATA[[#This Row],[fecha_fs]]&gt;0,TEXT(DATA[[#This Row],[fecha_fs]],"Mmmm"),0)</f>
        <v>Enero</v>
      </c>
      <c r="AT72" s="22" t="str">
        <f>DATA[[#This Row],[SERIE2]]&amp;"-"&amp;DATA[[#This Row],[NUMERO]]</f>
        <v>FF01-28</v>
      </c>
      <c r="AU72" s="28">
        <f>DATA[[#This Row],[TOTAL]]*DATA[[#This Row],[T.C.]]</f>
        <v>562.35</v>
      </c>
      <c r="AV72" s="6">
        <f>DATA[[#This Row],[FECHA DE VAL.]]</f>
        <v>45671</v>
      </c>
      <c r="AW72" s="6">
        <f>DATA[[#This Row],[FECHA DE EMISION]]</f>
        <v>45761</v>
      </c>
      <c r="AX72" s="6">
        <f>DATA[[#This Row],[F1]]</f>
        <v>0</v>
      </c>
      <c r="AY72" s="20">
        <f>IF(AV72-DATA[[#This Row],[fecha_fs]]&lt;0,0,AV72-DATA[[#This Row],[fecha_fs]])</f>
        <v>1</v>
      </c>
      <c r="AZ72" s="20">
        <f t="shared" si="10"/>
        <v>90</v>
      </c>
      <c r="BA72" s="20">
        <f t="shared" si="11"/>
        <v>0</v>
      </c>
      <c r="BB72" s="195">
        <f>IFERROR(SUM(DATA[[#This Row],[fs_val_ttf]:[fact_pago_ttf]]),0)</f>
        <v>91</v>
      </c>
      <c r="BC72" s="185">
        <v>45670</v>
      </c>
      <c r="BD72" s="185">
        <v>45670</v>
      </c>
      <c r="BE72" s="185">
        <v>45686</v>
      </c>
      <c r="BF72" s="185">
        <v>45686</v>
      </c>
      <c r="BG72" s="20">
        <f>IFERROR(IF(BC72-DATA[[#This Row],[fecha_fs]]&lt;0,0,BC72-DATA[[#This Row],[fecha_fs]]),0)</f>
        <v>0</v>
      </c>
      <c r="BH72" s="20">
        <f t="shared" si="12"/>
        <v>0</v>
      </c>
      <c r="BI72" s="20">
        <f t="shared" si="13"/>
        <v>16</v>
      </c>
      <c r="BJ72" s="20">
        <f t="shared" si="14"/>
        <v>0</v>
      </c>
      <c r="BK72" s="189">
        <f>IFERROR(SUM(DATA[[#This Row],[fs_fd_ttd]:[fend_fenf_ttd]]),0)</f>
        <v>16</v>
      </c>
      <c r="BL72" s="20" t="str">
        <f>IF(DATA[[#This Row],[fecha_fs]]&gt;0,TEXT(DATA[[#This Row],[fecha_fs]],"YYYY"),0)</f>
        <v>2025</v>
      </c>
      <c r="BM72" s="221" t="b">
        <v>1</v>
      </c>
      <c r="BN72" s="278">
        <f>COUNTIF(DATA[[#This Row],[tiempo_td]], "&lt;=15")</f>
        <v>0</v>
      </c>
      <c r="BO72" s="222"/>
    </row>
    <row r="73" spans="1:67" ht="30.6" customHeight="1" x14ac:dyDescent="0.25">
      <c r="A73" s="4">
        <v>20419158462</v>
      </c>
      <c r="B73" s="5" t="s">
        <v>2</v>
      </c>
      <c r="C73" s="52" t="s">
        <v>12</v>
      </c>
      <c r="D73" s="4" t="s">
        <v>120</v>
      </c>
      <c r="E73" s="5" t="s">
        <v>3</v>
      </c>
      <c r="F73" s="24">
        <v>45670</v>
      </c>
      <c r="G73" s="7" t="s">
        <v>113</v>
      </c>
      <c r="H73" s="25">
        <f t="shared" si="9"/>
        <v>1</v>
      </c>
      <c r="I73" s="67">
        <v>3979</v>
      </c>
      <c r="J73" s="8" t="s">
        <v>115</v>
      </c>
      <c r="K73" s="9" t="s">
        <v>156</v>
      </c>
      <c r="L73" s="10" t="s">
        <v>117</v>
      </c>
      <c r="M73" s="11">
        <v>424</v>
      </c>
      <c r="N73" s="12" t="s">
        <v>125</v>
      </c>
      <c r="O73" s="6">
        <v>45671</v>
      </c>
      <c r="P73" s="13">
        <v>3231</v>
      </c>
      <c r="Q73" s="14" t="s">
        <v>85</v>
      </c>
      <c r="R73" s="15">
        <v>0</v>
      </c>
      <c r="S73" s="15">
        <f>1429.7/3</f>
        <v>476.56666666666666</v>
      </c>
      <c r="T73" s="15">
        <f>DATA[[#This Row],[C. DF]]+DATA[[#This Row],[C.OPE.]]</f>
        <v>476.56666666666666</v>
      </c>
      <c r="U73" s="15">
        <f>DATA[[#This Row],[SUB TOTAL]]*0.18</f>
        <v>85.781999999999996</v>
      </c>
      <c r="V73" s="15">
        <f>IFERROR(ROUND(DATA[[#This Row],[SUB TOTAL]]+DATA[[#This Row],[IGV]],2),0)</f>
        <v>562.35</v>
      </c>
      <c r="W73" s="16" t="str">
        <f>IF(DATA[[#This Row],[VALORIZACIÓN ]]="-","NO CORRESPONDE",IF(OR(A73=20558226979,A73=10470707866,A73=20111157058,A73=20100226902),"NO CORRESPONDE",IF(J73="Emitida",IF(P73&gt;0,"EMITIDA","PENDIENTE"),"NO CORRESPONDE")))</f>
        <v>EMITIDA</v>
      </c>
      <c r="X73" s="29" t="s">
        <v>149</v>
      </c>
      <c r="Y73" s="17" t="s">
        <v>118</v>
      </c>
      <c r="Z73" s="30">
        <v>45761</v>
      </c>
      <c r="AA73" s="10" t="s">
        <v>150</v>
      </c>
      <c r="AB73" s="19">
        <v>28</v>
      </c>
      <c r="AC73" s="20">
        <v>15</v>
      </c>
      <c r="AD73" s="18">
        <f>DATA[[#This Row],[FECHA DE EMISION]]+DATA[[#This Row],[CONDICION DE PAGO]]</f>
        <v>45776</v>
      </c>
      <c r="AE73" s="23">
        <f>IF(DATA[[#This Row],[MONEDA]]="USD",VLOOKUP(DATA[[#This Row],[COMBINADA]],#REF!,11,0),1)</f>
        <v>1</v>
      </c>
      <c r="AF73" s="39" t="str">
        <f>IF(DATA[[#This Row],[SERIE2]]="-","NO CORRESPONDE",IF(W73="NO CORRESPONDE","NO CORRESPONDE",IF(Z73&gt;0,"FACTURADO","PENDIENTE")))</f>
        <v>FACTURADO</v>
      </c>
      <c r="AG73" s="27">
        <f>IFERROR(VLOOKUP(DATA[[#This Row],[COMBINADA]],#REF!,6,0),0)</f>
        <v>0</v>
      </c>
      <c r="AH73" s="125">
        <f>IFERROR(VLOOKUP(DATA[[#This Row],[COMBINADA]],#REF!,9,0),0)/COUNTIFS(DATA[COMBINADA],DATA[[#This Row],[COMBINADA]])</f>
        <v>0</v>
      </c>
      <c r="AI73" s="27">
        <f>IFERROR(VLOOKUP(DATA[[#This Row],[COMBINADA]],#REF!,6,0),0)</f>
        <v>0</v>
      </c>
      <c r="AJ73" s="125">
        <f>IFERROR(VLOOKUP(DATA[[#This Row],[COMBINADA]],#REF!,9,0),0)/COUNTIFS(DATA[COMBINADA],DATA[[#This Row],[COMBINADA]])</f>
        <v>0</v>
      </c>
      <c r="AK73" s="27">
        <f>IFERROR(VLOOKUP(DATA[[#This Row],[COMBINADA]],#REF!,6,0),0)</f>
        <v>0</v>
      </c>
      <c r="AL73" s="125">
        <f>IFERROR(VLOOKUP(DATA[[#This Row],[COMBINADA]],#REF!,9,0),0)/COUNTIFS(DATA[COMBINADA],DATA[[#This Row],[COMBINADA]])</f>
        <v>0</v>
      </c>
      <c r="AM73" s="27">
        <f>IFERROR(VLOOKUP(DATA[[#This Row],[COMBINADA]],#REF!,6,0),0)</f>
        <v>0</v>
      </c>
      <c r="AN73" s="125">
        <f>IFERROR(VLOOKUP(DATA[[#This Row],[COMBINADA]],#REF!,9,0),0)/COUNTIFS(DATA[COMBINADA],DATA[[#This Row],[COMBINADA]])</f>
        <v>0</v>
      </c>
      <c r="AO73" s="27">
        <f>IFERROR(VLOOKUP(DATA[[#This Row],[COMBINADA]],#REF!,6,0),0)</f>
        <v>0</v>
      </c>
      <c r="AP73" s="125">
        <f>IFERROR(VLOOKUP(DATA[[#This Row],[COMBINADA]],#REF!,9,0),0)/COUNTIFS(DATA[COMBINADA],DATA[[#This Row],[COMBINADA]])</f>
        <v>0</v>
      </c>
      <c r="AQ7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562.35</v>
      </c>
      <c r="AR73" s="26" t="str">
        <f>IFERROR(IF(DATA[[#This Row],[estado_fact]]="FACTURADO",VLOOKUP(DATA[[#This Row],[SERIE2]]&amp;"-"&amp;DATA[[#This Row],[NUMERO]],#REF!,34,0),"NO CORRESPONDE"),"NO CORRESPONDE")</f>
        <v>NO CORRESPONDE</v>
      </c>
      <c r="AS73" s="22" t="str">
        <f>IF(DATA[[#This Row],[fecha_fs]]&gt;0,TEXT(DATA[[#This Row],[fecha_fs]],"Mmmm"),0)</f>
        <v>Enero</v>
      </c>
      <c r="AT73" s="22" t="str">
        <f>DATA[[#This Row],[SERIE2]]&amp;"-"&amp;DATA[[#This Row],[NUMERO]]</f>
        <v>FF01-28</v>
      </c>
      <c r="AU73" s="28">
        <f>DATA[[#This Row],[TOTAL]]*DATA[[#This Row],[T.C.]]</f>
        <v>562.35</v>
      </c>
      <c r="AV73" s="6">
        <f>DATA[[#This Row],[FECHA DE VAL.]]</f>
        <v>45671</v>
      </c>
      <c r="AW73" s="6">
        <f>DATA[[#This Row],[FECHA DE EMISION]]</f>
        <v>45761</v>
      </c>
      <c r="AX73" s="6">
        <f>DATA[[#This Row],[F1]]</f>
        <v>0</v>
      </c>
      <c r="AY73" s="20">
        <f>IF(AV73-DATA[[#This Row],[fecha_fs]]&lt;0,0,AV73-DATA[[#This Row],[fecha_fs]])</f>
        <v>1</v>
      </c>
      <c r="AZ73" s="20">
        <f t="shared" si="10"/>
        <v>90</v>
      </c>
      <c r="BA73" s="20">
        <f t="shared" si="11"/>
        <v>0</v>
      </c>
      <c r="BB73" s="195">
        <f>IFERROR(SUM(DATA[[#This Row],[fs_val_ttf]:[fact_pago_ttf]]),0)</f>
        <v>91</v>
      </c>
      <c r="BC73" s="185">
        <v>45670</v>
      </c>
      <c r="BD73" s="185">
        <v>45670</v>
      </c>
      <c r="BE73" s="185">
        <v>45686</v>
      </c>
      <c r="BF73" s="185">
        <v>45686</v>
      </c>
      <c r="BG73" s="20">
        <f>IFERROR(IF(BC73-DATA[[#This Row],[fecha_fs]]&lt;0,0,BC73-DATA[[#This Row],[fecha_fs]]),0)</f>
        <v>0</v>
      </c>
      <c r="BH73" s="20">
        <f t="shared" si="12"/>
        <v>0</v>
      </c>
      <c r="BI73" s="20">
        <f t="shared" si="13"/>
        <v>16</v>
      </c>
      <c r="BJ73" s="20">
        <f t="shared" si="14"/>
        <v>0</v>
      </c>
      <c r="BK73" s="189">
        <f>IFERROR(SUM(DATA[[#This Row],[fs_fd_ttd]:[fend_fenf_ttd]]),0)</f>
        <v>16</v>
      </c>
      <c r="BL73" s="20" t="str">
        <f>IF(DATA[[#This Row],[fecha_fs]]&gt;0,TEXT(DATA[[#This Row],[fecha_fs]],"YYYY"),0)</f>
        <v>2025</v>
      </c>
      <c r="BM73" s="221" t="b">
        <v>1</v>
      </c>
      <c r="BN73" s="278">
        <f>COUNTIF(DATA[[#This Row],[tiempo_td]], "&lt;=15")</f>
        <v>0</v>
      </c>
      <c r="BO73" s="222"/>
    </row>
    <row r="74" spans="1:67" ht="30.6" customHeight="1" x14ac:dyDescent="0.25">
      <c r="A74" s="4">
        <v>20419158462</v>
      </c>
      <c r="B74" s="5" t="s">
        <v>2</v>
      </c>
      <c r="C74" s="52" t="s">
        <v>13</v>
      </c>
      <c r="D74" s="4" t="s">
        <v>120</v>
      </c>
      <c r="E74" s="5" t="s">
        <v>3</v>
      </c>
      <c r="F74" s="24">
        <v>45670</v>
      </c>
      <c r="G74" s="7" t="s">
        <v>113</v>
      </c>
      <c r="H74" s="25">
        <f t="shared" si="9"/>
        <v>1</v>
      </c>
      <c r="I74" s="67">
        <v>3980</v>
      </c>
      <c r="J74" s="8" t="s">
        <v>115</v>
      </c>
      <c r="K74" s="9" t="s">
        <v>156</v>
      </c>
      <c r="L74" s="10" t="s">
        <v>117</v>
      </c>
      <c r="M74" s="11">
        <v>770</v>
      </c>
      <c r="N74" s="12" t="s">
        <v>125</v>
      </c>
      <c r="O74" s="6">
        <v>45671</v>
      </c>
      <c r="P74" s="13">
        <v>3231</v>
      </c>
      <c r="Q74" s="14" t="s">
        <v>85</v>
      </c>
      <c r="R74" s="15">
        <v>0</v>
      </c>
      <c r="S74" s="15">
        <f>1429.7/3</f>
        <v>476.56666666666666</v>
      </c>
      <c r="T74" s="15">
        <f>DATA[[#This Row],[C. DF]]+DATA[[#This Row],[C.OPE.]]</f>
        <v>476.56666666666666</v>
      </c>
      <c r="U74" s="15">
        <f>DATA[[#This Row],[SUB TOTAL]]*0.18</f>
        <v>85.781999999999996</v>
      </c>
      <c r="V74" s="15">
        <f>IFERROR(ROUND(DATA[[#This Row],[SUB TOTAL]]+DATA[[#This Row],[IGV]],2),0)</f>
        <v>562.35</v>
      </c>
      <c r="W74" s="16" t="str">
        <f>IF(DATA[[#This Row],[VALORIZACIÓN ]]="-","NO CORRESPONDE",IF(OR(A74=20558226979,A74=10470707866,A74=20111157058,A74=20100226902),"NO CORRESPONDE",IF(J74="Emitida",IF(P74&gt;0,"EMITIDA","PENDIENTE"),"NO CORRESPONDE")))</f>
        <v>EMITIDA</v>
      </c>
      <c r="X74" s="29" t="s">
        <v>149</v>
      </c>
      <c r="Y74" s="17" t="s">
        <v>118</v>
      </c>
      <c r="Z74" s="30">
        <v>45761</v>
      </c>
      <c r="AA74" s="10" t="s">
        <v>150</v>
      </c>
      <c r="AB74" s="19">
        <v>28</v>
      </c>
      <c r="AC74" s="20">
        <v>15</v>
      </c>
      <c r="AD74" s="18">
        <f>DATA[[#This Row],[FECHA DE EMISION]]+DATA[[#This Row],[CONDICION DE PAGO]]</f>
        <v>45776</v>
      </c>
      <c r="AE74" s="23">
        <f>IF(DATA[[#This Row],[MONEDA]]="USD",VLOOKUP(DATA[[#This Row],[COMBINADA]],#REF!,11,0),1)</f>
        <v>1</v>
      </c>
      <c r="AF74" s="39" t="str">
        <f>IF(DATA[[#This Row],[SERIE2]]="-","NO CORRESPONDE",IF(W74="NO CORRESPONDE","NO CORRESPONDE",IF(Z74&gt;0,"FACTURADO","PENDIENTE")))</f>
        <v>FACTURADO</v>
      </c>
      <c r="AG74" s="27">
        <f>IFERROR(VLOOKUP(DATA[[#This Row],[COMBINADA]],#REF!,6,0),0)</f>
        <v>0</v>
      </c>
      <c r="AH74" s="125">
        <f>IFERROR(VLOOKUP(DATA[[#This Row],[COMBINADA]],#REF!,9,0),0)/COUNTIFS(DATA[COMBINADA],DATA[[#This Row],[COMBINADA]])</f>
        <v>0</v>
      </c>
      <c r="AI74" s="27">
        <f>IFERROR(VLOOKUP(DATA[[#This Row],[COMBINADA]],#REF!,6,0),0)</f>
        <v>0</v>
      </c>
      <c r="AJ74" s="125">
        <f>IFERROR(VLOOKUP(DATA[[#This Row],[COMBINADA]],#REF!,9,0),0)/COUNTIFS(DATA[COMBINADA],DATA[[#This Row],[COMBINADA]])</f>
        <v>0</v>
      </c>
      <c r="AK74" s="27">
        <f>IFERROR(VLOOKUP(DATA[[#This Row],[COMBINADA]],#REF!,6,0),0)</f>
        <v>0</v>
      </c>
      <c r="AL74" s="125">
        <f>IFERROR(VLOOKUP(DATA[[#This Row],[COMBINADA]],#REF!,9,0),0)/COUNTIFS(DATA[COMBINADA],DATA[[#This Row],[COMBINADA]])</f>
        <v>0</v>
      </c>
      <c r="AM74" s="27">
        <f>IFERROR(VLOOKUP(DATA[[#This Row],[COMBINADA]],#REF!,6,0),0)</f>
        <v>0</v>
      </c>
      <c r="AN74" s="125">
        <f>IFERROR(VLOOKUP(DATA[[#This Row],[COMBINADA]],#REF!,9,0),0)/COUNTIFS(DATA[COMBINADA],DATA[[#This Row],[COMBINADA]])</f>
        <v>0</v>
      </c>
      <c r="AO74" s="27">
        <f>IFERROR(VLOOKUP(DATA[[#This Row],[COMBINADA]],#REF!,6,0),0)</f>
        <v>0</v>
      </c>
      <c r="AP74" s="125">
        <f>IFERROR(VLOOKUP(DATA[[#This Row],[COMBINADA]],#REF!,9,0),0)/COUNTIFS(DATA[COMBINADA],DATA[[#This Row],[COMBINADA]])</f>
        <v>0</v>
      </c>
      <c r="AQ7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562.35</v>
      </c>
      <c r="AR74" s="26" t="str">
        <f>IFERROR(IF(DATA[[#This Row],[estado_fact]]="FACTURADO",VLOOKUP(DATA[[#This Row],[SERIE2]]&amp;"-"&amp;DATA[[#This Row],[NUMERO]],#REF!,34,0),"NO CORRESPONDE"),"NO CORRESPONDE")</f>
        <v>NO CORRESPONDE</v>
      </c>
      <c r="AS74" s="22" t="str">
        <f>IF(DATA[[#This Row],[fecha_fs]]&gt;0,TEXT(DATA[[#This Row],[fecha_fs]],"Mmmm"),0)</f>
        <v>Enero</v>
      </c>
      <c r="AT74" s="22" t="str">
        <f>DATA[[#This Row],[SERIE2]]&amp;"-"&amp;DATA[[#This Row],[NUMERO]]</f>
        <v>FF01-28</v>
      </c>
      <c r="AU74" s="28">
        <f>DATA[[#This Row],[TOTAL]]*DATA[[#This Row],[T.C.]]</f>
        <v>562.35</v>
      </c>
      <c r="AV74" s="6">
        <f>DATA[[#This Row],[FECHA DE VAL.]]</f>
        <v>45671</v>
      </c>
      <c r="AW74" s="6">
        <f>DATA[[#This Row],[FECHA DE EMISION]]</f>
        <v>45761</v>
      </c>
      <c r="AX74" s="6">
        <f>DATA[[#This Row],[F1]]</f>
        <v>0</v>
      </c>
      <c r="AY74" s="20">
        <f>IF(AV74-DATA[[#This Row],[fecha_fs]]&lt;0,0,AV74-DATA[[#This Row],[fecha_fs]])</f>
        <v>1</v>
      </c>
      <c r="AZ74" s="20">
        <f t="shared" si="10"/>
        <v>90</v>
      </c>
      <c r="BA74" s="20">
        <f t="shared" si="11"/>
        <v>0</v>
      </c>
      <c r="BB74" s="195">
        <f>IFERROR(SUM(DATA[[#This Row],[fs_val_ttf]:[fact_pago_ttf]]),0)</f>
        <v>91</v>
      </c>
      <c r="BC74" s="185">
        <v>45670</v>
      </c>
      <c r="BD74" s="185">
        <v>45670</v>
      </c>
      <c r="BE74" s="185">
        <v>45686</v>
      </c>
      <c r="BF74" s="185">
        <v>45686</v>
      </c>
      <c r="BG74" s="20">
        <f>IFERROR(IF(BC74-DATA[[#This Row],[fecha_fs]]&lt;0,0,BC74-DATA[[#This Row],[fecha_fs]]),0)</f>
        <v>0</v>
      </c>
      <c r="BH74" s="20">
        <f t="shared" si="12"/>
        <v>0</v>
      </c>
      <c r="BI74" s="20">
        <f t="shared" si="13"/>
        <v>16</v>
      </c>
      <c r="BJ74" s="20">
        <f t="shared" si="14"/>
        <v>0</v>
      </c>
      <c r="BK74" s="189">
        <f>IFERROR(SUM(DATA[[#This Row],[fs_fd_ttd]:[fend_fenf_ttd]]),0)</f>
        <v>16</v>
      </c>
      <c r="BL74" s="20" t="str">
        <f>IF(DATA[[#This Row],[fecha_fs]]&gt;0,TEXT(DATA[[#This Row],[fecha_fs]],"YYYY"),0)</f>
        <v>2025</v>
      </c>
      <c r="BM74" s="221" t="b">
        <v>1</v>
      </c>
      <c r="BN74" s="278">
        <f>COUNTIF(DATA[[#This Row],[tiempo_td]], "&lt;=15")</f>
        <v>0</v>
      </c>
      <c r="BO74" s="222"/>
    </row>
    <row r="75" spans="1:67" ht="30.6" customHeight="1" x14ac:dyDescent="0.25">
      <c r="A75" s="4">
        <v>20100192064</v>
      </c>
      <c r="B75" s="5" t="s">
        <v>60</v>
      </c>
      <c r="C75" s="52" t="s">
        <v>64</v>
      </c>
      <c r="D75" s="4" t="s">
        <v>112</v>
      </c>
      <c r="E75" s="5" t="s">
        <v>1</v>
      </c>
      <c r="F75" s="24">
        <v>45670</v>
      </c>
      <c r="G75" s="7" t="s">
        <v>113</v>
      </c>
      <c r="H75" s="25">
        <f t="shared" si="9"/>
        <v>1</v>
      </c>
      <c r="I75" s="67">
        <v>3981</v>
      </c>
      <c r="J75" s="8" t="s">
        <v>115</v>
      </c>
      <c r="K75" s="9" t="s">
        <v>116</v>
      </c>
      <c r="L75" s="10" t="s">
        <v>117</v>
      </c>
      <c r="M75" s="11">
        <v>260</v>
      </c>
      <c r="N75" s="12" t="s">
        <v>132</v>
      </c>
      <c r="O75" s="6">
        <v>45684</v>
      </c>
      <c r="P75" s="57">
        <v>3247</v>
      </c>
      <c r="Q75" s="14" t="s">
        <v>123</v>
      </c>
      <c r="R75" s="15">
        <f>(DATA[[#This Row],[cantidad_fs]]/1000)*(143+175.34)</f>
        <v>82.768400000000014</v>
      </c>
      <c r="S75" s="15">
        <v>137</v>
      </c>
      <c r="T75" s="15">
        <f>DATA[[#This Row],[C. DF]]+DATA[[#This Row],[C.OPE.]]</f>
        <v>219.76840000000001</v>
      </c>
      <c r="U75" s="15">
        <f>DATA[[#This Row],[SUB TOTAL]]*0.18</f>
        <v>39.558312000000001</v>
      </c>
      <c r="V75" s="15">
        <f>IFERROR(ROUND(DATA[[#This Row],[SUB TOTAL]]+DATA[[#This Row],[IGV]],2),0)</f>
        <v>259.33</v>
      </c>
      <c r="W75" s="16" t="str">
        <f>IF(DATA[[#This Row],[VALORIZACIÓN ]]="-","NO CORRESPONDE",IF(OR(A75=20558226979,A75=10470707866,A75=20111157058,A75=20100226902),"NO CORRESPONDE",IF(J75="Emitida",IF(P75&gt;0,"EMITIDA","PENDIENTE"),"NO CORRESPONDE")))</f>
        <v>EMITIDA</v>
      </c>
      <c r="X75" s="29"/>
      <c r="Y75" s="17" t="s">
        <v>118</v>
      </c>
      <c r="Z75" s="30">
        <v>45687</v>
      </c>
      <c r="AA75" s="10" t="s">
        <v>124</v>
      </c>
      <c r="AB75" s="19">
        <v>535</v>
      </c>
      <c r="AC75" s="20">
        <v>30</v>
      </c>
      <c r="AD75" s="18">
        <f>DATA[[#This Row],[FECHA DE EMISION]]+DATA[[#This Row],[CONDICION DE PAGO]]</f>
        <v>45717</v>
      </c>
      <c r="AE75" s="23" t="e">
        <f>IF(DATA[[#This Row],[MONEDA]]="USD",VLOOKUP(DATA[[#This Row],[COMBINADA]],#REF!,11,0),1)</f>
        <v>#REF!</v>
      </c>
      <c r="AF75" s="39" t="str">
        <f>IF(DATA[[#This Row],[SERIE2]]="-","NO CORRESPONDE",IF(W75="NO CORRESPONDE","NO CORRESPONDE",IF(Z75&gt;0,"FACTURADO","PENDIENTE")))</f>
        <v>FACTURADO</v>
      </c>
      <c r="AG75" s="27">
        <f>IFERROR(VLOOKUP(DATA[[#This Row],[COMBINADA]],#REF!,6,0),0)</f>
        <v>0</v>
      </c>
      <c r="AH75" s="125">
        <f>IFERROR(VLOOKUP(DATA[[#This Row],[COMBINADA]],#REF!,9,0),0)/COUNTIFS(DATA[COMBINADA],DATA[[#This Row],[COMBINADA]])</f>
        <v>0</v>
      </c>
      <c r="AI75" s="27">
        <f>IFERROR(VLOOKUP(DATA[[#This Row],[COMBINADA]],#REF!,6,0),0)</f>
        <v>0</v>
      </c>
      <c r="AJ75" s="125">
        <f>IFERROR(VLOOKUP(DATA[[#This Row],[COMBINADA]],#REF!,9,0),0)/COUNTIFS(DATA[COMBINADA],DATA[[#This Row],[COMBINADA]])</f>
        <v>0</v>
      </c>
      <c r="AK75" s="27">
        <f>IFERROR(VLOOKUP(DATA[[#This Row],[COMBINADA]],#REF!,6,0),0)</f>
        <v>0</v>
      </c>
      <c r="AL75" s="125">
        <f>IFERROR(VLOOKUP(DATA[[#This Row],[COMBINADA]],#REF!,9,0),0)/COUNTIFS(DATA[COMBINADA],DATA[[#This Row],[COMBINADA]])</f>
        <v>0</v>
      </c>
      <c r="AM75" s="27">
        <f>IFERROR(VLOOKUP(DATA[[#This Row],[COMBINADA]],#REF!,6,0),0)</f>
        <v>0</v>
      </c>
      <c r="AN75" s="125">
        <f>IFERROR(VLOOKUP(DATA[[#This Row],[COMBINADA]],#REF!,9,0),0)/COUNTIFS(DATA[COMBINADA],DATA[[#This Row],[COMBINADA]])</f>
        <v>0</v>
      </c>
      <c r="AO75" s="27">
        <f>IFERROR(VLOOKUP(DATA[[#This Row],[COMBINADA]],#REF!,6,0),0)</f>
        <v>0</v>
      </c>
      <c r="AP75" s="125">
        <f>IFERROR(VLOOKUP(DATA[[#This Row],[COMBINADA]],#REF!,9,0),0)/COUNTIFS(DATA[COMBINADA],DATA[[#This Row],[COMBINADA]])</f>
        <v>0</v>
      </c>
      <c r="AQ7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996.05400000000009</v>
      </c>
      <c r="AR75" s="26" t="str">
        <f>IFERROR(IF(DATA[[#This Row],[estado_fact]]="FACTURADO",VLOOKUP(DATA[[#This Row],[SERIE2]]&amp;"-"&amp;DATA[[#This Row],[NUMERO]],#REF!,34,0),"NO CORRESPONDE"),"NO CORRESPONDE")</f>
        <v>NO CORRESPONDE</v>
      </c>
      <c r="AS75" s="22" t="str">
        <f>IF(DATA[[#This Row],[fecha_fs]]&gt;0,TEXT(DATA[[#This Row],[fecha_fs]],"Mmmm"),0)</f>
        <v>Enero</v>
      </c>
      <c r="AT75" s="22" t="str">
        <f>DATA[[#This Row],[SERIE2]]&amp;"-"&amp;DATA[[#This Row],[NUMERO]]</f>
        <v>FE01-535</v>
      </c>
      <c r="AU75" s="28" t="e">
        <f>DATA[[#This Row],[TOTAL]]*DATA[[#This Row],[T.C.]]</f>
        <v>#REF!</v>
      </c>
      <c r="AV75" s="6">
        <f>DATA[[#This Row],[FECHA DE VAL.]]</f>
        <v>45684</v>
      </c>
      <c r="AW75" s="6">
        <f>DATA[[#This Row],[FECHA DE EMISION]]</f>
        <v>45687</v>
      </c>
      <c r="AX75" s="6">
        <f>DATA[[#This Row],[F1]]</f>
        <v>0</v>
      </c>
      <c r="AY75" s="20">
        <f>IF(AV75-DATA[[#This Row],[fecha_fs]]&lt;0,0,AV75-DATA[[#This Row],[fecha_fs]])</f>
        <v>14</v>
      </c>
      <c r="AZ75" s="20">
        <f t="shared" si="10"/>
        <v>3</v>
      </c>
      <c r="BA75" s="20">
        <f t="shared" si="11"/>
        <v>0</v>
      </c>
      <c r="BB75" s="195">
        <f>IFERROR(SUM(DATA[[#This Row],[fs_val_ttf]:[fact_pago_ttf]]),0)</f>
        <v>17</v>
      </c>
      <c r="BC75" s="185">
        <v>45678</v>
      </c>
      <c r="BD75" s="185">
        <v>45686</v>
      </c>
      <c r="BE75" s="185">
        <v>45688</v>
      </c>
      <c r="BF75" s="185">
        <v>45758</v>
      </c>
      <c r="BG75" s="20">
        <f>IFERROR(IF(BC75-DATA[[#This Row],[fecha_fs]]&lt;0,0,BC75-DATA[[#This Row],[fecha_fs]]),0)</f>
        <v>8</v>
      </c>
      <c r="BH75" s="20">
        <f t="shared" si="12"/>
        <v>8</v>
      </c>
      <c r="BI75" s="20">
        <f t="shared" si="13"/>
        <v>2</v>
      </c>
      <c r="BJ75" s="20">
        <f t="shared" si="14"/>
        <v>70</v>
      </c>
      <c r="BK75" s="189">
        <f>IFERROR(SUM(DATA[[#This Row],[fs_fd_ttd]:[fend_fenf_ttd]]),0)</f>
        <v>88</v>
      </c>
      <c r="BL75" s="20" t="str">
        <f>IF(DATA[[#This Row],[fecha_fs]]&gt;0,TEXT(DATA[[#This Row],[fecha_fs]],"YYYY"),0)</f>
        <v>2025</v>
      </c>
      <c r="BM75" s="221" t="b">
        <v>1</v>
      </c>
      <c r="BN75" s="278">
        <f>COUNTIF(DATA[[#This Row],[tiempo_td]], "&lt;=15")</f>
        <v>0</v>
      </c>
      <c r="BO75" s="222"/>
    </row>
    <row r="76" spans="1:67" ht="30.6" customHeight="1" x14ac:dyDescent="0.25">
      <c r="A76" s="4">
        <v>20100192064</v>
      </c>
      <c r="B76" s="5" t="s">
        <v>60</v>
      </c>
      <c r="C76" s="52" t="s">
        <v>43</v>
      </c>
      <c r="D76" s="4" t="s">
        <v>112</v>
      </c>
      <c r="E76" s="5" t="s">
        <v>1</v>
      </c>
      <c r="F76" s="24">
        <v>45670</v>
      </c>
      <c r="G76" s="7" t="s">
        <v>113</v>
      </c>
      <c r="H76" s="25">
        <f t="shared" si="9"/>
        <v>1</v>
      </c>
      <c r="I76" s="67">
        <v>3982</v>
      </c>
      <c r="J76" s="8" t="s">
        <v>115</v>
      </c>
      <c r="K76" s="9" t="s">
        <v>116</v>
      </c>
      <c r="L76" s="10" t="s">
        <v>117</v>
      </c>
      <c r="M76" s="11">
        <v>760</v>
      </c>
      <c r="N76" s="12" t="s">
        <v>132</v>
      </c>
      <c r="O76" s="6">
        <v>45684</v>
      </c>
      <c r="P76" s="57">
        <v>3245</v>
      </c>
      <c r="Q76" s="14" t="s">
        <v>123</v>
      </c>
      <c r="R76" s="15">
        <f>(DATA[[#This Row],[cantidad_fs]]/1000)*(143+175.34)</f>
        <v>241.93840000000003</v>
      </c>
      <c r="S76" s="15">
        <v>137</v>
      </c>
      <c r="T76" s="15">
        <f>DATA[[#This Row],[C. DF]]+DATA[[#This Row],[C.OPE.]]</f>
        <v>378.9384</v>
      </c>
      <c r="U76" s="15">
        <f>DATA[[#This Row],[SUB TOTAL]]*0.18</f>
        <v>68.208911999999998</v>
      </c>
      <c r="V76" s="15">
        <f>IFERROR(ROUND(DATA[[#This Row],[SUB TOTAL]]+DATA[[#This Row],[IGV]],2),0)</f>
        <v>447.15</v>
      </c>
      <c r="W76" s="16" t="str">
        <f>IF(DATA[[#This Row],[VALORIZACIÓN ]]="-","NO CORRESPONDE",IF(OR(A76=20558226979,A76=10470707866,A76=20111157058,A76=20100226902),"NO CORRESPONDE",IF(J76="Emitida",IF(P76&gt;0,"EMITIDA","PENDIENTE"),"NO CORRESPONDE")))</f>
        <v>EMITIDA</v>
      </c>
      <c r="X76" s="29"/>
      <c r="Y76" s="17" t="s">
        <v>118</v>
      </c>
      <c r="Z76" s="30">
        <v>45687</v>
      </c>
      <c r="AA76" s="10" t="s">
        <v>124</v>
      </c>
      <c r="AB76" s="19">
        <v>534</v>
      </c>
      <c r="AC76" s="20">
        <v>30</v>
      </c>
      <c r="AD76" s="18">
        <f>DATA[[#This Row],[FECHA DE EMISION]]+DATA[[#This Row],[CONDICION DE PAGO]]</f>
        <v>45717</v>
      </c>
      <c r="AE76" s="23" t="e">
        <f>IF(DATA[[#This Row],[MONEDA]]="USD",VLOOKUP(DATA[[#This Row],[COMBINADA]],#REF!,11,0),1)</f>
        <v>#REF!</v>
      </c>
      <c r="AF76" s="39" t="str">
        <f>IF(DATA[[#This Row],[SERIE2]]="-","NO CORRESPONDE",IF(W76="NO CORRESPONDE","NO CORRESPONDE",IF(Z76&gt;0,"FACTURADO","PENDIENTE")))</f>
        <v>FACTURADO</v>
      </c>
      <c r="AG76" s="27">
        <f>IFERROR(VLOOKUP(DATA[[#This Row],[COMBINADA]],#REF!,6,0),0)</f>
        <v>0</v>
      </c>
      <c r="AH76" s="125">
        <f>IFERROR(VLOOKUP(DATA[[#This Row],[COMBINADA]],#REF!,9,0),0)/COUNTIFS(DATA[COMBINADA],DATA[[#This Row],[COMBINADA]])</f>
        <v>0</v>
      </c>
      <c r="AI76" s="27">
        <f>IFERROR(VLOOKUP(DATA[[#This Row],[COMBINADA]],#REF!,6,0),0)</f>
        <v>0</v>
      </c>
      <c r="AJ76" s="125">
        <f>IFERROR(VLOOKUP(DATA[[#This Row],[COMBINADA]],#REF!,9,0),0)/COUNTIFS(DATA[COMBINADA],DATA[[#This Row],[COMBINADA]])</f>
        <v>0</v>
      </c>
      <c r="AK76" s="27">
        <f>IFERROR(VLOOKUP(DATA[[#This Row],[COMBINADA]],#REF!,6,0),0)</f>
        <v>0</v>
      </c>
      <c r="AL76" s="125">
        <f>IFERROR(VLOOKUP(DATA[[#This Row],[COMBINADA]],#REF!,9,0),0)/COUNTIFS(DATA[COMBINADA],DATA[[#This Row],[COMBINADA]])</f>
        <v>0</v>
      </c>
      <c r="AM76" s="27">
        <f>IFERROR(VLOOKUP(DATA[[#This Row],[COMBINADA]],#REF!,6,0),0)</f>
        <v>0</v>
      </c>
      <c r="AN76" s="125">
        <f>IFERROR(VLOOKUP(DATA[[#This Row],[COMBINADA]],#REF!,9,0),0)/COUNTIFS(DATA[COMBINADA],DATA[[#This Row],[COMBINADA]])</f>
        <v>0</v>
      </c>
      <c r="AO76" s="27">
        <f>IFERROR(VLOOKUP(DATA[[#This Row],[COMBINADA]],#REF!,6,0),0)</f>
        <v>0</v>
      </c>
      <c r="AP76" s="125">
        <f>IFERROR(VLOOKUP(DATA[[#This Row],[COMBINADA]],#REF!,9,0),0)/COUNTIFS(DATA[COMBINADA],DATA[[#This Row],[COMBINADA]])</f>
        <v>0</v>
      </c>
      <c r="AQ7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575.62384615384622</v>
      </c>
      <c r="AR76" s="26" t="str">
        <f>IFERROR(IF(DATA[[#This Row],[estado_fact]]="FACTURADO",VLOOKUP(DATA[[#This Row],[SERIE2]]&amp;"-"&amp;DATA[[#This Row],[NUMERO]],#REF!,34,0),"NO CORRESPONDE"),"NO CORRESPONDE")</f>
        <v>NO CORRESPONDE</v>
      </c>
      <c r="AS76" s="22" t="str">
        <f>IF(DATA[[#This Row],[fecha_fs]]&gt;0,TEXT(DATA[[#This Row],[fecha_fs]],"Mmmm"),0)</f>
        <v>Enero</v>
      </c>
      <c r="AT76" s="22" t="str">
        <f>DATA[[#This Row],[SERIE2]]&amp;"-"&amp;DATA[[#This Row],[NUMERO]]</f>
        <v>FE01-534</v>
      </c>
      <c r="AU76" s="28" t="e">
        <f>DATA[[#This Row],[TOTAL]]*DATA[[#This Row],[T.C.]]</f>
        <v>#REF!</v>
      </c>
      <c r="AV76" s="6">
        <f>DATA[[#This Row],[FECHA DE VAL.]]</f>
        <v>45684</v>
      </c>
      <c r="AW76" s="6">
        <f>DATA[[#This Row],[FECHA DE EMISION]]</f>
        <v>45687</v>
      </c>
      <c r="AX76" s="6">
        <f>DATA[[#This Row],[F1]]</f>
        <v>0</v>
      </c>
      <c r="AY76" s="20">
        <f>IF(AV76-DATA[[#This Row],[fecha_fs]]&lt;0,0,AV76-DATA[[#This Row],[fecha_fs]])</f>
        <v>14</v>
      </c>
      <c r="AZ76" s="20">
        <f t="shared" si="10"/>
        <v>3</v>
      </c>
      <c r="BA76" s="20">
        <f t="shared" si="11"/>
        <v>0</v>
      </c>
      <c r="BB76" s="195">
        <f>IFERROR(SUM(DATA[[#This Row],[fs_val_ttf]:[fact_pago_ttf]]),0)</f>
        <v>17</v>
      </c>
      <c r="BC76" s="185">
        <v>45678</v>
      </c>
      <c r="BD76" s="185">
        <v>45686</v>
      </c>
      <c r="BE76" s="185">
        <v>45688</v>
      </c>
      <c r="BF76" s="185">
        <v>45758</v>
      </c>
      <c r="BG76" s="20">
        <f>IFERROR(IF(BC76-DATA[[#This Row],[fecha_fs]]&lt;0,0,BC76-DATA[[#This Row],[fecha_fs]]),0)</f>
        <v>8</v>
      </c>
      <c r="BH76" s="20">
        <f t="shared" si="12"/>
        <v>8</v>
      </c>
      <c r="BI76" s="20">
        <f t="shared" si="13"/>
        <v>2</v>
      </c>
      <c r="BJ76" s="20">
        <f t="shared" si="14"/>
        <v>70</v>
      </c>
      <c r="BK76" s="189">
        <f>IFERROR(SUM(DATA[[#This Row],[fs_fd_ttd]:[fend_fenf_ttd]]),0)</f>
        <v>88</v>
      </c>
      <c r="BL76" s="20" t="str">
        <f>IF(DATA[[#This Row],[fecha_fs]]&gt;0,TEXT(DATA[[#This Row],[fecha_fs]],"YYYY"),0)</f>
        <v>2025</v>
      </c>
      <c r="BM76" s="221" t="b">
        <v>1</v>
      </c>
      <c r="BN76" s="278">
        <f>COUNTIF(DATA[[#This Row],[tiempo_td]], "&lt;=15")</f>
        <v>0</v>
      </c>
      <c r="BO76" s="222"/>
    </row>
    <row r="77" spans="1:67" ht="30.6" customHeight="1" x14ac:dyDescent="0.25">
      <c r="A77" s="4">
        <v>20505675836</v>
      </c>
      <c r="B77" s="5" t="s">
        <v>42</v>
      </c>
      <c r="C77" s="52" t="s">
        <v>43</v>
      </c>
      <c r="D77" s="4" t="s">
        <v>120</v>
      </c>
      <c r="E77" s="5" t="s">
        <v>3</v>
      </c>
      <c r="F77" s="24">
        <v>45670</v>
      </c>
      <c r="G77" s="7" t="s">
        <v>113</v>
      </c>
      <c r="H77" s="25">
        <f t="shared" si="9"/>
        <v>1</v>
      </c>
      <c r="I77" s="67">
        <v>3983</v>
      </c>
      <c r="J77" s="8" t="s">
        <v>115</v>
      </c>
      <c r="K77" s="9" t="s">
        <v>121</v>
      </c>
      <c r="L77" s="10" t="s">
        <v>117</v>
      </c>
      <c r="M77" s="11">
        <v>530</v>
      </c>
      <c r="N77" s="12" t="s">
        <v>132</v>
      </c>
      <c r="O77" s="6">
        <v>45684</v>
      </c>
      <c r="P77" s="69">
        <v>3258</v>
      </c>
      <c r="Q77" s="14" t="s">
        <v>85</v>
      </c>
      <c r="R77" s="15">
        <f>(DATA[[#This Row],[cantidad_fs]]-150)*0.67</f>
        <v>254.60000000000002</v>
      </c>
      <c r="S77" s="15">
        <v>817.68</v>
      </c>
      <c r="T77" s="15">
        <f>DATA[[#This Row],[C. DF]]+DATA[[#This Row],[C.OPE.]]</f>
        <v>1072.28</v>
      </c>
      <c r="U77" s="15">
        <f>DATA[[#This Row],[SUB TOTAL]]*0.18</f>
        <v>193.01039999999998</v>
      </c>
      <c r="V77" s="15">
        <f>IFERROR(ROUND(DATA[[#This Row],[SUB TOTAL]]+DATA[[#This Row],[IGV]],2),0)</f>
        <v>1265.29</v>
      </c>
      <c r="W77" s="16" t="str">
        <f>IF(DATA[[#This Row],[VALORIZACIÓN ]]="-","NO CORRESPONDE",IF(OR(A77=20558226979,A77=10470707866,A77=20111157058,A77=20100226902),"NO CORRESPONDE",IF(J77="Emitida",IF(P77&gt;0,"EMITIDA","PENDIENTE"),"NO CORRESPONDE")))</f>
        <v>EMITIDA</v>
      </c>
      <c r="X77" s="29" t="s">
        <v>146</v>
      </c>
      <c r="Y77" s="17" t="s">
        <v>118</v>
      </c>
      <c r="Z77" s="30">
        <v>45708</v>
      </c>
      <c r="AA77" s="10" t="s">
        <v>124</v>
      </c>
      <c r="AB77" s="19">
        <v>571</v>
      </c>
      <c r="AC77" s="20">
        <v>30</v>
      </c>
      <c r="AD77" s="18">
        <f>DATA[[#This Row],[FECHA DE EMISION]]+DATA[[#This Row],[CONDICION DE PAGO]]</f>
        <v>45738</v>
      </c>
      <c r="AE77" s="23">
        <f>IF(DATA[[#This Row],[MONEDA]]="USD",VLOOKUP(DATA[[#This Row],[COMBINADA]],#REF!,11,0),1)</f>
        <v>1</v>
      </c>
      <c r="AF77" s="39" t="str">
        <f>IF(DATA[[#This Row],[SERIE2]]="-","NO CORRESPONDE",IF(W77="NO CORRESPONDE","NO CORRESPONDE",IF(Z77&gt;0,"FACTURADO","PENDIENTE")))</f>
        <v>FACTURADO</v>
      </c>
      <c r="AG77" s="27">
        <f>IFERROR(VLOOKUP(DATA[[#This Row],[COMBINADA]],#REF!,6,0),0)</f>
        <v>0</v>
      </c>
      <c r="AH77" s="125">
        <f>IFERROR(VLOOKUP(DATA[[#This Row],[COMBINADA]],#REF!,9,0),0)/COUNTIFS(DATA[COMBINADA],DATA[[#This Row],[COMBINADA]])</f>
        <v>0</v>
      </c>
      <c r="AI77" s="27">
        <f>IFERROR(VLOOKUP(DATA[[#This Row],[COMBINADA]],#REF!,6,0),0)</f>
        <v>0</v>
      </c>
      <c r="AJ77" s="125">
        <f>IFERROR(VLOOKUP(DATA[[#This Row],[COMBINADA]],#REF!,9,0),0)/COUNTIFS(DATA[COMBINADA],DATA[[#This Row],[COMBINADA]])</f>
        <v>0</v>
      </c>
      <c r="AK77" s="27">
        <f>IFERROR(VLOOKUP(DATA[[#This Row],[COMBINADA]],#REF!,6,0),0)</f>
        <v>0</v>
      </c>
      <c r="AL77" s="125">
        <f>IFERROR(VLOOKUP(DATA[[#This Row],[COMBINADA]],#REF!,9,0),0)/COUNTIFS(DATA[COMBINADA],DATA[[#This Row],[COMBINADA]])</f>
        <v>0</v>
      </c>
      <c r="AM77" s="27">
        <f>IFERROR(VLOOKUP(DATA[[#This Row],[COMBINADA]],#REF!,6,0),0)</f>
        <v>0</v>
      </c>
      <c r="AN77" s="125">
        <f>IFERROR(VLOOKUP(DATA[[#This Row],[COMBINADA]],#REF!,9,0),0)/COUNTIFS(DATA[COMBINADA],DATA[[#This Row],[COMBINADA]])</f>
        <v>0</v>
      </c>
      <c r="AO77" s="27">
        <f>IFERROR(VLOOKUP(DATA[[#This Row],[COMBINADA]],#REF!,6,0),0)</f>
        <v>0</v>
      </c>
      <c r="AP77" s="125">
        <f>IFERROR(VLOOKUP(DATA[[#This Row],[COMBINADA]],#REF!,9,0),0)/COUNTIFS(DATA[COMBINADA],DATA[[#This Row],[COMBINADA]])</f>
        <v>0</v>
      </c>
      <c r="AQ7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6464.8840000000009</v>
      </c>
      <c r="AR77" s="26" t="str">
        <f>IFERROR(IF(DATA[[#This Row],[estado_fact]]="FACTURADO",VLOOKUP(DATA[[#This Row],[SERIE2]]&amp;"-"&amp;DATA[[#This Row],[NUMERO]],#REF!,34,0),"NO CORRESPONDE"),"NO CORRESPONDE")</f>
        <v>NO CORRESPONDE</v>
      </c>
      <c r="AS77" s="22" t="str">
        <f>IF(DATA[[#This Row],[fecha_fs]]&gt;0,TEXT(DATA[[#This Row],[fecha_fs]],"Mmmm"),0)</f>
        <v>Enero</v>
      </c>
      <c r="AT77" s="22" t="str">
        <f>DATA[[#This Row],[SERIE2]]&amp;"-"&amp;DATA[[#This Row],[NUMERO]]</f>
        <v>FE01-571</v>
      </c>
      <c r="AU77" s="28">
        <f>DATA[[#This Row],[TOTAL]]*DATA[[#This Row],[T.C.]]</f>
        <v>1265.29</v>
      </c>
      <c r="AV77" s="6">
        <f>DATA[[#This Row],[FECHA DE VAL.]]</f>
        <v>45684</v>
      </c>
      <c r="AW77" s="6">
        <f>DATA[[#This Row],[FECHA DE EMISION]]</f>
        <v>45708</v>
      </c>
      <c r="AX77" s="6">
        <f>DATA[[#This Row],[F1]]</f>
        <v>0</v>
      </c>
      <c r="AY77" s="20">
        <f>IF(AV77-DATA[[#This Row],[fecha_fs]]&lt;0,0,AV77-DATA[[#This Row],[fecha_fs]])</f>
        <v>14</v>
      </c>
      <c r="AZ77" s="20">
        <f t="shared" si="10"/>
        <v>24</v>
      </c>
      <c r="BA77" s="20">
        <f t="shared" si="11"/>
        <v>0</v>
      </c>
      <c r="BB77" s="195">
        <f>IFERROR(SUM(DATA[[#This Row],[fs_val_ttf]:[fact_pago_ttf]]),0)</f>
        <v>38</v>
      </c>
      <c r="BC77" s="185">
        <v>45698</v>
      </c>
      <c r="BD77" s="185">
        <v>45707</v>
      </c>
      <c r="BE77" s="185">
        <v>45713</v>
      </c>
      <c r="BF77" s="185">
        <v>45734</v>
      </c>
      <c r="BG77" s="20">
        <f>IFERROR(IF(BC77-DATA[[#This Row],[fecha_fs]]&lt;0,0,BC77-DATA[[#This Row],[fecha_fs]]),0)</f>
        <v>28</v>
      </c>
      <c r="BH77" s="20">
        <f t="shared" si="12"/>
        <v>9</v>
      </c>
      <c r="BI77" s="20">
        <f t="shared" si="13"/>
        <v>6</v>
      </c>
      <c r="BJ77" s="20">
        <f t="shared" si="14"/>
        <v>21</v>
      </c>
      <c r="BK77" s="189">
        <f>IFERROR(SUM(DATA[[#This Row],[fs_fd_ttd]:[fend_fenf_ttd]]),0)</f>
        <v>64</v>
      </c>
      <c r="BL77" s="20" t="str">
        <f>IF(DATA[[#This Row],[fecha_fs]]&gt;0,TEXT(DATA[[#This Row],[fecha_fs]],"YYYY"),0)</f>
        <v>2025</v>
      </c>
      <c r="BM77" s="221" t="b">
        <v>1</v>
      </c>
      <c r="BN77" s="278">
        <f>COUNTIF(DATA[[#This Row],[tiempo_td]], "&lt;=15")</f>
        <v>0</v>
      </c>
      <c r="BO77" s="222"/>
    </row>
    <row r="78" spans="1:67" ht="30.6" customHeight="1" x14ac:dyDescent="0.25">
      <c r="A78" s="4">
        <v>20100055237</v>
      </c>
      <c r="B78" s="5" t="s">
        <v>21</v>
      </c>
      <c r="C78" s="52" t="s">
        <v>138</v>
      </c>
      <c r="D78" s="4" t="s">
        <v>139</v>
      </c>
      <c r="E78" s="5" t="s">
        <v>23</v>
      </c>
      <c r="F78" s="24">
        <v>45671</v>
      </c>
      <c r="G78" s="7" t="s">
        <v>113</v>
      </c>
      <c r="H78" s="25">
        <f t="shared" si="9"/>
        <v>1</v>
      </c>
      <c r="I78" s="67">
        <v>3984</v>
      </c>
      <c r="J78" s="8" t="s">
        <v>115</v>
      </c>
      <c r="K78" s="9" t="s">
        <v>121</v>
      </c>
      <c r="L78" s="10" t="s">
        <v>117</v>
      </c>
      <c r="M78" s="11">
        <v>90</v>
      </c>
      <c r="N78" s="12" t="s">
        <v>125</v>
      </c>
      <c r="O78" s="6">
        <v>45687</v>
      </c>
      <c r="P78" s="54">
        <v>3273</v>
      </c>
      <c r="Q78" s="14" t="s">
        <v>85</v>
      </c>
      <c r="R78" s="15"/>
      <c r="S78" s="15">
        <v>297.92</v>
      </c>
      <c r="T78" s="15">
        <f>DATA[[#This Row],[C. DF]]+DATA[[#This Row],[C.OPE.]]</f>
        <v>297.92</v>
      </c>
      <c r="U78" s="15">
        <f>DATA[[#This Row],[SUB TOTAL]]*0.18</f>
        <v>53.625599999999999</v>
      </c>
      <c r="V78" s="15">
        <f>IFERROR(ROUND(DATA[[#This Row],[SUB TOTAL]]+DATA[[#This Row],[IGV]],2),0)</f>
        <v>351.55</v>
      </c>
      <c r="W78" s="16" t="str">
        <f>IF(DATA[[#This Row],[VALORIZACIÓN ]]="-","NO CORRESPONDE",IF(OR(A78=20558226979,A78=10470707866,A78=20111157058,A78=20100226902),"NO CORRESPONDE",IF(J78="Emitida",IF(P78&gt;0,"EMITIDA","PENDIENTE"),"NO CORRESPONDE")))</f>
        <v>EMITIDA</v>
      </c>
      <c r="X78" s="29" t="s">
        <v>140</v>
      </c>
      <c r="Y78" s="17" t="s">
        <v>118</v>
      </c>
      <c r="Z78" s="30">
        <v>45701</v>
      </c>
      <c r="AA78" s="10" t="s">
        <v>124</v>
      </c>
      <c r="AB78" s="19">
        <v>562</v>
      </c>
      <c r="AC78" s="20">
        <v>30</v>
      </c>
      <c r="AD78" s="18">
        <f>DATA[[#This Row],[FECHA DE EMISION]]+DATA[[#This Row],[CONDICION DE PAGO]]</f>
        <v>45731</v>
      </c>
      <c r="AE78" s="23">
        <f>IF(DATA[[#This Row],[MONEDA]]="USD",VLOOKUP(DATA[[#This Row],[COMBINADA]],#REF!,11,0),1)</f>
        <v>1</v>
      </c>
      <c r="AF78" s="39" t="str">
        <f>IF(DATA[[#This Row],[SERIE2]]="-","NO CORRESPONDE",IF(W78="NO CORRESPONDE","NO CORRESPONDE",IF(Z78&gt;0,"FACTURADO","PENDIENTE")))</f>
        <v>FACTURADO</v>
      </c>
      <c r="AG78" s="27">
        <f>IFERROR(VLOOKUP(DATA[[#This Row],[COMBINADA]],#REF!,6,0),0)</f>
        <v>0</v>
      </c>
      <c r="AH78" s="125">
        <f>IFERROR(VLOOKUP(DATA[[#This Row],[COMBINADA]],#REF!,9,0),0)/COUNTIFS(DATA[COMBINADA],DATA[[#This Row],[COMBINADA]])</f>
        <v>0</v>
      </c>
      <c r="AI78" s="27">
        <f>IFERROR(VLOOKUP(DATA[[#This Row],[COMBINADA]],#REF!,6,0),0)</f>
        <v>0</v>
      </c>
      <c r="AJ78" s="125">
        <f>IFERROR(VLOOKUP(DATA[[#This Row],[COMBINADA]],#REF!,9,0),0)/COUNTIFS(DATA[COMBINADA],DATA[[#This Row],[COMBINADA]])</f>
        <v>0</v>
      </c>
      <c r="AK78" s="27">
        <f>IFERROR(VLOOKUP(DATA[[#This Row],[COMBINADA]],#REF!,6,0),0)</f>
        <v>0</v>
      </c>
      <c r="AL78" s="125">
        <f>IFERROR(VLOOKUP(DATA[[#This Row],[COMBINADA]],#REF!,9,0),0)/COUNTIFS(DATA[COMBINADA],DATA[[#This Row],[COMBINADA]])</f>
        <v>0</v>
      </c>
      <c r="AM78" s="27">
        <f>IFERROR(VLOOKUP(DATA[[#This Row],[COMBINADA]],#REF!,6,0),0)</f>
        <v>0</v>
      </c>
      <c r="AN78" s="125">
        <f>IFERROR(VLOOKUP(DATA[[#This Row],[COMBINADA]],#REF!,9,0),0)/COUNTIFS(DATA[COMBINADA],DATA[[#This Row],[COMBINADA]])</f>
        <v>0</v>
      </c>
      <c r="AO78" s="27">
        <f>IFERROR(VLOOKUP(DATA[[#This Row],[COMBINADA]],#REF!,6,0),0)</f>
        <v>0</v>
      </c>
      <c r="AP78" s="125">
        <f>IFERROR(VLOOKUP(DATA[[#This Row],[COMBINADA]],#REF!,9,0),0)/COUNTIFS(DATA[COMBINADA],DATA[[#This Row],[COMBINADA]])</f>
        <v>0</v>
      </c>
      <c r="AQ7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78" s="26" t="str">
        <f>IFERROR(IF(DATA[[#This Row],[estado_fact]]="FACTURADO",VLOOKUP(DATA[[#This Row],[SERIE2]]&amp;"-"&amp;DATA[[#This Row],[NUMERO]],#REF!,34,0),"NO CORRESPONDE"),"NO CORRESPONDE")</f>
        <v>NO CORRESPONDE</v>
      </c>
      <c r="AS78" s="22" t="str">
        <f>IF(DATA[[#This Row],[fecha_fs]]&gt;0,TEXT(DATA[[#This Row],[fecha_fs]],"Mmmm"),0)</f>
        <v>Enero</v>
      </c>
      <c r="AT78" s="22" t="str">
        <f>DATA[[#This Row],[SERIE2]]&amp;"-"&amp;DATA[[#This Row],[NUMERO]]</f>
        <v>FE01-562</v>
      </c>
      <c r="AU78" s="28">
        <f>DATA[[#This Row],[TOTAL]]*DATA[[#This Row],[T.C.]]</f>
        <v>351.55</v>
      </c>
      <c r="AV78" s="6">
        <f>DATA[[#This Row],[FECHA DE VAL.]]</f>
        <v>45687</v>
      </c>
      <c r="AW78" s="6">
        <f>DATA[[#This Row],[FECHA DE EMISION]]</f>
        <v>45701</v>
      </c>
      <c r="AX78" s="6">
        <f>DATA[[#This Row],[F1]]</f>
        <v>0</v>
      </c>
      <c r="AY78" s="20">
        <f>IF(AV78-DATA[[#This Row],[fecha_fs]]&lt;0,0,AV78-DATA[[#This Row],[fecha_fs]])</f>
        <v>16</v>
      </c>
      <c r="AZ78" s="20">
        <f t="shared" si="10"/>
        <v>14</v>
      </c>
      <c r="BA78" s="20">
        <f t="shared" si="11"/>
        <v>0</v>
      </c>
      <c r="BB78" s="195">
        <f>IFERROR(SUM(DATA[[#This Row],[fs_val_ttf]:[fact_pago_ttf]]),0)</f>
        <v>30</v>
      </c>
      <c r="BC78" s="185">
        <v>45671</v>
      </c>
      <c r="BD78" s="185">
        <v>45671</v>
      </c>
      <c r="BE78" s="185">
        <v>45691</v>
      </c>
      <c r="BF78" s="185">
        <v>45691</v>
      </c>
      <c r="BG78" s="20">
        <f>IFERROR(IF(BC78-DATA[[#This Row],[fecha_fs]]&lt;0,0,BC78-DATA[[#This Row],[fecha_fs]]),0)</f>
        <v>0</v>
      </c>
      <c r="BH78" s="20">
        <f t="shared" si="12"/>
        <v>0</v>
      </c>
      <c r="BI78" s="20">
        <f t="shared" si="13"/>
        <v>20</v>
      </c>
      <c r="BJ78" s="20">
        <f t="shared" si="14"/>
        <v>0</v>
      </c>
      <c r="BK78" s="189">
        <f>IFERROR(SUM(DATA[[#This Row],[fs_fd_ttd]:[fend_fenf_ttd]]),0)</f>
        <v>20</v>
      </c>
      <c r="BL78" s="20" t="str">
        <f>IF(DATA[[#This Row],[fecha_fs]]&gt;0,TEXT(DATA[[#This Row],[fecha_fs]],"YYYY"),0)</f>
        <v>2025</v>
      </c>
      <c r="BM78" s="221" t="b">
        <v>1</v>
      </c>
      <c r="BN78" s="278">
        <f>COUNTIF(DATA[[#This Row],[tiempo_td]], "&lt;=15")</f>
        <v>0</v>
      </c>
      <c r="BO78" s="222"/>
    </row>
    <row r="79" spans="1:67" ht="30.6" customHeight="1" x14ac:dyDescent="0.25">
      <c r="A79" s="4">
        <v>20419158462</v>
      </c>
      <c r="B79" s="5" t="s">
        <v>2</v>
      </c>
      <c r="C79" s="52" t="s">
        <v>147</v>
      </c>
      <c r="D79" s="4" t="s">
        <v>120</v>
      </c>
      <c r="E79" s="5" t="s">
        <v>3</v>
      </c>
      <c r="F79" s="24">
        <v>45671</v>
      </c>
      <c r="G79" s="7" t="s">
        <v>113</v>
      </c>
      <c r="H79" s="25">
        <f t="shared" si="9"/>
        <v>1</v>
      </c>
      <c r="I79" s="67">
        <v>3985</v>
      </c>
      <c r="J79" s="8" t="s">
        <v>115</v>
      </c>
      <c r="K79" s="9" t="s">
        <v>148</v>
      </c>
      <c r="L79" s="10" t="s">
        <v>117</v>
      </c>
      <c r="M79" s="11">
        <v>2800</v>
      </c>
      <c r="N79" s="12" t="s">
        <v>122</v>
      </c>
      <c r="O79" s="6">
        <v>45672</v>
      </c>
      <c r="P79" s="13">
        <v>3232</v>
      </c>
      <c r="Q79" s="14" t="s">
        <v>85</v>
      </c>
      <c r="R79" s="15">
        <v>0</v>
      </c>
      <c r="S79" s="15">
        <v>2597.6999999999998</v>
      </c>
      <c r="T79" s="15">
        <f>DATA[[#This Row],[C. DF]]+DATA[[#This Row],[C.OPE.]]</f>
        <v>2597.6999999999998</v>
      </c>
      <c r="U79" s="15">
        <f>DATA[[#This Row],[SUB TOTAL]]*0.18</f>
        <v>467.58599999999996</v>
      </c>
      <c r="V79" s="15">
        <f>IFERROR(ROUND(DATA[[#This Row],[SUB TOTAL]]+DATA[[#This Row],[IGV]],2),0)</f>
        <v>3065.29</v>
      </c>
      <c r="W79" s="16" t="str">
        <f>IF(DATA[[#This Row],[VALORIZACIÓN ]]="-","NO CORRESPONDE",IF(OR(A79=20558226979,A79=10470707866,A79=20111157058,A79=20100226902),"NO CORRESPONDE",IF(J79="Emitida",IF(P79&gt;0,"EMITIDA","PENDIENTE"),"NO CORRESPONDE")))</f>
        <v>EMITIDA</v>
      </c>
      <c r="X79" s="29" t="s">
        <v>149</v>
      </c>
      <c r="Y79" s="17" t="s">
        <v>118</v>
      </c>
      <c r="Z79" s="30">
        <v>45754</v>
      </c>
      <c r="AA79" s="10" t="s">
        <v>150</v>
      </c>
      <c r="AB79" s="19">
        <v>20</v>
      </c>
      <c r="AC79" s="20">
        <v>15</v>
      </c>
      <c r="AD79" s="18">
        <f>DATA[[#This Row],[FECHA DE EMISION]]+DATA[[#This Row],[CONDICION DE PAGO]]</f>
        <v>45769</v>
      </c>
      <c r="AE79" s="23">
        <f>IF(DATA[[#This Row],[MONEDA]]="USD",VLOOKUP(DATA[[#This Row],[COMBINADA]],#REF!,11,0),1)</f>
        <v>1</v>
      </c>
      <c r="AF79" s="39" t="str">
        <f>IF(DATA[[#This Row],[SERIE2]]="-","NO CORRESPONDE",IF(W79="NO CORRESPONDE","NO CORRESPONDE",IF(Z79&gt;0,"FACTURADO","PENDIENTE")))</f>
        <v>FACTURADO</v>
      </c>
      <c r="AG79" s="27">
        <f>IFERROR(VLOOKUP(DATA[[#This Row],[COMBINADA]],#REF!,6,0),0)</f>
        <v>0</v>
      </c>
      <c r="AH79" s="125">
        <f>IFERROR(VLOOKUP(DATA[[#This Row],[COMBINADA]],#REF!,9,0),0)/COUNTIFS(DATA[COMBINADA],DATA[[#This Row],[COMBINADA]])</f>
        <v>0</v>
      </c>
      <c r="AI79" s="27">
        <f>IFERROR(VLOOKUP(DATA[[#This Row],[COMBINADA]],#REF!,6,0),0)</f>
        <v>0</v>
      </c>
      <c r="AJ79" s="125">
        <f>IFERROR(VLOOKUP(DATA[[#This Row],[COMBINADA]],#REF!,9,0),0)/COUNTIFS(DATA[COMBINADA],DATA[[#This Row],[COMBINADA]])</f>
        <v>0</v>
      </c>
      <c r="AK79" s="27">
        <f>IFERROR(VLOOKUP(DATA[[#This Row],[COMBINADA]],#REF!,6,0),0)</f>
        <v>0</v>
      </c>
      <c r="AL79" s="125">
        <f>IFERROR(VLOOKUP(DATA[[#This Row],[COMBINADA]],#REF!,9,0),0)/COUNTIFS(DATA[COMBINADA],DATA[[#This Row],[COMBINADA]])</f>
        <v>0</v>
      </c>
      <c r="AM79" s="27">
        <f>IFERROR(VLOOKUP(DATA[[#This Row],[COMBINADA]],#REF!,6,0),0)</f>
        <v>0</v>
      </c>
      <c r="AN79" s="125">
        <f>IFERROR(VLOOKUP(DATA[[#This Row],[COMBINADA]],#REF!,9,0),0)/COUNTIFS(DATA[COMBINADA],DATA[[#This Row],[COMBINADA]])</f>
        <v>0</v>
      </c>
      <c r="AO79" s="27">
        <f>IFERROR(VLOOKUP(DATA[[#This Row],[COMBINADA]],#REF!,6,0),0)</f>
        <v>0</v>
      </c>
      <c r="AP79" s="125">
        <f>IFERROR(VLOOKUP(DATA[[#This Row],[COMBINADA]],#REF!,9,0),0)/COUNTIFS(DATA[COMBINADA],DATA[[#This Row],[COMBINADA]])</f>
        <v>0</v>
      </c>
      <c r="AQ7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3065.29</v>
      </c>
      <c r="AR79" s="26" t="str">
        <f>IFERROR(IF(DATA[[#This Row],[estado_fact]]="FACTURADO",VLOOKUP(DATA[[#This Row],[SERIE2]]&amp;"-"&amp;DATA[[#This Row],[NUMERO]],#REF!,34,0),"NO CORRESPONDE"),"NO CORRESPONDE")</f>
        <v>NO CORRESPONDE</v>
      </c>
      <c r="AS79" s="22" t="str">
        <f>IF(DATA[[#This Row],[fecha_fs]]&gt;0,TEXT(DATA[[#This Row],[fecha_fs]],"Mmmm"),0)</f>
        <v>Enero</v>
      </c>
      <c r="AT79" s="22" t="str">
        <f>DATA[[#This Row],[SERIE2]]&amp;"-"&amp;DATA[[#This Row],[NUMERO]]</f>
        <v>FF01-20</v>
      </c>
      <c r="AU79" s="28">
        <f>DATA[[#This Row],[TOTAL]]*DATA[[#This Row],[T.C.]]</f>
        <v>3065.29</v>
      </c>
      <c r="AV79" s="6">
        <f>DATA[[#This Row],[FECHA DE VAL.]]</f>
        <v>45672</v>
      </c>
      <c r="AW79" s="6">
        <f>DATA[[#This Row],[FECHA DE EMISION]]</f>
        <v>45754</v>
      </c>
      <c r="AX79" s="6">
        <f>DATA[[#This Row],[F1]]</f>
        <v>0</v>
      </c>
      <c r="AY79" s="20">
        <f>IF(AV79-DATA[[#This Row],[fecha_fs]]&lt;0,0,AV79-DATA[[#This Row],[fecha_fs]])</f>
        <v>1</v>
      </c>
      <c r="AZ79" s="20">
        <f t="shared" si="10"/>
        <v>82</v>
      </c>
      <c r="BA79" s="20">
        <f t="shared" si="11"/>
        <v>0</v>
      </c>
      <c r="BB79" s="195">
        <f>IFERROR(SUM(DATA[[#This Row],[fs_val_ttf]:[fact_pago_ttf]]),0)</f>
        <v>83</v>
      </c>
      <c r="BC79" s="185">
        <v>45671</v>
      </c>
      <c r="BD79" s="185">
        <v>45671</v>
      </c>
      <c r="BE79" s="185">
        <v>45686</v>
      </c>
      <c r="BF79" s="185">
        <v>45686</v>
      </c>
      <c r="BG79" s="20">
        <f>IFERROR(IF(BC79-DATA[[#This Row],[fecha_fs]]&lt;0,0,BC79-DATA[[#This Row],[fecha_fs]]),0)</f>
        <v>0</v>
      </c>
      <c r="BH79" s="20">
        <f t="shared" si="12"/>
        <v>0</v>
      </c>
      <c r="BI79" s="20">
        <f t="shared" si="13"/>
        <v>15</v>
      </c>
      <c r="BJ79" s="20">
        <f t="shared" si="14"/>
        <v>0</v>
      </c>
      <c r="BK79" s="189">
        <f>IFERROR(SUM(DATA[[#This Row],[fs_fd_ttd]:[fend_fenf_ttd]]),0)</f>
        <v>15</v>
      </c>
      <c r="BL79" s="20" t="str">
        <f>IF(DATA[[#This Row],[fecha_fs]]&gt;0,TEXT(DATA[[#This Row],[fecha_fs]],"YYYY"),0)</f>
        <v>2025</v>
      </c>
      <c r="BM79" s="221" t="b">
        <v>1</v>
      </c>
      <c r="BN79" s="278">
        <f>COUNTIF(DATA[[#This Row],[tiempo_td]], "&lt;=15")</f>
        <v>1</v>
      </c>
      <c r="BO79" s="222"/>
    </row>
    <row r="80" spans="1:67" ht="30.6" customHeight="1" x14ac:dyDescent="0.25">
      <c r="A80" s="4">
        <v>20120858425</v>
      </c>
      <c r="B80" s="5" t="s">
        <v>68</v>
      </c>
      <c r="C80" s="52" t="s">
        <v>18</v>
      </c>
      <c r="D80" s="4" t="s">
        <v>120</v>
      </c>
      <c r="E80" s="5" t="s">
        <v>3</v>
      </c>
      <c r="F80" s="24">
        <v>45671</v>
      </c>
      <c r="G80" s="7" t="s">
        <v>113</v>
      </c>
      <c r="H80" s="25">
        <f t="shared" si="9"/>
        <v>1</v>
      </c>
      <c r="I80" s="67">
        <v>3986</v>
      </c>
      <c r="J80" s="8" t="s">
        <v>115</v>
      </c>
      <c r="K80" s="9" t="s">
        <v>121</v>
      </c>
      <c r="L80" s="10" t="s">
        <v>117</v>
      </c>
      <c r="M80" s="11">
        <v>45</v>
      </c>
      <c r="N80" s="12" t="s">
        <v>132</v>
      </c>
      <c r="O80" s="6">
        <v>45672</v>
      </c>
      <c r="P80" s="13">
        <v>3233</v>
      </c>
      <c r="Q80" s="14" t="s">
        <v>85</v>
      </c>
      <c r="R80" s="15">
        <f>DATA[[#This Row],[cantidad_fs]]*0.67</f>
        <v>30.150000000000002</v>
      </c>
      <c r="S80" s="15">
        <v>649.9</v>
      </c>
      <c r="T80" s="15">
        <f>DATA[[#This Row],[C. DF]]+DATA[[#This Row],[C.OPE.]]</f>
        <v>680.05</v>
      </c>
      <c r="U80" s="15">
        <f>DATA[[#This Row],[SUB TOTAL]]*0.18</f>
        <v>122.40899999999999</v>
      </c>
      <c r="V80" s="15">
        <f>IFERROR(ROUND(DATA[[#This Row],[SUB TOTAL]]+DATA[[#This Row],[IGV]],2),0)</f>
        <v>802.46</v>
      </c>
      <c r="W80" s="16" t="str">
        <f>IF(DATA[[#This Row],[VALORIZACIÓN ]]="-","NO CORRESPONDE",IF(OR(A80=20558226979,A80=10470707866,A80=20111157058,A80=20100226902),"NO CORRESPONDE",IF(J80="Emitida",IF(P80&gt;0,"EMITIDA","PENDIENTE"),"NO CORRESPONDE")))</f>
        <v>EMITIDA</v>
      </c>
      <c r="X80" s="29"/>
      <c r="Y80" s="17" t="s">
        <v>118</v>
      </c>
      <c r="Z80" s="30">
        <v>45680</v>
      </c>
      <c r="AA80" s="10" t="s">
        <v>124</v>
      </c>
      <c r="AB80" s="19">
        <v>527</v>
      </c>
      <c r="AC80" s="20">
        <v>15</v>
      </c>
      <c r="AD80" s="18">
        <f>DATA[[#This Row],[FECHA DE EMISION]]+DATA[[#This Row],[CONDICION DE PAGO]]</f>
        <v>45695</v>
      </c>
      <c r="AE80" s="23">
        <f>IF(DATA[[#This Row],[MONEDA]]="USD",VLOOKUP(DATA[[#This Row],[COMBINADA]],#REF!,11,0),1)</f>
        <v>1</v>
      </c>
      <c r="AF80" s="39" t="str">
        <f>IF(DATA[[#This Row],[SERIE2]]="-","NO CORRESPONDE",IF(W80="NO CORRESPONDE","NO CORRESPONDE",IF(Z80&gt;0,"FACTURADO","PENDIENTE")))</f>
        <v>FACTURADO</v>
      </c>
      <c r="AG80" s="27">
        <f>IFERROR(VLOOKUP(DATA[[#This Row],[COMBINADA]],#REF!,6,0),0)</f>
        <v>0</v>
      </c>
      <c r="AH80" s="125">
        <f>IFERROR(VLOOKUP(DATA[[#This Row],[COMBINADA]],#REF!,9,0),0)/COUNTIFS(DATA[COMBINADA],DATA[[#This Row],[COMBINADA]])</f>
        <v>0</v>
      </c>
      <c r="AI80" s="27">
        <f>IFERROR(VLOOKUP(DATA[[#This Row],[COMBINADA]],#REF!,6,0),0)</f>
        <v>0</v>
      </c>
      <c r="AJ80" s="125">
        <f>IFERROR(VLOOKUP(DATA[[#This Row],[COMBINADA]],#REF!,9,0),0)/COUNTIFS(DATA[COMBINADA],DATA[[#This Row],[COMBINADA]])</f>
        <v>0</v>
      </c>
      <c r="AK80" s="27">
        <f>IFERROR(VLOOKUP(DATA[[#This Row],[COMBINADA]],#REF!,6,0),0)</f>
        <v>0</v>
      </c>
      <c r="AL80" s="125">
        <f>IFERROR(VLOOKUP(DATA[[#This Row],[COMBINADA]],#REF!,9,0),0)/COUNTIFS(DATA[COMBINADA],DATA[[#This Row],[COMBINADA]])</f>
        <v>0</v>
      </c>
      <c r="AM80" s="27">
        <f>IFERROR(VLOOKUP(DATA[[#This Row],[COMBINADA]],#REF!,6,0),0)</f>
        <v>0</v>
      </c>
      <c r="AN80" s="125">
        <f>IFERROR(VLOOKUP(DATA[[#This Row],[COMBINADA]],#REF!,9,0),0)/COUNTIFS(DATA[COMBINADA],DATA[[#This Row],[COMBINADA]])</f>
        <v>0</v>
      </c>
      <c r="AO80" s="27">
        <f>IFERROR(VLOOKUP(DATA[[#This Row],[COMBINADA]],#REF!,6,0),0)</f>
        <v>0</v>
      </c>
      <c r="AP80" s="125">
        <f>IFERROR(VLOOKUP(DATA[[#This Row],[COMBINADA]],#REF!,9,0),0)/COUNTIFS(DATA[COMBINADA],DATA[[#This Row],[COMBINADA]])</f>
        <v>0</v>
      </c>
      <c r="AQ8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802.46</v>
      </c>
      <c r="AR80" s="26" t="str">
        <f>IFERROR(IF(DATA[[#This Row],[estado_fact]]="FACTURADO",VLOOKUP(DATA[[#This Row],[SERIE2]]&amp;"-"&amp;DATA[[#This Row],[NUMERO]],#REF!,34,0),"NO CORRESPONDE"),"NO CORRESPONDE")</f>
        <v>NO CORRESPONDE</v>
      </c>
      <c r="AS80" s="22" t="str">
        <f>IF(DATA[[#This Row],[fecha_fs]]&gt;0,TEXT(DATA[[#This Row],[fecha_fs]],"Mmmm"),0)</f>
        <v>Enero</v>
      </c>
      <c r="AT80" s="22" t="str">
        <f>DATA[[#This Row],[SERIE2]]&amp;"-"&amp;DATA[[#This Row],[NUMERO]]</f>
        <v>FE01-527</v>
      </c>
      <c r="AU80" s="28">
        <f>DATA[[#This Row],[TOTAL]]*DATA[[#This Row],[T.C.]]</f>
        <v>802.46</v>
      </c>
      <c r="AV80" s="6">
        <f>DATA[[#This Row],[FECHA DE VAL.]]</f>
        <v>45672</v>
      </c>
      <c r="AW80" s="6">
        <f>DATA[[#This Row],[FECHA DE EMISION]]</f>
        <v>45680</v>
      </c>
      <c r="AX80" s="6">
        <f>DATA[[#This Row],[F1]]</f>
        <v>0</v>
      </c>
      <c r="AY80" s="20">
        <f>IF(AV80-DATA[[#This Row],[fecha_fs]]&lt;0,0,AV80-DATA[[#This Row],[fecha_fs]])</f>
        <v>1</v>
      </c>
      <c r="AZ80" s="20">
        <f t="shared" si="10"/>
        <v>8</v>
      </c>
      <c r="BA80" s="20">
        <f t="shared" si="11"/>
        <v>0</v>
      </c>
      <c r="BB80" s="195">
        <f>IFERROR(SUM(DATA[[#This Row],[fs_val_ttf]:[fact_pago_ttf]]),0)</f>
        <v>9</v>
      </c>
      <c r="BC80" s="187">
        <v>45698</v>
      </c>
      <c r="BD80" s="187">
        <v>45707</v>
      </c>
      <c r="BE80" s="187">
        <v>45709</v>
      </c>
      <c r="BF80" s="187">
        <v>45714</v>
      </c>
      <c r="BG80" s="20">
        <f>IFERROR(IF(BC80-DATA[[#This Row],[fecha_fs]]&lt;0,0,BC80-DATA[[#This Row],[fecha_fs]]),0)</f>
        <v>27</v>
      </c>
      <c r="BH80" s="20">
        <f t="shared" si="12"/>
        <v>9</v>
      </c>
      <c r="BI80" s="20">
        <f t="shared" si="13"/>
        <v>2</v>
      </c>
      <c r="BJ80" s="20">
        <f t="shared" si="14"/>
        <v>5</v>
      </c>
      <c r="BK80" s="189">
        <f>IFERROR(SUM(DATA[[#This Row],[fs_fd_ttd]:[fend_fenf_ttd]]),0)</f>
        <v>43</v>
      </c>
      <c r="BL80" s="20" t="str">
        <f>IF(DATA[[#This Row],[fecha_fs]]&gt;0,TEXT(DATA[[#This Row],[fecha_fs]],"YYYY"),0)</f>
        <v>2025</v>
      </c>
      <c r="BM80" s="221" t="b">
        <v>1</v>
      </c>
      <c r="BN80" s="278">
        <f>COUNTIF(DATA[[#This Row],[tiempo_td]], "&lt;=15")</f>
        <v>0</v>
      </c>
      <c r="BO80" s="222"/>
    </row>
    <row r="81" spans="1:67" ht="30.6" customHeight="1" x14ac:dyDescent="0.25">
      <c r="A81" s="4">
        <v>20100192064</v>
      </c>
      <c r="B81" s="5" t="s">
        <v>60</v>
      </c>
      <c r="C81" s="52" t="s">
        <v>65</v>
      </c>
      <c r="D81" s="4" t="s">
        <v>112</v>
      </c>
      <c r="E81" s="5" t="s">
        <v>1</v>
      </c>
      <c r="F81" s="24">
        <v>45672</v>
      </c>
      <c r="G81" s="7" t="s">
        <v>142</v>
      </c>
      <c r="H81" s="25">
        <f t="shared" si="9"/>
        <v>2</v>
      </c>
      <c r="I81" s="67">
        <v>1033</v>
      </c>
      <c r="J81" s="8" t="s">
        <v>115</v>
      </c>
      <c r="K81" s="9" t="s">
        <v>116</v>
      </c>
      <c r="L81" s="10" t="s">
        <v>117</v>
      </c>
      <c r="M81" s="11">
        <v>4710</v>
      </c>
      <c r="N81" s="12" t="s">
        <v>143</v>
      </c>
      <c r="O81" s="6">
        <v>45684</v>
      </c>
      <c r="P81" s="57">
        <v>3251</v>
      </c>
      <c r="Q81" s="14" t="s">
        <v>123</v>
      </c>
      <c r="R81" s="15">
        <f>(DATA[[#This Row],[cantidad_fs]]/1000)*(147+81.01)</f>
        <v>1073.9270999999999</v>
      </c>
      <c r="S81" s="15">
        <v>103.6</v>
      </c>
      <c r="T81" s="15">
        <f>DATA[[#This Row],[C. DF]]+DATA[[#This Row],[C.OPE.]]</f>
        <v>1177.5270999999998</v>
      </c>
      <c r="U81" s="15">
        <f>DATA[[#This Row],[SUB TOTAL]]*0.18</f>
        <v>211.95487799999995</v>
      </c>
      <c r="V81" s="15">
        <f>IFERROR(ROUND(DATA[[#This Row],[SUB TOTAL]]+DATA[[#This Row],[IGV]],2),0)</f>
        <v>1389.48</v>
      </c>
      <c r="W81" s="16" t="str">
        <f>IF(DATA[[#This Row],[VALORIZACIÓN ]]="-","NO CORRESPONDE",IF(OR(A81=20558226979,A81=10470707866,A81=20111157058,A81=20100226902),"NO CORRESPONDE",IF(J81="Emitida",IF(P81&gt;0,"EMITIDA","PENDIENTE"),"NO CORRESPONDE")))</f>
        <v>EMITIDA</v>
      </c>
      <c r="X81" s="29" t="s">
        <v>144</v>
      </c>
      <c r="Y81" s="17" t="s">
        <v>118</v>
      </c>
      <c r="Z81" s="30">
        <v>45686</v>
      </c>
      <c r="AA81" s="10" t="s">
        <v>124</v>
      </c>
      <c r="AB81" s="19">
        <v>530</v>
      </c>
      <c r="AC81" s="20">
        <v>30</v>
      </c>
      <c r="AD81" s="18">
        <f>DATA[[#This Row],[FECHA DE EMISION]]+DATA[[#This Row],[CONDICION DE PAGO]]</f>
        <v>45716</v>
      </c>
      <c r="AE81" s="23" t="e">
        <f>IF(DATA[[#This Row],[MONEDA]]="USD",VLOOKUP(DATA[[#This Row],[COMBINADA]],#REF!,11,0),1)</f>
        <v>#REF!</v>
      </c>
      <c r="AF81" s="39" t="str">
        <f>IF(DATA[[#This Row],[SERIE2]]="-","NO CORRESPONDE",IF(W81="NO CORRESPONDE","NO CORRESPONDE",IF(Z81&gt;0,"FACTURADO","PENDIENTE")))</f>
        <v>FACTURADO</v>
      </c>
      <c r="AG81" s="27">
        <f>IFERROR(VLOOKUP(DATA[[#This Row],[COMBINADA]],#REF!,6,0),0)</f>
        <v>0</v>
      </c>
      <c r="AH81" s="125">
        <f>IFERROR(VLOOKUP(DATA[[#This Row],[COMBINADA]],#REF!,9,0),0)/COUNTIFS(DATA[COMBINADA],DATA[[#This Row],[COMBINADA]])</f>
        <v>0</v>
      </c>
      <c r="AI81" s="27">
        <f>IFERROR(VLOOKUP(DATA[[#This Row],[COMBINADA]],#REF!,6,0),0)</f>
        <v>0</v>
      </c>
      <c r="AJ81" s="125">
        <f>IFERROR(VLOOKUP(DATA[[#This Row],[COMBINADA]],#REF!,9,0),0)/COUNTIFS(DATA[COMBINADA],DATA[[#This Row],[COMBINADA]])</f>
        <v>0</v>
      </c>
      <c r="AK81" s="27">
        <f>IFERROR(VLOOKUP(DATA[[#This Row],[COMBINADA]],#REF!,6,0),0)</f>
        <v>0</v>
      </c>
      <c r="AL81" s="125">
        <f>IFERROR(VLOOKUP(DATA[[#This Row],[COMBINADA]],#REF!,9,0),0)/COUNTIFS(DATA[COMBINADA],DATA[[#This Row],[COMBINADA]])</f>
        <v>0</v>
      </c>
      <c r="AM81" s="27">
        <f>IFERROR(VLOOKUP(DATA[[#This Row],[COMBINADA]],#REF!,6,0),0)</f>
        <v>0</v>
      </c>
      <c r="AN81" s="125">
        <f>IFERROR(VLOOKUP(DATA[[#This Row],[COMBINADA]],#REF!,9,0),0)/COUNTIFS(DATA[COMBINADA],DATA[[#This Row],[COMBINADA]])</f>
        <v>0</v>
      </c>
      <c r="AO81" s="27">
        <f>IFERROR(VLOOKUP(DATA[[#This Row],[COMBINADA]],#REF!,6,0),0)</f>
        <v>0</v>
      </c>
      <c r="AP81" s="125">
        <f>IFERROR(VLOOKUP(DATA[[#This Row],[COMBINADA]],#REF!,9,0),0)/COUNTIFS(DATA[COMBINADA],DATA[[#This Row],[COMBINADA]])</f>
        <v>0</v>
      </c>
      <c r="AQ8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830.60666666666657</v>
      </c>
      <c r="AR81" s="26" t="str">
        <f>IFERROR(IF(DATA[[#This Row],[estado_fact]]="FACTURADO",VLOOKUP(DATA[[#This Row],[SERIE2]]&amp;"-"&amp;DATA[[#This Row],[NUMERO]],#REF!,34,0),"NO CORRESPONDE"),"NO CORRESPONDE")</f>
        <v>NO CORRESPONDE</v>
      </c>
      <c r="AS81" s="22" t="str">
        <f>IF(DATA[[#This Row],[fecha_fs]]&gt;0,TEXT(DATA[[#This Row],[fecha_fs]],"Mmmm"),0)</f>
        <v>Enero</v>
      </c>
      <c r="AT81" s="22" t="str">
        <f>DATA[[#This Row],[SERIE2]]&amp;"-"&amp;DATA[[#This Row],[NUMERO]]</f>
        <v>FE01-530</v>
      </c>
      <c r="AU81" s="28" t="e">
        <f>DATA[[#This Row],[TOTAL]]*DATA[[#This Row],[T.C.]]</f>
        <v>#REF!</v>
      </c>
      <c r="AV81" s="6">
        <f>DATA[[#This Row],[FECHA DE VAL.]]</f>
        <v>45684</v>
      </c>
      <c r="AW81" s="6">
        <f>DATA[[#This Row],[FECHA DE EMISION]]</f>
        <v>45686</v>
      </c>
      <c r="AX81" s="6">
        <f>DATA[[#This Row],[F1]]</f>
        <v>0</v>
      </c>
      <c r="AY81" s="20">
        <f>IF(AV81-DATA[[#This Row],[fecha_fs]]&lt;0,0,AV81-DATA[[#This Row],[fecha_fs]])</f>
        <v>12</v>
      </c>
      <c r="AZ81" s="20">
        <f t="shared" si="10"/>
        <v>2</v>
      </c>
      <c r="BA81" s="20">
        <f t="shared" si="11"/>
        <v>0</v>
      </c>
      <c r="BB81" s="195">
        <f>IFERROR(SUM(DATA[[#This Row],[fs_val_ttf]:[fact_pago_ttf]]),0)</f>
        <v>14</v>
      </c>
      <c r="BC81" s="187">
        <v>45672</v>
      </c>
      <c r="BD81" s="187">
        <v>45686</v>
      </c>
      <c r="BE81" s="187">
        <v>45687</v>
      </c>
      <c r="BF81" s="187">
        <v>45758</v>
      </c>
      <c r="BG81" s="20">
        <f>IFERROR(IF(BC81-DATA[[#This Row],[fecha_fs]]&lt;0,0,BC81-DATA[[#This Row],[fecha_fs]]),0)</f>
        <v>0</v>
      </c>
      <c r="BH81" s="20">
        <f t="shared" si="12"/>
        <v>14</v>
      </c>
      <c r="BI81" s="20">
        <f t="shared" si="13"/>
        <v>1</v>
      </c>
      <c r="BJ81" s="20">
        <f t="shared" si="14"/>
        <v>71</v>
      </c>
      <c r="BK81" s="189">
        <f>IFERROR(SUM(DATA[[#This Row],[fs_fd_ttd]:[fend_fenf_ttd]]),0)</f>
        <v>86</v>
      </c>
      <c r="BL81" s="20" t="str">
        <f>IF(DATA[[#This Row],[fecha_fs]]&gt;0,TEXT(DATA[[#This Row],[fecha_fs]],"YYYY"),0)</f>
        <v>2025</v>
      </c>
      <c r="BM81" s="221" t="b">
        <v>1</v>
      </c>
      <c r="BN81" s="278">
        <f>COUNTIF(DATA[[#This Row],[tiempo_td]], "&lt;=15")</f>
        <v>0</v>
      </c>
      <c r="BO81" s="222"/>
    </row>
    <row r="82" spans="1:67" ht="30.6" customHeight="1" x14ac:dyDescent="0.25">
      <c r="A82" s="4">
        <v>20100226902</v>
      </c>
      <c r="B82" s="5" t="s">
        <v>24</v>
      </c>
      <c r="C82" s="52" t="s">
        <v>18</v>
      </c>
      <c r="D82" s="4" t="s">
        <v>120</v>
      </c>
      <c r="E82" s="5" t="s">
        <v>3</v>
      </c>
      <c r="F82" s="24">
        <v>45672</v>
      </c>
      <c r="G82" s="7" t="s">
        <v>113</v>
      </c>
      <c r="H82" s="25">
        <f t="shared" si="9"/>
        <v>1</v>
      </c>
      <c r="I82" s="67">
        <v>3987</v>
      </c>
      <c r="J82" s="8" t="s">
        <v>115</v>
      </c>
      <c r="K82" s="9" t="s">
        <v>121</v>
      </c>
      <c r="L82" s="10" t="s">
        <v>117</v>
      </c>
      <c r="M82" s="11">
        <v>360</v>
      </c>
      <c r="N82" s="12" t="s">
        <v>127</v>
      </c>
      <c r="O82" s="40"/>
      <c r="P82" s="41" t="s">
        <v>114</v>
      </c>
      <c r="Q82" s="42"/>
      <c r="R82" s="43"/>
      <c r="S82" s="43"/>
      <c r="T82" s="43">
        <f>DATA[[#This Row],[C. DF]]+DATA[[#This Row],[C.OPE.]]</f>
        <v>0</v>
      </c>
      <c r="U82" s="43">
        <f>DATA[[#This Row],[SUB TOTAL]]*0.18</f>
        <v>0</v>
      </c>
      <c r="V82" s="43">
        <f>IFERROR(ROUND(DATA[[#This Row],[SUB TOTAL]]+DATA[[#This Row],[IGV]],2),0)</f>
        <v>0</v>
      </c>
      <c r="W82" s="44" t="str">
        <f>IF(DATA[[#This Row],[VALORIZACIÓN ]]="-","NO CORRESPONDE",IF(OR(A82=20558226979,A82=10470707866,A82=20111157058,A82=20100226902),"NO CORRESPONDE",IF(J82="Emitida",IF(P82&gt;0,"EMITIDA","PENDIENTE"),"NO CORRESPONDE")))</f>
        <v>NO CORRESPONDE</v>
      </c>
      <c r="X82" s="45"/>
      <c r="Y82" s="58" t="s">
        <v>128</v>
      </c>
      <c r="Z82" s="46"/>
      <c r="AA82" s="47"/>
      <c r="AB82" s="48"/>
      <c r="AC82" s="49"/>
      <c r="AD82" s="50">
        <f>DATA[[#This Row],[FECHA DE EMISION]]+DATA[[#This Row],[CONDICION DE PAGO]]</f>
        <v>0</v>
      </c>
      <c r="AE82" s="23">
        <f>IF(DATA[[#This Row],[MONEDA]]="USD",VLOOKUP(DATA[[#This Row],[COMBINADA]],#REF!,11,0),1)</f>
        <v>1</v>
      </c>
      <c r="AF82" s="59" t="str">
        <f>IF(DATA[[#This Row],[SERIE2]]="-","NO CORRESPONDE",IF(W82="NO CORRESPONDE","NO CORRESPONDE",IF(Z82&gt;0,"FACTURADO","PENDIENTE")))</f>
        <v>NO CORRESPONDE</v>
      </c>
      <c r="AG82" s="60">
        <f>IFERROR(VLOOKUP(DATA[[#This Row],[COMBINADA]],#REF!,6,0),0)</f>
        <v>0</v>
      </c>
      <c r="AH82" s="126">
        <f>IFERROR(VLOOKUP(DATA[[#This Row],[COMBINADA]],#REF!,9,0),0)/COUNTIFS(DATA[COMBINADA],DATA[[#This Row],[COMBINADA]])</f>
        <v>0</v>
      </c>
      <c r="AI82" s="60">
        <f>IFERROR(VLOOKUP(DATA[[#This Row],[COMBINADA]],#REF!,6,0),0)</f>
        <v>0</v>
      </c>
      <c r="AJ82" s="126">
        <f>IFERROR(VLOOKUP(DATA[[#This Row],[COMBINADA]],#REF!,9,0),0)/COUNTIFS(DATA[COMBINADA],DATA[[#This Row],[COMBINADA]])</f>
        <v>0</v>
      </c>
      <c r="AK82" s="60">
        <f>IFERROR(VLOOKUP(DATA[[#This Row],[COMBINADA]],#REF!,6,0),0)</f>
        <v>0</v>
      </c>
      <c r="AL82" s="126">
        <f>IFERROR(VLOOKUP(DATA[[#This Row],[COMBINADA]],#REF!,9,0),0)/COUNTIFS(DATA[COMBINADA],DATA[[#This Row],[COMBINADA]])</f>
        <v>0</v>
      </c>
      <c r="AM82" s="60">
        <f>IFERROR(VLOOKUP(DATA[[#This Row],[COMBINADA]],#REF!,6,0),0)</f>
        <v>0</v>
      </c>
      <c r="AN82" s="126">
        <f>IFERROR(VLOOKUP(DATA[[#This Row],[COMBINADA]],#REF!,9,0),0)/COUNTIFS(DATA[COMBINADA],DATA[[#This Row],[COMBINADA]])</f>
        <v>0</v>
      </c>
      <c r="AO82" s="60">
        <f>IFERROR(VLOOKUP(DATA[[#This Row],[COMBINADA]],#REF!,6,0),0)</f>
        <v>0</v>
      </c>
      <c r="AP82" s="126">
        <f>IFERROR(VLOOKUP(DATA[[#This Row],[COMBINADA]],#REF!,9,0),0)/COUNTIFS(DATA[COMBINADA],DATA[[#This Row],[COMBINADA]])</f>
        <v>0</v>
      </c>
      <c r="AQ82"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82" s="64" t="str">
        <f>IFERROR(IF(DATA[[#This Row],[estado_fact]]="FACTURADO",VLOOKUP(DATA[[#This Row],[SERIE2]]&amp;"-"&amp;DATA[[#This Row],[NUMERO]],#REF!,34,0),"NO CORRESPONDE"),"NO CORRESPONDE")</f>
        <v>NO CORRESPONDE</v>
      </c>
      <c r="AS82" s="22" t="str">
        <f>IF(DATA[[#This Row],[fecha_fs]]&gt;0,TEXT(DATA[[#This Row],[fecha_fs]],"Mmmm"),0)</f>
        <v>Enero</v>
      </c>
      <c r="AT82" s="22" t="str">
        <f>DATA[[#This Row],[SERIE2]]&amp;"-"&amp;DATA[[#This Row],[NUMERO]]</f>
        <v>-</v>
      </c>
      <c r="AU82" s="28">
        <f>DATA[[#This Row],[TOTAL]]*DATA[[#This Row],[T.C.]]</f>
        <v>0</v>
      </c>
      <c r="AV82" s="6">
        <f>DATA[[#This Row],[FECHA DE VAL.]]</f>
        <v>0</v>
      </c>
      <c r="AW82" s="6">
        <f>DATA[[#This Row],[FECHA DE EMISION]]</f>
        <v>0</v>
      </c>
      <c r="AX82" s="6">
        <f>DATA[[#This Row],[F1]]</f>
        <v>0</v>
      </c>
      <c r="AY82" s="20">
        <f>IF(AV82-DATA[[#This Row],[fecha_fs]]&lt;0,0,AV82-DATA[[#This Row],[fecha_fs]])</f>
        <v>0</v>
      </c>
      <c r="AZ82" s="20">
        <f t="shared" si="10"/>
        <v>0</v>
      </c>
      <c r="BA82" s="20">
        <f t="shared" si="11"/>
        <v>0</v>
      </c>
      <c r="BB82" s="284">
        <f>IFERROR(SUM(DATA[[#This Row],[fs_val_ttf]:[fact_pago_ttf]]),0)</f>
        <v>0</v>
      </c>
      <c r="BC82" s="185">
        <v>45672</v>
      </c>
      <c r="BD82" s="185">
        <v>45672</v>
      </c>
      <c r="BE82" s="185">
        <v>45691</v>
      </c>
      <c r="BF82" s="185">
        <v>45691</v>
      </c>
      <c r="BG82" s="286">
        <f>IFERROR(IF(BC82-DATA[[#This Row],[fecha_fs]]&lt;0,0,BC82-DATA[[#This Row],[fecha_fs]]),0)</f>
        <v>0</v>
      </c>
      <c r="BH82" s="20">
        <f t="shared" si="12"/>
        <v>0</v>
      </c>
      <c r="BI82" s="20">
        <f t="shared" si="13"/>
        <v>19</v>
      </c>
      <c r="BJ82" s="20">
        <f t="shared" si="14"/>
        <v>0</v>
      </c>
      <c r="BK82" s="189">
        <f>IFERROR(SUM(DATA[[#This Row],[fs_fd_ttd]:[fend_fenf_ttd]]),0)</f>
        <v>19</v>
      </c>
      <c r="BL82" s="20" t="str">
        <f>IF(DATA[[#This Row],[fecha_fs]]&gt;0,TEXT(DATA[[#This Row],[fecha_fs]],"YYYY"),0)</f>
        <v>2025</v>
      </c>
      <c r="BM82" s="221" t="b">
        <v>1</v>
      </c>
      <c r="BN82" s="278">
        <f>COUNTIF(DATA[[#This Row],[tiempo_td]], "&lt;=15")</f>
        <v>0</v>
      </c>
      <c r="BO82" s="222"/>
    </row>
    <row r="83" spans="1:67" ht="30.6" customHeight="1" x14ac:dyDescent="0.25">
      <c r="A83" s="4">
        <v>20100211115</v>
      </c>
      <c r="B83" s="5" t="s">
        <v>41</v>
      </c>
      <c r="C83" s="52" t="s">
        <v>18</v>
      </c>
      <c r="D83" s="4" t="s">
        <v>120</v>
      </c>
      <c r="E83" s="5" t="s">
        <v>3</v>
      </c>
      <c r="F83" s="24">
        <v>45672</v>
      </c>
      <c r="G83" s="7" t="s">
        <v>113</v>
      </c>
      <c r="H83" s="25">
        <f t="shared" si="9"/>
        <v>1</v>
      </c>
      <c r="I83" s="67">
        <v>3988</v>
      </c>
      <c r="J83" s="8" t="s">
        <v>115</v>
      </c>
      <c r="K83" s="9" t="s">
        <v>121</v>
      </c>
      <c r="L83" s="10" t="s">
        <v>117</v>
      </c>
      <c r="M83" s="11">
        <v>90</v>
      </c>
      <c r="N83" s="12" t="s">
        <v>125</v>
      </c>
      <c r="O83" s="6">
        <v>45684</v>
      </c>
      <c r="P83" s="115">
        <v>3267</v>
      </c>
      <c r="Q83" s="14" t="s">
        <v>85</v>
      </c>
      <c r="R83" s="15"/>
      <c r="S83" s="15">
        <f>(DATA[[#This Row],[cantidad_fs]]*4.37)</f>
        <v>393.3</v>
      </c>
      <c r="T83" s="15">
        <f>DATA[[#This Row],[C. DF]]+DATA[[#This Row],[C.OPE.]]</f>
        <v>393.3</v>
      </c>
      <c r="U83" s="15">
        <f>DATA[[#This Row],[SUB TOTAL]]*0.18</f>
        <v>70.793999999999997</v>
      </c>
      <c r="V83" s="15">
        <f>IFERROR(ROUND(DATA[[#This Row],[SUB TOTAL]]+DATA[[#This Row],[IGV]],2),0)</f>
        <v>464.09</v>
      </c>
      <c r="W83" s="16" t="str">
        <f>IF(DATA[[#This Row],[VALORIZACIÓN ]]="-","NO CORRESPONDE",IF(OR(A83=20558226979,A83=10470707866,A83=20111157058,A83=20100226902),"NO CORRESPONDE",IF(J83="Emitida",IF(P83&gt;0,"EMITIDA","PENDIENTE"),"NO CORRESPONDE")))</f>
        <v>EMITIDA</v>
      </c>
      <c r="X83" s="29"/>
      <c r="Y83" s="17" t="s">
        <v>118</v>
      </c>
      <c r="Z83" s="30">
        <v>45687</v>
      </c>
      <c r="AA83" s="10" t="s">
        <v>124</v>
      </c>
      <c r="AB83" s="19">
        <v>536</v>
      </c>
      <c r="AC83" s="20">
        <v>30</v>
      </c>
      <c r="AD83" s="18">
        <f>DATA[[#This Row],[FECHA DE EMISION]]+DATA[[#This Row],[CONDICION DE PAGO]]</f>
        <v>45717</v>
      </c>
      <c r="AE83" s="23">
        <f>IF(DATA[[#This Row],[MONEDA]]="USD",VLOOKUP(DATA[[#This Row],[COMBINADA]],#REF!,11,0),1)</f>
        <v>1</v>
      </c>
      <c r="AF83" s="39" t="str">
        <f>IF(DATA[[#This Row],[SERIE2]]="-","NO CORRESPONDE",IF(W83="NO CORRESPONDE","NO CORRESPONDE",IF(Z83&gt;0,"FACTURADO","PENDIENTE")))</f>
        <v>FACTURADO</v>
      </c>
      <c r="AG83" s="27">
        <f>IFERROR(VLOOKUP(DATA[[#This Row],[COMBINADA]],#REF!,6,0),0)</f>
        <v>0</v>
      </c>
      <c r="AH83" s="125">
        <f>IFERROR(VLOOKUP(DATA[[#This Row],[COMBINADA]],#REF!,9,0),0)/COUNTIFS(DATA[COMBINADA],DATA[[#This Row],[COMBINADA]])</f>
        <v>0</v>
      </c>
      <c r="AI83" s="27">
        <f>IFERROR(VLOOKUP(DATA[[#This Row],[COMBINADA]],#REF!,6,0),0)</f>
        <v>0</v>
      </c>
      <c r="AJ83" s="125">
        <f>IFERROR(VLOOKUP(DATA[[#This Row],[COMBINADA]],#REF!,9,0),0)/COUNTIFS(DATA[COMBINADA],DATA[[#This Row],[COMBINADA]])</f>
        <v>0</v>
      </c>
      <c r="AK83" s="27">
        <f>IFERROR(VLOOKUP(DATA[[#This Row],[COMBINADA]],#REF!,6,0),0)</f>
        <v>0</v>
      </c>
      <c r="AL83" s="125">
        <f>IFERROR(VLOOKUP(DATA[[#This Row],[COMBINADA]],#REF!,9,0),0)/COUNTIFS(DATA[COMBINADA],DATA[[#This Row],[COMBINADA]])</f>
        <v>0</v>
      </c>
      <c r="AM83" s="27">
        <f>IFERROR(VLOOKUP(DATA[[#This Row],[COMBINADA]],#REF!,6,0),0)</f>
        <v>0</v>
      </c>
      <c r="AN83" s="125">
        <f>IFERROR(VLOOKUP(DATA[[#This Row],[COMBINADA]],#REF!,9,0),0)/COUNTIFS(DATA[COMBINADA],DATA[[#This Row],[COMBINADA]])</f>
        <v>0</v>
      </c>
      <c r="AO83" s="27">
        <f>IFERROR(VLOOKUP(DATA[[#This Row],[COMBINADA]],#REF!,6,0),0)</f>
        <v>0</v>
      </c>
      <c r="AP83" s="125">
        <f>IFERROR(VLOOKUP(DATA[[#This Row],[COMBINADA]],#REF!,9,0),0)/COUNTIFS(DATA[COMBINADA],DATA[[#This Row],[COMBINADA]])</f>
        <v>0</v>
      </c>
      <c r="AQ8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83" s="26" t="str">
        <f>IFERROR(IF(DATA[[#This Row],[estado_fact]]="FACTURADO",VLOOKUP(DATA[[#This Row],[SERIE2]]&amp;"-"&amp;DATA[[#This Row],[NUMERO]],#REF!,34,0),"NO CORRESPONDE"),"NO CORRESPONDE")</f>
        <v>NO CORRESPONDE</v>
      </c>
      <c r="AS83" s="22" t="str">
        <f>IF(DATA[[#This Row],[fecha_fs]]&gt;0,TEXT(DATA[[#This Row],[fecha_fs]],"Mmmm"),0)</f>
        <v>Enero</v>
      </c>
      <c r="AT83" s="22" t="str">
        <f>DATA[[#This Row],[SERIE2]]&amp;"-"&amp;DATA[[#This Row],[NUMERO]]</f>
        <v>FE01-536</v>
      </c>
      <c r="AU83" s="28">
        <f>DATA[[#This Row],[TOTAL]]*DATA[[#This Row],[T.C.]]</f>
        <v>464.09</v>
      </c>
      <c r="AV83" s="6">
        <f>DATA[[#This Row],[FECHA DE VAL.]]</f>
        <v>45684</v>
      </c>
      <c r="AW83" s="6">
        <f>DATA[[#This Row],[FECHA DE EMISION]]</f>
        <v>45687</v>
      </c>
      <c r="AX83" s="6">
        <f>DATA[[#This Row],[F1]]</f>
        <v>0</v>
      </c>
      <c r="AY83" s="20">
        <f>IF(AV83-DATA[[#This Row],[fecha_fs]]&lt;0,0,AV83-DATA[[#This Row],[fecha_fs]])</f>
        <v>12</v>
      </c>
      <c r="AZ83" s="20">
        <f t="shared" si="10"/>
        <v>3</v>
      </c>
      <c r="BA83" s="20">
        <f t="shared" si="11"/>
        <v>0</v>
      </c>
      <c r="BB83" s="195">
        <f>IFERROR(SUM(DATA[[#This Row],[fs_val_ttf]:[fact_pago_ttf]]),0)</f>
        <v>15</v>
      </c>
      <c r="BC83" s="184">
        <v>45698</v>
      </c>
      <c r="BD83" s="184">
        <v>45707</v>
      </c>
      <c r="BE83" s="184">
        <v>45712</v>
      </c>
      <c r="BF83" s="184">
        <v>45714</v>
      </c>
      <c r="BG83" s="20">
        <f>IFERROR(IF(BC83-DATA[[#This Row],[fecha_fs]]&lt;0,0,BC83-DATA[[#This Row],[fecha_fs]]),0)</f>
        <v>26</v>
      </c>
      <c r="BH83" s="20">
        <f t="shared" si="12"/>
        <v>9</v>
      </c>
      <c r="BI83" s="20">
        <f t="shared" si="13"/>
        <v>5</v>
      </c>
      <c r="BJ83" s="20">
        <f t="shared" si="14"/>
        <v>2</v>
      </c>
      <c r="BK83" s="189">
        <f>IFERROR(SUM(DATA[[#This Row],[fs_fd_ttd]:[fend_fenf_ttd]]),0)</f>
        <v>42</v>
      </c>
      <c r="BL83" s="20" t="str">
        <f>IF(DATA[[#This Row],[fecha_fs]]&gt;0,TEXT(DATA[[#This Row],[fecha_fs]],"YYYY"),0)</f>
        <v>2025</v>
      </c>
      <c r="BM83" s="221" t="b">
        <v>1</v>
      </c>
      <c r="BN83" s="278">
        <f>COUNTIF(DATA[[#This Row],[tiempo_td]], "&lt;=15")</f>
        <v>0</v>
      </c>
      <c r="BO83" s="222"/>
    </row>
    <row r="84" spans="1:67" ht="33" customHeight="1" x14ac:dyDescent="0.25">
      <c r="A84" s="4">
        <v>20120858425</v>
      </c>
      <c r="B84" s="5" t="s">
        <v>68</v>
      </c>
      <c r="C84" s="52" t="s">
        <v>18</v>
      </c>
      <c r="D84" s="4" t="s">
        <v>112</v>
      </c>
      <c r="E84" s="5" t="s">
        <v>1</v>
      </c>
      <c r="F84" s="24">
        <v>45671</v>
      </c>
      <c r="G84" s="7" t="s">
        <v>113</v>
      </c>
      <c r="H84" s="25">
        <f t="shared" si="9"/>
        <v>1</v>
      </c>
      <c r="I84" s="67">
        <v>3989</v>
      </c>
      <c r="J84" s="8" t="s">
        <v>115</v>
      </c>
      <c r="K84" s="9" t="s">
        <v>116</v>
      </c>
      <c r="L84" s="10" t="s">
        <v>117</v>
      </c>
      <c r="M84" s="11">
        <v>1250</v>
      </c>
      <c r="N84" s="12" t="s">
        <v>167</v>
      </c>
      <c r="O84" s="6">
        <v>45679</v>
      </c>
      <c r="P84" s="13">
        <v>3239</v>
      </c>
      <c r="Q84" s="14" t="s">
        <v>85</v>
      </c>
      <c r="R84" s="15">
        <f>DATA[[#This Row],[cantidad_fs]]*0.97</f>
        <v>1212.5</v>
      </c>
      <c r="S84" s="15"/>
      <c r="T84" s="15">
        <f>DATA[[#This Row],[C. DF]]+DATA[[#This Row],[C.OPE.]]</f>
        <v>1212.5</v>
      </c>
      <c r="U84" s="15">
        <f>DATA[[#This Row],[SUB TOTAL]]*0.18</f>
        <v>218.25</v>
      </c>
      <c r="V84" s="15">
        <f>IFERROR(ROUND(DATA[[#This Row],[SUB TOTAL]]+DATA[[#This Row],[IGV]],2),0)</f>
        <v>1430.75</v>
      </c>
      <c r="W84" s="16" t="str">
        <f>IF(DATA[[#This Row],[VALORIZACIÓN ]]="-","NO CORRESPONDE",IF(OR(A84=20558226979,A84=10470707866,A84=20111157058,A84=20100226902),"NO CORRESPONDE",IF(J84="Emitida",IF(P84&gt;0,"EMITIDA","PENDIENTE"),"NO CORRESPONDE")))</f>
        <v>EMITIDA</v>
      </c>
      <c r="X84" s="29" t="s">
        <v>171</v>
      </c>
      <c r="Y84" s="17" t="s">
        <v>118</v>
      </c>
      <c r="Z84" s="30">
        <v>45691</v>
      </c>
      <c r="AA84" s="10" t="s">
        <v>124</v>
      </c>
      <c r="AB84" s="19">
        <v>544</v>
      </c>
      <c r="AC84" s="20">
        <v>15</v>
      </c>
      <c r="AD84" s="18">
        <f>DATA[[#This Row],[FECHA DE EMISION]]+DATA[[#This Row],[CONDICION DE PAGO]]</f>
        <v>45706</v>
      </c>
      <c r="AE84" s="23">
        <f>IF(DATA[[#This Row],[MONEDA]]="USD",VLOOKUP(DATA[[#This Row],[COMBINADA]],#REF!,11,0),1)</f>
        <v>1</v>
      </c>
      <c r="AF84" s="39" t="str">
        <f>IF(DATA[[#This Row],[SERIE2]]="-","NO CORRESPONDE",IF(W84="NO CORRESPONDE","NO CORRESPONDE",IF(Z84&gt;0,"FACTURADO","PENDIENTE")))</f>
        <v>FACTURADO</v>
      </c>
      <c r="AG84" s="27">
        <f>IFERROR(VLOOKUP(DATA[[#This Row],[COMBINADA]],#REF!,6,0),0)</f>
        <v>0</v>
      </c>
      <c r="AH84" s="125">
        <f>IFERROR(VLOOKUP(DATA[[#This Row],[COMBINADA]],#REF!,9,0),0)/COUNTIFS(DATA[COMBINADA],DATA[[#This Row],[COMBINADA]])</f>
        <v>0</v>
      </c>
      <c r="AI84" s="27">
        <f>IFERROR(VLOOKUP(DATA[[#This Row],[COMBINADA]],#REF!,6,0),0)</f>
        <v>0</v>
      </c>
      <c r="AJ84" s="125">
        <f>IFERROR(VLOOKUP(DATA[[#This Row],[COMBINADA]],#REF!,9,0),0)/COUNTIFS(DATA[COMBINADA],DATA[[#This Row],[COMBINADA]])</f>
        <v>0</v>
      </c>
      <c r="AK84" s="27">
        <f>IFERROR(VLOOKUP(DATA[[#This Row],[COMBINADA]],#REF!,6,0),0)</f>
        <v>0</v>
      </c>
      <c r="AL84" s="125">
        <f>IFERROR(VLOOKUP(DATA[[#This Row],[COMBINADA]],#REF!,9,0),0)/COUNTIFS(DATA[COMBINADA],DATA[[#This Row],[COMBINADA]])</f>
        <v>0</v>
      </c>
      <c r="AM84" s="27">
        <f>IFERROR(VLOOKUP(DATA[[#This Row],[COMBINADA]],#REF!,6,0),0)</f>
        <v>0</v>
      </c>
      <c r="AN84" s="125">
        <f>IFERROR(VLOOKUP(DATA[[#This Row],[COMBINADA]],#REF!,9,0),0)/COUNTIFS(DATA[COMBINADA],DATA[[#This Row],[COMBINADA]])</f>
        <v>0</v>
      </c>
      <c r="AO84" s="27">
        <f>IFERROR(VLOOKUP(DATA[[#This Row],[COMBINADA]],#REF!,6,0),0)</f>
        <v>0</v>
      </c>
      <c r="AP84" s="125">
        <f>IFERROR(VLOOKUP(DATA[[#This Row],[COMBINADA]],#REF!,9,0),0)/COUNTIFS(DATA[COMBINADA],DATA[[#This Row],[COMBINADA]])</f>
        <v>0</v>
      </c>
      <c r="AQ8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1430.75</v>
      </c>
      <c r="AR84" s="26" t="str">
        <f>IFERROR(IF(DATA[[#This Row],[estado_fact]]="FACTURADO",VLOOKUP(DATA[[#This Row],[SERIE2]]&amp;"-"&amp;DATA[[#This Row],[NUMERO]],#REF!,34,0),"NO CORRESPONDE"),"NO CORRESPONDE")</f>
        <v>NO CORRESPONDE</v>
      </c>
      <c r="AS84" s="22" t="str">
        <f>IF(DATA[[#This Row],[fecha_fs]]&gt;0,TEXT(DATA[[#This Row],[fecha_fs]],"Mmmm"),0)</f>
        <v>Enero</v>
      </c>
      <c r="AT84" s="22" t="str">
        <f>DATA[[#This Row],[SERIE2]]&amp;"-"&amp;DATA[[#This Row],[NUMERO]]</f>
        <v>FE01-544</v>
      </c>
      <c r="AU84" s="28">
        <f>DATA[[#This Row],[TOTAL]]*DATA[[#This Row],[T.C.]]</f>
        <v>1430.75</v>
      </c>
      <c r="AV84" s="6">
        <f>DATA[[#This Row],[FECHA DE VAL.]]</f>
        <v>45679</v>
      </c>
      <c r="AW84" s="6">
        <f>DATA[[#This Row],[FECHA DE EMISION]]</f>
        <v>45691</v>
      </c>
      <c r="AX84" s="6">
        <f>DATA[[#This Row],[F1]]</f>
        <v>0</v>
      </c>
      <c r="AY84" s="20">
        <f>IF(AV84-DATA[[#This Row],[fecha_fs]]&lt;0,0,AV84-DATA[[#This Row],[fecha_fs]])</f>
        <v>8</v>
      </c>
      <c r="AZ84" s="20">
        <f t="shared" si="10"/>
        <v>12</v>
      </c>
      <c r="BA84" s="20">
        <f t="shared" si="11"/>
        <v>0</v>
      </c>
      <c r="BB84" s="195">
        <f>IFERROR(SUM(DATA[[#This Row],[fs_val_ttf]:[fact_pago_ttf]]),0)</f>
        <v>20</v>
      </c>
      <c r="BC84" s="185">
        <v>45685</v>
      </c>
      <c r="BD84" s="185">
        <v>45692</v>
      </c>
      <c r="BE84" s="185">
        <v>45695</v>
      </c>
      <c r="BF84" s="185">
        <v>45700</v>
      </c>
      <c r="BG84" s="20">
        <f>IFERROR(IF(BC84-DATA[[#This Row],[fecha_fs]]&lt;0,0,BC84-DATA[[#This Row],[fecha_fs]]),0)</f>
        <v>14</v>
      </c>
      <c r="BH84" s="20">
        <f t="shared" si="12"/>
        <v>7</v>
      </c>
      <c r="BI84" s="20">
        <f t="shared" si="13"/>
        <v>3</v>
      </c>
      <c r="BJ84" s="20">
        <f t="shared" si="14"/>
        <v>5</v>
      </c>
      <c r="BK84" s="189">
        <f>IFERROR(SUM(DATA[[#This Row],[fs_fd_ttd]:[fend_fenf_ttd]]),0)</f>
        <v>29</v>
      </c>
      <c r="BL84" s="20" t="str">
        <f>IF(DATA[[#This Row],[fecha_fs]]&gt;0,TEXT(DATA[[#This Row],[fecha_fs]],"YYYY"),0)</f>
        <v>2025</v>
      </c>
      <c r="BM84" s="221" t="b">
        <v>1</v>
      </c>
      <c r="BN84" s="278">
        <f>COUNTIF(DATA[[#This Row],[tiempo_td]], "&lt;=15")</f>
        <v>0</v>
      </c>
      <c r="BO84" s="222"/>
    </row>
    <row r="85" spans="1:67" ht="30.6" customHeight="1" x14ac:dyDescent="0.25">
      <c r="A85" s="4">
        <v>20498311963</v>
      </c>
      <c r="B85" s="5" t="s">
        <v>76</v>
      </c>
      <c r="C85" s="52" t="s">
        <v>77</v>
      </c>
      <c r="D85" s="4" t="s">
        <v>112</v>
      </c>
      <c r="E85" s="5" t="s">
        <v>1</v>
      </c>
      <c r="F85" s="24">
        <v>45672</v>
      </c>
      <c r="G85" s="7" t="s">
        <v>113</v>
      </c>
      <c r="H85" s="25">
        <f t="shared" si="9"/>
        <v>1</v>
      </c>
      <c r="I85" s="67">
        <v>3990</v>
      </c>
      <c r="J85" s="8" t="s">
        <v>115</v>
      </c>
      <c r="K85" s="9" t="s">
        <v>116</v>
      </c>
      <c r="L85" s="10" t="s">
        <v>117</v>
      </c>
      <c r="M85" s="11">
        <v>257</v>
      </c>
      <c r="N85" s="12" t="s">
        <v>125</v>
      </c>
      <c r="O85" s="6">
        <v>45673</v>
      </c>
      <c r="P85" s="13">
        <v>3234</v>
      </c>
      <c r="Q85" s="14" t="s">
        <v>85</v>
      </c>
      <c r="R85" s="15">
        <v>195</v>
      </c>
      <c r="S85" s="15">
        <v>694.58</v>
      </c>
      <c r="T85" s="15">
        <f>DATA[[#This Row],[C. DF]]+DATA[[#This Row],[C.OPE.]]</f>
        <v>889.58</v>
      </c>
      <c r="U85" s="15">
        <f>DATA[[#This Row],[SUB TOTAL]]*0.18</f>
        <v>160.12440000000001</v>
      </c>
      <c r="V85" s="15">
        <f>IFERROR(ROUND(DATA[[#This Row],[SUB TOTAL]]+DATA[[#This Row],[IGV]],2),0)</f>
        <v>1049.7</v>
      </c>
      <c r="W85" s="16" t="str">
        <f>IF(DATA[[#This Row],[VALORIZACIÓN ]]="-","NO CORRESPONDE",IF(OR(A85=20558226979,A85=10470707866,A85=20111157058,A85=20100226902),"NO CORRESPONDE",IF(J85="Emitida",IF(P85&gt;0,"EMITIDA","PENDIENTE"),"NO CORRESPONDE")))</f>
        <v>EMITIDA</v>
      </c>
      <c r="X85" s="29"/>
      <c r="Y85" s="17" t="s">
        <v>118</v>
      </c>
      <c r="Z85" s="30">
        <v>45680</v>
      </c>
      <c r="AA85" s="10" t="s">
        <v>124</v>
      </c>
      <c r="AB85" s="19">
        <v>525</v>
      </c>
      <c r="AC85" s="20">
        <v>0</v>
      </c>
      <c r="AD85" s="18">
        <f>DATA[[#This Row],[FECHA DE EMISION]]+DATA[[#This Row],[CONDICION DE PAGO]]</f>
        <v>45680</v>
      </c>
      <c r="AE85" s="23">
        <f>IF(DATA[[#This Row],[MONEDA]]="USD",VLOOKUP(DATA[[#This Row],[COMBINADA]],#REF!,11,0),1)</f>
        <v>1</v>
      </c>
      <c r="AF85" s="39" t="str">
        <f>IF(DATA[[#This Row],[SERIE2]]="-","NO CORRESPONDE",IF(W85="NO CORRESPONDE","NO CORRESPONDE",IF(Z85&gt;0,"FACTURADO","PENDIENTE")))</f>
        <v>FACTURADO</v>
      </c>
      <c r="AG85" s="27">
        <f>IFERROR(VLOOKUP(DATA[[#This Row],[COMBINADA]],#REF!,6,0),0)</f>
        <v>0</v>
      </c>
      <c r="AH85" s="125">
        <f>IFERROR(VLOOKUP(DATA[[#This Row],[COMBINADA]],#REF!,9,0),0)/COUNTIFS(DATA[COMBINADA],DATA[[#This Row],[COMBINADA]])</f>
        <v>0</v>
      </c>
      <c r="AI85" s="27">
        <f>IFERROR(VLOOKUP(DATA[[#This Row],[COMBINADA]],#REF!,6,0),0)</f>
        <v>0</v>
      </c>
      <c r="AJ85" s="125">
        <f>IFERROR(VLOOKUP(DATA[[#This Row],[COMBINADA]],#REF!,9,0),0)/COUNTIFS(DATA[COMBINADA],DATA[[#This Row],[COMBINADA]])</f>
        <v>0</v>
      </c>
      <c r="AK85" s="27">
        <f>IFERROR(VLOOKUP(DATA[[#This Row],[COMBINADA]],#REF!,6,0),0)</f>
        <v>0</v>
      </c>
      <c r="AL85" s="125">
        <f>IFERROR(VLOOKUP(DATA[[#This Row],[COMBINADA]],#REF!,9,0),0)/COUNTIFS(DATA[COMBINADA],DATA[[#This Row],[COMBINADA]])</f>
        <v>0</v>
      </c>
      <c r="AM85" s="27">
        <f>IFERROR(VLOOKUP(DATA[[#This Row],[COMBINADA]],#REF!,6,0),0)</f>
        <v>0</v>
      </c>
      <c r="AN85" s="125">
        <f>IFERROR(VLOOKUP(DATA[[#This Row],[COMBINADA]],#REF!,9,0),0)/COUNTIFS(DATA[COMBINADA],DATA[[#This Row],[COMBINADA]])</f>
        <v>0</v>
      </c>
      <c r="AO85" s="27">
        <f>IFERROR(VLOOKUP(DATA[[#This Row],[COMBINADA]],#REF!,6,0),0)</f>
        <v>0</v>
      </c>
      <c r="AP85" s="125">
        <f>IFERROR(VLOOKUP(DATA[[#This Row],[COMBINADA]],#REF!,9,0),0)/COUNTIFS(DATA[COMBINADA],DATA[[#This Row],[COMBINADA]])</f>
        <v>0</v>
      </c>
      <c r="AQ8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1049.7</v>
      </c>
      <c r="AR85" s="26" t="str">
        <f>IFERROR(IF(DATA[[#This Row],[estado_fact]]="FACTURADO",VLOOKUP(DATA[[#This Row],[SERIE2]]&amp;"-"&amp;DATA[[#This Row],[NUMERO]],#REF!,34,0),"NO CORRESPONDE"),"NO CORRESPONDE")</f>
        <v>NO CORRESPONDE</v>
      </c>
      <c r="AS85" s="22" t="str">
        <f>IF(DATA[[#This Row],[fecha_fs]]&gt;0,TEXT(DATA[[#This Row],[fecha_fs]],"Mmmm"),0)</f>
        <v>Enero</v>
      </c>
      <c r="AT85" s="22" t="str">
        <f>DATA[[#This Row],[SERIE2]]&amp;"-"&amp;DATA[[#This Row],[NUMERO]]</f>
        <v>FE01-525</v>
      </c>
      <c r="AU85" s="28">
        <f>DATA[[#This Row],[TOTAL]]*DATA[[#This Row],[T.C.]]</f>
        <v>1049.7</v>
      </c>
      <c r="AV85" s="6">
        <f>DATA[[#This Row],[FECHA DE VAL.]]</f>
        <v>45673</v>
      </c>
      <c r="AW85" s="6">
        <f>DATA[[#This Row],[FECHA DE EMISION]]</f>
        <v>45680</v>
      </c>
      <c r="AX85" s="6">
        <f>DATA[[#This Row],[F1]]</f>
        <v>0</v>
      </c>
      <c r="AY85" s="20">
        <f>IF(AV85-DATA[[#This Row],[fecha_fs]]&lt;0,0,AV85-DATA[[#This Row],[fecha_fs]])</f>
        <v>1</v>
      </c>
      <c r="AZ85" s="20">
        <f t="shared" si="10"/>
        <v>7</v>
      </c>
      <c r="BA85" s="20">
        <f t="shared" si="11"/>
        <v>0</v>
      </c>
      <c r="BB85" s="195">
        <f>IFERROR(SUM(DATA[[#This Row],[fs_val_ttf]:[fact_pago_ttf]]),0)</f>
        <v>8</v>
      </c>
      <c r="BC85" s="185">
        <v>45685</v>
      </c>
      <c r="BD85" s="185">
        <v>45692</v>
      </c>
      <c r="BE85" s="185">
        <v>45695</v>
      </c>
      <c r="BF85" s="185">
        <v>45700</v>
      </c>
      <c r="BG85" s="20">
        <f>IFERROR(IF(BC85-DATA[[#This Row],[fecha_fs]]&lt;0,0,BC85-DATA[[#This Row],[fecha_fs]]),0)</f>
        <v>13</v>
      </c>
      <c r="BH85" s="20">
        <f t="shared" si="12"/>
        <v>7</v>
      </c>
      <c r="BI85" s="20">
        <f t="shared" si="13"/>
        <v>3</v>
      </c>
      <c r="BJ85" s="20">
        <f t="shared" si="14"/>
        <v>5</v>
      </c>
      <c r="BK85" s="189">
        <f>IFERROR(SUM(DATA[[#This Row],[fs_fd_ttd]:[fend_fenf_ttd]]),0)</f>
        <v>28</v>
      </c>
      <c r="BL85" s="20" t="str">
        <f>IF(DATA[[#This Row],[fecha_fs]]&gt;0,TEXT(DATA[[#This Row],[fecha_fs]],"YYYY"),0)</f>
        <v>2025</v>
      </c>
      <c r="BM85" s="221" t="b">
        <v>1</v>
      </c>
      <c r="BN85" s="278">
        <f>COUNTIF(DATA[[#This Row],[tiempo_td]], "&lt;=15")</f>
        <v>0</v>
      </c>
      <c r="BO85" s="222"/>
    </row>
    <row r="86" spans="1:67" ht="30.6" customHeight="1" x14ac:dyDescent="0.25">
      <c r="A86" s="4">
        <v>20603536569</v>
      </c>
      <c r="B86" s="5" t="s">
        <v>27</v>
      </c>
      <c r="C86" s="52" t="s">
        <v>295</v>
      </c>
      <c r="D86" s="4" t="s">
        <v>120</v>
      </c>
      <c r="E86" s="5" t="s">
        <v>3</v>
      </c>
      <c r="F86" s="24">
        <v>45673</v>
      </c>
      <c r="G86" s="7" t="s">
        <v>113</v>
      </c>
      <c r="H86" s="25">
        <f t="shared" si="9"/>
        <v>1</v>
      </c>
      <c r="I86" s="67">
        <v>3991</v>
      </c>
      <c r="J86" s="8" t="s">
        <v>115</v>
      </c>
      <c r="K86" s="9" t="s">
        <v>121</v>
      </c>
      <c r="L86" s="10" t="s">
        <v>117</v>
      </c>
      <c r="M86" s="11">
        <v>355</v>
      </c>
      <c r="N86" s="12" t="s">
        <v>167</v>
      </c>
      <c r="O86" s="6">
        <v>45677</v>
      </c>
      <c r="P86" s="13">
        <v>3237</v>
      </c>
      <c r="Q86" s="14" t="s">
        <v>85</v>
      </c>
      <c r="R86" s="15">
        <f>192+((DATA[[#This Row],[cantidad_fs]]-300)*1.7)</f>
        <v>285.5</v>
      </c>
      <c r="S86" s="15">
        <v>3688.35</v>
      </c>
      <c r="T86" s="15">
        <f>DATA[[#This Row],[C. DF]]+DATA[[#This Row],[C.OPE.]]</f>
        <v>3973.85</v>
      </c>
      <c r="U86" s="15">
        <f>DATA[[#This Row],[SUB TOTAL]]*0.18</f>
        <v>715.29300000000001</v>
      </c>
      <c r="V86" s="15">
        <f>IFERROR(ROUND(DATA[[#This Row],[SUB TOTAL]]+DATA[[#This Row],[IGV]],2),0)</f>
        <v>4689.1400000000003</v>
      </c>
      <c r="W86" s="16" t="str">
        <f>IF(DATA[[#This Row],[VALORIZACIÓN ]]="-","NO CORRESPONDE",IF(OR(A86=20558226979,A86=10470707866,A86=20111157058,A86=20100226902),"NO CORRESPONDE",IF(J86="Emitida",IF(P86&gt;0,"EMITIDA","PENDIENTE"),"NO CORRESPONDE")))</f>
        <v>EMITIDA</v>
      </c>
      <c r="X86" s="29"/>
      <c r="Y86" s="17" t="s">
        <v>118</v>
      </c>
      <c r="Z86" s="30">
        <v>45693</v>
      </c>
      <c r="AA86" s="10" t="s">
        <v>124</v>
      </c>
      <c r="AB86" s="19">
        <v>547</v>
      </c>
      <c r="AC86" s="20">
        <v>15</v>
      </c>
      <c r="AD86" s="18">
        <f>DATA[[#This Row],[FECHA DE EMISION]]+DATA[[#This Row],[CONDICION DE PAGO]]</f>
        <v>45708</v>
      </c>
      <c r="AE86" s="23">
        <f>IF(DATA[[#This Row],[MONEDA]]="USD",VLOOKUP(DATA[[#This Row],[COMBINADA]],#REF!,11,0),1)</f>
        <v>1</v>
      </c>
      <c r="AF86" s="39" t="str">
        <f>IF(DATA[[#This Row],[SERIE2]]="-","NO CORRESPONDE",IF(W86="NO CORRESPONDE","NO CORRESPONDE",IF(Z86&gt;0,"FACTURADO","PENDIENTE")))</f>
        <v>FACTURADO</v>
      </c>
      <c r="AG86" s="27">
        <f>IFERROR(VLOOKUP(DATA[[#This Row],[COMBINADA]],#REF!,6,0),0)</f>
        <v>0</v>
      </c>
      <c r="AH86" s="125">
        <f>IFERROR(VLOOKUP(DATA[[#This Row],[COMBINADA]],#REF!,9,0),0)/COUNTIFS(DATA[COMBINADA],DATA[[#This Row],[COMBINADA]])</f>
        <v>0</v>
      </c>
      <c r="AI86" s="27">
        <f>IFERROR(VLOOKUP(DATA[[#This Row],[COMBINADA]],#REF!,6,0),0)</f>
        <v>0</v>
      </c>
      <c r="AJ86" s="125">
        <f>IFERROR(VLOOKUP(DATA[[#This Row],[COMBINADA]],#REF!,9,0),0)/COUNTIFS(DATA[COMBINADA],DATA[[#This Row],[COMBINADA]])</f>
        <v>0</v>
      </c>
      <c r="AK86" s="27">
        <f>IFERROR(VLOOKUP(DATA[[#This Row],[COMBINADA]],#REF!,6,0),0)</f>
        <v>0</v>
      </c>
      <c r="AL86" s="125">
        <f>IFERROR(VLOOKUP(DATA[[#This Row],[COMBINADA]],#REF!,9,0),0)/COUNTIFS(DATA[COMBINADA],DATA[[#This Row],[COMBINADA]])</f>
        <v>0</v>
      </c>
      <c r="AM86" s="27">
        <f>IFERROR(VLOOKUP(DATA[[#This Row],[COMBINADA]],#REF!,6,0),0)</f>
        <v>0</v>
      </c>
      <c r="AN86" s="125">
        <f>IFERROR(VLOOKUP(DATA[[#This Row],[COMBINADA]],#REF!,9,0),0)/COUNTIFS(DATA[COMBINADA],DATA[[#This Row],[COMBINADA]])</f>
        <v>0</v>
      </c>
      <c r="AO86" s="27">
        <f>IFERROR(VLOOKUP(DATA[[#This Row],[COMBINADA]],#REF!,6,0),0)</f>
        <v>0</v>
      </c>
      <c r="AP86" s="125">
        <f>IFERROR(VLOOKUP(DATA[[#This Row],[COMBINADA]],#REF!,9,0),0)/COUNTIFS(DATA[COMBINADA],DATA[[#This Row],[COMBINADA]])</f>
        <v>0</v>
      </c>
      <c r="AQ8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4689.1400000000003</v>
      </c>
      <c r="AR86" s="26" t="str">
        <f>IFERROR(IF(DATA[[#This Row],[estado_fact]]="FACTURADO",VLOOKUP(DATA[[#This Row],[SERIE2]]&amp;"-"&amp;DATA[[#This Row],[NUMERO]],#REF!,34,0),"NO CORRESPONDE"),"NO CORRESPONDE")</f>
        <v>NO CORRESPONDE</v>
      </c>
      <c r="AS86" s="22" t="str">
        <f>IF(DATA[[#This Row],[fecha_fs]]&gt;0,TEXT(DATA[[#This Row],[fecha_fs]],"Mmmm"),0)</f>
        <v>Enero</v>
      </c>
      <c r="AT86" s="22" t="str">
        <f>DATA[[#This Row],[SERIE2]]&amp;"-"&amp;DATA[[#This Row],[NUMERO]]</f>
        <v>FE01-547</v>
      </c>
      <c r="AU86" s="28">
        <f>DATA[[#This Row],[TOTAL]]*DATA[[#This Row],[T.C.]]</f>
        <v>4689.1400000000003</v>
      </c>
      <c r="AV86" s="6">
        <f>DATA[[#This Row],[FECHA DE VAL.]]</f>
        <v>45677</v>
      </c>
      <c r="AW86" s="6">
        <f>DATA[[#This Row],[FECHA DE EMISION]]</f>
        <v>45693</v>
      </c>
      <c r="AX86" s="6">
        <f>DATA[[#This Row],[F1]]</f>
        <v>0</v>
      </c>
      <c r="AY86" s="20">
        <f>IF(AV86-DATA[[#This Row],[fecha_fs]]&lt;0,0,AV86-DATA[[#This Row],[fecha_fs]])</f>
        <v>4</v>
      </c>
      <c r="AZ86" s="20">
        <f t="shared" si="10"/>
        <v>16</v>
      </c>
      <c r="BA86" s="20">
        <f t="shared" si="11"/>
        <v>0</v>
      </c>
      <c r="BB86" s="195">
        <f>IFERROR(SUM(DATA[[#This Row],[fs_val_ttf]:[fact_pago_ttf]]),0)</f>
        <v>20</v>
      </c>
      <c r="BC86" s="185">
        <v>45698</v>
      </c>
      <c r="BD86" s="185">
        <v>45707</v>
      </c>
      <c r="BE86" s="185">
        <v>45712</v>
      </c>
      <c r="BF86" s="185">
        <v>45761</v>
      </c>
      <c r="BG86" s="20">
        <f>IFERROR(IF(BC86-DATA[[#This Row],[fecha_fs]]&lt;0,0,BC86-DATA[[#This Row],[fecha_fs]]),0)</f>
        <v>25</v>
      </c>
      <c r="BH86" s="20">
        <f t="shared" si="12"/>
        <v>9</v>
      </c>
      <c r="BI86" s="20">
        <f t="shared" si="13"/>
        <v>5</v>
      </c>
      <c r="BJ86" s="20">
        <f t="shared" si="14"/>
        <v>49</v>
      </c>
      <c r="BK86" s="218">
        <f>IFERROR(SUM(DATA[[#This Row],[fs_fd_ttd]:[fend_fenf_ttd]]),0)</f>
        <v>88</v>
      </c>
      <c r="BL86" s="20" t="str">
        <f>IF(DATA[[#This Row],[fecha_fs]]&gt;0,TEXT(DATA[[#This Row],[fecha_fs]],"YYYY"),0)</f>
        <v>2025</v>
      </c>
      <c r="BM86" s="221" t="b">
        <v>1</v>
      </c>
      <c r="BN86" s="278">
        <f>COUNTIF(DATA[[#This Row],[tiempo_td]], "&lt;=15")</f>
        <v>0</v>
      </c>
      <c r="BO86" s="222"/>
    </row>
    <row r="87" spans="1:67" ht="30.6" customHeight="1" x14ac:dyDescent="0.25">
      <c r="A87" s="4">
        <v>20100192064</v>
      </c>
      <c r="B87" s="5" t="s">
        <v>60</v>
      </c>
      <c r="C87" s="52" t="s">
        <v>43</v>
      </c>
      <c r="D87" s="4" t="s">
        <v>120</v>
      </c>
      <c r="E87" s="5" t="s">
        <v>3</v>
      </c>
      <c r="F87" s="24">
        <v>45672</v>
      </c>
      <c r="G87" s="7" t="s">
        <v>113</v>
      </c>
      <c r="H87" s="25">
        <f t="shared" si="9"/>
        <v>1</v>
      </c>
      <c r="I87" s="67">
        <v>3992</v>
      </c>
      <c r="J87" s="8" t="s">
        <v>115</v>
      </c>
      <c r="K87" s="9" t="s">
        <v>121</v>
      </c>
      <c r="L87" s="10" t="s">
        <v>117</v>
      </c>
      <c r="M87" s="11">
        <v>640</v>
      </c>
      <c r="N87" s="12" t="s">
        <v>172</v>
      </c>
      <c r="O87" s="6">
        <v>45684</v>
      </c>
      <c r="P87" s="57">
        <v>3244</v>
      </c>
      <c r="Q87" s="14" t="s">
        <v>123</v>
      </c>
      <c r="R87" s="15">
        <f>(DATA[[#This Row],[cantidad_fs]]/1000)*(47+174.34)</f>
        <v>141.6576</v>
      </c>
      <c r="S87" s="15">
        <v>137</v>
      </c>
      <c r="T87" s="15">
        <f>DATA[[#This Row],[C. DF]]+DATA[[#This Row],[C.OPE.]]</f>
        <v>278.6576</v>
      </c>
      <c r="U87" s="15">
        <f>DATA[[#This Row],[SUB TOTAL]]*0.18</f>
        <v>50.158367999999996</v>
      </c>
      <c r="V87" s="15">
        <f>IFERROR(ROUND(DATA[[#This Row],[SUB TOTAL]]+DATA[[#This Row],[IGV]],2),0)</f>
        <v>328.82</v>
      </c>
      <c r="W87" s="16" t="str">
        <f>IF(DATA[[#This Row],[VALORIZACIÓN ]]="-","NO CORRESPONDE",IF(OR(A87=20558226979,A87=10470707866,A87=20111157058,A87=20100226902),"NO CORRESPONDE",IF(J87="Emitida",IF(P87&gt;0,"EMITIDA","PENDIENTE"),"NO CORRESPONDE")))</f>
        <v>EMITIDA</v>
      </c>
      <c r="X87" s="29"/>
      <c r="Y87" s="17" t="s">
        <v>118</v>
      </c>
      <c r="Z87" s="30">
        <v>45687</v>
      </c>
      <c r="AA87" s="10" t="s">
        <v>124</v>
      </c>
      <c r="AB87" s="19">
        <v>534</v>
      </c>
      <c r="AC87" s="20">
        <v>30</v>
      </c>
      <c r="AD87" s="18">
        <f>DATA[[#This Row],[FECHA DE EMISION]]+DATA[[#This Row],[CONDICION DE PAGO]]</f>
        <v>45717</v>
      </c>
      <c r="AE87" s="23" t="e">
        <f>IF(DATA[[#This Row],[MONEDA]]="USD",VLOOKUP(DATA[[#This Row],[COMBINADA]],#REF!,11,0),1)</f>
        <v>#REF!</v>
      </c>
      <c r="AF87" s="39" t="str">
        <f>IF(DATA[[#This Row],[SERIE2]]="-","NO CORRESPONDE",IF(W87="NO CORRESPONDE","NO CORRESPONDE",IF(Z87&gt;0,"FACTURADO","PENDIENTE")))</f>
        <v>FACTURADO</v>
      </c>
      <c r="AG87" s="27">
        <f>IFERROR(VLOOKUP(DATA[[#This Row],[COMBINADA]],#REF!,6,0),0)</f>
        <v>0</v>
      </c>
      <c r="AH87" s="125">
        <f>IFERROR(VLOOKUP(DATA[[#This Row],[COMBINADA]],#REF!,9,0),0)/COUNTIFS(DATA[COMBINADA],DATA[[#This Row],[COMBINADA]])</f>
        <v>0</v>
      </c>
      <c r="AI87" s="27">
        <f>IFERROR(VLOOKUP(DATA[[#This Row],[COMBINADA]],#REF!,6,0),0)</f>
        <v>0</v>
      </c>
      <c r="AJ87" s="125">
        <f>IFERROR(VLOOKUP(DATA[[#This Row],[COMBINADA]],#REF!,9,0),0)/COUNTIFS(DATA[COMBINADA],DATA[[#This Row],[COMBINADA]])</f>
        <v>0</v>
      </c>
      <c r="AK87" s="27">
        <f>IFERROR(VLOOKUP(DATA[[#This Row],[COMBINADA]],#REF!,6,0),0)</f>
        <v>0</v>
      </c>
      <c r="AL87" s="125">
        <f>IFERROR(VLOOKUP(DATA[[#This Row],[COMBINADA]],#REF!,9,0),0)/COUNTIFS(DATA[COMBINADA],DATA[[#This Row],[COMBINADA]])</f>
        <v>0</v>
      </c>
      <c r="AM87" s="27">
        <f>IFERROR(VLOOKUP(DATA[[#This Row],[COMBINADA]],#REF!,6,0),0)</f>
        <v>0</v>
      </c>
      <c r="AN87" s="125">
        <f>IFERROR(VLOOKUP(DATA[[#This Row],[COMBINADA]],#REF!,9,0),0)/COUNTIFS(DATA[COMBINADA],DATA[[#This Row],[COMBINADA]])</f>
        <v>0</v>
      </c>
      <c r="AO87" s="27">
        <f>IFERROR(VLOOKUP(DATA[[#This Row],[COMBINADA]],#REF!,6,0),0)</f>
        <v>0</v>
      </c>
      <c r="AP87" s="125">
        <f>IFERROR(VLOOKUP(DATA[[#This Row],[COMBINADA]],#REF!,9,0),0)/COUNTIFS(DATA[COMBINADA],DATA[[#This Row],[COMBINADA]])</f>
        <v>0</v>
      </c>
      <c r="AQ8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575.62384615384622</v>
      </c>
      <c r="AR87" s="26" t="str">
        <f>IFERROR(IF(DATA[[#This Row],[estado_fact]]="FACTURADO",VLOOKUP(DATA[[#This Row],[SERIE2]]&amp;"-"&amp;DATA[[#This Row],[NUMERO]],#REF!,34,0),"NO CORRESPONDE"),"NO CORRESPONDE")</f>
        <v>NO CORRESPONDE</v>
      </c>
      <c r="AS87" s="22" t="str">
        <f>IF(DATA[[#This Row],[fecha_fs]]&gt;0,TEXT(DATA[[#This Row],[fecha_fs]],"Mmmm"),0)</f>
        <v>Enero</v>
      </c>
      <c r="AT87" s="22" t="str">
        <f>DATA[[#This Row],[SERIE2]]&amp;"-"&amp;DATA[[#This Row],[NUMERO]]</f>
        <v>FE01-534</v>
      </c>
      <c r="AU87" s="28" t="e">
        <f>DATA[[#This Row],[TOTAL]]*DATA[[#This Row],[T.C.]]</f>
        <v>#REF!</v>
      </c>
      <c r="AV87" s="6">
        <f>DATA[[#This Row],[FECHA DE VAL.]]</f>
        <v>45684</v>
      </c>
      <c r="AW87" s="6">
        <f>DATA[[#This Row],[FECHA DE EMISION]]</f>
        <v>45687</v>
      </c>
      <c r="AX87" s="6">
        <f>DATA[[#This Row],[F1]]</f>
        <v>0</v>
      </c>
      <c r="AY87" s="20">
        <f>IF(AV87-DATA[[#This Row],[fecha_fs]]&lt;0,0,AV87-DATA[[#This Row],[fecha_fs]])</f>
        <v>12</v>
      </c>
      <c r="AZ87" s="20">
        <f t="shared" si="10"/>
        <v>3</v>
      </c>
      <c r="BA87" s="20">
        <f t="shared" si="11"/>
        <v>0</v>
      </c>
      <c r="BB87" s="195">
        <f>IFERROR(SUM(DATA[[#This Row],[fs_val_ttf]:[fact_pago_ttf]]),0)</f>
        <v>15</v>
      </c>
      <c r="BC87" s="187">
        <v>45694</v>
      </c>
      <c r="BD87" s="187">
        <v>45700</v>
      </c>
      <c r="BE87" s="187">
        <v>45707</v>
      </c>
      <c r="BF87" s="187">
        <v>45758</v>
      </c>
      <c r="BG87" s="20">
        <f>IFERROR(IF(BC87-DATA[[#This Row],[fecha_fs]]&lt;0,0,BC87-DATA[[#This Row],[fecha_fs]]),0)</f>
        <v>22</v>
      </c>
      <c r="BH87" s="20">
        <f t="shared" si="12"/>
        <v>6</v>
      </c>
      <c r="BI87" s="20">
        <f t="shared" si="13"/>
        <v>7</v>
      </c>
      <c r="BJ87" s="20">
        <f t="shared" si="14"/>
        <v>51</v>
      </c>
      <c r="BK87" s="218">
        <f>IFERROR(SUM(DATA[[#This Row],[fs_fd_ttd]:[fend_fenf_ttd]]),0)</f>
        <v>86</v>
      </c>
      <c r="BL87" s="20" t="str">
        <f>IF(DATA[[#This Row],[fecha_fs]]&gt;0,TEXT(DATA[[#This Row],[fecha_fs]],"YYYY"),0)</f>
        <v>2025</v>
      </c>
      <c r="BM87" s="221" t="b">
        <v>1</v>
      </c>
      <c r="BN87" s="278">
        <f>COUNTIF(DATA[[#This Row],[tiempo_td]], "&lt;=15")</f>
        <v>0</v>
      </c>
      <c r="BO87" s="222"/>
    </row>
    <row r="88" spans="1:67" ht="30.6" customHeight="1" x14ac:dyDescent="0.25">
      <c r="A88" s="4">
        <v>20100192064</v>
      </c>
      <c r="B88" s="5" t="s">
        <v>60</v>
      </c>
      <c r="C88" s="52" t="s">
        <v>65</v>
      </c>
      <c r="D88" s="4" t="s">
        <v>120</v>
      </c>
      <c r="E88" s="5" t="s">
        <v>3</v>
      </c>
      <c r="F88" s="24">
        <v>45673</v>
      </c>
      <c r="G88" s="7" t="s">
        <v>142</v>
      </c>
      <c r="H88" s="25">
        <f t="shared" si="9"/>
        <v>2</v>
      </c>
      <c r="I88" s="67">
        <v>1034</v>
      </c>
      <c r="J88" s="8" t="s">
        <v>115</v>
      </c>
      <c r="K88" s="9" t="s">
        <v>121</v>
      </c>
      <c r="L88" s="10" t="s">
        <v>117</v>
      </c>
      <c r="M88" s="11">
        <v>500</v>
      </c>
      <c r="N88" s="12" t="s">
        <v>143</v>
      </c>
      <c r="O88" s="6">
        <v>45684</v>
      </c>
      <c r="P88" s="57">
        <v>3250</v>
      </c>
      <c r="Q88" s="14" t="s">
        <v>123</v>
      </c>
      <c r="R88" s="15">
        <f>(DATA[[#This Row],[cantidad_fs]]/1000)*(37+81.01)</f>
        <v>59.005000000000003</v>
      </c>
      <c r="S88" s="15">
        <v>103.6</v>
      </c>
      <c r="T88" s="15">
        <f>DATA[[#This Row],[C. DF]]+DATA[[#This Row],[C.OPE.]]</f>
        <v>162.60499999999999</v>
      </c>
      <c r="U88" s="15">
        <f>DATA[[#This Row],[SUB TOTAL]]*0.18</f>
        <v>29.268899999999999</v>
      </c>
      <c r="V88" s="15">
        <f>IFERROR(ROUND(DATA[[#This Row],[SUB TOTAL]]+DATA[[#This Row],[IGV]],2),0)</f>
        <v>191.87</v>
      </c>
      <c r="W88" s="16" t="str">
        <f>IF(DATA[[#This Row],[VALORIZACIÓN ]]="-","NO CORRESPONDE",IF(OR(A88=20558226979,A88=10470707866,A88=20111157058,A88=20100226902),"NO CORRESPONDE",IF(J88="Emitida",IF(P88&gt;0,"EMITIDA","PENDIENTE"),"NO CORRESPONDE")))</f>
        <v>EMITIDA</v>
      </c>
      <c r="X88" s="29" t="s">
        <v>144</v>
      </c>
      <c r="Y88" s="17" t="s">
        <v>118</v>
      </c>
      <c r="Z88" s="30">
        <v>45686</v>
      </c>
      <c r="AA88" s="10" t="s">
        <v>124</v>
      </c>
      <c r="AB88" s="19">
        <v>530</v>
      </c>
      <c r="AC88" s="20">
        <v>30</v>
      </c>
      <c r="AD88" s="18">
        <f>DATA[[#This Row],[FECHA DE EMISION]]+DATA[[#This Row],[CONDICION DE PAGO]]</f>
        <v>45716</v>
      </c>
      <c r="AE88" s="23" t="e">
        <f>IF(DATA[[#This Row],[MONEDA]]="USD",VLOOKUP(DATA[[#This Row],[COMBINADA]],#REF!,11,0),1)</f>
        <v>#REF!</v>
      </c>
      <c r="AF88" s="39" t="str">
        <f>IF(DATA[[#This Row],[SERIE2]]="-","NO CORRESPONDE",IF(W88="NO CORRESPONDE","NO CORRESPONDE",IF(Z88&gt;0,"FACTURADO","PENDIENTE")))</f>
        <v>FACTURADO</v>
      </c>
      <c r="AG88" s="27">
        <f>IFERROR(VLOOKUP(DATA[[#This Row],[COMBINADA]],#REF!,6,0),0)</f>
        <v>0</v>
      </c>
      <c r="AH88" s="125">
        <f>IFERROR(VLOOKUP(DATA[[#This Row],[COMBINADA]],#REF!,9,0),0)/COUNTIFS(DATA[COMBINADA],DATA[[#This Row],[COMBINADA]])</f>
        <v>0</v>
      </c>
      <c r="AI88" s="27">
        <f>IFERROR(VLOOKUP(DATA[[#This Row],[COMBINADA]],#REF!,6,0),0)</f>
        <v>0</v>
      </c>
      <c r="AJ88" s="125">
        <f>IFERROR(VLOOKUP(DATA[[#This Row],[COMBINADA]],#REF!,9,0),0)/COUNTIFS(DATA[COMBINADA],DATA[[#This Row],[COMBINADA]])</f>
        <v>0</v>
      </c>
      <c r="AK88" s="27">
        <f>IFERROR(VLOOKUP(DATA[[#This Row],[COMBINADA]],#REF!,6,0),0)</f>
        <v>0</v>
      </c>
      <c r="AL88" s="125">
        <f>IFERROR(VLOOKUP(DATA[[#This Row],[COMBINADA]],#REF!,9,0),0)/COUNTIFS(DATA[COMBINADA],DATA[[#This Row],[COMBINADA]])</f>
        <v>0</v>
      </c>
      <c r="AM88" s="27">
        <f>IFERROR(VLOOKUP(DATA[[#This Row],[COMBINADA]],#REF!,6,0),0)</f>
        <v>0</v>
      </c>
      <c r="AN88" s="125">
        <f>IFERROR(VLOOKUP(DATA[[#This Row],[COMBINADA]],#REF!,9,0),0)/COUNTIFS(DATA[COMBINADA],DATA[[#This Row],[COMBINADA]])</f>
        <v>0</v>
      </c>
      <c r="AO88" s="27">
        <f>IFERROR(VLOOKUP(DATA[[#This Row],[COMBINADA]],#REF!,6,0),0)</f>
        <v>0</v>
      </c>
      <c r="AP88" s="125">
        <f>IFERROR(VLOOKUP(DATA[[#This Row],[COMBINADA]],#REF!,9,0),0)/COUNTIFS(DATA[COMBINADA],DATA[[#This Row],[COMBINADA]])</f>
        <v>0</v>
      </c>
      <c r="AQ8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830.60666666666657</v>
      </c>
      <c r="AR88" s="26" t="str">
        <f>IFERROR(IF(DATA[[#This Row],[estado_fact]]="FACTURADO",VLOOKUP(DATA[[#This Row],[SERIE2]]&amp;"-"&amp;DATA[[#This Row],[NUMERO]],#REF!,34,0),"NO CORRESPONDE"),"NO CORRESPONDE")</f>
        <v>NO CORRESPONDE</v>
      </c>
      <c r="AS88" s="22" t="str">
        <f>IF(DATA[[#This Row],[fecha_fs]]&gt;0,TEXT(DATA[[#This Row],[fecha_fs]],"Mmmm"),0)</f>
        <v>Enero</v>
      </c>
      <c r="AT88" s="22" t="str">
        <f>DATA[[#This Row],[SERIE2]]&amp;"-"&amp;DATA[[#This Row],[NUMERO]]</f>
        <v>FE01-530</v>
      </c>
      <c r="AU88" s="28" t="e">
        <f>DATA[[#This Row],[TOTAL]]*DATA[[#This Row],[T.C.]]</f>
        <v>#REF!</v>
      </c>
      <c r="AV88" s="6">
        <f>DATA[[#This Row],[FECHA DE VAL.]]</f>
        <v>45684</v>
      </c>
      <c r="AW88" s="6">
        <f>DATA[[#This Row],[FECHA DE EMISION]]</f>
        <v>45686</v>
      </c>
      <c r="AX88" s="6">
        <f>DATA[[#This Row],[F1]]</f>
        <v>0</v>
      </c>
      <c r="AY88" s="20">
        <f>IF(AV88-DATA[[#This Row],[fecha_fs]]&lt;0,0,AV88-DATA[[#This Row],[fecha_fs]])</f>
        <v>11</v>
      </c>
      <c r="AZ88" s="20">
        <f t="shared" si="10"/>
        <v>2</v>
      </c>
      <c r="BA88" s="20">
        <f t="shared" si="11"/>
        <v>0</v>
      </c>
      <c r="BB88" s="195">
        <f>IFERROR(SUM(DATA[[#This Row],[fs_val_ttf]:[fact_pago_ttf]]),0)</f>
        <v>13</v>
      </c>
      <c r="BC88" s="185">
        <v>45673</v>
      </c>
      <c r="BD88" s="185">
        <v>45679</v>
      </c>
      <c r="BE88" s="185">
        <v>45698</v>
      </c>
      <c r="BF88" s="185">
        <v>45758</v>
      </c>
      <c r="BG88" s="20">
        <f>IFERROR(IF(BC88-DATA[[#This Row],[fecha_fs]]&lt;0,0,BC88-DATA[[#This Row],[fecha_fs]]),0)</f>
        <v>0</v>
      </c>
      <c r="BH88" s="20">
        <f t="shared" si="12"/>
        <v>6</v>
      </c>
      <c r="BI88" s="20">
        <f t="shared" si="13"/>
        <v>19</v>
      </c>
      <c r="BJ88" s="20">
        <f t="shared" si="14"/>
        <v>60</v>
      </c>
      <c r="BK88" s="218">
        <f>IFERROR(SUM(DATA[[#This Row],[fs_fd_ttd]:[fend_fenf_ttd]]),0)</f>
        <v>85</v>
      </c>
      <c r="BL88" s="20" t="str">
        <f>IF(DATA[[#This Row],[fecha_fs]]&gt;0,TEXT(DATA[[#This Row],[fecha_fs]],"YYYY"),0)</f>
        <v>2025</v>
      </c>
      <c r="BM88" s="221" t="b">
        <v>1</v>
      </c>
      <c r="BN88" s="278">
        <f>COUNTIF(DATA[[#This Row],[tiempo_td]], "&lt;=15")</f>
        <v>0</v>
      </c>
      <c r="BO88" s="222"/>
    </row>
    <row r="89" spans="1:67" ht="30.6" customHeight="1" x14ac:dyDescent="0.25">
      <c r="A89" s="4">
        <v>20100055237</v>
      </c>
      <c r="B89" s="5" t="s">
        <v>21</v>
      </c>
      <c r="C89" s="52" t="s">
        <v>138</v>
      </c>
      <c r="D89" s="4" t="s">
        <v>139</v>
      </c>
      <c r="E89" s="5" t="s">
        <v>23</v>
      </c>
      <c r="F89" s="24">
        <v>45673</v>
      </c>
      <c r="G89" s="7" t="s">
        <v>113</v>
      </c>
      <c r="H89" s="25">
        <f t="shared" si="9"/>
        <v>1</v>
      </c>
      <c r="I89" s="67">
        <v>3993</v>
      </c>
      <c r="J89" s="8" t="s">
        <v>115</v>
      </c>
      <c r="K89" s="9" t="s">
        <v>121</v>
      </c>
      <c r="L89" s="10" t="s">
        <v>117</v>
      </c>
      <c r="M89" s="11">
        <v>30</v>
      </c>
      <c r="N89" s="12" t="s">
        <v>125</v>
      </c>
      <c r="O89" s="6">
        <v>45687</v>
      </c>
      <c r="P89" s="54">
        <v>3273</v>
      </c>
      <c r="Q89" s="14" t="s">
        <v>85</v>
      </c>
      <c r="R89" s="15"/>
      <c r="S89" s="15">
        <v>297.92</v>
      </c>
      <c r="T89" s="15">
        <f>DATA[[#This Row],[C. DF]]+DATA[[#This Row],[C.OPE.]]</f>
        <v>297.92</v>
      </c>
      <c r="U89" s="15">
        <f>DATA[[#This Row],[SUB TOTAL]]*0.18</f>
        <v>53.625599999999999</v>
      </c>
      <c r="V89" s="15">
        <f>IFERROR(ROUND(DATA[[#This Row],[SUB TOTAL]]+DATA[[#This Row],[IGV]],2),0)</f>
        <v>351.55</v>
      </c>
      <c r="W89" s="16" t="str">
        <f>IF(DATA[[#This Row],[VALORIZACIÓN ]]="-","NO CORRESPONDE",IF(OR(A89=20558226979,A89=10470707866,A89=20111157058,A89=20100226902),"NO CORRESPONDE",IF(J89="Emitida",IF(P89&gt;0,"EMITIDA","PENDIENTE"),"NO CORRESPONDE")))</f>
        <v>EMITIDA</v>
      </c>
      <c r="X89" s="29" t="s">
        <v>140</v>
      </c>
      <c r="Y89" s="17" t="s">
        <v>118</v>
      </c>
      <c r="Z89" s="30">
        <v>45701</v>
      </c>
      <c r="AA89" s="10" t="s">
        <v>124</v>
      </c>
      <c r="AB89" s="19">
        <v>562</v>
      </c>
      <c r="AC89" s="20">
        <v>30</v>
      </c>
      <c r="AD89" s="18">
        <f>DATA[[#This Row],[FECHA DE EMISION]]+DATA[[#This Row],[CONDICION DE PAGO]]</f>
        <v>45731</v>
      </c>
      <c r="AE89" s="23">
        <f>IF(DATA[[#This Row],[MONEDA]]="USD",VLOOKUP(DATA[[#This Row],[COMBINADA]],#REF!,11,0),1)</f>
        <v>1</v>
      </c>
      <c r="AF89" s="39" t="str">
        <f>IF(DATA[[#This Row],[SERIE2]]="-","NO CORRESPONDE",IF(W89="NO CORRESPONDE","NO CORRESPONDE",IF(Z89&gt;0,"FACTURADO","PENDIENTE")))</f>
        <v>FACTURADO</v>
      </c>
      <c r="AG89" s="27">
        <f>IFERROR(VLOOKUP(DATA[[#This Row],[COMBINADA]],#REF!,6,0),0)</f>
        <v>0</v>
      </c>
      <c r="AH89" s="125">
        <f>IFERROR(VLOOKUP(DATA[[#This Row],[COMBINADA]],#REF!,9,0),0)/COUNTIFS(DATA[COMBINADA],DATA[[#This Row],[COMBINADA]])</f>
        <v>0</v>
      </c>
      <c r="AI89" s="27">
        <f>IFERROR(VLOOKUP(DATA[[#This Row],[COMBINADA]],#REF!,6,0),0)</f>
        <v>0</v>
      </c>
      <c r="AJ89" s="125">
        <f>IFERROR(VLOOKUP(DATA[[#This Row],[COMBINADA]],#REF!,9,0),0)/COUNTIFS(DATA[COMBINADA],DATA[[#This Row],[COMBINADA]])</f>
        <v>0</v>
      </c>
      <c r="AK89" s="27">
        <f>IFERROR(VLOOKUP(DATA[[#This Row],[COMBINADA]],#REF!,6,0),0)</f>
        <v>0</v>
      </c>
      <c r="AL89" s="125">
        <f>IFERROR(VLOOKUP(DATA[[#This Row],[COMBINADA]],#REF!,9,0),0)/COUNTIFS(DATA[COMBINADA],DATA[[#This Row],[COMBINADA]])</f>
        <v>0</v>
      </c>
      <c r="AM89" s="27">
        <f>IFERROR(VLOOKUP(DATA[[#This Row],[COMBINADA]],#REF!,6,0),0)</f>
        <v>0</v>
      </c>
      <c r="AN89" s="125">
        <f>IFERROR(VLOOKUP(DATA[[#This Row],[COMBINADA]],#REF!,9,0),0)/COUNTIFS(DATA[COMBINADA],DATA[[#This Row],[COMBINADA]])</f>
        <v>0</v>
      </c>
      <c r="AO89" s="27">
        <f>IFERROR(VLOOKUP(DATA[[#This Row],[COMBINADA]],#REF!,6,0),0)</f>
        <v>0</v>
      </c>
      <c r="AP89" s="125">
        <f>IFERROR(VLOOKUP(DATA[[#This Row],[COMBINADA]],#REF!,9,0),0)/COUNTIFS(DATA[COMBINADA],DATA[[#This Row],[COMBINADA]])</f>
        <v>0</v>
      </c>
      <c r="AQ8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89" s="26" t="str">
        <f>IFERROR(IF(DATA[[#This Row],[estado_fact]]="FACTURADO",VLOOKUP(DATA[[#This Row],[SERIE2]]&amp;"-"&amp;DATA[[#This Row],[NUMERO]],#REF!,34,0),"NO CORRESPONDE"),"NO CORRESPONDE")</f>
        <v>NO CORRESPONDE</v>
      </c>
      <c r="AS89" s="22" t="str">
        <f>IF(DATA[[#This Row],[fecha_fs]]&gt;0,TEXT(DATA[[#This Row],[fecha_fs]],"Mmmm"),0)</f>
        <v>Enero</v>
      </c>
      <c r="AT89" s="22" t="str">
        <f>DATA[[#This Row],[SERIE2]]&amp;"-"&amp;DATA[[#This Row],[NUMERO]]</f>
        <v>FE01-562</v>
      </c>
      <c r="AU89" s="28">
        <f>DATA[[#This Row],[TOTAL]]*DATA[[#This Row],[T.C.]]</f>
        <v>351.55</v>
      </c>
      <c r="AV89" s="6">
        <f>DATA[[#This Row],[FECHA DE VAL.]]</f>
        <v>45687</v>
      </c>
      <c r="AW89" s="6">
        <f>DATA[[#This Row],[FECHA DE EMISION]]</f>
        <v>45701</v>
      </c>
      <c r="AX89" s="6">
        <f>DATA[[#This Row],[F1]]</f>
        <v>0</v>
      </c>
      <c r="AY89" s="20">
        <f>IF(AV89-DATA[[#This Row],[fecha_fs]]&lt;0,0,AV89-DATA[[#This Row],[fecha_fs]])</f>
        <v>14</v>
      </c>
      <c r="AZ89" s="20">
        <f t="shared" si="10"/>
        <v>14</v>
      </c>
      <c r="BA89" s="20">
        <f t="shared" si="11"/>
        <v>0</v>
      </c>
      <c r="BB89" s="195">
        <f>IFERROR(SUM(DATA[[#This Row],[fs_val_ttf]:[fact_pago_ttf]]),0)</f>
        <v>28</v>
      </c>
      <c r="BC89" s="184">
        <v>45673</v>
      </c>
      <c r="BD89" s="184">
        <v>45673</v>
      </c>
      <c r="BE89" s="184">
        <v>45691</v>
      </c>
      <c r="BF89" s="184">
        <v>45691</v>
      </c>
      <c r="BG89" s="20">
        <f>IFERROR(IF(BC89-DATA[[#This Row],[fecha_fs]]&lt;0,0,BC89-DATA[[#This Row],[fecha_fs]]),0)</f>
        <v>0</v>
      </c>
      <c r="BH89" s="20">
        <f t="shared" si="12"/>
        <v>0</v>
      </c>
      <c r="BI89" s="20">
        <f t="shared" si="13"/>
        <v>18</v>
      </c>
      <c r="BJ89" s="20">
        <f t="shared" si="14"/>
        <v>0</v>
      </c>
      <c r="BK89" s="218">
        <f>IFERROR(SUM(DATA[[#This Row],[fs_fd_ttd]:[fend_fenf_ttd]]),0)</f>
        <v>18</v>
      </c>
      <c r="BL89" s="20" t="str">
        <f>IF(DATA[[#This Row],[fecha_fs]]&gt;0,TEXT(DATA[[#This Row],[fecha_fs]],"YYYY"),0)</f>
        <v>2025</v>
      </c>
      <c r="BM89" s="221" t="b">
        <v>1</v>
      </c>
      <c r="BN89" s="278">
        <f>COUNTIF(DATA[[#This Row],[tiempo_td]], "&lt;=15")</f>
        <v>0</v>
      </c>
      <c r="BO89" s="222"/>
    </row>
    <row r="90" spans="1:67" ht="30.6" customHeight="1" x14ac:dyDescent="0.25">
      <c r="A90" s="4">
        <v>20141637941</v>
      </c>
      <c r="B90" s="5" t="s">
        <v>79</v>
      </c>
      <c r="C90" s="52" t="s">
        <v>18</v>
      </c>
      <c r="D90" s="4" t="s">
        <v>120</v>
      </c>
      <c r="E90" s="5" t="s">
        <v>3</v>
      </c>
      <c r="F90" s="24">
        <v>45673</v>
      </c>
      <c r="G90" s="7" t="s">
        <v>113</v>
      </c>
      <c r="H90" s="25">
        <f t="shared" si="9"/>
        <v>1</v>
      </c>
      <c r="I90" s="67">
        <v>3994</v>
      </c>
      <c r="J90" s="8" t="s">
        <v>115</v>
      </c>
      <c r="K90" s="9" t="s">
        <v>121</v>
      </c>
      <c r="L90" s="10" t="s">
        <v>117</v>
      </c>
      <c r="M90" s="11">
        <v>1670</v>
      </c>
      <c r="N90" s="12" t="s">
        <v>170</v>
      </c>
      <c r="O90" s="6">
        <v>45674</v>
      </c>
      <c r="P90" s="68">
        <v>3235</v>
      </c>
      <c r="Q90" s="14" t="s">
        <v>85</v>
      </c>
      <c r="R90" s="15">
        <f>70+(DATA[[#This Row],[cantidad_fs]]-1000)*0.1</f>
        <v>137</v>
      </c>
      <c r="S90" s="15">
        <v>517</v>
      </c>
      <c r="T90" s="15">
        <f>DATA[[#This Row],[C. DF]]+DATA[[#This Row],[C.OPE.]]</f>
        <v>654</v>
      </c>
      <c r="U90" s="15">
        <f>DATA[[#This Row],[SUB TOTAL]]*0.18</f>
        <v>117.72</v>
      </c>
      <c r="V90" s="15">
        <f>IFERROR(ROUND(DATA[[#This Row],[SUB TOTAL]]+DATA[[#This Row],[IGV]],2),0)</f>
        <v>771.72</v>
      </c>
      <c r="W90" s="16" t="str">
        <f>IF(DATA[[#This Row],[VALORIZACIÓN ]]="-","NO CORRESPONDE",IF(OR(A90=20558226979,A90=10470707866,A90=20111157058,A90=20100226902),"NO CORRESPONDE",IF(J90="Emitida",IF(P90&gt;0,"EMITIDA","PENDIENTE"),"NO CORRESPONDE")))</f>
        <v>EMITIDA</v>
      </c>
      <c r="X90" s="29"/>
      <c r="Y90" s="17" t="s">
        <v>118</v>
      </c>
      <c r="Z90" s="30">
        <v>45678</v>
      </c>
      <c r="AA90" s="10" t="s">
        <v>124</v>
      </c>
      <c r="AB90" s="19">
        <v>512</v>
      </c>
      <c r="AC90" s="20">
        <v>30</v>
      </c>
      <c r="AD90" s="18">
        <f>DATA[[#This Row],[FECHA DE EMISION]]+DATA[[#This Row],[CONDICION DE PAGO]]</f>
        <v>45708</v>
      </c>
      <c r="AE90" s="23">
        <f>IF(DATA[[#This Row],[MONEDA]]="USD",VLOOKUP(DATA[[#This Row],[COMBINADA]],#REF!,11,0),1)</f>
        <v>1</v>
      </c>
      <c r="AF90" s="39" t="str">
        <f>IF(DATA[[#This Row],[SERIE2]]="-","NO CORRESPONDE",IF(W90="NO CORRESPONDE","NO CORRESPONDE",IF(Z90&gt;0,"FACTURADO","PENDIENTE")))</f>
        <v>FACTURADO</v>
      </c>
      <c r="AG90" s="27">
        <f>IFERROR(VLOOKUP(DATA[[#This Row],[COMBINADA]],#REF!,6,0),0)</f>
        <v>0</v>
      </c>
      <c r="AH90" s="125">
        <f>IFERROR(VLOOKUP(DATA[[#This Row],[COMBINADA]],#REF!,9,0),0)/COUNTIFS(DATA[COMBINADA],DATA[[#This Row],[COMBINADA]])</f>
        <v>0</v>
      </c>
      <c r="AI90" s="27">
        <f>IFERROR(VLOOKUP(DATA[[#This Row],[COMBINADA]],#REF!,6,0),0)</f>
        <v>0</v>
      </c>
      <c r="AJ90" s="125">
        <f>IFERROR(VLOOKUP(DATA[[#This Row],[COMBINADA]],#REF!,9,0),0)/COUNTIFS(DATA[COMBINADA],DATA[[#This Row],[COMBINADA]])</f>
        <v>0</v>
      </c>
      <c r="AK90" s="27">
        <f>IFERROR(VLOOKUP(DATA[[#This Row],[COMBINADA]],#REF!,6,0),0)</f>
        <v>0</v>
      </c>
      <c r="AL90" s="125">
        <f>IFERROR(VLOOKUP(DATA[[#This Row],[COMBINADA]],#REF!,9,0),0)/COUNTIFS(DATA[COMBINADA],DATA[[#This Row],[COMBINADA]])</f>
        <v>0</v>
      </c>
      <c r="AM90" s="27">
        <f>IFERROR(VLOOKUP(DATA[[#This Row],[COMBINADA]],#REF!,6,0),0)</f>
        <v>0</v>
      </c>
      <c r="AN90" s="125">
        <f>IFERROR(VLOOKUP(DATA[[#This Row],[COMBINADA]],#REF!,9,0),0)/COUNTIFS(DATA[COMBINADA],DATA[[#This Row],[COMBINADA]])</f>
        <v>0</v>
      </c>
      <c r="AO90" s="27">
        <f>IFERROR(VLOOKUP(DATA[[#This Row],[COMBINADA]],#REF!,6,0),0)</f>
        <v>0</v>
      </c>
      <c r="AP90" s="125">
        <f>IFERROR(VLOOKUP(DATA[[#This Row],[COMBINADA]],#REF!,9,0),0)/COUNTIFS(DATA[COMBINADA],DATA[[#This Row],[COMBINADA]])</f>
        <v>0</v>
      </c>
      <c r="AQ9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735.73</v>
      </c>
      <c r="AR90" s="26" t="str">
        <f>IFERROR(IF(DATA[[#This Row],[estado_fact]]="FACTURADO",VLOOKUP(DATA[[#This Row],[SERIE2]]&amp;"-"&amp;DATA[[#This Row],[NUMERO]],#REF!,34,0),"NO CORRESPONDE"),"NO CORRESPONDE")</f>
        <v>NO CORRESPONDE</v>
      </c>
      <c r="AS90" s="22" t="str">
        <f>IF(DATA[[#This Row],[fecha_fs]]&gt;0,TEXT(DATA[[#This Row],[fecha_fs]],"Mmmm"),0)</f>
        <v>Enero</v>
      </c>
      <c r="AT90" s="22" t="str">
        <f>DATA[[#This Row],[SERIE2]]&amp;"-"&amp;DATA[[#This Row],[NUMERO]]</f>
        <v>FE01-512</v>
      </c>
      <c r="AU90" s="28">
        <f>DATA[[#This Row],[TOTAL]]*DATA[[#This Row],[T.C.]]</f>
        <v>771.72</v>
      </c>
      <c r="AV90" s="6">
        <f>DATA[[#This Row],[FECHA DE VAL.]]</f>
        <v>45674</v>
      </c>
      <c r="AW90" s="6">
        <f>DATA[[#This Row],[FECHA DE EMISION]]</f>
        <v>45678</v>
      </c>
      <c r="AX90" s="6">
        <f>DATA[[#This Row],[F1]]</f>
        <v>0</v>
      </c>
      <c r="AY90" s="20">
        <f>IF(AV90-DATA[[#This Row],[fecha_fs]]&lt;0,0,AV90-DATA[[#This Row],[fecha_fs]])</f>
        <v>1</v>
      </c>
      <c r="AZ90" s="20">
        <f t="shared" si="10"/>
        <v>4</v>
      </c>
      <c r="BA90" s="20">
        <f t="shared" si="11"/>
        <v>0</v>
      </c>
      <c r="BB90" s="195">
        <f>IFERROR(SUM(DATA[[#This Row],[fs_val_ttf]:[fact_pago_ttf]]),0)</f>
        <v>5</v>
      </c>
      <c r="BC90" s="185">
        <v>45673</v>
      </c>
      <c r="BD90" s="185">
        <v>45673</v>
      </c>
      <c r="BE90" s="185">
        <v>45678</v>
      </c>
      <c r="BF90" s="185">
        <v>45678</v>
      </c>
      <c r="BG90" s="20">
        <f>IFERROR(IF(BC90-DATA[[#This Row],[fecha_fs]]&lt;0,0,BC90-DATA[[#This Row],[fecha_fs]]),0)</f>
        <v>0</v>
      </c>
      <c r="BH90" s="20">
        <f t="shared" si="12"/>
        <v>0</v>
      </c>
      <c r="BI90" s="20">
        <f t="shared" si="13"/>
        <v>5</v>
      </c>
      <c r="BJ90" s="20">
        <f t="shared" si="14"/>
        <v>0</v>
      </c>
      <c r="BK90" s="218">
        <f>IFERROR(SUM(DATA[[#This Row],[fs_fd_ttd]:[fend_fenf_ttd]]),0)</f>
        <v>5</v>
      </c>
      <c r="BL90" s="20" t="str">
        <f>IF(DATA[[#This Row],[fecha_fs]]&gt;0,TEXT(DATA[[#This Row],[fecha_fs]],"YYYY"),0)</f>
        <v>2025</v>
      </c>
      <c r="BM90" s="221" t="b">
        <v>1</v>
      </c>
      <c r="BN90" s="278">
        <f>COUNTIF(DATA[[#This Row],[tiempo_td]], "&lt;=15")</f>
        <v>1</v>
      </c>
      <c r="BO90" s="222"/>
    </row>
    <row r="91" spans="1:67" ht="30" customHeight="1" x14ac:dyDescent="0.25">
      <c r="A91" s="4"/>
      <c r="B91" s="5" t="s">
        <v>0</v>
      </c>
      <c r="C91" s="52"/>
      <c r="D91" s="4"/>
      <c r="E91" s="5" t="s">
        <v>0</v>
      </c>
      <c r="F91" s="24">
        <v>45673</v>
      </c>
      <c r="G91" s="7" t="s">
        <v>113</v>
      </c>
      <c r="H91" s="25">
        <f t="shared" si="9"/>
        <v>1</v>
      </c>
      <c r="I91" s="67">
        <v>3995</v>
      </c>
      <c r="J91" s="8" t="s">
        <v>173</v>
      </c>
      <c r="K91" s="9"/>
      <c r="L91" s="10"/>
      <c r="M91" s="111"/>
      <c r="N91" s="112"/>
      <c r="O91" s="6"/>
      <c r="P91" s="13" t="s">
        <v>114</v>
      </c>
      <c r="Q91" s="14"/>
      <c r="R91" s="43"/>
      <c r="S91" s="43"/>
      <c r="T91" s="43">
        <f>DATA[[#This Row],[C. DF]]+DATA[[#This Row],[C.OPE.]]</f>
        <v>0</v>
      </c>
      <c r="U91" s="73">
        <f>DATA[[#This Row],[SUB TOTAL]]*0.18</f>
        <v>0</v>
      </c>
      <c r="V91" s="45">
        <f>IFERROR(ROUND(DATA[[#This Row],[SUB TOTAL]]+DATA[[#This Row],[IGV]],2),0)</f>
        <v>0</v>
      </c>
      <c r="W91" s="58" t="str">
        <f>IF(DATA[[#This Row],[VALORIZACIÓN ]]="-","NO CORRESPONDE",IF(OR(A91=20558226979,A91=10470707866,A91=20111157058,A91=20100226902),"NO CORRESPONDE",IF(J91="Emitida",IF(P91&gt;0,"EMITIDA","PENDIENTE"),"NO CORRESPONDE")))</f>
        <v>NO CORRESPONDE</v>
      </c>
      <c r="X91" s="46"/>
      <c r="Y91" s="17" t="s">
        <v>128</v>
      </c>
      <c r="Z91" s="48"/>
      <c r="AA91" s="49"/>
      <c r="AB91" s="50"/>
      <c r="AC91" s="51"/>
      <c r="AD91" s="59">
        <f>DATA[[#This Row],[FECHA DE EMISION]]+DATA[[#This Row],[CONDICION DE PAGO]]</f>
        <v>0</v>
      </c>
      <c r="AE91" s="23">
        <f>IF(DATA[[#This Row],[MONEDA]]="USD",VLOOKUP(DATA[[#This Row],[COMBINADA]],#REF!,11,0),1)</f>
        <v>1</v>
      </c>
      <c r="AF91" s="39" t="str">
        <f>IF(DATA[[#This Row],[SERIE2]]="-","NO CORRESPONDE",IF(W91="NO CORRESPONDE","NO CORRESPONDE",IF(Z91&gt;0,"FACTURADO","PENDIENTE")))</f>
        <v>NO CORRESPONDE</v>
      </c>
      <c r="AG91" s="61">
        <f>IFERROR(VLOOKUP(DATA[[#This Row],[COMBINADA]],#REF!,6,0),0)</f>
        <v>0</v>
      </c>
      <c r="AH91" s="62">
        <f>IFERROR(VLOOKUP(DATA[[#This Row],[COMBINADA]],#REF!,9,0),0)/COUNTIFS(DATA[COMBINADA],DATA[[#This Row],[COMBINADA]])</f>
        <v>0</v>
      </c>
      <c r="AI91" s="61">
        <f>IFERROR(VLOOKUP(DATA[[#This Row],[COMBINADA]],#REF!,6,0),0)</f>
        <v>0</v>
      </c>
      <c r="AJ91" s="62">
        <f>IFERROR(VLOOKUP(DATA[[#This Row],[COMBINADA]],#REF!,9,0),0)/COUNTIFS(DATA[COMBINADA],DATA[[#This Row],[COMBINADA]])</f>
        <v>0</v>
      </c>
      <c r="AK91" s="61">
        <f>IFERROR(VLOOKUP(DATA[[#This Row],[COMBINADA]],#REF!,6,0),0)</f>
        <v>0</v>
      </c>
      <c r="AL91" s="62">
        <f>IFERROR(VLOOKUP(DATA[[#This Row],[COMBINADA]],#REF!,9,0),0)/COUNTIFS(DATA[COMBINADA],DATA[[#This Row],[COMBINADA]])</f>
        <v>0</v>
      </c>
      <c r="AM91" s="61">
        <f>IFERROR(VLOOKUP(DATA[[#This Row],[COMBINADA]],#REF!,6,0),0)</f>
        <v>0</v>
      </c>
      <c r="AN91" s="62">
        <f>IFERROR(VLOOKUP(DATA[[#This Row],[COMBINADA]],#REF!,9,0),0)/COUNTIFS(DATA[COMBINADA],DATA[[#This Row],[COMBINADA]])</f>
        <v>0</v>
      </c>
      <c r="AO91" s="61">
        <f>IFERROR(VLOOKUP(DATA[[#This Row],[COMBINADA]],#REF!,6,0),0)</f>
        <v>0</v>
      </c>
      <c r="AP91" s="62">
        <f>IFERROR(VLOOKUP(DATA[[#This Row],[COMBINADA]],#REF!,9,0),0)/COUNTIFS(DATA[COMBINADA],DATA[[#This Row],[COMBINADA]])</f>
        <v>0</v>
      </c>
      <c r="AQ91"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91" s="22" t="str">
        <f>IFERROR(IF(DATA[[#This Row],[estado_fact]]="FACTURADO",VLOOKUP(DATA[[#This Row],[SERIE2]]&amp;"-"&amp;DATA[[#This Row],[NUMERO]],#REF!,34,0),"NO CORRESPONDE"),"NO CORRESPONDE")</f>
        <v>NO CORRESPONDE</v>
      </c>
      <c r="AS91" s="198" t="str">
        <f>IF(DATA[[#This Row],[fecha_fs]]&gt;0,TEXT(DATA[[#This Row],[fecha_fs]],"Mmmm"),0)</f>
        <v>Enero</v>
      </c>
      <c r="AT91" s="199" t="str">
        <f>DATA[[#This Row],[SERIE2]]&amp;"-"&amp;DATA[[#This Row],[NUMERO]]</f>
        <v>-</v>
      </c>
      <c r="AU91" s="198">
        <f>DATA[[#This Row],[TOTAL]]*DATA[[#This Row],[T.C.]]</f>
        <v>0</v>
      </c>
      <c r="AV91" s="40">
        <f>DATA[[#This Row],[FECHA DE VAL.]]</f>
        <v>0</v>
      </c>
      <c r="AW91" s="40">
        <f>DATA[[#This Row],[FECHA DE EMISION]]</f>
        <v>0</v>
      </c>
      <c r="AX91" s="40">
        <f>DATA[[#This Row],[F1]]</f>
        <v>0</v>
      </c>
      <c r="AY91" s="49">
        <f>IF(AV91-DATA[[#This Row],[fecha_fs]]&lt;0,0,AV91-DATA[[#This Row],[fecha_fs]])</f>
        <v>0</v>
      </c>
      <c r="AZ91" s="49">
        <f t="shared" si="10"/>
        <v>0</v>
      </c>
      <c r="BA91" s="49">
        <f t="shared" si="11"/>
        <v>0</v>
      </c>
      <c r="BB91" s="195">
        <f>IFERROR(SUM(DATA[[#This Row],[fs_val_ttf]:[fact_pago_ttf]]),0)</f>
        <v>0</v>
      </c>
      <c r="BC91" s="200"/>
      <c r="BD91" s="200"/>
      <c r="BE91" s="200"/>
      <c r="BF91" s="200"/>
      <c r="BG91" s="49">
        <f>IFERROR(IF(BC91-DATA[[#This Row],[fecha_fs]]&lt;0,0,BC91-DATA[[#This Row],[fecha_fs]]),0)</f>
        <v>0</v>
      </c>
      <c r="BH91" s="49">
        <f t="shared" si="12"/>
        <v>0</v>
      </c>
      <c r="BI91" s="49">
        <f t="shared" si="13"/>
        <v>0</v>
      </c>
      <c r="BJ91" s="49">
        <f t="shared" si="14"/>
        <v>0</v>
      </c>
      <c r="BK91" s="218">
        <f>IFERROR(SUM(DATA[[#This Row],[fs_fd_ttd]:[fend_fenf_ttd]]),0)</f>
        <v>0</v>
      </c>
      <c r="BL91" s="20" t="str">
        <f>IF(DATA[[#This Row],[fecha_fs]]&gt;0,TEXT(DATA[[#This Row],[fecha_fs]],"YYYY"),0)</f>
        <v>2025</v>
      </c>
      <c r="BM91" s="221" t="b">
        <v>0</v>
      </c>
      <c r="BN91" s="278"/>
      <c r="BO91" s="222"/>
    </row>
    <row r="92" spans="1:67" ht="30.6" customHeight="1" x14ac:dyDescent="0.25">
      <c r="A92" s="4">
        <v>20100192064</v>
      </c>
      <c r="B92" s="5" t="s">
        <v>60</v>
      </c>
      <c r="C92" s="52" t="s">
        <v>64</v>
      </c>
      <c r="D92" s="4" t="s">
        <v>112</v>
      </c>
      <c r="E92" s="5" t="s">
        <v>1</v>
      </c>
      <c r="F92" s="24">
        <v>45673</v>
      </c>
      <c r="G92" s="7" t="s">
        <v>113</v>
      </c>
      <c r="H92" s="25">
        <f t="shared" si="9"/>
        <v>1</v>
      </c>
      <c r="I92" s="67">
        <v>3996</v>
      </c>
      <c r="J92" s="8" t="s">
        <v>115</v>
      </c>
      <c r="K92" s="9" t="s">
        <v>136</v>
      </c>
      <c r="L92" s="10" t="s">
        <v>137</v>
      </c>
      <c r="M92" s="11">
        <v>18</v>
      </c>
      <c r="N92" s="12" t="s">
        <v>164</v>
      </c>
      <c r="O92" s="6">
        <v>45684</v>
      </c>
      <c r="P92" s="57">
        <v>3246</v>
      </c>
      <c r="Q92" s="14" t="s">
        <v>123</v>
      </c>
      <c r="R92" s="15">
        <f>DATA[[#This Row],[cantidad_fs]]*33.34</f>
        <v>600.12000000000012</v>
      </c>
      <c r="S92" s="15"/>
      <c r="T92" s="15">
        <f>DATA[[#This Row],[C. DF]]+DATA[[#This Row],[C.OPE.]]</f>
        <v>600.12000000000012</v>
      </c>
      <c r="U92" s="15">
        <f>DATA[[#This Row],[SUB TOTAL]]*0.18</f>
        <v>108.02160000000002</v>
      </c>
      <c r="V92" s="15">
        <f>IFERROR(ROUND(DATA[[#This Row],[SUB TOTAL]]+DATA[[#This Row],[IGV]],2),0)</f>
        <v>708.14</v>
      </c>
      <c r="W92" s="16" t="str">
        <f>IF(DATA[[#This Row],[VALORIZACIÓN ]]="-","NO CORRESPONDE",IF(OR(A92=20558226979,A92=10470707866,A92=20111157058,A92=20100226902),"NO CORRESPONDE",IF(J92="Emitida",IF(P92&gt;0,"EMITIDA","PENDIENTE"),"NO CORRESPONDE")))</f>
        <v>EMITIDA</v>
      </c>
      <c r="X92" s="29"/>
      <c r="Y92" s="17" t="s">
        <v>118</v>
      </c>
      <c r="Z92" s="30">
        <v>45687</v>
      </c>
      <c r="AA92" s="10" t="s">
        <v>124</v>
      </c>
      <c r="AB92" s="19">
        <v>535</v>
      </c>
      <c r="AC92" s="20">
        <v>30</v>
      </c>
      <c r="AD92" s="18">
        <f>DATA[[#This Row],[FECHA DE EMISION]]+DATA[[#This Row],[CONDICION DE PAGO]]</f>
        <v>45717</v>
      </c>
      <c r="AE92" s="23" t="e">
        <f>IF(DATA[[#This Row],[MONEDA]]="USD",VLOOKUP(DATA[[#This Row],[COMBINADA]],#REF!,11,0),1)</f>
        <v>#REF!</v>
      </c>
      <c r="AF92" s="39" t="str">
        <f>IF(DATA[[#This Row],[SERIE2]]="-","NO CORRESPONDE",IF(W92="NO CORRESPONDE","NO CORRESPONDE",IF(Z92&gt;0,"FACTURADO","PENDIENTE")))</f>
        <v>FACTURADO</v>
      </c>
      <c r="AG92" s="27">
        <f>IFERROR(VLOOKUP(DATA[[#This Row],[COMBINADA]],#REF!,6,0),0)</f>
        <v>0</v>
      </c>
      <c r="AH92" s="125">
        <f>IFERROR(VLOOKUP(DATA[[#This Row],[COMBINADA]],#REF!,9,0),0)/COUNTIFS(DATA[COMBINADA],DATA[[#This Row],[COMBINADA]])</f>
        <v>0</v>
      </c>
      <c r="AI92" s="27">
        <f>IFERROR(VLOOKUP(DATA[[#This Row],[COMBINADA]],#REF!,6,0),0)</f>
        <v>0</v>
      </c>
      <c r="AJ92" s="125">
        <f>IFERROR(VLOOKUP(DATA[[#This Row],[COMBINADA]],#REF!,9,0),0)/COUNTIFS(DATA[COMBINADA],DATA[[#This Row],[COMBINADA]])</f>
        <v>0</v>
      </c>
      <c r="AK92" s="27">
        <f>IFERROR(VLOOKUP(DATA[[#This Row],[COMBINADA]],#REF!,6,0),0)</f>
        <v>0</v>
      </c>
      <c r="AL92" s="125">
        <f>IFERROR(VLOOKUP(DATA[[#This Row],[COMBINADA]],#REF!,9,0),0)/COUNTIFS(DATA[COMBINADA],DATA[[#This Row],[COMBINADA]])</f>
        <v>0</v>
      </c>
      <c r="AM92" s="27">
        <f>IFERROR(VLOOKUP(DATA[[#This Row],[COMBINADA]],#REF!,6,0),0)</f>
        <v>0</v>
      </c>
      <c r="AN92" s="125">
        <f>IFERROR(VLOOKUP(DATA[[#This Row],[COMBINADA]],#REF!,9,0),0)/COUNTIFS(DATA[COMBINADA],DATA[[#This Row],[COMBINADA]])</f>
        <v>0</v>
      </c>
      <c r="AO92" s="27">
        <f>IFERROR(VLOOKUP(DATA[[#This Row],[COMBINADA]],#REF!,6,0),0)</f>
        <v>0</v>
      </c>
      <c r="AP92" s="125">
        <f>IFERROR(VLOOKUP(DATA[[#This Row],[COMBINADA]],#REF!,9,0),0)/COUNTIFS(DATA[COMBINADA],DATA[[#This Row],[COMBINADA]])</f>
        <v>0</v>
      </c>
      <c r="AQ9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996.05400000000009</v>
      </c>
      <c r="AR92" s="26" t="str">
        <f>IFERROR(IF(DATA[[#This Row],[estado_fact]]="FACTURADO",VLOOKUP(DATA[[#This Row],[SERIE2]]&amp;"-"&amp;DATA[[#This Row],[NUMERO]],#REF!,34,0),"NO CORRESPONDE"),"NO CORRESPONDE")</f>
        <v>NO CORRESPONDE</v>
      </c>
      <c r="AS92" s="22" t="str">
        <f>IF(DATA[[#This Row],[fecha_fs]]&gt;0,TEXT(DATA[[#This Row],[fecha_fs]],"Mmmm"),0)</f>
        <v>Enero</v>
      </c>
      <c r="AT92" s="22" t="str">
        <f>DATA[[#This Row],[SERIE2]]&amp;"-"&amp;DATA[[#This Row],[NUMERO]]</f>
        <v>FE01-535</v>
      </c>
      <c r="AU92" s="28" t="e">
        <f>DATA[[#This Row],[TOTAL]]*DATA[[#This Row],[T.C.]]</f>
        <v>#REF!</v>
      </c>
      <c r="AV92" s="6">
        <f>DATA[[#This Row],[FECHA DE VAL.]]</f>
        <v>45684</v>
      </c>
      <c r="AW92" s="6">
        <f>DATA[[#This Row],[FECHA DE EMISION]]</f>
        <v>45687</v>
      </c>
      <c r="AX92" s="6">
        <f>DATA[[#This Row],[F1]]</f>
        <v>0</v>
      </c>
      <c r="AY92" s="20">
        <f>IF(AV92-DATA[[#This Row],[fecha_fs]]&lt;0,0,AV92-DATA[[#This Row],[fecha_fs]])</f>
        <v>11</v>
      </c>
      <c r="AZ92" s="20">
        <f t="shared" si="10"/>
        <v>3</v>
      </c>
      <c r="BA92" s="20">
        <f t="shared" si="11"/>
        <v>0</v>
      </c>
      <c r="BB92" s="195">
        <f>IFERROR(SUM(DATA[[#This Row],[fs_val_ttf]:[fact_pago_ttf]]),0)</f>
        <v>14</v>
      </c>
      <c r="BC92" s="185">
        <v>45682</v>
      </c>
      <c r="BD92" s="185">
        <v>45705</v>
      </c>
      <c r="BE92" s="185">
        <v>45727</v>
      </c>
      <c r="BF92" s="185">
        <v>45758</v>
      </c>
      <c r="BG92" s="20">
        <f>IFERROR(IF(BC92-DATA[[#This Row],[fecha_fs]]&lt;0,0,BC92-DATA[[#This Row],[fecha_fs]]),0)</f>
        <v>9</v>
      </c>
      <c r="BH92" s="20">
        <f t="shared" si="12"/>
        <v>23</v>
      </c>
      <c r="BI92" s="20">
        <f t="shared" si="13"/>
        <v>22</v>
      </c>
      <c r="BJ92" s="20">
        <f t="shared" si="14"/>
        <v>31</v>
      </c>
      <c r="BK92" s="218">
        <f>IFERROR(SUM(DATA[[#This Row],[fs_fd_ttd]:[fend_fenf_ttd]]),0)</f>
        <v>85</v>
      </c>
      <c r="BL92" s="20" t="str">
        <f>IF(DATA[[#This Row],[fecha_fs]]&gt;0,TEXT(DATA[[#This Row],[fecha_fs]],"YYYY"),0)</f>
        <v>2025</v>
      </c>
      <c r="BM92" s="221" t="b">
        <v>1</v>
      </c>
      <c r="BN92" s="278">
        <f>COUNTIF(DATA[[#This Row],[tiempo_td]], "&lt;=15")</f>
        <v>0</v>
      </c>
      <c r="BO92" s="222"/>
    </row>
    <row r="93" spans="1:67" ht="30.6" customHeight="1" x14ac:dyDescent="0.25">
      <c r="A93" s="4">
        <v>20505675836</v>
      </c>
      <c r="B93" s="5" t="s">
        <v>42</v>
      </c>
      <c r="C93" s="52" t="s">
        <v>43</v>
      </c>
      <c r="D93" s="4" t="s">
        <v>112</v>
      </c>
      <c r="E93" s="5" t="s">
        <v>1</v>
      </c>
      <c r="F93" s="24">
        <v>45673</v>
      </c>
      <c r="G93" s="7" t="s">
        <v>113</v>
      </c>
      <c r="H93" s="25">
        <f t="shared" si="9"/>
        <v>1</v>
      </c>
      <c r="I93" s="67">
        <v>3997</v>
      </c>
      <c r="J93" s="8" t="s">
        <v>115</v>
      </c>
      <c r="K93" s="9" t="s">
        <v>116</v>
      </c>
      <c r="L93" s="10" t="s">
        <v>117</v>
      </c>
      <c r="M93" s="11">
        <v>7700</v>
      </c>
      <c r="N93" s="12" t="s">
        <v>172</v>
      </c>
      <c r="O93" s="6">
        <v>45684</v>
      </c>
      <c r="P93" s="69">
        <v>3259</v>
      </c>
      <c r="Q93" s="14" t="s">
        <v>85</v>
      </c>
      <c r="R93" s="15">
        <f>(DATA[[#This Row],[cantidad_fs]]-600)*0.97</f>
        <v>6887</v>
      </c>
      <c r="S93" s="15">
        <v>1427.2</v>
      </c>
      <c r="T93" s="15">
        <f>DATA[[#This Row],[C. DF]]+DATA[[#This Row],[C.OPE.]]</f>
        <v>8314.2000000000007</v>
      </c>
      <c r="U93" s="15">
        <f>DATA[[#This Row],[SUB TOTAL]]*0.18</f>
        <v>1496.556</v>
      </c>
      <c r="V93" s="15">
        <f>IFERROR(ROUND(DATA[[#This Row],[SUB TOTAL]]+DATA[[#This Row],[IGV]],2),0)</f>
        <v>9810.76</v>
      </c>
      <c r="W93" s="16" t="str">
        <f>IF(DATA[[#This Row],[VALORIZACIÓN ]]="-","NO CORRESPONDE",IF(OR(A93=20558226979,A93=10470707866,A93=20111157058,A93=20100226902),"NO CORRESPONDE",IF(J93="Emitida",IF(P93&gt;0,"EMITIDA","PENDIENTE"),"NO CORRESPONDE")))</f>
        <v>EMITIDA</v>
      </c>
      <c r="X93" s="29" t="s">
        <v>146</v>
      </c>
      <c r="Y93" s="17" t="s">
        <v>118</v>
      </c>
      <c r="Z93" s="30">
        <v>45708</v>
      </c>
      <c r="AA93" s="10" t="s">
        <v>124</v>
      </c>
      <c r="AB93" s="19">
        <v>571</v>
      </c>
      <c r="AC93" s="20">
        <v>30</v>
      </c>
      <c r="AD93" s="18">
        <f>DATA[[#This Row],[FECHA DE EMISION]]+DATA[[#This Row],[CONDICION DE PAGO]]</f>
        <v>45738</v>
      </c>
      <c r="AE93" s="23">
        <f>IF(DATA[[#This Row],[MONEDA]]="USD",VLOOKUP(DATA[[#This Row],[COMBINADA]],#REF!,11,0),1)</f>
        <v>1</v>
      </c>
      <c r="AF93" s="39" t="str">
        <f>IF(DATA[[#This Row],[SERIE2]]="-","NO CORRESPONDE",IF(W93="NO CORRESPONDE","NO CORRESPONDE",IF(Z93&gt;0,"FACTURADO","PENDIENTE")))</f>
        <v>FACTURADO</v>
      </c>
      <c r="AG93" s="27">
        <f>IFERROR(VLOOKUP(DATA[[#This Row],[COMBINADA]],#REF!,6,0),0)</f>
        <v>0</v>
      </c>
      <c r="AH93" s="125">
        <f>IFERROR(VLOOKUP(DATA[[#This Row],[COMBINADA]],#REF!,9,0),0)/COUNTIFS(DATA[COMBINADA],DATA[[#This Row],[COMBINADA]])</f>
        <v>0</v>
      </c>
      <c r="AI93" s="27">
        <f>IFERROR(VLOOKUP(DATA[[#This Row],[COMBINADA]],#REF!,6,0),0)</f>
        <v>0</v>
      </c>
      <c r="AJ93" s="125">
        <f>IFERROR(VLOOKUP(DATA[[#This Row],[COMBINADA]],#REF!,9,0),0)/COUNTIFS(DATA[COMBINADA],DATA[[#This Row],[COMBINADA]])</f>
        <v>0</v>
      </c>
      <c r="AK93" s="27">
        <f>IFERROR(VLOOKUP(DATA[[#This Row],[COMBINADA]],#REF!,6,0),0)</f>
        <v>0</v>
      </c>
      <c r="AL93" s="125">
        <f>IFERROR(VLOOKUP(DATA[[#This Row],[COMBINADA]],#REF!,9,0),0)/COUNTIFS(DATA[COMBINADA],DATA[[#This Row],[COMBINADA]])</f>
        <v>0</v>
      </c>
      <c r="AM93" s="27">
        <f>IFERROR(VLOOKUP(DATA[[#This Row],[COMBINADA]],#REF!,6,0),0)</f>
        <v>0</v>
      </c>
      <c r="AN93" s="125">
        <f>IFERROR(VLOOKUP(DATA[[#This Row],[COMBINADA]],#REF!,9,0),0)/COUNTIFS(DATA[COMBINADA],DATA[[#This Row],[COMBINADA]])</f>
        <v>0</v>
      </c>
      <c r="AO93" s="27">
        <f>IFERROR(VLOOKUP(DATA[[#This Row],[COMBINADA]],#REF!,6,0),0)</f>
        <v>0</v>
      </c>
      <c r="AP93" s="125">
        <f>IFERROR(VLOOKUP(DATA[[#This Row],[COMBINADA]],#REF!,9,0),0)/COUNTIFS(DATA[COMBINADA],DATA[[#This Row],[COMBINADA]])</f>
        <v>0</v>
      </c>
      <c r="AQ9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6464.8840000000009</v>
      </c>
      <c r="AR93" s="26" t="str">
        <f>IFERROR(IF(DATA[[#This Row],[estado_fact]]="FACTURADO",VLOOKUP(DATA[[#This Row],[SERIE2]]&amp;"-"&amp;DATA[[#This Row],[NUMERO]],#REF!,34,0),"NO CORRESPONDE"),"NO CORRESPONDE")</f>
        <v>NO CORRESPONDE</v>
      </c>
      <c r="AS93" s="22" t="str">
        <f>IF(DATA[[#This Row],[fecha_fs]]&gt;0,TEXT(DATA[[#This Row],[fecha_fs]],"Mmmm"),0)</f>
        <v>Enero</v>
      </c>
      <c r="AT93" s="22" t="str">
        <f>DATA[[#This Row],[SERIE2]]&amp;"-"&amp;DATA[[#This Row],[NUMERO]]</f>
        <v>FE01-571</v>
      </c>
      <c r="AU93" s="28">
        <f>DATA[[#This Row],[TOTAL]]*DATA[[#This Row],[T.C.]]</f>
        <v>9810.76</v>
      </c>
      <c r="AV93" s="6">
        <f>DATA[[#This Row],[FECHA DE VAL.]]</f>
        <v>45684</v>
      </c>
      <c r="AW93" s="6">
        <f>DATA[[#This Row],[FECHA DE EMISION]]</f>
        <v>45708</v>
      </c>
      <c r="AX93" s="6">
        <f>DATA[[#This Row],[F1]]</f>
        <v>0</v>
      </c>
      <c r="AY93" s="20">
        <f>IF(AV93-DATA[[#This Row],[fecha_fs]]&lt;0,0,AV93-DATA[[#This Row],[fecha_fs]])</f>
        <v>11</v>
      </c>
      <c r="AZ93" s="20">
        <f t="shared" si="10"/>
        <v>24</v>
      </c>
      <c r="BA93" s="20">
        <f t="shared" si="11"/>
        <v>0</v>
      </c>
      <c r="BB93" s="195">
        <f>IFERROR(SUM(DATA[[#This Row],[fs_val_ttf]:[fact_pago_ttf]]),0)</f>
        <v>35</v>
      </c>
      <c r="BC93" s="185">
        <v>45685</v>
      </c>
      <c r="BD93" s="185">
        <v>45692</v>
      </c>
      <c r="BE93" s="185">
        <v>45695</v>
      </c>
      <c r="BF93" s="185">
        <v>45700</v>
      </c>
      <c r="BG93" s="20">
        <f>IFERROR(IF(BC93-DATA[[#This Row],[fecha_fs]]&lt;0,0,BC93-DATA[[#This Row],[fecha_fs]]),0)</f>
        <v>12</v>
      </c>
      <c r="BH93" s="20">
        <f t="shared" si="12"/>
        <v>7</v>
      </c>
      <c r="BI93" s="20">
        <f t="shared" si="13"/>
        <v>3</v>
      </c>
      <c r="BJ93" s="20">
        <f t="shared" si="14"/>
        <v>5</v>
      </c>
      <c r="BK93" s="218">
        <f>IFERROR(SUM(DATA[[#This Row],[fs_fd_ttd]:[fend_fenf_ttd]]),0)</f>
        <v>27</v>
      </c>
      <c r="BL93" s="20" t="str">
        <f>IF(DATA[[#This Row],[fecha_fs]]&gt;0,TEXT(DATA[[#This Row],[fecha_fs]],"YYYY"),0)</f>
        <v>2025</v>
      </c>
      <c r="BM93" s="221" t="b">
        <v>1</v>
      </c>
      <c r="BN93" s="278">
        <f>COUNTIF(DATA[[#This Row],[tiempo_td]], "&lt;=15")</f>
        <v>0</v>
      </c>
      <c r="BO93" s="222"/>
    </row>
    <row r="94" spans="1:67" ht="30.6" customHeight="1" x14ac:dyDescent="0.25">
      <c r="A94" s="4">
        <v>20419158462</v>
      </c>
      <c r="B94" s="5" t="s">
        <v>2</v>
      </c>
      <c r="C94" s="52" t="s">
        <v>9</v>
      </c>
      <c r="D94" s="4" t="s">
        <v>120</v>
      </c>
      <c r="E94" s="5" t="s">
        <v>3</v>
      </c>
      <c r="F94" s="24">
        <v>45673</v>
      </c>
      <c r="G94" s="7" t="s">
        <v>113</v>
      </c>
      <c r="H94" s="25">
        <f t="shared" si="9"/>
        <v>1</v>
      </c>
      <c r="I94" s="67">
        <v>3998</v>
      </c>
      <c r="J94" s="8" t="s">
        <v>115</v>
      </c>
      <c r="K94" s="9" t="s">
        <v>156</v>
      </c>
      <c r="L94" s="10" t="s">
        <v>117</v>
      </c>
      <c r="M94" s="11">
        <v>224</v>
      </c>
      <c r="N94" s="12" t="s">
        <v>125</v>
      </c>
      <c r="O94" s="6">
        <v>45674</v>
      </c>
      <c r="P94" s="13">
        <v>3236</v>
      </c>
      <c r="Q94" s="14" t="s">
        <v>85</v>
      </c>
      <c r="R94" s="15">
        <v>0</v>
      </c>
      <c r="S94" s="15">
        <f>1429.7/2</f>
        <v>714.85</v>
      </c>
      <c r="T94" s="15">
        <f>DATA[[#This Row],[C. DF]]+DATA[[#This Row],[C.OPE.]]</f>
        <v>714.85</v>
      </c>
      <c r="U94" s="15">
        <f>DATA[[#This Row],[SUB TOTAL]]*0.18</f>
        <v>128.673</v>
      </c>
      <c r="V94" s="15">
        <f>IFERROR(ROUND(DATA[[#This Row],[SUB TOTAL]]+DATA[[#This Row],[IGV]],2),0)</f>
        <v>843.52</v>
      </c>
      <c r="W94" s="16" t="str">
        <f>IF(DATA[[#This Row],[VALORIZACIÓN ]]="-","NO CORRESPONDE",IF(OR(A94=20558226979,A94=10470707866,A94=20111157058,A94=20100226902),"NO CORRESPONDE",IF(J94="Emitida",IF(P94&gt;0,"EMITIDA","PENDIENTE"),"NO CORRESPONDE")))</f>
        <v>EMITIDA</v>
      </c>
      <c r="X94" s="29" t="s">
        <v>149</v>
      </c>
      <c r="Y94" s="17" t="s">
        <v>118</v>
      </c>
      <c r="Z94" s="30">
        <v>45777</v>
      </c>
      <c r="AA94" s="10" t="s">
        <v>150</v>
      </c>
      <c r="AB94" s="19">
        <v>56</v>
      </c>
      <c r="AC94" s="20">
        <v>15</v>
      </c>
      <c r="AD94" s="18">
        <f>DATA[[#This Row],[FECHA DE EMISION]]+DATA[[#This Row],[CONDICION DE PAGO]]</f>
        <v>45792</v>
      </c>
      <c r="AE94" s="23">
        <f>IF(DATA[[#This Row],[MONEDA]]="USD",VLOOKUP(DATA[[#This Row],[COMBINADA]],#REF!,11,0),1)</f>
        <v>1</v>
      </c>
      <c r="AF94" s="39" t="str">
        <f>IF(DATA[[#This Row],[SERIE2]]="-","NO CORRESPONDE",IF(W94="NO CORRESPONDE","NO CORRESPONDE",IF(Z94&gt;0,"FACTURADO","PENDIENTE")))</f>
        <v>FACTURADO</v>
      </c>
      <c r="AG94" s="27">
        <f>IFERROR(VLOOKUP(DATA[[#This Row],[COMBINADA]],#REF!,6,0),0)</f>
        <v>0</v>
      </c>
      <c r="AH94" s="125">
        <f>IFERROR(VLOOKUP(DATA[[#This Row],[COMBINADA]],#REF!,9,0),0)/COUNTIFS(DATA[COMBINADA],DATA[[#This Row],[COMBINADA]])</f>
        <v>0</v>
      </c>
      <c r="AI94" s="27">
        <f>IFERROR(VLOOKUP(DATA[[#This Row],[COMBINADA]],#REF!,6,0),0)</f>
        <v>0</v>
      </c>
      <c r="AJ94" s="125">
        <f>IFERROR(VLOOKUP(DATA[[#This Row],[COMBINADA]],#REF!,9,0),0)/COUNTIFS(DATA[COMBINADA],DATA[[#This Row],[COMBINADA]])</f>
        <v>0</v>
      </c>
      <c r="AK94" s="27">
        <f>IFERROR(VLOOKUP(DATA[[#This Row],[COMBINADA]],#REF!,6,0),0)</f>
        <v>0</v>
      </c>
      <c r="AL94" s="125">
        <f>IFERROR(VLOOKUP(DATA[[#This Row],[COMBINADA]],#REF!,9,0),0)/COUNTIFS(DATA[COMBINADA],DATA[[#This Row],[COMBINADA]])</f>
        <v>0</v>
      </c>
      <c r="AM94" s="27">
        <f>IFERROR(VLOOKUP(DATA[[#This Row],[COMBINADA]],#REF!,6,0),0)</f>
        <v>0</v>
      </c>
      <c r="AN94" s="125">
        <f>IFERROR(VLOOKUP(DATA[[#This Row],[COMBINADA]],#REF!,9,0),0)/COUNTIFS(DATA[COMBINADA],DATA[[#This Row],[COMBINADA]])</f>
        <v>0</v>
      </c>
      <c r="AO94" s="27">
        <f>IFERROR(VLOOKUP(DATA[[#This Row],[COMBINADA]],#REF!,6,0),0)</f>
        <v>0</v>
      </c>
      <c r="AP94" s="125">
        <f>IFERROR(VLOOKUP(DATA[[#This Row],[COMBINADA]],#REF!,9,0),0)/COUNTIFS(DATA[COMBINADA],DATA[[#This Row],[COMBINADA]])</f>
        <v>0</v>
      </c>
      <c r="AQ9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94" s="26" t="str">
        <f>IFERROR(IF(DATA[[#This Row],[estado_fact]]="FACTURADO",VLOOKUP(DATA[[#This Row],[SERIE2]]&amp;"-"&amp;DATA[[#This Row],[NUMERO]],#REF!,34,0),"NO CORRESPONDE"),"NO CORRESPONDE")</f>
        <v>NO CORRESPONDE</v>
      </c>
      <c r="AS94" s="22" t="str">
        <f>IF(DATA[[#This Row],[fecha_fs]]&gt;0,TEXT(DATA[[#This Row],[fecha_fs]],"Mmmm"),0)</f>
        <v>Enero</v>
      </c>
      <c r="AT94" s="22" t="str">
        <f>DATA[[#This Row],[SERIE2]]&amp;"-"&amp;DATA[[#This Row],[NUMERO]]</f>
        <v>FF01-56</v>
      </c>
      <c r="AU94" s="28">
        <f>DATA[[#This Row],[TOTAL]]*DATA[[#This Row],[T.C.]]</f>
        <v>843.52</v>
      </c>
      <c r="AV94" s="6">
        <f>DATA[[#This Row],[FECHA DE VAL.]]</f>
        <v>45674</v>
      </c>
      <c r="AW94" s="6">
        <f>DATA[[#This Row],[FECHA DE EMISION]]</f>
        <v>45777</v>
      </c>
      <c r="AX94" s="6">
        <f>DATA[[#This Row],[F1]]</f>
        <v>0</v>
      </c>
      <c r="AY94" s="20">
        <f>IF(AV94-DATA[[#This Row],[fecha_fs]]&lt;0,0,AV94-DATA[[#This Row],[fecha_fs]])</f>
        <v>1</v>
      </c>
      <c r="AZ94" s="20">
        <f t="shared" si="10"/>
        <v>103</v>
      </c>
      <c r="BA94" s="20">
        <f t="shared" si="11"/>
        <v>0</v>
      </c>
      <c r="BB94" s="195">
        <f>IFERROR(SUM(DATA[[#This Row],[fs_val_ttf]:[fact_pago_ttf]]),0)</f>
        <v>104</v>
      </c>
      <c r="BC94" s="185">
        <v>45673</v>
      </c>
      <c r="BD94" s="185">
        <v>45673</v>
      </c>
      <c r="BE94" s="185">
        <v>45686</v>
      </c>
      <c r="BF94" s="185">
        <v>45686</v>
      </c>
      <c r="BG94" s="20">
        <f>IFERROR(IF(BC94-DATA[[#This Row],[fecha_fs]]&lt;0,0,BC94-DATA[[#This Row],[fecha_fs]]),0)</f>
        <v>0</v>
      </c>
      <c r="BH94" s="20">
        <f t="shared" si="12"/>
        <v>0</v>
      </c>
      <c r="BI94" s="20">
        <f t="shared" si="13"/>
        <v>13</v>
      </c>
      <c r="BJ94" s="20">
        <f t="shared" si="14"/>
        <v>0</v>
      </c>
      <c r="BK94" s="218">
        <f>IFERROR(SUM(DATA[[#This Row],[fs_fd_ttd]:[fend_fenf_ttd]]),0)</f>
        <v>13</v>
      </c>
      <c r="BL94" s="20" t="str">
        <f>IF(DATA[[#This Row],[fecha_fs]]&gt;0,TEXT(DATA[[#This Row],[fecha_fs]],"YYYY"),0)</f>
        <v>2025</v>
      </c>
      <c r="BM94" s="221" t="b">
        <v>1</v>
      </c>
      <c r="BN94" s="278">
        <f>COUNTIF(DATA[[#This Row],[tiempo_td]], "&lt;=15")</f>
        <v>1</v>
      </c>
      <c r="BO94" s="222"/>
    </row>
    <row r="95" spans="1:67" ht="30.6" customHeight="1" x14ac:dyDescent="0.25">
      <c r="A95" s="4">
        <v>20419158462</v>
      </c>
      <c r="B95" s="5" t="s">
        <v>2</v>
      </c>
      <c r="C95" s="52" t="s">
        <v>174</v>
      </c>
      <c r="D95" s="4" t="s">
        <v>120</v>
      </c>
      <c r="E95" s="5" t="s">
        <v>3</v>
      </c>
      <c r="F95" s="24">
        <v>45673</v>
      </c>
      <c r="G95" s="7" t="s">
        <v>113</v>
      </c>
      <c r="H95" s="25">
        <f t="shared" si="9"/>
        <v>1</v>
      </c>
      <c r="I95" s="67">
        <v>3999</v>
      </c>
      <c r="J95" s="8" t="s">
        <v>115</v>
      </c>
      <c r="K95" s="9" t="s">
        <v>156</v>
      </c>
      <c r="L95" s="10" t="s">
        <v>117</v>
      </c>
      <c r="M95" s="11">
        <v>432</v>
      </c>
      <c r="N95" s="12" t="s">
        <v>125</v>
      </c>
      <c r="O95" s="6">
        <v>45674</v>
      </c>
      <c r="P95" s="13">
        <v>3236</v>
      </c>
      <c r="Q95" s="14" t="s">
        <v>85</v>
      </c>
      <c r="R95" s="15">
        <v>0</v>
      </c>
      <c r="S95" s="15">
        <f>1429.7/2</f>
        <v>714.85</v>
      </c>
      <c r="T95" s="15">
        <f>DATA[[#This Row],[C. DF]]+DATA[[#This Row],[C.OPE.]]</f>
        <v>714.85</v>
      </c>
      <c r="U95" s="15">
        <f>DATA[[#This Row],[SUB TOTAL]]*0.18</f>
        <v>128.673</v>
      </c>
      <c r="V95" s="15">
        <f>IFERROR(ROUND(DATA[[#This Row],[SUB TOTAL]]+DATA[[#This Row],[IGV]],2),0)</f>
        <v>843.52</v>
      </c>
      <c r="W95" s="16" t="str">
        <f>IF(DATA[[#This Row],[VALORIZACIÓN ]]="-","NO CORRESPONDE",IF(OR(A95=20558226979,A95=10470707866,A95=20111157058,A95=20100226902),"NO CORRESPONDE",IF(J95="Emitida",IF(P95&gt;0,"EMITIDA","PENDIENTE"),"NO CORRESPONDE")))</f>
        <v>EMITIDA</v>
      </c>
      <c r="X95" s="29" t="s">
        <v>149</v>
      </c>
      <c r="Y95" s="17" t="s">
        <v>118</v>
      </c>
      <c r="Z95" s="30">
        <v>45777</v>
      </c>
      <c r="AA95" s="10" t="s">
        <v>150</v>
      </c>
      <c r="AB95" s="19">
        <v>56</v>
      </c>
      <c r="AC95" s="20">
        <v>15</v>
      </c>
      <c r="AD95" s="18">
        <f>DATA[[#This Row],[FECHA DE EMISION]]+DATA[[#This Row],[CONDICION DE PAGO]]</f>
        <v>45792</v>
      </c>
      <c r="AE95" s="23">
        <f>IF(DATA[[#This Row],[MONEDA]]="USD",VLOOKUP(DATA[[#This Row],[COMBINADA]],#REF!,11,0),1)</f>
        <v>1</v>
      </c>
      <c r="AF95" s="39" t="str">
        <f>IF(DATA[[#This Row],[SERIE2]]="-","NO CORRESPONDE",IF(W95="NO CORRESPONDE","NO CORRESPONDE",IF(Z95&gt;0,"FACTURADO","PENDIENTE")))</f>
        <v>FACTURADO</v>
      </c>
      <c r="AG95" s="27">
        <f>IFERROR(VLOOKUP(DATA[[#This Row],[COMBINADA]],#REF!,6,0),0)</f>
        <v>0</v>
      </c>
      <c r="AH95" s="125">
        <f>IFERROR(VLOOKUP(DATA[[#This Row],[COMBINADA]],#REF!,9,0),0)/COUNTIFS(DATA[COMBINADA],DATA[[#This Row],[COMBINADA]])</f>
        <v>0</v>
      </c>
      <c r="AI95" s="27">
        <f>IFERROR(VLOOKUP(DATA[[#This Row],[COMBINADA]],#REF!,6,0),0)</f>
        <v>0</v>
      </c>
      <c r="AJ95" s="125">
        <f>IFERROR(VLOOKUP(DATA[[#This Row],[COMBINADA]],#REF!,9,0),0)/COUNTIFS(DATA[COMBINADA],DATA[[#This Row],[COMBINADA]])</f>
        <v>0</v>
      </c>
      <c r="AK95" s="27">
        <f>IFERROR(VLOOKUP(DATA[[#This Row],[COMBINADA]],#REF!,6,0),0)</f>
        <v>0</v>
      </c>
      <c r="AL95" s="125">
        <f>IFERROR(VLOOKUP(DATA[[#This Row],[COMBINADA]],#REF!,9,0),0)/COUNTIFS(DATA[COMBINADA],DATA[[#This Row],[COMBINADA]])</f>
        <v>0</v>
      </c>
      <c r="AM95" s="27">
        <f>IFERROR(VLOOKUP(DATA[[#This Row],[COMBINADA]],#REF!,6,0),0)</f>
        <v>0</v>
      </c>
      <c r="AN95" s="125">
        <f>IFERROR(VLOOKUP(DATA[[#This Row],[COMBINADA]],#REF!,9,0),0)/COUNTIFS(DATA[COMBINADA],DATA[[#This Row],[COMBINADA]])</f>
        <v>0</v>
      </c>
      <c r="AO95" s="27">
        <f>IFERROR(VLOOKUP(DATA[[#This Row],[COMBINADA]],#REF!,6,0),0)</f>
        <v>0</v>
      </c>
      <c r="AP95" s="125">
        <f>IFERROR(VLOOKUP(DATA[[#This Row],[COMBINADA]],#REF!,9,0),0)/COUNTIFS(DATA[COMBINADA],DATA[[#This Row],[COMBINADA]])</f>
        <v>0</v>
      </c>
      <c r="AQ9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95" s="26" t="str">
        <f>IFERROR(IF(DATA[[#This Row],[estado_fact]]="FACTURADO",VLOOKUP(DATA[[#This Row],[SERIE2]]&amp;"-"&amp;DATA[[#This Row],[NUMERO]],#REF!,34,0),"NO CORRESPONDE"),"NO CORRESPONDE")</f>
        <v>NO CORRESPONDE</v>
      </c>
      <c r="AS95" s="22" t="str">
        <f>IF(DATA[[#This Row],[fecha_fs]]&gt;0,TEXT(DATA[[#This Row],[fecha_fs]],"Mmmm"),0)</f>
        <v>Enero</v>
      </c>
      <c r="AT95" s="22" t="str">
        <f>DATA[[#This Row],[SERIE2]]&amp;"-"&amp;DATA[[#This Row],[NUMERO]]</f>
        <v>FF01-56</v>
      </c>
      <c r="AU95" s="28">
        <f>DATA[[#This Row],[TOTAL]]*DATA[[#This Row],[T.C.]]</f>
        <v>843.52</v>
      </c>
      <c r="AV95" s="6">
        <f>DATA[[#This Row],[FECHA DE VAL.]]</f>
        <v>45674</v>
      </c>
      <c r="AW95" s="6">
        <f>DATA[[#This Row],[FECHA DE EMISION]]</f>
        <v>45777</v>
      </c>
      <c r="AX95" s="6">
        <f>DATA[[#This Row],[F1]]</f>
        <v>0</v>
      </c>
      <c r="AY95" s="20">
        <f>IF(AV95-DATA[[#This Row],[fecha_fs]]&lt;0,0,AV95-DATA[[#This Row],[fecha_fs]])</f>
        <v>1</v>
      </c>
      <c r="AZ95" s="20">
        <f t="shared" si="10"/>
        <v>103</v>
      </c>
      <c r="BA95" s="20">
        <f t="shared" si="11"/>
        <v>0</v>
      </c>
      <c r="BB95" s="195">
        <f>IFERROR(SUM(DATA[[#This Row],[fs_val_ttf]:[fact_pago_ttf]]),0)</f>
        <v>104</v>
      </c>
      <c r="BC95" s="185">
        <v>45673</v>
      </c>
      <c r="BD95" s="185">
        <v>45673</v>
      </c>
      <c r="BE95" s="185">
        <v>45686</v>
      </c>
      <c r="BF95" s="185">
        <v>45686</v>
      </c>
      <c r="BG95" s="20">
        <f>IFERROR(IF(BC95-DATA[[#This Row],[fecha_fs]]&lt;0,0,BC95-DATA[[#This Row],[fecha_fs]]),0)</f>
        <v>0</v>
      </c>
      <c r="BH95" s="20">
        <f t="shared" si="12"/>
        <v>0</v>
      </c>
      <c r="BI95" s="20">
        <f t="shared" si="13"/>
        <v>13</v>
      </c>
      <c r="BJ95" s="20">
        <f t="shared" si="14"/>
        <v>0</v>
      </c>
      <c r="BK95" s="218">
        <f>IFERROR(SUM(DATA[[#This Row],[fs_fd_ttd]:[fend_fenf_ttd]]),0)</f>
        <v>13</v>
      </c>
      <c r="BL95" s="20" t="str">
        <f>IF(DATA[[#This Row],[fecha_fs]]&gt;0,TEXT(DATA[[#This Row],[fecha_fs]],"YYYY"),0)</f>
        <v>2025</v>
      </c>
      <c r="BM95" s="221" t="b">
        <v>1</v>
      </c>
      <c r="BN95" s="278">
        <f>COUNTIF(DATA[[#This Row],[tiempo_td]], "&lt;=15")</f>
        <v>1</v>
      </c>
      <c r="BO95" s="222"/>
    </row>
    <row r="96" spans="1:67" ht="30.6" customHeight="1" x14ac:dyDescent="0.25">
      <c r="A96" s="4">
        <v>20100226902</v>
      </c>
      <c r="B96" s="5" t="s">
        <v>24</v>
      </c>
      <c r="C96" s="52" t="s">
        <v>18</v>
      </c>
      <c r="D96" s="4" t="s">
        <v>120</v>
      </c>
      <c r="E96" s="5" t="s">
        <v>3</v>
      </c>
      <c r="F96" s="24">
        <v>45674</v>
      </c>
      <c r="G96" s="7" t="s">
        <v>113</v>
      </c>
      <c r="H96" s="25">
        <f t="shared" si="9"/>
        <v>1</v>
      </c>
      <c r="I96" s="67">
        <v>4000</v>
      </c>
      <c r="J96" s="8" t="s">
        <v>115</v>
      </c>
      <c r="K96" s="9" t="s">
        <v>121</v>
      </c>
      <c r="L96" s="10" t="s">
        <v>117</v>
      </c>
      <c r="M96" s="11">
        <v>560</v>
      </c>
      <c r="N96" s="12" t="s">
        <v>127</v>
      </c>
      <c r="O96" s="40"/>
      <c r="P96" s="41" t="s">
        <v>114</v>
      </c>
      <c r="Q96" s="42"/>
      <c r="R96" s="43"/>
      <c r="S96" s="43"/>
      <c r="T96" s="43">
        <f>DATA[[#This Row],[C. DF]]+DATA[[#This Row],[C.OPE.]]</f>
        <v>0</v>
      </c>
      <c r="U96" s="43">
        <f>DATA[[#This Row],[SUB TOTAL]]*0.18</f>
        <v>0</v>
      </c>
      <c r="V96" s="43">
        <f>IFERROR(ROUND(DATA[[#This Row],[SUB TOTAL]]+DATA[[#This Row],[IGV]],2),0)</f>
        <v>0</v>
      </c>
      <c r="W96" s="44" t="str">
        <f>IF(DATA[[#This Row],[VALORIZACIÓN ]]="-","NO CORRESPONDE",IF(OR(A96=20558226979,A96=10470707866,A96=20111157058,A96=20100226902),"NO CORRESPONDE",IF(J96="Emitida",IF(P96&gt;0,"EMITIDA","PENDIENTE"),"NO CORRESPONDE")))</f>
        <v>NO CORRESPONDE</v>
      </c>
      <c r="X96" s="45"/>
      <c r="Y96" s="58" t="s">
        <v>128</v>
      </c>
      <c r="Z96" s="46"/>
      <c r="AA96" s="47"/>
      <c r="AB96" s="48"/>
      <c r="AC96" s="49"/>
      <c r="AD96" s="50">
        <f>DATA[[#This Row],[FECHA DE EMISION]]+DATA[[#This Row],[CONDICION DE PAGO]]</f>
        <v>0</v>
      </c>
      <c r="AE96" s="23">
        <f>IF(DATA[[#This Row],[MONEDA]]="USD",VLOOKUP(DATA[[#This Row],[COMBINADA]],#REF!,11,0),1)</f>
        <v>1</v>
      </c>
      <c r="AF96" s="59" t="str">
        <f>IF(DATA[[#This Row],[SERIE2]]="-","NO CORRESPONDE",IF(W96="NO CORRESPONDE","NO CORRESPONDE",IF(Z96&gt;0,"FACTURADO","PENDIENTE")))</f>
        <v>NO CORRESPONDE</v>
      </c>
      <c r="AG96" s="60">
        <f>IFERROR(VLOOKUP(DATA[[#This Row],[COMBINADA]],#REF!,6,0),0)</f>
        <v>0</v>
      </c>
      <c r="AH96" s="126">
        <f>IFERROR(VLOOKUP(DATA[[#This Row],[COMBINADA]],#REF!,9,0),0)/COUNTIFS(DATA[COMBINADA],DATA[[#This Row],[COMBINADA]])</f>
        <v>0</v>
      </c>
      <c r="AI96" s="60">
        <f>IFERROR(VLOOKUP(DATA[[#This Row],[COMBINADA]],#REF!,6,0),0)</f>
        <v>0</v>
      </c>
      <c r="AJ96" s="126">
        <f>IFERROR(VLOOKUP(DATA[[#This Row],[COMBINADA]],#REF!,9,0),0)/COUNTIFS(DATA[COMBINADA],DATA[[#This Row],[COMBINADA]])</f>
        <v>0</v>
      </c>
      <c r="AK96" s="60">
        <f>IFERROR(VLOOKUP(DATA[[#This Row],[COMBINADA]],#REF!,6,0),0)</f>
        <v>0</v>
      </c>
      <c r="AL96" s="126">
        <f>IFERROR(VLOOKUP(DATA[[#This Row],[COMBINADA]],#REF!,9,0),0)/COUNTIFS(DATA[COMBINADA],DATA[[#This Row],[COMBINADA]])</f>
        <v>0</v>
      </c>
      <c r="AM96" s="60">
        <f>IFERROR(VLOOKUP(DATA[[#This Row],[COMBINADA]],#REF!,6,0),0)</f>
        <v>0</v>
      </c>
      <c r="AN96" s="126">
        <f>IFERROR(VLOOKUP(DATA[[#This Row],[COMBINADA]],#REF!,9,0),0)/COUNTIFS(DATA[COMBINADA],DATA[[#This Row],[COMBINADA]])</f>
        <v>0</v>
      </c>
      <c r="AO96" s="60">
        <f>IFERROR(VLOOKUP(DATA[[#This Row],[COMBINADA]],#REF!,6,0),0)</f>
        <v>0</v>
      </c>
      <c r="AP96" s="126">
        <f>IFERROR(VLOOKUP(DATA[[#This Row],[COMBINADA]],#REF!,9,0),0)/COUNTIFS(DATA[COMBINADA],DATA[[#This Row],[COMBINADA]])</f>
        <v>0</v>
      </c>
      <c r="AQ96"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96" s="113" t="str">
        <f>IFERROR(IF(DATA[[#This Row],[estado_fact]]="FACTURADO",VLOOKUP(DATA[[#This Row],[SERIE2]]&amp;"-"&amp;DATA[[#This Row],[NUMERO]],#REF!,34,0),"NO CORRESPONDE"),"NO CORRESPONDE")</f>
        <v>NO CORRESPONDE</v>
      </c>
      <c r="AS96" s="22" t="str">
        <f>IF(DATA[[#This Row],[fecha_fs]]&gt;0,TEXT(DATA[[#This Row],[fecha_fs]],"Mmmm"),0)</f>
        <v>Enero</v>
      </c>
      <c r="AT96" s="22" t="str">
        <f>DATA[[#This Row],[SERIE2]]&amp;"-"&amp;DATA[[#This Row],[NUMERO]]</f>
        <v>-</v>
      </c>
      <c r="AU96" s="28">
        <f>DATA[[#This Row],[TOTAL]]*DATA[[#This Row],[T.C.]]</f>
        <v>0</v>
      </c>
      <c r="AV96" s="6">
        <f>DATA[[#This Row],[FECHA DE VAL.]]</f>
        <v>0</v>
      </c>
      <c r="AW96" s="6">
        <f>DATA[[#This Row],[FECHA DE EMISION]]</f>
        <v>0</v>
      </c>
      <c r="AX96" s="6">
        <f>DATA[[#This Row],[F1]]</f>
        <v>0</v>
      </c>
      <c r="AY96" s="20">
        <f>IF(AV96-DATA[[#This Row],[fecha_fs]]&lt;0,0,AV96-DATA[[#This Row],[fecha_fs]])</f>
        <v>0</v>
      </c>
      <c r="AZ96" s="20">
        <f t="shared" si="10"/>
        <v>0</v>
      </c>
      <c r="BA96" s="20">
        <f t="shared" si="11"/>
        <v>0</v>
      </c>
      <c r="BB96" s="195">
        <f>IFERROR(SUM(DATA[[#This Row],[fs_val_ttf]:[fact_pago_ttf]]),0)</f>
        <v>0</v>
      </c>
      <c r="BC96" s="185">
        <v>45674</v>
      </c>
      <c r="BD96" s="185">
        <v>45674</v>
      </c>
      <c r="BE96" s="185">
        <v>45691</v>
      </c>
      <c r="BF96" s="185">
        <v>45691</v>
      </c>
      <c r="BG96" s="20">
        <f>IFERROR(IF(BC96-DATA[[#This Row],[fecha_fs]]&lt;0,0,BC96-DATA[[#This Row],[fecha_fs]]),0)</f>
        <v>0</v>
      </c>
      <c r="BH96" s="20">
        <f t="shared" si="12"/>
        <v>0</v>
      </c>
      <c r="BI96" s="20">
        <f t="shared" si="13"/>
        <v>17</v>
      </c>
      <c r="BJ96" s="20">
        <f t="shared" si="14"/>
        <v>0</v>
      </c>
      <c r="BK96" s="218">
        <f>IFERROR(SUM(DATA[[#This Row],[fs_fd_ttd]:[fend_fenf_ttd]]),0)</f>
        <v>17</v>
      </c>
      <c r="BL96" s="20" t="str">
        <f>IF(DATA[[#This Row],[fecha_fs]]&gt;0,TEXT(DATA[[#This Row],[fecha_fs]],"YYYY"),0)</f>
        <v>2025</v>
      </c>
      <c r="BM96" s="221" t="b">
        <v>1</v>
      </c>
      <c r="BN96" s="278">
        <f>COUNTIF(DATA[[#This Row],[tiempo_td]], "&lt;=15")</f>
        <v>0</v>
      </c>
      <c r="BO96" s="222"/>
    </row>
    <row r="97" spans="1:67" ht="30.6" customHeight="1" x14ac:dyDescent="0.25">
      <c r="A97" s="4">
        <v>20100211115</v>
      </c>
      <c r="B97" s="5" t="s">
        <v>41</v>
      </c>
      <c r="C97" s="52" t="s">
        <v>18</v>
      </c>
      <c r="D97" s="4" t="s">
        <v>120</v>
      </c>
      <c r="E97" s="5" t="s">
        <v>3</v>
      </c>
      <c r="F97" s="24">
        <v>45674</v>
      </c>
      <c r="G97" s="7" t="s">
        <v>113</v>
      </c>
      <c r="H97" s="25">
        <f t="shared" si="9"/>
        <v>1</v>
      </c>
      <c r="I97" s="67">
        <v>4001</v>
      </c>
      <c r="J97" s="8" t="s">
        <v>115</v>
      </c>
      <c r="K97" s="9" t="s">
        <v>121</v>
      </c>
      <c r="L97" s="10" t="s">
        <v>117</v>
      </c>
      <c r="M97" s="11">
        <v>90</v>
      </c>
      <c r="N97" s="12" t="s">
        <v>125</v>
      </c>
      <c r="O97" s="6">
        <v>45684</v>
      </c>
      <c r="P97" s="115">
        <v>3267</v>
      </c>
      <c r="Q97" s="14" t="s">
        <v>85</v>
      </c>
      <c r="R97" s="15"/>
      <c r="S97" s="15">
        <f>(DATA[[#This Row],[cantidad_fs]]*4.37)</f>
        <v>393.3</v>
      </c>
      <c r="T97" s="15">
        <f>DATA[[#This Row],[C. DF]]+DATA[[#This Row],[C.OPE.]]</f>
        <v>393.3</v>
      </c>
      <c r="U97" s="15">
        <f>DATA[[#This Row],[SUB TOTAL]]*0.18</f>
        <v>70.793999999999997</v>
      </c>
      <c r="V97" s="15">
        <f>IFERROR(ROUND(DATA[[#This Row],[SUB TOTAL]]+DATA[[#This Row],[IGV]],2),0)</f>
        <v>464.09</v>
      </c>
      <c r="W97" s="16" t="str">
        <f>IF(DATA[[#This Row],[VALORIZACIÓN ]]="-","NO CORRESPONDE",IF(OR(A97=20558226979,A97=10470707866,A97=20111157058,A97=20100226902),"NO CORRESPONDE",IF(J97="Emitida",IF(P97&gt;0,"EMITIDA","PENDIENTE"),"NO CORRESPONDE")))</f>
        <v>EMITIDA</v>
      </c>
      <c r="X97" s="29"/>
      <c r="Y97" s="17" t="s">
        <v>118</v>
      </c>
      <c r="Z97" s="30">
        <v>45687</v>
      </c>
      <c r="AA97" s="10" t="s">
        <v>124</v>
      </c>
      <c r="AB97" s="19">
        <v>536</v>
      </c>
      <c r="AC97" s="20">
        <v>30</v>
      </c>
      <c r="AD97" s="18">
        <f>DATA[[#This Row],[FECHA DE EMISION]]+DATA[[#This Row],[CONDICION DE PAGO]]</f>
        <v>45717</v>
      </c>
      <c r="AE97" s="23">
        <f>IF(DATA[[#This Row],[MONEDA]]="USD",VLOOKUP(DATA[[#This Row],[COMBINADA]],#REF!,11,0),1)</f>
        <v>1</v>
      </c>
      <c r="AF97" s="39" t="str">
        <f>IF(DATA[[#This Row],[SERIE2]]="-","NO CORRESPONDE",IF(W97="NO CORRESPONDE","NO CORRESPONDE",IF(Z97&gt;0,"FACTURADO","PENDIENTE")))</f>
        <v>FACTURADO</v>
      </c>
      <c r="AG97" s="27">
        <f>IFERROR(VLOOKUP(DATA[[#This Row],[COMBINADA]],#REF!,6,0),0)</f>
        <v>0</v>
      </c>
      <c r="AH97" s="125">
        <f>IFERROR(VLOOKUP(DATA[[#This Row],[COMBINADA]],#REF!,9,0),0)/COUNTIFS(DATA[COMBINADA],DATA[[#This Row],[COMBINADA]])</f>
        <v>0</v>
      </c>
      <c r="AI97" s="27">
        <f>IFERROR(VLOOKUP(DATA[[#This Row],[COMBINADA]],#REF!,6,0),0)</f>
        <v>0</v>
      </c>
      <c r="AJ97" s="125">
        <f>IFERROR(VLOOKUP(DATA[[#This Row],[COMBINADA]],#REF!,9,0),0)/COUNTIFS(DATA[COMBINADA],DATA[[#This Row],[COMBINADA]])</f>
        <v>0</v>
      </c>
      <c r="AK97" s="27">
        <f>IFERROR(VLOOKUP(DATA[[#This Row],[COMBINADA]],#REF!,6,0),0)</f>
        <v>0</v>
      </c>
      <c r="AL97" s="125">
        <f>IFERROR(VLOOKUP(DATA[[#This Row],[COMBINADA]],#REF!,9,0),0)/COUNTIFS(DATA[COMBINADA],DATA[[#This Row],[COMBINADA]])</f>
        <v>0</v>
      </c>
      <c r="AM97" s="27">
        <f>IFERROR(VLOOKUP(DATA[[#This Row],[COMBINADA]],#REF!,6,0),0)</f>
        <v>0</v>
      </c>
      <c r="AN97" s="125">
        <f>IFERROR(VLOOKUP(DATA[[#This Row],[COMBINADA]],#REF!,9,0),0)/COUNTIFS(DATA[COMBINADA],DATA[[#This Row],[COMBINADA]])</f>
        <v>0</v>
      </c>
      <c r="AO97" s="27">
        <f>IFERROR(VLOOKUP(DATA[[#This Row],[COMBINADA]],#REF!,6,0),0)</f>
        <v>0</v>
      </c>
      <c r="AP97" s="125">
        <f>IFERROR(VLOOKUP(DATA[[#This Row],[COMBINADA]],#REF!,9,0),0)/COUNTIFS(DATA[COMBINADA],DATA[[#This Row],[COMBINADA]])</f>
        <v>0</v>
      </c>
      <c r="AQ9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97" s="26" t="str">
        <f>IFERROR(IF(DATA[[#This Row],[estado_fact]]="FACTURADO",VLOOKUP(DATA[[#This Row],[SERIE2]]&amp;"-"&amp;DATA[[#This Row],[NUMERO]],#REF!,34,0),"NO CORRESPONDE"),"NO CORRESPONDE")</f>
        <v>NO CORRESPONDE</v>
      </c>
      <c r="AS97" s="22" t="str">
        <f>IF(DATA[[#This Row],[fecha_fs]]&gt;0,TEXT(DATA[[#This Row],[fecha_fs]],"Mmmm"),0)</f>
        <v>Enero</v>
      </c>
      <c r="AT97" s="22" t="str">
        <f>DATA[[#This Row],[SERIE2]]&amp;"-"&amp;DATA[[#This Row],[NUMERO]]</f>
        <v>FE01-536</v>
      </c>
      <c r="AU97" s="28">
        <f>DATA[[#This Row],[TOTAL]]*DATA[[#This Row],[T.C.]]</f>
        <v>464.09</v>
      </c>
      <c r="AV97" s="6">
        <f>DATA[[#This Row],[FECHA DE VAL.]]</f>
        <v>45684</v>
      </c>
      <c r="AW97" s="6">
        <f>DATA[[#This Row],[FECHA DE EMISION]]</f>
        <v>45687</v>
      </c>
      <c r="AX97" s="6">
        <f>DATA[[#This Row],[F1]]</f>
        <v>0</v>
      </c>
      <c r="AY97" s="20">
        <f>IF(AV97-DATA[[#This Row],[fecha_fs]]&lt;0,0,AV97-DATA[[#This Row],[fecha_fs]])</f>
        <v>10</v>
      </c>
      <c r="AZ97" s="20">
        <f t="shared" si="10"/>
        <v>3</v>
      </c>
      <c r="BA97" s="20">
        <f t="shared" si="11"/>
        <v>0</v>
      </c>
      <c r="BB97" s="195">
        <f>IFERROR(SUM(DATA[[#This Row],[fs_val_ttf]:[fact_pago_ttf]]),0)</f>
        <v>13</v>
      </c>
      <c r="BC97" s="185">
        <v>45698</v>
      </c>
      <c r="BD97" s="185">
        <v>45707</v>
      </c>
      <c r="BE97" s="185">
        <v>45712</v>
      </c>
      <c r="BF97" s="185">
        <v>45714</v>
      </c>
      <c r="BG97" s="20">
        <f>IFERROR(IF(BC97-DATA[[#This Row],[fecha_fs]]&lt;0,0,BC97-DATA[[#This Row],[fecha_fs]]),0)</f>
        <v>24</v>
      </c>
      <c r="BH97" s="20">
        <f t="shared" si="12"/>
        <v>9</v>
      </c>
      <c r="BI97" s="20">
        <f t="shared" si="13"/>
        <v>5</v>
      </c>
      <c r="BJ97" s="20">
        <f t="shared" si="14"/>
        <v>2</v>
      </c>
      <c r="BK97" s="218">
        <f>IFERROR(SUM(DATA[[#This Row],[fs_fd_ttd]:[fend_fenf_ttd]]),0)</f>
        <v>40</v>
      </c>
      <c r="BL97" s="20" t="str">
        <f>IF(DATA[[#This Row],[fecha_fs]]&gt;0,TEXT(DATA[[#This Row],[fecha_fs]],"YYYY"),0)</f>
        <v>2025</v>
      </c>
      <c r="BM97" s="221" t="b">
        <v>1</v>
      </c>
      <c r="BN97" s="278">
        <f>COUNTIF(DATA[[#This Row],[tiempo_td]], "&lt;=15")</f>
        <v>0</v>
      </c>
      <c r="BO97" s="222"/>
    </row>
    <row r="98" spans="1:67" ht="30.6" customHeight="1" x14ac:dyDescent="0.25">
      <c r="A98" s="4">
        <v>20100211115</v>
      </c>
      <c r="B98" s="5" t="s">
        <v>41</v>
      </c>
      <c r="C98" s="52" t="s">
        <v>18</v>
      </c>
      <c r="D98" s="4" t="s">
        <v>112</v>
      </c>
      <c r="E98" s="5" t="s">
        <v>1</v>
      </c>
      <c r="F98" s="24">
        <v>45674</v>
      </c>
      <c r="G98" s="7" t="s">
        <v>113</v>
      </c>
      <c r="H98" s="25">
        <f t="shared" si="9"/>
        <v>1</v>
      </c>
      <c r="I98" s="67">
        <v>4002</v>
      </c>
      <c r="J98" s="8" t="s">
        <v>115</v>
      </c>
      <c r="K98" s="9" t="s">
        <v>116</v>
      </c>
      <c r="L98" s="10" t="s">
        <v>117</v>
      </c>
      <c r="M98" s="11">
        <v>7</v>
      </c>
      <c r="N98" s="12" t="s">
        <v>125</v>
      </c>
      <c r="O98" s="6">
        <v>45684</v>
      </c>
      <c r="P98" s="115">
        <v>3269</v>
      </c>
      <c r="Q98" s="14" t="s">
        <v>85</v>
      </c>
      <c r="R98" s="15"/>
      <c r="S98" s="15">
        <f>(DATA[[#This Row],[cantidad_fs]]*4.57)</f>
        <v>31.990000000000002</v>
      </c>
      <c r="T98" s="15">
        <f>DATA[[#This Row],[C. DF]]+DATA[[#This Row],[C.OPE.]]</f>
        <v>31.990000000000002</v>
      </c>
      <c r="U98" s="15">
        <f>DATA[[#This Row],[SUB TOTAL]]*0.18</f>
        <v>5.7582000000000004</v>
      </c>
      <c r="V98" s="15">
        <f>IFERROR(ROUND(DATA[[#This Row],[SUB TOTAL]]+DATA[[#This Row],[IGV]],2),0)</f>
        <v>37.75</v>
      </c>
      <c r="W98" s="16" t="str">
        <f>IF(DATA[[#This Row],[VALORIZACIÓN ]]="-","NO CORRESPONDE",IF(OR(A98=20558226979,A98=10470707866,A98=20111157058,A98=20100226902),"NO CORRESPONDE",IF(J98="Emitida",IF(P98&gt;0,"EMITIDA","PENDIENTE"),"NO CORRESPONDE")))</f>
        <v>EMITIDA</v>
      </c>
      <c r="X98" s="29"/>
      <c r="Y98" s="17" t="s">
        <v>118</v>
      </c>
      <c r="Z98" s="30">
        <v>45687</v>
      </c>
      <c r="AA98" s="10" t="s">
        <v>124</v>
      </c>
      <c r="AB98" s="19">
        <v>538</v>
      </c>
      <c r="AC98" s="20">
        <v>30</v>
      </c>
      <c r="AD98" s="18">
        <f>DATA[[#This Row],[FECHA DE EMISION]]+DATA[[#This Row],[CONDICION DE PAGO]]</f>
        <v>45717</v>
      </c>
      <c r="AE98" s="23">
        <f>IF(DATA[[#This Row],[MONEDA]]="USD",VLOOKUP(DATA[[#This Row],[COMBINADA]],#REF!,11,0),1)</f>
        <v>1</v>
      </c>
      <c r="AF98" s="39" t="str">
        <f>IF(DATA[[#This Row],[SERIE2]]="-","NO CORRESPONDE",IF(W98="NO CORRESPONDE","NO CORRESPONDE",IF(Z98&gt;0,"FACTURADO","PENDIENTE")))</f>
        <v>FACTURADO</v>
      </c>
      <c r="AG98" s="27">
        <f>IFERROR(VLOOKUP(DATA[[#This Row],[COMBINADA]],#REF!,6,0),0)</f>
        <v>0</v>
      </c>
      <c r="AH98" s="125">
        <f>IFERROR(VLOOKUP(DATA[[#This Row],[COMBINADA]],#REF!,9,0),0)/COUNTIFS(DATA[COMBINADA],DATA[[#This Row],[COMBINADA]])</f>
        <v>0</v>
      </c>
      <c r="AI98" s="27">
        <f>IFERROR(VLOOKUP(DATA[[#This Row],[COMBINADA]],#REF!,6,0),0)</f>
        <v>0</v>
      </c>
      <c r="AJ98" s="125">
        <f>IFERROR(VLOOKUP(DATA[[#This Row],[COMBINADA]],#REF!,9,0),0)/COUNTIFS(DATA[COMBINADA],DATA[[#This Row],[COMBINADA]])</f>
        <v>0</v>
      </c>
      <c r="AK98" s="27">
        <f>IFERROR(VLOOKUP(DATA[[#This Row],[COMBINADA]],#REF!,6,0),0)</f>
        <v>0</v>
      </c>
      <c r="AL98" s="125">
        <f>IFERROR(VLOOKUP(DATA[[#This Row],[COMBINADA]],#REF!,9,0),0)/COUNTIFS(DATA[COMBINADA],DATA[[#This Row],[COMBINADA]])</f>
        <v>0</v>
      </c>
      <c r="AM98" s="27">
        <f>IFERROR(VLOOKUP(DATA[[#This Row],[COMBINADA]],#REF!,6,0),0)</f>
        <v>0</v>
      </c>
      <c r="AN98" s="125">
        <f>IFERROR(VLOOKUP(DATA[[#This Row],[COMBINADA]],#REF!,9,0),0)/COUNTIFS(DATA[COMBINADA],DATA[[#This Row],[COMBINADA]])</f>
        <v>0</v>
      </c>
      <c r="AO98" s="27">
        <f>IFERROR(VLOOKUP(DATA[[#This Row],[COMBINADA]],#REF!,6,0),0)</f>
        <v>0</v>
      </c>
      <c r="AP98" s="125">
        <f>IFERROR(VLOOKUP(DATA[[#This Row],[COMBINADA]],#REF!,9,0),0)/COUNTIFS(DATA[COMBINADA],DATA[[#This Row],[COMBINADA]])</f>
        <v>0</v>
      </c>
      <c r="AQ9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26.965</v>
      </c>
      <c r="AR98" s="26" t="str">
        <f>IFERROR(IF(DATA[[#This Row],[estado_fact]]="FACTURADO",VLOOKUP(DATA[[#This Row],[SERIE2]]&amp;"-"&amp;DATA[[#This Row],[NUMERO]],#REF!,34,0),"NO CORRESPONDE"),"NO CORRESPONDE")</f>
        <v>NO CORRESPONDE</v>
      </c>
      <c r="AS98" s="22" t="str">
        <f>IF(DATA[[#This Row],[fecha_fs]]&gt;0,TEXT(DATA[[#This Row],[fecha_fs]],"Mmmm"),0)</f>
        <v>Enero</v>
      </c>
      <c r="AT98" s="22" t="str">
        <f>DATA[[#This Row],[SERIE2]]&amp;"-"&amp;DATA[[#This Row],[NUMERO]]</f>
        <v>FE01-538</v>
      </c>
      <c r="AU98" s="28">
        <f>DATA[[#This Row],[TOTAL]]*DATA[[#This Row],[T.C.]]</f>
        <v>37.75</v>
      </c>
      <c r="AV98" s="6">
        <f>DATA[[#This Row],[FECHA DE VAL.]]</f>
        <v>45684</v>
      </c>
      <c r="AW98" s="6">
        <f>DATA[[#This Row],[FECHA DE EMISION]]</f>
        <v>45687</v>
      </c>
      <c r="AX98" s="6">
        <f>DATA[[#This Row],[F1]]</f>
        <v>0</v>
      </c>
      <c r="AY98" s="20">
        <f>IF(AV98-DATA[[#This Row],[fecha_fs]]&lt;0,0,AV98-DATA[[#This Row],[fecha_fs]])</f>
        <v>10</v>
      </c>
      <c r="AZ98" s="20">
        <f t="shared" si="10"/>
        <v>3</v>
      </c>
      <c r="BA98" s="20">
        <f t="shared" si="11"/>
        <v>0</v>
      </c>
      <c r="BB98" s="195">
        <f>IFERROR(SUM(DATA[[#This Row],[fs_val_ttf]:[fact_pago_ttf]]),0)</f>
        <v>13</v>
      </c>
      <c r="BC98" s="185">
        <v>45694</v>
      </c>
      <c r="BD98" s="185">
        <v>45705</v>
      </c>
      <c r="BE98" s="185">
        <v>45707</v>
      </c>
      <c r="BF98" s="185">
        <v>45714</v>
      </c>
      <c r="BG98" s="20">
        <f>IFERROR(IF(BC98-DATA[[#This Row],[fecha_fs]]&lt;0,0,BC98-DATA[[#This Row],[fecha_fs]]),0)</f>
        <v>20</v>
      </c>
      <c r="BH98" s="20">
        <f t="shared" si="12"/>
        <v>11</v>
      </c>
      <c r="BI98" s="20">
        <f t="shared" si="13"/>
        <v>2</v>
      </c>
      <c r="BJ98" s="20">
        <f t="shared" si="14"/>
        <v>7</v>
      </c>
      <c r="BK98" s="218">
        <f>IFERROR(SUM(DATA[[#This Row],[fs_fd_ttd]:[fend_fenf_ttd]]),0)</f>
        <v>40</v>
      </c>
      <c r="BL98" s="20" t="str">
        <f>IF(DATA[[#This Row],[fecha_fs]]&gt;0,TEXT(DATA[[#This Row],[fecha_fs]],"YYYY"),0)</f>
        <v>2025</v>
      </c>
      <c r="BM98" s="221" t="b">
        <v>1</v>
      </c>
      <c r="BN98" s="278">
        <f>COUNTIF(DATA[[#This Row],[tiempo_td]], "&lt;=15")</f>
        <v>0</v>
      </c>
      <c r="BO98" s="222"/>
    </row>
    <row r="99" spans="1:67" ht="30.6" customHeight="1" x14ac:dyDescent="0.25">
      <c r="A99" s="4">
        <v>20505675836</v>
      </c>
      <c r="B99" s="5" t="s">
        <v>42</v>
      </c>
      <c r="C99" s="52" t="s">
        <v>20</v>
      </c>
      <c r="D99" s="4" t="s">
        <v>112</v>
      </c>
      <c r="E99" s="5" t="s">
        <v>1</v>
      </c>
      <c r="F99" s="24">
        <v>45674</v>
      </c>
      <c r="G99" s="7" t="s">
        <v>113</v>
      </c>
      <c r="H99" s="25">
        <f t="shared" si="9"/>
        <v>1</v>
      </c>
      <c r="I99" s="67">
        <v>4003</v>
      </c>
      <c r="J99" s="8" t="s">
        <v>115</v>
      </c>
      <c r="K99" s="9" t="s">
        <v>116</v>
      </c>
      <c r="L99" s="10" t="s">
        <v>117</v>
      </c>
      <c r="M99" s="11">
        <v>700</v>
      </c>
      <c r="N99" s="12" t="s">
        <v>125</v>
      </c>
      <c r="O99" s="6">
        <v>45684</v>
      </c>
      <c r="P99" s="69">
        <v>3261</v>
      </c>
      <c r="Q99" s="14" t="s">
        <v>85</v>
      </c>
      <c r="R99" s="15">
        <f>(DATA[[#This Row],[cantidad_fs]]-600)*0.97</f>
        <v>97</v>
      </c>
      <c r="S99" s="15">
        <v>1988.35</v>
      </c>
      <c r="T99" s="15">
        <f>DATA[[#This Row],[C. DF]]+DATA[[#This Row],[C.OPE.]]</f>
        <v>2085.35</v>
      </c>
      <c r="U99" s="15">
        <f>DATA[[#This Row],[SUB TOTAL]]*0.18</f>
        <v>375.36299999999994</v>
      </c>
      <c r="V99" s="15">
        <f>IFERROR(ROUND(DATA[[#This Row],[SUB TOTAL]]+DATA[[#This Row],[IGV]],2),0)</f>
        <v>2460.71</v>
      </c>
      <c r="W99" s="16" t="str">
        <f>IF(DATA[[#This Row],[VALORIZACIÓN ]]="-","NO CORRESPONDE",IF(OR(A99=20558226979,A99=10470707866,A99=20111157058,A99=20100226902),"NO CORRESPONDE",IF(J99="Emitida",IF(P99&gt;0,"EMITIDA","PENDIENTE"),"NO CORRESPONDE")))</f>
        <v>EMITIDA</v>
      </c>
      <c r="X99" s="29" t="s">
        <v>146</v>
      </c>
      <c r="Y99" s="17" t="s">
        <v>118</v>
      </c>
      <c r="Z99" s="30">
        <v>45708</v>
      </c>
      <c r="AA99" s="10" t="s">
        <v>124</v>
      </c>
      <c r="AB99" s="19">
        <v>572</v>
      </c>
      <c r="AC99" s="20">
        <v>30</v>
      </c>
      <c r="AD99" s="18">
        <f>DATA[[#This Row],[FECHA DE EMISION]]+DATA[[#This Row],[CONDICION DE PAGO]]</f>
        <v>45738</v>
      </c>
      <c r="AE99" s="23">
        <f>IF(DATA[[#This Row],[MONEDA]]="USD",VLOOKUP(DATA[[#This Row],[COMBINADA]],#REF!,11,0),1)</f>
        <v>1</v>
      </c>
      <c r="AF99" s="39" t="str">
        <f>IF(DATA[[#This Row],[SERIE2]]="-","NO CORRESPONDE",IF(W99="NO CORRESPONDE","NO CORRESPONDE",IF(Z99&gt;0,"FACTURADO","PENDIENTE")))</f>
        <v>FACTURADO</v>
      </c>
      <c r="AG99" s="27">
        <f>IFERROR(VLOOKUP(DATA[[#This Row],[COMBINADA]],#REF!,6,0),0)</f>
        <v>0</v>
      </c>
      <c r="AH99" s="125">
        <f>IFERROR(VLOOKUP(DATA[[#This Row],[COMBINADA]],#REF!,9,0),0)/COUNTIFS(DATA[COMBINADA],DATA[[#This Row],[COMBINADA]])</f>
        <v>0</v>
      </c>
      <c r="AI99" s="27">
        <f>IFERROR(VLOOKUP(DATA[[#This Row],[COMBINADA]],#REF!,6,0),0)</f>
        <v>0</v>
      </c>
      <c r="AJ99" s="125">
        <f>IFERROR(VLOOKUP(DATA[[#This Row],[COMBINADA]],#REF!,9,0),0)/COUNTIFS(DATA[COMBINADA],DATA[[#This Row],[COMBINADA]])</f>
        <v>0</v>
      </c>
      <c r="AK99" s="27">
        <f>IFERROR(VLOOKUP(DATA[[#This Row],[COMBINADA]],#REF!,6,0),0)</f>
        <v>0</v>
      </c>
      <c r="AL99" s="125">
        <f>IFERROR(VLOOKUP(DATA[[#This Row],[COMBINADA]],#REF!,9,0),0)/COUNTIFS(DATA[COMBINADA],DATA[[#This Row],[COMBINADA]])</f>
        <v>0</v>
      </c>
      <c r="AM99" s="27">
        <f>IFERROR(VLOOKUP(DATA[[#This Row],[COMBINADA]],#REF!,6,0),0)</f>
        <v>0</v>
      </c>
      <c r="AN99" s="125">
        <f>IFERROR(VLOOKUP(DATA[[#This Row],[COMBINADA]],#REF!,9,0),0)/COUNTIFS(DATA[COMBINADA],DATA[[#This Row],[COMBINADA]])</f>
        <v>0</v>
      </c>
      <c r="AO99" s="27">
        <f>IFERROR(VLOOKUP(DATA[[#This Row],[COMBINADA]],#REF!,6,0),0)</f>
        <v>0</v>
      </c>
      <c r="AP99" s="125">
        <f>IFERROR(VLOOKUP(DATA[[#This Row],[COMBINADA]],#REF!,9,0),0)/COUNTIFS(DATA[COMBINADA],DATA[[#This Row],[COMBINADA]])</f>
        <v>0</v>
      </c>
      <c r="AQ9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2020.5600000000002</v>
      </c>
      <c r="AR99" s="26" t="str">
        <f>IFERROR(IF(DATA[[#This Row],[estado_fact]]="FACTURADO",VLOOKUP(DATA[[#This Row],[SERIE2]]&amp;"-"&amp;DATA[[#This Row],[NUMERO]],#REF!,34,0),"NO CORRESPONDE"),"NO CORRESPONDE")</f>
        <v>NO CORRESPONDE</v>
      </c>
      <c r="AS99" s="22" t="str">
        <f>IF(DATA[[#This Row],[fecha_fs]]&gt;0,TEXT(DATA[[#This Row],[fecha_fs]],"Mmmm"),0)</f>
        <v>Enero</v>
      </c>
      <c r="AT99" s="22" t="str">
        <f>DATA[[#This Row],[SERIE2]]&amp;"-"&amp;DATA[[#This Row],[NUMERO]]</f>
        <v>FE01-572</v>
      </c>
      <c r="AU99" s="28">
        <f>DATA[[#This Row],[TOTAL]]*DATA[[#This Row],[T.C.]]</f>
        <v>2460.71</v>
      </c>
      <c r="AV99" s="6">
        <f>DATA[[#This Row],[FECHA DE VAL.]]</f>
        <v>45684</v>
      </c>
      <c r="AW99" s="6">
        <f>DATA[[#This Row],[FECHA DE EMISION]]</f>
        <v>45708</v>
      </c>
      <c r="AX99" s="6">
        <f>DATA[[#This Row],[F1]]</f>
        <v>0</v>
      </c>
      <c r="AY99" s="20">
        <f>IF(AV99-DATA[[#This Row],[fecha_fs]]&lt;0,0,AV99-DATA[[#This Row],[fecha_fs]])</f>
        <v>10</v>
      </c>
      <c r="AZ99" s="20">
        <f t="shared" si="10"/>
        <v>24</v>
      </c>
      <c r="BA99" s="20">
        <f t="shared" si="11"/>
        <v>0</v>
      </c>
      <c r="BB99" s="195">
        <f>IFERROR(SUM(DATA[[#This Row],[fs_val_ttf]:[fact_pago_ttf]]),0)</f>
        <v>34</v>
      </c>
      <c r="BC99" s="185">
        <v>45685</v>
      </c>
      <c r="BD99" s="185">
        <v>45692</v>
      </c>
      <c r="BE99" s="185">
        <v>45695</v>
      </c>
      <c r="BF99" s="185">
        <v>45708</v>
      </c>
      <c r="BG99" s="20">
        <f>IFERROR(IF(BC99-DATA[[#This Row],[fecha_fs]]&lt;0,0,BC99-DATA[[#This Row],[fecha_fs]]),0)</f>
        <v>11</v>
      </c>
      <c r="BH99" s="20">
        <f t="shared" si="12"/>
        <v>7</v>
      </c>
      <c r="BI99" s="20">
        <f t="shared" si="13"/>
        <v>3</v>
      </c>
      <c r="BJ99" s="20">
        <f t="shared" si="14"/>
        <v>13</v>
      </c>
      <c r="BK99" s="218">
        <f>IFERROR(SUM(DATA[[#This Row],[fs_fd_ttd]:[fend_fenf_ttd]]),0)</f>
        <v>34</v>
      </c>
      <c r="BL99" s="20" t="str">
        <f>IF(DATA[[#This Row],[fecha_fs]]&gt;0,TEXT(DATA[[#This Row],[fecha_fs]],"YYYY"),0)</f>
        <v>2025</v>
      </c>
      <c r="BM99" s="221" t="b">
        <v>1</v>
      </c>
      <c r="BN99" s="278">
        <f>COUNTIF(DATA[[#This Row],[tiempo_td]], "&lt;=15")</f>
        <v>0</v>
      </c>
      <c r="BO99" s="222"/>
    </row>
    <row r="100" spans="1:67" ht="30.6" customHeight="1" x14ac:dyDescent="0.25">
      <c r="A100" s="4">
        <v>20100211115</v>
      </c>
      <c r="B100" s="5" t="s">
        <v>41</v>
      </c>
      <c r="C100" s="52" t="s">
        <v>18</v>
      </c>
      <c r="D100" s="4" t="s">
        <v>120</v>
      </c>
      <c r="E100" s="5" t="s">
        <v>3</v>
      </c>
      <c r="F100" s="24">
        <v>45677</v>
      </c>
      <c r="G100" s="7" t="s">
        <v>113</v>
      </c>
      <c r="H100" s="25">
        <f t="shared" si="9"/>
        <v>1</v>
      </c>
      <c r="I100" s="67">
        <v>4004</v>
      </c>
      <c r="J100" s="8" t="s">
        <v>115</v>
      </c>
      <c r="K100" s="9" t="s">
        <v>121</v>
      </c>
      <c r="L100" s="10" t="s">
        <v>117</v>
      </c>
      <c r="M100" s="11">
        <v>90</v>
      </c>
      <c r="N100" s="12" t="s">
        <v>125</v>
      </c>
      <c r="O100" s="6">
        <v>45684</v>
      </c>
      <c r="P100" s="115">
        <v>3267</v>
      </c>
      <c r="Q100" s="14" t="s">
        <v>85</v>
      </c>
      <c r="R100" s="15"/>
      <c r="S100" s="15">
        <f>(DATA[[#This Row],[cantidad_fs]]*4.37)</f>
        <v>393.3</v>
      </c>
      <c r="T100" s="15">
        <f>DATA[[#This Row],[C. DF]]+DATA[[#This Row],[C.OPE.]]</f>
        <v>393.3</v>
      </c>
      <c r="U100" s="15">
        <f>DATA[[#This Row],[SUB TOTAL]]*0.18</f>
        <v>70.793999999999997</v>
      </c>
      <c r="V100" s="15">
        <f>IFERROR(ROUND(DATA[[#This Row],[SUB TOTAL]]+DATA[[#This Row],[IGV]],2),0)</f>
        <v>464.09</v>
      </c>
      <c r="W100" s="16" t="str">
        <f>IF(DATA[[#This Row],[VALORIZACIÓN ]]="-","NO CORRESPONDE",IF(OR(A100=20558226979,A100=10470707866,A100=20111157058,A100=20100226902),"NO CORRESPONDE",IF(J100="Emitida",IF(P100&gt;0,"EMITIDA","PENDIENTE"),"NO CORRESPONDE")))</f>
        <v>EMITIDA</v>
      </c>
      <c r="X100" s="29"/>
      <c r="Y100" s="17" t="s">
        <v>118</v>
      </c>
      <c r="Z100" s="30">
        <v>45687</v>
      </c>
      <c r="AA100" s="10" t="s">
        <v>124</v>
      </c>
      <c r="AB100" s="19">
        <v>536</v>
      </c>
      <c r="AC100" s="20">
        <v>30</v>
      </c>
      <c r="AD100" s="18">
        <f>DATA[[#This Row],[FECHA DE EMISION]]+DATA[[#This Row],[CONDICION DE PAGO]]</f>
        <v>45717</v>
      </c>
      <c r="AE100" s="23">
        <f>IF(DATA[[#This Row],[MONEDA]]="USD",VLOOKUP(DATA[[#This Row],[COMBINADA]],#REF!,11,0),1)</f>
        <v>1</v>
      </c>
      <c r="AF100" s="39" t="str">
        <f>IF(DATA[[#This Row],[SERIE2]]="-","NO CORRESPONDE",IF(W100="NO CORRESPONDE","NO CORRESPONDE",IF(Z100&gt;0,"FACTURADO","PENDIENTE")))</f>
        <v>FACTURADO</v>
      </c>
      <c r="AG100" s="27">
        <f>IFERROR(VLOOKUP(DATA[[#This Row],[COMBINADA]],#REF!,6,0),0)</f>
        <v>0</v>
      </c>
      <c r="AH100" s="125">
        <f>IFERROR(VLOOKUP(DATA[[#This Row],[COMBINADA]],#REF!,9,0),0)/COUNTIFS(DATA[COMBINADA],DATA[[#This Row],[COMBINADA]])</f>
        <v>0</v>
      </c>
      <c r="AI100" s="27">
        <f>IFERROR(VLOOKUP(DATA[[#This Row],[COMBINADA]],#REF!,6,0),0)</f>
        <v>0</v>
      </c>
      <c r="AJ100" s="125">
        <f>IFERROR(VLOOKUP(DATA[[#This Row],[COMBINADA]],#REF!,9,0),0)/COUNTIFS(DATA[COMBINADA],DATA[[#This Row],[COMBINADA]])</f>
        <v>0</v>
      </c>
      <c r="AK100" s="27">
        <f>IFERROR(VLOOKUP(DATA[[#This Row],[COMBINADA]],#REF!,6,0),0)</f>
        <v>0</v>
      </c>
      <c r="AL100" s="125">
        <f>IFERROR(VLOOKUP(DATA[[#This Row],[COMBINADA]],#REF!,9,0),0)/COUNTIFS(DATA[COMBINADA],DATA[[#This Row],[COMBINADA]])</f>
        <v>0</v>
      </c>
      <c r="AM100" s="27">
        <f>IFERROR(VLOOKUP(DATA[[#This Row],[COMBINADA]],#REF!,6,0),0)</f>
        <v>0</v>
      </c>
      <c r="AN100" s="125">
        <f>IFERROR(VLOOKUP(DATA[[#This Row],[COMBINADA]],#REF!,9,0),0)/COUNTIFS(DATA[COMBINADA],DATA[[#This Row],[COMBINADA]])</f>
        <v>0</v>
      </c>
      <c r="AO100" s="27">
        <f>IFERROR(VLOOKUP(DATA[[#This Row],[COMBINADA]],#REF!,6,0),0)</f>
        <v>0</v>
      </c>
      <c r="AP100" s="125">
        <f>IFERROR(VLOOKUP(DATA[[#This Row],[COMBINADA]],#REF!,9,0),0)/COUNTIFS(DATA[COMBINADA],DATA[[#This Row],[COMBINADA]])</f>
        <v>0</v>
      </c>
      <c r="AQ10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100" s="26" t="str">
        <f>IFERROR(IF(DATA[[#This Row],[estado_fact]]="FACTURADO",VLOOKUP(DATA[[#This Row],[SERIE2]]&amp;"-"&amp;DATA[[#This Row],[NUMERO]],#REF!,34,0),"NO CORRESPONDE"),"NO CORRESPONDE")</f>
        <v>NO CORRESPONDE</v>
      </c>
      <c r="AS100" s="22" t="str">
        <f>IF(DATA[[#This Row],[fecha_fs]]&gt;0,TEXT(DATA[[#This Row],[fecha_fs]],"Mmmm"),0)</f>
        <v>Enero</v>
      </c>
      <c r="AT100" s="22" t="str">
        <f>DATA[[#This Row],[SERIE2]]&amp;"-"&amp;DATA[[#This Row],[NUMERO]]</f>
        <v>FE01-536</v>
      </c>
      <c r="AU100" s="28">
        <f>DATA[[#This Row],[TOTAL]]*DATA[[#This Row],[T.C.]]</f>
        <v>464.09</v>
      </c>
      <c r="AV100" s="6">
        <f>DATA[[#This Row],[FECHA DE VAL.]]</f>
        <v>45684</v>
      </c>
      <c r="AW100" s="6">
        <f>DATA[[#This Row],[FECHA DE EMISION]]</f>
        <v>45687</v>
      </c>
      <c r="AX100" s="6">
        <f>DATA[[#This Row],[F1]]</f>
        <v>0</v>
      </c>
      <c r="AY100" s="20">
        <f>IF(AV100-DATA[[#This Row],[fecha_fs]]&lt;0,0,AV100-DATA[[#This Row],[fecha_fs]])</f>
        <v>7</v>
      </c>
      <c r="AZ100" s="20">
        <f t="shared" si="10"/>
        <v>3</v>
      </c>
      <c r="BA100" s="20">
        <f t="shared" si="11"/>
        <v>0</v>
      </c>
      <c r="BB100" s="195">
        <f>IFERROR(SUM(DATA[[#This Row],[fs_val_ttf]:[fact_pago_ttf]]),0)</f>
        <v>10</v>
      </c>
      <c r="BC100" s="185">
        <v>45698</v>
      </c>
      <c r="BD100" s="185">
        <v>45707</v>
      </c>
      <c r="BE100" s="185">
        <v>45712</v>
      </c>
      <c r="BF100" s="185">
        <v>45714</v>
      </c>
      <c r="BG100" s="20">
        <f>IFERROR(IF(BC100-DATA[[#This Row],[fecha_fs]]&lt;0,0,BC100-DATA[[#This Row],[fecha_fs]]),0)</f>
        <v>21</v>
      </c>
      <c r="BH100" s="20">
        <f t="shared" si="12"/>
        <v>9</v>
      </c>
      <c r="BI100" s="20">
        <f t="shared" si="13"/>
        <v>5</v>
      </c>
      <c r="BJ100" s="20">
        <f t="shared" si="14"/>
        <v>2</v>
      </c>
      <c r="BK100" s="218">
        <f>IFERROR(SUM(DATA[[#This Row],[fs_fd_ttd]:[fend_fenf_ttd]]),0)</f>
        <v>37</v>
      </c>
      <c r="BL100" s="20" t="str">
        <f>IF(DATA[[#This Row],[fecha_fs]]&gt;0,TEXT(DATA[[#This Row],[fecha_fs]],"YYYY"),0)</f>
        <v>2025</v>
      </c>
      <c r="BM100" s="221" t="b">
        <v>1</v>
      </c>
      <c r="BN100" s="278">
        <f>COUNTIF(DATA[[#This Row],[tiempo_td]], "&lt;=15")</f>
        <v>0</v>
      </c>
      <c r="BO100" s="222"/>
    </row>
    <row r="101" spans="1:67" ht="30.6" customHeight="1" x14ac:dyDescent="0.25">
      <c r="A101" s="4">
        <v>20553956324</v>
      </c>
      <c r="B101" s="5" t="s">
        <v>281</v>
      </c>
      <c r="C101" s="52" t="s">
        <v>175</v>
      </c>
      <c r="D101" s="4" t="s">
        <v>120</v>
      </c>
      <c r="E101" s="5" t="s">
        <v>3</v>
      </c>
      <c r="F101" s="24">
        <v>45674</v>
      </c>
      <c r="G101" s="7" t="s">
        <v>113</v>
      </c>
      <c r="H101" s="25">
        <f t="shared" si="9"/>
        <v>1</v>
      </c>
      <c r="I101" s="67">
        <v>4005</v>
      </c>
      <c r="J101" s="8" t="s">
        <v>115</v>
      </c>
      <c r="K101" s="9" t="s">
        <v>121</v>
      </c>
      <c r="L101" s="10" t="s">
        <v>117</v>
      </c>
      <c r="M101" s="11">
        <v>10</v>
      </c>
      <c r="N101" s="12" t="s">
        <v>176</v>
      </c>
      <c r="O101" s="6">
        <v>45688</v>
      </c>
      <c r="P101" s="13">
        <v>3270</v>
      </c>
      <c r="Q101" s="14" t="s">
        <v>85</v>
      </c>
      <c r="R101" s="15">
        <f>80/4</f>
        <v>20</v>
      </c>
      <c r="S101" s="15">
        <f>395.1/2</f>
        <v>197.55</v>
      </c>
      <c r="T101" s="15">
        <f>DATA[[#This Row],[C. DF]]+DATA[[#This Row],[C.OPE.]]</f>
        <v>217.55</v>
      </c>
      <c r="U101" s="15">
        <f>DATA[[#This Row],[SUB TOTAL]]*0.18</f>
        <v>39.158999999999999</v>
      </c>
      <c r="V101" s="15">
        <f>IFERROR(ROUND(DATA[[#This Row],[SUB TOTAL]]+DATA[[#This Row],[IGV]],2),0)</f>
        <v>256.70999999999998</v>
      </c>
      <c r="W101" s="16" t="str">
        <f>IF(DATA[[#This Row],[VALORIZACIÓN ]]="-","NO CORRESPONDE",IF(OR(A101=20558226979,A101=10470707866,A101=20111157058,A101=20100226902),"NO CORRESPONDE",IF(J101="Emitida",IF(P101&gt;0,"EMITIDA","PENDIENTE"),"NO CORRESPONDE")))</f>
        <v>EMITIDA</v>
      </c>
      <c r="X101" s="29"/>
      <c r="Y101" s="17" t="s">
        <v>118</v>
      </c>
      <c r="Z101" s="30">
        <v>45692</v>
      </c>
      <c r="AA101" s="10" t="s">
        <v>124</v>
      </c>
      <c r="AB101" s="19">
        <v>546</v>
      </c>
      <c r="AC101" s="20">
        <v>0</v>
      </c>
      <c r="AD101" s="18">
        <f>DATA[[#This Row],[FECHA DE EMISION]]+DATA[[#This Row],[CONDICION DE PAGO]]</f>
        <v>45692</v>
      </c>
      <c r="AE101" s="23">
        <f>IF(DATA[[#This Row],[MONEDA]]="USD",VLOOKUP(DATA[[#This Row],[COMBINADA]],#REF!,11,0),1)</f>
        <v>1</v>
      </c>
      <c r="AF101" s="39" t="str">
        <f>IF(DATA[[#This Row],[SERIE2]]="-","NO CORRESPONDE",IF(W101="NO CORRESPONDE","NO CORRESPONDE",IF(Z101&gt;0,"FACTURADO","PENDIENTE")))</f>
        <v>FACTURADO</v>
      </c>
      <c r="AG101" s="27">
        <f>IFERROR(VLOOKUP(DATA[[#This Row],[COMBINADA]],#REF!,6,0),0)</f>
        <v>0</v>
      </c>
      <c r="AH101" s="125">
        <f>IFERROR(VLOOKUP(DATA[[#This Row],[COMBINADA]],#REF!,9,0),0)/COUNTIFS(DATA[COMBINADA],DATA[[#This Row],[COMBINADA]])</f>
        <v>0</v>
      </c>
      <c r="AI101" s="27">
        <f>IFERROR(VLOOKUP(DATA[[#This Row],[COMBINADA]],#REF!,6,0),0)</f>
        <v>0</v>
      </c>
      <c r="AJ101" s="125">
        <f>IFERROR(VLOOKUP(DATA[[#This Row],[COMBINADA]],#REF!,9,0),0)/COUNTIFS(DATA[COMBINADA],DATA[[#This Row],[COMBINADA]])</f>
        <v>0</v>
      </c>
      <c r="AK101" s="27">
        <f>IFERROR(VLOOKUP(DATA[[#This Row],[COMBINADA]],#REF!,6,0),0)</f>
        <v>0</v>
      </c>
      <c r="AL101" s="125">
        <f>IFERROR(VLOOKUP(DATA[[#This Row],[COMBINADA]],#REF!,9,0),0)/COUNTIFS(DATA[COMBINADA],DATA[[#This Row],[COMBINADA]])</f>
        <v>0</v>
      </c>
      <c r="AM101" s="27">
        <f>IFERROR(VLOOKUP(DATA[[#This Row],[COMBINADA]],#REF!,6,0),0)</f>
        <v>0</v>
      </c>
      <c r="AN101" s="125">
        <f>IFERROR(VLOOKUP(DATA[[#This Row],[COMBINADA]],#REF!,9,0),0)/COUNTIFS(DATA[COMBINADA],DATA[[#This Row],[COMBINADA]])</f>
        <v>0</v>
      </c>
      <c r="AO101" s="27">
        <f>IFERROR(VLOOKUP(DATA[[#This Row],[COMBINADA]],#REF!,6,0),0)</f>
        <v>0</v>
      </c>
      <c r="AP101" s="125">
        <f>IFERROR(VLOOKUP(DATA[[#This Row],[COMBINADA]],#REF!,9,0),0)/COUNTIFS(DATA[COMBINADA],DATA[[#This Row],[COMBINADA]])</f>
        <v>0</v>
      </c>
      <c r="AQ10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355.75428571428574</v>
      </c>
      <c r="AR101" s="26" t="str">
        <f>IFERROR(IF(DATA[[#This Row],[estado_fact]]="FACTURADO",VLOOKUP(DATA[[#This Row],[SERIE2]]&amp;"-"&amp;DATA[[#This Row],[NUMERO]],#REF!,34,0),"NO CORRESPONDE"),"NO CORRESPONDE")</f>
        <v>NO CORRESPONDE</v>
      </c>
      <c r="AS101" s="22" t="str">
        <f>IF(DATA[[#This Row],[fecha_fs]]&gt;0,TEXT(DATA[[#This Row],[fecha_fs]],"Mmmm"),0)</f>
        <v>Enero</v>
      </c>
      <c r="AT101" s="22" t="str">
        <f>DATA[[#This Row],[SERIE2]]&amp;"-"&amp;DATA[[#This Row],[NUMERO]]</f>
        <v>FE01-546</v>
      </c>
      <c r="AU101" s="28">
        <f>DATA[[#This Row],[TOTAL]]*DATA[[#This Row],[T.C.]]</f>
        <v>256.70999999999998</v>
      </c>
      <c r="AV101" s="6">
        <f>DATA[[#This Row],[FECHA DE VAL.]]</f>
        <v>45688</v>
      </c>
      <c r="AW101" s="6">
        <f>DATA[[#This Row],[FECHA DE EMISION]]</f>
        <v>45692</v>
      </c>
      <c r="AX101" s="6">
        <f>DATA[[#This Row],[F1]]</f>
        <v>0</v>
      </c>
      <c r="AY101" s="20">
        <f>IF(AV101-DATA[[#This Row],[fecha_fs]]&lt;0,0,AV101-DATA[[#This Row],[fecha_fs]])</f>
        <v>14</v>
      </c>
      <c r="AZ101" s="20">
        <f t="shared" si="10"/>
        <v>4</v>
      </c>
      <c r="BA101" s="20">
        <f t="shared" si="11"/>
        <v>0</v>
      </c>
      <c r="BB101" s="195">
        <f>IFERROR(SUM(DATA[[#This Row],[fs_val_ttf]:[fact_pago_ttf]]),0)</f>
        <v>18</v>
      </c>
      <c r="BC101" s="185">
        <v>45698</v>
      </c>
      <c r="BD101" s="185">
        <v>45707</v>
      </c>
      <c r="BE101" s="185">
        <v>45712</v>
      </c>
      <c r="BF101" s="185">
        <v>45758</v>
      </c>
      <c r="BG101" s="20">
        <f>IFERROR(IF(BC101-DATA[[#This Row],[fecha_fs]]&lt;0,0,BC101-DATA[[#This Row],[fecha_fs]]),0)</f>
        <v>24</v>
      </c>
      <c r="BH101" s="20">
        <f t="shared" si="12"/>
        <v>9</v>
      </c>
      <c r="BI101" s="20">
        <f t="shared" si="13"/>
        <v>5</v>
      </c>
      <c r="BJ101" s="20">
        <f t="shared" si="14"/>
        <v>46</v>
      </c>
      <c r="BK101" s="218">
        <f>IFERROR(SUM(DATA[[#This Row],[fs_fd_ttd]:[fend_fenf_ttd]]),0)</f>
        <v>84</v>
      </c>
      <c r="BL101" s="20" t="str">
        <f>IF(DATA[[#This Row],[fecha_fs]]&gt;0,TEXT(DATA[[#This Row],[fecha_fs]],"YYYY"),0)</f>
        <v>2025</v>
      </c>
      <c r="BM101" s="221" t="b">
        <v>0</v>
      </c>
      <c r="BN101" s="278">
        <f>COUNTIF(DATA[[#This Row],[tiempo_td]], "&lt;=15")</f>
        <v>0</v>
      </c>
      <c r="BO101" s="222"/>
    </row>
    <row r="102" spans="1:67" ht="30.6" customHeight="1" x14ac:dyDescent="0.25">
      <c r="A102" s="4">
        <v>20553956324</v>
      </c>
      <c r="B102" s="5" t="s">
        <v>281</v>
      </c>
      <c r="C102" s="52" t="s">
        <v>175</v>
      </c>
      <c r="D102" s="4" t="s">
        <v>112</v>
      </c>
      <c r="E102" s="5" t="s">
        <v>1</v>
      </c>
      <c r="F102" s="24">
        <v>45674</v>
      </c>
      <c r="G102" s="7" t="s">
        <v>113</v>
      </c>
      <c r="H102" s="25">
        <f t="shared" si="9"/>
        <v>1</v>
      </c>
      <c r="I102" s="67">
        <v>4006</v>
      </c>
      <c r="J102" s="8" t="s">
        <v>115</v>
      </c>
      <c r="K102" s="9" t="s">
        <v>116</v>
      </c>
      <c r="L102" s="10" t="s">
        <v>117</v>
      </c>
      <c r="M102" s="11">
        <v>1</v>
      </c>
      <c r="N102" s="12" t="s">
        <v>176</v>
      </c>
      <c r="O102" s="6">
        <v>45688</v>
      </c>
      <c r="P102" s="13">
        <v>3270</v>
      </c>
      <c r="Q102" s="14" t="s">
        <v>85</v>
      </c>
      <c r="R102" s="15">
        <f>450/3</f>
        <v>150</v>
      </c>
      <c r="S102" s="15">
        <f>395.1/2</f>
        <v>197.55</v>
      </c>
      <c r="T102" s="15">
        <f>DATA[[#This Row],[C. DF]]+DATA[[#This Row],[C.OPE.]]</f>
        <v>347.55</v>
      </c>
      <c r="U102" s="15">
        <f>DATA[[#This Row],[SUB TOTAL]]*0.18</f>
        <v>62.558999999999997</v>
      </c>
      <c r="V102" s="15">
        <f>IFERROR(ROUND(DATA[[#This Row],[SUB TOTAL]]+DATA[[#This Row],[IGV]],2),0)</f>
        <v>410.11</v>
      </c>
      <c r="W102" s="16" t="str">
        <f>IF(DATA[[#This Row],[VALORIZACIÓN ]]="-","NO CORRESPONDE",IF(OR(A102=20558226979,A102=10470707866,A102=20111157058,A102=20100226902),"NO CORRESPONDE",IF(J102="Emitida",IF(P102&gt;0,"EMITIDA","PENDIENTE"),"NO CORRESPONDE")))</f>
        <v>EMITIDA</v>
      </c>
      <c r="X102" s="29"/>
      <c r="Y102" s="17" t="s">
        <v>118</v>
      </c>
      <c r="Z102" s="30">
        <v>45692</v>
      </c>
      <c r="AA102" s="10" t="s">
        <v>124</v>
      </c>
      <c r="AB102" s="19">
        <v>546</v>
      </c>
      <c r="AC102" s="20">
        <v>0</v>
      </c>
      <c r="AD102" s="18">
        <f>DATA[[#This Row],[FECHA DE EMISION]]+DATA[[#This Row],[CONDICION DE PAGO]]</f>
        <v>45692</v>
      </c>
      <c r="AE102" s="23">
        <f>IF(DATA[[#This Row],[MONEDA]]="USD",VLOOKUP(DATA[[#This Row],[COMBINADA]],#REF!,11,0),1)</f>
        <v>1</v>
      </c>
      <c r="AF102" s="39" t="str">
        <f>IF(DATA[[#This Row],[SERIE2]]="-","NO CORRESPONDE",IF(W102="NO CORRESPONDE","NO CORRESPONDE",IF(Z102&gt;0,"FACTURADO","PENDIENTE")))</f>
        <v>FACTURADO</v>
      </c>
      <c r="AG102" s="27">
        <f>IFERROR(VLOOKUP(DATA[[#This Row],[COMBINADA]],#REF!,6,0),0)</f>
        <v>0</v>
      </c>
      <c r="AH102" s="125">
        <f>IFERROR(VLOOKUP(DATA[[#This Row],[COMBINADA]],#REF!,9,0),0)/COUNTIFS(DATA[COMBINADA],DATA[[#This Row],[COMBINADA]])</f>
        <v>0</v>
      </c>
      <c r="AI102" s="27">
        <f>IFERROR(VLOOKUP(DATA[[#This Row],[COMBINADA]],#REF!,6,0),0)</f>
        <v>0</v>
      </c>
      <c r="AJ102" s="125">
        <f>IFERROR(VLOOKUP(DATA[[#This Row],[COMBINADA]],#REF!,9,0),0)/COUNTIFS(DATA[COMBINADA],DATA[[#This Row],[COMBINADA]])</f>
        <v>0</v>
      </c>
      <c r="AK102" s="27">
        <f>IFERROR(VLOOKUP(DATA[[#This Row],[COMBINADA]],#REF!,6,0),0)</f>
        <v>0</v>
      </c>
      <c r="AL102" s="125">
        <f>IFERROR(VLOOKUP(DATA[[#This Row],[COMBINADA]],#REF!,9,0),0)/COUNTIFS(DATA[COMBINADA],DATA[[#This Row],[COMBINADA]])</f>
        <v>0</v>
      </c>
      <c r="AM102" s="27">
        <f>IFERROR(VLOOKUP(DATA[[#This Row],[COMBINADA]],#REF!,6,0),0)</f>
        <v>0</v>
      </c>
      <c r="AN102" s="125">
        <f>IFERROR(VLOOKUP(DATA[[#This Row],[COMBINADA]],#REF!,9,0),0)/COUNTIFS(DATA[COMBINADA],DATA[[#This Row],[COMBINADA]])</f>
        <v>0</v>
      </c>
      <c r="AO102" s="27">
        <f>IFERROR(VLOOKUP(DATA[[#This Row],[COMBINADA]],#REF!,6,0),0)</f>
        <v>0</v>
      </c>
      <c r="AP102" s="125">
        <f>IFERROR(VLOOKUP(DATA[[#This Row],[COMBINADA]],#REF!,9,0),0)/COUNTIFS(DATA[COMBINADA],DATA[[#This Row],[COMBINADA]])</f>
        <v>0</v>
      </c>
      <c r="AQ10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355.75428571428574</v>
      </c>
      <c r="AR102" s="26" t="str">
        <f>IFERROR(IF(DATA[[#This Row],[estado_fact]]="FACTURADO",VLOOKUP(DATA[[#This Row],[SERIE2]]&amp;"-"&amp;DATA[[#This Row],[NUMERO]],#REF!,34,0),"NO CORRESPONDE"),"NO CORRESPONDE")</f>
        <v>NO CORRESPONDE</v>
      </c>
      <c r="AS102" s="22" t="str">
        <f>IF(DATA[[#This Row],[fecha_fs]]&gt;0,TEXT(DATA[[#This Row],[fecha_fs]],"Mmmm"),0)</f>
        <v>Enero</v>
      </c>
      <c r="AT102" s="22" t="str">
        <f>DATA[[#This Row],[SERIE2]]&amp;"-"&amp;DATA[[#This Row],[NUMERO]]</f>
        <v>FE01-546</v>
      </c>
      <c r="AU102" s="28">
        <f>DATA[[#This Row],[TOTAL]]*DATA[[#This Row],[T.C.]]</f>
        <v>410.11</v>
      </c>
      <c r="AV102" s="6">
        <f>DATA[[#This Row],[FECHA DE VAL.]]</f>
        <v>45688</v>
      </c>
      <c r="AW102" s="6">
        <f>DATA[[#This Row],[FECHA DE EMISION]]</f>
        <v>45692</v>
      </c>
      <c r="AX102" s="6">
        <f>DATA[[#This Row],[F1]]</f>
        <v>0</v>
      </c>
      <c r="AY102" s="20">
        <f>IF(AV102-DATA[[#This Row],[fecha_fs]]&lt;0,0,AV102-DATA[[#This Row],[fecha_fs]])</f>
        <v>14</v>
      </c>
      <c r="AZ102" s="20">
        <f t="shared" si="10"/>
        <v>4</v>
      </c>
      <c r="BA102" s="20">
        <f t="shared" si="11"/>
        <v>0</v>
      </c>
      <c r="BB102" s="195">
        <f>IFERROR(SUM(DATA[[#This Row],[fs_val_ttf]:[fact_pago_ttf]]),0)</f>
        <v>18</v>
      </c>
      <c r="BC102" s="185">
        <v>45694</v>
      </c>
      <c r="BD102" s="185">
        <v>45705</v>
      </c>
      <c r="BE102" s="185">
        <v>45707</v>
      </c>
      <c r="BF102" s="185">
        <v>45758</v>
      </c>
      <c r="BG102" s="20">
        <f>IFERROR(IF(BC102-DATA[[#This Row],[fecha_fs]]&lt;0,0,BC102-DATA[[#This Row],[fecha_fs]]),0)</f>
        <v>20</v>
      </c>
      <c r="BH102" s="20">
        <f t="shared" si="12"/>
        <v>11</v>
      </c>
      <c r="BI102" s="20">
        <f t="shared" si="13"/>
        <v>2</v>
      </c>
      <c r="BJ102" s="20">
        <f t="shared" si="14"/>
        <v>51</v>
      </c>
      <c r="BK102" s="218">
        <f>IFERROR(SUM(DATA[[#This Row],[fs_fd_ttd]:[fend_fenf_ttd]]),0)</f>
        <v>84</v>
      </c>
      <c r="BL102" s="20" t="str">
        <f>IF(DATA[[#This Row],[fecha_fs]]&gt;0,TEXT(DATA[[#This Row],[fecha_fs]],"YYYY"),0)</f>
        <v>2025</v>
      </c>
      <c r="BM102" s="221" t="b">
        <v>0</v>
      </c>
      <c r="BN102" s="278">
        <f>COUNTIF(DATA[[#This Row],[tiempo_td]], "&lt;=15")</f>
        <v>0</v>
      </c>
      <c r="BO102" s="222"/>
    </row>
    <row r="103" spans="1:67" ht="30.6" customHeight="1" x14ac:dyDescent="0.25">
      <c r="A103" s="4">
        <v>20505675836</v>
      </c>
      <c r="B103" s="5" t="s">
        <v>42</v>
      </c>
      <c r="C103" s="52" t="s">
        <v>20</v>
      </c>
      <c r="D103" s="4" t="s">
        <v>152</v>
      </c>
      <c r="E103" s="5" t="s">
        <v>10</v>
      </c>
      <c r="F103" s="24">
        <v>45677</v>
      </c>
      <c r="G103" s="7" t="s">
        <v>113</v>
      </c>
      <c r="H103" s="25">
        <f t="shared" si="9"/>
        <v>1</v>
      </c>
      <c r="I103" s="67">
        <v>4007</v>
      </c>
      <c r="J103" s="8" t="s">
        <v>115</v>
      </c>
      <c r="K103" s="9" t="s">
        <v>153</v>
      </c>
      <c r="L103" s="10" t="s">
        <v>117</v>
      </c>
      <c r="M103" s="11">
        <v>620</v>
      </c>
      <c r="N103" s="12" t="s">
        <v>122</v>
      </c>
      <c r="O103" s="6">
        <v>45684</v>
      </c>
      <c r="P103" s="69">
        <v>3262</v>
      </c>
      <c r="Q103" s="14" t="s">
        <v>85</v>
      </c>
      <c r="R103" s="15"/>
      <c r="S103" s="15">
        <v>499</v>
      </c>
      <c r="T103" s="15">
        <f>DATA[[#This Row],[C. DF]]+DATA[[#This Row],[C.OPE.]]</f>
        <v>499</v>
      </c>
      <c r="U103" s="15">
        <f>DATA[[#This Row],[SUB TOTAL]]*0.18</f>
        <v>89.82</v>
      </c>
      <c r="V103" s="15">
        <f>IFERROR(ROUND(DATA[[#This Row],[SUB TOTAL]]+DATA[[#This Row],[IGV]],2),0)</f>
        <v>588.82000000000005</v>
      </c>
      <c r="W103" s="16" t="str">
        <f>IF(DATA[[#This Row],[VALORIZACIÓN ]]="-","NO CORRESPONDE",IF(OR(A103=20558226979,A103=10470707866,A103=20111157058,A103=20100226902),"NO CORRESPONDE",IF(J103="Emitida",IF(P103&gt;0,"EMITIDA","PENDIENTE"),"NO CORRESPONDE")))</f>
        <v>EMITIDA</v>
      </c>
      <c r="X103" s="29" t="s">
        <v>146</v>
      </c>
      <c r="Y103" s="17" t="s">
        <v>118</v>
      </c>
      <c r="Z103" s="30">
        <v>45708</v>
      </c>
      <c r="AA103" s="10" t="s">
        <v>124</v>
      </c>
      <c r="AB103" s="19">
        <v>573</v>
      </c>
      <c r="AC103" s="20">
        <v>30</v>
      </c>
      <c r="AD103" s="18">
        <f>DATA[[#This Row],[FECHA DE EMISION]]+DATA[[#This Row],[CONDICION DE PAGO]]</f>
        <v>45738</v>
      </c>
      <c r="AE103" s="23">
        <f>IF(DATA[[#This Row],[MONEDA]]="USD",VLOOKUP(DATA[[#This Row],[COMBINADA]],#REF!,11,0),1)</f>
        <v>1</v>
      </c>
      <c r="AF103" s="39" t="str">
        <f>IF(DATA[[#This Row],[SERIE2]]="-","NO CORRESPONDE",IF(W103="NO CORRESPONDE","NO CORRESPONDE",IF(Z103&gt;0,"FACTURADO","PENDIENTE")))</f>
        <v>FACTURADO</v>
      </c>
      <c r="AG103" s="27">
        <f>IFERROR(VLOOKUP(DATA[[#This Row],[COMBINADA]],#REF!,6,0),0)</f>
        <v>0</v>
      </c>
      <c r="AH103" s="125">
        <f>IFERROR(VLOOKUP(DATA[[#This Row],[COMBINADA]],#REF!,9,0),0)/COUNTIFS(DATA[COMBINADA],DATA[[#This Row],[COMBINADA]])</f>
        <v>0</v>
      </c>
      <c r="AI103" s="27">
        <f>IFERROR(VLOOKUP(DATA[[#This Row],[COMBINADA]],#REF!,6,0),0)</f>
        <v>0</v>
      </c>
      <c r="AJ103" s="125">
        <f>IFERROR(VLOOKUP(DATA[[#This Row],[COMBINADA]],#REF!,9,0),0)/COUNTIFS(DATA[COMBINADA],DATA[[#This Row],[COMBINADA]])</f>
        <v>0</v>
      </c>
      <c r="AK103" s="27">
        <f>IFERROR(VLOOKUP(DATA[[#This Row],[COMBINADA]],#REF!,6,0),0)</f>
        <v>0</v>
      </c>
      <c r="AL103" s="125">
        <f>IFERROR(VLOOKUP(DATA[[#This Row],[COMBINADA]],#REF!,9,0),0)/COUNTIFS(DATA[COMBINADA],DATA[[#This Row],[COMBINADA]])</f>
        <v>0</v>
      </c>
      <c r="AM103" s="27">
        <f>IFERROR(VLOOKUP(DATA[[#This Row],[COMBINADA]],#REF!,6,0),0)</f>
        <v>0</v>
      </c>
      <c r="AN103" s="125">
        <f>IFERROR(VLOOKUP(DATA[[#This Row],[COMBINADA]],#REF!,9,0),0)/COUNTIFS(DATA[COMBINADA],DATA[[#This Row],[COMBINADA]])</f>
        <v>0</v>
      </c>
      <c r="AO103" s="27">
        <f>IFERROR(VLOOKUP(DATA[[#This Row],[COMBINADA]],#REF!,6,0),0)</f>
        <v>0</v>
      </c>
      <c r="AP103" s="125">
        <f>IFERROR(VLOOKUP(DATA[[#This Row],[COMBINADA]],#REF!,9,0),0)/COUNTIFS(DATA[COMBINADA],DATA[[#This Row],[COMBINADA]])</f>
        <v>0</v>
      </c>
      <c r="AQ10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588.82000000000005</v>
      </c>
      <c r="AR103" s="26" t="str">
        <f>IFERROR(IF(DATA[[#This Row],[estado_fact]]="FACTURADO",VLOOKUP(DATA[[#This Row],[SERIE2]]&amp;"-"&amp;DATA[[#This Row],[NUMERO]],#REF!,34,0),"NO CORRESPONDE"),"NO CORRESPONDE")</f>
        <v>NO CORRESPONDE</v>
      </c>
      <c r="AS103" s="22" t="str">
        <f>IF(DATA[[#This Row],[fecha_fs]]&gt;0,TEXT(DATA[[#This Row],[fecha_fs]],"Mmmm"),0)</f>
        <v>Enero</v>
      </c>
      <c r="AT103" s="22" t="str">
        <f>DATA[[#This Row],[SERIE2]]&amp;"-"&amp;DATA[[#This Row],[NUMERO]]</f>
        <v>FE01-573</v>
      </c>
      <c r="AU103" s="28">
        <f>DATA[[#This Row],[TOTAL]]*DATA[[#This Row],[T.C.]]</f>
        <v>588.82000000000005</v>
      </c>
      <c r="AV103" s="6">
        <f>DATA[[#This Row],[FECHA DE VAL.]]</f>
        <v>45684</v>
      </c>
      <c r="AW103" s="6">
        <f>DATA[[#This Row],[FECHA DE EMISION]]</f>
        <v>45708</v>
      </c>
      <c r="AX103" s="6">
        <f>DATA[[#This Row],[F1]]</f>
        <v>0</v>
      </c>
      <c r="AY103" s="20">
        <f>IF(AV103-DATA[[#This Row],[fecha_fs]]&lt;0,0,AV103-DATA[[#This Row],[fecha_fs]])</f>
        <v>7</v>
      </c>
      <c r="AZ103" s="20">
        <f t="shared" si="10"/>
        <v>24</v>
      </c>
      <c r="BA103" s="20">
        <f t="shared" si="11"/>
        <v>0</v>
      </c>
      <c r="BB103" s="195">
        <f>IFERROR(SUM(DATA[[#This Row],[fs_val_ttf]:[fact_pago_ttf]]),0)</f>
        <v>31</v>
      </c>
      <c r="BC103" s="185">
        <v>45716</v>
      </c>
      <c r="BD103" s="185">
        <v>45726</v>
      </c>
      <c r="BE103" s="185">
        <v>45735</v>
      </c>
      <c r="BF103" s="185">
        <v>45761</v>
      </c>
      <c r="BG103" s="20">
        <f>IFERROR(IF(BC103-DATA[[#This Row],[fecha_fs]]&lt;0,0,BC103-DATA[[#This Row],[fecha_fs]]),0)</f>
        <v>39</v>
      </c>
      <c r="BH103" s="20">
        <f t="shared" si="12"/>
        <v>10</v>
      </c>
      <c r="BI103" s="20">
        <f t="shared" si="13"/>
        <v>9</v>
      </c>
      <c r="BJ103" s="20">
        <f t="shared" si="14"/>
        <v>26</v>
      </c>
      <c r="BK103" s="218">
        <f>IFERROR(SUM(DATA[[#This Row],[fs_fd_ttd]:[fend_fenf_ttd]]),0)</f>
        <v>84</v>
      </c>
      <c r="BL103" s="20" t="str">
        <f>IF(DATA[[#This Row],[fecha_fs]]&gt;0,TEXT(DATA[[#This Row],[fecha_fs]],"YYYY"),0)</f>
        <v>2025</v>
      </c>
      <c r="BM103" s="221" t="b">
        <v>1</v>
      </c>
      <c r="BN103" s="278">
        <f>COUNTIF(DATA[[#This Row],[tiempo_td]], "&lt;=15")</f>
        <v>0</v>
      </c>
      <c r="BO103" s="222"/>
    </row>
    <row r="104" spans="1:67" ht="30.6" customHeight="1" x14ac:dyDescent="0.25">
      <c r="A104" s="4">
        <v>20505675836</v>
      </c>
      <c r="B104" s="5" t="s">
        <v>42</v>
      </c>
      <c r="C104" s="52" t="s">
        <v>20</v>
      </c>
      <c r="D104" s="4" t="s">
        <v>120</v>
      </c>
      <c r="E104" s="5" t="s">
        <v>3</v>
      </c>
      <c r="F104" s="24">
        <v>45677</v>
      </c>
      <c r="G104" s="7" t="s">
        <v>113</v>
      </c>
      <c r="H104" s="25">
        <f t="shared" si="9"/>
        <v>1</v>
      </c>
      <c r="I104" s="67">
        <v>4008</v>
      </c>
      <c r="J104" s="8" t="s">
        <v>115</v>
      </c>
      <c r="K104" s="9" t="s">
        <v>121</v>
      </c>
      <c r="L104" s="10" t="s">
        <v>117</v>
      </c>
      <c r="M104" s="11">
        <v>140</v>
      </c>
      <c r="N104" s="12" t="s">
        <v>122</v>
      </c>
      <c r="O104" s="6">
        <v>45684</v>
      </c>
      <c r="P104" s="69">
        <v>3260</v>
      </c>
      <c r="Q104" s="14" t="s">
        <v>85</v>
      </c>
      <c r="R104" s="15"/>
      <c r="S104" s="15">
        <v>1387.83</v>
      </c>
      <c r="T104" s="15">
        <f>DATA[[#This Row],[C. DF]]+DATA[[#This Row],[C.OPE.]]</f>
        <v>1387.83</v>
      </c>
      <c r="U104" s="15">
        <f>DATA[[#This Row],[SUB TOTAL]]*0.18</f>
        <v>249.80939999999998</v>
      </c>
      <c r="V104" s="15">
        <f>IFERROR(ROUND(DATA[[#This Row],[SUB TOTAL]]+DATA[[#This Row],[IGV]],2),0)</f>
        <v>1637.64</v>
      </c>
      <c r="W104" s="16" t="str">
        <f>IF(DATA[[#This Row],[VALORIZACIÓN ]]="-","NO CORRESPONDE",IF(OR(A104=20558226979,A104=10470707866,A104=20111157058,A104=20100226902),"NO CORRESPONDE",IF(J104="Emitida",IF(P104&gt;0,"EMITIDA","PENDIENTE"),"NO CORRESPONDE")))</f>
        <v>EMITIDA</v>
      </c>
      <c r="X104" s="29" t="s">
        <v>146</v>
      </c>
      <c r="Y104" s="17" t="s">
        <v>118</v>
      </c>
      <c r="Z104" s="30">
        <v>45708</v>
      </c>
      <c r="AA104" s="10" t="s">
        <v>124</v>
      </c>
      <c r="AB104" s="19">
        <v>572</v>
      </c>
      <c r="AC104" s="20">
        <v>30</v>
      </c>
      <c r="AD104" s="18">
        <f>DATA[[#This Row],[FECHA DE EMISION]]+DATA[[#This Row],[CONDICION DE PAGO]]</f>
        <v>45738</v>
      </c>
      <c r="AE104" s="23">
        <f>IF(DATA[[#This Row],[MONEDA]]="USD",VLOOKUP(DATA[[#This Row],[COMBINADA]],#REF!,11,0),1)</f>
        <v>1</v>
      </c>
      <c r="AF104" s="39" t="str">
        <f>IF(DATA[[#This Row],[SERIE2]]="-","NO CORRESPONDE",IF(W104="NO CORRESPONDE","NO CORRESPONDE",IF(Z104&gt;0,"FACTURADO","PENDIENTE")))</f>
        <v>FACTURADO</v>
      </c>
      <c r="AG104" s="27">
        <f>IFERROR(VLOOKUP(DATA[[#This Row],[COMBINADA]],#REF!,6,0),0)</f>
        <v>0</v>
      </c>
      <c r="AH104" s="125">
        <f>IFERROR(VLOOKUP(DATA[[#This Row],[COMBINADA]],#REF!,9,0),0)/COUNTIFS(DATA[COMBINADA],DATA[[#This Row],[COMBINADA]])</f>
        <v>0</v>
      </c>
      <c r="AI104" s="27">
        <f>IFERROR(VLOOKUP(DATA[[#This Row],[COMBINADA]],#REF!,6,0),0)</f>
        <v>0</v>
      </c>
      <c r="AJ104" s="125">
        <f>IFERROR(VLOOKUP(DATA[[#This Row],[COMBINADA]],#REF!,9,0),0)/COUNTIFS(DATA[COMBINADA],DATA[[#This Row],[COMBINADA]])</f>
        <v>0</v>
      </c>
      <c r="AK104" s="27">
        <f>IFERROR(VLOOKUP(DATA[[#This Row],[COMBINADA]],#REF!,6,0),0)</f>
        <v>0</v>
      </c>
      <c r="AL104" s="125">
        <f>IFERROR(VLOOKUP(DATA[[#This Row],[COMBINADA]],#REF!,9,0),0)/COUNTIFS(DATA[COMBINADA],DATA[[#This Row],[COMBINADA]])</f>
        <v>0</v>
      </c>
      <c r="AM104" s="27">
        <f>IFERROR(VLOOKUP(DATA[[#This Row],[COMBINADA]],#REF!,6,0),0)</f>
        <v>0</v>
      </c>
      <c r="AN104" s="125">
        <f>IFERROR(VLOOKUP(DATA[[#This Row],[COMBINADA]],#REF!,9,0),0)/COUNTIFS(DATA[COMBINADA],DATA[[#This Row],[COMBINADA]])</f>
        <v>0</v>
      </c>
      <c r="AO104" s="27">
        <f>IFERROR(VLOOKUP(DATA[[#This Row],[COMBINADA]],#REF!,6,0),0)</f>
        <v>0</v>
      </c>
      <c r="AP104" s="125">
        <f>IFERROR(VLOOKUP(DATA[[#This Row],[COMBINADA]],#REF!,9,0),0)/COUNTIFS(DATA[COMBINADA],DATA[[#This Row],[COMBINADA]])</f>
        <v>0</v>
      </c>
      <c r="AQ10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2020.5600000000002</v>
      </c>
      <c r="AR104" s="26" t="str">
        <f>IFERROR(IF(DATA[[#This Row],[estado_fact]]="FACTURADO",VLOOKUP(DATA[[#This Row],[SERIE2]]&amp;"-"&amp;DATA[[#This Row],[NUMERO]],#REF!,34,0),"NO CORRESPONDE"),"NO CORRESPONDE")</f>
        <v>NO CORRESPONDE</v>
      </c>
      <c r="AS104" s="22" t="str">
        <f>IF(DATA[[#This Row],[fecha_fs]]&gt;0,TEXT(DATA[[#This Row],[fecha_fs]],"Mmmm"),0)</f>
        <v>Enero</v>
      </c>
      <c r="AT104" s="22" t="str">
        <f>DATA[[#This Row],[SERIE2]]&amp;"-"&amp;DATA[[#This Row],[NUMERO]]</f>
        <v>FE01-572</v>
      </c>
      <c r="AU104" s="28">
        <f>DATA[[#This Row],[TOTAL]]*DATA[[#This Row],[T.C.]]</f>
        <v>1637.64</v>
      </c>
      <c r="AV104" s="6">
        <f>DATA[[#This Row],[FECHA DE VAL.]]</f>
        <v>45684</v>
      </c>
      <c r="AW104" s="6">
        <f>DATA[[#This Row],[FECHA DE EMISION]]</f>
        <v>45708</v>
      </c>
      <c r="AX104" s="6">
        <f>DATA[[#This Row],[F1]]</f>
        <v>0</v>
      </c>
      <c r="AY104" s="20">
        <f>IF(AV104-DATA[[#This Row],[fecha_fs]]&lt;0,0,AV104-DATA[[#This Row],[fecha_fs]])</f>
        <v>7</v>
      </c>
      <c r="AZ104" s="20">
        <f t="shared" si="10"/>
        <v>24</v>
      </c>
      <c r="BA104" s="20">
        <f t="shared" si="11"/>
        <v>0</v>
      </c>
      <c r="BB104" s="195">
        <f>IFERROR(SUM(DATA[[#This Row],[fs_val_ttf]:[fact_pago_ttf]]),0)</f>
        <v>31</v>
      </c>
      <c r="BC104" s="185">
        <v>45698</v>
      </c>
      <c r="BD104" s="185">
        <v>45707</v>
      </c>
      <c r="BE104" s="185">
        <v>45735</v>
      </c>
      <c r="BF104" s="185">
        <v>45761</v>
      </c>
      <c r="BG104" s="20">
        <f>IFERROR(IF(BC104-DATA[[#This Row],[fecha_fs]]&lt;0,0,BC104-DATA[[#This Row],[fecha_fs]]),0)</f>
        <v>21</v>
      </c>
      <c r="BH104" s="20">
        <f t="shared" si="12"/>
        <v>9</v>
      </c>
      <c r="BI104" s="20">
        <f t="shared" si="13"/>
        <v>28</v>
      </c>
      <c r="BJ104" s="20">
        <f t="shared" si="14"/>
        <v>26</v>
      </c>
      <c r="BK104" s="218">
        <f>IFERROR(SUM(DATA[[#This Row],[fs_fd_ttd]:[fend_fenf_ttd]]),0)</f>
        <v>84</v>
      </c>
      <c r="BL104" s="20" t="str">
        <f>IF(DATA[[#This Row],[fecha_fs]]&gt;0,TEXT(DATA[[#This Row],[fecha_fs]],"YYYY"),0)</f>
        <v>2025</v>
      </c>
      <c r="BM104" s="221" t="b">
        <v>1</v>
      </c>
      <c r="BN104" s="278">
        <f>COUNTIF(DATA[[#This Row],[tiempo_td]], "&lt;=15")</f>
        <v>0</v>
      </c>
      <c r="BO104" s="222"/>
    </row>
    <row r="105" spans="1:67" ht="30.6" customHeight="1" x14ac:dyDescent="0.25">
      <c r="A105" s="4">
        <v>20100192064</v>
      </c>
      <c r="B105" s="5" t="s">
        <v>60</v>
      </c>
      <c r="C105" s="52" t="s">
        <v>43</v>
      </c>
      <c r="D105" s="4" t="s">
        <v>120</v>
      </c>
      <c r="E105" s="5" t="s">
        <v>3</v>
      </c>
      <c r="F105" s="24">
        <v>45677</v>
      </c>
      <c r="G105" s="7" t="s">
        <v>113</v>
      </c>
      <c r="H105" s="25">
        <f t="shared" si="9"/>
        <v>1</v>
      </c>
      <c r="I105" s="67">
        <v>4009</v>
      </c>
      <c r="J105" s="8" t="s">
        <v>115</v>
      </c>
      <c r="K105" s="9" t="s">
        <v>121</v>
      </c>
      <c r="L105" s="10" t="s">
        <v>117</v>
      </c>
      <c r="M105" s="11">
        <v>560</v>
      </c>
      <c r="N105" s="12" t="s">
        <v>167</v>
      </c>
      <c r="O105" s="6">
        <v>45684</v>
      </c>
      <c r="P105" s="57">
        <v>3244</v>
      </c>
      <c r="Q105" s="14" t="s">
        <v>123</v>
      </c>
      <c r="R105" s="15">
        <f>(DATA[[#This Row],[cantidad_fs]]/1000)*(47+174.34)</f>
        <v>123.95040000000002</v>
      </c>
      <c r="S105" s="15">
        <v>137</v>
      </c>
      <c r="T105" s="15">
        <f>DATA[[#This Row],[C. DF]]+DATA[[#This Row],[C.OPE.]]</f>
        <v>260.9504</v>
      </c>
      <c r="U105" s="15">
        <f>DATA[[#This Row],[SUB TOTAL]]*0.18</f>
        <v>46.971071999999999</v>
      </c>
      <c r="V105" s="15">
        <f>IFERROR(ROUND(DATA[[#This Row],[SUB TOTAL]]+DATA[[#This Row],[IGV]],2),0)</f>
        <v>307.92</v>
      </c>
      <c r="W105" s="16" t="str">
        <f>IF(DATA[[#This Row],[VALORIZACIÓN ]]="-","NO CORRESPONDE",IF(OR(A105=20558226979,A105=10470707866,A105=20111157058,A105=20100226902),"NO CORRESPONDE",IF(J105="Emitida",IF(P105&gt;0,"EMITIDA","PENDIENTE"),"NO CORRESPONDE")))</f>
        <v>EMITIDA</v>
      </c>
      <c r="X105" s="29"/>
      <c r="Y105" s="17" t="s">
        <v>118</v>
      </c>
      <c r="Z105" s="30">
        <v>45687</v>
      </c>
      <c r="AA105" s="10" t="s">
        <v>124</v>
      </c>
      <c r="AB105" s="19">
        <v>534</v>
      </c>
      <c r="AC105" s="20">
        <v>30</v>
      </c>
      <c r="AD105" s="18">
        <f>DATA[[#This Row],[FECHA DE EMISION]]+DATA[[#This Row],[CONDICION DE PAGO]]</f>
        <v>45717</v>
      </c>
      <c r="AE105" s="23" t="e">
        <f>IF(DATA[[#This Row],[MONEDA]]="USD",VLOOKUP(DATA[[#This Row],[COMBINADA]],#REF!,11,0),1)</f>
        <v>#REF!</v>
      </c>
      <c r="AF105" s="39" t="str">
        <f>IF(DATA[[#This Row],[SERIE2]]="-","NO CORRESPONDE",IF(W105="NO CORRESPONDE","NO CORRESPONDE",IF(Z105&gt;0,"FACTURADO","PENDIENTE")))</f>
        <v>FACTURADO</v>
      </c>
      <c r="AG105" s="27">
        <f>IFERROR(VLOOKUP(DATA[[#This Row],[COMBINADA]],#REF!,6,0),0)</f>
        <v>0</v>
      </c>
      <c r="AH105" s="125">
        <f>IFERROR(VLOOKUP(DATA[[#This Row],[COMBINADA]],#REF!,9,0),0)/COUNTIFS(DATA[COMBINADA],DATA[[#This Row],[COMBINADA]])</f>
        <v>0</v>
      </c>
      <c r="AI105" s="27">
        <f>IFERROR(VLOOKUP(DATA[[#This Row],[COMBINADA]],#REF!,6,0),0)</f>
        <v>0</v>
      </c>
      <c r="AJ105" s="125">
        <f>IFERROR(VLOOKUP(DATA[[#This Row],[COMBINADA]],#REF!,9,0),0)/COUNTIFS(DATA[COMBINADA],DATA[[#This Row],[COMBINADA]])</f>
        <v>0</v>
      </c>
      <c r="AK105" s="27">
        <f>IFERROR(VLOOKUP(DATA[[#This Row],[COMBINADA]],#REF!,6,0),0)</f>
        <v>0</v>
      </c>
      <c r="AL105" s="125">
        <f>IFERROR(VLOOKUP(DATA[[#This Row],[COMBINADA]],#REF!,9,0),0)/COUNTIFS(DATA[COMBINADA],DATA[[#This Row],[COMBINADA]])</f>
        <v>0</v>
      </c>
      <c r="AM105" s="27">
        <f>IFERROR(VLOOKUP(DATA[[#This Row],[COMBINADA]],#REF!,6,0),0)</f>
        <v>0</v>
      </c>
      <c r="AN105" s="125">
        <f>IFERROR(VLOOKUP(DATA[[#This Row],[COMBINADA]],#REF!,9,0),0)/COUNTIFS(DATA[COMBINADA],DATA[[#This Row],[COMBINADA]])</f>
        <v>0</v>
      </c>
      <c r="AO105" s="27">
        <f>IFERROR(VLOOKUP(DATA[[#This Row],[COMBINADA]],#REF!,6,0),0)</f>
        <v>0</v>
      </c>
      <c r="AP105" s="125">
        <f>IFERROR(VLOOKUP(DATA[[#This Row],[COMBINADA]],#REF!,9,0),0)/COUNTIFS(DATA[COMBINADA],DATA[[#This Row],[COMBINADA]])</f>
        <v>0</v>
      </c>
      <c r="AQ10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575.62384615384622</v>
      </c>
      <c r="AR105" s="26" t="str">
        <f>IFERROR(IF(DATA[[#This Row],[estado_fact]]="FACTURADO",VLOOKUP(DATA[[#This Row],[SERIE2]]&amp;"-"&amp;DATA[[#This Row],[NUMERO]],#REF!,34,0),"NO CORRESPONDE"),"NO CORRESPONDE")</f>
        <v>NO CORRESPONDE</v>
      </c>
      <c r="AS105" s="22" t="str">
        <f>IF(DATA[[#This Row],[fecha_fs]]&gt;0,TEXT(DATA[[#This Row],[fecha_fs]],"Mmmm"),0)</f>
        <v>Enero</v>
      </c>
      <c r="AT105" s="22" t="str">
        <f>DATA[[#This Row],[SERIE2]]&amp;"-"&amp;DATA[[#This Row],[NUMERO]]</f>
        <v>FE01-534</v>
      </c>
      <c r="AU105" s="28" t="e">
        <f>DATA[[#This Row],[TOTAL]]*DATA[[#This Row],[T.C.]]</f>
        <v>#REF!</v>
      </c>
      <c r="AV105" s="6">
        <f>DATA[[#This Row],[FECHA DE VAL.]]</f>
        <v>45684</v>
      </c>
      <c r="AW105" s="6">
        <f>DATA[[#This Row],[FECHA DE EMISION]]</f>
        <v>45687</v>
      </c>
      <c r="AX105" s="6">
        <f>DATA[[#This Row],[F1]]</f>
        <v>0</v>
      </c>
      <c r="AY105" s="20">
        <f>IF(AV105-DATA[[#This Row],[fecha_fs]]&lt;0,0,AV105-DATA[[#This Row],[fecha_fs]])</f>
        <v>7</v>
      </c>
      <c r="AZ105" s="20">
        <f t="shared" si="10"/>
        <v>3</v>
      </c>
      <c r="BA105" s="20">
        <f t="shared" si="11"/>
        <v>0</v>
      </c>
      <c r="BB105" s="195">
        <f>IFERROR(SUM(DATA[[#This Row],[fs_val_ttf]:[fact_pago_ttf]]),0)</f>
        <v>10</v>
      </c>
      <c r="BC105" s="185">
        <v>45694</v>
      </c>
      <c r="BD105" s="185">
        <v>45700</v>
      </c>
      <c r="BE105" s="185">
        <v>45707</v>
      </c>
      <c r="BF105" s="185">
        <v>45758</v>
      </c>
      <c r="BG105" s="20">
        <f>IFERROR(IF(BC105-DATA[[#This Row],[fecha_fs]]&lt;0,0,BC105-DATA[[#This Row],[fecha_fs]]),0)</f>
        <v>17</v>
      </c>
      <c r="BH105" s="20">
        <f t="shared" si="12"/>
        <v>6</v>
      </c>
      <c r="BI105" s="20">
        <f t="shared" si="13"/>
        <v>7</v>
      </c>
      <c r="BJ105" s="20">
        <f t="shared" si="14"/>
        <v>51</v>
      </c>
      <c r="BK105" s="218">
        <f>IFERROR(SUM(DATA[[#This Row],[fs_fd_ttd]:[fend_fenf_ttd]]),0)</f>
        <v>81</v>
      </c>
      <c r="BL105" s="20" t="str">
        <f>IF(DATA[[#This Row],[fecha_fs]]&gt;0,TEXT(DATA[[#This Row],[fecha_fs]],"YYYY"),0)</f>
        <v>2025</v>
      </c>
      <c r="BM105" s="221" t="b">
        <v>1</v>
      </c>
      <c r="BN105" s="278">
        <f>COUNTIF(DATA[[#This Row],[tiempo_td]], "&lt;=15")</f>
        <v>0</v>
      </c>
      <c r="BO105" s="222"/>
    </row>
    <row r="106" spans="1:67" ht="30.6" customHeight="1" x14ac:dyDescent="0.25">
      <c r="A106" s="4">
        <v>20419158462</v>
      </c>
      <c r="B106" s="5" t="s">
        <v>2</v>
      </c>
      <c r="C106" s="52" t="s">
        <v>7</v>
      </c>
      <c r="D106" s="4" t="s">
        <v>120</v>
      </c>
      <c r="E106" s="5" t="s">
        <v>3</v>
      </c>
      <c r="F106" s="24">
        <v>45677</v>
      </c>
      <c r="G106" s="7" t="s">
        <v>113</v>
      </c>
      <c r="H106" s="25">
        <f t="shared" si="9"/>
        <v>1</v>
      </c>
      <c r="I106" s="67">
        <v>4010</v>
      </c>
      <c r="J106" s="8" t="s">
        <v>115</v>
      </c>
      <c r="K106" s="9" t="s">
        <v>156</v>
      </c>
      <c r="L106" s="10" t="s">
        <v>117</v>
      </c>
      <c r="M106" s="11">
        <v>1250</v>
      </c>
      <c r="N106" s="12" t="s">
        <v>125</v>
      </c>
      <c r="O106" s="6">
        <v>45678</v>
      </c>
      <c r="P106" s="13">
        <v>3238</v>
      </c>
      <c r="Q106" s="14" t="s">
        <v>85</v>
      </c>
      <c r="R106" s="15">
        <v>0</v>
      </c>
      <c r="S106" s="15">
        <v>1429.7</v>
      </c>
      <c r="T106" s="15">
        <f>DATA[[#This Row],[C. DF]]+DATA[[#This Row],[C.OPE.]]</f>
        <v>1429.7</v>
      </c>
      <c r="U106" s="15">
        <f>DATA[[#This Row],[SUB TOTAL]]*0.18</f>
        <v>257.346</v>
      </c>
      <c r="V106" s="15">
        <f>IFERROR(ROUND(DATA[[#This Row],[SUB TOTAL]]+DATA[[#This Row],[IGV]],2),0)</f>
        <v>1687.05</v>
      </c>
      <c r="W106" s="16" t="str">
        <f>IF(DATA[[#This Row],[VALORIZACIÓN ]]="-","NO CORRESPONDE",IF(OR(A106=20558226979,A106=10470707866,A106=20111157058,A106=20100226902),"NO CORRESPONDE",IF(J106="Emitida",IF(P106&gt;0,"EMITIDA","PENDIENTE"),"NO CORRESPONDE")))</f>
        <v>EMITIDA</v>
      </c>
      <c r="X106" s="29" t="s">
        <v>149</v>
      </c>
      <c r="Y106" s="17" t="s">
        <v>118</v>
      </c>
      <c r="Z106" s="30">
        <v>45761</v>
      </c>
      <c r="AA106" s="10" t="s">
        <v>150</v>
      </c>
      <c r="AB106" s="19">
        <v>29</v>
      </c>
      <c r="AC106" s="20">
        <v>15</v>
      </c>
      <c r="AD106" s="18">
        <f>DATA[[#This Row],[FECHA DE EMISION]]+DATA[[#This Row],[CONDICION DE PAGO]]</f>
        <v>45776</v>
      </c>
      <c r="AE106" s="23">
        <f>IF(DATA[[#This Row],[MONEDA]]="USD",VLOOKUP(DATA[[#This Row],[COMBINADA]],#REF!,11,0),1)</f>
        <v>1</v>
      </c>
      <c r="AF106" s="39" t="str">
        <f>IF(DATA[[#This Row],[SERIE2]]="-","NO CORRESPONDE",IF(W106="NO CORRESPONDE","NO CORRESPONDE",IF(Z106&gt;0,"FACTURADO","PENDIENTE")))</f>
        <v>FACTURADO</v>
      </c>
      <c r="AG106" s="27">
        <f>IFERROR(VLOOKUP(DATA[[#This Row],[COMBINADA]],#REF!,6,0),0)</f>
        <v>0</v>
      </c>
      <c r="AH106" s="125">
        <f>IFERROR(VLOOKUP(DATA[[#This Row],[COMBINADA]],#REF!,9,0),0)/COUNTIFS(DATA[COMBINADA],DATA[[#This Row],[COMBINADA]])</f>
        <v>0</v>
      </c>
      <c r="AI106" s="27">
        <f>IFERROR(VLOOKUP(DATA[[#This Row],[COMBINADA]],#REF!,6,0),0)</f>
        <v>0</v>
      </c>
      <c r="AJ106" s="125">
        <f>IFERROR(VLOOKUP(DATA[[#This Row],[COMBINADA]],#REF!,9,0),0)/COUNTIFS(DATA[COMBINADA],DATA[[#This Row],[COMBINADA]])</f>
        <v>0</v>
      </c>
      <c r="AK106" s="27">
        <f>IFERROR(VLOOKUP(DATA[[#This Row],[COMBINADA]],#REF!,6,0),0)</f>
        <v>0</v>
      </c>
      <c r="AL106" s="125">
        <f>IFERROR(VLOOKUP(DATA[[#This Row],[COMBINADA]],#REF!,9,0),0)/COUNTIFS(DATA[COMBINADA],DATA[[#This Row],[COMBINADA]])</f>
        <v>0</v>
      </c>
      <c r="AM106" s="27">
        <f>IFERROR(VLOOKUP(DATA[[#This Row],[COMBINADA]],#REF!,6,0),0)</f>
        <v>0</v>
      </c>
      <c r="AN106" s="125">
        <f>IFERROR(VLOOKUP(DATA[[#This Row],[COMBINADA]],#REF!,9,0),0)/COUNTIFS(DATA[COMBINADA],DATA[[#This Row],[COMBINADA]])</f>
        <v>0</v>
      </c>
      <c r="AO106" s="27">
        <f>IFERROR(VLOOKUP(DATA[[#This Row],[COMBINADA]],#REF!,6,0),0)</f>
        <v>0</v>
      </c>
      <c r="AP106" s="125">
        <f>IFERROR(VLOOKUP(DATA[[#This Row],[COMBINADA]],#REF!,9,0),0)/COUNTIFS(DATA[COMBINADA],DATA[[#This Row],[COMBINADA]])</f>
        <v>0</v>
      </c>
      <c r="AQ10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1687.05</v>
      </c>
      <c r="AR106" s="26" t="str">
        <f>IFERROR(IF(DATA[[#This Row],[estado_fact]]="FACTURADO",VLOOKUP(DATA[[#This Row],[SERIE2]]&amp;"-"&amp;DATA[[#This Row],[NUMERO]],#REF!,34,0),"NO CORRESPONDE"),"NO CORRESPONDE")</f>
        <v>NO CORRESPONDE</v>
      </c>
      <c r="AS106" s="22" t="str">
        <f>IF(DATA[[#This Row],[fecha_fs]]&gt;0,TEXT(DATA[[#This Row],[fecha_fs]],"Mmmm"),0)</f>
        <v>Enero</v>
      </c>
      <c r="AT106" s="22" t="str">
        <f>DATA[[#This Row],[SERIE2]]&amp;"-"&amp;DATA[[#This Row],[NUMERO]]</f>
        <v>FF01-29</v>
      </c>
      <c r="AU106" s="28">
        <f>DATA[[#This Row],[TOTAL]]*DATA[[#This Row],[T.C.]]</f>
        <v>1687.05</v>
      </c>
      <c r="AV106" s="6">
        <f>DATA[[#This Row],[FECHA DE VAL.]]</f>
        <v>45678</v>
      </c>
      <c r="AW106" s="6">
        <f>DATA[[#This Row],[FECHA DE EMISION]]</f>
        <v>45761</v>
      </c>
      <c r="AX106" s="6">
        <f>DATA[[#This Row],[F1]]</f>
        <v>0</v>
      </c>
      <c r="AY106" s="20">
        <f>IF(AV106-DATA[[#This Row],[fecha_fs]]&lt;0,0,AV106-DATA[[#This Row],[fecha_fs]])</f>
        <v>1</v>
      </c>
      <c r="AZ106" s="20">
        <f t="shared" si="10"/>
        <v>83</v>
      </c>
      <c r="BA106" s="20">
        <f t="shared" si="11"/>
        <v>0</v>
      </c>
      <c r="BB106" s="195">
        <f>IFERROR(SUM(DATA[[#This Row],[fs_val_ttf]:[fact_pago_ttf]]),0)</f>
        <v>84</v>
      </c>
      <c r="BC106" s="185">
        <v>45677</v>
      </c>
      <c r="BD106" s="185">
        <v>45677</v>
      </c>
      <c r="BE106" s="185">
        <v>45686</v>
      </c>
      <c r="BF106" s="185">
        <v>45686</v>
      </c>
      <c r="BG106" s="20">
        <f>IFERROR(IF(BC106-DATA[[#This Row],[fecha_fs]]&lt;0,0,BC106-DATA[[#This Row],[fecha_fs]]),0)</f>
        <v>0</v>
      </c>
      <c r="BH106" s="20">
        <f t="shared" si="12"/>
        <v>0</v>
      </c>
      <c r="BI106" s="20">
        <f t="shared" si="13"/>
        <v>9</v>
      </c>
      <c r="BJ106" s="20">
        <f t="shared" si="14"/>
        <v>0</v>
      </c>
      <c r="BK106" s="218">
        <f>IFERROR(SUM(DATA[[#This Row],[fs_fd_ttd]:[fend_fenf_ttd]]),0)</f>
        <v>9</v>
      </c>
      <c r="BL106" s="20" t="str">
        <f>IF(DATA[[#This Row],[fecha_fs]]&gt;0,TEXT(DATA[[#This Row],[fecha_fs]],"YYYY"),0)</f>
        <v>2025</v>
      </c>
      <c r="BM106" s="221" t="b">
        <v>1</v>
      </c>
      <c r="BN106" s="278">
        <f>COUNTIF(DATA[[#This Row],[tiempo_td]], "&lt;=15")</f>
        <v>1</v>
      </c>
      <c r="BO106" s="222"/>
    </row>
    <row r="107" spans="1:67" ht="30.6" customHeight="1" x14ac:dyDescent="0.25">
      <c r="A107" s="4">
        <v>20141637941</v>
      </c>
      <c r="B107" s="5" t="s">
        <v>79</v>
      </c>
      <c r="C107" s="52" t="s">
        <v>18</v>
      </c>
      <c r="D107" s="4" t="s">
        <v>120</v>
      </c>
      <c r="E107" s="5" t="s">
        <v>3</v>
      </c>
      <c r="F107" s="24">
        <v>45678</v>
      </c>
      <c r="G107" s="7" t="s">
        <v>113</v>
      </c>
      <c r="H107" s="25">
        <f t="shared" si="9"/>
        <v>1</v>
      </c>
      <c r="I107" s="67">
        <v>4011</v>
      </c>
      <c r="J107" s="8" t="s">
        <v>115</v>
      </c>
      <c r="K107" s="9" t="s">
        <v>121</v>
      </c>
      <c r="L107" s="10" t="s">
        <v>117</v>
      </c>
      <c r="M107" s="11">
        <v>1310</v>
      </c>
      <c r="N107" s="12" t="s">
        <v>170</v>
      </c>
      <c r="O107" s="6">
        <v>45681</v>
      </c>
      <c r="P107" s="68">
        <v>3242</v>
      </c>
      <c r="Q107" s="14" t="s">
        <v>85</v>
      </c>
      <c r="R107" s="15">
        <f>70+(DATA[[#This Row],[cantidad_fs]]-1000)*0.1</f>
        <v>101</v>
      </c>
      <c r="S107" s="15">
        <v>517</v>
      </c>
      <c r="T107" s="15">
        <f>DATA[[#This Row],[C. DF]]+DATA[[#This Row],[C.OPE.]]</f>
        <v>618</v>
      </c>
      <c r="U107" s="15">
        <f>DATA[[#This Row],[SUB TOTAL]]*0.18</f>
        <v>111.24</v>
      </c>
      <c r="V107" s="15">
        <f>IFERROR(ROUND(DATA[[#This Row],[SUB TOTAL]]+DATA[[#This Row],[IGV]],2),0)</f>
        <v>729.24</v>
      </c>
      <c r="W107" s="16" t="str">
        <f>IF(DATA[[#This Row],[VALORIZACIÓN ]]="-","NO CORRESPONDE",IF(OR(A107=20558226979,A107=10470707866,A107=20111157058,A107=20100226902),"NO CORRESPONDE",IF(J107="Emitida",IF(P107&gt;0,"EMITIDA","PENDIENTE"),"NO CORRESPONDE")))</f>
        <v>EMITIDA</v>
      </c>
      <c r="X107" s="29"/>
      <c r="Y107" s="17" t="s">
        <v>118</v>
      </c>
      <c r="Z107" s="30">
        <v>45681</v>
      </c>
      <c r="AA107" s="10" t="s">
        <v>124</v>
      </c>
      <c r="AB107" s="19">
        <v>529</v>
      </c>
      <c r="AC107" s="20">
        <v>30</v>
      </c>
      <c r="AD107" s="18">
        <f>DATA[[#This Row],[FECHA DE EMISION]]+DATA[[#This Row],[CONDICION DE PAGO]]</f>
        <v>45711</v>
      </c>
      <c r="AE107" s="23">
        <f>IF(DATA[[#This Row],[MONEDA]]="USD",VLOOKUP(DATA[[#This Row],[COMBINADA]],#REF!,11,0),1)</f>
        <v>1</v>
      </c>
      <c r="AF107" s="39" t="str">
        <f>IF(DATA[[#This Row],[SERIE2]]="-","NO CORRESPONDE",IF(W107="NO CORRESPONDE","NO CORRESPONDE",IF(Z107&gt;0,"FACTURADO","PENDIENTE")))</f>
        <v>FACTURADO</v>
      </c>
      <c r="AG107" s="27">
        <f>IFERROR(VLOOKUP(DATA[[#This Row],[COMBINADA]],#REF!,6,0),0)</f>
        <v>0</v>
      </c>
      <c r="AH107" s="125">
        <f>IFERROR(VLOOKUP(DATA[[#This Row],[COMBINADA]],#REF!,9,0),0)/COUNTIFS(DATA[COMBINADA],DATA[[#This Row],[COMBINADA]])</f>
        <v>0</v>
      </c>
      <c r="AI107" s="27">
        <f>IFERROR(VLOOKUP(DATA[[#This Row],[COMBINADA]],#REF!,6,0),0)</f>
        <v>0</v>
      </c>
      <c r="AJ107" s="125">
        <f>IFERROR(VLOOKUP(DATA[[#This Row],[COMBINADA]],#REF!,9,0),0)/COUNTIFS(DATA[COMBINADA],DATA[[#This Row],[COMBINADA]])</f>
        <v>0</v>
      </c>
      <c r="AK107" s="27">
        <f>IFERROR(VLOOKUP(DATA[[#This Row],[COMBINADA]],#REF!,6,0),0)</f>
        <v>0</v>
      </c>
      <c r="AL107" s="125">
        <f>IFERROR(VLOOKUP(DATA[[#This Row],[COMBINADA]],#REF!,9,0),0)/COUNTIFS(DATA[COMBINADA],DATA[[#This Row],[COMBINADA]])</f>
        <v>0</v>
      </c>
      <c r="AM107" s="27">
        <f>IFERROR(VLOOKUP(DATA[[#This Row],[COMBINADA]],#REF!,6,0),0)</f>
        <v>0</v>
      </c>
      <c r="AN107" s="125">
        <f>IFERROR(VLOOKUP(DATA[[#This Row],[COMBINADA]],#REF!,9,0),0)/COUNTIFS(DATA[COMBINADA],DATA[[#This Row],[COMBINADA]])</f>
        <v>0</v>
      </c>
      <c r="AO107" s="27">
        <f>IFERROR(VLOOKUP(DATA[[#This Row],[COMBINADA]],#REF!,6,0),0)</f>
        <v>0</v>
      </c>
      <c r="AP107" s="125">
        <f>IFERROR(VLOOKUP(DATA[[#This Row],[COMBINADA]],#REF!,9,0),0)/COUNTIFS(DATA[COMBINADA],DATA[[#This Row],[COMBINADA]])</f>
        <v>0</v>
      </c>
      <c r="AQ10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733.37</v>
      </c>
      <c r="AR107" s="26" t="str">
        <f>IFERROR(IF(DATA[[#This Row],[estado_fact]]="FACTURADO",VLOOKUP(DATA[[#This Row],[SERIE2]]&amp;"-"&amp;DATA[[#This Row],[NUMERO]],#REF!,34,0),"NO CORRESPONDE"),"NO CORRESPONDE")</f>
        <v>NO CORRESPONDE</v>
      </c>
      <c r="AS107" s="22" t="str">
        <f>IF(DATA[[#This Row],[fecha_fs]]&gt;0,TEXT(DATA[[#This Row],[fecha_fs]],"Mmmm"),0)</f>
        <v>Enero</v>
      </c>
      <c r="AT107" s="22" t="str">
        <f>DATA[[#This Row],[SERIE2]]&amp;"-"&amp;DATA[[#This Row],[NUMERO]]</f>
        <v>FE01-529</v>
      </c>
      <c r="AU107" s="28">
        <f>DATA[[#This Row],[TOTAL]]*DATA[[#This Row],[T.C.]]</f>
        <v>729.24</v>
      </c>
      <c r="AV107" s="6">
        <f>DATA[[#This Row],[FECHA DE VAL.]]</f>
        <v>45681</v>
      </c>
      <c r="AW107" s="6">
        <f>DATA[[#This Row],[FECHA DE EMISION]]</f>
        <v>45681</v>
      </c>
      <c r="AX107" s="6">
        <f>DATA[[#This Row],[F1]]</f>
        <v>0</v>
      </c>
      <c r="AY107" s="20">
        <f>IF(AV107-DATA[[#This Row],[fecha_fs]]&lt;0,0,AV107-DATA[[#This Row],[fecha_fs]])</f>
        <v>3</v>
      </c>
      <c r="AZ107" s="20">
        <f t="shared" si="10"/>
        <v>0</v>
      </c>
      <c r="BA107" s="20">
        <f t="shared" si="11"/>
        <v>0</v>
      </c>
      <c r="BB107" s="195">
        <f>IFERROR(SUM(DATA[[#This Row],[fs_val_ttf]:[fact_pago_ttf]]),0)</f>
        <v>3</v>
      </c>
      <c r="BC107" s="185">
        <v>45678</v>
      </c>
      <c r="BD107" s="185">
        <v>45678</v>
      </c>
      <c r="BE107" s="185">
        <v>45681</v>
      </c>
      <c r="BF107" s="185">
        <v>45681</v>
      </c>
      <c r="BG107" s="20">
        <f>IFERROR(IF(BC107-DATA[[#This Row],[fecha_fs]]&lt;0,0,BC107-DATA[[#This Row],[fecha_fs]]),0)</f>
        <v>0</v>
      </c>
      <c r="BH107" s="20">
        <f t="shared" si="12"/>
        <v>0</v>
      </c>
      <c r="BI107" s="20">
        <f t="shared" si="13"/>
        <v>3</v>
      </c>
      <c r="BJ107" s="20">
        <f t="shared" si="14"/>
        <v>0</v>
      </c>
      <c r="BK107" s="218">
        <f>IFERROR(SUM(DATA[[#This Row],[fs_fd_ttd]:[fend_fenf_ttd]]),0)</f>
        <v>3</v>
      </c>
      <c r="BL107" s="20" t="str">
        <f>IF(DATA[[#This Row],[fecha_fs]]&gt;0,TEXT(DATA[[#This Row],[fecha_fs]],"YYYY"),0)</f>
        <v>2025</v>
      </c>
      <c r="BM107" s="221" t="b">
        <v>1</v>
      </c>
      <c r="BN107" s="278">
        <f>COUNTIF(DATA[[#This Row],[tiempo_td]], "&lt;=15")</f>
        <v>1</v>
      </c>
      <c r="BO107" s="222"/>
    </row>
    <row r="108" spans="1:67" ht="30.6" customHeight="1" x14ac:dyDescent="0.25">
      <c r="A108" s="4">
        <v>20100055237</v>
      </c>
      <c r="B108" s="5" t="s">
        <v>21</v>
      </c>
      <c r="C108" s="52" t="s">
        <v>138</v>
      </c>
      <c r="D108" s="4" t="s">
        <v>139</v>
      </c>
      <c r="E108" s="5" t="s">
        <v>23</v>
      </c>
      <c r="F108" s="24">
        <v>45678</v>
      </c>
      <c r="G108" s="7" t="s">
        <v>113</v>
      </c>
      <c r="H108" s="25">
        <f t="shared" si="9"/>
        <v>1</v>
      </c>
      <c r="I108" s="67">
        <v>4012</v>
      </c>
      <c r="J108" s="8" t="s">
        <v>115</v>
      </c>
      <c r="K108" s="9" t="s">
        <v>121</v>
      </c>
      <c r="L108" s="10" t="s">
        <v>117</v>
      </c>
      <c r="M108" s="11">
        <v>80</v>
      </c>
      <c r="N108" s="12" t="s">
        <v>132</v>
      </c>
      <c r="O108" s="6">
        <v>45687</v>
      </c>
      <c r="P108" s="54">
        <v>3273</v>
      </c>
      <c r="Q108" s="14" t="s">
        <v>85</v>
      </c>
      <c r="R108" s="15"/>
      <c r="S108" s="15">
        <v>297.92</v>
      </c>
      <c r="T108" s="15">
        <f>DATA[[#This Row],[C. DF]]+DATA[[#This Row],[C.OPE.]]</f>
        <v>297.92</v>
      </c>
      <c r="U108" s="15">
        <f>DATA[[#This Row],[SUB TOTAL]]*0.18</f>
        <v>53.625599999999999</v>
      </c>
      <c r="V108" s="15">
        <f>IFERROR(ROUND(DATA[[#This Row],[SUB TOTAL]]+DATA[[#This Row],[IGV]],2),0)</f>
        <v>351.55</v>
      </c>
      <c r="W108" s="16" t="str">
        <f>IF(DATA[[#This Row],[VALORIZACIÓN ]]="-","NO CORRESPONDE",IF(OR(A108=20558226979,A108=10470707866,A108=20111157058,A108=20100226902),"NO CORRESPONDE",IF(J108="Emitida",IF(P108&gt;0,"EMITIDA","PENDIENTE"),"NO CORRESPONDE")))</f>
        <v>EMITIDA</v>
      </c>
      <c r="X108" s="29" t="s">
        <v>140</v>
      </c>
      <c r="Y108" s="17" t="s">
        <v>118</v>
      </c>
      <c r="Z108" s="30">
        <v>45701</v>
      </c>
      <c r="AA108" s="10" t="s">
        <v>124</v>
      </c>
      <c r="AB108" s="19">
        <v>562</v>
      </c>
      <c r="AC108" s="20">
        <v>30</v>
      </c>
      <c r="AD108" s="18">
        <f>DATA[[#This Row],[FECHA DE EMISION]]+DATA[[#This Row],[CONDICION DE PAGO]]</f>
        <v>45731</v>
      </c>
      <c r="AE108" s="23">
        <f>IF(DATA[[#This Row],[MONEDA]]="USD",VLOOKUP(DATA[[#This Row],[COMBINADA]],#REF!,11,0),1)</f>
        <v>1</v>
      </c>
      <c r="AF108" s="39" t="str">
        <f>IF(DATA[[#This Row],[SERIE2]]="-","NO CORRESPONDE",IF(W108="NO CORRESPONDE","NO CORRESPONDE",IF(Z108&gt;0,"FACTURADO","PENDIENTE")))</f>
        <v>FACTURADO</v>
      </c>
      <c r="AG108" s="27">
        <f>IFERROR(VLOOKUP(DATA[[#This Row],[COMBINADA]],#REF!,6,0),0)</f>
        <v>0</v>
      </c>
      <c r="AH108" s="125">
        <f>IFERROR(VLOOKUP(DATA[[#This Row],[COMBINADA]],#REF!,9,0),0)/COUNTIFS(DATA[COMBINADA],DATA[[#This Row],[COMBINADA]])</f>
        <v>0</v>
      </c>
      <c r="AI108" s="27">
        <f>IFERROR(VLOOKUP(DATA[[#This Row],[COMBINADA]],#REF!,6,0),0)</f>
        <v>0</v>
      </c>
      <c r="AJ108" s="125">
        <f>IFERROR(VLOOKUP(DATA[[#This Row],[COMBINADA]],#REF!,9,0),0)/COUNTIFS(DATA[COMBINADA],DATA[[#This Row],[COMBINADA]])</f>
        <v>0</v>
      </c>
      <c r="AK108" s="27">
        <f>IFERROR(VLOOKUP(DATA[[#This Row],[COMBINADA]],#REF!,6,0),0)</f>
        <v>0</v>
      </c>
      <c r="AL108" s="125">
        <f>IFERROR(VLOOKUP(DATA[[#This Row],[COMBINADA]],#REF!,9,0),0)/COUNTIFS(DATA[COMBINADA],DATA[[#This Row],[COMBINADA]])</f>
        <v>0</v>
      </c>
      <c r="AM108" s="27">
        <f>IFERROR(VLOOKUP(DATA[[#This Row],[COMBINADA]],#REF!,6,0),0)</f>
        <v>0</v>
      </c>
      <c r="AN108" s="125">
        <f>IFERROR(VLOOKUP(DATA[[#This Row],[COMBINADA]],#REF!,9,0),0)/COUNTIFS(DATA[COMBINADA],DATA[[#This Row],[COMBINADA]])</f>
        <v>0</v>
      </c>
      <c r="AO108" s="27">
        <f>IFERROR(VLOOKUP(DATA[[#This Row],[COMBINADA]],#REF!,6,0),0)</f>
        <v>0</v>
      </c>
      <c r="AP108" s="125">
        <f>IFERROR(VLOOKUP(DATA[[#This Row],[COMBINADA]],#REF!,9,0),0)/COUNTIFS(DATA[COMBINADA],DATA[[#This Row],[COMBINADA]])</f>
        <v>0</v>
      </c>
      <c r="AQ10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08" s="26" t="str">
        <f>IFERROR(IF(DATA[[#This Row],[estado_fact]]="FACTURADO",VLOOKUP(DATA[[#This Row],[SERIE2]]&amp;"-"&amp;DATA[[#This Row],[NUMERO]],#REF!,34,0),"NO CORRESPONDE"),"NO CORRESPONDE")</f>
        <v>NO CORRESPONDE</v>
      </c>
      <c r="AS108" s="22" t="str">
        <f>IF(DATA[[#This Row],[fecha_fs]]&gt;0,TEXT(DATA[[#This Row],[fecha_fs]],"Mmmm"),0)</f>
        <v>Enero</v>
      </c>
      <c r="AT108" s="22" t="str">
        <f>DATA[[#This Row],[SERIE2]]&amp;"-"&amp;DATA[[#This Row],[NUMERO]]</f>
        <v>FE01-562</v>
      </c>
      <c r="AU108" s="28">
        <f>DATA[[#This Row],[TOTAL]]*DATA[[#This Row],[T.C.]]</f>
        <v>351.55</v>
      </c>
      <c r="AV108" s="6">
        <f>DATA[[#This Row],[FECHA DE VAL.]]</f>
        <v>45687</v>
      </c>
      <c r="AW108" s="6">
        <f>DATA[[#This Row],[FECHA DE EMISION]]</f>
        <v>45701</v>
      </c>
      <c r="AX108" s="6">
        <f>DATA[[#This Row],[F1]]</f>
        <v>0</v>
      </c>
      <c r="AY108" s="20">
        <f>IF(AV108-DATA[[#This Row],[fecha_fs]]&lt;0,0,AV108-DATA[[#This Row],[fecha_fs]])</f>
        <v>9</v>
      </c>
      <c r="AZ108" s="20">
        <f t="shared" si="10"/>
        <v>14</v>
      </c>
      <c r="BA108" s="20">
        <f t="shared" si="11"/>
        <v>0</v>
      </c>
      <c r="BB108" s="195">
        <f>IFERROR(SUM(DATA[[#This Row],[fs_val_ttf]:[fact_pago_ttf]]),0)</f>
        <v>23</v>
      </c>
      <c r="BC108" s="185">
        <v>45678</v>
      </c>
      <c r="BD108" s="185">
        <v>45678</v>
      </c>
      <c r="BE108" s="185">
        <v>45691</v>
      </c>
      <c r="BF108" s="185">
        <v>45691</v>
      </c>
      <c r="BG108" s="20">
        <f>IFERROR(IF(BC108-DATA[[#This Row],[fecha_fs]]&lt;0,0,BC108-DATA[[#This Row],[fecha_fs]]),0)</f>
        <v>0</v>
      </c>
      <c r="BH108" s="20">
        <f t="shared" si="12"/>
        <v>0</v>
      </c>
      <c r="BI108" s="20">
        <f t="shared" si="13"/>
        <v>13</v>
      </c>
      <c r="BJ108" s="20">
        <f t="shared" si="14"/>
        <v>0</v>
      </c>
      <c r="BK108" s="218">
        <f>IFERROR(SUM(DATA[[#This Row],[fs_fd_ttd]:[fend_fenf_ttd]]),0)</f>
        <v>13</v>
      </c>
      <c r="BL108" s="20" t="str">
        <f>IF(DATA[[#This Row],[fecha_fs]]&gt;0,TEXT(DATA[[#This Row],[fecha_fs]],"YYYY"),0)</f>
        <v>2025</v>
      </c>
      <c r="BM108" s="221" t="b">
        <v>1</v>
      </c>
      <c r="BN108" s="278">
        <f>COUNTIF(DATA[[#This Row],[tiempo_td]], "&lt;=15")</f>
        <v>1</v>
      </c>
      <c r="BO108" s="222"/>
    </row>
    <row r="109" spans="1:67" ht="30.6" customHeight="1" x14ac:dyDescent="0.25">
      <c r="A109" s="4">
        <v>20505675836</v>
      </c>
      <c r="B109" s="5" t="s">
        <v>42</v>
      </c>
      <c r="C109" s="52" t="s">
        <v>43</v>
      </c>
      <c r="D109" s="4" t="s">
        <v>157</v>
      </c>
      <c r="E109" s="5" t="s">
        <v>44</v>
      </c>
      <c r="F109" s="24">
        <v>45678</v>
      </c>
      <c r="G109" s="7" t="s">
        <v>113</v>
      </c>
      <c r="H109" s="25">
        <f t="shared" si="9"/>
        <v>1</v>
      </c>
      <c r="I109" s="67">
        <v>4013</v>
      </c>
      <c r="J109" s="8" t="s">
        <v>115</v>
      </c>
      <c r="K109" s="9" t="s">
        <v>158</v>
      </c>
      <c r="L109" s="10" t="s">
        <v>137</v>
      </c>
      <c r="M109" s="11">
        <v>1</v>
      </c>
      <c r="N109" s="12" t="s">
        <v>114</v>
      </c>
      <c r="O109" s="6">
        <v>45684</v>
      </c>
      <c r="P109" s="69">
        <v>3256</v>
      </c>
      <c r="Q109" s="14" t="s">
        <v>85</v>
      </c>
      <c r="R109" s="15"/>
      <c r="S109" s="15">
        <v>396.7</v>
      </c>
      <c r="T109" s="15">
        <f>DATA[[#This Row],[C. DF]]+DATA[[#This Row],[C.OPE.]]</f>
        <v>396.7</v>
      </c>
      <c r="U109" s="15">
        <f>DATA[[#This Row],[SUB TOTAL]]*0.18</f>
        <v>71.405999999999992</v>
      </c>
      <c r="V109" s="15">
        <f>IFERROR(ROUND(DATA[[#This Row],[SUB TOTAL]]+DATA[[#This Row],[IGV]],2),0)</f>
        <v>468.11</v>
      </c>
      <c r="W109" s="16" t="str">
        <f>IF(DATA[[#This Row],[VALORIZACIÓN ]]="-","NO CORRESPONDE",IF(OR(A109=20558226979,A109=10470707866,A109=20111157058,A109=20100226902),"NO CORRESPONDE",IF(J109="Emitida",IF(P109&gt;0,"EMITIDA","PENDIENTE"),"NO CORRESPONDE")))</f>
        <v>EMITIDA</v>
      </c>
      <c r="X109" s="29"/>
      <c r="Y109" s="17" t="s">
        <v>118</v>
      </c>
      <c r="Z109" s="30">
        <v>45712</v>
      </c>
      <c r="AA109" s="10" t="s">
        <v>124</v>
      </c>
      <c r="AB109" s="19">
        <v>576</v>
      </c>
      <c r="AC109" s="20">
        <v>30</v>
      </c>
      <c r="AD109" s="18">
        <f>DATA[[#This Row],[FECHA DE EMISION]]+DATA[[#This Row],[CONDICION DE PAGO]]</f>
        <v>45742</v>
      </c>
      <c r="AE109" s="23">
        <f>IF(DATA[[#This Row],[MONEDA]]="USD",VLOOKUP(DATA[[#This Row],[COMBINADA]],#REF!,11,0),1)</f>
        <v>1</v>
      </c>
      <c r="AF109" s="39" t="str">
        <f>IF(DATA[[#This Row],[SERIE2]]="-","NO CORRESPONDE",IF(W109="NO CORRESPONDE","NO CORRESPONDE",IF(Z109&gt;0,"FACTURADO","PENDIENTE")))</f>
        <v>FACTURADO</v>
      </c>
      <c r="AG109" s="27">
        <f>IFERROR(VLOOKUP(DATA[[#This Row],[COMBINADA]],#REF!,6,0),0)</f>
        <v>0</v>
      </c>
      <c r="AH109" s="125">
        <f>IFERROR(VLOOKUP(DATA[[#This Row],[COMBINADA]],#REF!,9,0),0)/COUNTIFS(DATA[COMBINADA],DATA[[#This Row],[COMBINADA]])</f>
        <v>0</v>
      </c>
      <c r="AI109" s="27">
        <f>IFERROR(VLOOKUP(DATA[[#This Row],[COMBINADA]],#REF!,6,0),0)</f>
        <v>0</v>
      </c>
      <c r="AJ109" s="125">
        <f>IFERROR(VLOOKUP(DATA[[#This Row],[COMBINADA]],#REF!,9,0),0)/COUNTIFS(DATA[COMBINADA],DATA[[#This Row],[COMBINADA]])</f>
        <v>0</v>
      </c>
      <c r="AK109" s="27">
        <f>IFERROR(VLOOKUP(DATA[[#This Row],[COMBINADA]],#REF!,6,0),0)</f>
        <v>0</v>
      </c>
      <c r="AL109" s="125">
        <f>IFERROR(VLOOKUP(DATA[[#This Row],[COMBINADA]],#REF!,9,0),0)/COUNTIFS(DATA[COMBINADA],DATA[[#This Row],[COMBINADA]])</f>
        <v>0</v>
      </c>
      <c r="AM109" s="27">
        <f>IFERROR(VLOOKUP(DATA[[#This Row],[COMBINADA]],#REF!,6,0),0)</f>
        <v>0</v>
      </c>
      <c r="AN109" s="125">
        <f>IFERROR(VLOOKUP(DATA[[#This Row],[COMBINADA]],#REF!,9,0),0)/COUNTIFS(DATA[COMBINADA],DATA[[#This Row],[COMBINADA]])</f>
        <v>0</v>
      </c>
      <c r="AO109" s="27">
        <f>IFERROR(VLOOKUP(DATA[[#This Row],[COMBINADA]],#REF!,6,0),0)</f>
        <v>0</v>
      </c>
      <c r="AP109" s="125">
        <f>IFERROR(VLOOKUP(DATA[[#This Row],[COMBINADA]],#REF!,9,0),0)/COUNTIFS(DATA[COMBINADA],DATA[[#This Row],[COMBINADA]])</f>
        <v>0</v>
      </c>
      <c r="AQ10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3237.1550000000007</v>
      </c>
      <c r="AR109" s="26" t="str">
        <f>IFERROR(IF(DATA[[#This Row],[estado_fact]]="FACTURADO",VLOOKUP(DATA[[#This Row],[SERIE2]]&amp;"-"&amp;DATA[[#This Row],[NUMERO]],#REF!,34,0),"NO CORRESPONDE"),"NO CORRESPONDE")</f>
        <v>NO CORRESPONDE</v>
      </c>
      <c r="AS109" s="22" t="str">
        <f>IF(DATA[[#This Row],[fecha_fs]]&gt;0,TEXT(DATA[[#This Row],[fecha_fs]],"Mmmm"),0)</f>
        <v>Enero</v>
      </c>
      <c r="AT109" s="22" t="str">
        <f>DATA[[#This Row],[SERIE2]]&amp;"-"&amp;DATA[[#This Row],[NUMERO]]</f>
        <v>FE01-576</v>
      </c>
      <c r="AU109" s="28">
        <f>DATA[[#This Row],[TOTAL]]*DATA[[#This Row],[T.C.]]</f>
        <v>468.11</v>
      </c>
      <c r="AV109" s="6">
        <f>DATA[[#This Row],[FECHA DE VAL.]]</f>
        <v>45684</v>
      </c>
      <c r="AW109" s="6">
        <f>DATA[[#This Row],[FECHA DE EMISION]]</f>
        <v>45712</v>
      </c>
      <c r="AX109" s="6">
        <f>DATA[[#This Row],[F1]]</f>
        <v>0</v>
      </c>
      <c r="AY109" s="20">
        <f>IF(AV109-DATA[[#This Row],[fecha_fs]]&lt;0,0,AV109-DATA[[#This Row],[fecha_fs]])</f>
        <v>6</v>
      </c>
      <c r="AZ109" s="20">
        <f t="shared" si="10"/>
        <v>28</v>
      </c>
      <c r="BA109" s="20">
        <f t="shared" si="11"/>
        <v>0</v>
      </c>
      <c r="BB109" s="195">
        <f>IFERROR(SUM(DATA[[#This Row],[fs_val_ttf]:[fact_pago_ttf]]),0)</f>
        <v>34</v>
      </c>
      <c r="BC109" s="185">
        <v>45678</v>
      </c>
      <c r="BD109" s="185">
        <v>45678</v>
      </c>
      <c r="BE109" s="185">
        <v>45686</v>
      </c>
      <c r="BF109" s="185">
        <v>45686</v>
      </c>
      <c r="BG109" s="20">
        <f>IFERROR(IF(BC109-DATA[[#This Row],[fecha_fs]]&lt;0,0,BC109-DATA[[#This Row],[fecha_fs]]),0)</f>
        <v>0</v>
      </c>
      <c r="BH109" s="20">
        <f t="shared" si="12"/>
        <v>0</v>
      </c>
      <c r="BI109" s="20">
        <f t="shared" si="13"/>
        <v>8</v>
      </c>
      <c r="BJ109" s="20">
        <f t="shared" si="14"/>
        <v>0</v>
      </c>
      <c r="BK109" s="218">
        <f>IFERROR(SUM(DATA[[#This Row],[fs_fd_ttd]:[fend_fenf_ttd]]),0)</f>
        <v>8</v>
      </c>
      <c r="BL109" s="20" t="str">
        <f>IF(DATA[[#This Row],[fecha_fs]]&gt;0,TEXT(DATA[[#This Row],[fecha_fs]],"YYYY"),0)</f>
        <v>2025</v>
      </c>
      <c r="BM109" s="221" t="b">
        <v>1</v>
      </c>
      <c r="BN109" s="278">
        <f>COUNTIF(DATA[[#This Row],[tiempo_td]], "&lt;=15")</f>
        <v>1</v>
      </c>
      <c r="BO109" s="222"/>
    </row>
    <row r="110" spans="1:67" ht="30.6" customHeight="1" x14ac:dyDescent="0.25">
      <c r="A110" s="4">
        <v>20419158462</v>
      </c>
      <c r="B110" s="5" t="s">
        <v>2</v>
      </c>
      <c r="C110" s="52" t="s">
        <v>147</v>
      </c>
      <c r="D110" s="4" t="s">
        <v>120</v>
      </c>
      <c r="E110" s="5" t="s">
        <v>3</v>
      </c>
      <c r="F110" s="24">
        <v>45678</v>
      </c>
      <c r="G110" s="7" t="s">
        <v>113</v>
      </c>
      <c r="H110" s="25">
        <f t="shared" si="9"/>
        <v>1</v>
      </c>
      <c r="I110" s="67">
        <v>4014</v>
      </c>
      <c r="J110" s="8" t="s">
        <v>115</v>
      </c>
      <c r="K110" s="9" t="s">
        <v>148</v>
      </c>
      <c r="L110" s="10" t="s">
        <v>117</v>
      </c>
      <c r="M110" s="11">
        <v>2680</v>
      </c>
      <c r="N110" s="12" t="s">
        <v>122</v>
      </c>
      <c r="O110" s="6">
        <v>45680</v>
      </c>
      <c r="P110" s="13">
        <v>3240</v>
      </c>
      <c r="Q110" s="14" t="s">
        <v>85</v>
      </c>
      <c r="R110" s="15">
        <v>0</v>
      </c>
      <c r="S110" s="15">
        <v>2597.6999999999998</v>
      </c>
      <c r="T110" s="15">
        <f>DATA[[#This Row],[C. DF]]+DATA[[#This Row],[C.OPE.]]</f>
        <v>2597.6999999999998</v>
      </c>
      <c r="U110" s="15">
        <f>DATA[[#This Row],[SUB TOTAL]]*0.18</f>
        <v>467.58599999999996</v>
      </c>
      <c r="V110" s="15">
        <f>IFERROR(ROUND(DATA[[#This Row],[SUB TOTAL]]+DATA[[#This Row],[IGV]],2),0)</f>
        <v>3065.29</v>
      </c>
      <c r="W110" s="16" t="str">
        <f>IF(DATA[[#This Row],[VALORIZACIÓN ]]="-","NO CORRESPONDE",IF(OR(A110=20558226979,A110=10470707866,A110=20111157058,A110=20100226902),"NO CORRESPONDE",IF(J110="Emitida",IF(P110&gt;0,"EMITIDA","PENDIENTE"),"NO CORRESPONDE")))</f>
        <v>EMITIDA</v>
      </c>
      <c r="X110" s="29" t="s">
        <v>149</v>
      </c>
      <c r="Y110" s="17" t="s">
        <v>118</v>
      </c>
      <c r="Z110" s="30">
        <v>45754</v>
      </c>
      <c r="AA110" s="10" t="s">
        <v>150</v>
      </c>
      <c r="AB110" s="19">
        <v>20</v>
      </c>
      <c r="AC110" s="20">
        <v>15</v>
      </c>
      <c r="AD110" s="18">
        <f>DATA[[#This Row],[FECHA DE EMISION]]+DATA[[#This Row],[CONDICION DE PAGO]]</f>
        <v>45769</v>
      </c>
      <c r="AE110" s="23">
        <f>IF(DATA[[#This Row],[MONEDA]]="USD",VLOOKUP(DATA[[#This Row],[COMBINADA]],#REF!,11,0),1)</f>
        <v>1</v>
      </c>
      <c r="AF110" s="39" t="str">
        <f>IF(DATA[[#This Row],[SERIE2]]="-","NO CORRESPONDE",IF(W110="NO CORRESPONDE","NO CORRESPONDE",IF(Z110&gt;0,"FACTURADO","PENDIENTE")))</f>
        <v>FACTURADO</v>
      </c>
      <c r="AG110" s="27">
        <f>IFERROR(VLOOKUP(DATA[[#This Row],[COMBINADA]],#REF!,6,0),0)</f>
        <v>0</v>
      </c>
      <c r="AH110" s="125">
        <f>IFERROR(VLOOKUP(DATA[[#This Row],[COMBINADA]],#REF!,9,0),0)/COUNTIFS(DATA[COMBINADA],DATA[[#This Row],[COMBINADA]])</f>
        <v>0</v>
      </c>
      <c r="AI110" s="27">
        <f>IFERROR(VLOOKUP(DATA[[#This Row],[COMBINADA]],#REF!,6,0),0)</f>
        <v>0</v>
      </c>
      <c r="AJ110" s="125">
        <f>IFERROR(VLOOKUP(DATA[[#This Row],[COMBINADA]],#REF!,9,0),0)/COUNTIFS(DATA[COMBINADA],DATA[[#This Row],[COMBINADA]])</f>
        <v>0</v>
      </c>
      <c r="AK110" s="27">
        <f>IFERROR(VLOOKUP(DATA[[#This Row],[COMBINADA]],#REF!,6,0),0)</f>
        <v>0</v>
      </c>
      <c r="AL110" s="125">
        <f>IFERROR(VLOOKUP(DATA[[#This Row],[COMBINADA]],#REF!,9,0),0)/COUNTIFS(DATA[COMBINADA],DATA[[#This Row],[COMBINADA]])</f>
        <v>0</v>
      </c>
      <c r="AM110" s="27">
        <f>IFERROR(VLOOKUP(DATA[[#This Row],[COMBINADA]],#REF!,6,0),0)</f>
        <v>0</v>
      </c>
      <c r="AN110" s="125">
        <f>IFERROR(VLOOKUP(DATA[[#This Row],[COMBINADA]],#REF!,9,0),0)/COUNTIFS(DATA[COMBINADA],DATA[[#This Row],[COMBINADA]])</f>
        <v>0</v>
      </c>
      <c r="AO110" s="27">
        <f>IFERROR(VLOOKUP(DATA[[#This Row],[COMBINADA]],#REF!,6,0),0)</f>
        <v>0</v>
      </c>
      <c r="AP110" s="125">
        <f>IFERROR(VLOOKUP(DATA[[#This Row],[COMBINADA]],#REF!,9,0),0)/COUNTIFS(DATA[COMBINADA],DATA[[#This Row],[COMBINADA]])</f>
        <v>0</v>
      </c>
      <c r="AQ11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3065.29</v>
      </c>
      <c r="AR110" s="26" t="str">
        <f>IFERROR(IF(DATA[[#This Row],[estado_fact]]="FACTURADO",VLOOKUP(DATA[[#This Row],[SERIE2]]&amp;"-"&amp;DATA[[#This Row],[NUMERO]],#REF!,34,0),"NO CORRESPONDE"),"NO CORRESPONDE")</f>
        <v>NO CORRESPONDE</v>
      </c>
      <c r="AS110" s="22" t="str">
        <f>IF(DATA[[#This Row],[fecha_fs]]&gt;0,TEXT(DATA[[#This Row],[fecha_fs]],"Mmmm"),0)</f>
        <v>Enero</v>
      </c>
      <c r="AT110" s="22" t="str">
        <f>DATA[[#This Row],[SERIE2]]&amp;"-"&amp;DATA[[#This Row],[NUMERO]]</f>
        <v>FF01-20</v>
      </c>
      <c r="AU110" s="28">
        <f>DATA[[#This Row],[TOTAL]]*DATA[[#This Row],[T.C.]]</f>
        <v>3065.29</v>
      </c>
      <c r="AV110" s="6">
        <f>DATA[[#This Row],[FECHA DE VAL.]]</f>
        <v>45680</v>
      </c>
      <c r="AW110" s="6">
        <f>DATA[[#This Row],[FECHA DE EMISION]]</f>
        <v>45754</v>
      </c>
      <c r="AX110" s="6">
        <f>DATA[[#This Row],[F1]]</f>
        <v>0</v>
      </c>
      <c r="AY110" s="20">
        <f>IF(AV110-DATA[[#This Row],[fecha_fs]]&lt;0,0,AV110-DATA[[#This Row],[fecha_fs]])</f>
        <v>2</v>
      </c>
      <c r="AZ110" s="20">
        <f t="shared" si="10"/>
        <v>74</v>
      </c>
      <c r="BA110" s="20">
        <f t="shared" si="11"/>
        <v>0</v>
      </c>
      <c r="BB110" s="195">
        <f>IFERROR(SUM(DATA[[#This Row],[fs_val_ttf]:[fact_pago_ttf]]),0)</f>
        <v>76</v>
      </c>
      <c r="BC110" s="185">
        <v>45678</v>
      </c>
      <c r="BD110" s="185">
        <v>45678</v>
      </c>
      <c r="BE110" s="185">
        <v>45686</v>
      </c>
      <c r="BF110" s="185">
        <v>45686</v>
      </c>
      <c r="BG110" s="20">
        <f>IFERROR(IF(BC110-DATA[[#This Row],[fecha_fs]]&lt;0,0,BC110-DATA[[#This Row],[fecha_fs]]),0)</f>
        <v>0</v>
      </c>
      <c r="BH110" s="20">
        <f t="shared" si="12"/>
        <v>0</v>
      </c>
      <c r="BI110" s="20">
        <f t="shared" si="13"/>
        <v>8</v>
      </c>
      <c r="BJ110" s="20">
        <f t="shared" si="14"/>
        <v>0</v>
      </c>
      <c r="BK110" s="218">
        <f>IFERROR(SUM(DATA[[#This Row],[fs_fd_ttd]:[fend_fenf_ttd]]),0)</f>
        <v>8</v>
      </c>
      <c r="BL110" s="20" t="str">
        <f>IF(DATA[[#This Row],[fecha_fs]]&gt;0,TEXT(DATA[[#This Row],[fecha_fs]],"YYYY"),0)</f>
        <v>2025</v>
      </c>
      <c r="BM110" s="221" t="b">
        <v>1</v>
      </c>
      <c r="BN110" s="278">
        <f>COUNTIF(DATA[[#This Row],[tiempo_td]], "&lt;=15")</f>
        <v>1</v>
      </c>
      <c r="BO110" s="222"/>
    </row>
    <row r="111" spans="1:67" ht="30.6" customHeight="1" x14ac:dyDescent="0.25">
      <c r="A111" s="4">
        <v>20456012427</v>
      </c>
      <c r="B111" s="5" t="s">
        <v>54</v>
      </c>
      <c r="C111" s="52" t="s">
        <v>177</v>
      </c>
      <c r="D111" s="4" t="s">
        <v>112</v>
      </c>
      <c r="E111" s="5" t="s">
        <v>1</v>
      </c>
      <c r="F111" s="24">
        <v>45677</v>
      </c>
      <c r="G111" s="7" t="s">
        <v>113</v>
      </c>
      <c r="H111" s="25">
        <f t="shared" si="9"/>
        <v>1</v>
      </c>
      <c r="I111" s="67">
        <v>4015</v>
      </c>
      <c r="J111" s="8" t="s">
        <v>115</v>
      </c>
      <c r="K111" s="9" t="s">
        <v>116</v>
      </c>
      <c r="L111" s="10" t="s">
        <v>117</v>
      </c>
      <c r="M111" s="11">
        <v>150</v>
      </c>
      <c r="N111" s="12" t="s">
        <v>178</v>
      </c>
      <c r="O111" s="6">
        <v>45684</v>
      </c>
      <c r="P111" s="13">
        <v>3264</v>
      </c>
      <c r="Q111" s="14" t="s">
        <v>85</v>
      </c>
      <c r="R111" s="15">
        <f>DATA[[#This Row],[cantidad_fs]]*1</f>
        <v>150</v>
      </c>
      <c r="S111" s="15">
        <f>270/2</f>
        <v>135</v>
      </c>
      <c r="T111" s="15">
        <f>DATA[[#This Row],[C. DF]]+DATA[[#This Row],[C.OPE.]]</f>
        <v>285</v>
      </c>
      <c r="U111" s="15">
        <f>DATA[[#This Row],[SUB TOTAL]]*0.18</f>
        <v>51.3</v>
      </c>
      <c r="V111" s="15">
        <f>IFERROR(ROUND(DATA[[#This Row],[SUB TOTAL]]+DATA[[#This Row],[IGV]],2),0)</f>
        <v>336.3</v>
      </c>
      <c r="W111" s="16" t="str">
        <f>IF(DATA[[#This Row],[VALORIZACIÓN ]]="-","NO CORRESPONDE",IF(OR(A111=20558226979,A111=10470707866,A111=20111157058,A111=20100226902),"NO CORRESPONDE",IF(J111="Emitida",IF(P111&gt;0,"EMITIDA","PENDIENTE"),"NO CORRESPONDE")))</f>
        <v>EMITIDA</v>
      </c>
      <c r="X111" s="29" t="s">
        <v>179</v>
      </c>
      <c r="Y111" s="17" t="s">
        <v>118</v>
      </c>
      <c r="Z111" s="30">
        <v>45691</v>
      </c>
      <c r="AA111" s="10" t="s">
        <v>124</v>
      </c>
      <c r="AB111" s="19">
        <v>545</v>
      </c>
      <c r="AC111" s="20">
        <v>15</v>
      </c>
      <c r="AD111" s="18">
        <f>DATA[[#This Row],[FECHA DE EMISION]]+DATA[[#This Row],[CONDICION DE PAGO]]</f>
        <v>45706</v>
      </c>
      <c r="AE111" s="23">
        <f>IF(DATA[[#This Row],[MONEDA]]="USD",VLOOKUP(DATA[[#This Row],[COMBINADA]],#REF!,11,0),1)</f>
        <v>1</v>
      </c>
      <c r="AF111" s="39" t="str">
        <f>IF(DATA[[#This Row],[SERIE2]]="-","NO CORRESPONDE",IF(W111="NO CORRESPONDE","NO CORRESPONDE",IF(Z111&gt;0,"FACTURADO","PENDIENTE")))</f>
        <v>FACTURADO</v>
      </c>
      <c r="AG111" s="27">
        <f>IFERROR(VLOOKUP(DATA[[#This Row],[COMBINADA]],#REF!,6,0),0)</f>
        <v>0</v>
      </c>
      <c r="AH111" s="125">
        <f>IFERROR(VLOOKUP(DATA[[#This Row],[COMBINADA]],#REF!,9,0),0)/COUNTIFS(DATA[COMBINADA],DATA[[#This Row],[COMBINADA]])</f>
        <v>0</v>
      </c>
      <c r="AI111" s="27">
        <f>IFERROR(VLOOKUP(DATA[[#This Row],[COMBINADA]],#REF!,6,0),0)</f>
        <v>0</v>
      </c>
      <c r="AJ111" s="125">
        <f>IFERROR(VLOOKUP(DATA[[#This Row],[COMBINADA]],#REF!,9,0),0)/COUNTIFS(DATA[COMBINADA],DATA[[#This Row],[COMBINADA]])</f>
        <v>0</v>
      </c>
      <c r="AK111" s="27">
        <f>IFERROR(VLOOKUP(DATA[[#This Row],[COMBINADA]],#REF!,6,0),0)</f>
        <v>0</v>
      </c>
      <c r="AL111" s="125">
        <f>IFERROR(VLOOKUP(DATA[[#This Row],[COMBINADA]],#REF!,9,0),0)/COUNTIFS(DATA[COMBINADA],DATA[[#This Row],[COMBINADA]])</f>
        <v>0</v>
      </c>
      <c r="AM111" s="27">
        <f>IFERROR(VLOOKUP(DATA[[#This Row],[COMBINADA]],#REF!,6,0),0)</f>
        <v>0</v>
      </c>
      <c r="AN111" s="125">
        <f>IFERROR(VLOOKUP(DATA[[#This Row],[COMBINADA]],#REF!,9,0),0)/COUNTIFS(DATA[COMBINADA],DATA[[#This Row],[COMBINADA]])</f>
        <v>0</v>
      </c>
      <c r="AO111" s="27">
        <f>IFERROR(VLOOKUP(DATA[[#This Row],[COMBINADA]],#REF!,6,0),0)</f>
        <v>0</v>
      </c>
      <c r="AP111" s="125">
        <f>IFERROR(VLOOKUP(DATA[[#This Row],[COMBINADA]],#REF!,9,0),0)/COUNTIFS(DATA[COMBINADA],DATA[[#This Row],[COMBINADA]])</f>
        <v>0</v>
      </c>
      <c r="AQ11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377.59999999999997</v>
      </c>
      <c r="AR111" s="26" t="str">
        <f>IFERROR(IF(DATA[[#This Row],[estado_fact]]="FACTURADO",VLOOKUP(DATA[[#This Row],[SERIE2]]&amp;"-"&amp;DATA[[#This Row],[NUMERO]],#REF!,34,0),"NO CORRESPONDE"),"NO CORRESPONDE")</f>
        <v>NO CORRESPONDE</v>
      </c>
      <c r="AS111" s="22" t="str">
        <f>IF(DATA[[#This Row],[fecha_fs]]&gt;0,TEXT(DATA[[#This Row],[fecha_fs]],"Mmmm"),0)</f>
        <v>Enero</v>
      </c>
      <c r="AT111" s="22" t="str">
        <f>DATA[[#This Row],[SERIE2]]&amp;"-"&amp;DATA[[#This Row],[NUMERO]]</f>
        <v>FE01-545</v>
      </c>
      <c r="AU111" s="28">
        <f>DATA[[#This Row],[TOTAL]]*DATA[[#This Row],[T.C.]]</f>
        <v>336.3</v>
      </c>
      <c r="AV111" s="6">
        <f>DATA[[#This Row],[FECHA DE VAL.]]</f>
        <v>45684</v>
      </c>
      <c r="AW111" s="6">
        <f>DATA[[#This Row],[FECHA DE EMISION]]</f>
        <v>45691</v>
      </c>
      <c r="AX111" s="6">
        <f>DATA[[#This Row],[F1]]</f>
        <v>0</v>
      </c>
      <c r="AY111" s="20">
        <f>IF(AV111-DATA[[#This Row],[fecha_fs]]&lt;0,0,AV111-DATA[[#This Row],[fecha_fs]])</f>
        <v>7</v>
      </c>
      <c r="AZ111" s="20">
        <f t="shared" si="10"/>
        <v>7</v>
      </c>
      <c r="BA111" s="20">
        <f t="shared" si="11"/>
        <v>0</v>
      </c>
      <c r="BB111" s="195">
        <f>IFERROR(SUM(DATA[[#This Row],[fs_val_ttf]:[fact_pago_ttf]]),0)</f>
        <v>14</v>
      </c>
      <c r="BC111" s="185">
        <v>45685</v>
      </c>
      <c r="BD111" s="185">
        <v>45692</v>
      </c>
      <c r="BE111" s="185">
        <v>45695</v>
      </c>
      <c r="BF111" s="185">
        <v>45698</v>
      </c>
      <c r="BG111" s="20">
        <f>IFERROR(IF(BC111-DATA[[#This Row],[fecha_fs]]&lt;0,0,BC111-DATA[[#This Row],[fecha_fs]]),0)</f>
        <v>8</v>
      </c>
      <c r="BH111" s="20">
        <f t="shared" si="12"/>
        <v>7</v>
      </c>
      <c r="BI111" s="20">
        <f t="shared" si="13"/>
        <v>3</v>
      </c>
      <c r="BJ111" s="20">
        <f t="shared" si="14"/>
        <v>3</v>
      </c>
      <c r="BK111" s="218">
        <f>IFERROR(SUM(DATA[[#This Row],[fs_fd_ttd]:[fend_fenf_ttd]]),0)</f>
        <v>21</v>
      </c>
      <c r="BL111" s="20" t="str">
        <f>IF(DATA[[#This Row],[fecha_fs]]&gt;0,TEXT(DATA[[#This Row],[fecha_fs]],"YYYY"),0)</f>
        <v>2025</v>
      </c>
      <c r="BM111" s="221" t="b">
        <v>1</v>
      </c>
      <c r="BN111" s="278">
        <f>COUNTIF(DATA[[#This Row],[tiempo_td]], "&lt;=15")</f>
        <v>0</v>
      </c>
      <c r="BO111" s="222"/>
    </row>
    <row r="112" spans="1:67" ht="30.6" customHeight="1" x14ac:dyDescent="0.25">
      <c r="A112" s="4">
        <v>20100211115</v>
      </c>
      <c r="B112" s="5" t="s">
        <v>41</v>
      </c>
      <c r="C112" s="52" t="s">
        <v>18</v>
      </c>
      <c r="D112" s="4" t="s">
        <v>120</v>
      </c>
      <c r="E112" s="5" t="s">
        <v>3</v>
      </c>
      <c r="F112" s="24">
        <v>45679</v>
      </c>
      <c r="G112" s="7" t="s">
        <v>113</v>
      </c>
      <c r="H112" s="25">
        <f t="shared" si="9"/>
        <v>1</v>
      </c>
      <c r="I112" s="67">
        <v>4016</v>
      </c>
      <c r="J112" s="8" t="s">
        <v>115</v>
      </c>
      <c r="K112" s="9" t="s">
        <v>121</v>
      </c>
      <c r="L112" s="10" t="s">
        <v>117</v>
      </c>
      <c r="M112" s="11">
        <v>90</v>
      </c>
      <c r="N112" s="12" t="s">
        <v>165</v>
      </c>
      <c r="O112" s="6">
        <v>45684</v>
      </c>
      <c r="P112" s="115">
        <v>3267</v>
      </c>
      <c r="Q112" s="14" t="s">
        <v>85</v>
      </c>
      <c r="R112" s="15"/>
      <c r="S112" s="15">
        <f>(DATA[[#This Row],[cantidad_fs]]*4.37)</f>
        <v>393.3</v>
      </c>
      <c r="T112" s="15">
        <f>DATA[[#This Row],[C. DF]]+DATA[[#This Row],[C.OPE.]]</f>
        <v>393.3</v>
      </c>
      <c r="U112" s="15">
        <f>DATA[[#This Row],[SUB TOTAL]]*0.18</f>
        <v>70.793999999999997</v>
      </c>
      <c r="V112" s="15">
        <f>IFERROR(ROUND(DATA[[#This Row],[SUB TOTAL]]+DATA[[#This Row],[IGV]],2),0)</f>
        <v>464.09</v>
      </c>
      <c r="W112" s="16" t="str">
        <f>IF(DATA[[#This Row],[VALORIZACIÓN ]]="-","NO CORRESPONDE",IF(OR(A112=20558226979,A112=10470707866,A112=20111157058,A112=20100226902),"NO CORRESPONDE",IF(J112="Emitida",IF(P112&gt;0,"EMITIDA","PENDIENTE"),"NO CORRESPONDE")))</f>
        <v>EMITIDA</v>
      </c>
      <c r="X112" s="29"/>
      <c r="Y112" s="17" t="s">
        <v>118</v>
      </c>
      <c r="Z112" s="30">
        <v>45687</v>
      </c>
      <c r="AA112" s="10" t="s">
        <v>124</v>
      </c>
      <c r="AB112" s="19">
        <v>536</v>
      </c>
      <c r="AC112" s="20">
        <v>30</v>
      </c>
      <c r="AD112" s="18">
        <f>DATA[[#This Row],[FECHA DE EMISION]]+DATA[[#This Row],[CONDICION DE PAGO]]</f>
        <v>45717</v>
      </c>
      <c r="AE112" s="23">
        <f>IF(DATA[[#This Row],[MONEDA]]="USD",VLOOKUP(DATA[[#This Row],[COMBINADA]],#REF!,11,0),1)</f>
        <v>1</v>
      </c>
      <c r="AF112" s="39" t="str">
        <f>IF(DATA[[#This Row],[SERIE2]]="-","NO CORRESPONDE",IF(W112="NO CORRESPONDE","NO CORRESPONDE",IF(Z112&gt;0,"FACTURADO","PENDIENTE")))</f>
        <v>FACTURADO</v>
      </c>
      <c r="AG112" s="27">
        <f>IFERROR(VLOOKUP(DATA[[#This Row],[COMBINADA]],#REF!,6,0),0)</f>
        <v>0</v>
      </c>
      <c r="AH112" s="125">
        <f>IFERROR(VLOOKUP(DATA[[#This Row],[COMBINADA]],#REF!,9,0),0)/COUNTIFS(DATA[COMBINADA],DATA[[#This Row],[COMBINADA]])</f>
        <v>0</v>
      </c>
      <c r="AI112" s="27">
        <f>IFERROR(VLOOKUP(DATA[[#This Row],[COMBINADA]],#REF!,6,0),0)</f>
        <v>0</v>
      </c>
      <c r="AJ112" s="125">
        <f>IFERROR(VLOOKUP(DATA[[#This Row],[COMBINADA]],#REF!,9,0),0)/COUNTIFS(DATA[COMBINADA],DATA[[#This Row],[COMBINADA]])</f>
        <v>0</v>
      </c>
      <c r="AK112" s="27">
        <f>IFERROR(VLOOKUP(DATA[[#This Row],[COMBINADA]],#REF!,6,0),0)</f>
        <v>0</v>
      </c>
      <c r="AL112" s="125">
        <f>IFERROR(VLOOKUP(DATA[[#This Row],[COMBINADA]],#REF!,9,0),0)/COUNTIFS(DATA[COMBINADA],DATA[[#This Row],[COMBINADA]])</f>
        <v>0</v>
      </c>
      <c r="AM112" s="27">
        <f>IFERROR(VLOOKUP(DATA[[#This Row],[COMBINADA]],#REF!,6,0),0)</f>
        <v>0</v>
      </c>
      <c r="AN112" s="125">
        <f>IFERROR(VLOOKUP(DATA[[#This Row],[COMBINADA]],#REF!,9,0),0)/COUNTIFS(DATA[COMBINADA],DATA[[#This Row],[COMBINADA]])</f>
        <v>0</v>
      </c>
      <c r="AO112" s="27">
        <f>IFERROR(VLOOKUP(DATA[[#This Row],[COMBINADA]],#REF!,6,0),0)</f>
        <v>0</v>
      </c>
      <c r="AP112" s="125">
        <f>IFERROR(VLOOKUP(DATA[[#This Row],[COMBINADA]],#REF!,9,0),0)/COUNTIFS(DATA[COMBINADA],DATA[[#This Row],[COMBINADA]])</f>
        <v>0</v>
      </c>
      <c r="AQ11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112" s="26" t="str">
        <f>IFERROR(IF(DATA[[#This Row],[estado_fact]]="FACTURADO",VLOOKUP(DATA[[#This Row],[SERIE2]]&amp;"-"&amp;DATA[[#This Row],[NUMERO]],#REF!,34,0),"NO CORRESPONDE"),"NO CORRESPONDE")</f>
        <v>NO CORRESPONDE</v>
      </c>
      <c r="AS112" s="22" t="str">
        <f>IF(DATA[[#This Row],[fecha_fs]]&gt;0,TEXT(DATA[[#This Row],[fecha_fs]],"Mmmm"),0)</f>
        <v>Enero</v>
      </c>
      <c r="AT112" s="22" t="str">
        <f>DATA[[#This Row],[SERIE2]]&amp;"-"&amp;DATA[[#This Row],[NUMERO]]</f>
        <v>FE01-536</v>
      </c>
      <c r="AU112" s="28">
        <f>DATA[[#This Row],[TOTAL]]*DATA[[#This Row],[T.C.]]</f>
        <v>464.09</v>
      </c>
      <c r="AV112" s="6">
        <f>DATA[[#This Row],[FECHA DE VAL.]]</f>
        <v>45684</v>
      </c>
      <c r="AW112" s="6">
        <f>DATA[[#This Row],[FECHA DE EMISION]]</f>
        <v>45687</v>
      </c>
      <c r="AX112" s="6">
        <f>DATA[[#This Row],[F1]]</f>
        <v>0</v>
      </c>
      <c r="AY112" s="20">
        <f>IF(AV112-DATA[[#This Row],[fecha_fs]]&lt;0,0,AV112-DATA[[#This Row],[fecha_fs]])</f>
        <v>5</v>
      </c>
      <c r="AZ112" s="20">
        <f t="shared" si="10"/>
        <v>3</v>
      </c>
      <c r="BA112" s="20">
        <f t="shared" si="11"/>
        <v>0</v>
      </c>
      <c r="BB112" s="195">
        <f>IFERROR(SUM(DATA[[#This Row],[fs_val_ttf]:[fact_pago_ttf]]),0)</f>
        <v>8</v>
      </c>
      <c r="BC112" s="185">
        <v>45698</v>
      </c>
      <c r="BD112" s="185">
        <v>45707</v>
      </c>
      <c r="BE112" s="185">
        <v>45712</v>
      </c>
      <c r="BF112" s="185">
        <v>45714</v>
      </c>
      <c r="BG112" s="20">
        <f>IFERROR(IF(BC112-DATA[[#This Row],[fecha_fs]]&lt;0,0,BC112-DATA[[#This Row],[fecha_fs]]),0)</f>
        <v>19</v>
      </c>
      <c r="BH112" s="20">
        <f t="shared" si="12"/>
        <v>9</v>
      </c>
      <c r="BI112" s="20">
        <f t="shared" si="13"/>
        <v>5</v>
      </c>
      <c r="BJ112" s="20">
        <f t="shared" si="14"/>
        <v>2</v>
      </c>
      <c r="BK112" s="218">
        <f>IFERROR(SUM(DATA[[#This Row],[fs_fd_ttd]:[fend_fenf_ttd]]),0)</f>
        <v>35</v>
      </c>
      <c r="BL112" s="20" t="str">
        <f>IF(DATA[[#This Row],[fecha_fs]]&gt;0,TEXT(DATA[[#This Row],[fecha_fs]],"YYYY"),0)</f>
        <v>2025</v>
      </c>
      <c r="BM112" s="221" t="b">
        <v>1</v>
      </c>
      <c r="BN112" s="278">
        <f>COUNTIF(DATA[[#This Row],[tiempo_td]], "&lt;=15")</f>
        <v>0</v>
      </c>
      <c r="BO112" s="222"/>
    </row>
    <row r="113" spans="1:67" ht="30.6" customHeight="1" x14ac:dyDescent="0.25">
      <c r="A113" s="4">
        <v>20456012427</v>
      </c>
      <c r="B113" s="5" t="s">
        <v>54</v>
      </c>
      <c r="C113" s="52" t="s">
        <v>55</v>
      </c>
      <c r="D113" s="4" t="s">
        <v>112</v>
      </c>
      <c r="E113" s="5" t="s">
        <v>1</v>
      </c>
      <c r="F113" s="24">
        <v>45677</v>
      </c>
      <c r="G113" s="7" t="s">
        <v>113</v>
      </c>
      <c r="H113" s="25">
        <f t="shared" si="9"/>
        <v>1</v>
      </c>
      <c r="I113" s="67">
        <v>4017</v>
      </c>
      <c r="J113" s="8" t="s">
        <v>115</v>
      </c>
      <c r="K113" s="9" t="s">
        <v>116</v>
      </c>
      <c r="L113" s="10" t="s">
        <v>117</v>
      </c>
      <c r="M113" s="11">
        <v>170</v>
      </c>
      <c r="N113" s="12" t="s">
        <v>178</v>
      </c>
      <c r="O113" s="6">
        <v>45684</v>
      </c>
      <c r="P113" s="13">
        <v>3264</v>
      </c>
      <c r="Q113" s="14" t="s">
        <v>85</v>
      </c>
      <c r="R113" s="15">
        <f>DATA[[#This Row],[cantidad_fs]]*1</f>
        <v>170</v>
      </c>
      <c r="S113" s="15">
        <v>270</v>
      </c>
      <c r="T113" s="15">
        <f>DATA[[#This Row],[C. DF]]+DATA[[#This Row],[C.OPE.]]</f>
        <v>440</v>
      </c>
      <c r="U113" s="15">
        <f>DATA[[#This Row],[SUB TOTAL]]*0.18</f>
        <v>79.2</v>
      </c>
      <c r="V113" s="15">
        <f>IFERROR(ROUND(DATA[[#This Row],[SUB TOTAL]]+DATA[[#This Row],[IGV]],2),0)</f>
        <v>519.20000000000005</v>
      </c>
      <c r="W113" s="16" t="str">
        <f>IF(DATA[[#This Row],[VALORIZACIÓN ]]="-","NO CORRESPONDE",IF(OR(A113=20558226979,A113=10470707866,A113=20111157058,A113=20100226902),"NO CORRESPONDE",IF(J113="Emitida",IF(P113&gt;0,"EMITIDA","PENDIENTE"),"NO CORRESPONDE")))</f>
        <v>EMITIDA</v>
      </c>
      <c r="X113" s="29" t="s">
        <v>179</v>
      </c>
      <c r="Y113" s="17" t="s">
        <v>118</v>
      </c>
      <c r="Z113" s="30">
        <v>45691</v>
      </c>
      <c r="AA113" s="10" t="s">
        <v>124</v>
      </c>
      <c r="AB113" s="19">
        <v>545</v>
      </c>
      <c r="AC113" s="20">
        <v>15</v>
      </c>
      <c r="AD113" s="18">
        <f>DATA[[#This Row],[FECHA DE EMISION]]+DATA[[#This Row],[CONDICION DE PAGO]]</f>
        <v>45706</v>
      </c>
      <c r="AE113" s="23">
        <f>IF(DATA[[#This Row],[MONEDA]]="USD",VLOOKUP(DATA[[#This Row],[COMBINADA]],#REF!,11,0),1)</f>
        <v>1</v>
      </c>
      <c r="AF113" s="39" t="str">
        <f>IF(DATA[[#This Row],[SERIE2]]="-","NO CORRESPONDE",IF(W113="NO CORRESPONDE","NO CORRESPONDE",IF(Z113&gt;0,"FACTURADO","PENDIENTE")))</f>
        <v>FACTURADO</v>
      </c>
      <c r="AG113" s="27">
        <f>IFERROR(VLOOKUP(DATA[[#This Row],[COMBINADA]],#REF!,6,0),0)</f>
        <v>0</v>
      </c>
      <c r="AH113" s="125">
        <f>IFERROR(VLOOKUP(DATA[[#This Row],[COMBINADA]],#REF!,9,0),0)/COUNTIFS(DATA[COMBINADA],DATA[[#This Row],[COMBINADA]])</f>
        <v>0</v>
      </c>
      <c r="AI113" s="27">
        <f>IFERROR(VLOOKUP(DATA[[#This Row],[COMBINADA]],#REF!,6,0),0)</f>
        <v>0</v>
      </c>
      <c r="AJ113" s="125">
        <f>IFERROR(VLOOKUP(DATA[[#This Row],[COMBINADA]],#REF!,9,0),0)/COUNTIFS(DATA[COMBINADA],DATA[[#This Row],[COMBINADA]])</f>
        <v>0</v>
      </c>
      <c r="AK113" s="27">
        <f>IFERROR(VLOOKUP(DATA[[#This Row],[COMBINADA]],#REF!,6,0),0)</f>
        <v>0</v>
      </c>
      <c r="AL113" s="125">
        <f>IFERROR(VLOOKUP(DATA[[#This Row],[COMBINADA]],#REF!,9,0),0)/COUNTIFS(DATA[COMBINADA],DATA[[#This Row],[COMBINADA]])</f>
        <v>0</v>
      </c>
      <c r="AM113" s="27">
        <f>IFERROR(VLOOKUP(DATA[[#This Row],[COMBINADA]],#REF!,6,0),0)</f>
        <v>0</v>
      </c>
      <c r="AN113" s="125">
        <f>IFERROR(VLOOKUP(DATA[[#This Row],[COMBINADA]],#REF!,9,0),0)/COUNTIFS(DATA[COMBINADA],DATA[[#This Row],[COMBINADA]])</f>
        <v>0</v>
      </c>
      <c r="AO113" s="27">
        <f>IFERROR(VLOOKUP(DATA[[#This Row],[COMBINADA]],#REF!,6,0),0)</f>
        <v>0</v>
      </c>
      <c r="AP113" s="125">
        <f>IFERROR(VLOOKUP(DATA[[#This Row],[COMBINADA]],#REF!,9,0),0)/COUNTIFS(DATA[COMBINADA],DATA[[#This Row],[COMBINADA]])</f>
        <v>0</v>
      </c>
      <c r="AQ11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377.59999999999997</v>
      </c>
      <c r="AR113" s="26" t="str">
        <f>IFERROR(IF(DATA[[#This Row],[estado_fact]]="FACTURADO",VLOOKUP(DATA[[#This Row],[SERIE2]]&amp;"-"&amp;DATA[[#This Row],[NUMERO]],#REF!,34,0),"NO CORRESPONDE"),"NO CORRESPONDE")</f>
        <v>NO CORRESPONDE</v>
      </c>
      <c r="AS113" s="22" t="str">
        <f>IF(DATA[[#This Row],[fecha_fs]]&gt;0,TEXT(DATA[[#This Row],[fecha_fs]],"Mmmm"),0)</f>
        <v>Enero</v>
      </c>
      <c r="AT113" s="22" t="str">
        <f>DATA[[#This Row],[SERIE2]]&amp;"-"&amp;DATA[[#This Row],[NUMERO]]</f>
        <v>FE01-545</v>
      </c>
      <c r="AU113" s="28">
        <f>DATA[[#This Row],[TOTAL]]*DATA[[#This Row],[T.C.]]</f>
        <v>519.20000000000005</v>
      </c>
      <c r="AV113" s="6">
        <f>DATA[[#This Row],[FECHA DE VAL.]]</f>
        <v>45684</v>
      </c>
      <c r="AW113" s="6">
        <f>DATA[[#This Row],[FECHA DE EMISION]]</f>
        <v>45691</v>
      </c>
      <c r="AX113" s="6">
        <f>DATA[[#This Row],[F1]]</f>
        <v>0</v>
      </c>
      <c r="AY113" s="20">
        <f>IF(AV113-DATA[[#This Row],[fecha_fs]]&lt;0,0,AV113-DATA[[#This Row],[fecha_fs]])</f>
        <v>7</v>
      </c>
      <c r="AZ113" s="20">
        <f t="shared" si="10"/>
        <v>7</v>
      </c>
      <c r="BA113" s="20">
        <f t="shared" si="11"/>
        <v>0</v>
      </c>
      <c r="BB113" s="195">
        <f>IFERROR(SUM(DATA[[#This Row],[fs_val_ttf]:[fact_pago_ttf]]),0)</f>
        <v>14</v>
      </c>
      <c r="BC113" s="185">
        <v>45685</v>
      </c>
      <c r="BD113" s="185">
        <v>45692</v>
      </c>
      <c r="BE113" s="185">
        <v>45695</v>
      </c>
      <c r="BF113" s="185">
        <v>45698</v>
      </c>
      <c r="BG113" s="20">
        <f>IFERROR(IF(BC113-DATA[[#This Row],[fecha_fs]]&lt;0,0,BC113-DATA[[#This Row],[fecha_fs]]),0)</f>
        <v>8</v>
      </c>
      <c r="BH113" s="20">
        <f t="shared" si="12"/>
        <v>7</v>
      </c>
      <c r="BI113" s="20">
        <f t="shared" si="13"/>
        <v>3</v>
      </c>
      <c r="BJ113" s="20">
        <f t="shared" si="14"/>
        <v>3</v>
      </c>
      <c r="BK113" s="218">
        <f>IFERROR(SUM(DATA[[#This Row],[fs_fd_ttd]:[fend_fenf_ttd]]),0)</f>
        <v>21</v>
      </c>
      <c r="BL113" s="20" t="str">
        <f>IF(DATA[[#This Row],[fecha_fs]]&gt;0,TEXT(DATA[[#This Row],[fecha_fs]],"YYYY"),0)</f>
        <v>2025</v>
      </c>
      <c r="BM113" s="221" t="b">
        <v>1</v>
      </c>
      <c r="BN113" s="278">
        <f>COUNTIF(DATA[[#This Row],[tiempo_td]], "&lt;=15")</f>
        <v>0</v>
      </c>
      <c r="BO113" s="222"/>
    </row>
    <row r="114" spans="1:67" ht="30.6" customHeight="1" x14ac:dyDescent="0.25">
      <c r="A114" s="4">
        <v>20456012427</v>
      </c>
      <c r="B114" s="5" t="s">
        <v>54</v>
      </c>
      <c r="C114" s="52" t="s">
        <v>177</v>
      </c>
      <c r="D114" s="4" t="s">
        <v>112</v>
      </c>
      <c r="E114" s="5" t="s">
        <v>1</v>
      </c>
      <c r="F114" s="24">
        <v>45677</v>
      </c>
      <c r="G114" s="7" t="s">
        <v>113</v>
      </c>
      <c r="H114" s="25">
        <f t="shared" si="9"/>
        <v>1</v>
      </c>
      <c r="I114" s="67">
        <v>4018</v>
      </c>
      <c r="J114" s="8" t="s">
        <v>115</v>
      </c>
      <c r="K114" s="9" t="s">
        <v>116</v>
      </c>
      <c r="L114" s="10" t="s">
        <v>117</v>
      </c>
      <c r="M114" s="11">
        <v>100</v>
      </c>
      <c r="N114" s="12" t="s">
        <v>178</v>
      </c>
      <c r="O114" s="6">
        <v>45684</v>
      </c>
      <c r="P114" s="13">
        <v>3264</v>
      </c>
      <c r="Q114" s="14" t="s">
        <v>85</v>
      </c>
      <c r="R114" s="15">
        <f>DATA[[#This Row],[cantidad_fs]]*1</f>
        <v>100</v>
      </c>
      <c r="S114" s="15">
        <f>270/2</f>
        <v>135</v>
      </c>
      <c r="T114" s="15">
        <f>DATA[[#This Row],[C. DF]]+DATA[[#This Row],[C.OPE.]]</f>
        <v>235</v>
      </c>
      <c r="U114" s="15">
        <f>DATA[[#This Row],[SUB TOTAL]]*0.18</f>
        <v>42.3</v>
      </c>
      <c r="V114" s="15">
        <f>IFERROR(ROUND(DATA[[#This Row],[SUB TOTAL]]+DATA[[#This Row],[IGV]],2),0)</f>
        <v>277.3</v>
      </c>
      <c r="W114" s="16" t="str">
        <f>IF(DATA[[#This Row],[VALORIZACIÓN ]]="-","NO CORRESPONDE",IF(OR(A114=20558226979,A114=10470707866,A114=20111157058,A114=20100226902),"NO CORRESPONDE",IF(J114="Emitida",IF(P114&gt;0,"EMITIDA","PENDIENTE"),"NO CORRESPONDE")))</f>
        <v>EMITIDA</v>
      </c>
      <c r="X114" s="29" t="s">
        <v>179</v>
      </c>
      <c r="Y114" s="17" t="s">
        <v>118</v>
      </c>
      <c r="Z114" s="30">
        <v>45691</v>
      </c>
      <c r="AA114" s="10" t="s">
        <v>124</v>
      </c>
      <c r="AB114" s="19">
        <v>545</v>
      </c>
      <c r="AC114" s="20">
        <v>15</v>
      </c>
      <c r="AD114" s="18">
        <f>DATA[[#This Row],[FECHA DE EMISION]]+DATA[[#This Row],[CONDICION DE PAGO]]</f>
        <v>45706</v>
      </c>
      <c r="AE114" s="23">
        <f>IF(DATA[[#This Row],[MONEDA]]="USD",VLOOKUP(DATA[[#This Row],[COMBINADA]],#REF!,11,0),1)</f>
        <v>1</v>
      </c>
      <c r="AF114" s="39" t="str">
        <f>IF(DATA[[#This Row],[SERIE2]]="-","NO CORRESPONDE",IF(W114="NO CORRESPONDE","NO CORRESPONDE",IF(Z114&gt;0,"FACTURADO","PENDIENTE")))</f>
        <v>FACTURADO</v>
      </c>
      <c r="AG114" s="27">
        <f>IFERROR(VLOOKUP(DATA[[#This Row],[COMBINADA]],#REF!,6,0),0)</f>
        <v>0</v>
      </c>
      <c r="AH114" s="125">
        <f>IFERROR(VLOOKUP(DATA[[#This Row],[COMBINADA]],#REF!,9,0),0)/COUNTIFS(DATA[COMBINADA],DATA[[#This Row],[COMBINADA]])</f>
        <v>0</v>
      </c>
      <c r="AI114" s="27">
        <f>IFERROR(VLOOKUP(DATA[[#This Row],[COMBINADA]],#REF!,6,0),0)</f>
        <v>0</v>
      </c>
      <c r="AJ114" s="125">
        <f>IFERROR(VLOOKUP(DATA[[#This Row],[COMBINADA]],#REF!,9,0),0)/COUNTIFS(DATA[COMBINADA],DATA[[#This Row],[COMBINADA]])</f>
        <v>0</v>
      </c>
      <c r="AK114" s="27">
        <f>IFERROR(VLOOKUP(DATA[[#This Row],[COMBINADA]],#REF!,6,0),0)</f>
        <v>0</v>
      </c>
      <c r="AL114" s="125">
        <f>IFERROR(VLOOKUP(DATA[[#This Row],[COMBINADA]],#REF!,9,0),0)/COUNTIFS(DATA[COMBINADA],DATA[[#This Row],[COMBINADA]])</f>
        <v>0</v>
      </c>
      <c r="AM114" s="27">
        <f>IFERROR(VLOOKUP(DATA[[#This Row],[COMBINADA]],#REF!,6,0),0)</f>
        <v>0</v>
      </c>
      <c r="AN114" s="125">
        <f>IFERROR(VLOOKUP(DATA[[#This Row],[COMBINADA]],#REF!,9,0),0)/COUNTIFS(DATA[COMBINADA],DATA[[#This Row],[COMBINADA]])</f>
        <v>0</v>
      </c>
      <c r="AO114" s="27">
        <f>IFERROR(VLOOKUP(DATA[[#This Row],[COMBINADA]],#REF!,6,0),0)</f>
        <v>0</v>
      </c>
      <c r="AP114" s="125">
        <f>IFERROR(VLOOKUP(DATA[[#This Row],[COMBINADA]],#REF!,9,0),0)/COUNTIFS(DATA[COMBINADA],DATA[[#This Row],[COMBINADA]])</f>
        <v>0</v>
      </c>
      <c r="AQ11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377.59999999999997</v>
      </c>
      <c r="AR114" s="26" t="str">
        <f>IFERROR(IF(DATA[[#This Row],[estado_fact]]="FACTURADO",VLOOKUP(DATA[[#This Row],[SERIE2]]&amp;"-"&amp;DATA[[#This Row],[NUMERO]],#REF!,34,0),"NO CORRESPONDE"),"NO CORRESPONDE")</f>
        <v>NO CORRESPONDE</v>
      </c>
      <c r="AS114" s="22" t="str">
        <f>IF(DATA[[#This Row],[fecha_fs]]&gt;0,TEXT(DATA[[#This Row],[fecha_fs]],"Mmmm"),0)</f>
        <v>Enero</v>
      </c>
      <c r="AT114" s="22" t="str">
        <f>DATA[[#This Row],[SERIE2]]&amp;"-"&amp;DATA[[#This Row],[NUMERO]]</f>
        <v>FE01-545</v>
      </c>
      <c r="AU114" s="28">
        <f>DATA[[#This Row],[TOTAL]]*DATA[[#This Row],[T.C.]]</f>
        <v>277.3</v>
      </c>
      <c r="AV114" s="6">
        <f>DATA[[#This Row],[FECHA DE VAL.]]</f>
        <v>45684</v>
      </c>
      <c r="AW114" s="6">
        <f>DATA[[#This Row],[FECHA DE EMISION]]</f>
        <v>45691</v>
      </c>
      <c r="AX114" s="6">
        <f>DATA[[#This Row],[F1]]</f>
        <v>0</v>
      </c>
      <c r="AY114" s="20">
        <f>IF(AV114-DATA[[#This Row],[fecha_fs]]&lt;0,0,AV114-DATA[[#This Row],[fecha_fs]])</f>
        <v>7</v>
      </c>
      <c r="AZ114" s="20">
        <f t="shared" si="10"/>
        <v>7</v>
      </c>
      <c r="BA114" s="20">
        <f t="shared" si="11"/>
        <v>0</v>
      </c>
      <c r="BB114" s="195">
        <f>IFERROR(SUM(DATA[[#This Row],[fs_val_ttf]:[fact_pago_ttf]]),0)</f>
        <v>14</v>
      </c>
      <c r="BC114" s="185">
        <v>45685</v>
      </c>
      <c r="BD114" s="185">
        <v>45692</v>
      </c>
      <c r="BE114" s="185">
        <v>45695</v>
      </c>
      <c r="BF114" s="185">
        <v>45698</v>
      </c>
      <c r="BG114" s="20">
        <f>IFERROR(IF(BC114-DATA[[#This Row],[fecha_fs]]&lt;0,0,BC114-DATA[[#This Row],[fecha_fs]]),0)</f>
        <v>8</v>
      </c>
      <c r="BH114" s="20">
        <f t="shared" si="12"/>
        <v>7</v>
      </c>
      <c r="BI114" s="20">
        <f t="shared" si="13"/>
        <v>3</v>
      </c>
      <c r="BJ114" s="20">
        <f t="shared" si="14"/>
        <v>3</v>
      </c>
      <c r="BK114" s="218">
        <f>IFERROR(SUM(DATA[[#This Row],[fs_fd_ttd]:[fend_fenf_ttd]]),0)</f>
        <v>21</v>
      </c>
      <c r="BL114" s="20" t="str">
        <f>IF(DATA[[#This Row],[fecha_fs]]&gt;0,TEXT(DATA[[#This Row],[fecha_fs]],"YYYY"),0)</f>
        <v>2025</v>
      </c>
      <c r="BM114" s="221" t="b">
        <v>1</v>
      </c>
      <c r="BN114" s="278">
        <f>COUNTIF(DATA[[#This Row],[tiempo_td]], "&lt;=15")</f>
        <v>0</v>
      </c>
      <c r="BO114" s="222"/>
    </row>
    <row r="115" spans="1:67" ht="30.6" customHeight="1" x14ac:dyDescent="0.25">
      <c r="A115" s="4">
        <v>20100192064</v>
      </c>
      <c r="B115" s="5" t="s">
        <v>60</v>
      </c>
      <c r="C115" s="52" t="s">
        <v>43</v>
      </c>
      <c r="D115" s="4" t="s">
        <v>112</v>
      </c>
      <c r="E115" s="5" t="s">
        <v>1</v>
      </c>
      <c r="F115" s="24">
        <v>45679</v>
      </c>
      <c r="G115" s="7" t="s">
        <v>113</v>
      </c>
      <c r="H115" s="25">
        <f t="shared" si="9"/>
        <v>1</v>
      </c>
      <c r="I115" s="67">
        <v>4019</v>
      </c>
      <c r="J115" s="8" t="s">
        <v>115</v>
      </c>
      <c r="K115" s="9" t="s">
        <v>116</v>
      </c>
      <c r="L115" s="10" t="s">
        <v>117</v>
      </c>
      <c r="M115" s="11">
        <v>2700</v>
      </c>
      <c r="N115" s="12" t="s">
        <v>132</v>
      </c>
      <c r="O115" s="6">
        <v>45684</v>
      </c>
      <c r="P115" s="57">
        <v>3245</v>
      </c>
      <c r="Q115" s="14" t="s">
        <v>123</v>
      </c>
      <c r="R115" s="15">
        <f>(DATA[[#This Row],[cantidad_fs]]/1000)*(143+175.34)</f>
        <v>859.51800000000014</v>
      </c>
      <c r="S115" s="15">
        <v>137</v>
      </c>
      <c r="T115" s="15">
        <f>DATA[[#This Row],[C. DF]]+DATA[[#This Row],[C.OPE.]]</f>
        <v>996.51800000000014</v>
      </c>
      <c r="U115" s="15">
        <f>DATA[[#This Row],[SUB TOTAL]]*0.18</f>
        <v>179.37324000000001</v>
      </c>
      <c r="V115" s="15">
        <f>IFERROR(ROUND(DATA[[#This Row],[SUB TOTAL]]+DATA[[#This Row],[IGV]],2),0)</f>
        <v>1175.8900000000001</v>
      </c>
      <c r="W115" s="16" t="str">
        <f>IF(DATA[[#This Row],[VALORIZACIÓN ]]="-","NO CORRESPONDE",IF(OR(A115=20558226979,A115=10470707866,A115=20111157058,A115=20100226902),"NO CORRESPONDE",IF(J115="Emitida",IF(P115&gt;0,"EMITIDA","PENDIENTE"),"NO CORRESPONDE")))</f>
        <v>EMITIDA</v>
      </c>
      <c r="X115" s="29"/>
      <c r="Y115" s="17" t="s">
        <v>118</v>
      </c>
      <c r="Z115" s="30">
        <v>45687</v>
      </c>
      <c r="AA115" s="10" t="s">
        <v>124</v>
      </c>
      <c r="AB115" s="19">
        <v>534</v>
      </c>
      <c r="AC115" s="20">
        <v>30</v>
      </c>
      <c r="AD115" s="18">
        <f>DATA[[#This Row],[FECHA DE EMISION]]+DATA[[#This Row],[CONDICION DE PAGO]]</f>
        <v>45717</v>
      </c>
      <c r="AE115" s="23" t="e">
        <f>IF(DATA[[#This Row],[MONEDA]]="USD",VLOOKUP(DATA[[#This Row],[COMBINADA]],#REF!,11,0),1)</f>
        <v>#REF!</v>
      </c>
      <c r="AF115" s="39" t="str">
        <f>IF(DATA[[#This Row],[SERIE2]]="-","NO CORRESPONDE",IF(W115="NO CORRESPONDE","NO CORRESPONDE",IF(Z115&gt;0,"FACTURADO","PENDIENTE")))</f>
        <v>FACTURADO</v>
      </c>
      <c r="AG115" s="27">
        <f>IFERROR(VLOOKUP(DATA[[#This Row],[COMBINADA]],#REF!,6,0),0)</f>
        <v>0</v>
      </c>
      <c r="AH115" s="125">
        <f>IFERROR(VLOOKUP(DATA[[#This Row],[COMBINADA]],#REF!,9,0),0)/COUNTIFS(DATA[COMBINADA],DATA[[#This Row],[COMBINADA]])</f>
        <v>0</v>
      </c>
      <c r="AI115" s="27">
        <f>IFERROR(VLOOKUP(DATA[[#This Row],[COMBINADA]],#REF!,6,0),0)</f>
        <v>0</v>
      </c>
      <c r="AJ115" s="125">
        <f>IFERROR(VLOOKUP(DATA[[#This Row],[COMBINADA]],#REF!,9,0),0)/COUNTIFS(DATA[COMBINADA],DATA[[#This Row],[COMBINADA]])</f>
        <v>0</v>
      </c>
      <c r="AK115" s="27">
        <f>IFERROR(VLOOKUP(DATA[[#This Row],[COMBINADA]],#REF!,6,0),0)</f>
        <v>0</v>
      </c>
      <c r="AL115" s="125">
        <f>IFERROR(VLOOKUP(DATA[[#This Row],[COMBINADA]],#REF!,9,0),0)/COUNTIFS(DATA[COMBINADA],DATA[[#This Row],[COMBINADA]])</f>
        <v>0</v>
      </c>
      <c r="AM115" s="27">
        <f>IFERROR(VLOOKUP(DATA[[#This Row],[COMBINADA]],#REF!,6,0),0)</f>
        <v>0</v>
      </c>
      <c r="AN115" s="125">
        <f>IFERROR(VLOOKUP(DATA[[#This Row],[COMBINADA]],#REF!,9,0),0)/COUNTIFS(DATA[COMBINADA],DATA[[#This Row],[COMBINADA]])</f>
        <v>0</v>
      </c>
      <c r="AO115" s="27">
        <f>IFERROR(VLOOKUP(DATA[[#This Row],[COMBINADA]],#REF!,6,0),0)</f>
        <v>0</v>
      </c>
      <c r="AP115" s="125">
        <f>IFERROR(VLOOKUP(DATA[[#This Row],[COMBINADA]],#REF!,9,0),0)/COUNTIFS(DATA[COMBINADA],DATA[[#This Row],[COMBINADA]])</f>
        <v>0</v>
      </c>
      <c r="AQ11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575.62384615384622</v>
      </c>
      <c r="AR115" s="26" t="str">
        <f>IFERROR(IF(DATA[[#This Row],[estado_fact]]="FACTURADO",VLOOKUP(DATA[[#This Row],[SERIE2]]&amp;"-"&amp;DATA[[#This Row],[NUMERO]],#REF!,34,0),"NO CORRESPONDE"),"NO CORRESPONDE")</f>
        <v>NO CORRESPONDE</v>
      </c>
      <c r="AS115" s="22" t="str">
        <f>IF(DATA[[#This Row],[fecha_fs]]&gt;0,TEXT(DATA[[#This Row],[fecha_fs]],"Mmmm"),0)</f>
        <v>Enero</v>
      </c>
      <c r="AT115" s="22" t="str">
        <f>DATA[[#This Row],[SERIE2]]&amp;"-"&amp;DATA[[#This Row],[NUMERO]]</f>
        <v>FE01-534</v>
      </c>
      <c r="AU115" s="28" t="e">
        <f>DATA[[#This Row],[TOTAL]]*DATA[[#This Row],[T.C.]]</f>
        <v>#REF!</v>
      </c>
      <c r="AV115" s="6">
        <f>DATA[[#This Row],[FECHA DE VAL.]]</f>
        <v>45684</v>
      </c>
      <c r="AW115" s="6">
        <f>DATA[[#This Row],[FECHA DE EMISION]]</f>
        <v>45687</v>
      </c>
      <c r="AX115" s="6">
        <f>DATA[[#This Row],[F1]]</f>
        <v>0</v>
      </c>
      <c r="AY115" s="20">
        <f>IF(AV115-DATA[[#This Row],[fecha_fs]]&lt;0,0,AV115-DATA[[#This Row],[fecha_fs]])</f>
        <v>5</v>
      </c>
      <c r="AZ115" s="20">
        <f t="shared" si="10"/>
        <v>3</v>
      </c>
      <c r="BA115" s="20">
        <f t="shared" si="11"/>
        <v>0</v>
      </c>
      <c r="BB115" s="195">
        <f>IFERROR(SUM(DATA[[#This Row],[fs_val_ttf]:[fact_pago_ttf]]),0)</f>
        <v>8</v>
      </c>
      <c r="BC115" s="187">
        <v>45694</v>
      </c>
      <c r="BD115" s="187">
        <v>45705</v>
      </c>
      <c r="BE115" s="187">
        <v>45707</v>
      </c>
      <c r="BF115" s="187">
        <v>45758</v>
      </c>
      <c r="BG115" s="20">
        <f>IFERROR(IF(BC115-DATA[[#This Row],[fecha_fs]]&lt;0,0,BC115-DATA[[#This Row],[fecha_fs]]),0)</f>
        <v>15</v>
      </c>
      <c r="BH115" s="20">
        <f t="shared" si="12"/>
        <v>11</v>
      </c>
      <c r="BI115" s="20">
        <f t="shared" si="13"/>
        <v>2</v>
      </c>
      <c r="BJ115" s="20">
        <f t="shared" si="14"/>
        <v>51</v>
      </c>
      <c r="BK115" s="218">
        <f>IFERROR(SUM(DATA[[#This Row],[fs_fd_ttd]:[fend_fenf_ttd]]),0)</f>
        <v>79</v>
      </c>
      <c r="BL115" s="20" t="str">
        <f>IF(DATA[[#This Row],[fecha_fs]]&gt;0,TEXT(DATA[[#This Row],[fecha_fs]],"YYYY"),0)</f>
        <v>2025</v>
      </c>
      <c r="BM115" s="221" t="b">
        <v>1</v>
      </c>
      <c r="BN115" s="278">
        <f>COUNTIF(DATA[[#This Row],[tiempo_td]], "&lt;=15")</f>
        <v>0</v>
      </c>
      <c r="BO115" s="222"/>
    </row>
    <row r="116" spans="1:67" ht="30.6" customHeight="1" x14ac:dyDescent="0.25">
      <c r="A116" s="4">
        <v>20100192064</v>
      </c>
      <c r="B116" s="5" t="s">
        <v>60</v>
      </c>
      <c r="C116" s="52" t="s">
        <v>65</v>
      </c>
      <c r="D116" s="4" t="s">
        <v>120</v>
      </c>
      <c r="E116" s="5" t="s">
        <v>3</v>
      </c>
      <c r="F116" s="24">
        <v>45679</v>
      </c>
      <c r="G116" s="7" t="s">
        <v>142</v>
      </c>
      <c r="H116" s="25">
        <f t="shared" si="9"/>
        <v>2</v>
      </c>
      <c r="I116" s="67">
        <v>1035</v>
      </c>
      <c r="J116" s="8" t="s">
        <v>115</v>
      </c>
      <c r="K116" s="9" t="s">
        <v>121</v>
      </c>
      <c r="L116" s="10" t="s">
        <v>117</v>
      </c>
      <c r="M116" s="11">
        <v>410</v>
      </c>
      <c r="N116" s="12" t="s">
        <v>180</v>
      </c>
      <c r="O116" s="6">
        <v>45684</v>
      </c>
      <c r="P116" s="57">
        <v>3250</v>
      </c>
      <c r="Q116" s="14" t="s">
        <v>123</v>
      </c>
      <c r="R116" s="15">
        <f>(DATA[[#This Row],[cantidad_fs]]/1000)*(37+81.01)</f>
        <v>48.384099999999997</v>
      </c>
      <c r="S116" s="15">
        <v>103.6</v>
      </c>
      <c r="T116" s="15">
        <f>DATA[[#This Row],[C. DF]]+DATA[[#This Row],[C.OPE.]]</f>
        <v>151.98409999999998</v>
      </c>
      <c r="U116" s="15">
        <f>DATA[[#This Row],[SUB TOTAL]]*0.18</f>
        <v>27.357137999999996</v>
      </c>
      <c r="V116" s="15">
        <f>IFERROR(ROUND(DATA[[#This Row],[SUB TOTAL]]+DATA[[#This Row],[IGV]],2),0)</f>
        <v>179.34</v>
      </c>
      <c r="W116" s="16" t="str">
        <f>IF(DATA[[#This Row],[VALORIZACIÓN ]]="-","NO CORRESPONDE",IF(OR(A116=20558226979,A116=10470707866,A116=20111157058,A116=20100226902),"NO CORRESPONDE",IF(J116="Emitida",IF(P116&gt;0,"EMITIDA","PENDIENTE"),"NO CORRESPONDE")))</f>
        <v>EMITIDA</v>
      </c>
      <c r="X116" s="29" t="s">
        <v>144</v>
      </c>
      <c r="Y116" s="17" t="s">
        <v>118</v>
      </c>
      <c r="Z116" s="30">
        <v>45686</v>
      </c>
      <c r="AA116" s="10" t="s">
        <v>124</v>
      </c>
      <c r="AB116" s="19">
        <v>530</v>
      </c>
      <c r="AC116" s="20">
        <v>30</v>
      </c>
      <c r="AD116" s="18">
        <f>DATA[[#This Row],[FECHA DE EMISION]]+DATA[[#This Row],[CONDICION DE PAGO]]</f>
        <v>45716</v>
      </c>
      <c r="AE116" s="23" t="e">
        <f>IF(DATA[[#This Row],[MONEDA]]="USD",VLOOKUP(DATA[[#This Row],[COMBINADA]],#REF!,11,0),1)</f>
        <v>#REF!</v>
      </c>
      <c r="AF116" s="39" t="str">
        <f>IF(DATA[[#This Row],[SERIE2]]="-","NO CORRESPONDE",IF(W116="NO CORRESPONDE","NO CORRESPONDE",IF(Z116&gt;0,"FACTURADO","PENDIENTE")))</f>
        <v>FACTURADO</v>
      </c>
      <c r="AG116" s="27">
        <f>IFERROR(VLOOKUP(DATA[[#This Row],[COMBINADA]],#REF!,6,0),0)</f>
        <v>0</v>
      </c>
      <c r="AH116" s="125">
        <f>IFERROR(VLOOKUP(DATA[[#This Row],[COMBINADA]],#REF!,9,0),0)/COUNTIFS(DATA[COMBINADA],DATA[[#This Row],[COMBINADA]])</f>
        <v>0</v>
      </c>
      <c r="AI116" s="27">
        <f>IFERROR(VLOOKUP(DATA[[#This Row],[COMBINADA]],#REF!,6,0),0)</f>
        <v>0</v>
      </c>
      <c r="AJ116" s="125">
        <f>IFERROR(VLOOKUP(DATA[[#This Row],[COMBINADA]],#REF!,9,0),0)/COUNTIFS(DATA[COMBINADA],DATA[[#This Row],[COMBINADA]])</f>
        <v>0</v>
      </c>
      <c r="AK116" s="27">
        <f>IFERROR(VLOOKUP(DATA[[#This Row],[COMBINADA]],#REF!,6,0),0)</f>
        <v>0</v>
      </c>
      <c r="AL116" s="125">
        <f>IFERROR(VLOOKUP(DATA[[#This Row],[COMBINADA]],#REF!,9,0),0)/COUNTIFS(DATA[COMBINADA],DATA[[#This Row],[COMBINADA]])</f>
        <v>0</v>
      </c>
      <c r="AM116" s="27">
        <f>IFERROR(VLOOKUP(DATA[[#This Row],[COMBINADA]],#REF!,6,0),0)</f>
        <v>0</v>
      </c>
      <c r="AN116" s="125">
        <f>IFERROR(VLOOKUP(DATA[[#This Row],[COMBINADA]],#REF!,9,0),0)/COUNTIFS(DATA[COMBINADA],DATA[[#This Row],[COMBINADA]])</f>
        <v>0</v>
      </c>
      <c r="AO116" s="27">
        <f>IFERROR(VLOOKUP(DATA[[#This Row],[COMBINADA]],#REF!,6,0),0)</f>
        <v>0</v>
      </c>
      <c r="AP116" s="125">
        <f>IFERROR(VLOOKUP(DATA[[#This Row],[COMBINADA]],#REF!,9,0),0)/COUNTIFS(DATA[COMBINADA],DATA[[#This Row],[COMBINADA]])</f>
        <v>0</v>
      </c>
      <c r="AQ11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830.60666666666657</v>
      </c>
      <c r="AR116" s="26" t="str">
        <f>IFERROR(IF(DATA[[#This Row],[estado_fact]]="FACTURADO",VLOOKUP(DATA[[#This Row],[SERIE2]]&amp;"-"&amp;DATA[[#This Row],[NUMERO]],#REF!,34,0),"NO CORRESPONDE"),"NO CORRESPONDE")</f>
        <v>NO CORRESPONDE</v>
      </c>
      <c r="AS116" s="22" t="str">
        <f>IF(DATA[[#This Row],[fecha_fs]]&gt;0,TEXT(DATA[[#This Row],[fecha_fs]],"Mmmm"),0)</f>
        <v>Enero</v>
      </c>
      <c r="AT116" s="22" t="str">
        <f>DATA[[#This Row],[SERIE2]]&amp;"-"&amp;DATA[[#This Row],[NUMERO]]</f>
        <v>FE01-530</v>
      </c>
      <c r="AU116" s="28" t="e">
        <f>DATA[[#This Row],[TOTAL]]*DATA[[#This Row],[T.C.]]</f>
        <v>#REF!</v>
      </c>
      <c r="AV116" s="6">
        <f>DATA[[#This Row],[FECHA DE VAL.]]</f>
        <v>45684</v>
      </c>
      <c r="AW116" s="6">
        <f>DATA[[#This Row],[FECHA DE EMISION]]</f>
        <v>45686</v>
      </c>
      <c r="AX116" s="6">
        <f>DATA[[#This Row],[F1]]</f>
        <v>0</v>
      </c>
      <c r="AY116" s="20">
        <f>IF(AV116-DATA[[#This Row],[fecha_fs]]&lt;0,0,AV116-DATA[[#This Row],[fecha_fs]])</f>
        <v>5</v>
      </c>
      <c r="AZ116" s="20">
        <f t="shared" si="10"/>
        <v>2</v>
      </c>
      <c r="BA116" s="20">
        <f t="shared" si="11"/>
        <v>0</v>
      </c>
      <c r="BB116" s="195">
        <f>IFERROR(SUM(DATA[[#This Row],[fs_val_ttf]:[fact_pago_ttf]]),0)</f>
        <v>7</v>
      </c>
      <c r="BC116" s="185">
        <v>45686</v>
      </c>
      <c r="BD116" s="185">
        <v>45700</v>
      </c>
      <c r="BE116" s="185">
        <v>45707</v>
      </c>
      <c r="BF116" s="185">
        <v>45758</v>
      </c>
      <c r="BG116" s="20">
        <f>IFERROR(IF(BC116-DATA[[#This Row],[fecha_fs]]&lt;0,0,BC116-DATA[[#This Row],[fecha_fs]]),0)</f>
        <v>7</v>
      </c>
      <c r="BH116" s="20">
        <f t="shared" si="12"/>
        <v>14</v>
      </c>
      <c r="BI116" s="20">
        <f t="shared" si="13"/>
        <v>7</v>
      </c>
      <c r="BJ116" s="20">
        <f t="shared" si="14"/>
        <v>51</v>
      </c>
      <c r="BK116" s="218">
        <f>IFERROR(SUM(DATA[[#This Row],[fs_fd_ttd]:[fend_fenf_ttd]]),0)</f>
        <v>79</v>
      </c>
      <c r="BL116" s="20" t="str">
        <f>IF(DATA[[#This Row],[fecha_fs]]&gt;0,TEXT(DATA[[#This Row],[fecha_fs]],"YYYY"),0)</f>
        <v>2025</v>
      </c>
      <c r="BM116" s="221" t="b">
        <v>1</v>
      </c>
      <c r="BN116" s="278">
        <f>COUNTIF(DATA[[#This Row],[tiempo_td]], "&lt;=15")</f>
        <v>0</v>
      </c>
      <c r="BO116" s="222"/>
    </row>
    <row r="117" spans="1:67" ht="30.6" customHeight="1" x14ac:dyDescent="0.25">
      <c r="A117" s="4">
        <v>20100192064</v>
      </c>
      <c r="B117" s="5" t="s">
        <v>60</v>
      </c>
      <c r="C117" s="52" t="s">
        <v>65</v>
      </c>
      <c r="D117" s="4" t="s">
        <v>112</v>
      </c>
      <c r="E117" s="5" t="s">
        <v>1</v>
      </c>
      <c r="F117" s="24">
        <v>45680</v>
      </c>
      <c r="G117" s="7" t="s">
        <v>142</v>
      </c>
      <c r="H117" s="25">
        <f t="shared" si="9"/>
        <v>2</v>
      </c>
      <c r="I117" s="67">
        <v>1036</v>
      </c>
      <c r="J117" s="8" t="s">
        <v>115</v>
      </c>
      <c r="K117" s="9" t="s">
        <v>116</v>
      </c>
      <c r="L117" s="10" t="s">
        <v>117</v>
      </c>
      <c r="M117" s="11">
        <v>5660</v>
      </c>
      <c r="N117" s="12" t="s">
        <v>180</v>
      </c>
      <c r="O117" s="6">
        <v>45684</v>
      </c>
      <c r="P117" s="57">
        <v>3251</v>
      </c>
      <c r="Q117" s="14" t="s">
        <v>123</v>
      </c>
      <c r="R117" s="15">
        <f>(DATA[[#This Row],[cantidad_fs]]/1000)*(147+81.01)</f>
        <v>1290.5365999999999</v>
      </c>
      <c r="S117" s="15">
        <v>103.6</v>
      </c>
      <c r="T117" s="15">
        <f>DATA[[#This Row],[C. DF]]+DATA[[#This Row],[C.OPE.]]</f>
        <v>1394.1365999999998</v>
      </c>
      <c r="U117" s="15">
        <f>DATA[[#This Row],[SUB TOTAL]]*0.18</f>
        <v>250.94458799999995</v>
      </c>
      <c r="V117" s="15">
        <f>IFERROR(ROUND(DATA[[#This Row],[SUB TOTAL]]+DATA[[#This Row],[IGV]],2),0)</f>
        <v>1645.08</v>
      </c>
      <c r="W117" s="16" t="str">
        <f>IF(DATA[[#This Row],[VALORIZACIÓN ]]="-","NO CORRESPONDE",IF(OR(A117=20558226979,A117=10470707866,A117=20111157058,A117=20100226902),"NO CORRESPONDE",IF(J117="Emitida",IF(P117&gt;0,"EMITIDA","PENDIENTE"),"NO CORRESPONDE")))</f>
        <v>EMITIDA</v>
      </c>
      <c r="X117" s="29" t="s">
        <v>144</v>
      </c>
      <c r="Y117" s="17" t="s">
        <v>118</v>
      </c>
      <c r="Z117" s="30">
        <v>45686</v>
      </c>
      <c r="AA117" s="10" t="s">
        <v>124</v>
      </c>
      <c r="AB117" s="19">
        <v>530</v>
      </c>
      <c r="AC117" s="20">
        <v>30</v>
      </c>
      <c r="AD117" s="18">
        <f>DATA[[#This Row],[FECHA DE EMISION]]+DATA[[#This Row],[CONDICION DE PAGO]]</f>
        <v>45716</v>
      </c>
      <c r="AE117" s="23" t="e">
        <f>IF(DATA[[#This Row],[MONEDA]]="USD",VLOOKUP(DATA[[#This Row],[COMBINADA]],#REF!,11,0),1)</f>
        <v>#REF!</v>
      </c>
      <c r="AF117" s="39" t="str">
        <f>IF(DATA[[#This Row],[SERIE2]]="-","NO CORRESPONDE",IF(W117="NO CORRESPONDE","NO CORRESPONDE",IF(Z117&gt;0,"FACTURADO","PENDIENTE")))</f>
        <v>FACTURADO</v>
      </c>
      <c r="AG117" s="27">
        <f>IFERROR(VLOOKUP(DATA[[#This Row],[COMBINADA]],#REF!,6,0),0)</f>
        <v>0</v>
      </c>
      <c r="AH117" s="125">
        <f>IFERROR(VLOOKUP(DATA[[#This Row],[COMBINADA]],#REF!,9,0),0)/COUNTIFS(DATA[COMBINADA],DATA[[#This Row],[COMBINADA]])</f>
        <v>0</v>
      </c>
      <c r="AI117" s="27">
        <f>IFERROR(VLOOKUP(DATA[[#This Row],[COMBINADA]],#REF!,6,0),0)</f>
        <v>0</v>
      </c>
      <c r="AJ117" s="125">
        <f>IFERROR(VLOOKUP(DATA[[#This Row],[COMBINADA]],#REF!,9,0),0)/COUNTIFS(DATA[COMBINADA],DATA[[#This Row],[COMBINADA]])</f>
        <v>0</v>
      </c>
      <c r="AK117" s="27">
        <f>IFERROR(VLOOKUP(DATA[[#This Row],[COMBINADA]],#REF!,6,0),0)</f>
        <v>0</v>
      </c>
      <c r="AL117" s="125">
        <f>IFERROR(VLOOKUP(DATA[[#This Row],[COMBINADA]],#REF!,9,0),0)/COUNTIFS(DATA[COMBINADA],DATA[[#This Row],[COMBINADA]])</f>
        <v>0</v>
      </c>
      <c r="AM117" s="27">
        <f>IFERROR(VLOOKUP(DATA[[#This Row],[COMBINADA]],#REF!,6,0),0)</f>
        <v>0</v>
      </c>
      <c r="AN117" s="125">
        <f>IFERROR(VLOOKUP(DATA[[#This Row],[COMBINADA]],#REF!,9,0),0)/COUNTIFS(DATA[COMBINADA],DATA[[#This Row],[COMBINADA]])</f>
        <v>0</v>
      </c>
      <c r="AO117" s="27">
        <f>IFERROR(VLOOKUP(DATA[[#This Row],[COMBINADA]],#REF!,6,0),0)</f>
        <v>0</v>
      </c>
      <c r="AP117" s="125">
        <f>IFERROR(VLOOKUP(DATA[[#This Row],[COMBINADA]],#REF!,9,0),0)/COUNTIFS(DATA[COMBINADA],DATA[[#This Row],[COMBINADA]])</f>
        <v>0</v>
      </c>
      <c r="AQ11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830.60666666666657</v>
      </c>
      <c r="AR117" s="26" t="str">
        <f>IFERROR(IF(DATA[[#This Row],[estado_fact]]="FACTURADO",VLOOKUP(DATA[[#This Row],[SERIE2]]&amp;"-"&amp;DATA[[#This Row],[NUMERO]],#REF!,34,0),"NO CORRESPONDE"),"NO CORRESPONDE")</f>
        <v>NO CORRESPONDE</v>
      </c>
      <c r="AS117" s="22" t="str">
        <f>IF(DATA[[#This Row],[fecha_fs]]&gt;0,TEXT(DATA[[#This Row],[fecha_fs]],"Mmmm"),0)</f>
        <v>Enero</v>
      </c>
      <c r="AT117" s="22" t="str">
        <f>DATA[[#This Row],[SERIE2]]&amp;"-"&amp;DATA[[#This Row],[NUMERO]]</f>
        <v>FE01-530</v>
      </c>
      <c r="AU117" s="28" t="e">
        <f>DATA[[#This Row],[TOTAL]]*DATA[[#This Row],[T.C.]]</f>
        <v>#REF!</v>
      </c>
      <c r="AV117" s="6">
        <f>DATA[[#This Row],[FECHA DE VAL.]]</f>
        <v>45684</v>
      </c>
      <c r="AW117" s="6">
        <f>DATA[[#This Row],[FECHA DE EMISION]]</f>
        <v>45686</v>
      </c>
      <c r="AX117" s="6">
        <f>DATA[[#This Row],[F1]]</f>
        <v>0</v>
      </c>
      <c r="AY117" s="20">
        <f>IF(AV117-DATA[[#This Row],[fecha_fs]]&lt;0,0,AV117-DATA[[#This Row],[fecha_fs]])</f>
        <v>4</v>
      </c>
      <c r="AZ117" s="20">
        <f t="shared" si="10"/>
        <v>2</v>
      </c>
      <c r="BA117" s="20">
        <f t="shared" si="11"/>
        <v>0</v>
      </c>
      <c r="BB117" s="195">
        <f>IFERROR(SUM(DATA[[#This Row],[fs_val_ttf]:[fact_pago_ttf]]),0)</f>
        <v>6</v>
      </c>
      <c r="BC117" s="185">
        <v>45680</v>
      </c>
      <c r="BD117" s="185">
        <v>45686</v>
      </c>
      <c r="BE117" s="185">
        <v>45687</v>
      </c>
      <c r="BF117" s="185">
        <v>45758</v>
      </c>
      <c r="BG117" s="20">
        <f>IFERROR(IF(BC117-DATA[[#This Row],[fecha_fs]]&lt;0,0,BC117-DATA[[#This Row],[fecha_fs]]),0)</f>
        <v>0</v>
      </c>
      <c r="BH117" s="20">
        <f t="shared" si="12"/>
        <v>6</v>
      </c>
      <c r="BI117" s="20">
        <f t="shared" si="13"/>
        <v>1</v>
      </c>
      <c r="BJ117" s="20">
        <f t="shared" si="14"/>
        <v>71</v>
      </c>
      <c r="BK117" s="218">
        <f>IFERROR(SUM(DATA[[#This Row],[fs_fd_ttd]:[fend_fenf_ttd]]),0)</f>
        <v>78</v>
      </c>
      <c r="BL117" s="20" t="str">
        <f>IF(DATA[[#This Row],[fecha_fs]]&gt;0,TEXT(DATA[[#This Row],[fecha_fs]],"YYYY"),0)</f>
        <v>2025</v>
      </c>
      <c r="BM117" s="221" t="b">
        <v>1</v>
      </c>
      <c r="BN117" s="278">
        <f>COUNTIF(DATA[[#This Row],[tiempo_td]], "&lt;=15")</f>
        <v>0</v>
      </c>
      <c r="BO117" s="222"/>
    </row>
    <row r="118" spans="1:67" ht="30.6" customHeight="1" x14ac:dyDescent="0.25">
      <c r="A118" s="4">
        <v>20100192064</v>
      </c>
      <c r="B118" s="5" t="s">
        <v>60</v>
      </c>
      <c r="C118" s="52" t="s">
        <v>59</v>
      </c>
      <c r="D118" s="4" t="s">
        <v>120</v>
      </c>
      <c r="E118" s="5" t="s">
        <v>3</v>
      </c>
      <c r="F118" s="24">
        <v>45680</v>
      </c>
      <c r="G118" s="7" t="s">
        <v>113</v>
      </c>
      <c r="H118" s="25">
        <f t="shared" si="9"/>
        <v>1</v>
      </c>
      <c r="I118" s="67">
        <v>4020</v>
      </c>
      <c r="J118" s="8" t="s">
        <v>115</v>
      </c>
      <c r="K118" s="9" t="s">
        <v>121</v>
      </c>
      <c r="L118" s="10" t="s">
        <v>117</v>
      </c>
      <c r="M118" s="11">
        <v>260</v>
      </c>
      <c r="N118" s="12" t="s">
        <v>129</v>
      </c>
      <c r="O118" s="6">
        <v>45684</v>
      </c>
      <c r="P118" s="71">
        <v>3243</v>
      </c>
      <c r="Q118" s="14" t="s">
        <v>123</v>
      </c>
      <c r="R118" s="15">
        <f>(DATA[[#This Row],[cantidad_fs]]/1000)*(47+169.83)</f>
        <v>56.375800000000005</v>
      </c>
      <c r="S118" s="15">
        <v>67</v>
      </c>
      <c r="T118" s="15">
        <f>DATA[[#This Row],[C. DF]]+DATA[[#This Row],[C.OPE.]]</f>
        <v>123.3758</v>
      </c>
      <c r="U118" s="15">
        <f>DATA[[#This Row],[SUB TOTAL]]*0.18</f>
        <v>22.207643999999998</v>
      </c>
      <c r="V118" s="15">
        <f>IFERROR(ROUND(DATA[[#This Row],[SUB TOTAL]]+DATA[[#This Row],[IGV]],2),0)</f>
        <v>145.58000000000001</v>
      </c>
      <c r="W118" s="16" t="str">
        <f>IF(DATA[[#This Row],[VALORIZACIÓN ]]="-","NO CORRESPONDE",IF(OR(A118=20558226979,A118=10470707866,A118=20111157058,A118=20100226902),"NO CORRESPONDE",IF(J118="Emitida",IF(P118&gt;0,"EMITIDA","PENDIENTE"),"NO CORRESPONDE")))</f>
        <v>EMITIDA</v>
      </c>
      <c r="X118" s="29"/>
      <c r="Y118" s="17" t="s">
        <v>118</v>
      </c>
      <c r="Z118" s="30">
        <v>45687</v>
      </c>
      <c r="AA118" s="10" t="s">
        <v>124</v>
      </c>
      <c r="AB118" s="19">
        <v>533</v>
      </c>
      <c r="AC118" s="20">
        <v>30</v>
      </c>
      <c r="AD118" s="18">
        <f>DATA[[#This Row],[FECHA DE EMISION]]+DATA[[#This Row],[CONDICION DE PAGO]]</f>
        <v>45717</v>
      </c>
      <c r="AE118" s="23" t="e">
        <f>IF(DATA[[#This Row],[MONEDA]]="USD",VLOOKUP(DATA[[#This Row],[COMBINADA]],#REF!,11,0),1)</f>
        <v>#REF!</v>
      </c>
      <c r="AF118" s="39" t="str">
        <f>IF(DATA[[#This Row],[SERIE2]]="-","NO CORRESPONDE",IF(W118="NO CORRESPONDE","NO CORRESPONDE",IF(Z118&gt;0,"FACTURADO","PENDIENTE")))</f>
        <v>FACTURADO</v>
      </c>
      <c r="AG118" s="27">
        <f>IFERROR(VLOOKUP(DATA[[#This Row],[COMBINADA]],#REF!,6,0),0)</f>
        <v>0</v>
      </c>
      <c r="AH118" s="125">
        <f>IFERROR(VLOOKUP(DATA[[#This Row],[COMBINADA]],#REF!,9,0),0)/COUNTIFS(DATA[COMBINADA],DATA[[#This Row],[COMBINADA]])</f>
        <v>0</v>
      </c>
      <c r="AI118" s="27">
        <f>IFERROR(VLOOKUP(DATA[[#This Row],[COMBINADA]],#REF!,6,0),0)</f>
        <v>0</v>
      </c>
      <c r="AJ118" s="125">
        <f>IFERROR(VLOOKUP(DATA[[#This Row],[COMBINADA]],#REF!,9,0),0)/COUNTIFS(DATA[COMBINADA],DATA[[#This Row],[COMBINADA]])</f>
        <v>0</v>
      </c>
      <c r="AK118" s="27">
        <f>IFERROR(VLOOKUP(DATA[[#This Row],[COMBINADA]],#REF!,6,0),0)</f>
        <v>0</v>
      </c>
      <c r="AL118" s="125">
        <f>IFERROR(VLOOKUP(DATA[[#This Row],[COMBINADA]],#REF!,9,0),0)/COUNTIFS(DATA[COMBINADA],DATA[[#This Row],[COMBINADA]])</f>
        <v>0</v>
      </c>
      <c r="AM118" s="27">
        <f>IFERROR(VLOOKUP(DATA[[#This Row],[COMBINADA]],#REF!,6,0),0)</f>
        <v>0</v>
      </c>
      <c r="AN118" s="125">
        <f>IFERROR(VLOOKUP(DATA[[#This Row],[COMBINADA]],#REF!,9,0),0)/COUNTIFS(DATA[COMBINADA],DATA[[#This Row],[COMBINADA]])</f>
        <v>0</v>
      </c>
      <c r="AO118" s="27">
        <f>IFERROR(VLOOKUP(DATA[[#This Row],[COMBINADA]],#REF!,6,0),0)</f>
        <v>0</v>
      </c>
      <c r="AP118" s="125">
        <f>IFERROR(VLOOKUP(DATA[[#This Row],[COMBINADA]],#REF!,9,0),0)/COUNTIFS(DATA[COMBINADA],DATA[[#This Row],[COMBINADA]])</f>
        <v>0</v>
      </c>
      <c r="AQ11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215.94499999999999</v>
      </c>
      <c r="AR118" s="26" t="str">
        <f>IFERROR(IF(DATA[[#This Row],[estado_fact]]="FACTURADO",VLOOKUP(DATA[[#This Row],[SERIE2]]&amp;"-"&amp;DATA[[#This Row],[NUMERO]],#REF!,34,0),"NO CORRESPONDE"),"NO CORRESPONDE")</f>
        <v>NO CORRESPONDE</v>
      </c>
      <c r="AS118" s="22" t="str">
        <f>IF(DATA[[#This Row],[fecha_fs]]&gt;0,TEXT(DATA[[#This Row],[fecha_fs]],"Mmmm"),0)</f>
        <v>Enero</v>
      </c>
      <c r="AT118" s="22" t="str">
        <f>DATA[[#This Row],[SERIE2]]&amp;"-"&amp;DATA[[#This Row],[NUMERO]]</f>
        <v>FE01-533</v>
      </c>
      <c r="AU118" s="28" t="e">
        <f>DATA[[#This Row],[TOTAL]]*DATA[[#This Row],[T.C.]]</f>
        <v>#REF!</v>
      </c>
      <c r="AV118" s="6">
        <f>DATA[[#This Row],[FECHA DE VAL.]]</f>
        <v>45684</v>
      </c>
      <c r="AW118" s="6">
        <f>DATA[[#This Row],[FECHA DE EMISION]]</f>
        <v>45687</v>
      </c>
      <c r="AX118" s="6">
        <f>DATA[[#This Row],[F1]]</f>
        <v>0</v>
      </c>
      <c r="AY118" s="20">
        <f>IF(AV118-DATA[[#This Row],[fecha_fs]]&lt;0,0,AV118-DATA[[#This Row],[fecha_fs]])</f>
        <v>4</v>
      </c>
      <c r="AZ118" s="20">
        <f t="shared" si="10"/>
        <v>3</v>
      </c>
      <c r="BA118" s="20">
        <f t="shared" si="11"/>
        <v>0</v>
      </c>
      <c r="BB118" s="195">
        <f>IFERROR(SUM(DATA[[#This Row],[fs_val_ttf]:[fact_pago_ttf]]),0)</f>
        <v>7</v>
      </c>
      <c r="BC118" s="184">
        <v>45698</v>
      </c>
      <c r="BD118" s="184">
        <v>45705</v>
      </c>
      <c r="BE118" s="184">
        <v>45727</v>
      </c>
      <c r="BF118" s="184">
        <v>45758</v>
      </c>
      <c r="BG118" s="20">
        <f>IFERROR(IF(BC118-DATA[[#This Row],[fecha_fs]]&lt;0,0,BC118-DATA[[#This Row],[fecha_fs]]),0)</f>
        <v>18</v>
      </c>
      <c r="BH118" s="20">
        <f t="shared" si="12"/>
        <v>7</v>
      </c>
      <c r="BI118" s="20">
        <f t="shared" si="13"/>
        <v>22</v>
      </c>
      <c r="BJ118" s="20">
        <f t="shared" si="14"/>
        <v>31</v>
      </c>
      <c r="BK118" s="218">
        <f>IFERROR(SUM(DATA[[#This Row],[fs_fd_ttd]:[fend_fenf_ttd]]),0)</f>
        <v>78</v>
      </c>
      <c r="BL118" s="20" t="str">
        <f>IF(DATA[[#This Row],[fecha_fs]]&gt;0,TEXT(DATA[[#This Row],[fecha_fs]],"YYYY"),0)</f>
        <v>2025</v>
      </c>
      <c r="BM118" s="221" t="b">
        <v>1</v>
      </c>
      <c r="BN118" s="278">
        <f>COUNTIF(DATA[[#This Row],[tiempo_td]], "&lt;=15")</f>
        <v>0</v>
      </c>
      <c r="BO118" s="222"/>
    </row>
    <row r="119" spans="1:67" ht="30.6" customHeight="1" x14ac:dyDescent="0.25">
      <c r="A119" s="4">
        <v>20100211115</v>
      </c>
      <c r="B119" s="5" t="s">
        <v>41</v>
      </c>
      <c r="C119" s="52" t="s">
        <v>18</v>
      </c>
      <c r="D119" s="4" t="s">
        <v>120</v>
      </c>
      <c r="E119" s="5" t="s">
        <v>3</v>
      </c>
      <c r="F119" s="24">
        <v>45679</v>
      </c>
      <c r="G119" s="7" t="s">
        <v>113</v>
      </c>
      <c r="H119" s="25">
        <f t="shared" si="9"/>
        <v>1</v>
      </c>
      <c r="I119" s="67">
        <v>4021</v>
      </c>
      <c r="J119" s="8" t="s">
        <v>115</v>
      </c>
      <c r="K119" s="9" t="s">
        <v>163</v>
      </c>
      <c r="L119" s="10" t="s">
        <v>117</v>
      </c>
      <c r="M119" s="11">
        <v>816</v>
      </c>
      <c r="N119" s="12" t="s">
        <v>125</v>
      </c>
      <c r="O119" s="6">
        <v>45684</v>
      </c>
      <c r="P119" s="115">
        <v>3268</v>
      </c>
      <c r="Q119" s="14" t="s">
        <v>85</v>
      </c>
      <c r="R119" s="15"/>
      <c r="S119" s="15">
        <f>DATA[[#This Row],[cantidad_fs]]*0.75</f>
        <v>612</v>
      </c>
      <c r="T119" s="15">
        <f>DATA[[#This Row],[C. DF]]+DATA[[#This Row],[C.OPE.]]</f>
        <v>612</v>
      </c>
      <c r="U119" s="15">
        <f>DATA[[#This Row],[SUB TOTAL]]*0.18</f>
        <v>110.16</v>
      </c>
      <c r="V119" s="15">
        <f>IFERROR(ROUND(DATA[[#This Row],[SUB TOTAL]]+DATA[[#This Row],[IGV]],2),0)</f>
        <v>722.16</v>
      </c>
      <c r="W119" s="16" t="str">
        <f>IF(DATA[[#This Row],[VALORIZACIÓN ]]="-","NO CORRESPONDE",IF(OR(A119=20558226979,A119=10470707866,A119=20111157058,A119=20100226902),"NO CORRESPONDE",IF(J119="Emitida",IF(P119&gt;0,"EMITIDA","PENDIENTE"),"NO CORRESPONDE")))</f>
        <v>EMITIDA</v>
      </c>
      <c r="X119" s="29"/>
      <c r="Y119" s="17" t="s">
        <v>118</v>
      </c>
      <c r="Z119" s="30">
        <v>45687</v>
      </c>
      <c r="AA119" s="10" t="s">
        <v>124</v>
      </c>
      <c r="AB119" s="19">
        <v>537</v>
      </c>
      <c r="AC119" s="20">
        <v>30</v>
      </c>
      <c r="AD119" s="18">
        <f>DATA[[#This Row],[FECHA DE EMISION]]+DATA[[#This Row],[CONDICION DE PAGO]]</f>
        <v>45717</v>
      </c>
      <c r="AE119" s="23">
        <f>IF(DATA[[#This Row],[MONEDA]]="USD",VLOOKUP(DATA[[#This Row],[COMBINADA]],#REF!,11,0),1)</f>
        <v>1</v>
      </c>
      <c r="AF119" s="39" t="str">
        <f>IF(DATA[[#This Row],[SERIE2]]="-","NO CORRESPONDE",IF(W119="NO CORRESPONDE","NO CORRESPONDE",IF(Z119&gt;0,"FACTURADO","PENDIENTE")))</f>
        <v>FACTURADO</v>
      </c>
      <c r="AG119" s="27">
        <f>IFERROR(VLOOKUP(DATA[[#This Row],[COMBINADA]],#REF!,6,0),0)</f>
        <v>0</v>
      </c>
      <c r="AH119" s="125">
        <f>IFERROR(VLOOKUP(DATA[[#This Row],[COMBINADA]],#REF!,9,0),0)/COUNTIFS(DATA[COMBINADA],DATA[[#This Row],[COMBINADA]])</f>
        <v>0</v>
      </c>
      <c r="AI119" s="27">
        <f>IFERROR(VLOOKUP(DATA[[#This Row],[COMBINADA]],#REF!,6,0),0)</f>
        <v>0</v>
      </c>
      <c r="AJ119" s="125">
        <f>IFERROR(VLOOKUP(DATA[[#This Row],[COMBINADA]],#REF!,9,0),0)/COUNTIFS(DATA[COMBINADA],DATA[[#This Row],[COMBINADA]])</f>
        <v>0</v>
      </c>
      <c r="AK119" s="27">
        <f>IFERROR(VLOOKUP(DATA[[#This Row],[COMBINADA]],#REF!,6,0),0)</f>
        <v>0</v>
      </c>
      <c r="AL119" s="125">
        <f>IFERROR(VLOOKUP(DATA[[#This Row],[COMBINADA]],#REF!,9,0),0)/COUNTIFS(DATA[COMBINADA],DATA[[#This Row],[COMBINADA]])</f>
        <v>0</v>
      </c>
      <c r="AM119" s="27">
        <f>IFERROR(VLOOKUP(DATA[[#This Row],[COMBINADA]],#REF!,6,0),0)</f>
        <v>0</v>
      </c>
      <c r="AN119" s="125">
        <f>IFERROR(VLOOKUP(DATA[[#This Row],[COMBINADA]],#REF!,9,0),0)/COUNTIFS(DATA[COMBINADA],DATA[[#This Row],[COMBINADA]])</f>
        <v>0</v>
      </c>
      <c r="AO119" s="27">
        <f>IFERROR(VLOOKUP(DATA[[#This Row],[COMBINADA]],#REF!,6,0),0)</f>
        <v>0</v>
      </c>
      <c r="AP119" s="125">
        <f>IFERROR(VLOOKUP(DATA[[#This Row],[COMBINADA]],#REF!,9,0),0)/COUNTIFS(DATA[COMBINADA],DATA[[#This Row],[COMBINADA]])</f>
        <v>0</v>
      </c>
      <c r="AQ11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996.5100000000001</v>
      </c>
      <c r="AR119" s="26" t="str">
        <f>IFERROR(IF(DATA[[#This Row],[estado_fact]]="FACTURADO",VLOOKUP(DATA[[#This Row],[SERIE2]]&amp;"-"&amp;DATA[[#This Row],[NUMERO]],#REF!,34,0),"NO CORRESPONDE"),"NO CORRESPONDE")</f>
        <v>NO CORRESPONDE</v>
      </c>
      <c r="AS119" s="22" t="str">
        <f>IF(DATA[[#This Row],[fecha_fs]]&gt;0,TEXT(DATA[[#This Row],[fecha_fs]],"Mmmm"),0)</f>
        <v>Enero</v>
      </c>
      <c r="AT119" s="22" t="str">
        <f>DATA[[#This Row],[SERIE2]]&amp;"-"&amp;DATA[[#This Row],[NUMERO]]</f>
        <v>FE01-537</v>
      </c>
      <c r="AU119" s="28">
        <f>DATA[[#This Row],[TOTAL]]*DATA[[#This Row],[T.C.]]</f>
        <v>722.16</v>
      </c>
      <c r="AV119" s="6">
        <f>DATA[[#This Row],[FECHA DE VAL.]]</f>
        <v>45684</v>
      </c>
      <c r="AW119" s="6">
        <f>DATA[[#This Row],[FECHA DE EMISION]]</f>
        <v>45687</v>
      </c>
      <c r="AX119" s="6">
        <f>DATA[[#This Row],[F1]]</f>
        <v>0</v>
      </c>
      <c r="AY119" s="20">
        <f>IF(AV119-DATA[[#This Row],[fecha_fs]]&lt;0,0,AV119-DATA[[#This Row],[fecha_fs]])</f>
        <v>5</v>
      </c>
      <c r="AZ119" s="20">
        <f t="shared" si="10"/>
        <v>3</v>
      </c>
      <c r="BA119" s="20">
        <f t="shared" si="11"/>
        <v>0</v>
      </c>
      <c r="BB119" s="195">
        <f>IFERROR(SUM(DATA[[#This Row],[fs_val_ttf]:[fact_pago_ttf]]),0)</f>
        <v>8</v>
      </c>
      <c r="BC119" s="185">
        <v>45698</v>
      </c>
      <c r="BD119" s="185">
        <v>45707</v>
      </c>
      <c r="BE119" s="185">
        <v>45712</v>
      </c>
      <c r="BF119" s="185">
        <v>45714</v>
      </c>
      <c r="BG119" s="20">
        <f>IFERROR(IF(BC119-DATA[[#This Row],[fecha_fs]]&lt;0,0,BC119-DATA[[#This Row],[fecha_fs]]),0)</f>
        <v>19</v>
      </c>
      <c r="BH119" s="20">
        <f t="shared" si="12"/>
        <v>9</v>
      </c>
      <c r="BI119" s="20">
        <f t="shared" si="13"/>
        <v>5</v>
      </c>
      <c r="BJ119" s="20">
        <f t="shared" si="14"/>
        <v>2</v>
      </c>
      <c r="BK119" s="218">
        <f>IFERROR(SUM(DATA[[#This Row],[fs_fd_ttd]:[fend_fenf_ttd]]),0)</f>
        <v>35</v>
      </c>
      <c r="BL119" s="20" t="str">
        <f>IF(DATA[[#This Row],[fecha_fs]]&gt;0,TEXT(DATA[[#This Row],[fecha_fs]],"YYYY"),0)</f>
        <v>2025</v>
      </c>
      <c r="BM119" s="221" t="b">
        <v>1</v>
      </c>
      <c r="BN119" s="278">
        <f>COUNTIF(DATA[[#This Row],[tiempo_td]], "&lt;=15")</f>
        <v>0</v>
      </c>
      <c r="BO119" s="222"/>
    </row>
    <row r="120" spans="1:67" ht="30.6" customHeight="1" x14ac:dyDescent="0.25">
      <c r="A120" s="4">
        <v>20133208292</v>
      </c>
      <c r="B120" s="5" t="s">
        <v>32</v>
      </c>
      <c r="C120" s="52" t="s">
        <v>33</v>
      </c>
      <c r="D120" s="4" t="s">
        <v>112</v>
      </c>
      <c r="E120" s="5" t="s">
        <v>1</v>
      </c>
      <c r="F120" s="24">
        <v>45680</v>
      </c>
      <c r="G120" s="7" t="s">
        <v>113</v>
      </c>
      <c r="H120" s="25">
        <f t="shared" si="9"/>
        <v>1</v>
      </c>
      <c r="I120" s="67">
        <v>4022</v>
      </c>
      <c r="J120" s="8" t="s">
        <v>115</v>
      </c>
      <c r="K120" s="9" t="s">
        <v>116</v>
      </c>
      <c r="L120" s="10" t="s">
        <v>117</v>
      </c>
      <c r="M120" s="11">
        <v>6000</v>
      </c>
      <c r="N120" s="12" t="s">
        <v>167</v>
      </c>
      <c r="O120" s="6">
        <v>45688</v>
      </c>
      <c r="P120" s="13">
        <v>3275</v>
      </c>
      <c r="Q120" s="14" t="s">
        <v>85</v>
      </c>
      <c r="R120" s="15">
        <f>DATA[[#This Row],[cantidad_fs]]*0.97</f>
        <v>5820</v>
      </c>
      <c r="S120" s="15">
        <v>2460.17</v>
      </c>
      <c r="T120" s="15">
        <f>DATA[[#This Row],[C. DF]]+DATA[[#This Row],[C.OPE.]]</f>
        <v>8280.17</v>
      </c>
      <c r="U120" s="15">
        <f>DATA[[#This Row],[SUB TOTAL]]*0.18</f>
        <v>1490.4305999999999</v>
      </c>
      <c r="V120" s="15">
        <f>IFERROR(ROUND(DATA[[#This Row],[SUB TOTAL]]+DATA[[#This Row],[IGV]],2),0)</f>
        <v>9770.6</v>
      </c>
      <c r="W120" s="16" t="str">
        <f>IF(DATA[[#This Row],[VALORIZACIÓN ]]="-","NO CORRESPONDE",IF(OR(A120=20558226979,A120=10470707866,A120=20111157058,A120=20100226902),"NO CORRESPONDE",IF(J120="Emitida",IF(P120&gt;0,"EMITIDA","PENDIENTE"),"NO CORRESPONDE")))</f>
        <v>EMITIDA</v>
      </c>
      <c r="X120" s="29" t="s">
        <v>181</v>
      </c>
      <c r="Y120" s="17" t="s">
        <v>118</v>
      </c>
      <c r="Z120" s="30">
        <v>45698</v>
      </c>
      <c r="AA120" s="10" t="s">
        <v>124</v>
      </c>
      <c r="AB120" s="19">
        <v>554</v>
      </c>
      <c r="AC120" s="20">
        <v>15</v>
      </c>
      <c r="AD120" s="18">
        <f>DATA[[#This Row],[FECHA DE EMISION]]+DATA[[#This Row],[CONDICION DE PAGO]]</f>
        <v>45713</v>
      </c>
      <c r="AE120" s="23">
        <f>IF(DATA[[#This Row],[MONEDA]]="USD",VLOOKUP(DATA[[#This Row],[COMBINADA]],#REF!,11,0),1)</f>
        <v>1</v>
      </c>
      <c r="AF120" s="39" t="str">
        <f>IF(DATA[[#This Row],[SERIE2]]="-","NO CORRESPONDE",IF(W120="NO CORRESPONDE","NO CORRESPONDE",IF(Z120&gt;0,"FACTURADO","PENDIENTE")))</f>
        <v>FACTURADO</v>
      </c>
      <c r="AG120" s="27">
        <f>IFERROR(VLOOKUP(DATA[[#This Row],[COMBINADA]],#REF!,6,0),0)</f>
        <v>0</v>
      </c>
      <c r="AH120" s="125">
        <f>IFERROR(VLOOKUP(DATA[[#This Row],[COMBINADA]],#REF!,9,0),0)/COUNTIFS(DATA[COMBINADA],DATA[[#This Row],[COMBINADA]])</f>
        <v>0</v>
      </c>
      <c r="AI120" s="27">
        <f>IFERROR(VLOOKUP(DATA[[#This Row],[COMBINADA]],#REF!,6,0),0)</f>
        <v>0</v>
      </c>
      <c r="AJ120" s="125">
        <f>IFERROR(VLOOKUP(DATA[[#This Row],[COMBINADA]],#REF!,9,0),0)/COUNTIFS(DATA[COMBINADA],DATA[[#This Row],[COMBINADA]])</f>
        <v>0</v>
      </c>
      <c r="AK120" s="27">
        <f>IFERROR(VLOOKUP(DATA[[#This Row],[COMBINADA]],#REF!,6,0),0)</f>
        <v>0</v>
      </c>
      <c r="AL120" s="125">
        <f>IFERROR(VLOOKUP(DATA[[#This Row],[COMBINADA]],#REF!,9,0),0)/COUNTIFS(DATA[COMBINADA],DATA[[#This Row],[COMBINADA]])</f>
        <v>0</v>
      </c>
      <c r="AM120" s="27">
        <f>IFERROR(VLOOKUP(DATA[[#This Row],[COMBINADA]],#REF!,6,0),0)</f>
        <v>0</v>
      </c>
      <c r="AN120" s="125">
        <f>IFERROR(VLOOKUP(DATA[[#This Row],[COMBINADA]],#REF!,9,0),0)/COUNTIFS(DATA[COMBINADA],DATA[[#This Row],[COMBINADA]])</f>
        <v>0</v>
      </c>
      <c r="AO120" s="27">
        <f>IFERROR(VLOOKUP(DATA[[#This Row],[COMBINADA]],#REF!,6,0),0)</f>
        <v>0</v>
      </c>
      <c r="AP120" s="125">
        <f>IFERROR(VLOOKUP(DATA[[#This Row],[COMBINADA]],#REF!,9,0),0)/COUNTIFS(DATA[COMBINADA],DATA[[#This Row],[COMBINADA]])</f>
        <v>0</v>
      </c>
      <c r="AQ12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9770.6</v>
      </c>
      <c r="AR120" s="26" t="str">
        <f>IFERROR(IF(DATA[[#This Row],[estado_fact]]="FACTURADO",VLOOKUP(DATA[[#This Row],[SERIE2]]&amp;"-"&amp;DATA[[#This Row],[NUMERO]],#REF!,34,0),"NO CORRESPONDE"),"NO CORRESPONDE")</f>
        <v>NO CORRESPONDE</v>
      </c>
      <c r="AS120" s="22" t="str">
        <f>IF(DATA[[#This Row],[fecha_fs]]&gt;0,TEXT(DATA[[#This Row],[fecha_fs]],"Mmmm"),0)</f>
        <v>Enero</v>
      </c>
      <c r="AT120" s="22" t="str">
        <f>DATA[[#This Row],[SERIE2]]&amp;"-"&amp;DATA[[#This Row],[NUMERO]]</f>
        <v>FE01-554</v>
      </c>
      <c r="AU120" s="28">
        <f>DATA[[#This Row],[TOTAL]]*DATA[[#This Row],[T.C.]]</f>
        <v>9770.6</v>
      </c>
      <c r="AV120" s="6">
        <f>DATA[[#This Row],[FECHA DE VAL.]]</f>
        <v>45688</v>
      </c>
      <c r="AW120" s="6">
        <f>DATA[[#This Row],[FECHA DE EMISION]]</f>
        <v>45698</v>
      </c>
      <c r="AX120" s="6">
        <f>DATA[[#This Row],[F1]]</f>
        <v>0</v>
      </c>
      <c r="AY120" s="20">
        <f>IF(AV120-DATA[[#This Row],[fecha_fs]]&lt;0,0,AV120-DATA[[#This Row],[fecha_fs]])</f>
        <v>8</v>
      </c>
      <c r="AZ120" s="20">
        <f t="shared" si="10"/>
        <v>10</v>
      </c>
      <c r="BA120" s="20">
        <f t="shared" si="11"/>
        <v>0</v>
      </c>
      <c r="BB120" s="195">
        <f>IFERROR(SUM(DATA[[#This Row],[fs_val_ttf]:[fact_pago_ttf]]),0)</f>
        <v>18</v>
      </c>
      <c r="BC120" s="185">
        <v>45698</v>
      </c>
      <c r="BD120" s="185">
        <v>45699</v>
      </c>
      <c r="BE120" s="185">
        <v>45706</v>
      </c>
      <c r="BF120" s="185">
        <v>45714</v>
      </c>
      <c r="BG120" s="20">
        <f>IFERROR(IF(BC120-DATA[[#This Row],[fecha_fs]]&lt;0,0,BC120-DATA[[#This Row],[fecha_fs]]),0)</f>
        <v>18</v>
      </c>
      <c r="BH120" s="20">
        <f t="shared" si="12"/>
        <v>1</v>
      </c>
      <c r="BI120" s="20">
        <f t="shared" si="13"/>
        <v>7</v>
      </c>
      <c r="BJ120" s="20">
        <f t="shared" si="14"/>
        <v>8</v>
      </c>
      <c r="BK120" s="218">
        <f>IFERROR(SUM(DATA[[#This Row],[fs_fd_ttd]:[fend_fenf_ttd]]),0)</f>
        <v>34</v>
      </c>
      <c r="BL120" s="20" t="str">
        <f>IF(DATA[[#This Row],[fecha_fs]]&gt;0,TEXT(DATA[[#This Row],[fecha_fs]],"YYYY"),0)</f>
        <v>2025</v>
      </c>
      <c r="BM120" s="221" t="b">
        <v>1</v>
      </c>
      <c r="BN120" s="278">
        <f>COUNTIF(DATA[[#This Row],[tiempo_td]], "&lt;=15")</f>
        <v>0</v>
      </c>
      <c r="BO120" s="222"/>
    </row>
    <row r="121" spans="1:67" ht="30.6" customHeight="1" x14ac:dyDescent="0.25">
      <c r="A121" s="4">
        <v>20100055237</v>
      </c>
      <c r="B121" s="5" t="s">
        <v>21</v>
      </c>
      <c r="C121" s="52" t="s">
        <v>138</v>
      </c>
      <c r="D121" s="4" t="s">
        <v>139</v>
      </c>
      <c r="E121" s="5" t="s">
        <v>23</v>
      </c>
      <c r="F121" s="24">
        <v>45680</v>
      </c>
      <c r="G121" s="7" t="s">
        <v>113</v>
      </c>
      <c r="H121" s="25">
        <f t="shared" si="9"/>
        <v>1</v>
      </c>
      <c r="I121" s="67">
        <v>4023</v>
      </c>
      <c r="J121" s="8" t="s">
        <v>115</v>
      </c>
      <c r="K121" s="9" t="s">
        <v>121</v>
      </c>
      <c r="L121" s="10" t="s">
        <v>117</v>
      </c>
      <c r="M121" s="11">
        <v>50</v>
      </c>
      <c r="N121" s="12" t="s">
        <v>132</v>
      </c>
      <c r="O121" s="6">
        <v>45687</v>
      </c>
      <c r="P121" s="54">
        <v>3273</v>
      </c>
      <c r="Q121" s="14" t="s">
        <v>85</v>
      </c>
      <c r="R121" s="15"/>
      <c r="S121" s="15">
        <v>297.92</v>
      </c>
      <c r="T121" s="15">
        <f>DATA[[#This Row],[C. DF]]+DATA[[#This Row],[C.OPE.]]</f>
        <v>297.92</v>
      </c>
      <c r="U121" s="15">
        <f>DATA[[#This Row],[SUB TOTAL]]*0.18</f>
        <v>53.625599999999999</v>
      </c>
      <c r="V121" s="15">
        <f>IFERROR(ROUND(DATA[[#This Row],[SUB TOTAL]]+DATA[[#This Row],[IGV]],2),0)</f>
        <v>351.55</v>
      </c>
      <c r="W121" s="16" t="str">
        <f>IF(DATA[[#This Row],[VALORIZACIÓN ]]="-","NO CORRESPONDE",IF(OR(A121=20558226979,A121=10470707866,A121=20111157058,A121=20100226902),"NO CORRESPONDE",IF(J121="Emitida",IF(P121&gt;0,"EMITIDA","PENDIENTE"),"NO CORRESPONDE")))</f>
        <v>EMITIDA</v>
      </c>
      <c r="X121" s="29" t="s">
        <v>140</v>
      </c>
      <c r="Y121" s="17" t="s">
        <v>118</v>
      </c>
      <c r="Z121" s="30">
        <v>45701</v>
      </c>
      <c r="AA121" s="10" t="s">
        <v>124</v>
      </c>
      <c r="AB121" s="19">
        <v>562</v>
      </c>
      <c r="AC121" s="20">
        <v>30</v>
      </c>
      <c r="AD121" s="18">
        <f>DATA[[#This Row],[FECHA DE EMISION]]+DATA[[#This Row],[CONDICION DE PAGO]]</f>
        <v>45731</v>
      </c>
      <c r="AE121" s="23">
        <f>IF(DATA[[#This Row],[MONEDA]]="USD",VLOOKUP(DATA[[#This Row],[COMBINADA]],#REF!,11,0),1)</f>
        <v>1</v>
      </c>
      <c r="AF121" s="39" t="str">
        <f>IF(DATA[[#This Row],[SERIE2]]="-","NO CORRESPONDE",IF(W121="NO CORRESPONDE","NO CORRESPONDE",IF(Z121&gt;0,"FACTURADO","PENDIENTE")))</f>
        <v>FACTURADO</v>
      </c>
      <c r="AG121" s="27">
        <f>IFERROR(VLOOKUP(DATA[[#This Row],[COMBINADA]],#REF!,6,0),0)</f>
        <v>0</v>
      </c>
      <c r="AH121" s="125">
        <f>IFERROR(VLOOKUP(DATA[[#This Row],[COMBINADA]],#REF!,9,0),0)/COUNTIFS(DATA[COMBINADA],DATA[[#This Row],[COMBINADA]])</f>
        <v>0</v>
      </c>
      <c r="AI121" s="27">
        <f>IFERROR(VLOOKUP(DATA[[#This Row],[COMBINADA]],#REF!,6,0),0)</f>
        <v>0</v>
      </c>
      <c r="AJ121" s="125">
        <f>IFERROR(VLOOKUP(DATA[[#This Row],[COMBINADA]],#REF!,9,0),0)/COUNTIFS(DATA[COMBINADA],DATA[[#This Row],[COMBINADA]])</f>
        <v>0</v>
      </c>
      <c r="AK121" s="27">
        <f>IFERROR(VLOOKUP(DATA[[#This Row],[COMBINADA]],#REF!,6,0),0)</f>
        <v>0</v>
      </c>
      <c r="AL121" s="125">
        <f>IFERROR(VLOOKUP(DATA[[#This Row],[COMBINADA]],#REF!,9,0),0)/COUNTIFS(DATA[COMBINADA],DATA[[#This Row],[COMBINADA]])</f>
        <v>0</v>
      </c>
      <c r="AM121" s="27">
        <f>IFERROR(VLOOKUP(DATA[[#This Row],[COMBINADA]],#REF!,6,0),0)</f>
        <v>0</v>
      </c>
      <c r="AN121" s="125">
        <f>IFERROR(VLOOKUP(DATA[[#This Row],[COMBINADA]],#REF!,9,0),0)/COUNTIFS(DATA[COMBINADA],DATA[[#This Row],[COMBINADA]])</f>
        <v>0</v>
      </c>
      <c r="AO121" s="27">
        <f>IFERROR(VLOOKUP(DATA[[#This Row],[COMBINADA]],#REF!,6,0),0)</f>
        <v>0</v>
      </c>
      <c r="AP121" s="125">
        <f>IFERROR(VLOOKUP(DATA[[#This Row],[COMBINADA]],#REF!,9,0),0)/COUNTIFS(DATA[COMBINADA],DATA[[#This Row],[COMBINADA]])</f>
        <v>0</v>
      </c>
      <c r="AQ12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21" s="26" t="str">
        <f>IFERROR(IF(DATA[[#This Row],[estado_fact]]="FACTURADO",VLOOKUP(DATA[[#This Row],[SERIE2]]&amp;"-"&amp;DATA[[#This Row],[NUMERO]],#REF!,34,0),"NO CORRESPONDE"),"NO CORRESPONDE")</f>
        <v>NO CORRESPONDE</v>
      </c>
      <c r="AS121" s="22" t="str">
        <f>IF(DATA[[#This Row],[fecha_fs]]&gt;0,TEXT(DATA[[#This Row],[fecha_fs]],"Mmmm"),0)</f>
        <v>Enero</v>
      </c>
      <c r="AT121" s="22" t="str">
        <f>DATA[[#This Row],[SERIE2]]&amp;"-"&amp;DATA[[#This Row],[NUMERO]]</f>
        <v>FE01-562</v>
      </c>
      <c r="AU121" s="28">
        <f>DATA[[#This Row],[TOTAL]]*DATA[[#This Row],[T.C.]]</f>
        <v>351.55</v>
      </c>
      <c r="AV121" s="6">
        <f>DATA[[#This Row],[FECHA DE VAL.]]</f>
        <v>45687</v>
      </c>
      <c r="AW121" s="6">
        <f>DATA[[#This Row],[FECHA DE EMISION]]</f>
        <v>45701</v>
      </c>
      <c r="AX121" s="6">
        <f>DATA[[#This Row],[F1]]</f>
        <v>0</v>
      </c>
      <c r="AY121" s="20">
        <f>IF(AV121-DATA[[#This Row],[fecha_fs]]&lt;0,0,AV121-DATA[[#This Row],[fecha_fs]])</f>
        <v>7</v>
      </c>
      <c r="AZ121" s="20">
        <f t="shared" si="10"/>
        <v>14</v>
      </c>
      <c r="BA121" s="20">
        <f t="shared" si="11"/>
        <v>0</v>
      </c>
      <c r="BB121" s="195">
        <f>IFERROR(SUM(DATA[[#This Row],[fs_val_ttf]:[fact_pago_ttf]]),0)</f>
        <v>21</v>
      </c>
      <c r="BC121" s="185">
        <v>45680</v>
      </c>
      <c r="BD121" s="185">
        <v>45680</v>
      </c>
      <c r="BE121" s="185">
        <v>45691</v>
      </c>
      <c r="BF121" s="185">
        <v>45691</v>
      </c>
      <c r="BG121" s="20">
        <f>IFERROR(IF(BC121-DATA[[#This Row],[fecha_fs]]&lt;0,0,BC121-DATA[[#This Row],[fecha_fs]]),0)</f>
        <v>0</v>
      </c>
      <c r="BH121" s="20">
        <f t="shared" si="12"/>
        <v>0</v>
      </c>
      <c r="BI121" s="20">
        <f t="shared" si="13"/>
        <v>11</v>
      </c>
      <c r="BJ121" s="20">
        <f t="shared" si="14"/>
        <v>0</v>
      </c>
      <c r="BK121" s="218">
        <f>IFERROR(SUM(DATA[[#This Row],[fs_fd_ttd]:[fend_fenf_ttd]]),0)</f>
        <v>11</v>
      </c>
      <c r="BL121" s="20" t="str">
        <f>IF(DATA[[#This Row],[fecha_fs]]&gt;0,TEXT(DATA[[#This Row],[fecha_fs]],"YYYY"),0)</f>
        <v>2025</v>
      </c>
      <c r="BM121" s="221" t="b">
        <v>1</v>
      </c>
      <c r="BN121" s="278">
        <f>COUNTIF(DATA[[#This Row],[tiempo_td]], "&lt;=15")</f>
        <v>1</v>
      </c>
      <c r="BO121" s="222"/>
    </row>
    <row r="122" spans="1:67" ht="30.6" customHeight="1" x14ac:dyDescent="0.25">
      <c r="A122" s="4">
        <v>20419158462</v>
      </c>
      <c r="B122" s="5" t="s">
        <v>2</v>
      </c>
      <c r="C122" s="52" t="s">
        <v>8</v>
      </c>
      <c r="D122" s="4" t="s">
        <v>120</v>
      </c>
      <c r="E122" s="5" t="s">
        <v>3</v>
      </c>
      <c r="F122" s="24">
        <v>45680</v>
      </c>
      <c r="G122" s="7" t="s">
        <v>113</v>
      </c>
      <c r="H122" s="25">
        <f t="shared" si="9"/>
        <v>1</v>
      </c>
      <c r="I122" s="67">
        <v>4024</v>
      </c>
      <c r="J122" s="8" t="s">
        <v>115</v>
      </c>
      <c r="K122" s="9" t="s">
        <v>156</v>
      </c>
      <c r="L122" s="10" t="s">
        <v>117</v>
      </c>
      <c r="M122" s="11">
        <v>1250</v>
      </c>
      <c r="N122" s="12" t="s">
        <v>125</v>
      </c>
      <c r="O122" s="6">
        <v>45684</v>
      </c>
      <c r="P122" s="13">
        <v>3265</v>
      </c>
      <c r="Q122" s="14" t="s">
        <v>85</v>
      </c>
      <c r="R122" s="15"/>
      <c r="S122" s="15">
        <f>1429.7/2</f>
        <v>714.85</v>
      </c>
      <c r="T122" s="15">
        <f>DATA[[#This Row],[C. DF]]+DATA[[#This Row],[C.OPE.]]</f>
        <v>714.85</v>
      </c>
      <c r="U122" s="15">
        <f>DATA[[#This Row],[SUB TOTAL]]*0.18</f>
        <v>128.673</v>
      </c>
      <c r="V122" s="15">
        <f>IFERROR(ROUND(DATA[[#This Row],[SUB TOTAL]]+DATA[[#This Row],[IGV]],2),0)</f>
        <v>843.52</v>
      </c>
      <c r="W122" s="16" t="str">
        <f>IF(DATA[[#This Row],[VALORIZACIÓN ]]="-","NO CORRESPONDE",IF(OR(A122=20558226979,A122=10470707866,A122=20111157058,A122=20100226902),"NO CORRESPONDE",IF(J122="Emitida",IF(P122&gt;0,"EMITIDA","PENDIENTE"),"NO CORRESPONDE")))</f>
        <v>EMITIDA</v>
      </c>
      <c r="X122" s="29" t="s">
        <v>149</v>
      </c>
      <c r="Y122" s="17" t="s">
        <v>118</v>
      </c>
      <c r="Z122" s="30">
        <v>45761</v>
      </c>
      <c r="AA122" s="10" t="s">
        <v>150</v>
      </c>
      <c r="AB122" s="19">
        <v>30</v>
      </c>
      <c r="AC122" s="20">
        <v>15</v>
      </c>
      <c r="AD122" s="18">
        <f>DATA[[#This Row],[FECHA DE EMISION]]+DATA[[#This Row],[CONDICION DE PAGO]]</f>
        <v>45776</v>
      </c>
      <c r="AE122" s="23">
        <f>IF(DATA[[#This Row],[MONEDA]]="USD",VLOOKUP(DATA[[#This Row],[COMBINADA]],#REF!,11,0),1)</f>
        <v>1</v>
      </c>
      <c r="AF122" s="39" t="str">
        <f>IF(DATA[[#This Row],[SERIE2]]="-","NO CORRESPONDE",IF(W122="NO CORRESPONDE","NO CORRESPONDE",IF(Z122&gt;0,"FACTURADO","PENDIENTE")))</f>
        <v>FACTURADO</v>
      </c>
      <c r="AG122" s="27">
        <f>IFERROR(VLOOKUP(DATA[[#This Row],[COMBINADA]],#REF!,6,0),0)</f>
        <v>0</v>
      </c>
      <c r="AH122" s="125">
        <f>IFERROR(VLOOKUP(DATA[[#This Row],[COMBINADA]],#REF!,9,0),0)/COUNTIFS(DATA[COMBINADA],DATA[[#This Row],[COMBINADA]])</f>
        <v>0</v>
      </c>
      <c r="AI122" s="27">
        <f>IFERROR(VLOOKUP(DATA[[#This Row],[COMBINADA]],#REF!,6,0),0)</f>
        <v>0</v>
      </c>
      <c r="AJ122" s="125">
        <f>IFERROR(VLOOKUP(DATA[[#This Row],[COMBINADA]],#REF!,9,0),0)/COUNTIFS(DATA[COMBINADA],DATA[[#This Row],[COMBINADA]])</f>
        <v>0</v>
      </c>
      <c r="AK122" s="27">
        <f>IFERROR(VLOOKUP(DATA[[#This Row],[COMBINADA]],#REF!,6,0),0)</f>
        <v>0</v>
      </c>
      <c r="AL122" s="125">
        <f>IFERROR(VLOOKUP(DATA[[#This Row],[COMBINADA]],#REF!,9,0),0)/COUNTIFS(DATA[COMBINADA],DATA[[#This Row],[COMBINADA]])</f>
        <v>0</v>
      </c>
      <c r="AM122" s="27">
        <f>IFERROR(VLOOKUP(DATA[[#This Row],[COMBINADA]],#REF!,6,0),0)</f>
        <v>0</v>
      </c>
      <c r="AN122" s="125">
        <f>IFERROR(VLOOKUP(DATA[[#This Row],[COMBINADA]],#REF!,9,0),0)/COUNTIFS(DATA[COMBINADA],DATA[[#This Row],[COMBINADA]])</f>
        <v>0</v>
      </c>
      <c r="AO122" s="27">
        <f>IFERROR(VLOOKUP(DATA[[#This Row],[COMBINADA]],#REF!,6,0),0)</f>
        <v>0</v>
      </c>
      <c r="AP122" s="125">
        <f>IFERROR(VLOOKUP(DATA[[#This Row],[COMBINADA]],#REF!,9,0),0)/COUNTIFS(DATA[COMBINADA],DATA[[#This Row],[COMBINADA]])</f>
        <v>0</v>
      </c>
      <c r="AQ12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906.77</v>
      </c>
      <c r="AR122" s="26" t="str">
        <f>IFERROR(IF(DATA[[#This Row],[estado_fact]]="FACTURADO",VLOOKUP(DATA[[#This Row],[SERIE2]]&amp;"-"&amp;DATA[[#This Row],[NUMERO]],#REF!,34,0),"NO CORRESPONDE"),"NO CORRESPONDE")</f>
        <v>NO CORRESPONDE</v>
      </c>
      <c r="AS122" s="22" t="str">
        <f>IF(DATA[[#This Row],[fecha_fs]]&gt;0,TEXT(DATA[[#This Row],[fecha_fs]],"Mmmm"),0)</f>
        <v>Enero</v>
      </c>
      <c r="AT122" s="22" t="str">
        <f>DATA[[#This Row],[SERIE2]]&amp;"-"&amp;DATA[[#This Row],[NUMERO]]</f>
        <v>FF01-30</v>
      </c>
      <c r="AU122" s="28">
        <f>DATA[[#This Row],[TOTAL]]*DATA[[#This Row],[T.C.]]</f>
        <v>843.52</v>
      </c>
      <c r="AV122" s="6">
        <f>DATA[[#This Row],[FECHA DE VAL.]]</f>
        <v>45684</v>
      </c>
      <c r="AW122" s="6">
        <f>DATA[[#This Row],[FECHA DE EMISION]]</f>
        <v>45761</v>
      </c>
      <c r="AX122" s="6">
        <f>DATA[[#This Row],[F1]]</f>
        <v>0</v>
      </c>
      <c r="AY122" s="20">
        <f>IF(AV122-DATA[[#This Row],[fecha_fs]]&lt;0,0,AV122-DATA[[#This Row],[fecha_fs]])</f>
        <v>4</v>
      </c>
      <c r="AZ122" s="20">
        <f t="shared" si="10"/>
        <v>77</v>
      </c>
      <c r="BA122" s="20">
        <f t="shared" si="11"/>
        <v>0</v>
      </c>
      <c r="BB122" s="195">
        <f>IFERROR(SUM(DATA[[#This Row],[fs_val_ttf]:[fact_pago_ttf]]),0)</f>
        <v>81</v>
      </c>
      <c r="BC122" s="185">
        <v>45680</v>
      </c>
      <c r="BD122" s="185">
        <v>45680</v>
      </c>
      <c r="BE122" s="185">
        <v>45686</v>
      </c>
      <c r="BF122" s="185">
        <v>45686</v>
      </c>
      <c r="BG122" s="20">
        <f>IFERROR(IF(BC122-DATA[[#This Row],[fecha_fs]]&lt;0,0,BC122-DATA[[#This Row],[fecha_fs]]),0)</f>
        <v>0</v>
      </c>
      <c r="BH122" s="20">
        <f t="shared" si="12"/>
        <v>0</v>
      </c>
      <c r="BI122" s="20">
        <f t="shared" si="13"/>
        <v>6</v>
      </c>
      <c r="BJ122" s="20">
        <f t="shared" si="14"/>
        <v>0</v>
      </c>
      <c r="BK122" s="218">
        <f>IFERROR(SUM(DATA[[#This Row],[fs_fd_ttd]:[fend_fenf_ttd]]),0)</f>
        <v>6</v>
      </c>
      <c r="BL122" s="20" t="str">
        <f>IF(DATA[[#This Row],[fecha_fs]]&gt;0,TEXT(DATA[[#This Row],[fecha_fs]],"YYYY"),0)</f>
        <v>2025</v>
      </c>
      <c r="BM122" s="221" t="b">
        <v>1</v>
      </c>
      <c r="BN122" s="278">
        <f>COUNTIF(DATA[[#This Row],[tiempo_td]], "&lt;=15")</f>
        <v>1</v>
      </c>
      <c r="BO122" s="222"/>
    </row>
    <row r="123" spans="1:67" ht="30.6" customHeight="1" x14ac:dyDescent="0.25">
      <c r="A123" s="4">
        <v>20419158462</v>
      </c>
      <c r="B123" s="5" t="s">
        <v>2</v>
      </c>
      <c r="C123" s="52" t="s">
        <v>16</v>
      </c>
      <c r="D123" s="4" t="s">
        <v>120</v>
      </c>
      <c r="E123" s="5" t="s">
        <v>3</v>
      </c>
      <c r="F123" s="24">
        <v>45680</v>
      </c>
      <c r="G123" s="7" t="s">
        <v>113</v>
      </c>
      <c r="H123" s="25">
        <f t="shared" si="9"/>
        <v>1</v>
      </c>
      <c r="I123" s="67">
        <v>4025</v>
      </c>
      <c r="J123" s="8" t="s">
        <v>115</v>
      </c>
      <c r="K123" s="9" t="s">
        <v>121</v>
      </c>
      <c r="L123" s="10" t="s">
        <v>117</v>
      </c>
      <c r="M123" s="11">
        <v>160</v>
      </c>
      <c r="N123" s="12" t="s">
        <v>125</v>
      </c>
      <c r="O123" s="6">
        <v>45684</v>
      </c>
      <c r="P123" s="13">
        <v>3265</v>
      </c>
      <c r="Q123" s="14" t="s">
        <v>85</v>
      </c>
      <c r="R123" s="15">
        <f>DATA[[#This Row],[cantidad_fs]]*0.67</f>
        <v>107.2</v>
      </c>
      <c r="S123" s="15">
        <f>1429.7/2</f>
        <v>714.85</v>
      </c>
      <c r="T123" s="15">
        <f>DATA[[#This Row],[C. DF]]+DATA[[#This Row],[C.OPE.]]</f>
        <v>822.05000000000007</v>
      </c>
      <c r="U123" s="15">
        <f>DATA[[#This Row],[SUB TOTAL]]*0.18</f>
        <v>147.96899999999999</v>
      </c>
      <c r="V123" s="15">
        <f>IFERROR(ROUND(DATA[[#This Row],[SUB TOTAL]]+DATA[[#This Row],[IGV]],2),0)</f>
        <v>970.02</v>
      </c>
      <c r="W123" s="16" t="str">
        <f>IF(DATA[[#This Row],[VALORIZACIÓN ]]="-","NO CORRESPONDE",IF(OR(A123=20558226979,A123=10470707866,A123=20111157058,A123=20100226902),"NO CORRESPONDE",IF(J123="Emitida",IF(P123&gt;0,"EMITIDA","PENDIENTE"),"NO CORRESPONDE")))</f>
        <v>EMITIDA</v>
      </c>
      <c r="X123" s="29" t="s">
        <v>149</v>
      </c>
      <c r="Y123" s="17" t="s">
        <v>118</v>
      </c>
      <c r="Z123" s="30">
        <v>45761</v>
      </c>
      <c r="AA123" s="10" t="s">
        <v>150</v>
      </c>
      <c r="AB123" s="19">
        <v>30</v>
      </c>
      <c r="AC123" s="20">
        <v>15</v>
      </c>
      <c r="AD123" s="18">
        <f>DATA[[#This Row],[FECHA DE EMISION]]+DATA[[#This Row],[CONDICION DE PAGO]]</f>
        <v>45776</v>
      </c>
      <c r="AE123" s="23">
        <f>IF(DATA[[#This Row],[MONEDA]]="USD",VLOOKUP(DATA[[#This Row],[COMBINADA]],#REF!,11,0),1)</f>
        <v>1</v>
      </c>
      <c r="AF123" s="39" t="str">
        <f>IF(DATA[[#This Row],[SERIE2]]="-","NO CORRESPONDE",IF(W123="NO CORRESPONDE","NO CORRESPONDE",IF(Z123&gt;0,"FACTURADO","PENDIENTE")))</f>
        <v>FACTURADO</v>
      </c>
      <c r="AG123" s="27">
        <f>IFERROR(VLOOKUP(DATA[[#This Row],[COMBINADA]],#REF!,6,0),0)</f>
        <v>0</v>
      </c>
      <c r="AH123" s="125">
        <f>IFERROR(VLOOKUP(DATA[[#This Row],[COMBINADA]],#REF!,9,0),0)/COUNTIFS(DATA[COMBINADA],DATA[[#This Row],[COMBINADA]])</f>
        <v>0</v>
      </c>
      <c r="AI123" s="27">
        <f>IFERROR(VLOOKUP(DATA[[#This Row],[COMBINADA]],#REF!,6,0),0)</f>
        <v>0</v>
      </c>
      <c r="AJ123" s="125">
        <f>IFERROR(VLOOKUP(DATA[[#This Row],[COMBINADA]],#REF!,9,0),0)/COUNTIFS(DATA[COMBINADA],DATA[[#This Row],[COMBINADA]])</f>
        <v>0</v>
      </c>
      <c r="AK123" s="27">
        <f>IFERROR(VLOOKUP(DATA[[#This Row],[COMBINADA]],#REF!,6,0),0)</f>
        <v>0</v>
      </c>
      <c r="AL123" s="125">
        <f>IFERROR(VLOOKUP(DATA[[#This Row],[COMBINADA]],#REF!,9,0),0)/COUNTIFS(DATA[COMBINADA],DATA[[#This Row],[COMBINADA]])</f>
        <v>0</v>
      </c>
      <c r="AM123" s="27">
        <f>IFERROR(VLOOKUP(DATA[[#This Row],[COMBINADA]],#REF!,6,0),0)</f>
        <v>0</v>
      </c>
      <c r="AN123" s="125">
        <f>IFERROR(VLOOKUP(DATA[[#This Row],[COMBINADA]],#REF!,9,0),0)/COUNTIFS(DATA[COMBINADA],DATA[[#This Row],[COMBINADA]])</f>
        <v>0</v>
      </c>
      <c r="AO123" s="27">
        <f>IFERROR(VLOOKUP(DATA[[#This Row],[COMBINADA]],#REF!,6,0),0)</f>
        <v>0</v>
      </c>
      <c r="AP123" s="125">
        <f>IFERROR(VLOOKUP(DATA[[#This Row],[COMBINADA]],#REF!,9,0),0)/COUNTIFS(DATA[COMBINADA],DATA[[#This Row],[COMBINADA]])</f>
        <v>0</v>
      </c>
      <c r="AQ12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906.77</v>
      </c>
      <c r="AR123" s="26" t="str">
        <f>IFERROR(IF(DATA[[#This Row],[estado_fact]]="FACTURADO",VLOOKUP(DATA[[#This Row],[SERIE2]]&amp;"-"&amp;DATA[[#This Row],[NUMERO]],#REF!,34,0),"NO CORRESPONDE"),"NO CORRESPONDE")</f>
        <v>NO CORRESPONDE</v>
      </c>
      <c r="AS123" s="22" t="str">
        <f>IF(DATA[[#This Row],[fecha_fs]]&gt;0,TEXT(DATA[[#This Row],[fecha_fs]],"Mmmm"),0)</f>
        <v>Enero</v>
      </c>
      <c r="AT123" s="22" t="str">
        <f>DATA[[#This Row],[SERIE2]]&amp;"-"&amp;DATA[[#This Row],[NUMERO]]</f>
        <v>FF01-30</v>
      </c>
      <c r="AU123" s="28">
        <f>DATA[[#This Row],[TOTAL]]*DATA[[#This Row],[T.C.]]</f>
        <v>970.02</v>
      </c>
      <c r="AV123" s="6">
        <f>DATA[[#This Row],[FECHA DE VAL.]]</f>
        <v>45684</v>
      </c>
      <c r="AW123" s="6">
        <f>DATA[[#This Row],[FECHA DE EMISION]]</f>
        <v>45761</v>
      </c>
      <c r="AX123" s="6">
        <f>DATA[[#This Row],[F1]]</f>
        <v>0</v>
      </c>
      <c r="AY123" s="20">
        <f>IF(AV123-DATA[[#This Row],[fecha_fs]]&lt;0,0,AV123-DATA[[#This Row],[fecha_fs]])</f>
        <v>4</v>
      </c>
      <c r="AZ123" s="20">
        <f t="shared" si="10"/>
        <v>77</v>
      </c>
      <c r="BA123" s="20">
        <f t="shared" si="11"/>
        <v>0</v>
      </c>
      <c r="BB123" s="195">
        <f>IFERROR(SUM(DATA[[#This Row],[fs_val_ttf]:[fact_pago_ttf]]),0)</f>
        <v>81</v>
      </c>
      <c r="BC123" s="185">
        <v>45698</v>
      </c>
      <c r="BD123" s="185">
        <v>45707</v>
      </c>
      <c r="BE123" s="185">
        <v>45712</v>
      </c>
      <c r="BF123" s="185">
        <v>45715</v>
      </c>
      <c r="BG123" s="20">
        <f>IFERROR(IF(BC123-DATA[[#This Row],[fecha_fs]]&lt;0,0,BC123-DATA[[#This Row],[fecha_fs]]),0)</f>
        <v>18</v>
      </c>
      <c r="BH123" s="20">
        <f t="shared" si="12"/>
        <v>9</v>
      </c>
      <c r="BI123" s="20">
        <f t="shared" si="13"/>
        <v>5</v>
      </c>
      <c r="BJ123" s="20">
        <f t="shared" si="14"/>
        <v>3</v>
      </c>
      <c r="BK123" s="218">
        <f>IFERROR(SUM(DATA[[#This Row],[fs_fd_ttd]:[fend_fenf_ttd]]),0)</f>
        <v>35</v>
      </c>
      <c r="BL123" s="20" t="str">
        <f>IF(DATA[[#This Row],[fecha_fs]]&gt;0,TEXT(DATA[[#This Row],[fecha_fs]],"YYYY"),0)</f>
        <v>2025</v>
      </c>
      <c r="BM123" s="221" t="b">
        <v>1</v>
      </c>
      <c r="BN123" s="278">
        <f>COUNTIF(DATA[[#This Row],[tiempo_td]], "&lt;=15")</f>
        <v>0</v>
      </c>
      <c r="BO123" s="222"/>
    </row>
    <row r="124" spans="1:67" ht="30.6" customHeight="1" x14ac:dyDescent="0.25">
      <c r="A124" s="4">
        <v>20100211115</v>
      </c>
      <c r="B124" s="5" t="s">
        <v>41</v>
      </c>
      <c r="C124" s="52" t="s">
        <v>18</v>
      </c>
      <c r="D124" s="4" t="s">
        <v>120</v>
      </c>
      <c r="E124" s="5" t="s">
        <v>3</v>
      </c>
      <c r="F124" s="24">
        <v>45680</v>
      </c>
      <c r="G124" s="7" t="s">
        <v>113</v>
      </c>
      <c r="H124" s="25">
        <f t="shared" si="9"/>
        <v>1</v>
      </c>
      <c r="I124" s="67">
        <v>4026</v>
      </c>
      <c r="J124" s="8" t="s">
        <v>115</v>
      </c>
      <c r="K124" s="9" t="s">
        <v>121</v>
      </c>
      <c r="L124" s="10" t="s">
        <v>117</v>
      </c>
      <c r="M124" s="11">
        <v>90</v>
      </c>
      <c r="N124" s="12" t="s">
        <v>165</v>
      </c>
      <c r="O124" s="6">
        <v>45684</v>
      </c>
      <c r="P124" s="115">
        <v>3267</v>
      </c>
      <c r="Q124" s="14" t="s">
        <v>85</v>
      </c>
      <c r="R124" s="15"/>
      <c r="S124" s="15">
        <f>(DATA[[#This Row],[cantidad_fs]]*4.37)</f>
        <v>393.3</v>
      </c>
      <c r="T124" s="15">
        <f>DATA[[#This Row],[C. DF]]+DATA[[#This Row],[C.OPE.]]</f>
        <v>393.3</v>
      </c>
      <c r="U124" s="15">
        <f>DATA[[#This Row],[SUB TOTAL]]*0.18</f>
        <v>70.793999999999997</v>
      </c>
      <c r="V124" s="15">
        <f>IFERROR(ROUND(DATA[[#This Row],[SUB TOTAL]]+DATA[[#This Row],[IGV]],2),0)</f>
        <v>464.09</v>
      </c>
      <c r="W124" s="16" t="str">
        <f>IF(DATA[[#This Row],[VALORIZACIÓN ]]="-","NO CORRESPONDE",IF(OR(A124=20558226979,A124=10470707866,A124=20111157058,A124=20100226902),"NO CORRESPONDE",IF(J124="Emitida",IF(P124&gt;0,"EMITIDA","PENDIENTE"),"NO CORRESPONDE")))</f>
        <v>EMITIDA</v>
      </c>
      <c r="X124" s="29"/>
      <c r="Y124" s="17" t="s">
        <v>118</v>
      </c>
      <c r="Z124" s="30">
        <v>45687</v>
      </c>
      <c r="AA124" s="10" t="s">
        <v>124</v>
      </c>
      <c r="AB124" s="19">
        <v>536</v>
      </c>
      <c r="AC124" s="20">
        <v>30</v>
      </c>
      <c r="AD124" s="18">
        <f>DATA[[#This Row],[FECHA DE EMISION]]+DATA[[#This Row],[CONDICION DE PAGO]]</f>
        <v>45717</v>
      </c>
      <c r="AE124" s="23">
        <f>IF(DATA[[#This Row],[MONEDA]]="USD",VLOOKUP(DATA[[#This Row],[COMBINADA]],#REF!,11,0),1)</f>
        <v>1</v>
      </c>
      <c r="AF124" s="39" t="str">
        <f>IF(DATA[[#This Row],[SERIE2]]="-","NO CORRESPONDE",IF(W124="NO CORRESPONDE","NO CORRESPONDE",IF(Z124&gt;0,"FACTURADO","PENDIENTE")))</f>
        <v>FACTURADO</v>
      </c>
      <c r="AG124" s="27">
        <f>IFERROR(VLOOKUP(DATA[[#This Row],[COMBINADA]],#REF!,6,0),0)</f>
        <v>0</v>
      </c>
      <c r="AH124" s="125">
        <f>IFERROR(VLOOKUP(DATA[[#This Row],[COMBINADA]],#REF!,9,0),0)/COUNTIFS(DATA[COMBINADA],DATA[[#This Row],[COMBINADA]])</f>
        <v>0</v>
      </c>
      <c r="AI124" s="27">
        <f>IFERROR(VLOOKUP(DATA[[#This Row],[COMBINADA]],#REF!,6,0),0)</f>
        <v>0</v>
      </c>
      <c r="AJ124" s="125">
        <f>IFERROR(VLOOKUP(DATA[[#This Row],[COMBINADA]],#REF!,9,0),0)/COUNTIFS(DATA[COMBINADA],DATA[[#This Row],[COMBINADA]])</f>
        <v>0</v>
      </c>
      <c r="AK124" s="27">
        <f>IFERROR(VLOOKUP(DATA[[#This Row],[COMBINADA]],#REF!,6,0),0)</f>
        <v>0</v>
      </c>
      <c r="AL124" s="125">
        <f>IFERROR(VLOOKUP(DATA[[#This Row],[COMBINADA]],#REF!,9,0),0)/COUNTIFS(DATA[COMBINADA],DATA[[#This Row],[COMBINADA]])</f>
        <v>0</v>
      </c>
      <c r="AM124" s="27">
        <f>IFERROR(VLOOKUP(DATA[[#This Row],[COMBINADA]],#REF!,6,0),0)</f>
        <v>0</v>
      </c>
      <c r="AN124" s="125">
        <f>IFERROR(VLOOKUP(DATA[[#This Row],[COMBINADA]],#REF!,9,0),0)/COUNTIFS(DATA[COMBINADA],DATA[[#This Row],[COMBINADA]])</f>
        <v>0</v>
      </c>
      <c r="AO124" s="27">
        <f>IFERROR(VLOOKUP(DATA[[#This Row],[COMBINADA]],#REF!,6,0),0)</f>
        <v>0</v>
      </c>
      <c r="AP124" s="125">
        <f>IFERROR(VLOOKUP(DATA[[#This Row],[COMBINADA]],#REF!,9,0),0)/COUNTIFS(DATA[COMBINADA],DATA[[#This Row],[COMBINADA]])</f>
        <v>0</v>
      </c>
      <c r="AQ12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124" s="26" t="str">
        <f>IFERROR(IF(DATA[[#This Row],[estado_fact]]="FACTURADO",VLOOKUP(DATA[[#This Row],[SERIE2]]&amp;"-"&amp;DATA[[#This Row],[NUMERO]],#REF!,34,0),"NO CORRESPONDE"),"NO CORRESPONDE")</f>
        <v>NO CORRESPONDE</v>
      </c>
      <c r="AS124" s="22" t="str">
        <f>IF(DATA[[#This Row],[fecha_fs]]&gt;0,TEXT(DATA[[#This Row],[fecha_fs]],"Mmmm"),0)</f>
        <v>Enero</v>
      </c>
      <c r="AT124" s="22" t="str">
        <f>DATA[[#This Row],[SERIE2]]&amp;"-"&amp;DATA[[#This Row],[NUMERO]]</f>
        <v>FE01-536</v>
      </c>
      <c r="AU124" s="28">
        <f>DATA[[#This Row],[TOTAL]]*DATA[[#This Row],[T.C.]]</f>
        <v>464.09</v>
      </c>
      <c r="AV124" s="6">
        <f>DATA[[#This Row],[FECHA DE VAL.]]</f>
        <v>45684</v>
      </c>
      <c r="AW124" s="6">
        <f>DATA[[#This Row],[FECHA DE EMISION]]</f>
        <v>45687</v>
      </c>
      <c r="AX124" s="6">
        <f>DATA[[#This Row],[F1]]</f>
        <v>0</v>
      </c>
      <c r="AY124" s="20">
        <f>IF(AV124-DATA[[#This Row],[fecha_fs]]&lt;0,0,AV124-DATA[[#This Row],[fecha_fs]])</f>
        <v>4</v>
      </c>
      <c r="AZ124" s="20">
        <f t="shared" si="10"/>
        <v>3</v>
      </c>
      <c r="BA124" s="20">
        <f t="shared" si="11"/>
        <v>0</v>
      </c>
      <c r="BB124" s="195">
        <f>IFERROR(SUM(DATA[[#This Row],[fs_val_ttf]:[fact_pago_ttf]]),0)</f>
        <v>7</v>
      </c>
      <c r="BC124" s="185">
        <v>45698</v>
      </c>
      <c r="BD124" s="185">
        <v>45707</v>
      </c>
      <c r="BE124" s="185">
        <v>45712</v>
      </c>
      <c r="BF124" s="185">
        <v>45714</v>
      </c>
      <c r="BG124" s="20">
        <f>IFERROR(IF(BC124-DATA[[#This Row],[fecha_fs]]&lt;0,0,BC124-DATA[[#This Row],[fecha_fs]]),0)</f>
        <v>18</v>
      </c>
      <c r="BH124" s="20">
        <f t="shared" si="12"/>
        <v>9</v>
      </c>
      <c r="BI124" s="20">
        <f t="shared" si="13"/>
        <v>5</v>
      </c>
      <c r="BJ124" s="20">
        <f t="shared" si="14"/>
        <v>2</v>
      </c>
      <c r="BK124" s="218">
        <f>IFERROR(SUM(DATA[[#This Row],[fs_fd_ttd]:[fend_fenf_ttd]]),0)</f>
        <v>34</v>
      </c>
      <c r="BL124" s="20" t="str">
        <f>IF(DATA[[#This Row],[fecha_fs]]&gt;0,TEXT(DATA[[#This Row],[fecha_fs]],"YYYY"),0)</f>
        <v>2025</v>
      </c>
      <c r="BM124" s="221" t="b">
        <v>1</v>
      </c>
      <c r="BN124" s="278">
        <f>COUNTIF(DATA[[#This Row],[tiempo_td]], "&lt;=15")</f>
        <v>0</v>
      </c>
      <c r="BO124" s="222"/>
    </row>
    <row r="125" spans="1:67" ht="30.6" customHeight="1" x14ac:dyDescent="0.25">
      <c r="A125" s="4">
        <v>20141637941</v>
      </c>
      <c r="B125" s="5" t="s">
        <v>79</v>
      </c>
      <c r="C125" s="52" t="s">
        <v>18</v>
      </c>
      <c r="D125" s="4" t="s">
        <v>120</v>
      </c>
      <c r="E125" s="5" t="s">
        <v>3</v>
      </c>
      <c r="F125" s="24">
        <v>45681</v>
      </c>
      <c r="G125" s="7" t="s">
        <v>113</v>
      </c>
      <c r="H125" s="25">
        <f t="shared" ref="H125:H188" si="15">IF(G125="","",IF(G125="LIM",2,1))</f>
        <v>1</v>
      </c>
      <c r="I125" s="67">
        <v>4027</v>
      </c>
      <c r="J125" s="8" t="s">
        <v>115</v>
      </c>
      <c r="K125" s="9" t="s">
        <v>121</v>
      </c>
      <c r="L125" s="10" t="s">
        <v>117</v>
      </c>
      <c r="M125" s="11">
        <v>1380</v>
      </c>
      <c r="N125" s="12" t="s">
        <v>170</v>
      </c>
      <c r="O125" s="6">
        <v>45681</v>
      </c>
      <c r="P125" s="68">
        <v>3242</v>
      </c>
      <c r="Q125" s="14" t="s">
        <v>85</v>
      </c>
      <c r="R125" s="15">
        <f>70+(DATA[[#This Row],[cantidad_fs]]-1000)*0.1</f>
        <v>108</v>
      </c>
      <c r="S125" s="15">
        <v>517</v>
      </c>
      <c r="T125" s="15">
        <f>DATA[[#This Row],[C. DF]]+DATA[[#This Row],[C.OPE.]]</f>
        <v>625</v>
      </c>
      <c r="U125" s="15">
        <f>DATA[[#This Row],[SUB TOTAL]]*0.18</f>
        <v>112.5</v>
      </c>
      <c r="V125" s="15">
        <f>IFERROR(ROUND(DATA[[#This Row],[SUB TOTAL]]+DATA[[#This Row],[IGV]],2),0)</f>
        <v>737.5</v>
      </c>
      <c r="W125" s="16" t="str">
        <f>IF(DATA[[#This Row],[VALORIZACIÓN ]]="-","NO CORRESPONDE",IF(OR(A125=20558226979,A125=10470707866,A125=20111157058,A125=20100226902),"NO CORRESPONDE",IF(J125="Emitida",IF(P125&gt;0,"EMITIDA","PENDIENTE"),"NO CORRESPONDE")))</f>
        <v>EMITIDA</v>
      </c>
      <c r="X125" s="29"/>
      <c r="Y125" s="17" t="s">
        <v>118</v>
      </c>
      <c r="Z125" s="30">
        <v>45681</v>
      </c>
      <c r="AA125" s="10" t="s">
        <v>124</v>
      </c>
      <c r="AB125" s="19">
        <v>529</v>
      </c>
      <c r="AC125" s="20">
        <v>30</v>
      </c>
      <c r="AD125" s="18">
        <f>DATA[[#This Row],[FECHA DE EMISION]]+DATA[[#This Row],[CONDICION DE PAGO]]</f>
        <v>45711</v>
      </c>
      <c r="AE125" s="23">
        <f>IF(DATA[[#This Row],[MONEDA]]="USD",VLOOKUP(DATA[[#This Row],[COMBINADA]],#REF!,11,0),1)</f>
        <v>1</v>
      </c>
      <c r="AF125" s="39" t="str">
        <f>IF(DATA[[#This Row],[SERIE2]]="-","NO CORRESPONDE",IF(W125="NO CORRESPONDE","NO CORRESPONDE",IF(Z125&gt;0,"FACTURADO","PENDIENTE")))</f>
        <v>FACTURADO</v>
      </c>
      <c r="AG125" s="27">
        <f>IFERROR(VLOOKUP(DATA[[#This Row],[COMBINADA]],#REF!,6,0),0)</f>
        <v>0</v>
      </c>
      <c r="AH125" s="125">
        <f>IFERROR(VLOOKUP(DATA[[#This Row],[COMBINADA]],#REF!,9,0),0)/COUNTIFS(DATA[COMBINADA],DATA[[#This Row],[COMBINADA]])</f>
        <v>0</v>
      </c>
      <c r="AI125" s="27">
        <f>IFERROR(VLOOKUP(DATA[[#This Row],[COMBINADA]],#REF!,6,0),0)</f>
        <v>0</v>
      </c>
      <c r="AJ125" s="125">
        <f>IFERROR(VLOOKUP(DATA[[#This Row],[COMBINADA]],#REF!,9,0),0)/COUNTIFS(DATA[COMBINADA],DATA[[#This Row],[COMBINADA]])</f>
        <v>0</v>
      </c>
      <c r="AK125" s="27">
        <f>IFERROR(VLOOKUP(DATA[[#This Row],[COMBINADA]],#REF!,6,0),0)</f>
        <v>0</v>
      </c>
      <c r="AL125" s="125">
        <f>IFERROR(VLOOKUP(DATA[[#This Row],[COMBINADA]],#REF!,9,0),0)/COUNTIFS(DATA[COMBINADA],DATA[[#This Row],[COMBINADA]])</f>
        <v>0</v>
      </c>
      <c r="AM125" s="27">
        <f>IFERROR(VLOOKUP(DATA[[#This Row],[COMBINADA]],#REF!,6,0),0)</f>
        <v>0</v>
      </c>
      <c r="AN125" s="125">
        <f>IFERROR(VLOOKUP(DATA[[#This Row],[COMBINADA]],#REF!,9,0),0)/COUNTIFS(DATA[COMBINADA],DATA[[#This Row],[COMBINADA]])</f>
        <v>0</v>
      </c>
      <c r="AO125" s="27">
        <f>IFERROR(VLOOKUP(DATA[[#This Row],[COMBINADA]],#REF!,6,0),0)</f>
        <v>0</v>
      </c>
      <c r="AP125" s="125">
        <f>IFERROR(VLOOKUP(DATA[[#This Row],[COMBINADA]],#REF!,9,0),0)/COUNTIFS(DATA[COMBINADA],DATA[[#This Row],[COMBINADA]])</f>
        <v>0</v>
      </c>
      <c r="AQ12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733.37</v>
      </c>
      <c r="AR125" s="26" t="str">
        <f>IFERROR(IF(DATA[[#This Row],[estado_fact]]="FACTURADO",VLOOKUP(DATA[[#This Row],[SERIE2]]&amp;"-"&amp;DATA[[#This Row],[NUMERO]],#REF!,34,0),"NO CORRESPONDE"),"NO CORRESPONDE")</f>
        <v>NO CORRESPONDE</v>
      </c>
      <c r="AS125" s="22" t="str">
        <f>IF(DATA[[#This Row],[fecha_fs]]&gt;0,TEXT(DATA[[#This Row],[fecha_fs]],"Mmmm"),0)</f>
        <v>Enero</v>
      </c>
      <c r="AT125" s="22" t="str">
        <f>DATA[[#This Row],[SERIE2]]&amp;"-"&amp;DATA[[#This Row],[NUMERO]]</f>
        <v>FE01-529</v>
      </c>
      <c r="AU125" s="28">
        <f>DATA[[#This Row],[TOTAL]]*DATA[[#This Row],[T.C.]]</f>
        <v>737.5</v>
      </c>
      <c r="AV125" s="6">
        <f>DATA[[#This Row],[FECHA DE VAL.]]</f>
        <v>45681</v>
      </c>
      <c r="AW125" s="6">
        <f>DATA[[#This Row],[FECHA DE EMISION]]</f>
        <v>45681</v>
      </c>
      <c r="AX125" s="6">
        <f>DATA[[#This Row],[F1]]</f>
        <v>0</v>
      </c>
      <c r="AY125" s="20">
        <f>IF(AV125-DATA[[#This Row],[fecha_fs]]&lt;0,0,AV125-DATA[[#This Row],[fecha_fs]])</f>
        <v>0</v>
      </c>
      <c r="AZ125" s="20">
        <f t="shared" si="10"/>
        <v>0</v>
      </c>
      <c r="BA125" s="20">
        <f t="shared" si="11"/>
        <v>0</v>
      </c>
      <c r="BB125" s="195">
        <f>IFERROR(SUM(DATA[[#This Row],[fs_val_ttf]:[fact_pago_ttf]]),0)</f>
        <v>0</v>
      </c>
      <c r="BC125" s="185">
        <v>45681</v>
      </c>
      <c r="BD125" s="185">
        <v>45681</v>
      </c>
      <c r="BE125" s="185">
        <v>45681</v>
      </c>
      <c r="BF125" s="185">
        <v>45681</v>
      </c>
      <c r="BG125" s="20">
        <f>IFERROR(IF(BC125-DATA[[#This Row],[fecha_fs]]&lt;0,0,BC125-DATA[[#This Row],[fecha_fs]]),0)</f>
        <v>0</v>
      </c>
      <c r="BH125" s="20">
        <f t="shared" si="12"/>
        <v>0</v>
      </c>
      <c r="BI125" s="20">
        <f t="shared" si="13"/>
        <v>0</v>
      </c>
      <c r="BJ125" s="20">
        <f t="shared" si="14"/>
        <v>0</v>
      </c>
      <c r="BK125" s="218">
        <f>IFERROR(SUM(DATA[[#This Row],[fs_fd_ttd]:[fend_fenf_ttd]]),0)</f>
        <v>0</v>
      </c>
      <c r="BL125" s="20" t="str">
        <f>IF(DATA[[#This Row],[fecha_fs]]&gt;0,TEXT(DATA[[#This Row],[fecha_fs]],"YYYY"),0)</f>
        <v>2025</v>
      </c>
      <c r="BM125" s="221" t="b">
        <v>1</v>
      </c>
      <c r="BN125" s="278">
        <f>COUNTIF(DATA[[#This Row],[tiempo_td]], "&lt;=15")</f>
        <v>1</v>
      </c>
      <c r="BO125" s="222"/>
    </row>
    <row r="126" spans="1:67" ht="30.6" customHeight="1" x14ac:dyDescent="0.25">
      <c r="A126" s="4">
        <v>20100211115</v>
      </c>
      <c r="B126" s="5" t="s">
        <v>41</v>
      </c>
      <c r="C126" s="52" t="s">
        <v>18</v>
      </c>
      <c r="D126" s="4" t="s">
        <v>120</v>
      </c>
      <c r="E126" s="5" t="s">
        <v>3</v>
      </c>
      <c r="F126" s="24">
        <v>45680</v>
      </c>
      <c r="G126" s="7" t="s">
        <v>113</v>
      </c>
      <c r="H126" s="25">
        <f t="shared" si="15"/>
        <v>1</v>
      </c>
      <c r="I126" s="67">
        <v>4028</v>
      </c>
      <c r="J126" s="8" t="s">
        <v>115</v>
      </c>
      <c r="K126" s="9" t="s">
        <v>163</v>
      </c>
      <c r="L126" s="10" t="s">
        <v>117</v>
      </c>
      <c r="M126" s="11">
        <v>590</v>
      </c>
      <c r="N126" s="12" t="s">
        <v>165</v>
      </c>
      <c r="O126" s="6">
        <v>45684</v>
      </c>
      <c r="P126" s="115">
        <v>3268</v>
      </c>
      <c r="Q126" s="14" t="s">
        <v>85</v>
      </c>
      <c r="R126" s="15"/>
      <c r="S126" s="15">
        <f>DATA[[#This Row],[cantidad_fs]]*0.75</f>
        <v>442.5</v>
      </c>
      <c r="T126" s="15">
        <f>DATA[[#This Row],[C. DF]]+DATA[[#This Row],[C.OPE.]]</f>
        <v>442.5</v>
      </c>
      <c r="U126" s="15">
        <f>DATA[[#This Row],[SUB TOTAL]]*0.18</f>
        <v>79.649999999999991</v>
      </c>
      <c r="V126" s="15">
        <f>IFERROR(ROUND(DATA[[#This Row],[SUB TOTAL]]+DATA[[#This Row],[IGV]],2),0)</f>
        <v>522.15</v>
      </c>
      <c r="W126" s="16" t="str">
        <f>IF(DATA[[#This Row],[VALORIZACIÓN ]]="-","NO CORRESPONDE",IF(OR(A126=20558226979,A126=10470707866,A126=20111157058,A126=20100226902),"NO CORRESPONDE",IF(J126="Emitida",IF(P126&gt;0,"EMITIDA","PENDIENTE"),"NO CORRESPONDE")))</f>
        <v>EMITIDA</v>
      </c>
      <c r="X126" s="29"/>
      <c r="Y126" s="17" t="s">
        <v>118</v>
      </c>
      <c r="Z126" s="30">
        <v>45687</v>
      </c>
      <c r="AA126" s="10" t="s">
        <v>124</v>
      </c>
      <c r="AB126" s="19">
        <v>537</v>
      </c>
      <c r="AC126" s="20">
        <v>30</v>
      </c>
      <c r="AD126" s="18">
        <f>DATA[[#This Row],[FECHA DE EMISION]]+DATA[[#This Row],[CONDICION DE PAGO]]</f>
        <v>45717</v>
      </c>
      <c r="AE126" s="23">
        <f>IF(DATA[[#This Row],[MONEDA]]="USD",VLOOKUP(DATA[[#This Row],[COMBINADA]],#REF!,11,0),1)</f>
        <v>1</v>
      </c>
      <c r="AF126" s="39" t="str">
        <f>IF(DATA[[#This Row],[SERIE2]]="-","NO CORRESPONDE",IF(W126="NO CORRESPONDE","NO CORRESPONDE",IF(Z126&gt;0,"FACTURADO","PENDIENTE")))</f>
        <v>FACTURADO</v>
      </c>
      <c r="AG126" s="27">
        <f>IFERROR(VLOOKUP(DATA[[#This Row],[COMBINADA]],#REF!,6,0),0)</f>
        <v>0</v>
      </c>
      <c r="AH126" s="125">
        <f>IFERROR(VLOOKUP(DATA[[#This Row],[COMBINADA]],#REF!,9,0),0)/COUNTIFS(DATA[COMBINADA],DATA[[#This Row],[COMBINADA]])</f>
        <v>0</v>
      </c>
      <c r="AI126" s="27">
        <f>IFERROR(VLOOKUP(DATA[[#This Row],[COMBINADA]],#REF!,6,0),0)</f>
        <v>0</v>
      </c>
      <c r="AJ126" s="125">
        <f>IFERROR(VLOOKUP(DATA[[#This Row],[COMBINADA]],#REF!,9,0),0)/COUNTIFS(DATA[COMBINADA],DATA[[#This Row],[COMBINADA]])</f>
        <v>0</v>
      </c>
      <c r="AK126" s="27">
        <f>IFERROR(VLOOKUP(DATA[[#This Row],[COMBINADA]],#REF!,6,0),0)</f>
        <v>0</v>
      </c>
      <c r="AL126" s="125">
        <f>IFERROR(VLOOKUP(DATA[[#This Row],[COMBINADA]],#REF!,9,0),0)/COUNTIFS(DATA[COMBINADA],DATA[[#This Row],[COMBINADA]])</f>
        <v>0</v>
      </c>
      <c r="AM126" s="27">
        <f>IFERROR(VLOOKUP(DATA[[#This Row],[COMBINADA]],#REF!,6,0),0)</f>
        <v>0</v>
      </c>
      <c r="AN126" s="125">
        <f>IFERROR(VLOOKUP(DATA[[#This Row],[COMBINADA]],#REF!,9,0),0)/COUNTIFS(DATA[COMBINADA],DATA[[#This Row],[COMBINADA]])</f>
        <v>0</v>
      </c>
      <c r="AO126" s="27">
        <f>IFERROR(VLOOKUP(DATA[[#This Row],[COMBINADA]],#REF!,6,0),0)</f>
        <v>0</v>
      </c>
      <c r="AP126" s="125">
        <f>IFERROR(VLOOKUP(DATA[[#This Row],[COMBINADA]],#REF!,9,0),0)/COUNTIFS(DATA[COMBINADA],DATA[[#This Row],[COMBINADA]])</f>
        <v>0</v>
      </c>
      <c r="AQ12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996.5100000000001</v>
      </c>
      <c r="AR126" s="26" t="str">
        <f>IFERROR(IF(DATA[[#This Row],[estado_fact]]="FACTURADO",VLOOKUP(DATA[[#This Row],[SERIE2]]&amp;"-"&amp;DATA[[#This Row],[NUMERO]],#REF!,34,0),"NO CORRESPONDE"),"NO CORRESPONDE")</f>
        <v>NO CORRESPONDE</v>
      </c>
      <c r="AS126" s="22" t="str">
        <f>IF(DATA[[#This Row],[fecha_fs]]&gt;0,TEXT(DATA[[#This Row],[fecha_fs]],"Mmmm"),0)</f>
        <v>Enero</v>
      </c>
      <c r="AT126" s="22" t="str">
        <f>DATA[[#This Row],[SERIE2]]&amp;"-"&amp;DATA[[#This Row],[NUMERO]]</f>
        <v>FE01-537</v>
      </c>
      <c r="AU126" s="28">
        <f>DATA[[#This Row],[TOTAL]]*DATA[[#This Row],[T.C.]]</f>
        <v>522.15</v>
      </c>
      <c r="AV126" s="6">
        <f>DATA[[#This Row],[FECHA DE VAL.]]</f>
        <v>45684</v>
      </c>
      <c r="AW126" s="6">
        <f>DATA[[#This Row],[FECHA DE EMISION]]</f>
        <v>45687</v>
      </c>
      <c r="AX126" s="6">
        <f>DATA[[#This Row],[F1]]</f>
        <v>0</v>
      </c>
      <c r="AY126" s="20">
        <f>IF(AV126-DATA[[#This Row],[fecha_fs]]&lt;0,0,AV126-DATA[[#This Row],[fecha_fs]])</f>
        <v>4</v>
      </c>
      <c r="AZ126" s="20">
        <f t="shared" ref="AZ126:AZ189" si="16">IF(AW126-AV126&lt;0,0,AW126-AV126)</f>
        <v>3</v>
      </c>
      <c r="BA126" s="20">
        <f t="shared" ref="BA126:BA189" si="17">IF(AX126-AW126&lt;0,0,AX126-AW126)</f>
        <v>0</v>
      </c>
      <c r="BB126" s="195">
        <f>IFERROR(SUM(DATA[[#This Row],[fs_val_ttf]:[fact_pago_ttf]]),0)</f>
        <v>7</v>
      </c>
      <c r="BC126" s="185">
        <v>45698</v>
      </c>
      <c r="BD126" s="185">
        <v>45707</v>
      </c>
      <c r="BE126" s="185">
        <v>45712</v>
      </c>
      <c r="BF126" s="185">
        <v>45714</v>
      </c>
      <c r="BG126" s="20">
        <f>IFERROR(IF(BC126-DATA[[#This Row],[fecha_fs]]&lt;0,0,BC126-DATA[[#This Row],[fecha_fs]]),0)</f>
        <v>18</v>
      </c>
      <c r="BH126" s="20">
        <f t="shared" si="12"/>
        <v>9</v>
      </c>
      <c r="BI126" s="20">
        <f t="shared" si="13"/>
        <v>5</v>
      </c>
      <c r="BJ126" s="20">
        <f t="shared" si="14"/>
        <v>2</v>
      </c>
      <c r="BK126" s="218">
        <f>IFERROR(SUM(DATA[[#This Row],[fs_fd_ttd]:[fend_fenf_ttd]]),0)</f>
        <v>34</v>
      </c>
      <c r="BL126" s="20" t="str">
        <f>IF(DATA[[#This Row],[fecha_fs]]&gt;0,TEXT(DATA[[#This Row],[fecha_fs]],"YYYY"),0)</f>
        <v>2025</v>
      </c>
      <c r="BM126" s="221" t="b">
        <v>1</v>
      </c>
      <c r="BN126" s="278">
        <f>COUNTIF(DATA[[#This Row],[tiempo_td]], "&lt;=15")</f>
        <v>0</v>
      </c>
      <c r="BO126" s="222"/>
    </row>
    <row r="127" spans="1:67" ht="30.6" customHeight="1" x14ac:dyDescent="0.25">
      <c r="A127" s="4">
        <v>20100211115</v>
      </c>
      <c r="B127" s="5" t="s">
        <v>41</v>
      </c>
      <c r="C127" s="52" t="s">
        <v>18</v>
      </c>
      <c r="D127" s="4" t="s">
        <v>120</v>
      </c>
      <c r="E127" s="5" t="s">
        <v>3</v>
      </c>
      <c r="F127" s="24">
        <v>45681</v>
      </c>
      <c r="G127" s="7" t="s">
        <v>113</v>
      </c>
      <c r="H127" s="25">
        <f t="shared" si="15"/>
        <v>1</v>
      </c>
      <c r="I127" s="67">
        <v>4029</v>
      </c>
      <c r="J127" s="8" t="s">
        <v>115</v>
      </c>
      <c r="K127" s="9" t="s">
        <v>121</v>
      </c>
      <c r="L127" s="10" t="s">
        <v>117</v>
      </c>
      <c r="M127" s="11">
        <v>90</v>
      </c>
      <c r="N127" s="12" t="s">
        <v>125</v>
      </c>
      <c r="O127" s="6">
        <v>45684</v>
      </c>
      <c r="P127" s="115">
        <v>3267</v>
      </c>
      <c r="Q127" s="14" t="s">
        <v>85</v>
      </c>
      <c r="R127" s="15"/>
      <c r="S127" s="15">
        <f>(DATA[[#This Row],[cantidad_fs]]*4.37)</f>
        <v>393.3</v>
      </c>
      <c r="T127" s="15">
        <f>DATA[[#This Row],[C. DF]]+DATA[[#This Row],[C.OPE.]]</f>
        <v>393.3</v>
      </c>
      <c r="U127" s="15">
        <f>DATA[[#This Row],[SUB TOTAL]]*0.18</f>
        <v>70.793999999999997</v>
      </c>
      <c r="V127" s="15">
        <f>IFERROR(ROUND(DATA[[#This Row],[SUB TOTAL]]+DATA[[#This Row],[IGV]],2),0)</f>
        <v>464.09</v>
      </c>
      <c r="W127" s="16" t="str">
        <f>IF(DATA[[#This Row],[VALORIZACIÓN ]]="-","NO CORRESPONDE",IF(OR(A127=20558226979,A127=10470707866,A127=20111157058,A127=20100226902),"NO CORRESPONDE",IF(J127="Emitida",IF(P127&gt;0,"EMITIDA","PENDIENTE"),"NO CORRESPONDE")))</f>
        <v>EMITIDA</v>
      </c>
      <c r="X127" s="29"/>
      <c r="Y127" s="17" t="s">
        <v>118</v>
      </c>
      <c r="Z127" s="30">
        <v>45687</v>
      </c>
      <c r="AA127" s="10" t="s">
        <v>124</v>
      </c>
      <c r="AB127" s="19">
        <v>536</v>
      </c>
      <c r="AC127" s="20">
        <v>30</v>
      </c>
      <c r="AD127" s="18">
        <f>DATA[[#This Row],[FECHA DE EMISION]]+DATA[[#This Row],[CONDICION DE PAGO]]</f>
        <v>45717</v>
      </c>
      <c r="AE127" s="23">
        <f>IF(DATA[[#This Row],[MONEDA]]="USD",VLOOKUP(DATA[[#This Row],[COMBINADA]],#REF!,11,0),1)</f>
        <v>1</v>
      </c>
      <c r="AF127" s="39" t="str">
        <f>IF(DATA[[#This Row],[SERIE2]]="-","NO CORRESPONDE",IF(W127="NO CORRESPONDE","NO CORRESPONDE",IF(Z127&gt;0,"FACTURADO","PENDIENTE")))</f>
        <v>FACTURADO</v>
      </c>
      <c r="AG127" s="27">
        <f>IFERROR(VLOOKUP(DATA[[#This Row],[COMBINADA]],#REF!,6,0),0)</f>
        <v>0</v>
      </c>
      <c r="AH127" s="125">
        <f>IFERROR(VLOOKUP(DATA[[#This Row],[COMBINADA]],#REF!,9,0),0)/COUNTIFS(DATA[COMBINADA],DATA[[#This Row],[COMBINADA]])</f>
        <v>0</v>
      </c>
      <c r="AI127" s="27">
        <f>IFERROR(VLOOKUP(DATA[[#This Row],[COMBINADA]],#REF!,6,0),0)</f>
        <v>0</v>
      </c>
      <c r="AJ127" s="125">
        <f>IFERROR(VLOOKUP(DATA[[#This Row],[COMBINADA]],#REF!,9,0),0)/COUNTIFS(DATA[COMBINADA],DATA[[#This Row],[COMBINADA]])</f>
        <v>0</v>
      </c>
      <c r="AK127" s="27">
        <f>IFERROR(VLOOKUP(DATA[[#This Row],[COMBINADA]],#REF!,6,0),0)</f>
        <v>0</v>
      </c>
      <c r="AL127" s="125">
        <f>IFERROR(VLOOKUP(DATA[[#This Row],[COMBINADA]],#REF!,9,0),0)/COUNTIFS(DATA[COMBINADA],DATA[[#This Row],[COMBINADA]])</f>
        <v>0</v>
      </c>
      <c r="AM127" s="27">
        <f>IFERROR(VLOOKUP(DATA[[#This Row],[COMBINADA]],#REF!,6,0),0)</f>
        <v>0</v>
      </c>
      <c r="AN127" s="125">
        <f>IFERROR(VLOOKUP(DATA[[#This Row],[COMBINADA]],#REF!,9,0),0)/COUNTIFS(DATA[COMBINADA],DATA[[#This Row],[COMBINADA]])</f>
        <v>0</v>
      </c>
      <c r="AO127" s="27">
        <f>IFERROR(VLOOKUP(DATA[[#This Row],[COMBINADA]],#REF!,6,0),0)</f>
        <v>0</v>
      </c>
      <c r="AP127" s="125">
        <f>IFERROR(VLOOKUP(DATA[[#This Row],[COMBINADA]],#REF!,9,0),0)/COUNTIFS(DATA[COMBINADA],DATA[[#This Row],[COMBINADA]])</f>
        <v>0</v>
      </c>
      <c r="AQ12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127" s="26" t="str">
        <f>IFERROR(IF(DATA[[#This Row],[estado_fact]]="FACTURADO",VLOOKUP(DATA[[#This Row],[SERIE2]]&amp;"-"&amp;DATA[[#This Row],[NUMERO]],#REF!,34,0),"NO CORRESPONDE"),"NO CORRESPONDE")</f>
        <v>NO CORRESPONDE</v>
      </c>
      <c r="AS127" s="22" t="str">
        <f>IF(DATA[[#This Row],[fecha_fs]]&gt;0,TEXT(DATA[[#This Row],[fecha_fs]],"Mmmm"),0)</f>
        <v>Enero</v>
      </c>
      <c r="AT127" s="22" t="str">
        <f>DATA[[#This Row],[SERIE2]]&amp;"-"&amp;DATA[[#This Row],[NUMERO]]</f>
        <v>FE01-536</v>
      </c>
      <c r="AU127" s="28">
        <f>DATA[[#This Row],[TOTAL]]*DATA[[#This Row],[T.C.]]</f>
        <v>464.09</v>
      </c>
      <c r="AV127" s="6">
        <f>DATA[[#This Row],[FECHA DE VAL.]]</f>
        <v>45684</v>
      </c>
      <c r="AW127" s="6">
        <f>DATA[[#This Row],[FECHA DE EMISION]]</f>
        <v>45687</v>
      </c>
      <c r="AX127" s="6">
        <f>DATA[[#This Row],[F1]]</f>
        <v>0</v>
      </c>
      <c r="AY127" s="20">
        <f>IF(AV127-DATA[[#This Row],[fecha_fs]]&lt;0,0,AV127-DATA[[#This Row],[fecha_fs]])</f>
        <v>3</v>
      </c>
      <c r="AZ127" s="20">
        <f t="shared" si="16"/>
        <v>3</v>
      </c>
      <c r="BA127" s="20">
        <f t="shared" si="17"/>
        <v>0</v>
      </c>
      <c r="BB127" s="195">
        <f>IFERROR(SUM(DATA[[#This Row],[fs_val_ttf]:[fact_pago_ttf]]),0)</f>
        <v>6</v>
      </c>
      <c r="BC127" s="185">
        <v>45698</v>
      </c>
      <c r="BD127" s="185">
        <v>45707</v>
      </c>
      <c r="BE127" s="185">
        <v>45712</v>
      </c>
      <c r="BF127" s="185">
        <v>45714</v>
      </c>
      <c r="BG127" s="20">
        <f>IFERROR(IF(BC127-DATA[[#This Row],[fecha_fs]]&lt;0,0,BC127-DATA[[#This Row],[fecha_fs]]),0)</f>
        <v>17</v>
      </c>
      <c r="BH127" s="20">
        <f t="shared" si="12"/>
        <v>9</v>
      </c>
      <c r="BI127" s="20">
        <f t="shared" si="13"/>
        <v>5</v>
      </c>
      <c r="BJ127" s="20">
        <f t="shared" si="14"/>
        <v>2</v>
      </c>
      <c r="BK127" s="218">
        <f>IFERROR(SUM(DATA[[#This Row],[fs_fd_ttd]:[fend_fenf_ttd]]),0)</f>
        <v>33</v>
      </c>
      <c r="BL127" s="20" t="str">
        <f>IF(DATA[[#This Row],[fecha_fs]]&gt;0,TEXT(DATA[[#This Row],[fecha_fs]],"YYYY"),0)</f>
        <v>2025</v>
      </c>
      <c r="BM127" s="221" t="b">
        <v>1</v>
      </c>
      <c r="BN127" s="278">
        <f>COUNTIF(DATA[[#This Row],[tiempo_td]], "&lt;=15")</f>
        <v>0</v>
      </c>
      <c r="BO127" s="222"/>
    </row>
    <row r="128" spans="1:67" ht="30.6" customHeight="1" x14ac:dyDescent="0.25">
      <c r="A128" s="4">
        <v>20100211115</v>
      </c>
      <c r="B128" s="5" t="s">
        <v>41</v>
      </c>
      <c r="C128" s="52" t="s">
        <v>18</v>
      </c>
      <c r="D128" s="4" t="s">
        <v>112</v>
      </c>
      <c r="E128" s="5" t="s">
        <v>1</v>
      </c>
      <c r="F128" s="24">
        <v>45681</v>
      </c>
      <c r="G128" s="7" t="s">
        <v>113</v>
      </c>
      <c r="H128" s="25">
        <f t="shared" si="15"/>
        <v>1</v>
      </c>
      <c r="I128" s="67">
        <v>4030</v>
      </c>
      <c r="J128" s="8" t="s">
        <v>115</v>
      </c>
      <c r="K128" s="9" t="s">
        <v>116</v>
      </c>
      <c r="L128" s="10" t="s">
        <v>117</v>
      </c>
      <c r="M128" s="11">
        <v>6</v>
      </c>
      <c r="N128" s="12" t="s">
        <v>125</v>
      </c>
      <c r="O128" s="6">
        <v>45684</v>
      </c>
      <c r="P128" s="115">
        <v>3269</v>
      </c>
      <c r="Q128" s="14" t="s">
        <v>85</v>
      </c>
      <c r="R128" s="15"/>
      <c r="S128" s="15">
        <f>(DATA[[#This Row],[cantidad_fs]]*4.57)</f>
        <v>27.42</v>
      </c>
      <c r="T128" s="15">
        <f>DATA[[#This Row],[C. DF]]+DATA[[#This Row],[C.OPE.]]</f>
        <v>27.42</v>
      </c>
      <c r="U128" s="15">
        <f>DATA[[#This Row],[SUB TOTAL]]*0.18</f>
        <v>4.9356</v>
      </c>
      <c r="V128" s="15">
        <f>IFERROR(ROUND(DATA[[#This Row],[SUB TOTAL]]+DATA[[#This Row],[IGV]],2),0)</f>
        <v>32.36</v>
      </c>
      <c r="W128" s="16" t="str">
        <f>IF(DATA[[#This Row],[VALORIZACIÓN ]]="-","NO CORRESPONDE",IF(OR(A128=20558226979,A128=10470707866,A128=20111157058,A128=20100226902),"NO CORRESPONDE",IF(J128="Emitida",IF(P128&gt;0,"EMITIDA","PENDIENTE"),"NO CORRESPONDE")))</f>
        <v>EMITIDA</v>
      </c>
      <c r="X128" s="29"/>
      <c r="Y128" s="17" t="s">
        <v>118</v>
      </c>
      <c r="Z128" s="30">
        <v>45687</v>
      </c>
      <c r="AA128" s="10" t="s">
        <v>124</v>
      </c>
      <c r="AB128" s="19">
        <v>538</v>
      </c>
      <c r="AC128" s="20">
        <v>30</v>
      </c>
      <c r="AD128" s="18">
        <f>DATA[[#This Row],[FECHA DE EMISION]]+DATA[[#This Row],[CONDICION DE PAGO]]</f>
        <v>45717</v>
      </c>
      <c r="AE128" s="23">
        <f>IF(DATA[[#This Row],[MONEDA]]="USD",VLOOKUP(DATA[[#This Row],[COMBINADA]],#REF!,11,0),1)</f>
        <v>1</v>
      </c>
      <c r="AF128" s="39" t="str">
        <f>IF(DATA[[#This Row],[SERIE2]]="-","NO CORRESPONDE",IF(W128="NO CORRESPONDE","NO CORRESPONDE",IF(Z128&gt;0,"FACTURADO","PENDIENTE")))</f>
        <v>FACTURADO</v>
      </c>
      <c r="AG128" s="27">
        <f>IFERROR(VLOOKUP(DATA[[#This Row],[COMBINADA]],#REF!,6,0),0)</f>
        <v>0</v>
      </c>
      <c r="AH128" s="125">
        <f>IFERROR(VLOOKUP(DATA[[#This Row],[COMBINADA]],#REF!,9,0),0)/COUNTIFS(DATA[COMBINADA],DATA[[#This Row],[COMBINADA]])</f>
        <v>0</v>
      </c>
      <c r="AI128" s="27">
        <f>IFERROR(VLOOKUP(DATA[[#This Row],[COMBINADA]],#REF!,6,0),0)</f>
        <v>0</v>
      </c>
      <c r="AJ128" s="125">
        <f>IFERROR(VLOOKUP(DATA[[#This Row],[COMBINADA]],#REF!,9,0),0)/COUNTIFS(DATA[COMBINADA],DATA[[#This Row],[COMBINADA]])</f>
        <v>0</v>
      </c>
      <c r="AK128" s="27">
        <f>IFERROR(VLOOKUP(DATA[[#This Row],[COMBINADA]],#REF!,6,0),0)</f>
        <v>0</v>
      </c>
      <c r="AL128" s="125">
        <f>IFERROR(VLOOKUP(DATA[[#This Row],[COMBINADA]],#REF!,9,0),0)/COUNTIFS(DATA[COMBINADA],DATA[[#This Row],[COMBINADA]])</f>
        <v>0</v>
      </c>
      <c r="AM128" s="27">
        <f>IFERROR(VLOOKUP(DATA[[#This Row],[COMBINADA]],#REF!,6,0),0)</f>
        <v>0</v>
      </c>
      <c r="AN128" s="125">
        <f>IFERROR(VLOOKUP(DATA[[#This Row],[COMBINADA]],#REF!,9,0),0)/COUNTIFS(DATA[COMBINADA],DATA[[#This Row],[COMBINADA]])</f>
        <v>0</v>
      </c>
      <c r="AO128" s="27">
        <f>IFERROR(VLOOKUP(DATA[[#This Row],[COMBINADA]],#REF!,6,0),0)</f>
        <v>0</v>
      </c>
      <c r="AP128" s="125">
        <f>IFERROR(VLOOKUP(DATA[[#This Row],[COMBINADA]],#REF!,9,0),0)/COUNTIFS(DATA[COMBINADA],DATA[[#This Row],[COMBINADA]])</f>
        <v>0</v>
      </c>
      <c r="AQ12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26.965</v>
      </c>
      <c r="AR128" s="26" t="str">
        <f>IFERROR(IF(DATA[[#This Row],[estado_fact]]="FACTURADO",VLOOKUP(DATA[[#This Row],[SERIE2]]&amp;"-"&amp;DATA[[#This Row],[NUMERO]],#REF!,34,0),"NO CORRESPONDE"),"NO CORRESPONDE")</f>
        <v>NO CORRESPONDE</v>
      </c>
      <c r="AS128" s="22" t="str">
        <f>IF(DATA[[#This Row],[fecha_fs]]&gt;0,TEXT(DATA[[#This Row],[fecha_fs]],"Mmmm"),0)</f>
        <v>Enero</v>
      </c>
      <c r="AT128" s="22" t="str">
        <f>DATA[[#This Row],[SERIE2]]&amp;"-"&amp;DATA[[#This Row],[NUMERO]]</f>
        <v>FE01-538</v>
      </c>
      <c r="AU128" s="28">
        <f>DATA[[#This Row],[TOTAL]]*DATA[[#This Row],[T.C.]]</f>
        <v>32.36</v>
      </c>
      <c r="AV128" s="6">
        <f>DATA[[#This Row],[FECHA DE VAL.]]</f>
        <v>45684</v>
      </c>
      <c r="AW128" s="6">
        <f>DATA[[#This Row],[FECHA DE EMISION]]</f>
        <v>45687</v>
      </c>
      <c r="AX128" s="6">
        <f>DATA[[#This Row],[F1]]</f>
        <v>0</v>
      </c>
      <c r="AY128" s="20">
        <f>IF(AV128-DATA[[#This Row],[fecha_fs]]&lt;0,0,AV128-DATA[[#This Row],[fecha_fs]])</f>
        <v>3</v>
      </c>
      <c r="AZ128" s="20">
        <f t="shared" si="16"/>
        <v>3</v>
      </c>
      <c r="BA128" s="20">
        <f t="shared" si="17"/>
        <v>0</v>
      </c>
      <c r="BB128" s="195">
        <f>IFERROR(SUM(DATA[[#This Row],[fs_val_ttf]:[fact_pago_ttf]]),0)</f>
        <v>6</v>
      </c>
      <c r="BC128" s="185">
        <v>45694</v>
      </c>
      <c r="BD128" s="185">
        <v>45705</v>
      </c>
      <c r="BE128" s="185">
        <v>45707</v>
      </c>
      <c r="BF128" s="185">
        <v>45714</v>
      </c>
      <c r="BG128" s="20">
        <f>IFERROR(IF(BC128-DATA[[#This Row],[fecha_fs]]&lt;0,0,BC128-DATA[[#This Row],[fecha_fs]]),0)</f>
        <v>13</v>
      </c>
      <c r="BH128" s="20">
        <f t="shared" si="12"/>
        <v>11</v>
      </c>
      <c r="BI128" s="20">
        <f t="shared" si="13"/>
        <v>2</v>
      </c>
      <c r="BJ128" s="20">
        <f t="shared" si="14"/>
        <v>7</v>
      </c>
      <c r="BK128" s="218">
        <f>IFERROR(SUM(DATA[[#This Row],[fs_fd_ttd]:[fend_fenf_ttd]]),0)</f>
        <v>33</v>
      </c>
      <c r="BL128" s="20" t="str">
        <f>IF(DATA[[#This Row],[fecha_fs]]&gt;0,TEXT(DATA[[#This Row],[fecha_fs]],"YYYY"),0)</f>
        <v>2025</v>
      </c>
      <c r="BM128" s="221" t="b">
        <v>1</v>
      </c>
      <c r="BN128" s="278">
        <f>COUNTIF(DATA[[#This Row],[tiempo_td]], "&lt;=15")</f>
        <v>0</v>
      </c>
      <c r="BO128" s="222"/>
    </row>
    <row r="129" spans="1:67" ht="30.6" customHeight="1" x14ac:dyDescent="0.25">
      <c r="A129" s="4">
        <v>20553956324</v>
      </c>
      <c r="B129" s="5" t="s">
        <v>281</v>
      </c>
      <c r="C129" s="52" t="s">
        <v>175</v>
      </c>
      <c r="D129" s="4" t="s">
        <v>120</v>
      </c>
      <c r="E129" s="5" t="s">
        <v>3</v>
      </c>
      <c r="F129" s="24">
        <v>45681</v>
      </c>
      <c r="G129" s="7" t="s">
        <v>113</v>
      </c>
      <c r="H129" s="25">
        <f t="shared" si="15"/>
        <v>1</v>
      </c>
      <c r="I129" s="67">
        <v>4031</v>
      </c>
      <c r="J129" s="8" t="s">
        <v>115</v>
      </c>
      <c r="K129" s="9" t="s">
        <v>121</v>
      </c>
      <c r="L129" s="10" t="s">
        <v>117</v>
      </c>
      <c r="M129" s="11">
        <v>85</v>
      </c>
      <c r="N129" s="12" t="s">
        <v>125</v>
      </c>
      <c r="O129" s="6">
        <v>45688</v>
      </c>
      <c r="P129" s="13">
        <v>3270</v>
      </c>
      <c r="Q129" s="14" t="s">
        <v>85</v>
      </c>
      <c r="R129" s="15">
        <f>80/4</f>
        <v>20</v>
      </c>
      <c r="S129" s="15">
        <v>395.1</v>
      </c>
      <c r="T129" s="15">
        <f>DATA[[#This Row],[C. DF]]+DATA[[#This Row],[C.OPE.]]</f>
        <v>415.1</v>
      </c>
      <c r="U129" s="15">
        <f>DATA[[#This Row],[SUB TOTAL]]*0.18</f>
        <v>74.718000000000004</v>
      </c>
      <c r="V129" s="15">
        <f>IFERROR(ROUND(DATA[[#This Row],[SUB TOTAL]]+DATA[[#This Row],[IGV]],2),0)</f>
        <v>489.82</v>
      </c>
      <c r="W129" s="16" t="str">
        <f>IF(DATA[[#This Row],[VALORIZACIÓN ]]="-","NO CORRESPONDE",IF(OR(A129=20558226979,A129=10470707866,A129=20111157058,A129=20100226902),"NO CORRESPONDE",IF(J129="Emitida",IF(P129&gt;0,"EMITIDA","PENDIENTE"),"NO CORRESPONDE")))</f>
        <v>EMITIDA</v>
      </c>
      <c r="X129" s="29"/>
      <c r="Y129" s="17" t="s">
        <v>118</v>
      </c>
      <c r="Z129" s="30">
        <v>45692</v>
      </c>
      <c r="AA129" s="10" t="s">
        <v>124</v>
      </c>
      <c r="AB129" s="19">
        <v>546</v>
      </c>
      <c r="AC129" s="20">
        <v>0</v>
      </c>
      <c r="AD129" s="18">
        <f>DATA[[#This Row],[FECHA DE EMISION]]+DATA[[#This Row],[CONDICION DE PAGO]]</f>
        <v>45692</v>
      </c>
      <c r="AE129" s="23">
        <f>IF(DATA[[#This Row],[MONEDA]]="USD",VLOOKUP(DATA[[#This Row],[COMBINADA]],#REF!,11,0),1)</f>
        <v>1</v>
      </c>
      <c r="AF129" s="39" t="str">
        <f>IF(DATA[[#This Row],[SERIE2]]="-","NO CORRESPONDE",IF(W129="NO CORRESPONDE","NO CORRESPONDE",IF(Z129&gt;0,"FACTURADO","PENDIENTE")))</f>
        <v>FACTURADO</v>
      </c>
      <c r="AG129" s="27">
        <f>IFERROR(VLOOKUP(DATA[[#This Row],[COMBINADA]],#REF!,6,0),0)</f>
        <v>0</v>
      </c>
      <c r="AH129" s="125">
        <f>IFERROR(VLOOKUP(DATA[[#This Row],[COMBINADA]],#REF!,9,0),0)/COUNTIFS(DATA[COMBINADA],DATA[[#This Row],[COMBINADA]])</f>
        <v>0</v>
      </c>
      <c r="AI129" s="27">
        <f>IFERROR(VLOOKUP(DATA[[#This Row],[COMBINADA]],#REF!,6,0),0)</f>
        <v>0</v>
      </c>
      <c r="AJ129" s="125">
        <f>IFERROR(VLOOKUP(DATA[[#This Row],[COMBINADA]],#REF!,9,0),0)/COUNTIFS(DATA[COMBINADA],DATA[[#This Row],[COMBINADA]])</f>
        <v>0</v>
      </c>
      <c r="AK129" s="27">
        <f>IFERROR(VLOOKUP(DATA[[#This Row],[COMBINADA]],#REF!,6,0),0)</f>
        <v>0</v>
      </c>
      <c r="AL129" s="125">
        <f>IFERROR(VLOOKUP(DATA[[#This Row],[COMBINADA]],#REF!,9,0),0)/COUNTIFS(DATA[COMBINADA],DATA[[#This Row],[COMBINADA]])</f>
        <v>0</v>
      </c>
      <c r="AM129" s="27">
        <f>IFERROR(VLOOKUP(DATA[[#This Row],[COMBINADA]],#REF!,6,0),0)</f>
        <v>0</v>
      </c>
      <c r="AN129" s="125">
        <f>IFERROR(VLOOKUP(DATA[[#This Row],[COMBINADA]],#REF!,9,0),0)/COUNTIFS(DATA[COMBINADA],DATA[[#This Row],[COMBINADA]])</f>
        <v>0</v>
      </c>
      <c r="AO129" s="27">
        <f>IFERROR(VLOOKUP(DATA[[#This Row],[COMBINADA]],#REF!,6,0),0)</f>
        <v>0</v>
      </c>
      <c r="AP129" s="125">
        <f>IFERROR(VLOOKUP(DATA[[#This Row],[COMBINADA]],#REF!,9,0),0)/COUNTIFS(DATA[COMBINADA],DATA[[#This Row],[COMBINADA]])</f>
        <v>0</v>
      </c>
      <c r="AQ12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355.75428571428574</v>
      </c>
      <c r="AR129" s="26" t="str">
        <f>IFERROR(IF(DATA[[#This Row],[estado_fact]]="FACTURADO",VLOOKUP(DATA[[#This Row],[SERIE2]]&amp;"-"&amp;DATA[[#This Row],[NUMERO]],#REF!,34,0),"NO CORRESPONDE"),"NO CORRESPONDE")</f>
        <v>NO CORRESPONDE</v>
      </c>
      <c r="AS129" s="22" t="str">
        <f>IF(DATA[[#This Row],[fecha_fs]]&gt;0,TEXT(DATA[[#This Row],[fecha_fs]],"Mmmm"),0)</f>
        <v>Enero</v>
      </c>
      <c r="AT129" s="22" t="str">
        <f>DATA[[#This Row],[SERIE2]]&amp;"-"&amp;DATA[[#This Row],[NUMERO]]</f>
        <v>FE01-546</v>
      </c>
      <c r="AU129" s="28">
        <f>DATA[[#This Row],[TOTAL]]*DATA[[#This Row],[T.C.]]</f>
        <v>489.82</v>
      </c>
      <c r="AV129" s="6">
        <f>DATA[[#This Row],[FECHA DE VAL.]]</f>
        <v>45688</v>
      </c>
      <c r="AW129" s="6">
        <f>DATA[[#This Row],[FECHA DE EMISION]]</f>
        <v>45692</v>
      </c>
      <c r="AX129" s="6">
        <f>DATA[[#This Row],[F1]]</f>
        <v>0</v>
      </c>
      <c r="AY129" s="20">
        <f>IF(AV129-DATA[[#This Row],[fecha_fs]]&lt;0,0,AV129-DATA[[#This Row],[fecha_fs]])</f>
        <v>7</v>
      </c>
      <c r="AZ129" s="20">
        <f t="shared" si="16"/>
        <v>4</v>
      </c>
      <c r="BA129" s="20">
        <f t="shared" si="17"/>
        <v>0</v>
      </c>
      <c r="BB129" s="195">
        <f>IFERROR(SUM(DATA[[#This Row],[fs_val_ttf]:[fact_pago_ttf]]),0)</f>
        <v>11</v>
      </c>
      <c r="BC129" s="185">
        <v>45698</v>
      </c>
      <c r="BD129" s="185">
        <v>45707</v>
      </c>
      <c r="BE129" s="185">
        <v>45712</v>
      </c>
      <c r="BF129" s="185">
        <v>45758</v>
      </c>
      <c r="BG129" s="20">
        <f>IFERROR(IF(BC129-DATA[[#This Row],[fecha_fs]]&lt;0,0,BC129-DATA[[#This Row],[fecha_fs]]),0)</f>
        <v>17</v>
      </c>
      <c r="BH129" s="20">
        <f t="shared" si="12"/>
        <v>9</v>
      </c>
      <c r="BI129" s="20">
        <f t="shared" si="13"/>
        <v>5</v>
      </c>
      <c r="BJ129" s="20">
        <f t="shared" si="14"/>
        <v>46</v>
      </c>
      <c r="BK129" s="218">
        <f>IFERROR(SUM(DATA[[#This Row],[fs_fd_ttd]:[fend_fenf_ttd]]),0)</f>
        <v>77</v>
      </c>
      <c r="BL129" s="20" t="str">
        <f>IF(DATA[[#This Row],[fecha_fs]]&gt;0,TEXT(DATA[[#This Row],[fecha_fs]],"YYYY"),0)</f>
        <v>2025</v>
      </c>
      <c r="BM129" s="221" t="b">
        <v>0</v>
      </c>
      <c r="BN129" s="278">
        <f>COUNTIF(DATA[[#This Row],[tiempo_td]], "&lt;=15")</f>
        <v>0</v>
      </c>
      <c r="BO129" s="222"/>
    </row>
    <row r="130" spans="1:67" ht="30" customHeight="1" x14ac:dyDescent="0.25">
      <c r="A130" s="4"/>
      <c r="B130" s="5" t="s">
        <v>0</v>
      </c>
      <c r="C130" s="52"/>
      <c r="D130" s="4"/>
      <c r="E130" s="5" t="s">
        <v>0</v>
      </c>
      <c r="F130" s="24">
        <v>45681</v>
      </c>
      <c r="G130" s="7" t="s">
        <v>113</v>
      </c>
      <c r="H130" s="25">
        <f t="shared" si="15"/>
        <v>1</v>
      </c>
      <c r="I130" s="67">
        <v>4032</v>
      </c>
      <c r="J130" s="8" t="s">
        <v>173</v>
      </c>
      <c r="K130" s="9"/>
      <c r="L130" s="10"/>
      <c r="M130" s="111"/>
      <c r="N130" s="112"/>
      <c r="O130" s="6"/>
      <c r="P130" s="13" t="s">
        <v>114</v>
      </c>
      <c r="Q130" s="14"/>
      <c r="R130" s="43"/>
      <c r="S130" s="43"/>
      <c r="T130" s="43">
        <f>DATA[[#This Row],[C. DF]]+DATA[[#This Row],[C.OPE.]]</f>
        <v>0</v>
      </c>
      <c r="U130" s="73">
        <f>DATA[[#This Row],[SUB TOTAL]]*0.18</f>
        <v>0</v>
      </c>
      <c r="V130" s="45">
        <f>IFERROR(ROUND(DATA[[#This Row],[SUB TOTAL]]+DATA[[#This Row],[IGV]],2),0)</f>
        <v>0</v>
      </c>
      <c r="W130" s="58" t="str">
        <f>IF(DATA[[#This Row],[VALORIZACIÓN ]]="-","NO CORRESPONDE",IF(OR(A130=20558226979,A130=10470707866,A130=20111157058,A130=20100226902),"NO CORRESPONDE",IF(J130="Emitida",IF(P130&gt;0,"EMITIDA","PENDIENTE"),"NO CORRESPONDE")))</f>
        <v>NO CORRESPONDE</v>
      </c>
      <c r="X130" s="46"/>
      <c r="Y130" s="17" t="s">
        <v>128</v>
      </c>
      <c r="Z130" s="48"/>
      <c r="AA130" s="49"/>
      <c r="AB130" s="50"/>
      <c r="AC130" s="51"/>
      <c r="AD130" s="59">
        <f>DATA[[#This Row],[FECHA DE EMISION]]+DATA[[#This Row],[CONDICION DE PAGO]]</f>
        <v>0</v>
      </c>
      <c r="AE130" s="23">
        <f>IF(DATA[[#This Row],[MONEDA]]="USD",VLOOKUP(DATA[[#This Row],[COMBINADA]],#REF!,11,0),1)</f>
        <v>1</v>
      </c>
      <c r="AF130" s="39" t="str">
        <f>IF(DATA[[#This Row],[SERIE2]]="-","NO CORRESPONDE",IF(W130="NO CORRESPONDE","NO CORRESPONDE",IF(Z130&gt;0,"FACTURADO","PENDIENTE")))</f>
        <v>NO CORRESPONDE</v>
      </c>
      <c r="AG130" s="61">
        <f>IFERROR(VLOOKUP(DATA[[#This Row],[COMBINADA]],#REF!,6,0),0)</f>
        <v>0</v>
      </c>
      <c r="AH130" s="62">
        <f>IFERROR(VLOOKUP(DATA[[#This Row],[COMBINADA]],#REF!,9,0),0)/COUNTIFS(DATA[COMBINADA],DATA[[#This Row],[COMBINADA]])</f>
        <v>0</v>
      </c>
      <c r="AI130" s="61">
        <f>IFERROR(VLOOKUP(DATA[[#This Row],[COMBINADA]],#REF!,6,0),0)</f>
        <v>0</v>
      </c>
      <c r="AJ130" s="62">
        <f>IFERROR(VLOOKUP(DATA[[#This Row],[COMBINADA]],#REF!,9,0),0)/COUNTIFS(DATA[COMBINADA],DATA[[#This Row],[COMBINADA]])</f>
        <v>0</v>
      </c>
      <c r="AK130" s="61">
        <f>IFERROR(VLOOKUP(DATA[[#This Row],[COMBINADA]],#REF!,6,0),0)</f>
        <v>0</v>
      </c>
      <c r="AL130" s="62">
        <f>IFERROR(VLOOKUP(DATA[[#This Row],[COMBINADA]],#REF!,9,0),0)/COUNTIFS(DATA[COMBINADA],DATA[[#This Row],[COMBINADA]])</f>
        <v>0</v>
      </c>
      <c r="AM130" s="61">
        <f>IFERROR(VLOOKUP(DATA[[#This Row],[COMBINADA]],#REF!,6,0),0)</f>
        <v>0</v>
      </c>
      <c r="AN130" s="62">
        <f>IFERROR(VLOOKUP(DATA[[#This Row],[COMBINADA]],#REF!,9,0),0)/COUNTIFS(DATA[COMBINADA],DATA[[#This Row],[COMBINADA]])</f>
        <v>0</v>
      </c>
      <c r="AO130" s="61">
        <f>IFERROR(VLOOKUP(DATA[[#This Row],[COMBINADA]],#REF!,6,0),0)</f>
        <v>0</v>
      </c>
      <c r="AP130" s="62">
        <f>IFERROR(VLOOKUP(DATA[[#This Row],[COMBINADA]],#REF!,9,0),0)/COUNTIFS(DATA[COMBINADA],DATA[[#This Row],[COMBINADA]])</f>
        <v>0</v>
      </c>
      <c r="AQ130"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0" s="22" t="str">
        <f>IFERROR(IF(DATA[[#This Row],[estado_fact]]="FACTURADO",VLOOKUP(DATA[[#This Row],[SERIE2]]&amp;"-"&amp;DATA[[#This Row],[NUMERO]],#REF!,34,0),"NO CORRESPONDE"),"NO CORRESPONDE")</f>
        <v>NO CORRESPONDE</v>
      </c>
      <c r="AS130" s="198" t="str">
        <f>IF(DATA[[#This Row],[fecha_fs]]&gt;0,TEXT(DATA[[#This Row],[fecha_fs]],"Mmmm"),0)</f>
        <v>Enero</v>
      </c>
      <c r="AT130" s="199" t="str">
        <f>DATA[[#This Row],[SERIE2]]&amp;"-"&amp;DATA[[#This Row],[NUMERO]]</f>
        <v>-</v>
      </c>
      <c r="AU130" s="198">
        <f>DATA[[#This Row],[TOTAL]]*DATA[[#This Row],[T.C.]]</f>
        <v>0</v>
      </c>
      <c r="AV130" s="40">
        <f>DATA[[#This Row],[FECHA DE VAL.]]</f>
        <v>0</v>
      </c>
      <c r="AW130" s="40">
        <f>DATA[[#This Row],[FECHA DE EMISION]]</f>
        <v>0</v>
      </c>
      <c r="AX130" s="40">
        <f>DATA[[#This Row],[F1]]</f>
        <v>0</v>
      </c>
      <c r="AY130" s="49">
        <f>IF(AV130-DATA[[#This Row],[fecha_fs]]&lt;0,0,AV130-DATA[[#This Row],[fecha_fs]])</f>
        <v>0</v>
      </c>
      <c r="AZ130" s="49">
        <f t="shared" si="16"/>
        <v>0</v>
      </c>
      <c r="BA130" s="49">
        <f t="shared" si="17"/>
        <v>0</v>
      </c>
      <c r="BB130" s="195">
        <f>IFERROR(SUM(DATA[[#This Row],[fs_val_ttf]:[fact_pago_ttf]]),0)</f>
        <v>0</v>
      </c>
      <c r="BC130" s="200"/>
      <c r="BD130" s="200"/>
      <c r="BE130" s="200"/>
      <c r="BF130" s="200"/>
      <c r="BG130" s="49">
        <f>IFERROR(IF(BC130-DATA[[#This Row],[fecha_fs]]&lt;0,0,BC130-DATA[[#This Row],[fecha_fs]]),0)</f>
        <v>0</v>
      </c>
      <c r="BH130" s="49">
        <f t="shared" si="12"/>
        <v>0</v>
      </c>
      <c r="BI130" s="49">
        <f t="shared" si="13"/>
        <v>0</v>
      </c>
      <c r="BJ130" s="49">
        <f t="shared" si="14"/>
        <v>0</v>
      </c>
      <c r="BK130" s="218">
        <f>IFERROR(SUM(DATA[[#This Row],[fs_fd_ttd]:[fend_fenf_ttd]]),0)</f>
        <v>0</v>
      </c>
      <c r="BL130" s="20" t="str">
        <f>IF(DATA[[#This Row],[fecha_fs]]&gt;0,TEXT(DATA[[#This Row],[fecha_fs]],"YYYY"),0)</f>
        <v>2025</v>
      </c>
      <c r="BM130" s="221" t="b">
        <v>0</v>
      </c>
      <c r="BN130" s="278"/>
      <c r="BO130" s="222"/>
    </row>
    <row r="131" spans="1:67" ht="30.6" customHeight="1" x14ac:dyDescent="0.25">
      <c r="A131" s="4">
        <v>20100192064</v>
      </c>
      <c r="B131" s="5" t="s">
        <v>60</v>
      </c>
      <c r="C131" s="52" t="s">
        <v>43</v>
      </c>
      <c r="D131" s="4" t="s">
        <v>120</v>
      </c>
      <c r="E131" s="5" t="s">
        <v>3</v>
      </c>
      <c r="F131" s="24">
        <v>45681</v>
      </c>
      <c r="G131" s="7" t="s">
        <v>113</v>
      </c>
      <c r="H131" s="25">
        <f t="shared" si="15"/>
        <v>1</v>
      </c>
      <c r="I131" s="67">
        <v>4033</v>
      </c>
      <c r="J131" s="8" t="s">
        <v>115</v>
      </c>
      <c r="K131" s="9" t="s">
        <v>121</v>
      </c>
      <c r="L131" s="10" t="s">
        <v>117</v>
      </c>
      <c r="M131" s="11">
        <v>810</v>
      </c>
      <c r="N131" s="12" t="s">
        <v>132</v>
      </c>
      <c r="O131" s="6">
        <v>45684</v>
      </c>
      <c r="P131" s="57">
        <v>3244</v>
      </c>
      <c r="Q131" s="14" t="s">
        <v>123</v>
      </c>
      <c r="R131" s="15">
        <f>(DATA[[#This Row],[cantidad_fs]]/1000)*(47+174.34)</f>
        <v>179.28540000000001</v>
      </c>
      <c r="S131" s="15">
        <v>137</v>
      </c>
      <c r="T131" s="15">
        <f>DATA[[#This Row],[C. DF]]+DATA[[#This Row],[C.OPE.]]</f>
        <v>316.28539999999998</v>
      </c>
      <c r="U131" s="15">
        <f>DATA[[#This Row],[SUB TOTAL]]*0.18</f>
        <v>56.931371999999996</v>
      </c>
      <c r="V131" s="15">
        <f>IFERROR(ROUND(DATA[[#This Row],[SUB TOTAL]]+DATA[[#This Row],[IGV]],2),0)</f>
        <v>373.22</v>
      </c>
      <c r="W131" s="16" t="str">
        <f>IF(DATA[[#This Row],[VALORIZACIÓN ]]="-","NO CORRESPONDE",IF(OR(A131=20558226979,A131=10470707866,A131=20111157058,A131=20100226902),"NO CORRESPONDE",IF(J131="Emitida",IF(P131&gt;0,"EMITIDA","PENDIENTE"),"NO CORRESPONDE")))</f>
        <v>EMITIDA</v>
      </c>
      <c r="X131" s="29"/>
      <c r="Y131" s="17" t="s">
        <v>118</v>
      </c>
      <c r="Z131" s="30">
        <v>45687</v>
      </c>
      <c r="AA131" s="10" t="s">
        <v>124</v>
      </c>
      <c r="AB131" s="19">
        <v>534</v>
      </c>
      <c r="AC131" s="20">
        <v>30</v>
      </c>
      <c r="AD131" s="18">
        <f>DATA[[#This Row],[FECHA DE EMISION]]+DATA[[#This Row],[CONDICION DE PAGO]]</f>
        <v>45717</v>
      </c>
      <c r="AE131" s="23" t="e">
        <f>IF(DATA[[#This Row],[MONEDA]]="USD",VLOOKUP(DATA[[#This Row],[COMBINADA]],#REF!,11,0),1)</f>
        <v>#REF!</v>
      </c>
      <c r="AF131" s="39" t="str">
        <f>IF(DATA[[#This Row],[SERIE2]]="-","NO CORRESPONDE",IF(W131="NO CORRESPONDE","NO CORRESPONDE",IF(Z131&gt;0,"FACTURADO","PENDIENTE")))</f>
        <v>FACTURADO</v>
      </c>
      <c r="AG131" s="27">
        <f>IFERROR(VLOOKUP(DATA[[#This Row],[COMBINADA]],#REF!,6,0),0)</f>
        <v>0</v>
      </c>
      <c r="AH131" s="125">
        <f>IFERROR(VLOOKUP(DATA[[#This Row],[COMBINADA]],#REF!,9,0),0)/COUNTIFS(DATA[COMBINADA],DATA[[#This Row],[COMBINADA]])</f>
        <v>0</v>
      </c>
      <c r="AI131" s="27">
        <f>IFERROR(VLOOKUP(DATA[[#This Row],[COMBINADA]],#REF!,6,0),0)</f>
        <v>0</v>
      </c>
      <c r="AJ131" s="125">
        <f>IFERROR(VLOOKUP(DATA[[#This Row],[COMBINADA]],#REF!,9,0),0)/COUNTIFS(DATA[COMBINADA],DATA[[#This Row],[COMBINADA]])</f>
        <v>0</v>
      </c>
      <c r="AK131" s="27">
        <f>IFERROR(VLOOKUP(DATA[[#This Row],[COMBINADA]],#REF!,6,0),0)</f>
        <v>0</v>
      </c>
      <c r="AL131" s="125">
        <f>IFERROR(VLOOKUP(DATA[[#This Row],[COMBINADA]],#REF!,9,0),0)/COUNTIFS(DATA[COMBINADA],DATA[[#This Row],[COMBINADA]])</f>
        <v>0</v>
      </c>
      <c r="AM131" s="27">
        <f>IFERROR(VLOOKUP(DATA[[#This Row],[COMBINADA]],#REF!,6,0),0)</f>
        <v>0</v>
      </c>
      <c r="AN131" s="125">
        <f>IFERROR(VLOOKUP(DATA[[#This Row],[COMBINADA]],#REF!,9,0),0)/COUNTIFS(DATA[COMBINADA],DATA[[#This Row],[COMBINADA]])</f>
        <v>0</v>
      </c>
      <c r="AO131" s="27">
        <f>IFERROR(VLOOKUP(DATA[[#This Row],[COMBINADA]],#REF!,6,0),0)</f>
        <v>0</v>
      </c>
      <c r="AP131" s="125">
        <f>IFERROR(VLOOKUP(DATA[[#This Row],[COMBINADA]],#REF!,9,0),0)/COUNTIFS(DATA[COMBINADA],DATA[[#This Row],[COMBINADA]])</f>
        <v>0</v>
      </c>
      <c r="AQ13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575.62384615384622</v>
      </c>
      <c r="AR131" s="26" t="str">
        <f>IFERROR(IF(DATA[[#This Row],[estado_fact]]="FACTURADO",VLOOKUP(DATA[[#This Row],[SERIE2]]&amp;"-"&amp;DATA[[#This Row],[NUMERO]],#REF!,34,0),"NO CORRESPONDE"),"NO CORRESPONDE")</f>
        <v>NO CORRESPONDE</v>
      </c>
      <c r="AS131" s="22" t="str">
        <f>IF(DATA[[#This Row],[fecha_fs]]&gt;0,TEXT(DATA[[#This Row],[fecha_fs]],"Mmmm"),0)</f>
        <v>Enero</v>
      </c>
      <c r="AT131" s="22" t="str">
        <f>DATA[[#This Row],[SERIE2]]&amp;"-"&amp;DATA[[#This Row],[NUMERO]]</f>
        <v>FE01-534</v>
      </c>
      <c r="AU131" s="28" t="e">
        <f>DATA[[#This Row],[TOTAL]]*DATA[[#This Row],[T.C.]]</f>
        <v>#REF!</v>
      </c>
      <c r="AV131" s="6">
        <f>DATA[[#This Row],[FECHA DE VAL.]]</f>
        <v>45684</v>
      </c>
      <c r="AW131" s="6">
        <f>DATA[[#This Row],[FECHA DE EMISION]]</f>
        <v>45687</v>
      </c>
      <c r="AX131" s="6">
        <f>DATA[[#This Row],[F1]]</f>
        <v>0</v>
      </c>
      <c r="AY131" s="20">
        <f>IF(AV131-DATA[[#This Row],[fecha_fs]]&lt;0,0,AV131-DATA[[#This Row],[fecha_fs]])</f>
        <v>3</v>
      </c>
      <c r="AZ131" s="20">
        <f t="shared" si="16"/>
        <v>3</v>
      </c>
      <c r="BA131" s="20">
        <f t="shared" si="17"/>
        <v>0</v>
      </c>
      <c r="BB131" s="195">
        <f>IFERROR(SUM(DATA[[#This Row],[fs_val_ttf]:[fact_pago_ttf]]),0)</f>
        <v>6</v>
      </c>
      <c r="BC131" s="185">
        <v>45694</v>
      </c>
      <c r="BD131" s="185">
        <v>45700</v>
      </c>
      <c r="BE131" s="185">
        <v>45707</v>
      </c>
      <c r="BF131" s="185">
        <v>45758</v>
      </c>
      <c r="BG131" s="20">
        <f>IFERROR(IF(BC131-DATA[[#This Row],[fecha_fs]]&lt;0,0,BC131-DATA[[#This Row],[fecha_fs]]),0)</f>
        <v>13</v>
      </c>
      <c r="BH131" s="20">
        <f t="shared" si="12"/>
        <v>6</v>
      </c>
      <c r="BI131" s="20">
        <f t="shared" si="13"/>
        <v>7</v>
      </c>
      <c r="BJ131" s="20">
        <f t="shared" si="14"/>
        <v>51</v>
      </c>
      <c r="BK131" s="218">
        <f>IFERROR(SUM(DATA[[#This Row],[fs_fd_ttd]:[fend_fenf_ttd]]),0)</f>
        <v>77</v>
      </c>
      <c r="BL131" s="20" t="str">
        <f>IF(DATA[[#This Row],[fecha_fs]]&gt;0,TEXT(DATA[[#This Row],[fecha_fs]],"YYYY"),0)</f>
        <v>2025</v>
      </c>
      <c r="BM131" s="221" t="b">
        <v>1</v>
      </c>
      <c r="BN131" s="278">
        <f>COUNTIF(DATA[[#This Row],[tiempo_td]], "&lt;=15")</f>
        <v>0</v>
      </c>
      <c r="BO131" s="222"/>
    </row>
    <row r="132" spans="1:67" ht="30" customHeight="1" x14ac:dyDescent="0.25">
      <c r="A132" s="4">
        <v>20141637941</v>
      </c>
      <c r="B132" s="5" t="s">
        <v>79</v>
      </c>
      <c r="C132" s="52" t="s">
        <v>18</v>
      </c>
      <c r="D132" s="4" t="s">
        <v>120</v>
      </c>
      <c r="E132" s="5" t="s">
        <v>3</v>
      </c>
      <c r="F132" s="24">
        <v>45685</v>
      </c>
      <c r="G132" s="7" t="s">
        <v>113</v>
      </c>
      <c r="H132" s="25">
        <f t="shared" si="15"/>
        <v>1</v>
      </c>
      <c r="I132" s="67">
        <v>4034</v>
      </c>
      <c r="J132" s="8" t="s">
        <v>115</v>
      </c>
      <c r="K132" s="9" t="s">
        <v>121</v>
      </c>
      <c r="L132" s="10" t="s">
        <v>117</v>
      </c>
      <c r="M132" s="11">
        <v>890</v>
      </c>
      <c r="N132" s="12" t="s">
        <v>182</v>
      </c>
      <c r="O132" s="6">
        <v>45685</v>
      </c>
      <c r="P132" s="110">
        <v>3266</v>
      </c>
      <c r="Q132" s="14" t="s">
        <v>85</v>
      </c>
      <c r="R132" s="15">
        <v>70</v>
      </c>
      <c r="S132" s="15">
        <v>517</v>
      </c>
      <c r="T132" s="15">
        <f>DATA[[#This Row],[C. DF]]+DATA[[#This Row],[C.OPE.]]</f>
        <v>587</v>
      </c>
      <c r="U132" s="15">
        <f>DATA[[#This Row],[SUB TOTAL]]*0.18</f>
        <v>105.66</v>
      </c>
      <c r="V132" s="15">
        <f>IFERROR(ROUND(DATA[[#This Row],[SUB TOTAL]]+DATA[[#This Row],[IGV]],2),0)</f>
        <v>692.66</v>
      </c>
      <c r="W132" s="16" t="str">
        <f>IF(DATA[[#This Row],[VALORIZACIÓN ]]="-","NO CORRESPONDE",IF(OR(A132=20558226979,A132=10470707866,A132=20111157058,A132=20100226902),"NO CORRESPONDE",IF(J132="Emitida",IF(P132&gt;0,"EMITIDA","PENDIENTE"),"NO CORRESPONDE")))</f>
        <v>EMITIDA</v>
      </c>
      <c r="X132" s="46"/>
      <c r="Y132" s="17" t="s">
        <v>118</v>
      </c>
      <c r="Z132" s="30">
        <v>45698</v>
      </c>
      <c r="AA132" s="49" t="s">
        <v>124</v>
      </c>
      <c r="AB132" s="19">
        <v>553</v>
      </c>
      <c r="AC132" s="20">
        <v>30</v>
      </c>
      <c r="AD132" s="18">
        <f>DATA[[#This Row],[FECHA DE EMISION]]+DATA[[#This Row],[CONDICION DE PAGO]]</f>
        <v>45728</v>
      </c>
      <c r="AE132" s="23">
        <f>IF(DATA[[#This Row],[MONEDA]]="USD",VLOOKUP(DATA[[#This Row],[COMBINADA]],#REF!,11,0),1)</f>
        <v>1</v>
      </c>
      <c r="AF132" s="39" t="str">
        <f>IF(DATA[[#This Row],[SERIE2]]="-","NO CORRESPONDE",IF(W132="NO CORRESPONDE","NO CORRESPONDE",IF(Z132&gt;0,"FACTURADO","PENDIENTE")))</f>
        <v>FACTURADO</v>
      </c>
      <c r="AG132" s="61">
        <f>IFERROR(VLOOKUP(DATA[[#This Row],[COMBINADA]],#REF!,6,0),0)</f>
        <v>0</v>
      </c>
      <c r="AH132" s="62">
        <f>IFERROR(VLOOKUP(DATA[[#This Row],[COMBINADA]],#REF!,9,0),0)/COUNTIFS(DATA[COMBINADA],DATA[[#This Row],[COMBINADA]])</f>
        <v>0</v>
      </c>
      <c r="AI132" s="61">
        <f>IFERROR(VLOOKUP(DATA[[#This Row],[COMBINADA]],#REF!,6,0),0)</f>
        <v>0</v>
      </c>
      <c r="AJ132" s="62">
        <f>IFERROR(VLOOKUP(DATA[[#This Row],[COMBINADA]],#REF!,9,0),0)/COUNTIFS(DATA[COMBINADA],DATA[[#This Row],[COMBINADA]])</f>
        <v>0</v>
      </c>
      <c r="AK132" s="61">
        <f>IFERROR(VLOOKUP(DATA[[#This Row],[COMBINADA]],#REF!,6,0),0)</f>
        <v>0</v>
      </c>
      <c r="AL132" s="62">
        <f>IFERROR(VLOOKUP(DATA[[#This Row],[COMBINADA]],#REF!,9,0),0)/COUNTIFS(DATA[COMBINADA],DATA[[#This Row],[COMBINADA]])</f>
        <v>0</v>
      </c>
      <c r="AM132" s="61">
        <f>IFERROR(VLOOKUP(DATA[[#This Row],[COMBINADA]],#REF!,6,0),0)</f>
        <v>0</v>
      </c>
      <c r="AN132" s="62">
        <f>IFERROR(VLOOKUP(DATA[[#This Row],[COMBINADA]],#REF!,9,0),0)/COUNTIFS(DATA[COMBINADA],DATA[[#This Row],[COMBINADA]])</f>
        <v>0</v>
      </c>
      <c r="AO132" s="61">
        <f>IFERROR(VLOOKUP(DATA[[#This Row],[COMBINADA]],#REF!,6,0),0)</f>
        <v>0</v>
      </c>
      <c r="AP132" s="62">
        <f>IFERROR(VLOOKUP(DATA[[#This Row],[COMBINADA]],#REF!,9,0),0)/COUNTIFS(DATA[COMBINADA],DATA[[#This Row],[COMBINADA]])</f>
        <v>0</v>
      </c>
      <c r="AQ132"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692.66</v>
      </c>
      <c r="AR132" s="22" t="str">
        <f>IFERROR(IF(DATA[[#This Row],[estado_fact]]="FACTURADO",VLOOKUP(DATA[[#This Row],[SERIE2]]&amp;"-"&amp;DATA[[#This Row],[NUMERO]],#REF!,34,0),"NO CORRESPONDE"),"NO CORRESPONDE")</f>
        <v>NO CORRESPONDE</v>
      </c>
      <c r="AS132" s="65" t="str">
        <f>IF(DATA[[#This Row],[fecha_fs]]&gt;0,TEXT(DATA[[#This Row],[fecha_fs]],"Mmmm"),0)</f>
        <v>Enero</v>
      </c>
      <c r="AT132" s="22" t="str">
        <f>DATA[[#This Row],[SERIE2]]&amp;"-"&amp;DATA[[#This Row],[NUMERO]]</f>
        <v>FE01-553</v>
      </c>
      <c r="AU132" s="28">
        <f>DATA[[#This Row],[TOTAL]]*DATA[[#This Row],[T.C.]]</f>
        <v>692.66</v>
      </c>
      <c r="AV132" s="6">
        <f>DATA[[#This Row],[FECHA DE VAL.]]</f>
        <v>45685</v>
      </c>
      <c r="AW132" s="6">
        <f>DATA[[#This Row],[FECHA DE EMISION]]</f>
        <v>45698</v>
      </c>
      <c r="AX132" s="6">
        <f>DATA[[#This Row],[F1]]</f>
        <v>0</v>
      </c>
      <c r="AY132" s="20">
        <f>IF(AV132-DATA[[#This Row],[fecha_fs]]&lt;0,0,AV132-DATA[[#This Row],[fecha_fs]])</f>
        <v>0</v>
      </c>
      <c r="AZ132" s="20">
        <f t="shared" si="16"/>
        <v>13</v>
      </c>
      <c r="BA132" s="20">
        <f t="shared" si="17"/>
        <v>0</v>
      </c>
      <c r="BB132" s="195">
        <f>IFERROR(SUM(DATA[[#This Row],[fs_val_ttf]:[fact_pago_ttf]]),0)</f>
        <v>13</v>
      </c>
      <c r="BC132" s="185">
        <v>45685</v>
      </c>
      <c r="BD132" s="185">
        <v>45685</v>
      </c>
      <c r="BE132" s="185">
        <v>45698</v>
      </c>
      <c r="BF132" s="185">
        <v>45698</v>
      </c>
      <c r="BG132" s="20">
        <f>IFERROR(IF(BC132-DATA[[#This Row],[fecha_fs]]&lt;0,0,BC132-DATA[[#This Row],[fecha_fs]]),0)</f>
        <v>0</v>
      </c>
      <c r="BH132" s="20">
        <f t="shared" si="12"/>
        <v>0</v>
      </c>
      <c r="BI132" s="20">
        <f t="shared" si="13"/>
        <v>13</v>
      </c>
      <c r="BJ132" s="20">
        <f t="shared" si="14"/>
        <v>0</v>
      </c>
      <c r="BK132" s="218">
        <f>IFERROR(SUM(DATA[[#This Row],[fs_fd_ttd]:[fend_fenf_ttd]]),0)</f>
        <v>13</v>
      </c>
      <c r="BL132" s="20" t="str">
        <f>IF(DATA[[#This Row],[fecha_fs]]&gt;0,TEXT(DATA[[#This Row],[fecha_fs]],"YYYY"),0)</f>
        <v>2025</v>
      </c>
      <c r="BM132" s="221" t="b">
        <v>1</v>
      </c>
      <c r="BN132" s="278">
        <f>COUNTIF(DATA[[#This Row],[tiempo_td]], "&lt;=15")</f>
        <v>1</v>
      </c>
      <c r="BO132" s="222"/>
    </row>
    <row r="133" spans="1:67" ht="30.6" customHeight="1" x14ac:dyDescent="0.25">
      <c r="A133" s="4">
        <v>20141637941</v>
      </c>
      <c r="B133" s="5" t="s">
        <v>79</v>
      </c>
      <c r="C133" s="52" t="s">
        <v>80</v>
      </c>
      <c r="D133" s="4" t="s">
        <v>120</v>
      </c>
      <c r="E133" s="5" t="s">
        <v>3</v>
      </c>
      <c r="F133" s="24">
        <v>45685</v>
      </c>
      <c r="G133" s="7" t="s">
        <v>113</v>
      </c>
      <c r="H133" s="25">
        <f t="shared" si="15"/>
        <v>1</v>
      </c>
      <c r="I133" s="67">
        <v>4035</v>
      </c>
      <c r="J133" s="8" t="s">
        <v>115</v>
      </c>
      <c r="K133" s="9" t="s">
        <v>121</v>
      </c>
      <c r="L133" s="10" t="s">
        <v>117</v>
      </c>
      <c r="M133" s="11">
        <v>1520</v>
      </c>
      <c r="N133" s="12" t="s">
        <v>125</v>
      </c>
      <c r="O133" s="6">
        <v>45688</v>
      </c>
      <c r="P133" s="68">
        <v>3274</v>
      </c>
      <c r="Q133" s="14" t="s">
        <v>85</v>
      </c>
      <c r="R133" s="15">
        <f>70+(DATA[[#This Row],[cantidad_fs]]-1000)*0.1</f>
        <v>122</v>
      </c>
      <c r="S133" s="15">
        <f>517/2</f>
        <v>258.5</v>
      </c>
      <c r="T133" s="15">
        <f>DATA[[#This Row],[C. DF]]+DATA[[#This Row],[C.OPE.]]</f>
        <v>380.5</v>
      </c>
      <c r="U133" s="15">
        <f>DATA[[#This Row],[SUB TOTAL]]*0.18</f>
        <v>68.489999999999995</v>
      </c>
      <c r="V133" s="15">
        <f>IFERROR(ROUND(DATA[[#This Row],[SUB TOTAL]]+DATA[[#This Row],[IGV]],2),0)</f>
        <v>448.99</v>
      </c>
      <c r="W133" s="16" t="str">
        <f>IF(DATA[[#This Row],[VALORIZACIÓN ]]="-","NO CORRESPONDE",IF(OR(A133=20558226979,A133=10470707866,A133=20111157058,A133=20100226902),"NO CORRESPONDE",IF(J133="Emitida",IF(P133&gt;0,"EMITIDA","PENDIENTE"),"NO CORRESPONDE")))</f>
        <v>EMITIDA</v>
      </c>
      <c r="X133" s="29"/>
      <c r="Y133" s="17" t="s">
        <v>118</v>
      </c>
      <c r="Z133" s="30">
        <v>45735</v>
      </c>
      <c r="AA133" s="10" t="s">
        <v>119</v>
      </c>
      <c r="AB133" s="19">
        <v>33</v>
      </c>
      <c r="AC133" s="20">
        <v>30</v>
      </c>
      <c r="AD133" s="18">
        <f>DATA[[#This Row],[FECHA DE EMISION]]+DATA[[#This Row],[CONDICION DE PAGO]]</f>
        <v>45765</v>
      </c>
      <c r="AE133" s="23">
        <f>IF(DATA[[#This Row],[MONEDA]]="USD",VLOOKUP(DATA[[#This Row],[COMBINADA]],#REF!,11,0),1)</f>
        <v>1</v>
      </c>
      <c r="AF133" s="39" t="str">
        <f>IF(DATA[[#This Row],[SERIE2]]="-","NO CORRESPONDE",IF(W133="NO CORRESPONDE","NO CORRESPONDE",IF(Z133&gt;0,"FACTURADO","PENDIENTE")))</f>
        <v>FACTURADO</v>
      </c>
      <c r="AG133" s="27">
        <f>IFERROR(VLOOKUP(DATA[[#This Row],[COMBINADA]],#REF!,6,0),0)</f>
        <v>0</v>
      </c>
      <c r="AH133" s="125">
        <f>IFERROR(VLOOKUP(DATA[[#This Row],[COMBINADA]],#REF!,9,0),0)/COUNTIFS(DATA[COMBINADA],DATA[[#This Row],[COMBINADA]])</f>
        <v>0</v>
      </c>
      <c r="AI133" s="27">
        <f>IFERROR(VLOOKUP(DATA[[#This Row],[COMBINADA]],#REF!,6,0),0)</f>
        <v>0</v>
      </c>
      <c r="AJ133" s="125">
        <f>IFERROR(VLOOKUP(DATA[[#This Row],[COMBINADA]],#REF!,9,0),0)/COUNTIFS(DATA[COMBINADA],DATA[[#This Row],[COMBINADA]])</f>
        <v>0</v>
      </c>
      <c r="AK133" s="27">
        <f>IFERROR(VLOOKUP(DATA[[#This Row],[COMBINADA]],#REF!,6,0),0)</f>
        <v>0</v>
      </c>
      <c r="AL133" s="125">
        <f>IFERROR(VLOOKUP(DATA[[#This Row],[COMBINADA]],#REF!,9,0),0)/COUNTIFS(DATA[COMBINADA],DATA[[#This Row],[COMBINADA]])</f>
        <v>0</v>
      </c>
      <c r="AM133" s="27">
        <f>IFERROR(VLOOKUP(DATA[[#This Row],[COMBINADA]],#REF!,6,0),0)</f>
        <v>0</v>
      </c>
      <c r="AN133" s="125">
        <f>IFERROR(VLOOKUP(DATA[[#This Row],[COMBINADA]],#REF!,9,0),0)/COUNTIFS(DATA[COMBINADA],DATA[[#This Row],[COMBINADA]])</f>
        <v>0</v>
      </c>
      <c r="AO133" s="27">
        <f>IFERROR(VLOOKUP(DATA[[#This Row],[COMBINADA]],#REF!,6,0),0)</f>
        <v>0</v>
      </c>
      <c r="AP133" s="125">
        <f>IFERROR(VLOOKUP(DATA[[#This Row],[COMBINADA]],#REF!,9,0),0)/COUNTIFS(DATA[COMBINADA],DATA[[#This Row],[COMBINADA]])</f>
        <v>0</v>
      </c>
      <c r="AQ13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397.65999999999997</v>
      </c>
      <c r="AR133" s="26" t="str">
        <f>IFERROR(IF(DATA[[#This Row],[estado_fact]]="FACTURADO",VLOOKUP(DATA[[#This Row],[SERIE2]]&amp;"-"&amp;DATA[[#This Row],[NUMERO]],#REF!,34,0),"NO CORRESPONDE"),"NO CORRESPONDE")</f>
        <v>NO CORRESPONDE</v>
      </c>
      <c r="AS133" s="22" t="str">
        <f>IF(DATA[[#This Row],[fecha_fs]]&gt;0,TEXT(DATA[[#This Row],[fecha_fs]],"Mmmm"),0)</f>
        <v>Enero</v>
      </c>
      <c r="AT133" s="22" t="str">
        <f>DATA[[#This Row],[SERIE2]]&amp;"-"&amp;DATA[[#This Row],[NUMERO]]</f>
        <v>E001-33</v>
      </c>
      <c r="AU133" s="28">
        <f>DATA[[#This Row],[TOTAL]]*DATA[[#This Row],[T.C.]]</f>
        <v>448.99</v>
      </c>
      <c r="AV133" s="6">
        <f>DATA[[#This Row],[FECHA DE VAL.]]</f>
        <v>45688</v>
      </c>
      <c r="AW133" s="6">
        <f>DATA[[#This Row],[FECHA DE EMISION]]</f>
        <v>45735</v>
      </c>
      <c r="AX133" s="6">
        <f>DATA[[#This Row],[F1]]</f>
        <v>0</v>
      </c>
      <c r="AY133" s="20">
        <f>IF(AV133-DATA[[#This Row],[fecha_fs]]&lt;0,0,AV133-DATA[[#This Row],[fecha_fs]])</f>
        <v>3</v>
      </c>
      <c r="AZ133" s="20">
        <f t="shared" si="16"/>
        <v>47</v>
      </c>
      <c r="BA133" s="20">
        <f t="shared" si="17"/>
        <v>0</v>
      </c>
      <c r="BB133" s="195">
        <f>IFERROR(SUM(DATA[[#This Row],[fs_val_ttf]:[fact_pago_ttf]]),0)</f>
        <v>50</v>
      </c>
      <c r="BC133" s="185">
        <v>45685</v>
      </c>
      <c r="BD133" s="185">
        <v>45685</v>
      </c>
      <c r="BE133" s="185">
        <v>45691</v>
      </c>
      <c r="BF133" s="185">
        <v>45691</v>
      </c>
      <c r="BG133" s="20">
        <f>IFERROR(IF(BC133-DATA[[#This Row],[fecha_fs]]&lt;0,0,BC133-DATA[[#This Row],[fecha_fs]]),0)</f>
        <v>0</v>
      </c>
      <c r="BH133" s="20">
        <f t="shared" si="12"/>
        <v>0</v>
      </c>
      <c r="BI133" s="20">
        <f t="shared" si="13"/>
        <v>6</v>
      </c>
      <c r="BJ133" s="20">
        <f t="shared" si="14"/>
        <v>0</v>
      </c>
      <c r="BK133" s="218">
        <f>IFERROR(SUM(DATA[[#This Row],[fs_fd_ttd]:[fend_fenf_ttd]]),0)</f>
        <v>6</v>
      </c>
      <c r="BL133" s="20" t="str">
        <f>IF(DATA[[#This Row],[fecha_fs]]&gt;0,TEXT(DATA[[#This Row],[fecha_fs]],"YYYY"),0)</f>
        <v>2025</v>
      </c>
      <c r="BM133" s="221" t="b">
        <v>1</v>
      </c>
      <c r="BN133" s="278">
        <f>COUNTIF(DATA[[#This Row],[tiempo_td]], "&lt;=15")</f>
        <v>1</v>
      </c>
      <c r="BO133" s="222"/>
    </row>
    <row r="134" spans="1:67" ht="30" customHeight="1" x14ac:dyDescent="0.25">
      <c r="A134" s="4">
        <v>20141637941</v>
      </c>
      <c r="B134" s="5" t="s">
        <v>79</v>
      </c>
      <c r="C134" s="52" t="s">
        <v>80</v>
      </c>
      <c r="D134" s="4" t="s">
        <v>120</v>
      </c>
      <c r="E134" s="5" t="s">
        <v>3</v>
      </c>
      <c r="F134" s="24">
        <v>45685</v>
      </c>
      <c r="G134" s="7" t="s">
        <v>113</v>
      </c>
      <c r="H134" s="25">
        <f t="shared" si="15"/>
        <v>1</v>
      </c>
      <c r="I134" s="67">
        <v>4036</v>
      </c>
      <c r="J134" s="8" t="s">
        <v>115</v>
      </c>
      <c r="K134" s="9" t="s">
        <v>121</v>
      </c>
      <c r="L134" s="10" t="s">
        <v>117</v>
      </c>
      <c r="M134" s="11">
        <v>350</v>
      </c>
      <c r="N134" s="12" t="s">
        <v>125</v>
      </c>
      <c r="O134" s="6">
        <v>45688</v>
      </c>
      <c r="P134" s="68">
        <v>3274</v>
      </c>
      <c r="Q134" s="14" t="s">
        <v>85</v>
      </c>
      <c r="R134" s="15">
        <f>DATA[[#This Row],[cantidad_fs]]*0.1</f>
        <v>35</v>
      </c>
      <c r="S134" s="15">
        <f>517/2</f>
        <v>258.5</v>
      </c>
      <c r="T134" s="15">
        <f>DATA[[#This Row],[C. DF]]+DATA[[#This Row],[C.OPE.]]</f>
        <v>293.5</v>
      </c>
      <c r="U134" s="15">
        <f>DATA[[#This Row],[SUB TOTAL]]*0.18</f>
        <v>52.83</v>
      </c>
      <c r="V134" s="15">
        <f>IFERROR(ROUND(DATA[[#This Row],[SUB TOTAL]]+DATA[[#This Row],[IGV]],2),0)</f>
        <v>346.33</v>
      </c>
      <c r="W134" s="73" t="str">
        <f>IF(DATA[[#This Row],[VALORIZACIÓN ]]="-","NO CORRESPONDE",IF(OR(A134=20558226979,A134=10470707866,A134=20111157058,A134=20100226902),"NO CORRESPONDE",IF(J134="Emitida",IF(P134&gt;0,"EMITIDA","PENDIENTE"),"NO CORRESPONDE")))</f>
        <v>EMITIDA</v>
      </c>
      <c r="X134" s="29"/>
      <c r="Y134" s="17" t="s">
        <v>118</v>
      </c>
      <c r="Z134" s="30">
        <v>45735</v>
      </c>
      <c r="AA134" s="10" t="s">
        <v>119</v>
      </c>
      <c r="AB134" s="19">
        <v>33</v>
      </c>
      <c r="AC134" s="20">
        <v>30</v>
      </c>
      <c r="AD134" s="18">
        <f>DATA[[#This Row],[FECHA DE EMISION]]+DATA[[#This Row],[CONDICION DE PAGO]]</f>
        <v>45765</v>
      </c>
      <c r="AE134" s="23">
        <f>IF(DATA[[#This Row],[MONEDA]]="USD",VLOOKUP(DATA[[#This Row],[COMBINADA]],#REF!,11,0),1)</f>
        <v>1</v>
      </c>
      <c r="AF134" s="39" t="str">
        <f>IF(DATA[[#This Row],[SERIE2]]="-","NO CORRESPONDE",IF(W134="NO CORRESPONDE","NO CORRESPONDE",IF(Z134&gt;0,"FACTURADO","PENDIENTE")))</f>
        <v>FACTURADO</v>
      </c>
      <c r="AG134" s="27">
        <f>IFERROR(VLOOKUP(DATA[[#This Row],[COMBINADA]],#REF!,6,0),0)</f>
        <v>0</v>
      </c>
      <c r="AH134" s="125">
        <f>IFERROR(VLOOKUP(DATA[[#This Row],[COMBINADA]],#REF!,9,0),0)/COUNTIFS(DATA[COMBINADA],DATA[[#This Row],[COMBINADA]])</f>
        <v>0</v>
      </c>
      <c r="AI134" s="27">
        <f>IFERROR(VLOOKUP(DATA[[#This Row],[COMBINADA]],#REF!,6,0),0)</f>
        <v>0</v>
      </c>
      <c r="AJ134" s="125">
        <f>IFERROR(VLOOKUP(DATA[[#This Row],[COMBINADA]],#REF!,9,0),0)/COUNTIFS(DATA[COMBINADA],DATA[[#This Row],[COMBINADA]])</f>
        <v>0</v>
      </c>
      <c r="AK134" s="27">
        <f>IFERROR(VLOOKUP(DATA[[#This Row],[COMBINADA]],#REF!,6,0),0)</f>
        <v>0</v>
      </c>
      <c r="AL134" s="125">
        <f>IFERROR(VLOOKUP(DATA[[#This Row],[COMBINADA]],#REF!,9,0),0)/COUNTIFS(DATA[COMBINADA],DATA[[#This Row],[COMBINADA]])</f>
        <v>0</v>
      </c>
      <c r="AM134" s="27">
        <f>IFERROR(VLOOKUP(DATA[[#This Row],[COMBINADA]],#REF!,6,0),0)</f>
        <v>0</v>
      </c>
      <c r="AN134" s="125">
        <f>IFERROR(VLOOKUP(DATA[[#This Row],[COMBINADA]],#REF!,9,0),0)/COUNTIFS(DATA[COMBINADA],DATA[[#This Row],[COMBINADA]])</f>
        <v>0</v>
      </c>
      <c r="AO134" s="27">
        <f>IFERROR(VLOOKUP(DATA[[#This Row],[COMBINADA]],#REF!,6,0),0)</f>
        <v>0</v>
      </c>
      <c r="AP134" s="125">
        <f>IFERROR(VLOOKUP(DATA[[#This Row],[COMBINADA]],#REF!,9,0),0)/COUNTIFS(DATA[COMBINADA],DATA[[#This Row],[COMBINADA]])</f>
        <v>0</v>
      </c>
      <c r="AQ13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397.65999999999997</v>
      </c>
      <c r="AR134" s="26" t="str">
        <f>IFERROR(IF(DATA[[#This Row],[estado_fact]]="FACTURADO",VLOOKUP(DATA[[#This Row],[SERIE2]]&amp;"-"&amp;DATA[[#This Row],[NUMERO]],#REF!,34,0),"NO CORRESPONDE"),"NO CORRESPONDE")</f>
        <v>NO CORRESPONDE</v>
      </c>
      <c r="AS134" s="65" t="str">
        <f>IF(DATA[[#This Row],[fecha_fs]]&gt;0,TEXT(DATA[[#This Row],[fecha_fs]],"Mmmm"),0)</f>
        <v>Enero</v>
      </c>
      <c r="AT134" s="22" t="str">
        <f>DATA[[#This Row],[SERIE2]]&amp;"-"&amp;DATA[[#This Row],[NUMERO]]</f>
        <v>E001-33</v>
      </c>
      <c r="AU134" s="28">
        <f>DATA[[#This Row],[TOTAL]]*DATA[[#This Row],[T.C.]]</f>
        <v>346.33</v>
      </c>
      <c r="AV134" s="6">
        <f>DATA[[#This Row],[FECHA DE VAL.]]</f>
        <v>45688</v>
      </c>
      <c r="AW134" s="6">
        <f>DATA[[#This Row],[FECHA DE EMISION]]</f>
        <v>45735</v>
      </c>
      <c r="AX134" s="6">
        <f>DATA[[#This Row],[F1]]</f>
        <v>0</v>
      </c>
      <c r="AY134" s="20">
        <f>IF(AV134-DATA[[#This Row],[fecha_fs]]&lt;0,0,AV134-DATA[[#This Row],[fecha_fs]])</f>
        <v>3</v>
      </c>
      <c r="AZ134" s="20">
        <f t="shared" si="16"/>
        <v>47</v>
      </c>
      <c r="BA134" s="20">
        <f t="shared" si="17"/>
        <v>0</v>
      </c>
      <c r="BB134" s="195">
        <f>IFERROR(SUM(DATA[[#This Row],[fs_val_ttf]:[fact_pago_ttf]]),0)</f>
        <v>50</v>
      </c>
      <c r="BC134" s="187">
        <v>45685</v>
      </c>
      <c r="BD134" s="187">
        <v>45685</v>
      </c>
      <c r="BE134" s="187">
        <v>45691</v>
      </c>
      <c r="BF134" s="187">
        <v>45691</v>
      </c>
      <c r="BG134" s="20">
        <f>IFERROR(IF(BC134-DATA[[#This Row],[fecha_fs]]&lt;0,0,BC134-DATA[[#This Row],[fecha_fs]]),0)</f>
        <v>0</v>
      </c>
      <c r="BH134" s="20">
        <f t="shared" ref="BH134:BH197" si="18">IFERROR(IF(BD134-BC134&lt;0,0,BD134-BC134),0)</f>
        <v>0</v>
      </c>
      <c r="BI134" s="20">
        <f t="shared" ref="BI134:BI197" si="19">IFERROR(IF(BE134-BD134&lt;0,0,BE134-BD134),0)</f>
        <v>6</v>
      </c>
      <c r="BJ134" s="20">
        <f t="shared" ref="BJ134:BJ197" si="20">IFERROR(IF(BF134-BE134&lt;0,0,BF134-BE134),0)</f>
        <v>0</v>
      </c>
      <c r="BK134" s="218">
        <f>IFERROR(SUM(DATA[[#This Row],[fs_fd_ttd]:[fend_fenf_ttd]]),0)</f>
        <v>6</v>
      </c>
      <c r="BL134" s="20" t="str">
        <f>IF(DATA[[#This Row],[fecha_fs]]&gt;0,TEXT(DATA[[#This Row],[fecha_fs]],"YYYY"),0)</f>
        <v>2025</v>
      </c>
      <c r="BM134" s="221" t="b">
        <v>1</v>
      </c>
      <c r="BN134" s="278">
        <f>COUNTIF(DATA[[#This Row],[tiempo_td]], "&lt;=15")</f>
        <v>1</v>
      </c>
      <c r="BO134" s="222"/>
    </row>
    <row r="135" spans="1:67" ht="30" customHeight="1" x14ac:dyDescent="0.25">
      <c r="A135" s="4">
        <v>20100192064</v>
      </c>
      <c r="B135" s="5" t="s">
        <v>60</v>
      </c>
      <c r="C135" s="52" t="s">
        <v>65</v>
      </c>
      <c r="D135" s="4" t="s">
        <v>183</v>
      </c>
      <c r="E135" s="5" t="s">
        <v>61</v>
      </c>
      <c r="F135" s="24">
        <v>45684</v>
      </c>
      <c r="G135" s="7" t="s">
        <v>142</v>
      </c>
      <c r="H135" s="25">
        <f t="shared" si="15"/>
        <v>2</v>
      </c>
      <c r="I135" s="67">
        <v>1037</v>
      </c>
      <c r="J135" s="8" t="s">
        <v>115</v>
      </c>
      <c r="K135" s="9" t="s">
        <v>184</v>
      </c>
      <c r="L135" s="10" t="s">
        <v>117</v>
      </c>
      <c r="M135" s="11">
        <v>61820</v>
      </c>
      <c r="N135" s="12" t="s">
        <v>114</v>
      </c>
      <c r="O135" s="6">
        <v>45684</v>
      </c>
      <c r="P135" s="71">
        <v>3255</v>
      </c>
      <c r="Q135" s="14" t="s">
        <v>123</v>
      </c>
      <c r="R135" s="15"/>
      <c r="S135" s="15">
        <f>(DATA[[#This Row],[cantidad_fs]]/1000)*19</f>
        <v>1174.58</v>
      </c>
      <c r="T135" s="15">
        <f>DATA[[#This Row],[C. DF]]+DATA[[#This Row],[C.OPE.]]</f>
        <v>1174.58</v>
      </c>
      <c r="U135" s="15">
        <f>DATA[[#This Row],[SUB TOTAL]]*0.18</f>
        <v>211.42439999999999</v>
      </c>
      <c r="V135" s="15">
        <f>IFERROR(ROUND(DATA[[#This Row],[SUB TOTAL]]+DATA[[#This Row],[IGV]],2),0)</f>
        <v>1386</v>
      </c>
      <c r="W135" s="16" t="str">
        <f>IF(DATA[[#This Row],[VALORIZACIÓN ]]="-","NO CORRESPONDE",IF(OR(A135=20558226979,A135=10470707866,A135=20111157058,A135=20100226902),"NO CORRESPONDE",IF(J135="Emitida",IF(P135&gt;0,"EMITIDA","PENDIENTE"),"NO CORRESPONDE")))</f>
        <v>EMITIDA</v>
      </c>
      <c r="X135" s="29" t="s">
        <v>144</v>
      </c>
      <c r="Y135" s="17" t="s">
        <v>118</v>
      </c>
      <c r="Z135" s="30">
        <v>45686</v>
      </c>
      <c r="AA135" s="10" t="s">
        <v>124</v>
      </c>
      <c r="AB135" s="19">
        <v>530</v>
      </c>
      <c r="AC135" s="20">
        <v>30</v>
      </c>
      <c r="AD135" s="18">
        <f>DATA[[#This Row],[FECHA DE EMISION]]+DATA[[#This Row],[CONDICION DE PAGO]]</f>
        <v>45716</v>
      </c>
      <c r="AE135" s="23" t="e">
        <f>IF(DATA[[#This Row],[MONEDA]]="USD",VLOOKUP(DATA[[#This Row],[COMBINADA]],#REF!,11,0),1)</f>
        <v>#REF!</v>
      </c>
      <c r="AF135" s="39" t="str">
        <f>IF(DATA[[#This Row],[SERIE2]]="-","NO CORRESPONDE",IF(W135="NO CORRESPONDE","NO CORRESPONDE",IF(Z135&gt;0,"FACTURADO","PENDIENTE")))</f>
        <v>FACTURADO</v>
      </c>
      <c r="AG135" s="27">
        <f>IFERROR(VLOOKUP(DATA[[#This Row],[COMBINADA]],#REF!,6,0),0)</f>
        <v>0</v>
      </c>
      <c r="AH135" s="125">
        <f>IFERROR(VLOOKUP(DATA[[#This Row],[COMBINADA]],#REF!,9,0),0)/COUNTIFS(DATA[COMBINADA],DATA[[#This Row],[COMBINADA]])</f>
        <v>0</v>
      </c>
      <c r="AI135" s="27">
        <f>IFERROR(VLOOKUP(DATA[[#This Row],[COMBINADA]],#REF!,6,0),0)</f>
        <v>0</v>
      </c>
      <c r="AJ135" s="125">
        <f>IFERROR(VLOOKUP(DATA[[#This Row],[COMBINADA]],#REF!,9,0),0)/COUNTIFS(DATA[COMBINADA],DATA[[#This Row],[COMBINADA]])</f>
        <v>0</v>
      </c>
      <c r="AK135" s="27">
        <f>IFERROR(VLOOKUP(DATA[[#This Row],[COMBINADA]],#REF!,6,0),0)</f>
        <v>0</v>
      </c>
      <c r="AL135" s="125">
        <f>IFERROR(VLOOKUP(DATA[[#This Row],[COMBINADA]],#REF!,9,0),0)/COUNTIFS(DATA[COMBINADA],DATA[[#This Row],[COMBINADA]])</f>
        <v>0</v>
      </c>
      <c r="AM135" s="27">
        <f>IFERROR(VLOOKUP(DATA[[#This Row],[COMBINADA]],#REF!,6,0),0)</f>
        <v>0</v>
      </c>
      <c r="AN135" s="125">
        <f>IFERROR(VLOOKUP(DATA[[#This Row],[COMBINADA]],#REF!,9,0),0)/COUNTIFS(DATA[COMBINADA],DATA[[#This Row],[COMBINADA]])</f>
        <v>0</v>
      </c>
      <c r="AO135" s="27">
        <f>IFERROR(VLOOKUP(DATA[[#This Row],[COMBINADA]],#REF!,6,0),0)</f>
        <v>0</v>
      </c>
      <c r="AP135" s="125">
        <f>IFERROR(VLOOKUP(DATA[[#This Row],[COMBINADA]],#REF!,9,0),0)/COUNTIFS(DATA[COMBINADA],DATA[[#This Row],[COMBINADA]])</f>
        <v>0</v>
      </c>
      <c r="AQ13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830.60666666666657</v>
      </c>
      <c r="AR135" s="26" t="str">
        <f>IFERROR(IF(DATA[[#This Row],[estado_fact]]="FACTURADO",VLOOKUP(DATA[[#This Row],[SERIE2]]&amp;"-"&amp;DATA[[#This Row],[NUMERO]],#REF!,34,0),"NO CORRESPONDE"),"NO CORRESPONDE")</f>
        <v>NO CORRESPONDE</v>
      </c>
      <c r="AS135" s="72" t="str">
        <f>IF(DATA[[#This Row],[fecha_fs]]&gt;0,TEXT(DATA[[#This Row],[fecha_fs]],"Mmmm"),0)</f>
        <v>Enero</v>
      </c>
      <c r="AT135" s="22" t="str">
        <f>DATA[[#This Row],[SERIE2]]&amp;"-"&amp;DATA[[#This Row],[NUMERO]]</f>
        <v>FE01-530</v>
      </c>
      <c r="AU135" s="28" t="e">
        <f>DATA[[#This Row],[TOTAL]]*DATA[[#This Row],[T.C.]]</f>
        <v>#REF!</v>
      </c>
      <c r="AV135" s="6">
        <f>DATA[[#This Row],[FECHA DE VAL.]]</f>
        <v>45684</v>
      </c>
      <c r="AW135" s="6">
        <f>DATA[[#This Row],[FECHA DE EMISION]]</f>
        <v>45686</v>
      </c>
      <c r="AX135" s="6">
        <f>DATA[[#This Row],[F1]]</f>
        <v>0</v>
      </c>
      <c r="AY135" s="20">
        <f>IF(AV135-DATA[[#This Row],[fecha_fs]]&lt;0,0,AV135-DATA[[#This Row],[fecha_fs]])</f>
        <v>0</v>
      </c>
      <c r="AZ135" s="20">
        <f t="shared" si="16"/>
        <v>2</v>
      </c>
      <c r="BA135" s="20">
        <f t="shared" si="17"/>
        <v>0</v>
      </c>
      <c r="BB135" s="195">
        <f>IFERROR(SUM(DATA[[#This Row],[fs_val_ttf]:[fact_pago_ttf]]),0)</f>
        <v>2</v>
      </c>
      <c r="BC135" s="185" t="s">
        <v>292</v>
      </c>
      <c r="BD135" s="185" t="s">
        <v>292</v>
      </c>
      <c r="BE135" s="185" t="s">
        <v>292</v>
      </c>
      <c r="BF135" s="185" t="s">
        <v>292</v>
      </c>
      <c r="BG135" s="20">
        <f>IFERROR(IF(BC135-DATA[[#This Row],[fecha_fs]]&lt;0,0,BC135-DATA[[#This Row],[fecha_fs]]),0)</f>
        <v>0</v>
      </c>
      <c r="BH135" s="20">
        <f t="shared" si="18"/>
        <v>0</v>
      </c>
      <c r="BI135" s="20">
        <f t="shared" si="19"/>
        <v>0</v>
      </c>
      <c r="BJ135" s="20">
        <f t="shared" si="20"/>
        <v>0</v>
      </c>
      <c r="BK135" s="218">
        <f>IFERROR(SUM(DATA[[#This Row],[fs_fd_ttd]:[fend_fenf_ttd]]),0)</f>
        <v>0</v>
      </c>
      <c r="BL135" s="20" t="str">
        <f>IF(DATA[[#This Row],[fecha_fs]]&gt;0,TEXT(DATA[[#This Row],[fecha_fs]],"YYYY"),0)</f>
        <v>2025</v>
      </c>
      <c r="BM135" s="221" t="b">
        <v>1</v>
      </c>
      <c r="BN135" s="278">
        <f>COUNTIF(DATA[[#This Row],[tiempo_td]], "&lt;=15")</f>
        <v>1</v>
      </c>
      <c r="BO135" s="222"/>
    </row>
    <row r="136" spans="1:67" ht="30.6" customHeight="1" x14ac:dyDescent="0.25">
      <c r="A136" s="4">
        <v>20100211115</v>
      </c>
      <c r="B136" s="5" t="s">
        <v>41</v>
      </c>
      <c r="C136" s="52" t="s">
        <v>18</v>
      </c>
      <c r="D136" s="4" t="s">
        <v>120</v>
      </c>
      <c r="E136" s="5" t="s">
        <v>3</v>
      </c>
      <c r="F136" s="24">
        <v>45684</v>
      </c>
      <c r="G136" s="7" t="s">
        <v>113</v>
      </c>
      <c r="H136" s="25">
        <f t="shared" si="15"/>
        <v>1</v>
      </c>
      <c r="I136" s="67">
        <v>4037</v>
      </c>
      <c r="J136" s="8" t="s">
        <v>115</v>
      </c>
      <c r="K136" s="9" t="s">
        <v>121</v>
      </c>
      <c r="L136" s="10" t="s">
        <v>117</v>
      </c>
      <c r="M136" s="11">
        <v>90</v>
      </c>
      <c r="N136" s="12" t="s">
        <v>125</v>
      </c>
      <c r="O136" s="6">
        <v>45684</v>
      </c>
      <c r="P136" s="115">
        <v>3267</v>
      </c>
      <c r="Q136" s="14" t="s">
        <v>85</v>
      </c>
      <c r="R136" s="15"/>
      <c r="S136" s="15">
        <f>(DATA[[#This Row],[cantidad_fs]]*4.37)</f>
        <v>393.3</v>
      </c>
      <c r="T136" s="15">
        <f>DATA[[#This Row],[C. DF]]+DATA[[#This Row],[C.OPE.]]</f>
        <v>393.3</v>
      </c>
      <c r="U136" s="15">
        <f>DATA[[#This Row],[SUB TOTAL]]*0.18</f>
        <v>70.793999999999997</v>
      </c>
      <c r="V136" s="15">
        <f>IFERROR(ROUND(DATA[[#This Row],[SUB TOTAL]]+DATA[[#This Row],[IGV]],2),0)</f>
        <v>464.09</v>
      </c>
      <c r="W136" s="16" t="str">
        <f>IF(DATA[[#This Row],[VALORIZACIÓN ]]="-","NO CORRESPONDE",IF(OR(A136=20558226979,A136=10470707866,A136=20111157058,A136=20100226902),"NO CORRESPONDE",IF(J136="Emitida",IF(P136&gt;0,"EMITIDA","PENDIENTE"),"NO CORRESPONDE")))</f>
        <v>EMITIDA</v>
      </c>
      <c r="X136" s="29"/>
      <c r="Y136" s="17" t="s">
        <v>118</v>
      </c>
      <c r="Z136" s="30">
        <v>45687</v>
      </c>
      <c r="AA136" s="10" t="s">
        <v>124</v>
      </c>
      <c r="AB136" s="19">
        <v>536</v>
      </c>
      <c r="AC136" s="20">
        <v>30</v>
      </c>
      <c r="AD136" s="18">
        <f>DATA[[#This Row],[FECHA DE EMISION]]+DATA[[#This Row],[CONDICION DE PAGO]]</f>
        <v>45717</v>
      </c>
      <c r="AE136" s="23">
        <f>IF(DATA[[#This Row],[MONEDA]]="USD",VLOOKUP(DATA[[#This Row],[COMBINADA]],#REF!,11,0),1)</f>
        <v>1</v>
      </c>
      <c r="AF136" s="39" t="str">
        <f>IF(DATA[[#This Row],[SERIE2]]="-","NO CORRESPONDE",IF(W136="NO CORRESPONDE","NO CORRESPONDE",IF(Z136&gt;0,"FACTURADO","PENDIENTE")))</f>
        <v>FACTURADO</v>
      </c>
      <c r="AG136" s="27">
        <f>IFERROR(VLOOKUP(DATA[[#This Row],[COMBINADA]],#REF!,6,0),0)</f>
        <v>0</v>
      </c>
      <c r="AH136" s="125">
        <f>IFERROR(VLOOKUP(DATA[[#This Row],[COMBINADA]],#REF!,9,0),0)/COUNTIFS(DATA[COMBINADA],DATA[[#This Row],[COMBINADA]])</f>
        <v>0</v>
      </c>
      <c r="AI136" s="27">
        <f>IFERROR(VLOOKUP(DATA[[#This Row],[COMBINADA]],#REF!,6,0),0)</f>
        <v>0</v>
      </c>
      <c r="AJ136" s="125">
        <f>IFERROR(VLOOKUP(DATA[[#This Row],[COMBINADA]],#REF!,9,0),0)/COUNTIFS(DATA[COMBINADA],DATA[[#This Row],[COMBINADA]])</f>
        <v>0</v>
      </c>
      <c r="AK136" s="27">
        <f>IFERROR(VLOOKUP(DATA[[#This Row],[COMBINADA]],#REF!,6,0),0)</f>
        <v>0</v>
      </c>
      <c r="AL136" s="125">
        <f>IFERROR(VLOOKUP(DATA[[#This Row],[COMBINADA]],#REF!,9,0),0)/COUNTIFS(DATA[COMBINADA],DATA[[#This Row],[COMBINADA]])</f>
        <v>0</v>
      </c>
      <c r="AM136" s="27">
        <f>IFERROR(VLOOKUP(DATA[[#This Row],[COMBINADA]],#REF!,6,0),0)</f>
        <v>0</v>
      </c>
      <c r="AN136" s="125">
        <f>IFERROR(VLOOKUP(DATA[[#This Row],[COMBINADA]],#REF!,9,0),0)/COUNTIFS(DATA[COMBINADA],DATA[[#This Row],[COMBINADA]])</f>
        <v>0</v>
      </c>
      <c r="AO136" s="27">
        <f>IFERROR(VLOOKUP(DATA[[#This Row],[COMBINADA]],#REF!,6,0),0)</f>
        <v>0</v>
      </c>
      <c r="AP136" s="125">
        <f>IFERROR(VLOOKUP(DATA[[#This Row],[COMBINADA]],#REF!,9,0),0)/COUNTIFS(DATA[COMBINADA],DATA[[#This Row],[COMBINADA]])</f>
        <v>0</v>
      </c>
      <c r="AQ13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136" s="26" t="str">
        <f>IFERROR(IF(DATA[[#This Row],[estado_fact]]="FACTURADO",VLOOKUP(DATA[[#This Row],[SERIE2]]&amp;"-"&amp;DATA[[#This Row],[NUMERO]],#REF!,34,0),"NO CORRESPONDE"),"NO CORRESPONDE")</f>
        <v>NO CORRESPONDE</v>
      </c>
      <c r="AS136" s="22" t="str">
        <f>IF(DATA[[#This Row],[fecha_fs]]&gt;0,TEXT(DATA[[#This Row],[fecha_fs]],"Mmmm"),0)</f>
        <v>Enero</v>
      </c>
      <c r="AT136" s="22" t="str">
        <f>DATA[[#This Row],[SERIE2]]&amp;"-"&amp;DATA[[#This Row],[NUMERO]]</f>
        <v>FE01-536</v>
      </c>
      <c r="AU136" s="28">
        <f>DATA[[#This Row],[TOTAL]]*DATA[[#This Row],[T.C.]]</f>
        <v>464.09</v>
      </c>
      <c r="AV136" s="6">
        <f>DATA[[#This Row],[FECHA DE VAL.]]</f>
        <v>45684</v>
      </c>
      <c r="AW136" s="6">
        <f>DATA[[#This Row],[FECHA DE EMISION]]</f>
        <v>45687</v>
      </c>
      <c r="AX136" s="6">
        <f>DATA[[#This Row],[F1]]</f>
        <v>0</v>
      </c>
      <c r="AY136" s="20">
        <f>IF(AV136-DATA[[#This Row],[fecha_fs]]&lt;0,0,AV136-DATA[[#This Row],[fecha_fs]])</f>
        <v>0</v>
      </c>
      <c r="AZ136" s="20">
        <f t="shared" si="16"/>
        <v>3</v>
      </c>
      <c r="BA136" s="20">
        <f t="shared" si="17"/>
        <v>0</v>
      </c>
      <c r="BB136" s="195">
        <f>IFERROR(SUM(DATA[[#This Row],[fs_val_ttf]:[fact_pago_ttf]]),0)</f>
        <v>3</v>
      </c>
      <c r="BC136" s="184">
        <v>45698</v>
      </c>
      <c r="BD136" s="184">
        <v>45707</v>
      </c>
      <c r="BE136" s="184">
        <v>45712</v>
      </c>
      <c r="BF136" s="184">
        <v>45714</v>
      </c>
      <c r="BG136" s="20">
        <f>IFERROR(IF(BC136-DATA[[#This Row],[fecha_fs]]&lt;0,0,BC136-DATA[[#This Row],[fecha_fs]]),0)</f>
        <v>14</v>
      </c>
      <c r="BH136" s="20">
        <f t="shared" si="18"/>
        <v>9</v>
      </c>
      <c r="BI136" s="20">
        <f t="shared" si="19"/>
        <v>5</v>
      </c>
      <c r="BJ136" s="20">
        <f t="shared" si="20"/>
        <v>2</v>
      </c>
      <c r="BK136" s="218">
        <f>IFERROR(SUM(DATA[[#This Row],[fs_fd_ttd]:[fend_fenf_ttd]]),0)</f>
        <v>30</v>
      </c>
      <c r="BL136" s="20" t="str">
        <f>IF(DATA[[#This Row],[fecha_fs]]&gt;0,TEXT(DATA[[#This Row],[fecha_fs]],"YYYY"),0)</f>
        <v>2025</v>
      </c>
      <c r="BM136" s="221" t="b">
        <v>1</v>
      </c>
      <c r="BN136" s="278">
        <f>COUNTIF(DATA[[#This Row],[tiempo_td]], "&lt;=15")</f>
        <v>0</v>
      </c>
      <c r="BO136" s="222"/>
    </row>
    <row r="137" spans="1:67" ht="30.6" customHeight="1" x14ac:dyDescent="0.25">
      <c r="A137" s="4">
        <v>20100226902</v>
      </c>
      <c r="B137" s="5" t="s">
        <v>24</v>
      </c>
      <c r="C137" s="52" t="s">
        <v>18</v>
      </c>
      <c r="D137" s="4" t="s">
        <v>120</v>
      </c>
      <c r="E137" s="5" t="s">
        <v>3</v>
      </c>
      <c r="F137" s="24">
        <v>45684</v>
      </c>
      <c r="G137" s="7" t="s">
        <v>113</v>
      </c>
      <c r="H137" s="25">
        <f t="shared" si="15"/>
        <v>1</v>
      </c>
      <c r="I137" s="67">
        <v>4038</v>
      </c>
      <c r="J137" s="8" t="s">
        <v>115</v>
      </c>
      <c r="K137" s="9" t="s">
        <v>121</v>
      </c>
      <c r="L137" s="10" t="s">
        <v>117</v>
      </c>
      <c r="M137" s="11">
        <v>250</v>
      </c>
      <c r="N137" s="12" t="s">
        <v>127</v>
      </c>
      <c r="O137" s="40"/>
      <c r="P137" s="41" t="s">
        <v>114</v>
      </c>
      <c r="Q137" s="42"/>
      <c r="R137" s="43"/>
      <c r="S137" s="43"/>
      <c r="T137" s="43">
        <f>DATA[[#This Row],[C. DF]]+DATA[[#This Row],[C.OPE.]]</f>
        <v>0</v>
      </c>
      <c r="U137" s="43">
        <f>DATA[[#This Row],[SUB TOTAL]]*0.18</f>
        <v>0</v>
      </c>
      <c r="V137" s="43">
        <f>IFERROR(ROUND(DATA[[#This Row],[SUB TOTAL]]+DATA[[#This Row],[IGV]],2),0)</f>
        <v>0</v>
      </c>
      <c r="W137" s="44" t="str">
        <f>IF(DATA[[#This Row],[VALORIZACIÓN ]]="-","NO CORRESPONDE",IF(OR(A137=20558226979,A137=10470707866,A137=20111157058,A137=20100226902),"NO CORRESPONDE",IF(J137="Emitida",IF(P137&gt;0,"EMITIDA","PENDIENTE"),"NO CORRESPONDE")))</f>
        <v>NO CORRESPONDE</v>
      </c>
      <c r="X137" s="45"/>
      <c r="Y137" s="58" t="s">
        <v>128</v>
      </c>
      <c r="Z137" s="46"/>
      <c r="AA137" s="47"/>
      <c r="AB137" s="48"/>
      <c r="AC137" s="49"/>
      <c r="AD137" s="50">
        <f>DATA[[#This Row],[FECHA DE EMISION]]+DATA[[#This Row],[CONDICION DE PAGO]]</f>
        <v>0</v>
      </c>
      <c r="AE137" s="23">
        <f>IF(DATA[[#This Row],[MONEDA]]="USD",VLOOKUP(DATA[[#This Row],[COMBINADA]],#REF!,11,0),1)</f>
        <v>1</v>
      </c>
      <c r="AF137" s="59" t="str">
        <f>IF(DATA[[#This Row],[SERIE2]]="-","NO CORRESPONDE",IF(W137="NO CORRESPONDE","NO CORRESPONDE",IF(Z137&gt;0,"FACTURADO","PENDIENTE")))</f>
        <v>NO CORRESPONDE</v>
      </c>
      <c r="AG137" s="60">
        <f>IFERROR(VLOOKUP(DATA[[#This Row],[COMBINADA]],#REF!,6,0),0)</f>
        <v>0</v>
      </c>
      <c r="AH137" s="126">
        <f>IFERROR(VLOOKUP(DATA[[#This Row],[COMBINADA]],#REF!,9,0),0)/COUNTIFS(DATA[COMBINADA],DATA[[#This Row],[COMBINADA]])</f>
        <v>0</v>
      </c>
      <c r="AI137" s="60">
        <f>IFERROR(VLOOKUP(DATA[[#This Row],[COMBINADA]],#REF!,6,0),0)</f>
        <v>0</v>
      </c>
      <c r="AJ137" s="126">
        <f>IFERROR(VLOOKUP(DATA[[#This Row],[COMBINADA]],#REF!,9,0),0)/COUNTIFS(DATA[COMBINADA],DATA[[#This Row],[COMBINADA]])</f>
        <v>0</v>
      </c>
      <c r="AK137" s="60">
        <f>IFERROR(VLOOKUP(DATA[[#This Row],[COMBINADA]],#REF!,6,0),0)</f>
        <v>0</v>
      </c>
      <c r="AL137" s="126">
        <f>IFERROR(VLOOKUP(DATA[[#This Row],[COMBINADA]],#REF!,9,0),0)/COUNTIFS(DATA[COMBINADA],DATA[[#This Row],[COMBINADA]])</f>
        <v>0</v>
      </c>
      <c r="AM137" s="60">
        <f>IFERROR(VLOOKUP(DATA[[#This Row],[COMBINADA]],#REF!,6,0),0)</f>
        <v>0</v>
      </c>
      <c r="AN137" s="126">
        <f>IFERROR(VLOOKUP(DATA[[#This Row],[COMBINADA]],#REF!,9,0),0)/COUNTIFS(DATA[COMBINADA],DATA[[#This Row],[COMBINADA]])</f>
        <v>0</v>
      </c>
      <c r="AO137" s="60">
        <f>IFERROR(VLOOKUP(DATA[[#This Row],[COMBINADA]],#REF!,6,0),0)</f>
        <v>0</v>
      </c>
      <c r="AP137" s="126">
        <f>IFERROR(VLOOKUP(DATA[[#This Row],[COMBINADA]],#REF!,9,0),0)/COUNTIFS(DATA[COMBINADA],DATA[[#This Row],[COMBINADA]])</f>
        <v>0</v>
      </c>
      <c r="AQ137"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7" s="64" t="str">
        <f>IFERROR(IF(DATA[[#This Row],[estado_fact]]="FACTURADO",VLOOKUP(DATA[[#This Row],[SERIE2]]&amp;"-"&amp;DATA[[#This Row],[NUMERO]],#REF!,34,0),"NO CORRESPONDE"),"NO CORRESPONDE")</f>
        <v>NO CORRESPONDE</v>
      </c>
      <c r="AS137" s="22" t="str">
        <f>IF(DATA[[#This Row],[fecha_fs]]&gt;0,TEXT(DATA[[#This Row],[fecha_fs]],"Mmmm"),0)</f>
        <v>Enero</v>
      </c>
      <c r="AT137" s="22" t="str">
        <f>DATA[[#This Row],[SERIE2]]&amp;"-"&amp;DATA[[#This Row],[NUMERO]]</f>
        <v>-</v>
      </c>
      <c r="AU137" s="28">
        <f>DATA[[#This Row],[TOTAL]]*DATA[[#This Row],[T.C.]]</f>
        <v>0</v>
      </c>
      <c r="AV137" s="6">
        <f>DATA[[#This Row],[FECHA DE VAL.]]</f>
        <v>0</v>
      </c>
      <c r="AW137" s="6">
        <f>DATA[[#This Row],[FECHA DE EMISION]]</f>
        <v>0</v>
      </c>
      <c r="AX137" s="6">
        <f>DATA[[#This Row],[F1]]</f>
        <v>0</v>
      </c>
      <c r="AY137" s="20">
        <f>IF(AV137-DATA[[#This Row],[fecha_fs]]&lt;0,0,AV137-DATA[[#This Row],[fecha_fs]])</f>
        <v>0</v>
      </c>
      <c r="AZ137" s="20">
        <f t="shared" si="16"/>
        <v>0</v>
      </c>
      <c r="BA137" s="20">
        <f t="shared" si="17"/>
        <v>0</v>
      </c>
      <c r="BB137" s="195">
        <f>IFERROR(SUM(DATA[[#This Row],[fs_val_ttf]:[fact_pago_ttf]]),0)</f>
        <v>0</v>
      </c>
      <c r="BC137" s="185">
        <v>45684</v>
      </c>
      <c r="BD137" s="185">
        <v>45684</v>
      </c>
      <c r="BE137" s="185">
        <v>45691</v>
      </c>
      <c r="BF137" s="185">
        <v>45691</v>
      </c>
      <c r="BG137" s="20">
        <f>IFERROR(IF(BC137-DATA[[#This Row],[fecha_fs]]&lt;0,0,BC137-DATA[[#This Row],[fecha_fs]]),0)</f>
        <v>0</v>
      </c>
      <c r="BH137" s="20">
        <f t="shared" si="18"/>
        <v>0</v>
      </c>
      <c r="BI137" s="20">
        <f t="shared" si="19"/>
        <v>7</v>
      </c>
      <c r="BJ137" s="20">
        <f t="shared" si="20"/>
        <v>0</v>
      </c>
      <c r="BK137" s="218">
        <f>IFERROR(SUM(DATA[[#This Row],[fs_fd_ttd]:[fend_fenf_ttd]]),0)</f>
        <v>7</v>
      </c>
      <c r="BL137" s="20" t="str">
        <f>IF(DATA[[#This Row],[fecha_fs]]&gt;0,TEXT(DATA[[#This Row],[fecha_fs]],"YYYY"),0)</f>
        <v>2025</v>
      </c>
      <c r="BM137" s="221" t="b">
        <v>1</v>
      </c>
      <c r="BN137" s="278">
        <f>COUNTIF(DATA[[#This Row],[tiempo_td]], "&lt;=15")</f>
        <v>1</v>
      </c>
      <c r="BO137" s="222"/>
    </row>
    <row r="138" spans="1:67" ht="30.6" customHeight="1" x14ac:dyDescent="0.25">
      <c r="A138" s="4">
        <v>20505675836</v>
      </c>
      <c r="B138" s="5" t="s">
        <v>42</v>
      </c>
      <c r="C138" s="52" t="s">
        <v>43</v>
      </c>
      <c r="D138" s="4" t="s">
        <v>157</v>
      </c>
      <c r="E138" s="5" t="s">
        <v>44</v>
      </c>
      <c r="F138" s="24">
        <v>45684</v>
      </c>
      <c r="G138" s="7" t="s">
        <v>113</v>
      </c>
      <c r="H138" s="25">
        <f t="shared" si="15"/>
        <v>1</v>
      </c>
      <c r="I138" s="67">
        <v>4039</v>
      </c>
      <c r="J138" s="8" t="s">
        <v>115</v>
      </c>
      <c r="K138" s="9" t="s">
        <v>185</v>
      </c>
      <c r="L138" s="10" t="s">
        <v>137</v>
      </c>
      <c r="M138" s="11">
        <v>1</v>
      </c>
      <c r="N138" s="12" t="s">
        <v>114</v>
      </c>
      <c r="O138" s="6">
        <v>45684</v>
      </c>
      <c r="P138" s="71">
        <v>3263</v>
      </c>
      <c r="Q138" s="14" t="s">
        <v>85</v>
      </c>
      <c r="R138" s="15"/>
      <c r="S138" s="15">
        <v>2790</v>
      </c>
      <c r="T138" s="15">
        <f>DATA[[#This Row],[C. DF]]+DATA[[#This Row],[C.OPE.]]</f>
        <v>2790</v>
      </c>
      <c r="U138" s="15">
        <f>DATA[[#This Row],[SUB TOTAL]]*0.18</f>
        <v>502.2</v>
      </c>
      <c r="V138" s="15">
        <f>IFERROR(ROUND(DATA[[#This Row],[SUB TOTAL]]+DATA[[#This Row],[IGV]],2),0)</f>
        <v>3292.2</v>
      </c>
      <c r="W138" s="16" t="str">
        <f>IF(DATA[[#This Row],[VALORIZACIÓN ]]="-","NO CORRESPONDE",IF(OR(A138=20558226979,A138=10470707866,A138=20111157058,A138=20100226902),"NO CORRESPONDE",IF(J138="Emitida",IF(P138&gt;0,"EMITIDA","PENDIENTE"),"NO CORRESPONDE")))</f>
        <v>EMITIDA</v>
      </c>
      <c r="X138" s="29"/>
      <c r="Y138" s="17" t="s">
        <v>118</v>
      </c>
      <c r="Z138" s="30">
        <v>45712</v>
      </c>
      <c r="AA138" s="10" t="s">
        <v>124</v>
      </c>
      <c r="AB138" s="19">
        <v>576</v>
      </c>
      <c r="AC138" s="20">
        <v>30</v>
      </c>
      <c r="AD138" s="18">
        <f>DATA[[#This Row],[FECHA DE EMISION]]+DATA[[#This Row],[CONDICION DE PAGO]]</f>
        <v>45742</v>
      </c>
      <c r="AE138" s="23">
        <f>IF(DATA[[#This Row],[MONEDA]]="USD",VLOOKUP(DATA[[#This Row],[COMBINADA]],#REF!,11,0),1)</f>
        <v>1</v>
      </c>
      <c r="AF138" s="39" t="str">
        <f>IF(DATA[[#This Row],[SERIE2]]="-","NO CORRESPONDE",IF(W138="NO CORRESPONDE","NO CORRESPONDE",IF(Z138&gt;0,"FACTURADO","PENDIENTE")))</f>
        <v>FACTURADO</v>
      </c>
      <c r="AG138" s="27">
        <f>IFERROR(VLOOKUP(DATA[[#This Row],[COMBINADA]],#REF!,6,0),0)</f>
        <v>0</v>
      </c>
      <c r="AH138" s="125">
        <f>IFERROR(VLOOKUP(DATA[[#This Row],[COMBINADA]],#REF!,9,0),0)/COUNTIFS(DATA[COMBINADA],DATA[[#This Row],[COMBINADA]])</f>
        <v>0</v>
      </c>
      <c r="AI138" s="27">
        <f>IFERROR(VLOOKUP(DATA[[#This Row],[COMBINADA]],#REF!,6,0),0)</f>
        <v>0</v>
      </c>
      <c r="AJ138" s="125">
        <f>IFERROR(VLOOKUP(DATA[[#This Row],[COMBINADA]],#REF!,9,0),0)/COUNTIFS(DATA[COMBINADA],DATA[[#This Row],[COMBINADA]])</f>
        <v>0</v>
      </c>
      <c r="AK138" s="27">
        <f>IFERROR(VLOOKUP(DATA[[#This Row],[COMBINADA]],#REF!,6,0),0)</f>
        <v>0</v>
      </c>
      <c r="AL138" s="125">
        <f>IFERROR(VLOOKUP(DATA[[#This Row],[COMBINADA]],#REF!,9,0),0)/COUNTIFS(DATA[COMBINADA],DATA[[#This Row],[COMBINADA]])</f>
        <v>0</v>
      </c>
      <c r="AM138" s="27">
        <f>IFERROR(VLOOKUP(DATA[[#This Row],[COMBINADA]],#REF!,6,0),0)</f>
        <v>0</v>
      </c>
      <c r="AN138" s="125">
        <f>IFERROR(VLOOKUP(DATA[[#This Row],[COMBINADA]],#REF!,9,0),0)/COUNTIFS(DATA[COMBINADA],DATA[[#This Row],[COMBINADA]])</f>
        <v>0</v>
      </c>
      <c r="AO138" s="27">
        <f>IFERROR(VLOOKUP(DATA[[#This Row],[COMBINADA]],#REF!,6,0),0)</f>
        <v>0</v>
      </c>
      <c r="AP138" s="125">
        <f>IFERROR(VLOOKUP(DATA[[#This Row],[COMBINADA]],#REF!,9,0),0)/COUNTIFS(DATA[COMBINADA],DATA[[#This Row],[COMBINADA]])</f>
        <v>0</v>
      </c>
      <c r="AQ13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3237.1550000000007</v>
      </c>
      <c r="AR138" s="26" t="str">
        <f>IFERROR(IF(DATA[[#This Row],[estado_fact]]="FACTURADO",VLOOKUP(DATA[[#This Row],[SERIE2]]&amp;"-"&amp;DATA[[#This Row],[NUMERO]],#REF!,34,0),"NO CORRESPONDE"),"NO CORRESPONDE")</f>
        <v>NO CORRESPONDE</v>
      </c>
      <c r="AS138" s="22" t="str">
        <f>IF(DATA[[#This Row],[fecha_fs]]&gt;0,TEXT(DATA[[#This Row],[fecha_fs]],"Mmmm"),0)</f>
        <v>Enero</v>
      </c>
      <c r="AT138" s="22" t="str">
        <f>DATA[[#This Row],[SERIE2]]&amp;"-"&amp;DATA[[#This Row],[NUMERO]]</f>
        <v>FE01-576</v>
      </c>
      <c r="AU138" s="28">
        <f>DATA[[#This Row],[TOTAL]]*DATA[[#This Row],[T.C.]]</f>
        <v>3292.2</v>
      </c>
      <c r="AV138" s="6">
        <f>DATA[[#This Row],[FECHA DE VAL.]]</f>
        <v>45684</v>
      </c>
      <c r="AW138" s="6">
        <f>DATA[[#This Row],[FECHA DE EMISION]]</f>
        <v>45712</v>
      </c>
      <c r="AX138" s="6">
        <f>DATA[[#This Row],[F1]]</f>
        <v>0</v>
      </c>
      <c r="AY138" s="20">
        <f>IF(AV138-DATA[[#This Row],[fecha_fs]]&lt;0,0,AV138-DATA[[#This Row],[fecha_fs]])</f>
        <v>0</v>
      </c>
      <c r="AZ138" s="20">
        <f t="shared" si="16"/>
        <v>28</v>
      </c>
      <c r="BA138" s="20">
        <f t="shared" si="17"/>
        <v>0</v>
      </c>
      <c r="BB138" s="195">
        <f>IFERROR(SUM(DATA[[#This Row],[fs_val_ttf]:[fact_pago_ttf]]),0)</f>
        <v>28</v>
      </c>
      <c r="BC138" s="185">
        <v>45684</v>
      </c>
      <c r="BD138" s="185">
        <v>45684</v>
      </c>
      <c r="BE138" s="185">
        <v>45686</v>
      </c>
      <c r="BF138" s="185">
        <v>45686</v>
      </c>
      <c r="BG138" s="20">
        <f>IFERROR(IF(BC138-DATA[[#This Row],[fecha_fs]]&lt;0,0,BC138-DATA[[#This Row],[fecha_fs]]),0)</f>
        <v>0</v>
      </c>
      <c r="BH138" s="20">
        <f t="shared" si="18"/>
        <v>0</v>
      </c>
      <c r="BI138" s="20">
        <f t="shared" si="19"/>
        <v>2</v>
      </c>
      <c r="BJ138" s="20">
        <f t="shared" si="20"/>
        <v>0</v>
      </c>
      <c r="BK138" s="218">
        <f>IFERROR(SUM(DATA[[#This Row],[fs_fd_ttd]:[fend_fenf_ttd]]),0)</f>
        <v>2</v>
      </c>
      <c r="BL138" s="20" t="str">
        <f>IF(DATA[[#This Row],[fecha_fs]]&gt;0,TEXT(DATA[[#This Row],[fecha_fs]],"YYYY"),0)</f>
        <v>2025</v>
      </c>
      <c r="BM138" s="221" t="b">
        <v>1</v>
      </c>
      <c r="BN138" s="278">
        <f>COUNTIF(DATA[[#This Row],[tiempo_td]], "&lt;=15")</f>
        <v>1</v>
      </c>
      <c r="BO138" s="222"/>
    </row>
    <row r="139" spans="1:67" ht="30.6" customHeight="1" x14ac:dyDescent="0.25">
      <c r="A139" s="4">
        <v>20505675836</v>
      </c>
      <c r="B139" s="5" t="s">
        <v>42</v>
      </c>
      <c r="C139" s="52" t="s">
        <v>43</v>
      </c>
      <c r="D139" s="4" t="s">
        <v>112</v>
      </c>
      <c r="E139" s="5" t="s">
        <v>1</v>
      </c>
      <c r="F139" s="24">
        <v>45684</v>
      </c>
      <c r="G139" s="7" t="s">
        <v>113</v>
      </c>
      <c r="H139" s="25">
        <f t="shared" si="15"/>
        <v>1</v>
      </c>
      <c r="I139" s="67">
        <v>4040</v>
      </c>
      <c r="J139" s="8" t="s">
        <v>115</v>
      </c>
      <c r="K139" s="9" t="s">
        <v>116</v>
      </c>
      <c r="L139" s="10" t="s">
        <v>117</v>
      </c>
      <c r="M139" s="11">
        <v>1140</v>
      </c>
      <c r="N139" s="12" t="s">
        <v>129</v>
      </c>
      <c r="O139" s="6">
        <v>45684</v>
      </c>
      <c r="P139" s="71">
        <v>3259</v>
      </c>
      <c r="Q139" s="14" t="s">
        <v>85</v>
      </c>
      <c r="R139" s="15">
        <f>(DATA[[#This Row],[cantidad_fs]]-600)*0.97</f>
        <v>523.79999999999995</v>
      </c>
      <c r="S139" s="15">
        <v>1427.2</v>
      </c>
      <c r="T139" s="15">
        <f>DATA[[#This Row],[C. DF]]+DATA[[#This Row],[C.OPE.]]</f>
        <v>1951</v>
      </c>
      <c r="U139" s="15">
        <f>DATA[[#This Row],[SUB TOTAL]]*0.18</f>
        <v>351.18</v>
      </c>
      <c r="V139" s="15">
        <f>IFERROR(ROUND(DATA[[#This Row],[SUB TOTAL]]+DATA[[#This Row],[IGV]],2),0)</f>
        <v>2302.1799999999998</v>
      </c>
      <c r="W139" s="16" t="str">
        <f>IF(DATA[[#This Row],[VALORIZACIÓN ]]="-","NO CORRESPONDE",IF(OR(A139=20558226979,A139=10470707866,A139=20111157058,A139=20100226902),"NO CORRESPONDE",IF(J139="Emitida",IF(P139&gt;0,"EMITIDA","PENDIENTE"),"NO CORRESPONDE")))</f>
        <v>EMITIDA</v>
      </c>
      <c r="X139" s="29" t="s">
        <v>146</v>
      </c>
      <c r="Y139" s="17" t="s">
        <v>118</v>
      </c>
      <c r="Z139" s="30">
        <v>45708</v>
      </c>
      <c r="AA139" s="10" t="s">
        <v>124</v>
      </c>
      <c r="AB139" s="19">
        <v>571</v>
      </c>
      <c r="AC139" s="20">
        <v>30</v>
      </c>
      <c r="AD139" s="18">
        <f>DATA[[#This Row],[FECHA DE EMISION]]+DATA[[#This Row],[CONDICION DE PAGO]]</f>
        <v>45738</v>
      </c>
      <c r="AE139" s="23">
        <f>IF(DATA[[#This Row],[MONEDA]]="USD",VLOOKUP(DATA[[#This Row],[COMBINADA]],#REF!,11,0),1)</f>
        <v>1</v>
      </c>
      <c r="AF139" s="39" t="str">
        <f>IF(DATA[[#This Row],[SERIE2]]="-","NO CORRESPONDE",IF(W139="NO CORRESPONDE","NO CORRESPONDE",IF(Z139&gt;0,"FACTURADO","PENDIENTE")))</f>
        <v>FACTURADO</v>
      </c>
      <c r="AG139" s="27">
        <f>IFERROR(VLOOKUP(DATA[[#This Row],[COMBINADA]],#REF!,6,0),0)</f>
        <v>0</v>
      </c>
      <c r="AH139" s="125">
        <f>IFERROR(VLOOKUP(DATA[[#This Row],[COMBINADA]],#REF!,9,0),0)/COUNTIFS(DATA[COMBINADA],DATA[[#This Row],[COMBINADA]])</f>
        <v>0</v>
      </c>
      <c r="AI139" s="27">
        <f>IFERROR(VLOOKUP(DATA[[#This Row],[COMBINADA]],#REF!,6,0),0)</f>
        <v>0</v>
      </c>
      <c r="AJ139" s="125">
        <f>IFERROR(VLOOKUP(DATA[[#This Row],[COMBINADA]],#REF!,9,0),0)/COUNTIFS(DATA[COMBINADA],DATA[[#This Row],[COMBINADA]])</f>
        <v>0</v>
      </c>
      <c r="AK139" s="27">
        <f>IFERROR(VLOOKUP(DATA[[#This Row],[COMBINADA]],#REF!,6,0),0)</f>
        <v>0</v>
      </c>
      <c r="AL139" s="125">
        <f>IFERROR(VLOOKUP(DATA[[#This Row],[COMBINADA]],#REF!,9,0),0)/COUNTIFS(DATA[COMBINADA],DATA[[#This Row],[COMBINADA]])</f>
        <v>0</v>
      </c>
      <c r="AM139" s="27">
        <f>IFERROR(VLOOKUP(DATA[[#This Row],[COMBINADA]],#REF!,6,0),0)</f>
        <v>0</v>
      </c>
      <c r="AN139" s="125">
        <f>IFERROR(VLOOKUP(DATA[[#This Row],[COMBINADA]],#REF!,9,0),0)/COUNTIFS(DATA[COMBINADA],DATA[[#This Row],[COMBINADA]])</f>
        <v>0</v>
      </c>
      <c r="AO139" s="27">
        <f>IFERROR(VLOOKUP(DATA[[#This Row],[COMBINADA]],#REF!,6,0),0)</f>
        <v>0</v>
      </c>
      <c r="AP139" s="125">
        <f>IFERROR(VLOOKUP(DATA[[#This Row],[COMBINADA]],#REF!,9,0),0)/COUNTIFS(DATA[COMBINADA],DATA[[#This Row],[COMBINADA]])</f>
        <v>0</v>
      </c>
      <c r="AQ13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6464.8840000000009</v>
      </c>
      <c r="AR139" s="26" t="str">
        <f>IFERROR(IF(DATA[[#This Row],[estado_fact]]="FACTURADO",VLOOKUP(DATA[[#This Row],[SERIE2]]&amp;"-"&amp;DATA[[#This Row],[NUMERO]],#REF!,34,0),"NO CORRESPONDE"),"NO CORRESPONDE")</f>
        <v>NO CORRESPONDE</v>
      </c>
      <c r="AS139" s="22" t="str">
        <f>IF(DATA[[#This Row],[fecha_fs]]&gt;0,TEXT(DATA[[#This Row],[fecha_fs]],"Mmmm"),0)</f>
        <v>Enero</v>
      </c>
      <c r="AT139" s="22" t="str">
        <f>DATA[[#This Row],[SERIE2]]&amp;"-"&amp;DATA[[#This Row],[NUMERO]]</f>
        <v>FE01-571</v>
      </c>
      <c r="AU139" s="28">
        <f>DATA[[#This Row],[TOTAL]]*DATA[[#This Row],[T.C.]]</f>
        <v>2302.1799999999998</v>
      </c>
      <c r="AV139" s="6">
        <f>DATA[[#This Row],[FECHA DE VAL.]]</f>
        <v>45684</v>
      </c>
      <c r="AW139" s="6">
        <f>DATA[[#This Row],[FECHA DE EMISION]]</f>
        <v>45708</v>
      </c>
      <c r="AX139" s="6">
        <f>DATA[[#This Row],[F1]]</f>
        <v>0</v>
      </c>
      <c r="AY139" s="20">
        <f>IF(AV139-DATA[[#This Row],[fecha_fs]]&lt;0,0,AV139-DATA[[#This Row],[fecha_fs]])</f>
        <v>0</v>
      </c>
      <c r="AZ139" s="20">
        <f t="shared" si="16"/>
        <v>24</v>
      </c>
      <c r="BA139" s="20">
        <f t="shared" si="17"/>
        <v>0</v>
      </c>
      <c r="BB139" s="195">
        <f>IFERROR(SUM(DATA[[#This Row],[fs_val_ttf]:[fact_pago_ttf]]),0)</f>
        <v>24</v>
      </c>
      <c r="BC139" s="185">
        <v>45694</v>
      </c>
      <c r="BD139" s="185">
        <v>45694</v>
      </c>
      <c r="BE139" s="185">
        <v>45713</v>
      </c>
      <c r="BF139" s="185">
        <v>45734</v>
      </c>
      <c r="BG139" s="20">
        <f>IFERROR(IF(BC139-DATA[[#This Row],[fecha_fs]]&lt;0,0,BC139-DATA[[#This Row],[fecha_fs]]),0)</f>
        <v>10</v>
      </c>
      <c r="BH139" s="20">
        <f t="shared" si="18"/>
        <v>0</v>
      </c>
      <c r="BI139" s="20">
        <f t="shared" si="19"/>
        <v>19</v>
      </c>
      <c r="BJ139" s="20">
        <f t="shared" si="20"/>
        <v>21</v>
      </c>
      <c r="BK139" s="218">
        <f>IFERROR(SUM(DATA[[#This Row],[fs_fd_ttd]:[fend_fenf_ttd]]),0)</f>
        <v>50</v>
      </c>
      <c r="BL139" s="20" t="str">
        <f>IF(DATA[[#This Row],[fecha_fs]]&gt;0,TEXT(DATA[[#This Row],[fecha_fs]],"YYYY"),0)</f>
        <v>2025</v>
      </c>
      <c r="BM139" s="221" t="b">
        <v>1</v>
      </c>
      <c r="BN139" s="278">
        <f>COUNTIF(DATA[[#This Row],[tiempo_td]], "&lt;=15")</f>
        <v>0</v>
      </c>
      <c r="BO139" s="222"/>
    </row>
    <row r="140" spans="1:67" ht="30.6" customHeight="1" x14ac:dyDescent="0.25">
      <c r="A140" s="4">
        <v>20553956324</v>
      </c>
      <c r="B140" s="5" t="s">
        <v>281</v>
      </c>
      <c r="C140" s="52" t="s">
        <v>175</v>
      </c>
      <c r="D140" s="4" t="s">
        <v>120</v>
      </c>
      <c r="E140" s="5" t="s">
        <v>3</v>
      </c>
      <c r="F140" s="24">
        <v>45684</v>
      </c>
      <c r="G140" s="7" t="s">
        <v>113</v>
      </c>
      <c r="H140" s="25">
        <f t="shared" si="15"/>
        <v>1</v>
      </c>
      <c r="I140" s="67">
        <v>4041</v>
      </c>
      <c r="J140" s="8" t="s">
        <v>115</v>
      </c>
      <c r="K140" s="9" t="s">
        <v>121</v>
      </c>
      <c r="L140" s="10" t="s">
        <v>117</v>
      </c>
      <c r="M140" s="11">
        <v>114.7</v>
      </c>
      <c r="N140" s="12" t="s">
        <v>165</v>
      </c>
      <c r="O140" s="6">
        <v>45688</v>
      </c>
      <c r="P140" s="13">
        <v>3270</v>
      </c>
      <c r="Q140" s="14" t="s">
        <v>85</v>
      </c>
      <c r="R140" s="15">
        <f>80/4</f>
        <v>20</v>
      </c>
      <c r="S140" s="15">
        <f>395.1/2</f>
        <v>197.55</v>
      </c>
      <c r="T140" s="15">
        <f>DATA[[#This Row],[C. DF]]+DATA[[#This Row],[C.OPE.]]</f>
        <v>217.55</v>
      </c>
      <c r="U140" s="15">
        <f>DATA[[#This Row],[SUB TOTAL]]*0.18</f>
        <v>39.158999999999999</v>
      </c>
      <c r="V140" s="15">
        <f>IFERROR(ROUND(DATA[[#This Row],[SUB TOTAL]]+DATA[[#This Row],[IGV]],2),0)</f>
        <v>256.70999999999998</v>
      </c>
      <c r="W140" s="16" t="str">
        <f>IF(DATA[[#This Row],[VALORIZACIÓN ]]="-","NO CORRESPONDE",IF(OR(A140=20558226979,A140=10470707866,A140=20111157058,A140=20100226902),"NO CORRESPONDE",IF(J140="Emitida",IF(P140&gt;0,"EMITIDA","PENDIENTE"),"NO CORRESPONDE")))</f>
        <v>EMITIDA</v>
      </c>
      <c r="X140" s="29"/>
      <c r="Y140" s="17" t="s">
        <v>118</v>
      </c>
      <c r="Z140" s="30">
        <v>45692</v>
      </c>
      <c r="AA140" s="10" t="s">
        <v>124</v>
      </c>
      <c r="AB140" s="19">
        <v>546</v>
      </c>
      <c r="AC140" s="20">
        <v>0</v>
      </c>
      <c r="AD140" s="18">
        <f>DATA[[#This Row],[FECHA DE EMISION]]+DATA[[#This Row],[CONDICION DE PAGO]]</f>
        <v>45692</v>
      </c>
      <c r="AE140" s="23">
        <f>IF(DATA[[#This Row],[MONEDA]]="USD",VLOOKUP(DATA[[#This Row],[COMBINADA]],#REF!,11,0),1)</f>
        <v>1</v>
      </c>
      <c r="AF140" s="39" t="str">
        <f>IF(DATA[[#This Row],[SERIE2]]="-","NO CORRESPONDE",IF(W140="NO CORRESPONDE","NO CORRESPONDE",IF(Z140&gt;0,"FACTURADO","PENDIENTE")))</f>
        <v>FACTURADO</v>
      </c>
      <c r="AG140" s="27">
        <f>IFERROR(VLOOKUP(DATA[[#This Row],[COMBINADA]],#REF!,6,0),0)</f>
        <v>0</v>
      </c>
      <c r="AH140" s="125">
        <f>IFERROR(VLOOKUP(DATA[[#This Row],[COMBINADA]],#REF!,9,0),0)/COUNTIFS(DATA[COMBINADA],DATA[[#This Row],[COMBINADA]])</f>
        <v>0</v>
      </c>
      <c r="AI140" s="27">
        <f>IFERROR(VLOOKUP(DATA[[#This Row],[COMBINADA]],#REF!,6,0),0)</f>
        <v>0</v>
      </c>
      <c r="AJ140" s="125">
        <f>IFERROR(VLOOKUP(DATA[[#This Row],[COMBINADA]],#REF!,9,0),0)/COUNTIFS(DATA[COMBINADA],DATA[[#This Row],[COMBINADA]])</f>
        <v>0</v>
      </c>
      <c r="AK140" s="27">
        <f>IFERROR(VLOOKUP(DATA[[#This Row],[COMBINADA]],#REF!,6,0),0)</f>
        <v>0</v>
      </c>
      <c r="AL140" s="125">
        <f>IFERROR(VLOOKUP(DATA[[#This Row],[COMBINADA]],#REF!,9,0),0)/COUNTIFS(DATA[COMBINADA],DATA[[#This Row],[COMBINADA]])</f>
        <v>0</v>
      </c>
      <c r="AM140" s="27">
        <f>IFERROR(VLOOKUP(DATA[[#This Row],[COMBINADA]],#REF!,6,0),0)</f>
        <v>0</v>
      </c>
      <c r="AN140" s="125">
        <f>IFERROR(VLOOKUP(DATA[[#This Row],[COMBINADA]],#REF!,9,0),0)/COUNTIFS(DATA[COMBINADA],DATA[[#This Row],[COMBINADA]])</f>
        <v>0</v>
      </c>
      <c r="AO140" s="27">
        <f>IFERROR(VLOOKUP(DATA[[#This Row],[COMBINADA]],#REF!,6,0),0)</f>
        <v>0</v>
      </c>
      <c r="AP140" s="125">
        <f>IFERROR(VLOOKUP(DATA[[#This Row],[COMBINADA]],#REF!,9,0),0)/COUNTIFS(DATA[COMBINADA],DATA[[#This Row],[COMBINADA]])</f>
        <v>0</v>
      </c>
      <c r="AQ14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355.75428571428574</v>
      </c>
      <c r="AR140" s="26" t="str">
        <f>IFERROR(IF(DATA[[#This Row],[estado_fact]]="FACTURADO",VLOOKUP(DATA[[#This Row],[SERIE2]]&amp;"-"&amp;DATA[[#This Row],[NUMERO]],#REF!,34,0),"NO CORRESPONDE"),"NO CORRESPONDE")</f>
        <v>NO CORRESPONDE</v>
      </c>
      <c r="AS140" s="22" t="str">
        <f>IF(DATA[[#This Row],[fecha_fs]]&gt;0,TEXT(DATA[[#This Row],[fecha_fs]],"Mmmm"),0)</f>
        <v>Enero</v>
      </c>
      <c r="AT140" s="22" t="str">
        <f>DATA[[#This Row],[SERIE2]]&amp;"-"&amp;DATA[[#This Row],[NUMERO]]</f>
        <v>FE01-546</v>
      </c>
      <c r="AU140" s="28">
        <f>DATA[[#This Row],[TOTAL]]*DATA[[#This Row],[T.C.]]</f>
        <v>256.70999999999998</v>
      </c>
      <c r="AV140" s="6">
        <f>DATA[[#This Row],[FECHA DE VAL.]]</f>
        <v>45688</v>
      </c>
      <c r="AW140" s="6">
        <f>DATA[[#This Row],[FECHA DE EMISION]]</f>
        <v>45692</v>
      </c>
      <c r="AX140" s="6">
        <f>DATA[[#This Row],[F1]]</f>
        <v>0</v>
      </c>
      <c r="AY140" s="20">
        <f>IF(AV140-DATA[[#This Row],[fecha_fs]]&lt;0,0,AV140-DATA[[#This Row],[fecha_fs]])</f>
        <v>4</v>
      </c>
      <c r="AZ140" s="20">
        <f t="shared" si="16"/>
        <v>4</v>
      </c>
      <c r="BA140" s="20">
        <f t="shared" si="17"/>
        <v>0</v>
      </c>
      <c r="BB140" s="195">
        <f>IFERROR(SUM(DATA[[#This Row],[fs_val_ttf]:[fact_pago_ttf]]),0)</f>
        <v>8</v>
      </c>
      <c r="BC140" s="185">
        <v>45698</v>
      </c>
      <c r="BD140" s="185">
        <v>45707</v>
      </c>
      <c r="BE140" s="185">
        <v>45712</v>
      </c>
      <c r="BF140" s="185">
        <v>45758</v>
      </c>
      <c r="BG140" s="20">
        <f>IFERROR(IF(BC140-DATA[[#This Row],[fecha_fs]]&lt;0,0,BC140-DATA[[#This Row],[fecha_fs]]),0)</f>
        <v>14</v>
      </c>
      <c r="BH140" s="20">
        <f t="shared" si="18"/>
        <v>9</v>
      </c>
      <c r="BI140" s="20">
        <f t="shared" si="19"/>
        <v>5</v>
      </c>
      <c r="BJ140" s="20">
        <f t="shared" si="20"/>
        <v>46</v>
      </c>
      <c r="BK140" s="218">
        <f>IFERROR(SUM(DATA[[#This Row],[fs_fd_ttd]:[fend_fenf_ttd]]),0)</f>
        <v>74</v>
      </c>
      <c r="BL140" s="20" t="str">
        <f>IF(DATA[[#This Row],[fecha_fs]]&gt;0,TEXT(DATA[[#This Row],[fecha_fs]],"YYYY"),0)</f>
        <v>2025</v>
      </c>
      <c r="BM140" s="221" t="b">
        <v>0</v>
      </c>
      <c r="BN140" s="278">
        <f>COUNTIF(DATA[[#This Row],[tiempo_td]], "&lt;=15")</f>
        <v>0</v>
      </c>
      <c r="BO140" s="222"/>
    </row>
    <row r="141" spans="1:67" ht="30.6" customHeight="1" x14ac:dyDescent="0.25">
      <c r="A141" s="4">
        <v>20553956324</v>
      </c>
      <c r="B141" s="5" t="s">
        <v>281</v>
      </c>
      <c r="C141" s="52" t="s">
        <v>175</v>
      </c>
      <c r="D141" s="4" t="s">
        <v>112</v>
      </c>
      <c r="E141" s="5" t="s">
        <v>1</v>
      </c>
      <c r="F141" s="24">
        <v>45684</v>
      </c>
      <c r="G141" s="7" t="s">
        <v>113</v>
      </c>
      <c r="H141" s="25">
        <f t="shared" si="15"/>
        <v>1</v>
      </c>
      <c r="I141" s="67">
        <v>4042</v>
      </c>
      <c r="J141" s="8" t="s">
        <v>115</v>
      </c>
      <c r="K141" s="9" t="s">
        <v>116</v>
      </c>
      <c r="L141" s="10" t="s">
        <v>117</v>
      </c>
      <c r="M141" s="11">
        <v>4</v>
      </c>
      <c r="N141" s="12" t="s">
        <v>165</v>
      </c>
      <c r="O141" s="6">
        <v>45688</v>
      </c>
      <c r="P141" s="13">
        <v>3270</v>
      </c>
      <c r="Q141" s="14" t="s">
        <v>85</v>
      </c>
      <c r="R141" s="15">
        <f>450/3</f>
        <v>150</v>
      </c>
      <c r="S141" s="15">
        <f>395.1/2</f>
        <v>197.55</v>
      </c>
      <c r="T141" s="15">
        <f>DATA[[#This Row],[C. DF]]+DATA[[#This Row],[C.OPE.]]</f>
        <v>347.55</v>
      </c>
      <c r="U141" s="15">
        <f>DATA[[#This Row],[SUB TOTAL]]*0.18</f>
        <v>62.558999999999997</v>
      </c>
      <c r="V141" s="15">
        <f>IFERROR(ROUND(DATA[[#This Row],[SUB TOTAL]]+DATA[[#This Row],[IGV]],2),0)</f>
        <v>410.11</v>
      </c>
      <c r="W141" s="16" t="str">
        <f>IF(DATA[[#This Row],[VALORIZACIÓN ]]="-","NO CORRESPONDE",IF(OR(A141=20558226979,A141=10470707866,A141=20111157058,A141=20100226902),"NO CORRESPONDE",IF(J141="Emitida",IF(P141&gt;0,"EMITIDA","PENDIENTE"),"NO CORRESPONDE")))</f>
        <v>EMITIDA</v>
      </c>
      <c r="X141" s="29"/>
      <c r="Y141" s="17" t="s">
        <v>118</v>
      </c>
      <c r="Z141" s="30">
        <v>45692</v>
      </c>
      <c r="AA141" s="10" t="s">
        <v>124</v>
      </c>
      <c r="AB141" s="19">
        <v>546</v>
      </c>
      <c r="AC141" s="20">
        <v>0</v>
      </c>
      <c r="AD141" s="18">
        <f>DATA[[#This Row],[FECHA DE EMISION]]+DATA[[#This Row],[CONDICION DE PAGO]]</f>
        <v>45692</v>
      </c>
      <c r="AE141" s="23">
        <f>IF(DATA[[#This Row],[MONEDA]]="USD",VLOOKUP(DATA[[#This Row],[COMBINADA]],#REF!,11,0),1)</f>
        <v>1</v>
      </c>
      <c r="AF141" s="39" t="str">
        <f>IF(DATA[[#This Row],[SERIE2]]="-","NO CORRESPONDE",IF(W141="NO CORRESPONDE","NO CORRESPONDE",IF(Z141&gt;0,"FACTURADO","PENDIENTE")))</f>
        <v>FACTURADO</v>
      </c>
      <c r="AG141" s="27">
        <f>IFERROR(VLOOKUP(DATA[[#This Row],[COMBINADA]],#REF!,6,0),0)</f>
        <v>0</v>
      </c>
      <c r="AH141" s="125">
        <f>IFERROR(VLOOKUP(DATA[[#This Row],[COMBINADA]],#REF!,9,0),0)/COUNTIFS(DATA[COMBINADA],DATA[[#This Row],[COMBINADA]])</f>
        <v>0</v>
      </c>
      <c r="AI141" s="27">
        <f>IFERROR(VLOOKUP(DATA[[#This Row],[COMBINADA]],#REF!,6,0),0)</f>
        <v>0</v>
      </c>
      <c r="AJ141" s="125">
        <f>IFERROR(VLOOKUP(DATA[[#This Row],[COMBINADA]],#REF!,9,0),0)/COUNTIFS(DATA[COMBINADA],DATA[[#This Row],[COMBINADA]])</f>
        <v>0</v>
      </c>
      <c r="AK141" s="27">
        <f>IFERROR(VLOOKUP(DATA[[#This Row],[COMBINADA]],#REF!,6,0),0)</f>
        <v>0</v>
      </c>
      <c r="AL141" s="125">
        <f>IFERROR(VLOOKUP(DATA[[#This Row],[COMBINADA]],#REF!,9,0),0)/COUNTIFS(DATA[COMBINADA],DATA[[#This Row],[COMBINADA]])</f>
        <v>0</v>
      </c>
      <c r="AM141" s="27">
        <f>IFERROR(VLOOKUP(DATA[[#This Row],[COMBINADA]],#REF!,6,0),0)</f>
        <v>0</v>
      </c>
      <c r="AN141" s="125">
        <f>IFERROR(VLOOKUP(DATA[[#This Row],[COMBINADA]],#REF!,9,0),0)/COUNTIFS(DATA[COMBINADA],DATA[[#This Row],[COMBINADA]])</f>
        <v>0</v>
      </c>
      <c r="AO141" s="27">
        <f>IFERROR(VLOOKUP(DATA[[#This Row],[COMBINADA]],#REF!,6,0),0)</f>
        <v>0</v>
      </c>
      <c r="AP141" s="125">
        <f>IFERROR(VLOOKUP(DATA[[#This Row],[COMBINADA]],#REF!,9,0),0)/COUNTIFS(DATA[COMBINADA],DATA[[#This Row],[COMBINADA]])</f>
        <v>0</v>
      </c>
      <c r="AQ14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355.75428571428574</v>
      </c>
      <c r="AR141" s="26" t="str">
        <f>IFERROR(IF(DATA[[#This Row],[estado_fact]]="FACTURADO",VLOOKUP(DATA[[#This Row],[SERIE2]]&amp;"-"&amp;DATA[[#This Row],[NUMERO]],#REF!,34,0),"NO CORRESPONDE"),"NO CORRESPONDE")</f>
        <v>NO CORRESPONDE</v>
      </c>
      <c r="AS141" s="22" t="str">
        <f>IF(DATA[[#This Row],[fecha_fs]]&gt;0,TEXT(DATA[[#This Row],[fecha_fs]],"Mmmm"),0)</f>
        <v>Enero</v>
      </c>
      <c r="AT141" s="22" t="str">
        <f>DATA[[#This Row],[SERIE2]]&amp;"-"&amp;DATA[[#This Row],[NUMERO]]</f>
        <v>FE01-546</v>
      </c>
      <c r="AU141" s="28">
        <f>DATA[[#This Row],[TOTAL]]*DATA[[#This Row],[T.C.]]</f>
        <v>410.11</v>
      </c>
      <c r="AV141" s="6">
        <f>DATA[[#This Row],[FECHA DE VAL.]]</f>
        <v>45688</v>
      </c>
      <c r="AW141" s="6">
        <f>DATA[[#This Row],[FECHA DE EMISION]]</f>
        <v>45692</v>
      </c>
      <c r="AX141" s="6">
        <f>DATA[[#This Row],[F1]]</f>
        <v>0</v>
      </c>
      <c r="AY141" s="20">
        <f>IF(AV141-DATA[[#This Row],[fecha_fs]]&lt;0,0,AV141-DATA[[#This Row],[fecha_fs]])</f>
        <v>4</v>
      </c>
      <c r="AZ141" s="20">
        <f t="shared" si="16"/>
        <v>4</v>
      </c>
      <c r="BA141" s="20">
        <f t="shared" si="17"/>
        <v>0</v>
      </c>
      <c r="BB141" s="195">
        <f>IFERROR(SUM(DATA[[#This Row],[fs_val_ttf]:[fact_pago_ttf]]),0)</f>
        <v>8</v>
      </c>
      <c r="BC141" s="185">
        <v>45694</v>
      </c>
      <c r="BD141" s="185">
        <v>45705</v>
      </c>
      <c r="BE141" s="185">
        <v>45707</v>
      </c>
      <c r="BF141" s="185">
        <v>45758</v>
      </c>
      <c r="BG141" s="20">
        <f>IFERROR(IF(BC141-DATA[[#This Row],[fecha_fs]]&lt;0,0,BC141-DATA[[#This Row],[fecha_fs]]),0)</f>
        <v>10</v>
      </c>
      <c r="BH141" s="20">
        <f t="shared" si="18"/>
        <v>11</v>
      </c>
      <c r="BI141" s="20">
        <f t="shared" si="19"/>
        <v>2</v>
      </c>
      <c r="BJ141" s="20">
        <f t="shared" si="20"/>
        <v>51</v>
      </c>
      <c r="BK141" s="218">
        <f>IFERROR(SUM(DATA[[#This Row],[fs_fd_ttd]:[fend_fenf_ttd]]),0)</f>
        <v>74</v>
      </c>
      <c r="BL141" s="20" t="str">
        <f>IF(DATA[[#This Row],[fecha_fs]]&gt;0,TEXT(DATA[[#This Row],[fecha_fs]],"YYYY"),0)</f>
        <v>2025</v>
      </c>
      <c r="BM141" s="221" t="b">
        <v>0</v>
      </c>
      <c r="BN141" s="278">
        <f>COUNTIF(DATA[[#This Row],[tiempo_td]], "&lt;=15")</f>
        <v>0</v>
      </c>
      <c r="BO141" s="222"/>
    </row>
    <row r="142" spans="1:67" ht="30.6" customHeight="1" x14ac:dyDescent="0.25">
      <c r="A142" s="4">
        <v>20100055237</v>
      </c>
      <c r="B142" s="5" t="s">
        <v>21</v>
      </c>
      <c r="C142" s="52" t="s">
        <v>138</v>
      </c>
      <c r="D142" s="4" t="s">
        <v>139</v>
      </c>
      <c r="E142" s="5" t="s">
        <v>23</v>
      </c>
      <c r="F142" s="24">
        <v>45685</v>
      </c>
      <c r="G142" s="7" t="s">
        <v>113</v>
      </c>
      <c r="H142" s="25">
        <f t="shared" si="15"/>
        <v>1</v>
      </c>
      <c r="I142" s="67">
        <v>4043</v>
      </c>
      <c r="J142" s="8" t="s">
        <v>115</v>
      </c>
      <c r="K142" s="9" t="s">
        <v>121</v>
      </c>
      <c r="L142" s="10" t="s">
        <v>117</v>
      </c>
      <c r="M142" s="11">
        <v>90</v>
      </c>
      <c r="N142" s="12" t="s">
        <v>186</v>
      </c>
      <c r="O142" s="6">
        <v>45687</v>
      </c>
      <c r="P142" s="54">
        <v>3273</v>
      </c>
      <c r="Q142" s="14" t="s">
        <v>85</v>
      </c>
      <c r="R142" s="15"/>
      <c r="S142" s="15">
        <v>297.92</v>
      </c>
      <c r="T142" s="15">
        <f>DATA[[#This Row],[C. DF]]+DATA[[#This Row],[C.OPE.]]</f>
        <v>297.92</v>
      </c>
      <c r="U142" s="15">
        <f>DATA[[#This Row],[SUB TOTAL]]*0.18</f>
        <v>53.625599999999999</v>
      </c>
      <c r="V142" s="15">
        <f>IFERROR(ROUND(DATA[[#This Row],[SUB TOTAL]]+DATA[[#This Row],[IGV]],2),0)</f>
        <v>351.55</v>
      </c>
      <c r="W142" s="16" t="str">
        <f>IF(DATA[[#This Row],[VALORIZACIÓN ]]="-","NO CORRESPONDE",IF(OR(A142=20558226979,A142=10470707866,A142=20111157058,A142=20100226902),"NO CORRESPONDE",IF(J142="Emitida",IF(P142&gt;0,"EMITIDA","PENDIENTE"),"NO CORRESPONDE")))</f>
        <v>EMITIDA</v>
      </c>
      <c r="X142" s="29" t="s">
        <v>140</v>
      </c>
      <c r="Y142" s="17" t="s">
        <v>118</v>
      </c>
      <c r="Z142" s="30">
        <v>45701</v>
      </c>
      <c r="AA142" s="10" t="s">
        <v>124</v>
      </c>
      <c r="AB142" s="19">
        <v>562</v>
      </c>
      <c r="AC142" s="20">
        <v>30</v>
      </c>
      <c r="AD142" s="18">
        <f>DATA[[#This Row],[FECHA DE EMISION]]+DATA[[#This Row],[CONDICION DE PAGO]]</f>
        <v>45731</v>
      </c>
      <c r="AE142" s="23">
        <f>IF(DATA[[#This Row],[MONEDA]]="USD",VLOOKUP(DATA[[#This Row],[COMBINADA]],#REF!,11,0),1)</f>
        <v>1</v>
      </c>
      <c r="AF142" s="39" t="str">
        <f>IF(DATA[[#This Row],[SERIE2]]="-","NO CORRESPONDE",IF(W142="NO CORRESPONDE","NO CORRESPONDE",IF(Z142&gt;0,"FACTURADO","PENDIENTE")))</f>
        <v>FACTURADO</v>
      </c>
      <c r="AG142" s="27">
        <f>IFERROR(VLOOKUP(DATA[[#This Row],[COMBINADA]],#REF!,6,0),0)</f>
        <v>0</v>
      </c>
      <c r="AH142" s="125">
        <f>IFERROR(VLOOKUP(DATA[[#This Row],[COMBINADA]],#REF!,9,0),0)/COUNTIFS(DATA[COMBINADA],DATA[[#This Row],[COMBINADA]])</f>
        <v>0</v>
      </c>
      <c r="AI142" s="27">
        <f>IFERROR(VLOOKUP(DATA[[#This Row],[COMBINADA]],#REF!,6,0),0)</f>
        <v>0</v>
      </c>
      <c r="AJ142" s="125">
        <f>IFERROR(VLOOKUP(DATA[[#This Row],[COMBINADA]],#REF!,9,0),0)/COUNTIFS(DATA[COMBINADA],DATA[[#This Row],[COMBINADA]])</f>
        <v>0</v>
      </c>
      <c r="AK142" s="27">
        <f>IFERROR(VLOOKUP(DATA[[#This Row],[COMBINADA]],#REF!,6,0),0)</f>
        <v>0</v>
      </c>
      <c r="AL142" s="125">
        <f>IFERROR(VLOOKUP(DATA[[#This Row],[COMBINADA]],#REF!,9,0),0)/COUNTIFS(DATA[COMBINADA],DATA[[#This Row],[COMBINADA]])</f>
        <v>0</v>
      </c>
      <c r="AM142" s="27">
        <f>IFERROR(VLOOKUP(DATA[[#This Row],[COMBINADA]],#REF!,6,0),0)</f>
        <v>0</v>
      </c>
      <c r="AN142" s="125">
        <f>IFERROR(VLOOKUP(DATA[[#This Row],[COMBINADA]],#REF!,9,0),0)/COUNTIFS(DATA[COMBINADA],DATA[[#This Row],[COMBINADA]])</f>
        <v>0</v>
      </c>
      <c r="AO142" s="27">
        <f>IFERROR(VLOOKUP(DATA[[#This Row],[COMBINADA]],#REF!,6,0),0)</f>
        <v>0</v>
      </c>
      <c r="AP142" s="125">
        <f>IFERROR(VLOOKUP(DATA[[#This Row],[COMBINADA]],#REF!,9,0),0)/COUNTIFS(DATA[COMBINADA],DATA[[#This Row],[COMBINADA]])</f>
        <v>0</v>
      </c>
      <c r="AQ14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42" s="26" t="str">
        <f>IFERROR(IF(DATA[[#This Row],[estado_fact]]="FACTURADO",VLOOKUP(DATA[[#This Row],[SERIE2]]&amp;"-"&amp;DATA[[#This Row],[NUMERO]],#REF!,34,0),"NO CORRESPONDE"),"NO CORRESPONDE")</f>
        <v>NO CORRESPONDE</v>
      </c>
      <c r="AS142" s="22" t="str">
        <f>IF(DATA[[#This Row],[fecha_fs]]&gt;0,TEXT(DATA[[#This Row],[fecha_fs]],"Mmmm"),0)</f>
        <v>Enero</v>
      </c>
      <c r="AT142" s="22" t="str">
        <f>DATA[[#This Row],[SERIE2]]&amp;"-"&amp;DATA[[#This Row],[NUMERO]]</f>
        <v>FE01-562</v>
      </c>
      <c r="AU142" s="28">
        <f>DATA[[#This Row],[TOTAL]]*DATA[[#This Row],[T.C.]]</f>
        <v>351.55</v>
      </c>
      <c r="AV142" s="6">
        <f>DATA[[#This Row],[FECHA DE VAL.]]</f>
        <v>45687</v>
      </c>
      <c r="AW142" s="6">
        <f>DATA[[#This Row],[FECHA DE EMISION]]</f>
        <v>45701</v>
      </c>
      <c r="AX142" s="6">
        <f>DATA[[#This Row],[F1]]</f>
        <v>0</v>
      </c>
      <c r="AY142" s="20">
        <f>IF(AV142-DATA[[#This Row],[fecha_fs]]&lt;0,0,AV142-DATA[[#This Row],[fecha_fs]])</f>
        <v>2</v>
      </c>
      <c r="AZ142" s="20">
        <f t="shared" si="16"/>
        <v>14</v>
      </c>
      <c r="BA142" s="20">
        <f t="shared" si="17"/>
        <v>0</v>
      </c>
      <c r="BB142" s="195">
        <f>IFERROR(SUM(DATA[[#This Row],[fs_val_ttf]:[fact_pago_ttf]]),0)</f>
        <v>16</v>
      </c>
      <c r="BC142" s="185">
        <v>45685</v>
      </c>
      <c r="BD142" s="185">
        <v>45685</v>
      </c>
      <c r="BE142" s="185">
        <v>45691</v>
      </c>
      <c r="BF142" s="185">
        <v>45691</v>
      </c>
      <c r="BG142" s="20">
        <f>IFERROR(IF(BC142-DATA[[#This Row],[fecha_fs]]&lt;0,0,BC142-DATA[[#This Row],[fecha_fs]]),0)</f>
        <v>0</v>
      </c>
      <c r="BH142" s="20">
        <f t="shared" si="18"/>
        <v>0</v>
      </c>
      <c r="BI142" s="20">
        <f t="shared" si="19"/>
        <v>6</v>
      </c>
      <c r="BJ142" s="20">
        <f t="shared" si="20"/>
        <v>0</v>
      </c>
      <c r="BK142" s="218">
        <f>IFERROR(SUM(DATA[[#This Row],[fs_fd_ttd]:[fend_fenf_ttd]]),0)</f>
        <v>6</v>
      </c>
      <c r="BL142" s="20" t="str">
        <f>IF(DATA[[#This Row],[fecha_fs]]&gt;0,TEXT(DATA[[#This Row],[fecha_fs]],"YYYY"),0)</f>
        <v>2025</v>
      </c>
      <c r="BM142" s="221" t="b">
        <v>1</v>
      </c>
      <c r="BN142" s="278">
        <f>COUNTIF(DATA[[#This Row],[tiempo_td]], "&lt;=15")</f>
        <v>1</v>
      </c>
      <c r="BO142" s="222"/>
    </row>
    <row r="143" spans="1:67" ht="30.6" customHeight="1" x14ac:dyDescent="0.25">
      <c r="A143" s="4">
        <v>20100226902</v>
      </c>
      <c r="B143" s="5" t="s">
        <v>24</v>
      </c>
      <c r="C143" s="52" t="s">
        <v>18</v>
      </c>
      <c r="D143" s="4" t="s">
        <v>120</v>
      </c>
      <c r="E143" s="5" t="s">
        <v>3</v>
      </c>
      <c r="F143" s="24">
        <v>45686</v>
      </c>
      <c r="G143" s="7" t="s">
        <v>113</v>
      </c>
      <c r="H143" s="25">
        <f t="shared" si="15"/>
        <v>1</v>
      </c>
      <c r="I143" s="67">
        <v>4044</v>
      </c>
      <c r="J143" s="8" t="s">
        <v>115</v>
      </c>
      <c r="K143" s="9" t="s">
        <v>121</v>
      </c>
      <c r="L143" s="10" t="s">
        <v>117</v>
      </c>
      <c r="M143" s="11">
        <v>480</v>
      </c>
      <c r="N143" s="12" t="s">
        <v>127</v>
      </c>
      <c r="O143" s="40"/>
      <c r="P143" s="41" t="s">
        <v>114</v>
      </c>
      <c r="Q143" s="42"/>
      <c r="R143" s="43"/>
      <c r="S143" s="43"/>
      <c r="T143" s="43">
        <f>DATA[[#This Row],[C. DF]]+DATA[[#This Row],[C.OPE.]]</f>
        <v>0</v>
      </c>
      <c r="U143" s="43">
        <f>DATA[[#This Row],[SUB TOTAL]]*0.18</f>
        <v>0</v>
      </c>
      <c r="V143" s="43">
        <f>IFERROR(ROUND(DATA[[#This Row],[SUB TOTAL]]+DATA[[#This Row],[IGV]],2),0)</f>
        <v>0</v>
      </c>
      <c r="W143" s="44" t="str">
        <f>IF(DATA[[#This Row],[VALORIZACIÓN ]]="-","NO CORRESPONDE",IF(OR(A143=20558226979,A143=10470707866,A143=20111157058,A143=20100226902),"NO CORRESPONDE",IF(J143="Emitida",IF(P143&gt;0,"EMITIDA","PENDIENTE"),"NO CORRESPONDE")))</f>
        <v>NO CORRESPONDE</v>
      </c>
      <c r="X143" s="45"/>
      <c r="Y143" s="58" t="s">
        <v>128</v>
      </c>
      <c r="Z143" s="46"/>
      <c r="AA143" s="47"/>
      <c r="AB143" s="48"/>
      <c r="AC143" s="49"/>
      <c r="AD143" s="50">
        <f>DATA[[#This Row],[FECHA DE EMISION]]+DATA[[#This Row],[CONDICION DE PAGO]]</f>
        <v>0</v>
      </c>
      <c r="AE143" s="23">
        <f>IF(DATA[[#This Row],[MONEDA]]="USD",VLOOKUP(DATA[[#This Row],[COMBINADA]],#REF!,11,0),1)</f>
        <v>1</v>
      </c>
      <c r="AF143" s="59" t="str">
        <f>IF(DATA[[#This Row],[SERIE2]]="-","NO CORRESPONDE",IF(W143="NO CORRESPONDE","NO CORRESPONDE",IF(Z143&gt;0,"FACTURADO","PENDIENTE")))</f>
        <v>NO CORRESPONDE</v>
      </c>
      <c r="AG143" s="60">
        <f>IFERROR(VLOOKUP(DATA[[#This Row],[COMBINADA]],#REF!,6,0),0)</f>
        <v>0</v>
      </c>
      <c r="AH143" s="126">
        <f>IFERROR(VLOOKUP(DATA[[#This Row],[COMBINADA]],#REF!,9,0),0)/COUNTIFS(DATA[COMBINADA],DATA[[#This Row],[COMBINADA]])</f>
        <v>0</v>
      </c>
      <c r="AI143" s="60">
        <f>IFERROR(VLOOKUP(DATA[[#This Row],[COMBINADA]],#REF!,6,0),0)</f>
        <v>0</v>
      </c>
      <c r="AJ143" s="126">
        <f>IFERROR(VLOOKUP(DATA[[#This Row],[COMBINADA]],#REF!,9,0),0)/COUNTIFS(DATA[COMBINADA],DATA[[#This Row],[COMBINADA]])</f>
        <v>0</v>
      </c>
      <c r="AK143" s="60">
        <f>IFERROR(VLOOKUP(DATA[[#This Row],[COMBINADA]],#REF!,6,0),0)</f>
        <v>0</v>
      </c>
      <c r="AL143" s="126">
        <f>IFERROR(VLOOKUP(DATA[[#This Row],[COMBINADA]],#REF!,9,0),0)/COUNTIFS(DATA[COMBINADA],DATA[[#This Row],[COMBINADA]])</f>
        <v>0</v>
      </c>
      <c r="AM143" s="60">
        <f>IFERROR(VLOOKUP(DATA[[#This Row],[COMBINADA]],#REF!,6,0),0)</f>
        <v>0</v>
      </c>
      <c r="AN143" s="126">
        <f>IFERROR(VLOOKUP(DATA[[#This Row],[COMBINADA]],#REF!,9,0),0)/COUNTIFS(DATA[COMBINADA],DATA[[#This Row],[COMBINADA]])</f>
        <v>0</v>
      </c>
      <c r="AO143" s="60">
        <f>IFERROR(VLOOKUP(DATA[[#This Row],[COMBINADA]],#REF!,6,0),0)</f>
        <v>0</v>
      </c>
      <c r="AP143" s="126">
        <f>IFERROR(VLOOKUP(DATA[[#This Row],[COMBINADA]],#REF!,9,0),0)/COUNTIFS(DATA[COMBINADA],DATA[[#This Row],[COMBINADA]])</f>
        <v>0</v>
      </c>
      <c r="AQ143"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3" s="64" t="str">
        <f>IFERROR(IF(DATA[[#This Row],[estado_fact]]="FACTURADO",VLOOKUP(DATA[[#This Row],[SERIE2]]&amp;"-"&amp;DATA[[#This Row],[NUMERO]],#REF!,34,0),"NO CORRESPONDE"),"NO CORRESPONDE")</f>
        <v>NO CORRESPONDE</v>
      </c>
      <c r="AS143" s="22" t="str">
        <f>IF(DATA[[#This Row],[fecha_fs]]&gt;0,TEXT(DATA[[#This Row],[fecha_fs]],"Mmmm"),0)</f>
        <v>Enero</v>
      </c>
      <c r="AT143" s="22" t="str">
        <f>DATA[[#This Row],[SERIE2]]&amp;"-"&amp;DATA[[#This Row],[NUMERO]]</f>
        <v>-</v>
      </c>
      <c r="AU143" s="28">
        <f>DATA[[#This Row],[TOTAL]]*DATA[[#This Row],[T.C.]]</f>
        <v>0</v>
      </c>
      <c r="AV143" s="6">
        <f>DATA[[#This Row],[FECHA DE VAL.]]</f>
        <v>0</v>
      </c>
      <c r="AW143" s="6">
        <f>DATA[[#This Row],[FECHA DE EMISION]]</f>
        <v>0</v>
      </c>
      <c r="AX143" s="6">
        <f>DATA[[#This Row],[F1]]</f>
        <v>0</v>
      </c>
      <c r="AY143" s="20">
        <f>IF(AV143-DATA[[#This Row],[fecha_fs]]&lt;0,0,AV143-DATA[[#This Row],[fecha_fs]])</f>
        <v>0</v>
      </c>
      <c r="AZ143" s="20">
        <f t="shared" si="16"/>
        <v>0</v>
      </c>
      <c r="BA143" s="20">
        <f t="shared" si="17"/>
        <v>0</v>
      </c>
      <c r="BB143" s="195">
        <f>IFERROR(SUM(DATA[[#This Row],[fs_val_ttf]:[fact_pago_ttf]]),0)</f>
        <v>0</v>
      </c>
      <c r="BC143" s="185">
        <v>45686</v>
      </c>
      <c r="BD143" s="185">
        <v>45686</v>
      </c>
      <c r="BE143" s="185">
        <v>45691</v>
      </c>
      <c r="BF143" s="185">
        <v>45691</v>
      </c>
      <c r="BG143" s="20">
        <f>IFERROR(IF(BC143-DATA[[#This Row],[fecha_fs]]&lt;0,0,BC143-DATA[[#This Row],[fecha_fs]]),0)</f>
        <v>0</v>
      </c>
      <c r="BH143" s="20">
        <f t="shared" si="18"/>
        <v>0</v>
      </c>
      <c r="BI143" s="20">
        <f t="shared" si="19"/>
        <v>5</v>
      </c>
      <c r="BJ143" s="20">
        <f t="shared" si="20"/>
        <v>0</v>
      </c>
      <c r="BK143" s="218">
        <f>IFERROR(SUM(DATA[[#This Row],[fs_fd_ttd]:[fend_fenf_ttd]]),0)</f>
        <v>5</v>
      </c>
      <c r="BL143" s="20" t="str">
        <f>IF(DATA[[#This Row],[fecha_fs]]&gt;0,TEXT(DATA[[#This Row],[fecha_fs]],"YYYY"),0)</f>
        <v>2025</v>
      </c>
      <c r="BM143" s="221" t="b">
        <v>1</v>
      </c>
      <c r="BN143" s="278">
        <f>COUNTIF(DATA[[#This Row],[tiempo_td]], "&lt;=15")</f>
        <v>1</v>
      </c>
      <c r="BO143" s="222"/>
    </row>
    <row r="144" spans="1:67" ht="30.6" customHeight="1" x14ac:dyDescent="0.25">
      <c r="A144" s="4">
        <v>20419158462</v>
      </c>
      <c r="B144" s="5" t="s">
        <v>2</v>
      </c>
      <c r="C144" s="52" t="s">
        <v>147</v>
      </c>
      <c r="D144" s="4" t="s">
        <v>120</v>
      </c>
      <c r="E144" s="5" t="s">
        <v>3</v>
      </c>
      <c r="F144" s="24">
        <v>45686</v>
      </c>
      <c r="G144" s="7" t="s">
        <v>113</v>
      </c>
      <c r="H144" s="25">
        <f t="shared" si="15"/>
        <v>1</v>
      </c>
      <c r="I144" s="67">
        <v>4045</v>
      </c>
      <c r="J144" s="8" t="s">
        <v>115</v>
      </c>
      <c r="K144" s="9" t="s">
        <v>148</v>
      </c>
      <c r="L144" s="10" t="s">
        <v>117</v>
      </c>
      <c r="M144" s="11">
        <v>2390</v>
      </c>
      <c r="N144" s="12" t="s">
        <v>188</v>
      </c>
      <c r="O144" s="6">
        <v>45687</v>
      </c>
      <c r="P144" s="13">
        <v>3271</v>
      </c>
      <c r="Q144" s="14" t="s">
        <v>85</v>
      </c>
      <c r="R144" s="15">
        <v>0</v>
      </c>
      <c r="S144" s="15">
        <v>2597.6999999999998</v>
      </c>
      <c r="T144" s="15">
        <f>DATA[[#This Row],[C. DF]]+DATA[[#This Row],[C.OPE.]]</f>
        <v>2597.6999999999998</v>
      </c>
      <c r="U144" s="15">
        <f>DATA[[#This Row],[SUB TOTAL]]*0.18</f>
        <v>467.58599999999996</v>
      </c>
      <c r="V144" s="15">
        <f>IFERROR(ROUND(DATA[[#This Row],[SUB TOTAL]]+DATA[[#This Row],[IGV]],2),0)</f>
        <v>3065.29</v>
      </c>
      <c r="W144" s="16" t="str">
        <f>IF(DATA[[#This Row],[VALORIZACIÓN ]]="-","NO CORRESPONDE",IF(OR(A144=20558226979,A144=10470707866,A144=20111157058,A144=20100226902),"NO CORRESPONDE",IF(J144="Emitida",IF(P144&gt;0,"EMITIDA","PENDIENTE"),"NO CORRESPONDE")))</f>
        <v>EMITIDA</v>
      </c>
      <c r="X144" s="29" t="s">
        <v>149</v>
      </c>
      <c r="Y144" s="17" t="s">
        <v>118</v>
      </c>
      <c r="Z144" s="30">
        <v>45754</v>
      </c>
      <c r="AA144" s="10" t="s">
        <v>150</v>
      </c>
      <c r="AB144" s="19">
        <v>20</v>
      </c>
      <c r="AC144" s="20">
        <v>15</v>
      </c>
      <c r="AD144" s="18">
        <f>DATA[[#This Row],[FECHA DE EMISION]]+DATA[[#This Row],[CONDICION DE PAGO]]</f>
        <v>45769</v>
      </c>
      <c r="AE144" s="23">
        <f>IF(DATA[[#This Row],[MONEDA]]="USD",VLOOKUP(DATA[[#This Row],[COMBINADA]],#REF!,11,0),1)</f>
        <v>1</v>
      </c>
      <c r="AF144" s="39" t="str">
        <f>IF(DATA[[#This Row],[SERIE2]]="-","NO CORRESPONDE",IF(W144="NO CORRESPONDE","NO CORRESPONDE",IF(Z144&gt;0,"FACTURADO","PENDIENTE")))</f>
        <v>FACTURADO</v>
      </c>
      <c r="AG144" s="27">
        <f>IFERROR(VLOOKUP(DATA[[#This Row],[COMBINADA]],#REF!,6,0),0)</f>
        <v>0</v>
      </c>
      <c r="AH144" s="125">
        <f>IFERROR(VLOOKUP(DATA[[#This Row],[COMBINADA]],#REF!,9,0),0)/COUNTIFS(DATA[COMBINADA],DATA[[#This Row],[COMBINADA]])</f>
        <v>0</v>
      </c>
      <c r="AI144" s="27">
        <f>IFERROR(VLOOKUP(DATA[[#This Row],[COMBINADA]],#REF!,6,0),0)</f>
        <v>0</v>
      </c>
      <c r="AJ144" s="125">
        <f>IFERROR(VLOOKUP(DATA[[#This Row],[COMBINADA]],#REF!,9,0),0)/COUNTIFS(DATA[COMBINADA],DATA[[#This Row],[COMBINADA]])</f>
        <v>0</v>
      </c>
      <c r="AK144" s="27">
        <f>IFERROR(VLOOKUP(DATA[[#This Row],[COMBINADA]],#REF!,6,0),0)</f>
        <v>0</v>
      </c>
      <c r="AL144" s="125">
        <f>IFERROR(VLOOKUP(DATA[[#This Row],[COMBINADA]],#REF!,9,0),0)/COUNTIFS(DATA[COMBINADA],DATA[[#This Row],[COMBINADA]])</f>
        <v>0</v>
      </c>
      <c r="AM144" s="27">
        <f>IFERROR(VLOOKUP(DATA[[#This Row],[COMBINADA]],#REF!,6,0),0)</f>
        <v>0</v>
      </c>
      <c r="AN144" s="125">
        <f>IFERROR(VLOOKUP(DATA[[#This Row],[COMBINADA]],#REF!,9,0),0)/COUNTIFS(DATA[COMBINADA],DATA[[#This Row],[COMBINADA]])</f>
        <v>0</v>
      </c>
      <c r="AO144" s="27">
        <f>IFERROR(VLOOKUP(DATA[[#This Row],[COMBINADA]],#REF!,6,0),0)</f>
        <v>0</v>
      </c>
      <c r="AP144" s="125">
        <f>IFERROR(VLOOKUP(DATA[[#This Row],[COMBINADA]],#REF!,9,0),0)/COUNTIFS(DATA[COMBINADA],DATA[[#This Row],[COMBINADA]])</f>
        <v>0</v>
      </c>
      <c r="AQ14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3065.29</v>
      </c>
      <c r="AR144" s="26" t="str">
        <f>IFERROR(IF(DATA[[#This Row],[estado_fact]]="FACTURADO",VLOOKUP(DATA[[#This Row],[SERIE2]]&amp;"-"&amp;DATA[[#This Row],[NUMERO]],#REF!,34,0),"NO CORRESPONDE"),"NO CORRESPONDE")</f>
        <v>NO CORRESPONDE</v>
      </c>
      <c r="AS144" s="22" t="str">
        <f>IF(DATA[[#This Row],[fecha_fs]]&gt;0,TEXT(DATA[[#This Row],[fecha_fs]],"Mmmm"),0)</f>
        <v>Enero</v>
      </c>
      <c r="AT144" s="22" t="str">
        <f>DATA[[#This Row],[SERIE2]]&amp;"-"&amp;DATA[[#This Row],[NUMERO]]</f>
        <v>FF01-20</v>
      </c>
      <c r="AU144" s="28">
        <f>DATA[[#This Row],[TOTAL]]*DATA[[#This Row],[T.C.]]</f>
        <v>3065.29</v>
      </c>
      <c r="AV144" s="6">
        <f>DATA[[#This Row],[FECHA DE VAL.]]</f>
        <v>45687</v>
      </c>
      <c r="AW144" s="6">
        <f>DATA[[#This Row],[FECHA DE EMISION]]</f>
        <v>45754</v>
      </c>
      <c r="AX144" s="6">
        <f>DATA[[#This Row],[F1]]</f>
        <v>0</v>
      </c>
      <c r="AY144" s="20">
        <f>IF(AV144-DATA[[#This Row],[fecha_fs]]&lt;0,0,AV144-DATA[[#This Row],[fecha_fs]])</f>
        <v>1</v>
      </c>
      <c r="AZ144" s="20">
        <f t="shared" si="16"/>
        <v>67</v>
      </c>
      <c r="BA144" s="20">
        <f t="shared" si="17"/>
        <v>0</v>
      </c>
      <c r="BB144" s="195">
        <f>IFERROR(SUM(DATA[[#This Row],[fs_val_ttf]:[fact_pago_ttf]]),0)</f>
        <v>68</v>
      </c>
      <c r="BC144" s="185">
        <v>45686</v>
      </c>
      <c r="BD144" s="185">
        <v>45686</v>
      </c>
      <c r="BE144" s="185">
        <v>45712</v>
      </c>
      <c r="BF144" s="185">
        <v>45712</v>
      </c>
      <c r="BG144" s="20">
        <f>IFERROR(IF(BC144-DATA[[#This Row],[fecha_fs]]&lt;0,0,BC144-DATA[[#This Row],[fecha_fs]]),0)</f>
        <v>0</v>
      </c>
      <c r="BH144" s="20">
        <f t="shared" si="18"/>
        <v>0</v>
      </c>
      <c r="BI144" s="20">
        <f t="shared" si="19"/>
        <v>26</v>
      </c>
      <c r="BJ144" s="20">
        <f t="shared" si="20"/>
        <v>0</v>
      </c>
      <c r="BK144" s="218">
        <f>IFERROR(SUM(DATA[[#This Row],[fs_fd_ttd]:[fend_fenf_ttd]]),0)</f>
        <v>26</v>
      </c>
      <c r="BL144" s="20" t="str">
        <f>IF(DATA[[#This Row],[fecha_fs]]&gt;0,TEXT(DATA[[#This Row],[fecha_fs]],"YYYY"),0)</f>
        <v>2025</v>
      </c>
      <c r="BM144" s="221" t="b">
        <v>1</v>
      </c>
      <c r="BN144" s="278">
        <f>COUNTIF(DATA[[#This Row],[tiempo_td]], "&lt;=15")</f>
        <v>0</v>
      </c>
      <c r="BO144" s="222"/>
    </row>
    <row r="145" spans="1:67" ht="30.6" customHeight="1" x14ac:dyDescent="0.25">
      <c r="A145" s="4">
        <v>20100055237</v>
      </c>
      <c r="B145" s="5" t="s">
        <v>21</v>
      </c>
      <c r="C145" s="52" t="s">
        <v>138</v>
      </c>
      <c r="D145" s="4" t="s">
        <v>139</v>
      </c>
      <c r="E145" s="5" t="s">
        <v>23</v>
      </c>
      <c r="F145" s="24">
        <v>45687</v>
      </c>
      <c r="G145" s="7" t="s">
        <v>113</v>
      </c>
      <c r="H145" s="25">
        <f t="shared" si="15"/>
        <v>1</v>
      </c>
      <c r="I145" s="67">
        <v>4046</v>
      </c>
      <c r="J145" s="8" t="s">
        <v>115</v>
      </c>
      <c r="K145" s="9" t="s">
        <v>121</v>
      </c>
      <c r="L145" s="10" t="s">
        <v>117</v>
      </c>
      <c r="M145" s="11">
        <v>20</v>
      </c>
      <c r="N145" s="12" t="s">
        <v>125</v>
      </c>
      <c r="O145" s="6">
        <v>45687</v>
      </c>
      <c r="P145" s="54">
        <v>3273</v>
      </c>
      <c r="Q145" s="14" t="s">
        <v>85</v>
      </c>
      <c r="R145" s="15"/>
      <c r="S145" s="15">
        <v>297.92</v>
      </c>
      <c r="T145" s="15">
        <f>DATA[[#This Row],[C. DF]]+DATA[[#This Row],[C.OPE.]]</f>
        <v>297.92</v>
      </c>
      <c r="U145" s="15">
        <f>DATA[[#This Row],[SUB TOTAL]]*0.18</f>
        <v>53.625599999999999</v>
      </c>
      <c r="V145" s="15">
        <f>IFERROR(ROUND(DATA[[#This Row],[SUB TOTAL]]+DATA[[#This Row],[IGV]],2),0)</f>
        <v>351.55</v>
      </c>
      <c r="W145" s="16" t="str">
        <f>IF(DATA[[#This Row],[VALORIZACIÓN ]]="-","NO CORRESPONDE",IF(OR(A145=20558226979,A145=10470707866,A145=20111157058,A145=20100226902),"NO CORRESPONDE",IF(J145="Emitida",IF(P145&gt;0,"EMITIDA","PENDIENTE"),"NO CORRESPONDE")))</f>
        <v>EMITIDA</v>
      </c>
      <c r="X145" s="29" t="s">
        <v>140</v>
      </c>
      <c r="Y145" s="17" t="s">
        <v>118</v>
      </c>
      <c r="Z145" s="30">
        <v>45701</v>
      </c>
      <c r="AA145" s="10" t="s">
        <v>124</v>
      </c>
      <c r="AB145" s="19">
        <v>562</v>
      </c>
      <c r="AC145" s="20">
        <v>30</v>
      </c>
      <c r="AD145" s="18">
        <f>DATA[[#This Row],[FECHA DE EMISION]]+DATA[[#This Row],[CONDICION DE PAGO]]</f>
        <v>45731</v>
      </c>
      <c r="AE145" s="23">
        <f>IF(DATA[[#This Row],[MONEDA]]="USD",VLOOKUP(DATA[[#This Row],[COMBINADA]],#REF!,11,0),1)</f>
        <v>1</v>
      </c>
      <c r="AF145" s="39" t="str">
        <f>IF(DATA[[#This Row],[SERIE2]]="-","NO CORRESPONDE",IF(W145="NO CORRESPONDE","NO CORRESPONDE",IF(Z145&gt;0,"FACTURADO","PENDIENTE")))</f>
        <v>FACTURADO</v>
      </c>
      <c r="AG145" s="27">
        <f>IFERROR(VLOOKUP(DATA[[#This Row],[COMBINADA]],#REF!,6,0),0)</f>
        <v>0</v>
      </c>
      <c r="AH145" s="125">
        <f>IFERROR(VLOOKUP(DATA[[#This Row],[COMBINADA]],#REF!,9,0),0)/COUNTIFS(DATA[COMBINADA],DATA[[#This Row],[COMBINADA]])</f>
        <v>0</v>
      </c>
      <c r="AI145" s="27">
        <f>IFERROR(VLOOKUP(DATA[[#This Row],[COMBINADA]],#REF!,6,0),0)</f>
        <v>0</v>
      </c>
      <c r="AJ145" s="125">
        <f>IFERROR(VLOOKUP(DATA[[#This Row],[COMBINADA]],#REF!,9,0),0)/COUNTIFS(DATA[COMBINADA],DATA[[#This Row],[COMBINADA]])</f>
        <v>0</v>
      </c>
      <c r="AK145" s="27">
        <f>IFERROR(VLOOKUP(DATA[[#This Row],[COMBINADA]],#REF!,6,0),0)</f>
        <v>0</v>
      </c>
      <c r="AL145" s="125">
        <f>IFERROR(VLOOKUP(DATA[[#This Row],[COMBINADA]],#REF!,9,0),0)/COUNTIFS(DATA[COMBINADA],DATA[[#This Row],[COMBINADA]])</f>
        <v>0</v>
      </c>
      <c r="AM145" s="27">
        <f>IFERROR(VLOOKUP(DATA[[#This Row],[COMBINADA]],#REF!,6,0),0)</f>
        <v>0</v>
      </c>
      <c r="AN145" s="125">
        <f>IFERROR(VLOOKUP(DATA[[#This Row],[COMBINADA]],#REF!,9,0),0)/COUNTIFS(DATA[COMBINADA],DATA[[#This Row],[COMBINADA]])</f>
        <v>0</v>
      </c>
      <c r="AO145" s="27">
        <f>IFERROR(VLOOKUP(DATA[[#This Row],[COMBINADA]],#REF!,6,0),0)</f>
        <v>0</v>
      </c>
      <c r="AP145" s="125">
        <f>IFERROR(VLOOKUP(DATA[[#This Row],[COMBINADA]],#REF!,9,0),0)/COUNTIFS(DATA[COMBINADA],DATA[[#This Row],[COMBINADA]])</f>
        <v>0</v>
      </c>
      <c r="AQ14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45" s="26" t="str">
        <f>IFERROR(IF(DATA[[#This Row],[estado_fact]]="FACTURADO",VLOOKUP(DATA[[#This Row],[SERIE2]]&amp;"-"&amp;DATA[[#This Row],[NUMERO]],#REF!,34,0),"NO CORRESPONDE"),"NO CORRESPONDE")</f>
        <v>NO CORRESPONDE</v>
      </c>
      <c r="AS145" s="22" t="str">
        <f>IF(DATA[[#This Row],[fecha_fs]]&gt;0,TEXT(DATA[[#This Row],[fecha_fs]],"Mmmm"),0)</f>
        <v>Enero</v>
      </c>
      <c r="AT145" s="22" t="str">
        <f>DATA[[#This Row],[SERIE2]]&amp;"-"&amp;DATA[[#This Row],[NUMERO]]</f>
        <v>FE01-562</v>
      </c>
      <c r="AU145" s="28">
        <f>DATA[[#This Row],[TOTAL]]*DATA[[#This Row],[T.C.]]</f>
        <v>351.55</v>
      </c>
      <c r="AV145" s="6">
        <f>DATA[[#This Row],[FECHA DE VAL.]]</f>
        <v>45687</v>
      </c>
      <c r="AW145" s="6">
        <f>DATA[[#This Row],[FECHA DE EMISION]]</f>
        <v>45701</v>
      </c>
      <c r="AX145" s="6">
        <f>DATA[[#This Row],[F1]]</f>
        <v>0</v>
      </c>
      <c r="AY145" s="20">
        <f>IF(AV145-DATA[[#This Row],[fecha_fs]]&lt;0,0,AV145-DATA[[#This Row],[fecha_fs]])</f>
        <v>0</v>
      </c>
      <c r="AZ145" s="20">
        <f t="shared" si="16"/>
        <v>14</v>
      </c>
      <c r="BA145" s="20">
        <f t="shared" si="17"/>
        <v>0</v>
      </c>
      <c r="BB145" s="195">
        <f>IFERROR(SUM(DATA[[#This Row],[fs_val_ttf]:[fact_pago_ttf]]),0)</f>
        <v>14</v>
      </c>
      <c r="BC145" s="185">
        <v>45687</v>
      </c>
      <c r="BD145" s="185">
        <v>45687</v>
      </c>
      <c r="BE145" s="185">
        <v>45691</v>
      </c>
      <c r="BF145" s="185">
        <v>45691</v>
      </c>
      <c r="BG145" s="20">
        <f>IFERROR(IF(BC145-DATA[[#This Row],[fecha_fs]]&lt;0,0,BC145-DATA[[#This Row],[fecha_fs]]),0)</f>
        <v>0</v>
      </c>
      <c r="BH145" s="20">
        <f t="shared" si="18"/>
        <v>0</v>
      </c>
      <c r="BI145" s="20">
        <f t="shared" si="19"/>
        <v>4</v>
      </c>
      <c r="BJ145" s="20">
        <f t="shared" si="20"/>
        <v>0</v>
      </c>
      <c r="BK145" s="218">
        <f>IFERROR(SUM(DATA[[#This Row],[fs_fd_ttd]:[fend_fenf_ttd]]),0)</f>
        <v>4</v>
      </c>
      <c r="BL145" s="20" t="str">
        <f>IF(DATA[[#This Row],[fecha_fs]]&gt;0,TEXT(DATA[[#This Row],[fecha_fs]],"YYYY"),0)</f>
        <v>2025</v>
      </c>
      <c r="BM145" s="221" t="b">
        <v>1</v>
      </c>
      <c r="BN145" s="278">
        <f>COUNTIF(DATA[[#This Row],[tiempo_td]], "&lt;=15")</f>
        <v>1</v>
      </c>
      <c r="BO145" s="222"/>
    </row>
    <row r="146" spans="1:67" ht="30.6" customHeight="1" x14ac:dyDescent="0.25">
      <c r="A146" s="4">
        <v>20100192064</v>
      </c>
      <c r="B146" s="5" t="s">
        <v>60</v>
      </c>
      <c r="C146" s="52" t="s">
        <v>64</v>
      </c>
      <c r="D146" s="4" t="s">
        <v>112</v>
      </c>
      <c r="E146" s="5" t="s">
        <v>1</v>
      </c>
      <c r="F146" s="24">
        <v>45691</v>
      </c>
      <c r="G146" s="7" t="s">
        <v>113</v>
      </c>
      <c r="H146" s="25">
        <f t="shared" si="15"/>
        <v>1</v>
      </c>
      <c r="I146" s="67">
        <v>4047</v>
      </c>
      <c r="J146" s="8" t="s">
        <v>115</v>
      </c>
      <c r="K146" s="9" t="s">
        <v>136</v>
      </c>
      <c r="L146" s="10" t="s">
        <v>137</v>
      </c>
      <c r="M146" s="11">
        <v>22</v>
      </c>
      <c r="N146" s="12" t="s">
        <v>188</v>
      </c>
      <c r="O146" s="6">
        <v>45714</v>
      </c>
      <c r="P146" s="71">
        <v>3316</v>
      </c>
      <c r="Q146" s="14" t="s">
        <v>123</v>
      </c>
      <c r="R146" s="15">
        <f>DATA[[#This Row],[cantidad_fs]]*33.34</f>
        <v>733.48</v>
      </c>
      <c r="S146" s="15"/>
      <c r="T146" s="15">
        <f>DATA[[#This Row],[C. DF]]+DATA[[#This Row],[C.OPE.]]</f>
        <v>733.48</v>
      </c>
      <c r="U146" s="15">
        <f>DATA[[#This Row],[SUB TOTAL]]*0.18</f>
        <v>132.0264</v>
      </c>
      <c r="V146" s="15">
        <f>IFERROR(ROUND(DATA[[#This Row],[SUB TOTAL]]+DATA[[#This Row],[IGV]],2),0)</f>
        <v>865.51</v>
      </c>
      <c r="W146" s="16" t="str">
        <f>IF(DATA[[#This Row],[VALORIZACIÓN ]]="-","NO CORRESPONDE",IF(OR(A146=20558226979,A146=10470707866,A146=20111157058,A146=20100226902),"NO CORRESPONDE",IF(J146="Emitida",IF(P146&gt;0,"EMITIDA","PENDIENTE"),"NO CORRESPONDE")))</f>
        <v>EMITIDA</v>
      </c>
      <c r="X146" s="29"/>
      <c r="Y146" s="17" t="s">
        <v>118</v>
      </c>
      <c r="Z146" s="30">
        <v>45716</v>
      </c>
      <c r="AA146" s="10" t="s">
        <v>124</v>
      </c>
      <c r="AB146" s="19">
        <v>579</v>
      </c>
      <c r="AC146" s="20">
        <v>30</v>
      </c>
      <c r="AD146" s="18">
        <f>DATA[[#This Row],[FECHA DE EMISION]]+DATA[[#This Row],[CONDICION DE PAGO]]</f>
        <v>45746</v>
      </c>
      <c r="AE146" s="23" t="e">
        <f>IF(DATA[[#This Row],[MONEDA]]="USD",VLOOKUP(DATA[[#This Row],[COMBINADA]],#REF!,11,0),1)</f>
        <v>#REF!</v>
      </c>
      <c r="AF146" s="39" t="str">
        <f>IF(DATA[[#This Row],[SERIE2]]="-","NO CORRESPONDE",IF(W146="NO CORRESPONDE","NO CORRESPONDE",IF(Z146&gt;0,"FACTURADO","PENDIENTE")))</f>
        <v>FACTURADO</v>
      </c>
      <c r="AG146" s="27">
        <f>IFERROR(VLOOKUP(DATA[[#This Row],[COMBINADA]],#REF!,6,0),0)</f>
        <v>0</v>
      </c>
      <c r="AH146" s="125">
        <f>IFERROR(VLOOKUP(DATA[[#This Row],[COMBINADA]],#REF!,9,0),0)/COUNTIFS(DATA[COMBINADA],DATA[[#This Row],[COMBINADA]])</f>
        <v>0</v>
      </c>
      <c r="AI146" s="27">
        <f>IFERROR(VLOOKUP(DATA[[#This Row],[COMBINADA]],#REF!,6,0),0)</f>
        <v>0</v>
      </c>
      <c r="AJ146" s="125">
        <f>IFERROR(VLOOKUP(DATA[[#This Row],[COMBINADA]],#REF!,9,0),0)/COUNTIFS(DATA[COMBINADA],DATA[[#This Row],[COMBINADA]])</f>
        <v>0</v>
      </c>
      <c r="AK146" s="27">
        <f>IFERROR(VLOOKUP(DATA[[#This Row],[COMBINADA]],#REF!,6,0),0)</f>
        <v>0</v>
      </c>
      <c r="AL146" s="125">
        <f>IFERROR(VLOOKUP(DATA[[#This Row],[COMBINADA]],#REF!,9,0),0)/COUNTIFS(DATA[COMBINADA],DATA[[#This Row],[COMBINADA]])</f>
        <v>0</v>
      </c>
      <c r="AM146" s="27">
        <f>IFERROR(VLOOKUP(DATA[[#This Row],[COMBINADA]],#REF!,6,0),0)</f>
        <v>0</v>
      </c>
      <c r="AN146" s="125">
        <f>IFERROR(VLOOKUP(DATA[[#This Row],[COMBINADA]],#REF!,9,0),0)/COUNTIFS(DATA[COMBINADA],DATA[[#This Row],[COMBINADA]])</f>
        <v>0</v>
      </c>
      <c r="AO146" s="27">
        <f>IFERROR(VLOOKUP(DATA[[#This Row],[COMBINADA]],#REF!,6,0),0)</f>
        <v>0</v>
      </c>
      <c r="AP146" s="125">
        <f>IFERROR(VLOOKUP(DATA[[#This Row],[COMBINADA]],#REF!,9,0),0)/COUNTIFS(DATA[COMBINADA],DATA[[#This Row],[COMBINADA]])</f>
        <v>0</v>
      </c>
      <c r="AQ14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603.34285714285716</v>
      </c>
      <c r="AR146" s="26" t="str">
        <f>IFERROR(IF(DATA[[#This Row],[estado_fact]]="FACTURADO",VLOOKUP(DATA[[#This Row],[SERIE2]]&amp;"-"&amp;DATA[[#This Row],[NUMERO]],#REF!,34,0),"NO CORRESPONDE"),"NO CORRESPONDE")</f>
        <v>NO CORRESPONDE</v>
      </c>
      <c r="AS146" s="22" t="str">
        <f>IF(DATA[[#This Row],[fecha_fs]]&gt;0,TEXT(DATA[[#This Row],[fecha_fs]],"Mmmm"),0)</f>
        <v>Febrero</v>
      </c>
      <c r="AT146" s="22" t="str">
        <f>DATA[[#This Row],[SERIE2]]&amp;"-"&amp;DATA[[#This Row],[NUMERO]]</f>
        <v>FE01-579</v>
      </c>
      <c r="AU146" s="28" t="e">
        <f>DATA[[#This Row],[TOTAL]]*DATA[[#This Row],[T.C.]]</f>
        <v>#REF!</v>
      </c>
      <c r="AV146" s="6">
        <f>DATA[[#This Row],[FECHA DE VAL.]]</f>
        <v>45714</v>
      </c>
      <c r="AW146" s="6">
        <f>DATA[[#This Row],[FECHA DE EMISION]]</f>
        <v>45716</v>
      </c>
      <c r="AX146" s="6">
        <f>DATA[[#This Row],[F1]]</f>
        <v>0</v>
      </c>
      <c r="AY146" s="20">
        <f>IF(AV146-DATA[[#This Row],[fecha_fs]]&lt;0,0,AV146-DATA[[#This Row],[fecha_fs]])</f>
        <v>23</v>
      </c>
      <c r="AZ146" s="20">
        <f t="shared" si="16"/>
        <v>2</v>
      </c>
      <c r="BA146" s="20">
        <f t="shared" si="17"/>
        <v>0</v>
      </c>
      <c r="BB146" s="195">
        <f>IFERROR(SUM(DATA[[#This Row],[fs_val_ttf]:[fact_pago_ttf]]),0)</f>
        <v>25</v>
      </c>
      <c r="BC146" s="185">
        <v>45692</v>
      </c>
      <c r="BD146" s="185">
        <v>45751</v>
      </c>
      <c r="BE146" s="185">
        <v>45755</v>
      </c>
      <c r="BF146" s="185">
        <v>45760</v>
      </c>
      <c r="BG146" s="20">
        <f>IFERROR(IF(BC146-DATA[[#This Row],[fecha_fs]]&lt;0,0,BC146-DATA[[#This Row],[fecha_fs]]),0)</f>
        <v>1</v>
      </c>
      <c r="BH146" s="20">
        <f t="shared" si="18"/>
        <v>59</v>
      </c>
      <c r="BI146" s="20">
        <f t="shared" si="19"/>
        <v>4</v>
      </c>
      <c r="BJ146" s="20">
        <f t="shared" si="20"/>
        <v>5</v>
      </c>
      <c r="BK146" s="218">
        <f>IFERROR(SUM(DATA[[#This Row],[fs_fd_ttd]:[fend_fenf_ttd]]),0)</f>
        <v>69</v>
      </c>
      <c r="BL146" s="20" t="str">
        <f>IF(DATA[[#This Row],[fecha_fs]]&gt;0,TEXT(DATA[[#This Row],[fecha_fs]],"YYYY"),0)</f>
        <v>2025</v>
      </c>
      <c r="BM146" s="221" t="b">
        <v>1</v>
      </c>
      <c r="BN146" s="278">
        <f>COUNTIF(DATA[[#This Row],[tiempo_td]], "&lt;=15")</f>
        <v>0</v>
      </c>
      <c r="BO146" s="222"/>
    </row>
    <row r="147" spans="1:67" ht="30.6" customHeight="1" x14ac:dyDescent="0.25">
      <c r="A147" s="4">
        <v>20100192064</v>
      </c>
      <c r="B147" s="5" t="s">
        <v>60</v>
      </c>
      <c r="C147" s="52" t="s">
        <v>43</v>
      </c>
      <c r="D147" s="4" t="s">
        <v>183</v>
      </c>
      <c r="E147" s="5" t="s">
        <v>61</v>
      </c>
      <c r="F147" s="24">
        <v>45684</v>
      </c>
      <c r="G147" s="7" t="s">
        <v>113</v>
      </c>
      <c r="H147" s="25">
        <f t="shared" si="15"/>
        <v>1</v>
      </c>
      <c r="I147" s="67">
        <v>4048</v>
      </c>
      <c r="J147" s="8" t="s">
        <v>115</v>
      </c>
      <c r="K147" s="9" t="s">
        <v>184</v>
      </c>
      <c r="L147" s="10" t="s">
        <v>117</v>
      </c>
      <c r="M147" s="11">
        <v>43200</v>
      </c>
      <c r="N147" s="12" t="s">
        <v>114</v>
      </c>
      <c r="O147" s="6">
        <v>45684</v>
      </c>
      <c r="P147" s="71">
        <v>3248</v>
      </c>
      <c r="Q147" s="14" t="s">
        <v>123</v>
      </c>
      <c r="R147" s="15"/>
      <c r="S147" s="15">
        <f>(DATA[[#This Row],[cantidad_fs]]/1000)*22</f>
        <v>950.40000000000009</v>
      </c>
      <c r="T147" s="15">
        <f>DATA[[#This Row],[C. DF]]+DATA[[#This Row],[C.OPE.]]</f>
        <v>950.40000000000009</v>
      </c>
      <c r="U147" s="15">
        <f>DATA[[#This Row],[SUB TOTAL]]*0.18</f>
        <v>171.072</v>
      </c>
      <c r="V147" s="15">
        <f>IFERROR(ROUND(DATA[[#This Row],[SUB TOTAL]]+DATA[[#This Row],[IGV]],2),0)</f>
        <v>1121.47</v>
      </c>
      <c r="W147" s="16" t="str">
        <f>IF(DATA[[#This Row],[VALORIZACIÓN ]]="-","NO CORRESPONDE",IF(OR(A147=20558226979,A147=10470707866,A147=20111157058,A147=20100226902),"NO CORRESPONDE",IF(J147="Emitida",IF(P147&gt;0,"EMITIDA","PENDIENTE"),"NO CORRESPONDE")))</f>
        <v>EMITIDA</v>
      </c>
      <c r="X147" s="29"/>
      <c r="Y147" s="17" t="s">
        <v>118</v>
      </c>
      <c r="Z147" s="30">
        <v>45687</v>
      </c>
      <c r="AA147" s="10" t="s">
        <v>124</v>
      </c>
      <c r="AB147" s="19">
        <v>534</v>
      </c>
      <c r="AC147" s="20">
        <v>30</v>
      </c>
      <c r="AD147" s="18">
        <f>DATA[[#This Row],[FECHA DE EMISION]]+DATA[[#This Row],[CONDICION DE PAGO]]</f>
        <v>45717</v>
      </c>
      <c r="AE147" s="23" t="e">
        <f>IF(DATA[[#This Row],[MONEDA]]="USD",VLOOKUP(DATA[[#This Row],[COMBINADA]],#REF!,11,0),1)</f>
        <v>#REF!</v>
      </c>
      <c r="AF147" s="39" t="str">
        <f>IF(DATA[[#This Row],[SERIE2]]="-","NO CORRESPONDE",IF(W147="NO CORRESPONDE","NO CORRESPONDE",IF(Z147&gt;0,"FACTURADO","PENDIENTE")))</f>
        <v>FACTURADO</v>
      </c>
      <c r="AG147" s="27">
        <f>IFERROR(VLOOKUP(DATA[[#This Row],[COMBINADA]],#REF!,6,0),0)</f>
        <v>0</v>
      </c>
      <c r="AH147" s="125">
        <f>IFERROR(VLOOKUP(DATA[[#This Row],[COMBINADA]],#REF!,9,0),0)/COUNTIFS(DATA[COMBINADA],DATA[[#This Row],[COMBINADA]])</f>
        <v>0</v>
      </c>
      <c r="AI147" s="27">
        <f>IFERROR(VLOOKUP(DATA[[#This Row],[COMBINADA]],#REF!,6,0),0)</f>
        <v>0</v>
      </c>
      <c r="AJ147" s="125">
        <f>IFERROR(VLOOKUP(DATA[[#This Row],[COMBINADA]],#REF!,9,0),0)/COUNTIFS(DATA[COMBINADA],DATA[[#This Row],[COMBINADA]])</f>
        <v>0</v>
      </c>
      <c r="AK147" s="27">
        <f>IFERROR(VLOOKUP(DATA[[#This Row],[COMBINADA]],#REF!,6,0),0)</f>
        <v>0</v>
      </c>
      <c r="AL147" s="125">
        <f>IFERROR(VLOOKUP(DATA[[#This Row],[COMBINADA]],#REF!,9,0),0)/COUNTIFS(DATA[COMBINADA],DATA[[#This Row],[COMBINADA]])</f>
        <v>0</v>
      </c>
      <c r="AM147" s="27">
        <f>IFERROR(VLOOKUP(DATA[[#This Row],[COMBINADA]],#REF!,6,0),0)</f>
        <v>0</v>
      </c>
      <c r="AN147" s="125">
        <f>IFERROR(VLOOKUP(DATA[[#This Row],[COMBINADA]],#REF!,9,0),0)/COUNTIFS(DATA[COMBINADA],DATA[[#This Row],[COMBINADA]])</f>
        <v>0</v>
      </c>
      <c r="AO147" s="27">
        <f>IFERROR(VLOOKUP(DATA[[#This Row],[COMBINADA]],#REF!,6,0),0)</f>
        <v>0</v>
      </c>
      <c r="AP147" s="125">
        <f>IFERROR(VLOOKUP(DATA[[#This Row],[COMBINADA]],#REF!,9,0),0)/COUNTIFS(DATA[COMBINADA],DATA[[#This Row],[COMBINADA]])</f>
        <v>0</v>
      </c>
      <c r="AQ14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575.62384615384622</v>
      </c>
      <c r="AR147" s="26" t="str">
        <f>IFERROR(IF(DATA[[#This Row],[estado_fact]]="FACTURADO",VLOOKUP(DATA[[#This Row],[SERIE2]]&amp;"-"&amp;DATA[[#This Row],[NUMERO]],#REF!,34,0),"NO CORRESPONDE"),"NO CORRESPONDE")</f>
        <v>NO CORRESPONDE</v>
      </c>
      <c r="AS147" s="22" t="str">
        <f>IF(DATA[[#This Row],[fecha_fs]]&gt;0,TEXT(DATA[[#This Row],[fecha_fs]],"Mmmm"),0)</f>
        <v>Enero</v>
      </c>
      <c r="AT147" s="22" t="str">
        <f>DATA[[#This Row],[SERIE2]]&amp;"-"&amp;DATA[[#This Row],[NUMERO]]</f>
        <v>FE01-534</v>
      </c>
      <c r="AU147" s="28" t="e">
        <f>DATA[[#This Row],[TOTAL]]*DATA[[#This Row],[T.C.]]</f>
        <v>#REF!</v>
      </c>
      <c r="AV147" s="6">
        <f>DATA[[#This Row],[FECHA DE VAL.]]</f>
        <v>45684</v>
      </c>
      <c r="AW147" s="6">
        <f>DATA[[#This Row],[FECHA DE EMISION]]</f>
        <v>45687</v>
      </c>
      <c r="AX147" s="6">
        <f>DATA[[#This Row],[F1]]</f>
        <v>0</v>
      </c>
      <c r="AY147" s="20">
        <f>IF(AV147-DATA[[#This Row],[fecha_fs]]&lt;0,0,AV147-DATA[[#This Row],[fecha_fs]])</f>
        <v>0</v>
      </c>
      <c r="AZ147" s="20">
        <f t="shared" si="16"/>
        <v>3</v>
      </c>
      <c r="BA147" s="20">
        <f t="shared" si="17"/>
        <v>0</v>
      </c>
      <c r="BB147" s="195">
        <f>IFERROR(SUM(DATA[[#This Row],[fs_val_ttf]:[fact_pago_ttf]]),0)</f>
        <v>3</v>
      </c>
      <c r="BC147" s="185" t="s">
        <v>292</v>
      </c>
      <c r="BD147" s="185" t="s">
        <v>292</v>
      </c>
      <c r="BE147" s="185" t="s">
        <v>292</v>
      </c>
      <c r="BF147" s="185" t="s">
        <v>292</v>
      </c>
      <c r="BG147" s="20">
        <f>IFERROR(IF(BC147-DATA[[#This Row],[fecha_fs]]&lt;0,0,BC147-DATA[[#This Row],[fecha_fs]]),0)</f>
        <v>0</v>
      </c>
      <c r="BH147" s="20">
        <f t="shared" si="18"/>
        <v>0</v>
      </c>
      <c r="BI147" s="20">
        <f t="shared" si="19"/>
        <v>0</v>
      </c>
      <c r="BJ147" s="20">
        <f t="shared" si="20"/>
        <v>0</v>
      </c>
      <c r="BK147" s="218">
        <f>IFERROR(SUM(DATA[[#This Row],[fs_fd_ttd]:[fend_fenf_ttd]]),0)</f>
        <v>0</v>
      </c>
      <c r="BL147" s="20" t="str">
        <f>IF(DATA[[#This Row],[fecha_fs]]&gt;0,TEXT(DATA[[#This Row],[fecha_fs]],"YYYY"),0)</f>
        <v>2025</v>
      </c>
      <c r="BM147" s="221" t="b">
        <v>1</v>
      </c>
      <c r="BN147" s="278">
        <f>COUNTIF(DATA[[#This Row],[tiempo_td]], "&lt;=15")</f>
        <v>1</v>
      </c>
      <c r="BO147" s="222"/>
    </row>
    <row r="148" spans="1:67" ht="30.6" customHeight="1" x14ac:dyDescent="0.25">
      <c r="A148" s="4">
        <v>20100192064</v>
      </c>
      <c r="B148" s="5" t="s">
        <v>60</v>
      </c>
      <c r="C148" s="52" t="s">
        <v>43</v>
      </c>
      <c r="D148" s="4" t="s">
        <v>189</v>
      </c>
      <c r="E148" s="5" t="s">
        <v>62</v>
      </c>
      <c r="F148" s="24">
        <v>45684</v>
      </c>
      <c r="G148" s="7" t="s">
        <v>113</v>
      </c>
      <c r="H148" s="25">
        <f t="shared" si="15"/>
        <v>1</v>
      </c>
      <c r="I148" s="67">
        <v>4049</v>
      </c>
      <c r="J148" s="8" t="s">
        <v>115</v>
      </c>
      <c r="K148" s="9" t="s">
        <v>190</v>
      </c>
      <c r="L148" s="10" t="s">
        <v>117</v>
      </c>
      <c r="M148" s="11">
        <v>41400</v>
      </c>
      <c r="N148" s="12" t="s">
        <v>114</v>
      </c>
      <c r="O148" s="6">
        <v>45684</v>
      </c>
      <c r="P148" s="71">
        <v>3249</v>
      </c>
      <c r="Q148" s="14" t="s">
        <v>123</v>
      </c>
      <c r="R148" s="15"/>
      <c r="S148" s="15">
        <f>(DATA[[#This Row],[cantidad_fs]]/1000)*17</f>
        <v>703.8</v>
      </c>
      <c r="T148" s="15">
        <f>DATA[[#This Row],[C. DF]]+DATA[[#This Row],[C.OPE.]]</f>
        <v>703.8</v>
      </c>
      <c r="U148" s="15">
        <f>DATA[[#This Row],[SUB TOTAL]]*0.18</f>
        <v>126.68399999999998</v>
      </c>
      <c r="V148" s="15">
        <f>IFERROR(ROUND(DATA[[#This Row],[SUB TOTAL]]+DATA[[#This Row],[IGV]],2),0)</f>
        <v>830.48</v>
      </c>
      <c r="W148" s="16" t="str">
        <f>IF(DATA[[#This Row],[VALORIZACIÓN ]]="-","NO CORRESPONDE",IF(OR(A148=20558226979,A148=10470707866,A148=20111157058,A148=20100226902),"NO CORRESPONDE",IF(J148="Emitida",IF(P148&gt;0,"EMITIDA","PENDIENTE"),"NO CORRESPONDE")))</f>
        <v>EMITIDA</v>
      </c>
      <c r="X148" s="29"/>
      <c r="Y148" s="17" t="s">
        <v>118</v>
      </c>
      <c r="Z148" s="30">
        <v>45687</v>
      </c>
      <c r="AA148" s="10" t="s">
        <v>124</v>
      </c>
      <c r="AB148" s="19">
        <v>534</v>
      </c>
      <c r="AC148" s="20">
        <v>30</v>
      </c>
      <c r="AD148" s="18">
        <f>DATA[[#This Row],[FECHA DE EMISION]]+DATA[[#This Row],[CONDICION DE PAGO]]</f>
        <v>45717</v>
      </c>
      <c r="AE148" s="23" t="e">
        <f>IF(DATA[[#This Row],[MONEDA]]="USD",VLOOKUP(DATA[[#This Row],[COMBINADA]],#REF!,11,0),1)</f>
        <v>#REF!</v>
      </c>
      <c r="AF148" s="39" t="str">
        <f>IF(DATA[[#This Row],[SERIE2]]="-","NO CORRESPONDE",IF(W148="NO CORRESPONDE","NO CORRESPONDE",IF(Z148&gt;0,"FACTURADO","PENDIENTE")))</f>
        <v>FACTURADO</v>
      </c>
      <c r="AG148" s="27">
        <f>IFERROR(VLOOKUP(DATA[[#This Row],[COMBINADA]],#REF!,6,0),0)</f>
        <v>0</v>
      </c>
      <c r="AH148" s="125">
        <f>IFERROR(VLOOKUP(DATA[[#This Row],[COMBINADA]],#REF!,9,0),0)/COUNTIFS(DATA[COMBINADA],DATA[[#This Row],[COMBINADA]])</f>
        <v>0</v>
      </c>
      <c r="AI148" s="27">
        <f>IFERROR(VLOOKUP(DATA[[#This Row],[COMBINADA]],#REF!,6,0),0)</f>
        <v>0</v>
      </c>
      <c r="AJ148" s="125">
        <f>IFERROR(VLOOKUP(DATA[[#This Row],[COMBINADA]],#REF!,9,0),0)/COUNTIFS(DATA[COMBINADA],DATA[[#This Row],[COMBINADA]])</f>
        <v>0</v>
      </c>
      <c r="AK148" s="27">
        <f>IFERROR(VLOOKUP(DATA[[#This Row],[COMBINADA]],#REF!,6,0),0)</f>
        <v>0</v>
      </c>
      <c r="AL148" s="125">
        <f>IFERROR(VLOOKUP(DATA[[#This Row],[COMBINADA]],#REF!,9,0),0)/COUNTIFS(DATA[COMBINADA],DATA[[#This Row],[COMBINADA]])</f>
        <v>0</v>
      </c>
      <c r="AM148" s="27">
        <f>IFERROR(VLOOKUP(DATA[[#This Row],[COMBINADA]],#REF!,6,0),0)</f>
        <v>0</v>
      </c>
      <c r="AN148" s="125">
        <f>IFERROR(VLOOKUP(DATA[[#This Row],[COMBINADA]],#REF!,9,0),0)/COUNTIFS(DATA[COMBINADA],DATA[[#This Row],[COMBINADA]])</f>
        <v>0</v>
      </c>
      <c r="AO148" s="27">
        <f>IFERROR(VLOOKUP(DATA[[#This Row],[COMBINADA]],#REF!,6,0),0)</f>
        <v>0</v>
      </c>
      <c r="AP148" s="125">
        <f>IFERROR(VLOOKUP(DATA[[#This Row],[COMBINADA]],#REF!,9,0),0)/COUNTIFS(DATA[COMBINADA],DATA[[#This Row],[COMBINADA]])</f>
        <v>0</v>
      </c>
      <c r="AQ14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575.62384615384622</v>
      </c>
      <c r="AR148" s="26" t="str">
        <f>IFERROR(IF(DATA[[#This Row],[estado_fact]]="FACTURADO",VLOOKUP(DATA[[#This Row],[SERIE2]]&amp;"-"&amp;DATA[[#This Row],[NUMERO]],#REF!,34,0),"NO CORRESPONDE"),"NO CORRESPONDE")</f>
        <v>NO CORRESPONDE</v>
      </c>
      <c r="AS148" s="22" t="str">
        <f>IF(DATA[[#This Row],[fecha_fs]]&gt;0,TEXT(DATA[[#This Row],[fecha_fs]],"Mmmm"),0)</f>
        <v>Enero</v>
      </c>
      <c r="AT148" s="22" t="str">
        <f>DATA[[#This Row],[SERIE2]]&amp;"-"&amp;DATA[[#This Row],[NUMERO]]</f>
        <v>FE01-534</v>
      </c>
      <c r="AU148" s="28" t="e">
        <f>DATA[[#This Row],[TOTAL]]*DATA[[#This Row],[T.C.]]</f>
        <v>#REF!</v>
      </c>
      <c r="AV148" s="6">
        <f>DATA[[#This Row],[FECHA DE VAL.]]</f>
        <v>45684</v>
      </c>
      <c r="AW148" s="6">
        <f>DATA[[#This Row],[FECHA DE EMISION]]</f>
        <v>45687</v>
      </c>
      <c r="AX148" s="6">
        <f>DATA[[#This Row],[F1]]</f>
        <v>0</v>
      </c>
      <c r="AY148" s="20">
        <f>IF(AV148-DATA[[#This Row],[fecha_fs]]&lt;0,0,AV148-DATA[[#This Row],[fecha_fs]])</f>
        <v>0</v>
      </c>
      <c r="AZ148" s="20">
        <f t="shared" si="16"/>
        <v>3</v>
      </c>
      <c r="BA148" s="20">
        <f t="shared" si="17"/>
        <v>0</v>
      </c>
      <c r="BB148" s="195">
        <f>IFERROR(SUM(DATA[[#This Row],[fs_val_ttf]:[fact_pago_ttf]]),0)</f>
        <v>3</v>
      </c>
      <c r="BC148" s="185" t="s">
        <v>292</v>
      </c>
      <c r="BD148" s="185" t="s">
        <v>292</v>
      </c>
      <c r="BE148" s="185" t="s">
        <v>292</v>
      </c>
      <c r="BF148" s="185" t="s">
        <v>292</v>
      </c>
      <c r="BG148" s="20">
        <f>IFERROR(IF(BC148-DATA[[#This Row],[fecha_fs]]&lt;0,0,BC148-DATA[[#This Row],[fecha_fs]]),0)</f>
        <v>0</v>
      </c>
      <c r="BH148" s="20">
        <f t="shared" si="18"/>
        <v>0</v>
      </c>
      <c r="BI148" s="20">
        <f t="shared" si="19"/>
        <v>0</v>
      </c>
      <c r="BJ148" s="20">
        <f t="shared" si="20"/>
        <v>0</v>
      </c>
      <c r="BK148" s="218">
        <f>IFERROR(SUM(DATA[[#This Row],[fs_fd_ttd]:[fend_fenf_ttd]]),0)</f>
        <v>0</v>
      </c>
      <c r="BL148" s="20" t="str">
        <f>IF(DATA[[#This Row],[fecha_fs]]&gt;0,TEXT(DATA[[#This Row],[fecha_fs]],"YYYY"),0)</f>
        <v>2025</v>
      </c>
      <c r="BM148" s="221" t="b">
        <v>1</v>
      </c>
      <c r="BN148" s="278">
        <f>COUNTIF(DATA[[#This Row],[tiempo_td]], "&lt;=15")</f>
        <v>1</v>
      </c>
      <c r="BO148" s="222"/>
    </row>
    <row r="149" spans="1:67" ht="30.6" customHeight="1" x14ac:dyDescent="0.25">
      <c r="A149" s="4">
        <v>20100211115</v>
      </c>
      <c r="B149" s="5" t="s">
        <v>41</v>
      </c>
      <c r="C149" s="52" t="s">
        <v>18</v>
      </c>
      <c r="D149" s="4" t="s">
        <v>120</v>
      </c>
      <c r="E149" s="5" t="s">
        <v>3</v>
      </c>
      <c r="F149" s="24">
        <v>45686</v>
      </c>
      <c r="G149" s="7" t="s">
        <v>113</v>
      </c>
      <c r="H149" s="25">
        <f t="shared" si="15"/>
        <v>1</v>
      </c>
      <c r="I149" s="67">
        <v>4050</v>
      </c>
      <c r="J149" s="8" t="s">
        <v>115</v>
      </c>
      <c r="K149" s="9" t="s">
        <v>121</v>
      </c>
      <c r="L149" s="10" t="s">
        <v>117</v>
      </c>
      <c r="M149" s="11">
        <v>90</v>
      </c>
      <c r="N149" s="12" t="s">
        <v>125</v>
      </c>
      <c r="O149" s="6">
        <v>45716</v>
      </c>
      <c r="P149" s="115">
        <v>3326</v>
      </c>
      <c r="Q149" s="14" t="s">
        <v>85</v>
      </c>
      <c r="R149" s="15"/>
      <c r="S149" s="15">
        <f>(DATA[[#This Row],[cantidad_fs]]*4.37)</f>
        <v>393.3</v>
      </c>
      <c r="T149" s="15">
        <f>DATA[[#This Row],[C. DF]]+DATA[[#This Row],[C.OPE.]]</f>
        <v>393.3</v>
      </c>
      <c r="U149" s="15">
        <f>DATA[[#This Row],[SUB TOTAL]]*0.18</f>
        <v>70.793999999999997</v>
      </c>
      <c r="V149" s="15">
        <f>IFERROR(ROUND(DATA[[#This Row],[SUB TOTAL]]+DATA[[#This Row],[IGV]],2),0)</f>
        <v>464.09</v>
      </c>
      <c r="W149" s="16" t="str">
        <f>IF(DATA[[#This Row],[VALORIZACIÓN ]]="-","NO CORRESPONDE",IF(OR(A149=20558226979,A149=10470707866,A149=20111157058,A149=20100226902),"NO CORRESPONDE",IF(J149="Emitida",IF(P149&gt;0,"EMITIDA","PENDIENTE"),"NO CORRESPONDE")))</f>
        <v>EMITIDA</v>
      </c>
      <c r="X149" s="29" t="s">
        <v>191</v>
      </c>
      <c r="Y149" s="17" t="s">
        <v>118</v>
      </c>
      <c r="Z149" s="30">
        <v>45722</v>
      </c>
      <c r="AA149" s="10" t="s">
        <v>124</v>
      </c>
      <c r="AB149" s="19">
        <v>588</v>
      </c>
      <c r="AC149" s="20">
        <v>30</v>
      </c>
      <c r="AD149" s="18">
        <f>DATA[[#This Row],[FECHA DE EMISION]]+DATA[[#This Row],[CONDICION DE PAGO]]</f>
        <v>45752</v>
      </c>
      <c r="AE149" s="23">
        <f>IF(DATA[[#This Row],[MONEDA]]="USD",VLOOKUP(DATA[[#This Row],[COMBINADA]],#REF!,11,0),1)</f>
        <v>1</v>
      </c>
      <c r="AF149" s="39" t="str">
        <f>IF(DATA[[#This Row],[SERIE2]]="-","NO CORRESPONDE",IF(W149="NO CORRESPONDE","NO CORRESPONDE",IF(Z149&gt;0,"FACTURADO","PENDIENTE")))</f>
        <v>FACTURADO</v>
      </c>
      <c r="AG149" s="27">
        <f>IFERROR(VLOOKUP(DATA[[#This Row],[COMBINADA]],#REF!,6,0),0)</f>
        <v>0</v>
      </c>
      <c r="AH149" s="125">
        <f>IFERROR(VLOOKUP(DATA[[#This Row],[COMBINADA]],#REF!,9,0),0)/COUNTIFS(DATA[COMBINADA],DATA[[#This Row],[COMBINADA]])</f>
        <v>0</v>
      </c>
      <c r="AI149" s="27">
        <f>IFERROR(VLOOKUP(DATA[[#This Row],[COMBINADA]],#REF!,6,0),0)</f>
        <v>0</v>
      </c>
      <c r="AJ149" s="125">
        <f>IFERROR(VLOOKUP(DATA[[#This Row],[COMBINADA]],#REF!,9,0),0)/COUNTIFS(DATA[COMBINADA],DATA[[#This Row],[COMBINADA]])</f>
        <v>0</v>
      </c>
      <c r="AK149" s="27">
        <f>IFERROR(VLOOKUP(DATA[[#This Row],[COMBINADA]],#REF!,6,0),0)</f>
        <v>0</v>
      </c>
      <c r="AL149" s="125">
        <f>IFERROR(VLOOKUP(DATA[[#This Row],[COMBINADA]],#REF!,9,0),0)/COUNTIFS(DATA[COMBINADA],DATA[[#This Row],[COMBINADA]])</f>
        <v>0</v>
      </c>
      <c r="AM149" s="27">
        <f>IFERROR(VLOOKUP(DATA[[#This Row],[COMBINADA]],#REF!,6,0),0)</f>
        <v>0</v>
      </c>
      <c r="AN149" s="125">
        <f>IFERROR(VLOOKUP(DATA[[#This Row],[COMBINADA]],#REF!,9,0),0)/COUNTIFS(DATA[COMBINADA],DATA[[#This Row],[COMBINADA]])</f>
        <v>0</v>
      </c>
      <c r="AO149" s="27">
        <f>IFERROR(VLOOKUP(DATA[[#This Row],[COMBINADA]],#REF!,6,0),0)</f>
        <v>0</v>
      </c>
      <c r="AP149" s="125">
        <f>IFERROR(VLOOKUP(DATA[[#This Row],[COMBINADA]],#REF!,9,0),0)/COUNTIFS(DATA[COMBINADA],DATA[[#This Row],[COMBINADA]])</f>
        <v>0</v>
      </c>
      <c r="AQ14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149" s="26" t="str">
        <f>IFERROR(IF(DATA[[#This Row],[estado_fact]]="FACTURADO",VLOOKUP(DATA[[#This Row],[SERIE2]]&amp;"-"&amp;DATA[[#This Row],[NUMERO]],#REF!,34,0),"NO CORRESPONDE"),"NO CORRESPONDE")</f>
        <v>NO CORRESPONDE</v>
      </c>
      <c r="AS149" s="22" t="str">
        <f>IF(DATA[[#This Row],[fecha_fs]]&gt;0,TEXT(DATA[[#This Row],[fecha_fs]],"Mmmm"),0)</f>
        <v>Enero</v>
      </c>
      <c r="AT149" s="22" t="str">
        <f>DATA[[#This Row],[SERIE2]]&amp;"-"&amp;DATA[[#This Row],[NUMERO]]</f>
        <v>FE01-588</v>
      </c>
      <c r="AU149" s="28">
        <f>DATA[[#This Row],[TOTAL]]*DATA[[#This Row],[T.C.]]</f>
        <v>464.09</v>
      </c>
      <c r="AV149" s="6">
        <f>DATA[[#This Row],[FECHA DE VAL.]]</f>
        <v>45716</v>
      </c>
      <c r="AW149" s="6">
        <f>DATA[[#This Row],[FECHA DE EMISION]]</f>
        <v>45722</v>
      </c>
      <c r="AX149" s="6">
        <f>DATA[[#This Row],[F1]]</f>
        <v>0</v>
      </c>
      <c r="AY149" s="20">
        <f>IF(AV149-DATA[[#This Row],[fecha_fs]]&lt;0,0,AV149-DATA[[#This Row],[fecha_fs]])</f>
        <v>30</v>
      </c>
      <c r="AZ149" s="20">
        <f t="shared" si="16"/>
        <v>6</v>
      </c>
      <c r="BA149" s="20">
        <f t="shared" si="17"/>
        <v>0</v>
      </c>
      <c r="BB149" s="195">
        <f>IFERROR(SUM(DATA[[#This Row],[fs_val_ttf]:[fact_pago_ttf]]),0)</f>
        <v>36</v>
      </c>
      <c r="BC149" s="185">
        <v>45729</v>
      </c>
      <c r="BD149" s="185">
        <v>45735</v>
      </c>
      <c r="BE149" s="185">
        <v>45740</v>
      </c>
      <c r="BF149" s="185">
        <v>45749</v>
      </c>
      <c r="BG149" s="20">
        <f>IFERROR(IF(BC149-DATA[[#This Row],[fecha_fs]]&lt;0,0,BC149-DATA[[#This Row],[fecha_fs]]),0)</f>
        <v>43</v>
      </c>
      <c r="BH149" s="20">
        <f t="shared" si="18"/>
        <v>6</v>
      </c>
      <c r="BI149" s="20">
        <f t="shared" si="19"/>
        <v>5</v>
      </c>
      <c r="BJ149" s="20">
        <f t="shared" si="20"/>
        <v>9</v>
      </c>
      <c r="BK149" s="218">
        <f>IFERROR(SUM(DATA[[#This Row],[fs_fd_ttd]:[fend_fenf_ttd]]),0)</f>
        <v>63</v>
      </c>
      <c r="BL149" s="20" t="str">
        <f>IF(DATA[[#This Row],[fecha_fs]]&gt;0,TEXT(DATA[[#This Row],[fecha_fs]],"YYYY"),0)</f>
        <v>2025</v>
      </c>
      <c r="BM149" s="221" t="b">
        <v>1</v>
      </c>
      <c r="BN149" s="278">
        <f>COUNTIF(DATA[[#This Row],[tiempo_td]], "&lt;=15")</f>
        <v>0</v>
      </c>
      <c r="BO149" s="222"/>
    </row>
    <row r="150" spans="1:67" ht="30.6" customHeight="1" x14ac:dyDescent="0.25">
      <c r="A150" s="4">
        <v>20100235138</v>
      </c>
      <c r="B150" s="5" t="s">
        <v>58</v>
      </c>
      <c r="C150" s="52" t="s">
        <v>18</v>
      </c>
      <c r="D150" s="4" t="s">
        <v>112</v>
      </c>
      <c r="E150" s="5" t="s">
        <v>1</v>
      </c>
      <c r="F150" s="24">
        <v>45686</v>
      </c>
      <c r="G150" s="7" t="s">
        <v>113</v>
      </c>
      <c r="H150" s="25">
        <f t="shared" si="15"/>
        <v>1</v>
      </c>
      <c r="I150" s="67">
        <v>4051</v>
      </c>
      <c r="J150" s="8" t="s">
        <v>115</v>
      </c>
      <c r="K150" s="9" t="s">
        <v>116</v>
      </c>
      <c r="L150" s="10" t="s">
        <v>117</v>
      </c>
      <c r="M150" s="11">
        <v>1240</v>
      </c>
      <c r="N150" s="12" t="s">
        <v>186</v>
      </c>
      <c r="O150" s="6">
        <v>45687</v>
      </c>
      <c r="P150" s="13">
        <v>3272</v>
      </c>
      <c r="Q150" s="14" t="s">
        <v>85</v>
      </c>
      <c r="R150" s="15">
        <f>DATA[[#This Row],[cantidad_fs]]*0.87</f>
        <v>1078.8</v>
      </c>
      <c r="S150" s="15">
        <f>749/2</f>
        <v>374.5</v>
      </c>
      <c r="T150" s="15">
        <f>DATA[[#This Row],[C. DF]]+DATA[[#This Row],[C.OPE.]]</f>
        <v>1453.3</v>
      </c>
      <c r="U150" s="15">
        <f>DATA[[#This Row],[SUB TOTAL]]*0.18</f>
        <v>261.59399999999999</v>
      </c>
      <c r="V150" s="15">
        <f>IFERROR(ROUND(DATA[[#This Row],[SUB TOTAL]]+DATA[[#This Row],[IGV]],2),0)</f>
        <v>1714.89</v>
      </c>
      <c r="W150" s="16" t="str">
        <f>IF(DATA[[#This Row],[VALORIZACIÓN ]]="-","NO CORRESPONDE",IF(OR(A150=20558226979,A150=10470707866,A150=20111157058,A150=20100226902),"NO CORRESPONDE",IF(J150="Emitida",IF(P150&gt;0,"EMITIDA","PENDIENTE"),"NO CORRESPONDE")))</f>
        <v>EMITIDA</v>
      </c>
      <c r="X150" s="29"/>
      <c r="Y150" s="17" t="s">
        <v>118</v>
      </c>
      <c r="Z150" s="30">
        <v>45691</v>
      </c>
      <c r="AA150" s="10" t="s">
        <v>124</v>
      </c>
      <c r="AB150" s="19">
        <v>543</v>
      </c>
      <c r="AC150" s="20">
        <v>15</v>
      </c>
      <c r="AD150" s="18">
        <f>DATA[[#This Row],[FECHA DE EMISION]]+DATA[[#This Row],[CONDICION DE PAGO]]</f>
        <v>45706</v>
      </c>
      <c r="AE150" s="23">
        <f>IF(DATA[[#This Row],[MONEDA]]="USD",VLOOKUP(DATA[[#This Row],[COMBINADA]],#REF!,11,0),1)</f>
        <v>1</v>
      </c>
      <c r="AF150" s="39" t="str">
        <f>IF(DATA[[#This Row],[SERIE2]]="-","NO CORRESPONDE",IF(W150="NO CORRESPONDE","NO CORRESPONDE",IF(Z150&gt;0,"FACTURADO","PENDIENTE")))</f>
        <v>FACTURADO</v>
      </c>
      <c r="AG150" s="27">
        <f>IFERROR(VLOOKUP(DATA[[#This Row],[COMBINADA]],#REF!,6,0),0)</f>
        <v>0</v>
      </c>
      <c r="AH150" s="125">
        <f>IFERROR(VLOOKUP(DATA[[#This Row],[COMBINADA]],#REF!,9,0),0)/COUNTIFS(DATA[COMBINADA],DATA[[#This Row],[COMBINADA]])</f>
        <v>0</v>
      </c>
      <c r="AI150" s="27">
        <f>IFERROR(VLOOKUP(DATA[[#This Row],[COMBINADA]],#REF!,6,0),0)</f>
        <v>0</v>
      </c>
      <c r="AJ150" s="125">
        <f>IFERROR(VLOOKUP(DATA[[#This Row],[COMBINADA]],#REF!,9,0),0)/COUNTIFS(DATA[COMBINADA],DATA[[#This Row],[COMBINADA]])</f>
        <v>0</v>
      </c>
      <c r="AK150" s="27">
        <f>IFERROR(VLOOKUP(DATA[[#This Row],[COMBINADA]],#REF!,6,0),0)</f>
        <v>0</v>
      </c>
      <c r="AL150" s="125">
        <f>IFERROR(VLOOKUP(DATA[[#This Row],[COMBINADA]],#REF!,9,0),0)/COUNTIFS(DATA[COMBINADA],DATA[[#This Row],[COMBINADA]])</f>
        <v>0</v>
      </c>
      <c r="AM150" s="27">
        <f>IFERROR(VLOOKUP(DATA[[#This Row],[COMBINADA]],#REF!,6,0),0)</f>
        <v>0</v>
      </c>
      <c r="AN150" s="125">
        <f>IFERROR(VLOOKUP(DATA[[#This Row],[COMBINADA]],#REF!,9,0),0)/COUNTIFS(DATA[COMBINADA],DATA[[#This Row],[COMBINADA]])</f>
        <v>0</v>
      </c>
      <c r="AO150" s="27">
        <f>IFERROR(VLOOKUP(DATA[[#This Row],[COMBINADA]],#REF!,6,0),0)</f>
        <v>0</v>
      </c>
      <c r="AP150" s="125">
        <f>IFERROR(VLOOKUP(DATA[[#This Row],[COMBINADA]],#REF!,9,0),0)/COUNTIFS(DATA[COMBINADA],DATA[[#This Row],[COMBINADA]])</f>
        <v>0</v>
      </c>
      <c r="AQ15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1212.33</v>
      </c>
      <c r="AR150" s="26" t="str">
        <f>IFERROR(IF(DATA[[#This Row],[estado_fact]]="FACTURADO",VLOOKUP(DATA[[#This Row],[SERIE2]]&amp;"-"&amp;DATA[[#This Row],[NUMERO]],#REF!,34,0),"NO CORRESPONDE"),"NO CORRESPONDE")</f>
        <v>NO CORRESPONDE</v>
      </c>
      <c r="AS150" s="22" t="str">
        <f>IF(DATA[[#This Row],[fecha_fs]]&gt;0,TEXT(DATA[[#This Row],[fecha_fs]],"Mmmm"),0)</f>
        <v>Enero</v>
      </c>
      <c r="AT150" s="22" t="str">
        <f>DATA[[#This Row],[SERIE2]]&amp;"-"&amp;DATA[[#This Row],[NUMERO]]</f>
        <v>FE01-543</v>
      </c>
      <c r="AU150" s="28">
        <f>DATA[[#This Row],[TOTAL]]*DATA[[#This Row],[T.C.]]</f>
        <v>1714.89</v>
      </c>
      <c r="AV150" s="6">
        <f>DATA[[#This Row],[FECHA DE VAL.]]</f>
        <v>45687</v>
      </c>
      <c r="AW150" s="6">
        <f>DATA[[#This Row],[FECHA DE EMISION]]</f>
        <v>45691</v>
      </c>
      <c r="AX150" s="6">
        <f>DATA[[#This Row],[F1]]</f>
        <v>0</v>
      </c>
      <c r="AY150" s="20">
        <f>IF(AV150-DATA[[#This Row],[fecha_fs]]&lt;0,0,AV150-DATA[[#This Row],[fecha_fs]])</f>
        <v>1</v>
      </c>
      <c r="AZ150" s="20">
        <f t="shared" si="16"/>
        <v>4</v>
      </c>
      <c r="BA150" s="20">
        <f t="shared" si="17"/>
        <v>0</v>
      </c>
      <c r="BB150" s="195">
        <f>IFERROR(SUM(DATA[[#This Row],[fs_val_ttf]:[fact_pago_ttf]]),0)</f>
        <v>5</v>
      </c>
      <c r="BC150" s="185">
        <v>45694</v>
      </c>
      <c r="BD150" s="185">
        <v>45705</v>
      </c>
      <c r="BE150" s="185">
        <v>45707</v>
      </c>
      <c r="BF150" s="185">
        <v>45714</v>
      </c>
      <c r="BG150" s="20">
        <f>IFERROR(IF(BC150-DATA[[#This Row],[fecha_fs]]&lt;0,0,BC150-DATA[[#This Row],[fecha_fs]]),0)</f>
        <v>8</v>
      </c>
      <c r="BH150" s="20">
        <f t="shared" si="18"/>
        <v>11</v>
      </c>
      <c r="BI150" s="20">
        <f t="shared" si="19"/>
        <v>2</v>
      </c>
      <c r="BJ150" s="20">
        <f t="shared" si="20"/>
        <v>7</v>
      </c>
      <c r="BK150" s="218">
        <f>IFERROR(SUM(DATA[[#This Row],[fs_fd_ttd]:[fend_fenf_ttd]]),0)</f>
        <v>28</v>
      </c>
      <c r="BL150" s="20" t="str">
        <f>IF(DATA[[#This Row],[fecha_fs]]&gt;0,TEXT(DATA[[#This Row],[fecha_fs]],"YYYY"),0)</f>
        <v>2025</v>
      </c>
      <c r="BM150" s="221" t="b">
        <v>1</v>
      </c>
      <c r="BN150" s="278">
        <f>COUNTIF(DATA[[#This Row],[tiempo_td]], "&lt;=15")</f>
        <v>0</v>
      </c>
      <c r="BO150" s="222"/>
    </row>
    <row r="151" spans="1:67" ht="30.6" customHeight="1" x14ac:dyDescent="0.25">
      <c r="A151" s="4">
        <v>20100235138</v>
      </c>
      <c r="B151" s="5" t="s">
        <v>58</v>
      </c>
      <c r="C151" s="52" t="s">
        <v>18</v>
      </c>
      <c r="D151" s="4" t="s">
        <v>120</v>
      </c>
      <c r="E151" s="5" t="s">
        <v>3</v>
      </c>
      <c r="F151" s="24">
        <v>45686</v>
      </c>
      <c r="G151" s="7" t="s">
        <v>113</v>
      </c>
      <c r="H151" s="25">
        <f t="shared" si="15"/>
        <v>1</v>
      </c>
      <c r="I151" s="67">
        <v>4052</v>
      </c>
      <c r="J151" s="8" t="s">
        <v>115</v>
      </c>
      <c r="K151" s="9" t="s">
        <v>121</v>
      </c>
      <c r="L151" s="10" t="s">
        <v>117</v>
      </c>
      <c r="M151" s="11">
        <v>26</v>
      </c>
      <c r="N151" s="12" t="s">
        <v>186</v>
      </c>
      <c r="O151" s="6">
        <v>45687</v>
      </c>
      <c r="P151" s="13">
        <v>3272</v>
      </c>
      <c r="Q151" s="14" t="s">
        <v>85</v>
      </c>
      <c r="R151" s="15">
        <v>227</v>
      </c>
      <c r="S151" s="15">
        <f>749/2</f>
        <v>374.5</v>
      </c>
      <c r="T151" s="15">
        <f>DATA[[#This Row],[C. DF]]+DATA[[#This Row],[C.OPE.]]</f>
        <v>601.5</v>
      </c>
      <c r="U151" s="15">
        <f>DATA[[#This Row],[SUB TOTAL]]*0.18</f>
        <v>108.27</v>
      </c>
      <c r="V151" s="15">
        <f>IFERROR(ROUND(DATA[[#This Row],[SUB TOTAL]]+DATA[[#This Row],[IGV]],2),0)</f>
        <v>709.77</v>
      </c>
      <c r="W151" s="16" t="str">
        <f>IF(DATA[[#This Row],[VALORIZACIÓN ]]="-","NO CORRESPONDE",IF(OR(A151=20558226979,A151=10470707866,A151=20111157058,A151=20100226902),"NO CORRESPONDE",IF(J151="Emitida",IF(P151&gt;0,"EMITIDA","PENDIENTE"),"NO CORRESPONDE")))</f>
        <v>EMITIDA</v>
      </c>
      <c r="X151" s="29"/>
      <c r="Y151" s="17" t="s">
        <v>118</v>
      </c>
      <c r="Z151" s="30">
        <v>45691</v>
      </c>
      <c r="AA151" s="10" t="s">
        <v>124</v>
      </c>
      <c r="AB151" s="19">
        <v>543</v>
      </c>
      <c r="AC151" s="20">
        <v>15</v>
      </c>
      <c r="AD151" s="18">
        <f>DATA[[#This Row],[FECHA DE EMISION]]+DATA[[#This Row],[CONDICION DE PAGO]]</f>
        <v>45706</v>
      </c>
      <c r="AE151" s="23">
        <f>IF(DATA[[#This Row],[MONEDA]]="USD",VLOOKUP(DATA[[#This Row],[COMBINADA]],#REF!,11,0),1)</f>
        <v>1</v>
      </c>
      <c r="AF151" s="39" t="str">
        <f>IF(DATA[[#This Row],[SERIE2]]="-","NO CORRESPONDE",IF(W151="NO CORRESPONDE","NO CORRESPONDE",IF(Z151&gt;0,"FACTURADO","PENDIENTE")))</f>
        <v>FACTURADO</v>
      </c>
      <c r="AG151" s="27">
        <f>IFERROR(VLOOKUP(DATA[[#This Row],[COMBINADA]],#REF!,6,0),0)</f>
        <v>0</v>
      </c>
      <c r="AH151" s="125">
        <f>IFERROR(VLOOKUP(DATA[[#This Row],[COMBINADA]],#REF!,9,0),0)/COUNTIFS(DATA[COMBINADA],DATA[[#This Row],[COMBINADA]])</f>
        <v>0</v>
      </c>
      <c r="AI151" s="27">
        <f>IFERROR(VLOOKUP(DATA[[#This Row],[COMBINADA]],#REF!,6,0),0)</f>
        <v>0</v>
      </c>
      <c r="AJ151" s="125">
        <f>IFERROR(VLOOKUP(DATA[[#This Row],[COMBINADA]],#REF!,9,0),0)/COUNTIFS(DATA[COMBINADA],DATA[[#This Row],[COMBINADA]])</f>
        <v>0</v>
      </c>
      <c r="AK151" s="27">
        <f>IFERROR(VLOOKUP(DATA[[#This Row],[COMBINADA]],#REF!,6,0),0)</f>
        <v>0</v>
      </c>
      <c r="AL151" s="125">
        <f>IFERROR(VLOOKUP(DATA[[#This Row],[COMBINADA]],#REF!,9,0),0)/COUNTIFS(DATA[COMBINADA],DATA[[#This Row],[COMBINADA]])</f>
        <v>0</v>
      </c>
      <c r="AM151" s="27">
        <f>IFERROR(VLOOKUP(DATA[[#This Row],[COMBINADA]],#REF!,6,0),0)</f>
        <v>0</v>
      </c>
      <c r="AN151" s="125">
        <f>IFERROR(VLOOKUP(DATA[[#This Row],[COMBINADA]],#REF!,9,0),0)/COUNTIFS(DATA[COMBINADA],DATA[[#This Row],[COMBINADA]])</f>
        <v>0</v>
      </c>
      <c r="AO151" s="27">
        <f>IFERROR(VLOOKUP(DATA[[#This Row],[COMBINADA]],#REF!,6,0),0)</f>
        <v>0</v>
      </c>
      <c r="AP151" s="125">
        <f>IFERROR(VLOOKUP(DATA[[#This Row],[COMBINADA]],#REF!,9,0),0)/COUNTIFS(DATA[COMBINADA],DATA[[#This Row],[COMBINADA]])</f>
        <v>0</v>
      </c>
      <c r="AQ15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1212.33</v>
      </c>
      <c r="AR151" s="26" t="str">
        <f>IFERROR(IF(DATA[[#This Row],[estado_fact]]="FACTURADO",VLOOKUP(DATA[[#This Row],[SERIE2]]&amp;"-"&amp;DATA[[#This Row],[NUMERO]],#REF!,34,0),"NO CORRESPONDE"),"NO CORRESPONDE")</f>
        <v>NO CORRESPONDE</v>
      </c>
      <c r="AS151" s="22" t="str">
        <f>IF(DATA[[#This Row],[fecha_fs]]&gt;0,TEXT(DATA[[#This Row],[fecha_fs]],"Mmmm"),0)</f>
        <v>Enero</v>
      </c>
      <c r="AT151" s="22" t="str">
        <f>DATA[[#This Row],[SERIE2]]&amp;"-"&amp;DATA[[#This Row],[NUMERO]]</f>
        <v>FE01-543</v>
      </c>
      <c r="AU151" s="28">
        <f>DATA[[#This Row],[TOTAL]]*DATA[[#This Row],[T.C.]]</f>
        <v>709.77</v>
      </c>
      <c r="AV151" s="6">
        <f>DATA[[#This Row],[FECHA DE VAL.]]</f>
        <v>45687</v>
      </c>
      <c r="AW151" s="6">
        <f>DATA[[#This Row],[FECHA DE EMISION]]</f>
        <v>45691</v>
      </c>
      <c r="AX151" s="6">
        <f>DATA[[#This Row],[F1]]</f>
        <v>0</v>
      </c>
      <c r="AY151" s="20">
        <f>IF(AV151-DATA[[#This Row],[fecha_fs]]&lt;0,0,AV151-DATA[[#This Row],[fecha_fs]])</f>
        <v>1</v>
      </c>
      <c r="AZ151" s="20">
        <f t="shared" si="16"/>
        <v>4</v>
      </c>
      <c r="BA151" s="20">
        <f t="shared" si="17"/>
        <v>0</v>
      </c>
      <c r="BB151" s="195">
        <f>IFERROR(SUM(DATA[[#This Row],[fs_val_ttf]:[fact_pago_ttf]]),0)</f>
        <v>5</v>
      </c>
      <c r="BC151" s="185">
        <v>45698</v>
      </c>
      <c r="BD151" s="185">
        <v>45707</v>
      </c>
      <c r="BE151" s="185">
        <v>45712</v>
      </c>
      <c r="BF151" s="185">
        <v>45714</v>
      </c>
      <c r="BG151" s="20">
        <f>IFERROR(IF(BC151-DATA[[#This Row],[fecha_fs]]&lt;0,0,BC151-DATA[[#This Row],[fecha_fs]]),0)</f>
        <v>12</v>
      </c>
      <c r="BH151" s="20">
        <f t="shared" si="18"/>
        <v>9</v>
      </c>
      <c r="BI151" s="20">
        <f t="shared" si="19"/>
        <v>5</v>
      </c>
      <c r="BJ151" s="20">
        <f t="shared" si="20"/>
        <v>2</v>
      </c>
      <c r="BK151" s="218">
        <f>IFERROR(SUM(DATA[[#This Row],[fs_fd_ttd]:[fend_fenf_ttd]]),0)</f>
        <v>28</v>
      </c>
      <c r="BL151" s="20" t="str">
        <f>IF(DATA[[#This Row],[fecha_fs]]&gt;0,TEXT(DATA[[#This Row],[fecha_fs]],"YYYY"),0)</f>
        <v>2025</v>
      </c>
      <c r="BM151" s="221" t="b">
        <v>1</v>
      </c>
      <c r="BN151" s="278">
        <f>COUNTIF(DATA[[#This Row],[tiempo_td]], "&lt;=15")</f>
        <v>0</v>
      </c>
      <c r="BO151" s="222"/>
    </row>
    <row r="152" spans="1:67" ht="30.6" customHeight="1" x14ac:dyDescent="0.25">
      <c r="A152" s="4">
        <v>20100192064</v>
      </c>
      <c r="B152" s="5" t="s">
        <v>60</v>
      </c>
      <c r="C152" s="52" t="s">
        <v>43</v>
      </c>
      <c r="D152" s="4" t="s">
        <v>112</v>
      </c>
      <c r="E152" s="5" t="s">
        <v>1</v>
      </c>
      <c r="F152" s="24">
        <v>45691</v>
      </c>
      <c r="G152" s="7" t="s">
        <v>113</v>
      </c>
      <c r="H152" s="25">
        <f t="shared" si="15"/>
        <v>1</v>
      </c>
      <c r="I152" s="67">
        <v>4053</v>
      </c>
      <c r="J152" s="8" t="s">
        <v>115</v>
      </c>
      <c r="K152" s="9" t="s">
        <v>116</v>
      </c>
      <c r="L152" s="10" t="s">
        <v>117</v>
      </c>
      <c r="M152" s="11">
        <v>1540</v>
      </c>
      <c r="N152" s="12" t="s">
        <v>188</v>
      </c>
      <c r="O152" s="6">
        <v>45714</v>
      </c>
      <c r="P152" s="71">
        <v>3315</v>
      </c>
      <c r="Q152" s="14" t="s">
        <v>123</v>
      </c>
      <c r="R152" s="15">
        <f>(DATA[[#This Row],[cantidad_fs]]/1000)*(143+175.34)</f>
        <v>490.24360000000007</v>
      </c>
      <c r="S152" s="15">
        <v>137</v>
      </c>
      <c r="T152" s="15">
        <f>DATA[[#This Row],[C. DF]]+DATA[[#This Row],[C.OPE.]]</f>
        <v>627.24360000000001</v>
      </c>
      <c r="U152" s="15">
        <f>DATA[[#This Row],[SUB TOTAL]]*0.18</f>
        <v>112.903848</v>
      </c>
      <c r="V152" s="15">
        <f>IFERROR(ROUND(DATA[[#This Row],[SUB TOTAL]]+DATA[[#This Row],[IGV]],2),0)</f>
        <v>740.15</v>
      </c>
      <c r="W152" s="16" t="str">
        <f>IF(DATA[[#This Row],[VALORIZACIÓN ]]="-","NO CORRESPONDE",IF(OR(A152=20558226979,A152=10470707866,A152=20111157058,A152=20100226902),"NO CORRESPONDE",IF(J152="Emitida",IF(P152&gt;0,"EMITIDA","PENDIENTE"),"NO CORRESPONDE")))</f>
        <v>EMITIDA</v>
      </c>
      <c r="X152" s="29"/>
      <c r="Y152" s="17" t="s">
        <v>118</v>
      </c>
      <c r="Z152" s="30">
        <v>45716</v>
      </c>
      <c r="AA152" s="10" t="s">
        <v>124</v>
      </c>
      <c r="AB152" s="19">
        <v>579</v>
      </c>
      <c r="AC152" s="20">
        <v>30</v>
      </c>
      <c r="AD152" s="18">
        <f>DATA[[#This Row],[FECHA DE EMISION]]+DATA[[#This Row],[CONDICION DE PAGO]]</f>
        <v>45746</v>
      </c>
      <c r="AE152" s="23" t="e">
        <f>IF(DATA[[#This Row],[MONEDA]]="USD",VLOOKUP(DATA[[#This Row],[COMBINADA]],#REF!,11,0),1)</f>
        <v>#REF!</v>
      </c>
      <c r="AF152" s="39" t="str">
        <f>IF(DATA[[#This Row],[SERIE2]]="-","NO CORRESPONDE",IF(W152="NO CORRESPONDE","NO CORRESPONDE",IF(Z152&gt;0,"FACTURADO","PENDIENTE")))</f>
        <v>FACTURADO</v>
      </c>
      <c r="AG152" s="27">
        <f>IFERROR(VLOOKUP(DATA[[#This Row],[COMBINADA]],#REF!,6,0),0)</f>
        <v>0</v>
      </c>
      <c r="AH152" s="125">
        <f>IFERROR(VLOOKUP(DATA[[#This Row],[COMBINADA]],#REF!,9,0),0)/COUNTIFS(DATA[COMBINADA],DATA[[#This Row],[COMBINADA]])</f>
        <v>0</v>
      </c>
      <c r="AI152" s="27">
        <f>IFERROR(VLOOKUP(DATA[[#This Row],[COMBINADA]],#REF!,6,0),0)</f>
        <v>0</v>
      </c>
      <c r="AJ152" s="125">
        <f>IFERROR(VLOOKUP(DATA[[#This Row],[COMBINADA]],#REF!,9,0),0)/COUNTIFS(DATA[COMBINADA],DATA[[#This Row],[COMBINADA]])</f>
        <v>0</v>
      </c>
      <c r="AK152" s="27">
        <f>IFERROR(VLOOKUP(DATA[[#This Row],[COMBINADA]],#REF!,6,0),0)</f>
        <v>0</v>
      </c>
      <c r="AL152" s="125">
        <f>IFERROR(VLOOKUP(DATA[[#This Row],[COMBINADA]],#REF!,9,0),0)/COUNTIFS(DATA[COMBINADA],DATA[[#This Row],[COMBINADA]])</f>
        <v>0</v>
      </c>
      <c r="AM152" s="27">
        <f>IFERROR(VLOOKUP(DATA[[#This Row],[COMBINADA]],#REF!,6,0),0)</f>
        <v>0</v>
      </c>
      <c r="AN152" s="125">
        <f>IFERROR(VLOOKUP(DATA[[#This Row],[COMBINADA]],#REF!,9,0),0)/COUNTIFS(DATA[COMBINADA],DATA[[#This Row],[COMBINADA]])</f>
        <v>0</v>
      </c>
      <c r="AO152" s="27">
        <f>IFERROR(VLOOKUP(DATA[[#This Row],[COMBINADA]],#REF!,6,0),0)</f>
        <v>0</v>
      </c>
      <c r="AP152" s="125">
        <f>IFERROR(VLOOKUP(DATA[[#This Row],[COMBINADA]],#REF!,9,0),0)/COUNTIFS(DATA[COMBINADA],DATA[[#This Row],[COMBINADA]])</f>
        <v>0</v>
      </c>
      <c r="AQ15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603.34285714285716</v>
      </c>
      <c r="AR152" s="26" t="str">
        <f>IFERROR(IF(DATA[[#This Row],[estado_fact]]="FACTURADO",VLOOKUP(DATA[[#This Row],[SERIE2]]&amp;"-"&amp;DATA[[#This Row],[NUMERO]],#REF!,34,0),"NO CORRESPONDE"),"NO CORRESPONDE")</f>
        <v>NO CORRESPONDE</v>
      </c>
      <c r="AS152" s="22" t="str">
        <f>IF(DATA[[#This Row],[fecha_fs]]&gt;0,TEXT(DATA[[#This Row],[fecha_fs]],"Mmmm"),0)</f>
        <v>Febrero</v>
      </c>
      <c r="AT152" s="22" t="str">
        <f>DATA[[#This Row],[SERIE2]]&amp;"-"&amp;DATA[[#This Row],[NUMERO]]</f>
        <v>FE01-579</v>
      </c>
      <c r="AU152" s="28" t="e">
        <f>DATA[[#This Row],[TOTAL]]*DATA[[#This Row],[T.C.]]</f>
        <v>#REF!</v>
      </c>
      <c r="AV152" s="6">
        <f>DATA[[#This Row],[FECHA DE VAL.]]</f>
        <v>45714</v>
      </c>
      <c r="AW152" s="6">
        <f>DATA[[#This Row],[FECHA DE EMISION]]</f>
        <v>45716</v>
      </c>
      <c r="AX152" s="6">
        <f>DATA[[#This Row],[F1]]</f>
        <v>0</v>
      </c>
      <c r="AY152" s="20">
        <f>IF(AV152-DATA[[#This Row],[fecha_fs]]&lt;0,0,AV152-DATA[[#This Row],[fecha_fs]])</f>
        <v>23</v>
      </c>
      <c r="AZ152" s="20">
        <f t="shared" si="16"/>
        <v>2</v>
      </c>
      <c r="BA152" s="20">
        <f t="shared" si="17"/>
        <v>0</v>
      </c>
      <c r="BB152" s="195">
        <f>IFERROR(SUM(DATA[[#This Row],[fs_val_ttf]:[fact_pago_ttf]]),0)</f>
        <v>25</v>
      </c>
      <c r="BC152" s="185">
        <v>45694</v>
      </c>
      <c r="BD152" s="185">
        <v>45707</v>
      </c>
      <c r="BE152" s="185">
        <v>45727</v>
      </c>
      <c r="BF152" s="185">
        <v>45760</v>
      </c>
      <c r="BG152" s="20">
        <f>IFERROR(IF(BC152-DATA[[#This Row],[fecha_fs]]&lt;0,0,BC152-DATA[[#This Row],[fecha_fs]]),0)</f>
        <v>3</v>
      </c>
      <c r="BH152" s="20">
        <f t="shared" si="18"/>
        <v>13</v>
      </c>
      <c r="BI152" s="20">
        <f t="shared" si="19"/>
        <v>20</v>
      </c>
      <c r="BJ152" s="20">
        <f t="shared" si="20"/>
        <v>33</v>
      </c>
      <c r="BK152" s="218">
        <f>IFERROR(SUM(DATA[[#This Row],[fs_fd_ttd]:[fend_fenf_ttd]]),0)</f>
        <v>69</v>
      </c>
      <c r="BL152" s="20" t="str">
        <f>IF(DATA[[#This Row],[fecha_fs]]&gt;0,TEXT(DATA[[#This Row],[fecha_fs]],"YYYY"),0)</f>
        <v>2025</v>
      </c>
      <c r="BM152" s="221" t="b">
        <v>1</v>
      </c>
      <c r="BN152" s="278">
        <f>COUNTIF(DATA[[#This Row],[tiempo_td]], "&lt;=15")</f>
        <v>0</v>
      </c>
      <c r="BO152" s="222"/>
    </row>
    <row r="153" spans="1:67" ht="30.6" customHeight="1" x14ac:dyDescent="0.25">
      <c r="A153" s="4">
        <v>20454186002</v>
      </c>
      <c r="B153" s="5" t="s">
        <v>25</v>
      </c>
      <c r="C153" s="52" t="s">
        <v>26</v>
      </c>
      <c r="D153" s="4" t="s">
        <v>120</v>
      </c>
      <c r="E153" s="5" t="s">
        <v>3</v>
      </c>
      <c r="F153" s="24">
        <v>45688</v>
      </c>
      <c r="G153" s="7" t="s">
        <v>113</v>
      </c>
      <c r="H153" s="25">
        <f t="shared" si="15"/>
        <v>1</v>
      </c>
      <c r="I153" s="67">
        <v>4054</v>
      </c>
      <c r="J153" s="8" t="s">
        <v>115</v>
      </c>
      <c r="K153" s="9" t="s">
        <v>121</v>
      </c>
      <c r="L153" s="10" t="s">
        <v>117</v>
      </c>
      <c r="M153" s="11">
        <v>3800</v>
      </c>
      <c r="N153" s="12" t="s">
        <v>253</v>
      </c>
      <c r="O153" s="6">
        <v>45688</v>
      </c>
      <c r="P153" s="13">
        <v>3276</v>
      </c>
      <c r="Q153" s="14" t="s">
        <v>85</v>
      </c>
      <c r="R153" s="70">
        <f>1366+(DATA[[#This Row],[cantidad_fs]]-1500)*0.91</f>
        <v>3459</v>
      </c>
      <c r="S153" s="15"/>
      <c r="T153" s="15">
        <f>DATA[[#This Row],[C. DF]]+DATA[[#This Row],[C.OPE.]]</f>
        <v>3459</v>
      </c>
      <c r="U153" s="15">
        <f>DATA[[#This Row],[SUB TOTAL]]*0.18</f>
        <v>622.62</v>
      </c>
      <c r="V153" s="15">
        <f>IFERROR(ROUND(DATA[[#This Row],[SUB TOTAL]]+DATA[[#This Row],[IGV]],2),0)</f>
        <v>4081.62</v>
      </c>
      <c r="W153" s="16" t="str">
        <f>IF(DATA[[#This Row],[VALORIZACIÓN ]]="-","NO CORRESPONDE",IF(OR(A153=20558226979,A153=10470707866,A153=20111157058,A153=20100226902),"NO CORRESPONDE",IF(J153="Emitida",IF(P153&gt;0,"EMITIDA","PENDIENTE"),"NO CORRESPONDE")))</f>
        <v>EMITIDA</v>
      </c>
      <c r="X153" s="29"/>
      <c r="Y153" s="17" t="s">
        <v>118</v>
      </c>
      <c r="Z153" s="30">
        <v>45695</v>
      </c>
      <c r="AA153" s="10" t="s">
        <v>124</v>
      </c>
      <c r="AB153" s="19">
        <v>551</v>
      </c>
      <c r="AC153" s="20">
        <v>5</v>
      </c>
      <c r="AD153" s="18">
        <f>DATA[[#This Row],[FECHA DE EMISION]]+DATA[[#This Row],[CONDICION DE PAGO]]</f>
        <v>45700</v>
      </c>
      <c r="AE153" s="23">
        <f>IF(DATA[[#This Row],[MONEDA]]="USD",VLOOKUP(DATA[[#This Row],[COMBINADA]],#REF!,11,0),1)</f>
        <v>1</v>
      </c>
      <c r="AF153" s="39" t="str">
        <f>IF(DATA[[#This Row],[SERIE2]]="-","NO CORRESPONDE",IF(W153="NO CORRESPONDE","NO CORRESPONDE",IF(Z153&gt;0,"FACTURADO","PENDIENTE")))</f>
        <v>FACTURADO</v>
      </c>
      <c r="AG153" s="27">
        <f>IFERROR(VLOOKUP(DATA[[#This Row],[COMBINADA]],#REF!,6,0),0)</f>
        <v>0</v>
      </c>
      <c r="AH153" s="125">
        <f>IFERROR(VLOOKUP(DATA[[#This Row],[COMBINADA]],#REF!,9,0),0)/COUNTIFS(DATA[COMBINADA],DATA[[#This Row],[COMBINADA]])</f>
        <v>0</v>
      </c>
      <c r="AI153" s="27">
        <f>IFERROR(VLOOKUP(DATA[[#This Row],[COMBINADA]],#REF!,6,0),0)</f>
        <v>0</v>
      </c>
      <c r="AJ153" s="125">
        <f>IFERROR(VLOOKUP(DATA[[#This Row],[COMBINADA]],#REF!,9,0),0)/COUNTIFS(DATA[COMBINADA],DATA[[#This Row],[COMBINADA]])</f>
        <v>0</v>
      </c>
      <c r="AK153" s="27">
        <f>IFERROR(VLOOKUP(DATA[[#This Row],[COMBINADA]],#REF!,6,0),0)</f>
        <v>0</v>
      </c>
      <c r="AL153" s="125">
        <f>IFERROR(VLOOKUP(DATA[[#This Row],[COMBINADA]],#REF!,9,0),0)/COUNTIFS(DATA[COMBINADA],DATA[[#This Row],[COMBINADA]])</f>
        <v>0</v>
      </c>
      <c r="AM153" s="27">
        <f>IFERROR(VLOOKUP(DATA[[#This Row],[COMBINADA]],#REF!,6,0),0)</f>
        <v>0</v>
      </c>
      <c r="AN153" s="125">
        <f>IFERROR(VLOOKUP(DATA[[#This Row],[COMBINADA]],#REF!,9,0),0)/COUNTIFS(DATA[COMBINADA],DATA[[#This Row],[COMBINADA]])</f>
        <v>0</v>
      </c>
      <c r="AO153" s="27">
        <f>IFERROR(VLOOKUP(DATA[[#This Row],[COMBINADA]],#REF!,6,0),0)</f>
        <v>0</v>
      </c>
      <c r="AP153" s="125">
        <f>IFERROR(VLOOKUP(DATA[[#This Row],[COMBINADA]],#REF!,9,0),0)/COUNTIFS(DATA[COMBINADA],DATA[[#This Row],[COMBINADA]])</f>
        <v>0</v>
      </c>
      <c r="AQ15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4081.62</v>
      </c>
      <c r="AR153" s="26" t="str">
        <f>IFERROR(IF(DATA[[#This Row],[estado_fact]]="FACTURADO",VLOOKUP(DATA[[#This Row],[SERIE2]]&amp;"-"&amp;DATA[[#This Row],[NUMERO]],#REF!,34,0),"NO CORRESPONDE"),"NO CORRESPONDE")</f>
        <v>NO CORRESPONDE</v>
      </c>
      <c r="AS153" s="22" t="str">
        <f>IF(DATA[[#This Row],[fecha_fs]]&gt;0,TEXT(DATA[[#This Row],[fecha_fs]],"Mmmm"),0)</f>
        <v>Enero</v>
      </c>
      <c r="AT153" s="22" t="str">
        <f>DATA[[#This Row],[SERIE2]]&amp;"-"&amp;DATA[[#This Row],[NUMERO]]</f>
        <v>FE01-551</v>
      </c>
      <c r="AU153" s="28">
        <f>DATA[[#This Row],[TOTAL]]*DATA[[#This Row],[T.C.]]</f>
        <v>4081.62</v>
      </c>
      <c r="AV153" s="6">
        <f>DATA[[#This Row],[FECHA DE VAL.]]</f>
        <v>45688</v>
      </c>
      <c r="AW153" s="6">
        <f>DATA[[#This Row],[FECHA DE EMISION]]</f>
        <v>45695</v>
      </c>
      <c r="AX153" s="6">
        <f>DATA[[#This Row],[F1]]</f>
        <v>0</v>
      </c>
      <c r="AY153" s="20">
        <f>IF(AV153-DATA[[#This Row],[fecha_fs]]&lt;0,0,AV153-DATA[[#This Row],[fecha_fs]])</f>
        <v>0</v>
      </c>
      <c r="AZ153" s="20">
        <f t="shared" si="16"/>
        <v>7</v>
      </c>
      <c r="BA153" s="20">
        <f t="shared" si="17"/>
        <v>0</v>
      </c>
      <c r="BB153" s="195">
        <f>IFERROR(SUM(DATA[[#This Row],[fs_val_ttf]:[fact_pago_ttf]]),0)</f>
        <v>7</v>
      </c>
      <c r="BC153" s="185">
        <v>45691</v>
      </c>
      <c r="BD153" s="185">
        <v>45700</v>
      </c>
      <c r="BE153" s="185">
        <v>45700</v>
      </c>
      <c r="BF153" s="185">
        <v>45714</v>
      </c>
      <c r="BG153" s="20">
        <f>IFERROR(IF(BC153-DATA[[#This Row],[fecha_fs]]&lt;0,0,BC153-DATA[[#This Row],[fecha_fs]]),0)</f>
        <v>3</v>
      </c>
      <c r="BH153" s="20">
        <f t="shared" si="18"/>
        <v>9</v>
      </c>
      <c r="BI153" s="20">
        <f t="shared" si="19"/>
        <v>0</v>
      </c>
      <c r="BJ153" s="20">
        <f t="shared" si="20"/>
        <v>14</v>
      </c>
      <c r="BK153" s="218">
        <f>IFERROR(SUM(DATA[[#This Row],[fs_fd_ttd]:[fend_fenf_ttd]]),0)</f>
        <v>26</v>
      </c>
      <c r="BL153" s="20" t="str">
        <f>IF(DATA[[#This Row],[fecha_fs]]&gt;0,TEXT(DATA[[#This Row],[fecha_fs]],"YYYY"),0)</f>
        <v>2025</v>
      </c>
      <c r="BM153" s="221" t="b">
        <v>0</v>
      </c>
      <c r="BN153" s="278">
        <f>COUNTIF(DATA[[#This Row],[tiempo_td]], "&lt;=15")</f>
        <v>0</v>
      </c>
      <c r="BO153" s="222"/>
    </row>
    <row r="154" spans="1:67" ht="30" customHeight="1" x14ac:dyDescent="0.25">
      <c r="A154" s="4"/>
      <c r="B154" s="5" t="s">
        <v>0</v>
      </c>
      <c r="C154" s="52"/>
      <c r="D154" s="4"/>
      <c r="E154" s="5" t="s">
        <v>0</v>
      </c>
      <c r="F154" s="24">
        <v>45691</v>
      </c>
      <c r="G154" s="7" t="s">
        <v>113</v>
      </c>
      <c r="H154" s="25">
        <f t="shared" si="15"/>
        <v>1</v>
      </c>
      <c r="I154" s="67">
        <v>4055</v>
      </c>
      <c r="J154" s="8" t="s">
        <v>173</v>
      </c>
      <c r="K154" s="9"/>
      <c r="L154" s="10"/>
      <c r="M154" s="111"/>
      <c r="N154" s="112"/>
      <c r="O154" s="6"/>
      <c r="P154" s="13" t="s">
        <v>114</v>
      </c>
      <c r="Q154" s="14"/>
      <c r="R154" s="43"/>
      <c r="S154" s="43"/>
      <c r="T154" s="43">
        <f>DATA[[#This Row],[C. DF]]+DATA[[#This Row],[C.OPE.]]</f>
        <v>0</v>
      </c>
      <c r="U154" s="73">
        <f>DATA[[#This Row],[SUB TOTAL]]*0.18</f>
        <v>0</v>
      </c>
      <c r="V154" s="45">
        <f>IFERROR(ROUND(DATA[[#This Row],[SUB TOTAL]]+DATA[[#This Row],[IGV]],2),0)</f>
        <v>0</v>
      </c>
      <c r="W154" s="58" t="str">
        <f>IF(DATA[[#This Row],[VALORIZACIÓN ]]="-","NO CORRESPONDE",IF(OR(A154=20558226979,A154=10470707866,A154=20111157058,A154=20100226902),"NO CORRESPONDE",IF(J154="Emitida",IF(P154&gt;0,"EMITIDA","PENDIENTE"),"NO CORRESPONDE")))</f>
        <v>NO CORRESPONDE</v>
      </c>
      <c r="X154" s="46"/>
      <c r="Y154" s="17" t="s">
        <v>128</v>
      </c>
      <c r="Z154" s="48"/>
      <c r="AA154" s="49"/>
      <c r="AB154" s="50"/>
      <c r="AC154" s="51"/>
      <c r="AD154" s="59">
        <f>DATA[[#This Row],[FECHA DE EMISION]]+DATA[[#This Row],[CONDICION DE PAGO]]</f>
        <v>0</v>
      </c>
      <c r="AE154" s="23">
        <f>IF(DATA[[#This Row],[MONEDA]]="USD",VLOOKUP(DATA[[#This Row],[COMBINADA]],#REF!,11,0),1)</f>
        <v>1</v>
      </c>
      <c r="AF154" s="39" t="str">
        <f>IF(DATA[[#This Row],[SERIE2]]="-","NO CORRESPONDE",IF(W154="NO CORRESPONDE","NO CORRESPONDE",IF(Z154&gt;0,"FACTURADO","PENDIENTE")))</f>
        <v>NO CORRESPONDE</v>
      </c>
      <c r="AG154" s="61">
        <f>IFERROR(VLOOKUP(DATA[[#This Row],[COMBINADA]],#REF!,6,0),0)</f>
        <v>0</v>
      </c>
      <c r="AH154" s="62">
        <f>IFERROR(VLOOKUP(DATA[[#This Row],[COMBINADA]],#REF!,9,0),0)/COUNTIFS(DATA[COMBINADA],DATA[[#This Row],[COMBINADA]])</f>
        <v>0</v>
      </c>
      <c r="AI154" s="61">
        <f>IFERROR(VLOOKUP(DATA[[#This Row],[COMBINADA]],#REF!,6,0),0)</f>
        <v>0</v>
      </c>
      <c r="AJ154" s="62">
        <f>IFERROR(VLOOKUP(DATA[[#This Row],[COMBINADA]],#REF!,9,0),0)/COUNTIFS(DATA[COMBINADA],DATA[[#This Row],[COMBINADA]])</f>
        <v>0</v>
      </c>
      <c r="AK154" s="61">
        <f>IFERROR(VLOOKUP(DATA[[#This Row],[COMBINADA]],#REF!,6,0),0)</f>
        <v>0</v>
      </c>
      <c r="AL154" s="62">
        <f>IFERROR(VLOOKUP(DATA[[#This Row],[COMBINADA]],#REF!,9,0),0)/COUNTIFS(DATA[COMBINADA],DATA[[#This Row],[COMBINADA]])</f>
        <v>0</v>
      </c>
      <c r="AM154" s="61">
        <f>IFERROR(VLOOKUP(DATA[[#This Row],[COMBINADA]],#REF!,6,0),0)</f>
        <v>0</v>
      </c>
      <c r="AN154" s="62">
        <f>IFERROR(VLOOKUP(DATA[[#This Row],[COMBINADA]],#REF!,9,0),0)/COUNTIFS(DATA[COMBINADA],DATA[[#This Row],[COMBINADA]])</f>
        <v>0</v>
      </c>
      <c r="AO154" s="61">
        <f>IFERROR(VLOOKUP(DATA[[#This Row],[COMBINADA]],#REF!,6,0),0)</f>
        <v>0</v>
      </c>
      <c r="AP154" s="62">
        <f>IFERROR(VLOOKUP(DATA[[#This Row],[COMBINADA]],#REF!,9,0),0)/COUNTIFS(DATA[COMBINADA],DATA[[#This Row],[COMBINADA]])</f>
        <v>0</v>
      </c>
      <c r="AQ154"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54" s="22" t="str">
        <f>IFERROR(IF(DATA[[#This Row],[estado_fact]]="FACTURADO",VLOOKUP(DATA[[#This Row],[SERIE2]]&amp;"-"&amp;DATA[[#This Row],[NUMERO]],#REF!,34,0),"NO CORRESPONDE"),"NO CORRESPONDE")</f>
        <v>NO CORRESPONDE</v>
      </c>
      <c r="AS154" s="198" t="str">
        <f>IF(DATA[[#This Row],[fecha_fs]]&gt;0,TEXT(DATA[[#This Row],[fecha_fs]],"Mmmm"),0)</f>
        <v>Febrero</v>
      </c>
      <c r="AT154" s="199" t="str">
        <f>DATA[[#This Row],[SERIE2]]&amp;"-"&amp;DATA[[#This Row],[NUMERO]]</f>
        <v>-</v>
      </c>
      <c r="AU154" s="198">
        <f>DATA[[#This Row],[TOTAL]]*DATA[[#This Row],[T.C.]]</f>
        <v>0</v>
      </c>
      <c r="AV154" s="40">
        <f>DATA[[#This Row],[FECHA DE VAL.]]</f>
        <v>0</v>
      </c>
      <c r="AW154" s="40">
        <f>DATA[[#This Row],[FECHA DE EMISION]]</f>
        <v>0</v>
      </c>
      <c r="AX154" s="40">
        <f>DATA[[#This Row],[F1]]</f>
        <v>0</v>
      </c>
      <c r="AY154" s="49">
        <f>IF(AV154-DATA[[#This Row],[fecha_fs]]&lt;0,0,AV154-DATA[[#This Row],[fecha_fs]])</f>
        <v>0</v>
      </c>
      <c r="AZ154" s="49">
        <f t="shared" si="16"/>
        <v>0</v>
      </c>
      <c r="BA154" s="49">
        <f t="shared" si="17"/>
        <v>0</v>
      </c>
      <c r="BB154" s="195">
        <f>IFERROR(SUM(DATA[[#This Row],[fs_val_ttf]:[fact_pago_ttf]]),0)</f>
        <v>0</v>
      </c>
      <c r="BC154" s="200"/>
      <c r="BD154" s="200"/>
      <c r="BE154" s="200"/>
      <c r="BF154" s="200"/>
      <c r="BG154" s="49">
        <f>IFERROR(IF(BC154-DATA[[#This Row],[fecha_fs]]&lt;0,0,BC154-DATA[[#This Row],[fecha_fs]]),0)</f>
        <v>0</v>
      </c>
      <c r="BH154" s="49">
        <f t="shared" si="18"/>
        <v>0</v>
      </c>
      <c r="BI154" s="49">
        <f t="shared" si="19"/>
        <v>0</v>
      </c>
      <c r="BJ154" s="49">
        <f t="shared" si="20"/>
        <v>0</v>
      </c>
      <c r="BK154" s="218">
        <f>IFERROR(SUM(DATA[[#This Row],[fs_fd_ttd]:[fend_fenf_ttd]]),0)</f>
        <v>0</v>
      </c>
      <c r="BL154" s="20" t="str">
        <f>IF(DATA[[#This Row],[fecha_fs]]&gt;0,TEXT(DATA[[#This Row],[fecha_fs]],"YYYY"),0)</f>
        <v>2025</v>
      </c>
      <c r="BM154" s="221" t="b">
        <v>0</v>
      </c>
      <c r="BN154" s="278"/>
      <c r="BO154" s="222"/>
    </row>
    <row r="155" spans="1:67" ht="30.6" customHeight="1" x14ac:dyDescent="0.25">
      <c r="A155" s="4">
        <v>20100192064</v>
      </c>
      <c r="B155" s="5" t="s">
        <v>60</v>
      </c>
      <c r="C155" s="52" t="s">
        <v>43</v>
      </c>
      <c r="D155" s="4" t="s">
        <v>120</v>
      </c>
      <c r="E155" s="5" t="s">
        <v>3</v>
      </c>
      <c r="F155" s="24">
        <v>45691</v>
      </c>
      <c r="G155" s="7" t="s">
        <v>113</v>
      </c>
      <c r="H155" s="25">
        <f t="shared" si="15"/>
        <v>1</v>
      </c>
      <c r="I155" s="67">
        <v>4056</v>
      </c>
      <c r="J155" s="8" t="s">
        <v>115</v>
      </c>
      <c r="K155" s="9" t="s">
        <v>121</v>
      </c>
      <c r="L155" s="10" t="s">
        <v>117</v>
      </c>
      <c r="M155" s="11">
        <v>760</v>
      </c>
      <c r="N155" s="12" t="s">
        <v>122</v>
      </c>
      <c r="O155" s="6">
        <v>45714</v>
      </c>
      <c r="P155" s="71">
        <v>3314</v>
      </c>
      <c r="Q155" s="14" t="s">
        <v>123</v>
      </c>
      <c r="R155" s="15">
        <f>(DATA[[#This Row],[cantidad_fs]]/1000)*(47+174.34)</f>
        <v>168.2184</v>
      </c>
      <c r="S155" s="56">
        <v>137</v>
      </c>
      <c r="T155" s="15">
        <f>DATA[[#This Row],[C. DF]]+DATA[[#This Row],[C.OPE.]]</f>
        <v>305.21839999999997</v>
      </c>
      <c r="U155" s="15">
        <f>DATA[[#This Row],[SUB TOTAL]]*0.18</f>
        <v>54.939311999999994</v>
      </c>
      <c r="V155" s="15">
        <f>IFERROR(ROUND(DATA[[#This Row],[SUB TOTAL]]+DATA[[#This Row],[IGV]],2),0)</f>
        <v>360.16</v>
      </c>
      <c r="W155" s="16" t="str">
        <f>IF(DATA[[#This Row],[VALORIZACIÓN ]]="-","NO CORRESPONDE",IF(OR(A155=20558226979,A155=10470707866,A155=20111157058,A155=20100226902),"NO CORRESPONDE",IF(J155="Emitida",IF(P155&gt;0,"EMITIDA","PENDIENTE"),"NO CORRESPONDE")))</f>
        <v>EMITIDA</v>
      </c>
      <c r="X155" s="29"/>
      <c r="Y155" s="17" t="s">
        <v>118</v>
      </c>
      <c r="Z155" s="30">
        <v>45716</v>
      </c>
      <c r="AA155" s="10" t="s">
        <v>124</v>
      </c>
      <c r="AB155" s="19">
        <v>579</v>
      </c>
      <c r="AC155" s="20">
        <v>30</v>
      </c>
      <c r="AD155" s="18">
        <f>DATA[[#This Row],[FECHA DE EMISION]]+DATA[[#This Row],[CONDICION DE PAGO]]</f>
        <v>45746</v>
      </c>
      <c r="AE155" s="23" t="e">
        <f>IF(DATA[[#This Row],[MONEDA]]="USD",VLOOKUP(DATA[[#This Row],[COMBINADA]],#REF!,11,0),1)</f>
        <v>#REF!</v>
      </c>
      <c r="AF155" s="39" t="str">
        <f>IF(DATA[[#This Row],[SERIE2]]="-","NO CORRESPONDE",IF(W155="NO CORRESPONDE","NO CORRESPONDE",IF(Z155&gt;0,"FACTURADO","PENDIENTE")))</f>
        <v>FACTURADO</v>
      </c>
      <c r="AG155" s="27">
        <f>IFERROR(VLOOKUP(DATA[[#This Row],[COMBINADA]],#REF!,6,0),0)</f>
        <v>0</v>
      </c>
      <c r="AH155" s="125">
        <f>IFERROR(VLOOKUP(DATA[[#This Row],[COMBINADA]],#REF!,9,0),0)/COUNTIFS(DATA[COMBINADA],DATA[[#This Row],[COMBINADA]])</f>
        <v>0</v>
      </c>
      <c r="AI155" s="27">
        <f>IFERROR(VLOOKUP(DATA[[#This Row],[COMBINADA]],#REF!,6,0),0)</f>
        <v>0</v>
      </c>
      <c r="AJ155" s="125">
        <f>IFERROR(VLOOKUP(DATA[[#This Row],[COMBINADA]],#REF!,9,0),0)/COUNTIFS(DATA[COMBINADA],DATA[[#This Row],[COMBINADA]])</f>
        <v>0</v>
      </c>
      <c r="AK155" s="27">
        <f>IFERROR(VLOOKUP(DATA[[#This Row],[COMBINADA]],#REF!,6,0),0)</f>
        <v>0</v>
      </c>
      <c r="AL155" s="125">
        <f>IFERROR(VLOOKUP(DATA[[#This Row],[COMBINADA]],#REF!,9,0),0)/COUNTIFS(DATA[COMBINADA],DATA[[#This Row],[COMBINADA]])</f>
        <v>0</v>
      </c>
      <c r="AM155" s="27">
        <f>IFERROR(VLOOKUP(DATA[[#This Row],[COMBINADA]],#REF!,6,0),0)</f>
        <v>0</v>
      </c>
      <c r="AN155" s="125">
        <f>IFERROR(VLOOKUP(DATA[[#This Row],[COMBINADA]],#REF!,9,0),0)/COUNTIFS(DATA[COMBINADA],DATA[[#This Row],[COMBINADA]])</f>
        <v>0</v>
      </c>
      <c r="AO155" s="27">
        <f>IFERROR(VLOOKUP(DATA[[#This Row],[COMBINADA]],#REF!,6,0),0)</f>
        <v>0</v>
      </c>
      <c r="AP155" s="125">
        <f>IFERROR(VLOOKUP(DATA[[#This Row],[COMBINADA]],#REF!,9,0),0)/COUNTIFS(DATA[COMBINADA],DATA[[#This Row],[COMBINADA]])</f>
        <v>0</v>
      </c>
      <c r="AQ15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603.34285714285716</v>
      </c>
      <c r="AR155" s="26" t="str">
        <f>IFERROR(IF(DATA[[#This Row],[estado_fact]]="FACTURADO",VLOOKUP(DATA[[#This Row],[SERIE2]]&amp;"-"&amp;DATA[[#This Row],[NUMERO]],#REF!,34,0),"NO CORRESPONDE"),"NO CORRESPONDE")</f>
        <v>NO CORRESPONDE</v>
      </c>
      <c r="AS155" s="22" t="str">
        <f>IF(DATA[[#This Row],[fecha_fs]]&gt;0,TEXT(DATA[[#This Row],[fecha_fs]],"Mmmm"),0)</f>
        <v>Febrero</v>
      </c>
      <c r="AT155" s="22" t="str">
        <f>DATA[[#This Row],[SERIE2]]&amp;"-"&amp;DATA[[#This Row],[NUMERO]]</f>
        <v>FE01-579</v>
      </c>
      <c r="AU155" s="28" t="e">
        <f>DATA[[#This Row],[TOTAL]]*DATA[[#This Row],[T.C.]]</f>
        <v>#REF!</v>
      </c>
      <c r="AV155" s="6">
        <f>DATA[[#This Row],[FECHA DE VAL.]]</f>
        <v>45714</v>
      </c>
      <c r="AW155" s="6">
        <f>DATA[[#This Row],[FECHA DE EMISION]]</f>
        <v>45716</v>
      </c>
      <c r="AX155" s="6">
        <f>DATA[[#This Row],[F1]]</f>
        <v>0</v>
      </c>
      <c r="AY155" s="20">
        <f>IF(AV155-DATA[[#This Row],[fecha_fs]]&lt;0,0,AV155-DATA[[#This Row],[fecha_fs]])</f>
        <v>23</v>
      </c>
      <c r="AZ155" s="20">
        <f t="shared" si="16"/>
        <v>2</v>
      </c>
      <c r="BA155" s="20">
        <f t="shared" si="17"/>
        <v>0</v>
      </c>
      <c r="BB155" s="195">
        <f>IFERROR(SUM(DATA[[#This Row],[fs_val_ttf]:[fact_pago_ttf]]),0)</f>
        <v>25</v>
      </c>
      <c r="BC155" s="185">
        <v>45701</v>
      </c>
      <c r="BD155" s="185">
        <v>45705</v>
      </c>
      <c r="BE155" s="185">
        <v>45737</v>
      </c>
      <c r="BF155" s="185">
        <v>45760</v>
      </c>
      <c r="BG155" s="20">
        <f>IFERROR(IF(BC155-DATA[[#This Row],[fecha_fs]]&lt;0,0,BC155-DATA[[#This Row],[fecha_fs]]),0)</f>
        <v>10</v>
      </c>
      <c r="BH155" s="20">
        <f t="shared" si="18"/>
        <v>4</v>
      </c>
      <c r="BI155" s="20">
        <f t="shared" si="19"/>
        <v>32</v>
      </c>
      <c r="BJ155" s="20">
        <f t="shared" si="20"/>
        <v>23</v>
      </c>
      <c r="BK155" s="218">
        <f>IFERROR(SUM(DATA[[#This Row],[fs_fd_ttd]:[fend_fenf_ttd]]),0)</f>
        <v>69</v>
      </c>
      <c r="BL155" s="20" t="str">
        <f>IF(DATA[[#This Row],[fecha_fs]]&gt;0,TEXT(DATA[[#This Row],[fecha_fs]],"YYYY"),0)</f>
        <v>2025</v>
      </c>
      <c r="BM155" s="221" t="b">
        <v>1</v>
      </c>
      <c r="BN155" s="278">
        <f>COUNTIF(DATA[[#This Row],[tiempo_td]], "&lt;=15")</f>
        <v>0</v>
      </c>
      <c r="BO155" s="222"/>
    </row>
    <row r="156" spans="1:67" ht="30.6" customHeight="1" x14ac:dyDescent="0.25">
      <c r="A156" s="4">
        <v>20100211115</v>
      </c>
      <c r="B156" s="5" t="s">
        <v>41</v>
      </c>
      <c r="C156" s="52" t="s">
        <v>18</v>
      </c>
      <c r="D156" s="4" t="s">
        <v>120</v>
      </c>
      <c r="E156" s="5" t="s">
        <v>3</v>
      </c>
      <c r="F156" s="24">
        <v>45688</v>
      </c>
      <c r="G156" s="7" t="s">
        <v>113</v>
      </c>
      <c r="H156" s="25">
        <f t="shared" si="15"/>
        <v>1</v>
      </c>
      <c r="I156" s="67">
        <v>4057</v>
      </c>
      <c r="J156" s="8" t="s">
        <v>115</v>
      </c>
      <c r="K156" s="9" t="s">
        <v>121</v>
      </c>
      <c r="L156" s="10" t="s">
        <v>117</v>
      </c>
      <c r="M156" s="11">
        <v>90</v>
      </c>
      <c r="N156" s="12" t="s">
        <v>125</v>
      </c>
      <c r="O156" s="6">
        <v>45716</v>
      </c>
      <c r="P156" s="115">
        <v>3326</v>
      </c>
      <c r="Q156" s="14" t="s">
        <v>85</v>
      </c>
      <c r="R156" s="15"/>
      <c r="S156" s="56">
        <f>(DATA[[#This Row],[cantidad_fs]]*4.37)</f>
        <v>393.3</v>
      </c>
      <c r="T156" s="15">
        <f>DATA[[#This Row],[C. DF]]+DATA[[#This Row],[C.OPE.]]</f>
        <v>393.3</v>
      </c>
      <c r="U156" s="15">
        <f>DATA[[#This Row],[SUB TOTAL]]*0.18</f>
        <v>70.793999999999997</v>
      </c>
      <c r="V156" s="15">
        <f>IFERROR(ROUND(DATA[[#This Row],[SUB TOTAL]]+DATA[[#This Row],[IGV]],2),0)</f>
        <v>464.09</v>
      </c>
      <c r="W156" s="16" t="str">
        <f>IF(DATA[[#This Row],[VALORIZACIÓN ]]="-","NO CORRESPONDE",IF(OR(A156=20558226979,A156=10470707866,A156=20111157058,A156=20100226902),"NO CORRESPONDE",IF(J156="Emitida",IF(P156&gt;0,"EMITIDA","PENDIENTE"),"NO CORRESPONDE")))</f>
        <v>EMITIDA</v>
      </c>
      <c r="X156" s="29" t="s">
        <v>191</v>
      </c>
      <c r="Y156" s="17" t="s">
        <v>118</v>
      </c>
      <c r="Z156" s="30">
        <v>45722</v>
      </c>
      <c r="AA156" s="10" t="s">
        <v>124</v>
      </c>
      <c r="AB156" s="19">
        <v>588</v>
      </c>
      <c r="AC156" s="20">
        <v>30</v>
      </c>
      <c r="AD156" s="18">
        <f>DATA[[#This Row],[FECHA DE EMISION]]+DATA[[#This Row],[CONDICION DE PAGO]]</f>
        <v>45752</v>
      </c>
      <c r="AE156" s="23">
        <f>IF(DATA[[#This Row],[MONEDA]]="USD",VLOOKUP(DATA[[#This Row],[COMBINADA]],#REF!,11,0),1)</f>
        <v>1</v>
      </c>
      <c r="AF156" s="39" t="str">
        <f>IF(DATA[[#This Row],[SERIE2]]="-","NO CORRESPONDE",IF(W156="NO CORRESPONDE","NO CORRESPONDE",IF(Z156&gt;0,"FACTURADO","PENDIENTE")))</f>
        <v>FACTURADO</v>
      </c>
      <c r="AG156" s="27">
        <f>IFERROR(VLOOKUP(DATA[[#This Row],[COMBINADA]],#REF!,6,0),0)</f>
        <v>0</v>
      </c>
      <c r="AH156" s="125">
        <f>IFERROR(VLOOKUP(DATA[[#This Row],[COMBINADA]],#REF!,9,0),0)/COUNTIFS(DATA[COMBINADA],DATA[[#This Row],[COMBINADA]])</f>
        <v>0</v>
      </c>
      <c r="AI156" s="27">
        <f>IFERROR(VLOOKUP(DATA[[#This Row],[COMBINADA]],#REF!,6,0),0)</f>
        <v>0</v>
      </c>
      <c r="AJ156" s="125">
        <f>IFERROR(VLOOKUP(DATA[[#This Row],[COMBINADA]],#REF!,9,0),0)/COUNTIFS(DATA[COMBINADA],DATA[[#This Row],[COMBINADA]])</f>
        <v>0</v>
      </c>
      <c r="AK156" s="27">
        <f>IFERROR(VLOOKUP(DATA[[#This Row],[COMBINADA]],#REF!,6,0),0)</f>
        <v>0</v>
      </c>
      <c r="AL156" s="125">
        <f>IFERROR(VLOOKUP(DATA[[#This Row],[COMBINADA]],#REF!,9,0),0)/COUNTIFS(DATA[COMBINADA],DATA[[#This Row],[COMBINADA]])</f>
        <v>0</v>
      </c>
      <c r="AM156" s="27">
        <f>IFERROR(VLOOKUP(DATA[[#This Row],[COMBINADA]],#REF!,6,0),0)</f>
        <v>0</v>
      </c>
      <c r="AN156" s="125">
        <f>IFERROR(VLOOKUP(DATA[[#This Row],[COMBINADA]],#REF!,9,0),0)/COUNTIFS(DATA[COMBINADA],DATA[[#This Row],[COMBINADA]])</f>
        <v>0</v>
      </c>
      <c r="AO156" s="27">
        <f>IFERROR(VLOOKUP(DATA[[#This Row],[COMBINADA]],#REF!,6,0),0)</f>
        <v>0</v>
      </c>
      <c r="AP156" s="125">
        <f>IFERROR(VLOOKUP(DATA[[#This Row],[COMBINADA]],#REF!,9,0),0)/COUNTIFS(DATA[COMBINADA],DATA[[#This Row],[COMBINADA]])</f>
        <v>0</v>
      </c>
      <c r="AQ15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156" s="26" t="str">
        <f>IFERROR(IF(DATA[[#This Row],[estado_fact]]="FACTURADO",VLOOKUP(DATA[[#This Row],[SERIE2]]&amp;"-"&amp;DATA[[#This Row],[NUMERO]],#REF!,34,0),"NO CORRESPONDE"),"NO CORRESPONDE")</f>
        <v>NO CORRESPONDE</v>
      </c>
      <c r="AS156" s="22" t="str">
        <f>IF(DATA[[#This Row],[fecha_fs]]&gt;0,TEXT(DATA[[#This Row],[fecha_fs]],"Mmmm"),0)</f>
        <v>Enero</v>
      </c>
      <c r="AT156" s="22" t="str">
        <f>DATA[[#This Row],[SERIE2]]&amp;"-"&amp;DATA[[#This Row],[NUMERO]]</f>
        <v>FE01-588</v>
      </c>
      <c r="AU156" s="28">
        <f>DATA[[#This Row],[TOTAL]]*DATA[[#This Row],[T.C.]]</f>
        <v>464.09</v>
      </c>
      <c r="AV156" s="6">
        <f>DATA[[#This Row],[FECHA DE VAL.]]</f>
        <v>45716</v>
      </c>
      <c r="AW156" s="6">
        <f>DATA[[#This Row],[FECHA DE EMISION]]</f>
        <v>45722</v>
      </c>
      <c r="AX156" s="6">
        <f>DATA[[#This Row],[F1]]</f>
        <v>0</v>
      </c>
      <c r="AY156" s="20">
        <f>IF(AV156-DATA[[#This Row],[fecha_fs]]&lt;0,0,AV156-DATA[[#This Row],[fecha_fs]])</f>
        <v>28</v>
      </c>
      <c r="AZ156" s="20">
        <f t="shared" si="16"/>
        <v>6</v>
      </c>
      <c r="BA156" s="20">
        <f t="shared" si="17"/>
        <v>0</v>
      </c>
      <c r="BB156" s="195">
        <f>IFERROR(SUM(DATA[[#This Row],[fs_val_ttf]:[fact_pago_ttf]]),0)</f>
        <v>34</v>
      </c>
      <c r="BC156" s="185">
        <v>45729</v>
      </c>
      <c r="BD156" s="185">
        <v>45735</v>
      </c>
      <c r="BE156" s="185">
        <v>45740</v>
      </c>
      <c r="BF156" s="185">
        <v>45749</v>
      </c>
      <c r="BG156" s="20">
        <f>IFERROR(IF(BC156-DATA[[#This Row],[fecha_fs]]&lt;0,0,BC156-DATA[[#This Row],[fecha_fs]]),0)</f>
        <v>41</v>
      </c>
      <c r="BH156" s="20">
        <f t="shared" si="18"/>
        <v>6</v>
      </c>
      <c r="BI156" s="20">
        <f t="shared" si="19"/>
        <v>5</v>
      </c>
      <c r="BJ156" s="20">
        <f t="shared" si="20"/>
        <v>9</v>
      </c>
      <c r="BK156" s="218">
        <f>IFERROR(SUM(DATA[[#This Row],[fs_fd_ttd]:[fend_fenf_ttd]]),0)</f>
        <v>61</v>
      </c>
      <c r="BL156" s="20" t="str">
        <f>IF(DATA[[#This Row],[fecha_fs]]&gt;0,TEXT(DATA[[#This Row],[fecha_fs]],"YYYY"),0)</f>
        <v>2025</v>
      </c>
      <c r="BM156" s="221" t="b">
        <v>1</v>
      </c>
      <c r="BN156" s="278">
        <f>COUNTIF(DATA[[#This Row],[tiempo_td]], "&lt;=15")</f>
        <v>0</v>
      </c>
      <c r="BO156" s="222"/>
    </row>
    <row r="157" spans="1:67" ht="30.6" customHeight="1" x14ac:dyDescent="0.25">
      <c r="A157" s="4">
        <v>20100211115</v>
      </c>
      <c r="B157" s="5" t="s">
        <v>41</v>
      </c>
      <c r="C157" s="52" t="s">
        <v>18</v>
      </c>
      <c r="D157" s="4" t="s">
        <v>112</v>
      </c>
      <c r="E157" s="5" t="s">
        <v>1</v>
      </c>
      <c r="F157" s="24">
        <v>45688</v>
      </c>
      <c r="G157" s="7" t="s">
        <v>113</v>
      </c>
      <c r="H157" s="25">
        <f t="shared" si="15"/>
        <v>1</v>
      </c>
      <c r="I157" s="67">
        <v>4058</v>
      </c>
      <c r="J157" s="8" t="s">
        <v>115</v>
      </c>
      <c r="K157" s="9" t="s">
        <v>116</v>
      </c>
      <c r="L157" s="10" t="s">
        <v>117</v>
      </c>
      <c r="M157" s="11">
        <v>10</v>
      </c>
      <c r="N157" s="12" t="s">
        <v>125</v>
      </c>
      <c r="O157" s="6">
        <v>45716</v>
      </c>
      <c r="P157" s="115">
        <v>3327</v>
      </c>
      <c r="Q157" s="14" t="s">
        <v>85</v>
      </c>
      <c r="R157" s="15"/>
      <c r="S157" s="15">
        <f>(DATA[[#This Row],[cantidad_fs]]*4.57)</f>
        <v>45.7</v>
      </c>
      <c r="T157" s="15">
        <f>DATA[[#This Row],[C. DF]]+DATA[[#This Row],[C.OPE.]]</f>
        <v>45.7</v>
      </c>
      <c r="U157" s="15">
        <f>DATA[[#This Row],[SUB TOTAL]]*0.18</f>
        <v>8.2260000000000009</v>
      </c>
      <c r="V157" s="15">
        <f>IFERROR(ROUND(DATA[[#This Row],[SUB TOTAL]]+DATA[[#This Row],[IGV]],2),0)</f>
        <v>53.93</v>
      </c>
      <c r="W157" s="16" t="str">
        <f>IF(DATA[[#This Row],[VALORIZACIÓN ]]="-","NO CORRESPONDE",IF(OR(A157=20558226979,A157=10470707866,A157=20111157058,A157=20100226902),"NO CORRESPONDE",IF(J157="Emitida",IF(P157&gt;0,"EMITIDA","PENDIENTE"),"NO CORRESPONDE")))</f>
        <v>EMITIDA</v>
      </c>
      <c r="X157" s="29" t="s">
        <v>191</v>
      </c>
      <c r="Y157" s="17" t="s">
        <v>118</v>
      </c>
      <c r="Z157" s="30">
        <v>45722</v>
      </c>
      <c r="AA157" s="10" t="s">
        <v>124</v>
      </c>
      <c r="AB157" s="19">
        <v>590</v>
      </c>
      <c r="AC157" s="20">
        <v>30</v>
      </c>
      <c r="AD157" s="18">
        <f>DATA[[#This Row],[FECHA DE EMISION]]+DATA[[#This Row],[CONDICION DE PAGO]]</f>
        <v>45752</v>
      </c>
      <c r="AE157" s="23">
        <f>IF(DATA[[#This Row],[MONEDA]]="USD",VLOOKUP(DATA[[#This Row],[COMBINADA]],#REF!,11,0),1)</f>
        <v>1</v>
      </c>
      <c r="AF157" s="39" t="str">
        <f>IF(DATA[[#This Row],[SERIE2]]="-","NO CORRESPONDE",IF(W157="NO CORRESPONDE","NO CORRESPONDE",IF(Z157&gt;0,"FACTURADO","PENDIENTE")))</f>
        <v>FACTURADO</v>
      </c>
      <c r="AG157" s="27">
        <f>IFERROR(VLOOKUP(DATA[[#This Row],[COMBINADA]],#REF!,6,0),0)</f>
        <v>0</v>
      </c>
      <c r="AH157" s="125">
        <f>IFERROR(VLOOKUP(DATA[[#This Row],[COMBINADA]],#REF!,9,0),0)/COUNTIFS(DATA[COMBINADA],DATA[[#This Row],[COMBINADA]])</f>
        <v>0</v>
      </c>
      <c r="AI157" s="27">
        <f>IFERROR(VLOOKUP(DATA[[#This Row],[COMBINADA]],#REF!,6,0),0)</f>
        <v>0</v>
      </c>
      <c r="AJ157" s="125">
        <f>IFERROR(VLOOKUP(DATA[[#This Row],[COMBINADA]],#REF!,9,0),0)/COUNTIFS(DATA[COMBINADA],DATA[[#This Row],[COMBINADA]])</f>
        <v>0</v>
      </c>
      <c r="AK157" s="27">
        <f>IFERROR(VLOOKUP(DATA[[#This Row],[COMBINADA]],#REF!,6,0),0)</f>
        <v>0</v>
      </c>
      <c r="AL157" s="125">
        <f>IFERROR(VLOOKUP(DATA[[#This Row],[COMBINADA]],#REF!,9,0),0)/COUNTIFS(DATA[COMBINADA],DATA[[#This Row],[COMBINADA]])</f>
        <v>0</v>
      </c>
      <c r="AM157" s="27">
        <f>IFERROR(VLOOKUP(DATA[[#This Row],[COMBINADA]],#REF!,6,0),0)</f>
        <v>0</v>
      </c>
      <c r="AN157" s="125">
        <f>IFERROR(VLOOKUP(DATA[[#This Row],[COMBINADA]],#REF!,9,0),0)/COUNTIFS(DATA[COMBINADA],DATA[[#This Row],[COMBINADA]])</f>
        <v>0</v>
      </c>
      <c r="AO157" s="27">
        <f>IFERROR(VLOOKUP(DATA[[#This Row],[COMBINADA]],#REF!,6,0),0)</f>
        <v>0</v>
      </c>
      <c r="AP157" s="125">
        <f>IFERROR(VLOOKUP(DATA[[#This Row],[COMBINADA]],#REF!,9,0),0)/COUNTIFS(DATA[COMBINADA],DATA[[#This Row],[COMBINADA]])</f>
        <v>0</v>
      </c>
      <c r="AQ15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75.496666666666655</v>
      </c>
      <c r="AR157" s="26" t="str">
        <f>IFERROR(IF(DATA[[#This Row],[estado_fact]]="FACTURADO",VLOOKUP(DATA[[#This Row],[SERIE2]]&amp;"-"&amp;DATA[[#This Row],[NUMERO]],#REF!,34,0),"NO CORRESPONDE"),"NO CORRESPONDE")</f>
        <v>NO CORRESPONDE</v>
      </c>
      <c r="AS157" s="22" t="str">
        <f>IF(DATA[[#This Row],[fecha_fs]]&gt;0,TEXT(DATA[[#This Row],[fecha_fs]],"Mmmm"),0)</f>
        <v>Enero</v>
      </c>
      <c r="AT157" s="22" t="str">
        <f>DATA[[#This Row],[SERIE2]]&amp;"-"&amp;DATA[[#This Row],[NUMERO]]</f>
        <v>FE01-590</v>
      </c>
      <c r="AU157" s="28">
        <f>DATA[[#This Row],[TOTAL]]*DATA[[#This Row],[T.C.]]</f>
        <v>53.93</v>
      </c>
      <c r="AV157" s="6">
        <f>DATA[[#This Row],[FECHA DE VAL.]]</f>
        <v>45716</v>
      </c>
      <c r="AW157" s="6">
        <f>DATA[[#This Row],[FECHA DE EMISION]]</f>
        <v>45722</v>
      </c>
      <c r="AX157" s="6">
        <f>DATA[[#This Row],[F1]]</f>
        <v>0</v>
      </c>
      <c r="AY157" s="20">
        <f>IF(AV157-DATA[[#This Row],[fecha_fs]]&lt;0,0,AV157-DATA[[#This Row],[fecha_fs]])</f>
        <v>28</v>
      </c>
      <c r="AZ157" s="20">
        <f t="shared" si="16"/>
        <v>6</v>
      </c>
      <c r="BA157" s="20">
        <f t="shared" si="17"/>
        <v>0</v>
      </c>
      <c r="BB157" s="195">
        <f>IFERROR(SUM(DATA[[#This Row],[fs_val_ttf]:[fact_pago_ttf]]),0)</f>
        <v>34</v>
      </c>
      <c r="BC157" s="185">
        <v>45730</v>
      </c>
      <c r="BD157" s="185">
        <v>45743</v>
      </c>
      <c r="BE157" s="185">
        <v>45740</v>
      </c>
      <c r="BF157" s="185">
        <v>45749</v>
      </c>
      <c r="BG157" s="20">
        <f>IFERROR(IF(BC157-DATA[[#This Row],[fecha_fs]]&lt;0,0,BC157-DATA[[#This Row],[fecha_fs]]),0)</f>
        <v>42</v>
      </c>
      <c r="BH157" s="20">
        <f t="shared" si="18"/>
        <v>13</v>
      </c>
      <c r="BI157" s="20">
        <f t="shared" si="19"/>
        <v>0</v>
      </c>
      <c r="BJ157" s="20">
        <f t="shared" si="20"/>
        <v>9</v>
      </c>
      <c r="BK157" s="218">
        <f>IFERROR(SUM(DATA[[#This Row],[fs_fd_ttd]:[fend_fenf_ttd]]),0)</f>
        <v>64</v>
      </c>
      <c r="BL157" s="20" t="str">
        <f>IF(DATA[[#This Row],[fecha_fs]]&gt;0,TEXT(DATA[[#This Row],[fecha_fs]],"YYYY"),0)</f>
        <v>2025</v>
      </c>
      <c r="BM157" s="221" t="b">
        <v>1</v>
      </c>
      <c r="BN157" s="278">
        <f>COUNTIF(DATA[[#This Row],[tiempo_td]], "&lt;=15")</f>
        <v>0</v>
      </c>
      <c r="BO157" s="222"/>
    </row>
    <row r="158" spans="1:67" ht="30" customHeight="1" x14ac:dyDescent="0.25">
      <c r="A158" s="4"/>
      <c r="B158" s="5" t="s">
        <v>0</v>
      </c>
      <c r="C158" s="52"/>
      <c r="D158" s="4"/>
      <c r="E158" s="5" t="s">
        <v>0</v>
      </c>
      <c r="F158" s="24">
        <v>45692</v>
      </c>
      <c r="G158" s="7" t="s">
        <v>113</v>
      </c>
      <c r="H158" s="25">
        <f t="shared" si="15"/>
        <v>1</v>
      </c>
      <c r="I158" s="67">
        <v>4059</v>
      </c>
      <c r="J158" s="8" t="s">
        <v>173</v>
      </c>
      <c r="K158" s="9"/>
      <c r="L158" s="10"/>
      <c r="M158" s="111"/>
      <c r="N158" s="112"/>
      <c r="O158" s="6"/>
      <c r="P158" s="13" t="s">
        <v>114</v>
      </c>
      <c r="Q158" s="14"/>
      <c r="R158" s="43"/>
      <c r="S158" s="43"/>
      <c r="T158" s="43">
        <f>DATA[[#This Row],[C. DF]]+DATA[[#This Row],[C.OPE.]]</f>
        <v>0</v>
      </c>
      <c r="U158" s="73">
        <f>DATA[[#This Row],[SUB TOTAL]]*0.18</f>
        <v>0</v>
      </c>
      <c r="V158" s="45">
        <f>IFERROR(ROUND(DATA[[#This Row],[SUB TOTAL]]+DATA[[#This Row],[IGV]],2),0)</f>
        <v>0</v>
      </c>
      <c r="W158" s="58" t="str">
        <f>IF(DATA[[#This Row],[VALORIZACIÓN ]]="-","NO CORRESPONDE",IF(OR(A158=20558226979,A158=10470707866,A158=20111157058,A158=20100226902),"NO CORRESPONDE",IF(J158="Emitida",IF(P158&gt;0,"EMITIDA","PENDIENTE"),"NO CORRESPONDE")))</f>
        <v>NO CORRESPONDE</v>
      </c>
      <c r="X158" s="46"/>
      <c r="Y158" s="17" t="s">
        <v>128</v>
      </c>
      <c r="Z158" s="48"/>
      <c r="AA158" s="49"/>
      <c r="AB158" s="50"/>
      <c r="AC158" s="51"/>
      <c r="AD158" s="59">
        <f>DATA[[#This Row],[FECHA DE EMISION]]+DATA[[#This Row],[CONDICION DE PAGO]]</f>
        <v>0</v>
      </c>
      <c r="AE158" s="23">
        <f>IF(DATA[[#This Row],[MONEDA]]="USD",VLOOKUP(DATA[[#This Row],[COMBINADA]],#REF!,11,0),1)</f>
        <v>1</v>
      </c>
      <c r="AF158" s="39" t="str">
        <f>IF(DATA[[#This Row],[SERIE2]]="-","NO CORRESPONDE",IF(W158="NO CORRESPONDE","NO CORRESPONDE",IF(Z158&gt;0,"FACTURADO","PENDIENTE")))</f>
        <v>NO CORRESPONDE</v>
      </c>
      <c r="AG158" s="61">
        <f>IFERROR(VLOOKUP(DATA[[#This Row],[COMBINADA]],#REF!,6,0),0)</f>
        <v>0</v>
      </c>
      <c r="AH158" s="62">
        <f>IFERROR(VLOOKUP(DATA[[#This Row],[COMBINADA]],#REF!,9,0),0)/COUNTIFS(DATA[COMBINADA],DATA[[#This Row],[COMBINADA]])</f>
        <v>0</v>
      </c>
      <c r="AI158" s="61">
        <f>IFERROR(VLOOKUP(DATA[[#This Row],[COMBINADA]],#REF!,6,0),0)</f>
        <v>0</v>
      </c>
      <c r="AJ158" s="62">
        <f>IFERROR(VLOOKUP(DATA[[#This Row],[COMBINADA]],#REF!,9,0),0)/COUNTIFS(DATA[COMBINADA],DATA[[#This Row],[COMBINADA]])</f>
        <v>0</v>
      </c>
      <c r="AK158" s="61">
        <f>IFERROR(VLOOKUP(DATA[[#This Row],[COMBINADA]],#REF!,6,0),0)</f>
        <v>0</v>
      </c>
      <c r="AL158" s="62">
        <f>IFERROR(VLOOKUP(DATA[[#This Row],[COMBINADA]],#REF!,9,0),0)/COUNTIFS(DATA[COMBINADA],DATA[[#This Row],[COMBINADA]])</f>
        <v>0</v>
      </c>
      <c r="AM158" s="61">
        <f>IFERROR(VLOOKUP(DATA[[#This Row],[COMBINADA]],#REF!,6,0),0)</f>
        <v>0</v>
      </c>
      <c r="AN158" s="62">
        <f>IFERROR(VLOOKUP(DATA[[#This Row],[COMBINADA]],#REF!,9,0),0)/COUNTIFS(DATA[COMBINADA],DATA[[#This Row],[COMBINADA]])</f>
        <v>0</v>
      </c>
      <c r="AO158" s="61">
        <f>IFERROR(VLOOKUP(DATA[[#This Row],[COMBINADA]],#REF!,6,0),0)</f>
        <v>0</v>
      </c>
      <c r="AP158" s="62">
        <f>IFERROR(VLOOKUP(DATA[[#This Row],[COMBINADA]],#REF!,9,0),0)/COUNTIFS(DATA[COMBINADA],DATA[[#This Row],[COMBINADA]])</f>
        <v>0</v>
      </c>
      <c r="AQ158"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58" s="22" t="str">
        <f>IFERROR(IF(DATA[[#This Row],[estado_fact]]="FACTURADO",VLOOKUP(DATA[[#This Row],[SERIE2]]&amp;"-"&amp;DATA[[#This Row],[NUMERO]],#REF!,34,0),"NO CORRESPONDE"),"NO CORRESPONDE")</f>
        <v>NO CORRESPONDE</v>
      </c>
      <c r="AS158" s="198" t="str">
        <f>IF(DATA[[#This Row],[fecha_fs]]&gt;0,TEXT(DATA[[#This Row],[fecha_fs]],"Mmmm"),0)</f>
        <v>Febrero</v>
      </c>
      <c r="AT158" s="199" t="str">
        <f>DATA[[#This Row],[SERIE2]]&amp;"-"&amp;DATA[[#This Row],[NUMERO]]</f>
        <v>-</v>
      </c>
      <c r="AU158" s="198">
        <f>DATA[[#This Row],[TOTAL]]*DATA[[#This Row],[T.C.]]</f>
        <v>0</v>
      </c>
      <c r="AV158" s="40">
        <f>DATA[[#This Row],[FECHA DE VAL.]]</f>
        <v>0</v>
      </c>
      <c r="AW158" s="40">
        <f>DATA[[#This Row],[FECHA DE EMISION]]</f>
        <v>0</v>
      </c>
      <c r="AX158" s="40">
        <f>DATA[[#This Row],[F1]]</f>
        <v>0</v>
      </c>
      <c r="AY158" s="49">
        <f>IF(AV158-DATA[[#This Row],[fecha_fs]]&lt;0,0,AV158-DATA[[#This Row],[fecha_fs]])</f>
        <v>0</v>
      </c>
      <c r="AZ158" s="49">
        <f t="shared" si="16"/>
        <v>0</v>
      </c>
      <c r="BA158" s="49">
        <f t="shared" si="17"/>
        <v>0</v>
      </c>
      <c r="BB158" s="195">
        <f>IFERROR(SUM(DATA[[#This Row],[fs_val_ttf]:[fact_pago_ttf]]),0)</f>
        <v>0</v>
      </c>
      <c r="BC158" s="200"/>
      <c r="BD158" s="200"/>
      <c r="BE158" s="200"/>
      <c r="BF158" s="200"/>
      <c r="BG158" s="49">
        <f>IFERROR(IF(BC158-DATA[[#This Row],[fecha_fs]]&lt;0,0,BC158-DATA[[#This Row],[fecha_fs]]),0)</f>
        <v>0</v>
      </c>
      <c r="BH158" s="49">
        <f t="shared" si="18"/>
        <v>0</v>
      </c>
      <c r="BI158" s="49">
        <f t="shared" si="19"/>
        <v>0</v>
      </c>
      <c r="BJ158" s="49">
        <f t="shared" si="20"/>
        <v>0</v>
      </c>
      <c r="BK158" s="218">
        <f>IFERROR(SUM(DATA[[#This Row],[fs_fd_ttd]:[fend_fenf_ttd]]),0)</f>
        <v>0</v>
      </c>
      <c r="BL158" s="20" t="str">
        <f>IF(DATA[[#This Row],[fecha_fs]]&gt;0,TEXT(DATA[[#This Row],[fecha_fs]],"YYYY"),0)</f>
        <v>2025</v>
      </c>
      <c r="BM158" s="221" t="b">
        <v>0</v>
      </c>
      <c r="BN158" s="278"/>
      <c r="BO158" s="222"/>
    </row>
    <row r="159" spans="1:67" ht="30.6" customHeight="1" x14ac:dyDescent="0.25">
      <c r="A159" s="4">
        <v>20141637941</v>
      </c>
      <c r="B159" s="5" t="s">
        <v>79</v>
      </c>
      <c r="C159" s="52" t="s">
        <v>18</v>
      </c>
      <c r="D159" s="4" t="s">
        <v>120</v>
      </c>
      <c r="E159" s="5" t="s">
        <v>3</v>
      </c>
      <c r="F159" s="24">
        <v>45688</v>
      </c>
      <c r="G159" s="7" t="s">
        <v>113</v>
      </c>
      <c r="H159" s="25">
        <f t="shared" si="15"/>
        <v>1</v>
      </c>
      <c r="I159" s="67">
        <v>4060</v>
      </c>
      <c r="J159" s="8" t="s">
        <v>115</v>
      </c>
      <c r="K159" s="9" t="s">
        <v>121</v>
      </c>
      <c r="L159" s="10" t="s">
        <v>117</v>
      </c>
      <c r="M159" s="11">
        <v>1370</v>
      </c>
      <c r="N159" s="12" t="s">
        <v>125</v>
      </c>
      <c r="O159" s="6">
        <v>45688</v>
      </c>
      <c r="P159" s="68">
        <v>3277</v>
      </c>
      <c r="Q159" s="14" t="s">
        <v>85</v>
      </c>
      <c r="R159" s="15">
        <f>70+(DATA[[#This Row],[cantidad_fs]]-1000)*0.1</f>
        <v>107</v>
      </c>
      <c r="S159" s="56">
        <v>517</v>
      </c>
      <c r="T159" s="15">
        <f>DATA[[#This Row],[C. DF]]+DATA[[#This Row],[C.OPE.]]</f>
        <v>624</v>
      </c>
      <c r="U159" s="15">
        <f>DATA[[#This Row],[SUB TOTAL]]*0.18</f>
        <v>112.32</v>
      </c>
      <c r="V159" s="15">
        <f>IFERROR(ROUND(DATA[[#This Row],[SUB TOTAL]]+DATA[[#This Row],[IGV]],2),0)</f>
        <v>736.32</v>
      </c>
      <c r="W159" s="16" t="str">
        <f>IF(DATA[[#This Row],[VALORIZACIÓN ]]="-","NO CORRESPONDE",IF(OR(A159=20558226979,A159=10470707866,A159=20111157058,A159=20100226902),"NO CORRESPONDE",IF(J159="Emitida",IF(P159&gt;0,"EMITIDA","PENDIENTE"),"NO CORRESPONDE")))</f>
        <v>EMITIDA</v>
      </c>
      <c r="X159" s="29"/>
      <c r="Y159" s="17" t="s">
        <v>118</v>
      </c>
      <c r="Z159" s="30">
        <v>45695</v>
      </c>
      <c r="AA159" s="49" t="s">
        <v>124</v>
      </c>
      <c r="AB159" s="19">
        <v>552</v>
      </c>
      <c r="AC159" s="20">
        <v>30</v>
      </c>
      <c r="AD159" s="18">
        <f>DATA[[#This Row],[FECHA DE EMISION]]+DATA[[#This Row],[CONDICION DE PAGO]]</f>
        <v>45725</v>
      </c>
      <c r="AE159" s="23">
        <f>IF(DATA[[#This Row],[MONEDA]]="USD",VLOOKUP(DATA[[#This Row],[COMBINADA]],#REF!,11,0),1)</f>
        <v>1</v>
      </c>
      <c r="AF159" s="39" t="str">
        <f>IF(DATA[[#This Row],[SERIE2]]="-","NO CORRESPONDE",IF(W159="NO CORRESPONDE","NO CORRESPONDE",IF(Z159&gt;0,"FACTURADO","PENDIENTE")))</f>
        <v>FACTURADO</v>
      </c>
      <c r="AG159" s="27">
        <f>IFERROR(VLOOKUP(DATA[[#This Row],[COMBINADA]],#REF!,6,0),0)</f>
        <v>0</v>
      </c>
      <c r="AH159" s="125">
        <f>IFERROR(VLOOKUP(DATA[[#This Row],[COMBINADA]],#REF!,9,0),0)/COUNTIFS(DATA[COMBINADA],DATA[[#This Row],[COMBINADA]])</f>
        <v>0</v>
      </c>
      <c r="AI159" s="27">
        <f>IFERROR(VLOOKUP(DATA[[#This Row],[COMBINADA]],#REF!,6,0),0)</f>
        <v>0</v>
      </c>
      <c r="AJ159" s="125">
        <f>IFERROR(VLOOKUP(DATA[[#This Row],[COMBINADA]],#REF!,9,0),0)/COUNTIFS(DATA[COMBINADA],DATA[[#This Row],[COMBINADA]])</f>
        <v>0</v>
      </c>
      <c r="AK159" s="27">
        <f>IFERROR(VLOOKUP(DATA[[#This Row],[COMBINADA]],#REF!,6,0),0)</f>
        <v>0</v>
      </c>
      <c r="AL159" s="125">
        <f>IFERROR(VLOOKUP(DATA[[#This Row],[COMBINADA]],#REF!,9,0),0)/COUNTIFS(DATA[COMBINADA],DATA[[#This Row],[COMBINADA]])</f>
        <v>0</v>
      </c>
      <c r="AM159" s="27">
        <f>IFERROR(VLOOKUP(DATA[[#This Row],[COMBINADA]],#REF!,6,0),0)</f>
        <v>0</v>
      </c>
      <c r="AN159" s="125">
        <f>IFERROR(VLOOKUP(DATA[[#This Row],[COMBINADA]],#REF!,9,0),0)/COUNTIFS(DATA[COMBINADA],DATA[[#This Row],[COMBINADA]])</f>
        <v>0</v>
      </c>
      <c r="AO159" s="27">
        <f>IFERROR(VLOOKUP(DATA[[#This Row],[COMBINADA]],#REF!,6,0),0)</f>
        <v>0</v>
      </c>
      <c r="AP159" s="125">
        <f>IFERROR(VLOOKUP(DATA[[#This Row],[COMBINADA]],#REF!,9,0),0)/COUNTIFS(DATA[COMBINADA],DATA[[#This Row],[COMBINADA]])</f>
        <v>0</v>
      </c>
      <c r="AQ15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736.32</v>
      </c>
      <c r="AR159" s="26" t="str">
        <f>IFERROR(IF(DATA[[#This Row],[estado_fact]]="FACTURADO",VLOOKUP(DATA[[#This Row],[SERIE2]]&amp;"-"&amp;DATA[[#This Row],[NUMERO]],#REF!,34,0),"NO CORRESPONDE"),"NO CORRESPONDE")</f>
        <v>NO CORRESPONDE</v>
      </c>
      <c r="AS159" s="65" t="str">
        <f>IF(DATA[[#This Row],[fecha_fs]]&gt;0,TEXT(DATA[[#This Row],[fecha_fs]],"Mmmm"),0)</f>
        <v>Enero</v>
      </c>
      <c r="AT159" s="22" t="str">
        <f>DATA[[#This Row],[SERIE2]]&amp;"-"&amp;DATA[[#This Row],[NUMERO]]</f>
        <v>FE01-552</v>
      </c>
      <c r="AU159" s="28">
        <f>DATA[[#This Row],[TOTAL]]*DATA[[#This Row],[T.C.]]</f>
        <v>736.32</v>
      </c>
      <c r="AV159" s="6">
        <f>DATA[[#This Row],[FECHA DE VAL.]]</f>
        <v>45688</v>
      </c>
      <c r="AW159" s="6">
        <f>DATA[[#This Row],[FECHA DE EMISION]]</f>
        <v>45695</v>
      </c>
      <c r="AX159" s="6">
        <f>DATA[[#This Row],[F1]]</f>
        <v>0</v>
      </c>
      <c r="AY159" s="20">
        <f>IF(AV159-DATA[[#This Row],[fecha_fs]]&lt;0,0,AV159-DATA[[#This Row],[fecha_fs]])</f>
        <v>0</v>
      </c>
      <c r="AZ159" s="20">
        <f t="shared" si="16"/>
        <v>7</v>
      </c>
      <c r="BA159" s="20">
        <f t="shared" si="17"/>
        <v>0</v>
      </c>
      <c r="BB159" s="195">
        <f>IFERROR(SUM(DATA[[#This Row],[fs_val_ttf]:[fact_pago_ttf]]),0)</f>
        <v>7</v>
      </c>
      <c r="BC159" s="185">
        <v>45688</v>
      </c>
      <c r="BD159" s="185">
        <v>45688</v>
      </c>
      <c r="BE159" s="185">
        <v>45695</v>
      </c>
      <c r="BF159" s="185">
        <v>45695</v>
      </c>
      <c r="BG159" s="20">
        <f>IFERROR(IF(BC159-DATA[[#This Row],[fecha_fs]]&lt;0,0,BC159-DATA[[#This Row],[fecha_fs]]),0)</f>
        <v>0</v>
      </c>
      <c r="BH159" s="20">
        <f t="shared" si="18"/>
        <v>0</v>
      </c>
      <c r="BI159" s="20">
        <f t="shared" si="19"/>
        <v>7</v>
      </c>
      <c r="BJ159" s="20">
        <f t="shared" si="20"/>
        <v>0</v>
      </c>
      <c r="BK159" s="218">
        <f>IFERROR(SUM(DATA[[#This Row],[fs_fd_ttd]:[fend_fenf_ttd]]),0)</f>
        <v>7</v>
      </c>
      <c r="BL159" s="20" t="str">
        <f>IF(DATA[[#This Row],[fecha_fs]]&gt;0,TEXT(DATA[[#This Row],[fecha_fs]],"YYYY"),0)</f>
        <v>2025</v>
      </c>
      <c r="BM159" s="221" t="b">
        <v>1</v>
      </c>
      <c r="BN159" s="278">
        <f>COUNTIF(DATA[[#This Row],[tiempo_td]], "&lt;=15")</f>
        <v>1</v>
      </c>
      <c r="BO159" s="222"/>
    </row>
    <row r="160" spans="1:67" ht="30.6" customHeight="1" x14ac:dyDescent="0.25">
      <c r="A160" s="4">
        <v>20505675836</v>
      </c>
      <c r="B160" s="5" t="s">
        <v>42</v>
      </c>
      <c r="C160" s="52" t="s">
        <v>20</v>
      </c>
      <c r="D160" s="4" t="s">
        <v>120</v>
      </c>
      <c r="E160" s="5" t="s">
        <v>3</v>
      </c>
      <c r="F160" s="24">
        <v>45691</v>
      </c>
      <c r="G160" s="7" t="s">
        <v>113</v>
      </c>
      <c r="H160" s="25">
        <f t="shared" si="15"/>
        <v>1</v>
      </c>
      <c r="I160" s="67">
        <v>4061</v>
      </c>
      <c r="J160" s="8" t="s">
        <v>115</v>
      </c>
      <c r="K160" s="9" t="s">
        <v>121</v>
      </c>
      <c r="L160" s="10" t="s">
        <v>117</v>
      </c>
      <c r="M160" s="11">
        <v>560</v>
      </c>
      <c r="N160" s="12" t="s">
        <v>132</v>
      </c>
      <c r="O160" s="6">
        <v>45713</v>
      </c>
      <c r="P160" s="71">
        <v>3312</v>
      </c>
      <c r="Q160" s="14" t="s">
        <v>85</v>
      </c>
      <c r="R160" s="15">
        <f>(DATA[[#This Row],[cantidad_fs]]-150)*0.67</f>
        <v>274.7</v>
      </c>
      <c r="S160" s="56">
        <v>1387.83</v>
      </c>
      <c r="T160" s="15">
        <f>DATA[[#This Row],[C. DF]]+DATA[[#This Row],[C.OPE.]]</f>
        <v>1662.53</v>
      </c>
      <c r="U160" s="15">
        <f>DATA[[#This Row],[SUB TOTAL]]*0.18</f>
        <v>299.25540000000001</v>
      </c>
      <c r="V160" s="15">
        <f>IFERROR(ROUND(DATA[[#This Row],[SUB TOTAL]]+DATA[[#This Row],[IGV]],2),0)</f>
        <v>1961.79</v>
      </c>
      <c r="W160" s="16" t="str">
        <f>IF(DATA[[#This Row],[VALORIZACIÓN ]]="-","NO CORRESPONDE",IF(OR(A160=20558226979,A160=10470707866,A160=20111157058,A160=20100226902),"NO CORRESPONDE",IF(J160="Emitida",IF(P160&gt;0,"EMITIDA","PENDIENTE"),"NO CORRESPONDE")))</f>
        <v>EMITIDA</v>
      </c>
      <c r="X160" s="29"/>
      <c r="Y160" s="17" t="s">
        <v>118</v>
      </c>
      <c r="Z160" s="30">
        <v>45740</v>
      </c>
      <c r="AA160" s="49" t="s">
        <v>119</v>
      </c>
      <c r="AB160" s="19">
        <v>38</v>
      </c>
      <c r="AC160" s="20">
        <v>30</v>
      </c>
      <c r="AD160" s="18">
        <f>DATA[[#This Row],[FECHA DE EMISION]]+DATA[[#This Row],[CONDICION DE PAGO]]</f>
        <v>45770</v>
      </c>
      <c r="AE160" s="23">
        <f>IF(DATA[[#This Row],[MONEDA]]="USD",VLOOKUP(DATA[[#This Row],[COMBINADA]],#REF!,11,0),1)</f>
        <v>1</v>
      </c>
      <c r="AF160" s="39" t="str">
        <f>IF(DATA[[#This Row],[SERIE2]]="-","NO CORRESPONDE",IF(W160="NO CORRESPONDE","NO CORRESPONDE",IF(Z160&gt;0,"FACTURADO","PENDIENTE")))</f>
        <v>FACTURADO</v>
      </c>
      <c r="AG160" s="27">
        <f>IFERROR(VLOOKUP(DATA[[#This Row],[COMBINADA]],#REF!,6,0),0)</f>
        <v>0</v>
      </c>
      <c r="AH160" s="125">
        <f>IFERROR(VLOOKUP(DATA[[#This Row],[COMBINADA]],#REF!,9,0),0)/COUNTIFS(DATA[COMBINADA],DATA[[#This Row],[COMBINADA]])</f>
        <v>0</v>
      </c>
      <c r="AI160" s="27">
        <f>IFERROR(VLOOKUP(DATA[[#This Row],[COMBINADA]],#REF!,6,0),0)</f>
        <v>0</v>
      </c>
      <c r="AJ160" s="125">
        <f>IFERROR(VLOOKUP(DATA[[#This Row],[COMBINADA]],#REF!,9,0),0)/COUNTIFS(DATA[COMBINADA],DATA[[#This Row],[COMBINADA]])</f>
        <v>0</v>
      </c>
      <c r="AK160" s="27">
        <f>IFERROR(VLOOKUP(DATA[[#This Row],[COMBINADA]],#REF!,6,0),0)</f>
        <v>0</v>
      </c>
      <c r="AL160" s="125">
        <f>IFERROR(VLOOKUP(DATA[[#This Row],[COMBINADA]],#REF!,9,0),0)/COUNTIFS(DATA[COMBINADA],DATA[[#This Row],[COMBINADA]])</f>
        <v>0</v>
      </c>
      <c r="AM160" s="27">
        <f>IFERROR(VLOOKUP(DATA[[#This Row],[COMBINADA]],#REF!,6,0),0)</f>
        <v>0</v>
      </c>
      <c r="AN160" s="125">
        <f>IFERROR(VLOOKUP(DATA[[#This Row],[COMBINADA]],#REF!,9,0),0)/COUNTIFS(DATA[COMBINADA],DATA[[#This Row],[COMBINADA]])</f>
        <v>0</v>
      </c>
      <c r="AO160" s="27">
        <f>IFERROR(VLOOKUP(DATA[[#This Row],[COMBINADA]],#REF!,6,0),0)</f>
        <v>0</v>
      </c>
      <c r="AP160" s="125">
        <f>IFERROR(VLOOKUP(DATA[[#This Row],[COMBINADA]],#REF!,9,0),0)/COUNTIFS(DATA[COMBINADA],DATA[[#This Row],[COMBINADA]])</f>
        <v>0</v>
      </c>
      <c r="AQ16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2477.54</v>
      </c>
      <c r="AR160" s="26" t="str">
        <f>IFERROR(IF(DATA[[#This Row],[estado_fact]]="FACTURADO",VLOOKUP(DATA[[#This Row],[SERIE2]]&amp;"-"&amp;DATA[[#This Row],[NUMERO]],#REF!,34,0),"NO CORRESPONDE"),"NO CORRESPONDE")</f>
        <v>NO CORRESPONDE</v>
      </c>
      <c r="AS160" s="65" t="str">
        <f>IF(DATA[[#This Row],[fecha_fs]]&gt;0,TEXT(DATA[[#This Row],[fecha_fs]],"Mmmm"),0)</f>
        <v>Febrero</v>
      </c>
      <c r="AT160" s="22" t="str">
        <f>DATA[[#This Row],[SERIE2]]&amp;"-"&amp;DATA[[#This Row],[NUMERO]]</f>
        <v>E001-38</v>
      </c>
      <c r="AU160" s="28">
        <f>DATA[[#This Row],[TOTAL]]*DATA[[#This Row],[T.C.]]</f>
        <v>1961.79</v>
      </c>
      <c r="AV160" s="6">
        <f>DATA[[#This Row],[FECHA DE VAL.]]</f>
        <v>45713</v>
      </c>
      <c r="AW160" s="6">
        <f>DATA[[#This Row],[FECHA DE EMISION]]</f>
        <v>45740</v>
      </c>
      <c r="AX160" s="6">
        <f>DATA[[#This Row],[F1]]</f>
        <v>0</v>
      </c>
      <c r="AY160" s="20">
        <f>IF(AV160-DATA[[#This Row],[fecha_fs]]&lt;0,0,AV160-DATA[[#This Row],[fecha_fs]])</f>
        <v>22</v>
      </c>
      <c r="AZ160" s="20">
        <f t="shared" si="16"/>
        <v>27</v>
      </c>
      <c r="BA160" s="20">
        <f t="shared" si="17"/>
        <v>0</v>
      </c>
      <c r="BB160" s="195">
        <f>IFERROR(SUM(DATA[[#This Row],[fs_val_ttf]:[fact_pago_ttf]]),0)</f>
        <v>49</v>
      </c>
      <c r="BC160" s="185">
        <v>45701</v>
      </c>
      <c r="BD160" s="185">
        <v>45707</v>
      </c>
      <c r="BE160" s="185">
        <v>45735</v>
      </c>
      <c r="BF160" s="185">
        <v>45761</v>
      </c>
      <c r="BG160" s="20">
        <f>IFERROR(IF(BC160-DATA[[#This Row],[fecha_fs]]&lt;0,0,BC160-DATA[[#This Row],[fecha_fs]]),0)</f>
        <v>10</v>
      </c>
      <c r="BH160" s="20">
        <f t="shared" si="18"/>
        <v>6</v>
      </c>
      <c r="BI160" s="20">
        <f t="shared" si="19"/>
        <v>28</v>
      </c>
      <c r="BJ160" s="20">
        <f t="shared" si="20"/>
        <v>26</v>
      </c>
      <c r="BK160" s="218">
        <f>IFERROR(SUM(DATA[[#This Row],[fs_fd_ttd]:[fend_fenf_ttd]]),0)</f>
        <v>70</v>
      </c>
      <c r="BL160" s="20" t="str">
        <f>IF(DATA[[#This Row],[fecha_fs]]&gt;0,TEXT(DATA[[#This Row],[fecha_fs]],"YYYY"),0)</f>
        <v>2025</v>
      </c>
      <c r="BM160" s="221" t="b">
        <v>1</v>
      </c>
      <c r="BN160" s="278">
        <f>COUNTIF(DATA[[#This Row],[tiempo_td]], "&lt;=15")</f>
        <v>0</v>
      </c>
      <c r="BO160" s="222"/>
    </row>
    <row r="161" spans="1:67" ht="30.6" customHeight="1" x14ac:dyDescent="0.25">
      <c r="A161" s="4">
        <v>20553956324</v>
      </c>
      <c r="B161" s="5" t="s">
        <v>281</v>
      </c>
      <c r="C161" s="52" t="s">
        <v>175</v>
      </c>
      <c r="D161" s="4" t="s">
        <v>120</v>
      </c>
      <c r="E161" s="5" t="s">
        <v>3</v>
      </c>
      <c r="F161" s="24">
        <v>45688</v>
      </c>
      <c r="G161" s="7" t="s">
        <v>113</v>
      </c>
      <c r="H161" s="25">
        <f t="shared" si="15"/>
        <v>1</v>
      </c>
      <c r="I161" s="67">
        <v>4062</v>
      </c>
      <c r="J161" s="8" t="s">
        <v>115</v>
      </c>
      <c r="K161" s="9" t="s">
        <v>121</v>
      </c>
      <c r="L161" s="10" t="s">
        <v>117</v>
      </c>
      <c r="M161" s="11">
        <v>39</v>
      </c>
      <c r="N161" s="12" t="s">
        <v>132</v>
      </c>
      <c r="O161" s="6">
        <v>45688</v>
      </c>
      <c r="P161" s="13">
        <v>3270</v>
      </c>
      <c r="Q161" s="14" t="s">
        <v>85</v>
      </c>
      <c r="R161" s="15">
        <f>80/4</f>
        <v>20</v>
      </c>
      <c r="S161" s="56">
        <f>395.1/2</f>
        <v>197.55</v>
      </c>
      <c r="T161" s="15">
        <f>DATA[[#This Row],[C. DF]]+DATA[[#This Row],[C.OPE.]]</f>
        <v>217.55</v>
      </c>
      <c r="U161" s="15">
        <f>DATA[[#This Row],[SUB TOTAL]]*0.18</f>
        <v>39.158999999999999</v>
      </c>
      <c r="V161" s="15">
        <f>IFERROR(ROUND(DATA[[#This Row],[SUB TOTAL]]+DATA[[#This Row],[IGV]],2),0)</f>
        <v>256.70999999999998</v>
      </c>
      <c r="W161" s="16" t="str">
        <f>IF(DATA[[#This Row],[VALORIZACIÓN ]]="-","NO CORRESPONDE",IF(OR(A161=20558226979,A161=10470707866,A161=20111157058,A161=20100226902),"NO CORRESPONDE",IF(J161="Emitida",IF(P161&gt;0,"EMITIDA","PENDIENTE"),"NO CORRESPONDE")))</f>
        <v>EMITIDA</v>
      </c>
      <c r="X161" s="29"/>
      <c r="Y161" s="17" t="s">
        <v>118</v>
      </c>
      <c r="Z161" s="30">
        <v>45692</v>
      </c>
      <c r="AA161" s="20" t="s">
        <v>124</v>
      </c>
      <c r="AB161" s="19">
        <v>546</v>
      </c>
      <c r="AC161" s="20">
        <v>0</v>
      </c>
      <c r="AD161" s="18">
        <f>DATA[[#This Row],[FECHA DE EMISION]]+DATA[[#This Row],[CONDICION DE PAGO]]</f>
        <v>45692</v>
      </c>
      <c r="AE161" s="23">
        <f>IF(DATA[[#This Row],[MONEDA]]="USD",VLOOKUP(DATA[[#This Row],[COMBINADA]],#REF!,11,0),1)</f>
        <v>1</v>
      </c>
      <c r="AF161" s="39" t="str">
        <f>IF(DATA[[#This Row],[SERIE2]]="-","NO CORRESPONDE",IF(W161="NO CORRESPONDE","NO CORRESPONDE",IF(Z161&gt;0,"FACTURADO","PENDIENTE")))</f>
        <v>FACTURADO</v>
      </c>
      <c r="AG161" s="27">
        <f>IFERROR(VLOOKUP(DATA[[#This Row],[COMBINADA]],#REF!,6,0),0)</f>
        <v>0</v>
      </c>
      <c r="AH161" s="125">
        <f>IFERROR(VLOOKUP(DATA[[#This Row],[COMBINADA]],#REF!,9,0),0)/COUNTIFS(DATA[COMBINADA],DATA[[#This Row],[COMBINADA]])</f>
        <v>0</v>
      </c>
      <c r="AI161" s="27">
        <f>IFERROR(VLOOKUP(DATA[[#This Row],[COMBINADA]],#REF!,6,0),0)</f>
        <v>0</v>
      </c>
      <c r="AJ161" s="125">
        <f>IFERROR(VLOOKUP(DATA[[#This Row],[COMBINADA]],#REF!,9,0),0)/COUNTIFS(DATA[COMBINADA],DATA[[#This Row],[COMBINADA]])</f>
        <v>0</v>
      </c>
      <c r="AK161" s="27">
        <f>IFERROR(VLOOKUP(DATA[[#This Row],[COMBINADA]],#REF!,6,0),0)</f>
        <v>0</v>
      </c>
      <c r="AL161" s="125">
        <f>IFERROR(VLOOKUP(DATA[[#This Row],[COMBINADA]],#REF!,9,0),0)/COUNTIFS(DATA[COMBINADA],DATA[[#This Row],[COMBINADA]])</f>
        <v>0</v>
      </c>
      <c r="AM161" s="27">
        <f>IFERROR(VLOOKUP(DATA[[#This Row],[COMBINADA]],#REF!,6,0),0)</f>
        <v>0</v>
      </c>
      <c r="AN161" s="125">
        <f>IFERROR(VLOOKUP(DATA[[#This Row],[COMBINADA]],#REF!,9,0),0)/COUNTIFS(DATA[COMBINADA],DATA[[#This Row],[COMBINADA]])</f>
        <v>0</v>
      </c>
      <c r="AO161" s="27">
        <f>IFERROR(VLOOKUP(DATA[[#This Row],[COMBINADA]],#REF!,6,0),0)</f>
        <v>0</v>
      </c>
      <c r="AP161" s="125">
        <f>IFERROR(VLOOKUP(DATA[[#This Row],[COMBINADA]],#REF!,9,0),0)/COUNTIFS(DATA[COMBINADA],DATA[[#This Row],[COMBINADA]])</f>
        <v>0</v>
      </c>
      <c r="AQ16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355.75428571428574</v>
      </c>
      <c r="AR161" s="26" t="str">
        <f>IFERROR(IF(DATA[[#This Row],[estado_fact]]="FACTURADO",VLOOKUP(DATA[[#This Row],[SERIE2]]&amp;"-"&amp;DATA[[#This Row],[NUMERO]],#REF!,34,0),"NO CORRESPONDE"),"NO CORRESPONDE")</f>
        <v>NO CORRESPONDE</v>
      </c>
      <c r="AS161" s="65" t="str">
        <f>IF(DATA[[#This Row],[fecha_fs]]&gt;0,TEXT(DATA[[#This Row],[fecha_fs]],"Mmmm"),0)</f>
        <v>Enero</v>
      </c>
      <c r="AT161" s="22" t="str">
        <f>DATA[[#This Row],[SERIE2]]&amp;"-"&amp;DATA[[#This Row],[NUMERO]]</f>
        <v>FE01-546</v>
      </c>
      <c r="AU161" s="28">
        <f>DATA[[#This Row],[TOTAL]]*DATA[[#This Row],[T.C.]]</f>
        <v>256.70999999999998</v>
      </c>
      <c r="AV161" s="6">
        <f>DATA[[#This Row],[FECHA DE VAL.]]</f>
        <v>45688</v>
      </c>
      <c r="AW161" s="6">
        <f>DATA[[#This Row],[FECHA DE EMISION]]</f>
        <v>45692</v>
      </c>
      <c r="AX161" s="6">
        <f>DATA[[#This Row],[F1]]</f>
        <v>0</v>
      </c>
      <c r="AY161" s="20">
        <f>IF(AV161-DATA[[#This Row],[fecha_fs]]&lt;0,0,AV161-DATA[[#This Row],[fecha_fs]])</f>
        <v>0</v>
      </c>
      <c r="AZ161" s="20">
        <f t="shared" si="16"/>
        <v>4</v>
      </c>
      <c r="BA161" s="20">
        <f t="shared" si="17"/>
        <v>0</v>
      </c>
      <c r="BB161" s="195">
        <f>IFERROR(SUM(DATA[[#This Row],[fs_val_ttf]:[fact_pago_ttf]]),0)</f>
        <v>4</v>
      </c>
      <c r="BC161" s="185">
        <v>45698</v>
      </c>
      <c r="BD161" s="185">
        <v>45707</v>
      </c>
      <c r="BE161" s="185">
        <v>45712</v>
      </c>
      <c r="BF161" s="185">
        <v>45758</v>
      </c>
      <c r="BG161" s="20">
        <f>IFERROR(IF(BC161-DATA[[#This Row],[fecha_fs]]&lt;0,0,BC161-DATA[[#This Row],[fecha_fs]]),0)</f>
        <v>10</v>
      </c>
      <c r="BH161" s="20">
        <f t="shared" si="18"/>
        <v>9</v>
      </c>
      <c r="BI161" s="20">
        <f t="shared" si="19"/>
        <v>5</v>
      </c>
      <c r="BJ161" s="20">
        <f t="shared" si="20"/>
        <v>46</v>
      </c>
      <c r="BK161" s="218">
        <f>IFERROR(SUM(DATA[[#This Row],[fs_fd_ttd]:[fend_fenf_ttd]]),0)</f>
        <v>70</v>
      </c>
      <c r="BL161" s="20" t="str">
        <f>IF(DATA[[#This Row],[fecha_fs]]&gt;0,TEXT(DATA[[#This Row],[fecha_fs]],"YYYY"),0)</f>
        <v>2025</v>
      </c>
      <c r="BM161" s="221" t="b">
        <v>0</v>
      </c>
      <c r="BN161" s="278">
        <f>COUNTIF(DATA[[#This Row],[tiempo_td]], "&lt;=15")</f>
        <v>0</v>
      </c>
      <c r="BO161" s="222"/>
    </row>
    <row r="162" spans="1:67" ht="30.6" customHeight="1" x14ac:dyDescent="0.25">
      <c r="A162" s="4">
        <v>20553956324</v>
      </c>
      <c r="B162" s="5" t="s">
        <v>281</v>
      </c>
      <c r="C162" s="52" t="s">
        <v>175</v>
      </c>
      <c r="D162" s="4" t="s">
        <v>112</v>
      </c>
      <c r="E162" s="5" t="s">
        <v>1</v>
      </c>
      <c r="F162" s="24">
        <v>45688</v>
      </c>
      <c r="G162" s="7" t="s">
        <v>113</v>
      </c>
      <c r="H162" s="25">
        <f t="shared" si="15"/>
        <v>1</v>
      </c>
      <c r="I162" s="67">
        <v>4063</v>
      </c>
      <c r="J162" s="8" t="s">
        <v>115</v>
      </c>
      <c r="K162" s="9" t="s">
        <v>116</v>
      </c>
      <c r="L162" s="10" t="s">
        <v>117</v>
      </c>
      <c r="M162" s="11">
        <v>8</v>
      </c>
      <c r="N162" s="12" t="s">
        <v>132</v>
      </c>
      <c r="O162" s="6">
        <v>45688</v>
      </c>
      <c r="P162" s="13">
        <v>3270</v>
      </c>
      <c r="Q162" s="14" t="s">
        <v>85</v>
      </c>
      <c r="R162" s="15">
        <f>450/3</f>
        <v>150</v>
      </c>
      <c r="S162" s="56">
        <f>395.1/2</f>
        <v>197.55</v>
      </c>
      <c r="T162" s="15">
        <f>DATA[[#This Row],[C. DF]]+DATA[[#This Row],[C.OPE.]]</f>
        <v>347.55</v>
      </c>
      <c r="U162" s="15">
        <f>DATA[[#This Row],[SUB TOTAL]]*0.18</f>
        <v>62.558999999999997</v>
      </c>
      <c r="V162" s="15">
        <f>IFERROR(ROUND(DATA[[#This Row],[SUB TOTAL]]+DATA[[#This Row],[IGV]],2),0)</f>
        <v>410.11</v>
      </c>
      <c r="W162" s="16" t="str">
        <f>IF(DATA[[#This Row],[VALORIZACIÓN ]]="-","NO CORRESPONDE",IF(OR(A162=20558226979,A162=10470707866,A162=20111157058,A162=20100226902),"NO CORRESPONDE",IF(J162="Emitida",IF(P162&gt;0,"EMITIDA","PENDIENTE"),"NO CORRESPONDE")))</f>
        <v>EMITIDA</v>
      </c>
      <c r="X162" s="29"/>
      <c r="Y162" s="17" t="s">
        <v>118</v>
      </c>
      <c r="Z162" s="30">
        <v>45692</v>
      </c>
      <c r="AA162" s="20" t="s">
        <v>124</v>
      </c>
      <c r="AB162" s="19">
        <v>546</v>
      </c>
      <c r="AC162" s="20">
        <v>0</v>
      </c>
      <c r="AD162" s="18">
        <f>DATA[[#This Row],[FECHA DE EMISION]]+DATA[[#This Row],[CONDICION DE PAGO]]</f>
        <v>45692</v>
      </c>
      <c r="AE162" s="23">
        <f>IF(DATA[[#This Row],[MONEDA]]="USD",VLOOKUP(DATA[[#This Row],[COMBINADA]],#REF!,11,0),1)</f>
        <v>1</v>
      </c>
      <c r="AF162" s="39" t="str">
        <f>IF(DATA[[#This Row],[SERIE2]]="-","NO CORRESPONDE",IF(W162="NO CORRESPONDE","NO CORRESPONDE",IF(Z162&gt;0,"FACTURADO","PENDIENTE")))</f>
        <v>FACTURADO</v>
      </c>
      <c r="AG162" s="27">
        <f>IFERROR(VLOOKUP(DATA[[#This Row],[COMBINADA]],#REF!,6,0),0)</f>
        <v>0</v>
      </c>
      <c r="AH162" s="125">
        <f>IFERROR(VLOOKUP(DATA[[#This Row],[COMBINADA]],#REF!,9,0),0)/COUNTIFS(DATA[COMBINADA],DATA[[#This Row],[COMBINADA]])</f>
        <v>0</v>
      </c>
      <c r="AI162" s="27">
        <f>IFERROR(VLOOKUP(DATA[[#This Row],[COMBINADA]],#REF!,6,0),0)</f>
        <v>0</v>
      </c>
      <c r="AJ162" s="125">
        <f>IFERROR(VLOOKUP(DATA[[#This Row],[COMBINADA]],#REF!,9,0),0)/COUNTIFS(DATA[COMBINADA],DATA[[#This Row],[COMBINADA]])</f>
        <v>0</v>
      </c>
      <c r="AK162" s="27">
        <f>IFERROR(VLOOKUP(DATA[[#This Row],[COMBINADA]],#REF!,6,0),0)</f>
        <v>0</v>
      </c>
      <c r="AL162" s="125">
        <f>IFERROR(VLOOKUP(DATA[[#This Row],[COMBINADA]],#REF!,9,0),0)/COUNTIFS(DATA[COMBINADA],DATA[[#This Row],[COMBINADA]])</f>
        <v>0</v>
      </c>
      <c r="AM162" s="27">
        <f>IFERROR(VLOOKUP(DATA[[#This Row],[COMBINADA]],#REF!,6,0),0)</f>
        <v>0</v>
      </c>
      <c r="AN162" s="125">
        <f>IFERROR(VLOOKUP(DATA[[#This Row],[COMBINADA]],#REF!,9,0),0)/COUNTIFS(DATA[COMBINADA],DATA[[#This Row],[COMBINADA]])</f>
        <v>0</v>
      </c>
      <c r="AO162" s="27">
        <f>IFERROR(VLOOKUP(DATA[[#This Row],[COMBINADA]],#REF!,6,0),0)</f>
        <v>0</v>
      </c>
      <c r="AP162" s="125">
        <f>IFERROR(VLOOKUP(DATA[[#This Row],[COMBINADA]],#REF!,9,0),0)/COUNTIFS(DATA[COMBINADA],DATA[[#This Row],[COMBINADA]])</f>
        <v>0</v>
      </c>
      <c r="AQ16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355.75428571428574</v>
      </c>
      <c r="AR162" s="26" t="str">
        <f>IFERROR(IF(DATA[[#This Row],[estado_fact]]="FACTURADO",VLOOKUP(DATA[[#This Row],[SERIE2]]&amp;"-"&amp;DATA[[#This Row],[NUMERO]],#REF!,34,0),"NO CORRESPONDE"),"NO CORRESPONDE")</f>
        <v>NO CORRESPONDE</v>
      </c>
      <c r="AS162" s="65" t="str">
        <f>IF(DATA[[#This Row],[fecha_fs]]&gt;0,TEXT(DATA[[#This Row],[fecha_fs]],"Mmmm"),0)</f>
        <v>Enero</v>
      </c>
      <c r="AT162" s="22" t="str">
        <f>DATA[[#This Row],[SERIE2]]&amp;"-"&amp;DATA[[#This Row],[NUMERO]]</f>
        <v>FE01-546</v>
      </c>
      <c r="AU162" s="28">
        <f>DATA[[#This Row],[TOTAL]]*DATA[[#This Row],[T.C.]]</f>
        <v>410.11</v>
      </c>
      <c r="AV162" s="6">
        <f>DATA[[#This Row],[FECHA DE VAL.]]</f>
        <v>45688</v>
      </c>
      <c r="AW162" s="6">
        <f>DATA[[#This Row],[FECHA DE EMISION]]</f>
        <v>45692</v>
      </c>
      <c r="AX162" s="6">
        <f>DATA[[#This Row],[F1]]</f>
        <v>0</v>
      </c>
      <c r="AY162" s="20">
        <f>IF(AV162-DATA[[#This Row],[fecha_fs]]&lt;0,0,AV162-DATA[[#This Row],[fecha_fs]])</f>
        <v>0</v>
      </c>
      <c r="AZ162" s="20">
        <f t="shared" si="16"/>
        <v>4</v>
      </c>
      <c r="BA162" s="20">
        <f t="shared" si="17"/>
        <v>0</v>
      </c>
      <c r="BB162" s="195">
        <f>IFERROR(SUM(DATA[[#This Row],[fs_val_ttf]:[fact_pago_ttf]]),0)</f>
        <v>4</v>
      </c>
      <c r="BC162" s="185">
        <v>45694</v>
      </c>
      <c r="BD162" s="185">
        <v>45705</v>
      </c>
      <c r="BE162" s="185">
        <v>45707</v>
      </c>
      <c r="BF162" s="185">
        <v>45758</v>
      </c>
      <c r="BG162" s="20">
        <f>IFERROR(IF(BC162-DATA[[#This Row],[fecha_fs]]&lt;0,0,BC162-DATA[[#This Row],[fecha_fs]]),0)</f>
        <v>6</v>
      </c>
      <c r="BH162" s="20">
        <f t="shared" si="18"/>
        <v>11</v>
      </c>
      <c r="BI162" s="20">
        <f t="shared" si="19"/>
        <v>2</v>
      </c>
      <c r="BJ162" s="20">
        <f t="shared" si="20"/>
        <v>51</v>
      </c>
      <c r="BK162" s="218">
        <f>IFERROR(SUM(DATA[[#This Row],[fs_fd_ttd]:[fend_fenf_ttd]]),0)</f>
        <v>70</v>
      </c>
      <c r="BL162" s="20" t="str">
        <f>IF(DATA[[#This Row],[fecha_fs]]&gt;0,TEXT(DATA[[#This Row],[fecha_fs]],"YYYY"),0)</f>
        <v>2025</v>
      </c>
      <c r="BM162" s="221" t="b">
        <v>0</v>
      </c>
      <c r="BN162" s="278">
        <f>COUNTIF(DATA[[#This Row],[tiempo_td]], "&lt;=15")</f>
        <v>0</v>
      </c>
      <c r="BO162" s="222"/>
    </row>
    <row r="163" spans="1:67" ht="30.6" customHeight="1" x14ac:dyDescent="0.25">
      <c r="A163" s="4">
        <v>20100192064</v>
      </c>
      <c r="B163" s="5" t="s">
        <v>60</v>
      </c>
      <c r="C163" s="52" t="s">
        <v>64</v>
      </c>
      <c r="D163" s="4" t="s">
        <v>112</v>
      </c>
      <c r="E163" s="5" t="s">
        <v>1</v>
      </c>
      <c r="F163" s="24">
        <v>45692</v>
      </c>
      <c r="G163" s="7" t="s">
        <v>113</v>
      </c>
      <c r="H163" s="25">
        <f t="shared" si="15"/>
        <v>1</v>
      </c>
      <c r="I163" s="67">
        <v>4064</v>
      </c>
      <c r="J163" s="8" t="s">
        <v>115</v>
      </c>
      <c r="K163" s="9" t="s">
        <v>136</v>
      </c>
      <c r="L163" s="10" t="s">
        <v>137</v>
      </c>
      <c r="M163" s="11">
        <v>22</v>
      </c>
      <c r="N163" s="12" t="s">
        <v>129</v>
      </c>
      <c r="O163" s="6">
        <v>45714</v>
      </c>
      <c r="P163" s="71">
        <v>3316</v>
      </c>
      <c r="Q163" s="14" t="s">
        <v>123</v>
      </c>
      <c r="R163" s="15">
        <f>DATA[[#This Row],[cantidad_fs]]*33.34</f>
        <v>733.48</v>
      </c>
      <c r="S163" s="15"/>
      <c r="T163" s="15">
        <f>DATA[[#This Row],[C. DF]]+DATA[[#This Row],[C.OPE.]]</f>
        <v>733.48</v>
      </c>
      <c r="U163" s="15">
        <f>DATA[[#This Row],[SUB TOTAL]]*0.18</f>
        <v>132.0264</v>
      </c>
      <c r="V163" s="15">
        <f>IFERROR(ROUND(DATA[[#This Row],[SUB TOTAL]]+DATA[[#This Row],[IGV]],2),0)</f>
        <v>865.51</v>
      </c>
      <c r="W163" s="16" t="str">
        <f>IF(DATA[[#This Row],[VALORIZACIÓN ]]="-","NO CORRESPONDE",IF(OR(A163=20558226979,A163=10470707866,A163=20111157058,A163=20100226902),"NO CORRESPONDE",IF(J163="Emitida",IF(P163&gt;0,"EMITIDA","PENDIENTE"),"NO CORRESPONDE")))</f>
        <v>EMITIDA</v>
      </c>
      <c r="X163" s="29"/>
      <c r="Y163" s="17" t="s">
        <v>118</v>
      </c>
      <c r="Z163" s="30">
        <v>45716</v>
      </c>
      <c r="AA163" s="10" t="s">
        <v>124</v>
      </c>
      <c r="AB163" s="19">
        <v>579</v>
      </c>
      <c r="AC163" s="20">
        <v>30</v>
      </c>
      <c r="AD163" s="18">
        <f>DATA[[#This Row],[FECHA DE EMISION]]+DATA[[#This Row],[CONDICION DE PAGO]]</f>
        <v>45746</v>
      </c>
      <c r="AE163" s="23" t="e">
        <f>IF(DATA[[#This Row],[MONEDA]]="USD",VLOOKUP(DATA[[#This Row],[COMBINADA]],#REF!,11,0),1)</f>
        <v>#REF!</v>
      </c>
      <c r="AF163" s="39" t="str">
        <f>IF(DATA[[#This Row],[SERIE2]]="-","NO CORRESPONDE",IF(W163="NO CORRESPONDE","NO CORRESPONDE",IF(Z163&gt;0,"FACTURADO","PENDIENTE")))</f>
        <v>FACTURADO</v>
      </c>
      <c r="AG163" s="27">
        <f>IFERROR(VLOOKUP(DATA[[#This Row],[COMBINADA]],#REF!,6,0),0)</f>
        <v>0</v>
      </c>
      <c r="AH163" s="125">
        <f>IFERROR(VLOOKUP(DATA[[#This Row],[COMBINADA]],#REF!,9,0),0)/COUNTIFS(DATA[COMBINADA],DATA[[#This Row],[COMBINADA]])</f>
        <v>0</v>
      </c>
      <c r="AI163" s="27">
        <f>IFERROR(VLOOKUP(DATA[[#This Row],[COMBINADA]],#REF!,6,0),0)</f>
        <v>0</v>
      </c>
      <c r="AJ163" s="125">
        <f>IFERROR(VLOOKUP(DATA[[#This Row],[COMBINADA]],#REF!,9,0),0)/COUNTIFS(DATA[COMBINADA],DATA[[#This Row],[COMBINADA]])</f>
        <v>0</v>
      </c>
      <c r="AK163" s="27">
        <f>IFERROR(VLOOKUP(DATA[[#This Row],[COMBINADA]],#REF!,6,0),0)</f>
        <v>0</v>
      </c>
      <c r="AL163" s="125">
        <f>IFERROR(VLOOKUP(DATA[[#This Row],[COMBINADA]],#REF!,9,0),0)/COUNTIFS(DATA[COMBINADA],DATA[[#This Row],[COMBINADA]])</f>
        <v>0</v>
      </c>
      <c r="AM163" s="27">
        <f>IFERROR(VLOOKUP(DATA[[#This Row],[COMBINADA]],#REF!,6,0),0)</f>
        <v>0</v>
      </c>
      <c r="AN163" s="125">
        <f>IFERROR(VLOOKUP(DATA[[#This Row],[COMBINADA]],#REF!,9,0),0)/COUNTIFS(DATA[COMBINADA],DATA[[#This Row],[COMBINADA]])</f>
        <v>0</v>
      </c>
      <c r="AO163" s="27">
        <f>IFERROR(VLOOKUP(DATA[[#This Row],[COMBINADA]],#REF!,6,0),0)</f>
        <v>0</v>
      </c>
      <c r="AP163" s="125">
        <f>IFERROR(VLOOKUP(DATA[[#This Row],[COMBINADA]],#REF!,9,0),0)/COUNTIFS(DATA[COMBINADA],DATA[[#This Row],[COMBINADA]])</f>
        <v>0</v>
      </c>
      <c r="AQ16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603.34285714285716</v>
      </c>
      <c r="AR163" s="26" t="str">
        <f>IFERROR(IF(DATA[[#This Row],[estado_fact]]="FACTURADO",VLOOKUP(DATA[[#This Row],[SERIE2]]&amp;"-"&amp;DATA[[#This Row],[NUMERO]],#REF!,34,0),"NO CORRESPONDE"),"NO CORRESPONDE")</f>
        <v>NO CORRESPONDE</v>
      </c>
      <c r="AS163" s="65" t="str">
        <f>IF(DATA[[#This Row],[fecha_fs]]&gt;0,TEXT(DATA[[#This Row],[fecha_fs]],"Mmmm"),0)</f>
        <v>Febrero</v>
      </c>
      <c r="AT163" s="22" t="str">
        <f>DATA[[#This Row],[SERIE2]]&amp;"-"&amp;DATA[[#This Row],[NUMERO]]</f>
        <v>FE01-579</v>
      </c>
      <c r="AU163" s="28" t="e">
        <f>DATA[[#This Row],[TOTAL]]*DATA[[#This Row],[T.C.]]</f>
        <v>#REF!</v>
      </c>
      <c r="AV163" s="6">
        <f>DATA[[#This Row],[FECHA DE VAL.]]</f>
        <v>45714</v>
      </c>
      <c r="AW163" s="6">
        <f>DATA[[#This Row],[FECHA DE EMISION]]</f>
        <v>45716</v>
      </c>
      <c r="AX163" s="6">
        <f>DATA[[#This Row],[F1]]</f>
        <v>0</v>
      </c>
      <c r="AY163" s="20">
        <f>IF(AV163-DATA[[#This Row],[fecha_fs]]&lt;0,0,AV163-DATA[[#This Row],[fecha_fs]])</f>
        <v>22</v>
      </c>
      <c r="AZ163" s="20">
        <f t="shared" si="16"/>
        <v>2</v>
      </c>
      <c r="BA163" s="20">
        <f t="shared" si="17"/>
        <v>0</v>
      </c>
      <c r="BB163" s="195">
        <f>IFERROR(SUM(DATA[[#This Row],[fs_val_ttf]:[fact_pago_ttf]]),0)</f>
        <v>24</v>
      </c>
      <c r="BC163" s="185">
        <v>45692</v>
      </c>
      <c r="BD163" s="185">
        <v>45751</v>
      </c>
      <c r="BE163" s="185">
        <v>45755</v>
      </c>
      <c r="BF163" s="185">
        <v>45760</v>
      </c>
      <c r="BG163" s="20">
        <f>IFERROR(IF(BC163-DATA[[#This Row],[fecha_fs]]&lt;0,0,BC163-DATA[[#This Row],[fecha_fs]]),0)</f>
        <v>0</v>
      </c>
      <c r="BH163" s="20">
        <f t="shared" si="18"/>
        <v>59</v>
      </c>
      <c r="BI163" s="20">
        <f t="shared" si="19"/>
        <v>4</v>
      </c>
      <c r="BJ163" s="20">
        <f t="shared" si="20"/>
        <v>5</v>
      </c>
      <c r="BK163" s="218">
        <f>IFERROR(SUM(DATA[[#This Row],[fs_fd_ttd]:[fend_fenf_ttd]]),0)</f>
        <v>68</v>
      </c>
      <c r="BL163" s="20" t="str">
        <f>IF(DATA[[#This Row],[fecha_fs]]&gt;0,TEXT(DATA[[#This Row],[fecha_fs]],"YYYY"),0)</f>
        <v>2025</v>
      </c>
      <c r="BM163" s="221" t="b">
        <v>1</v>
      </c>
      <c r="BN163" s="278">
        <f>COUNTIF(DATA[[#This Row],[tiempo_td]], "&lt;=15")</f>
        <v>0</v>
      </c>
      <c r="BO163" s="222"/>
    </row>
    <row r="164" spans="1:67" ht="30" customHeight="1" x14ac:dyDescent="0.25">
      <c r="A164" s="4">
        <v>20553956324</v>
      </c>
      <c r="B164" s="5" t="s">
        <v>281</v>
      </c>
      <c r="C164" s="52" t="s">
        <v>175</v>
      </c>
      <c r="D164" s="4" t="s">
        <v>120</v>
      </c>
      <c r="E164" s="5" t="s">
        <v>3</v>
      </c>
      <c r="F164" s="24">
        <v>45691</v>
      </c>
      <c r="G164" s="7" t="s">
        <v>113</v>
      </c>
      <c r="H164" s="25">
        <f t="shared" si="15"/>
        <v>1</v>
      </c>
      <c r="I164" s="67">
        <v>4065</v>
      </c>
      <c r="J164" s="8" t="s">
        <v>115</v>
      </c>
      <c r="K164" s="9" t="s">
        <v>121</v>
      </c>
      <c r="L164" s="10" t="s">
        <v>117</v>
      </c>
      <c r="M164" s="11">
        <v>70</v>
      </c>
      <c r="N164" s="12" t="s">
        <v>125</v>
      </c>
      <c r="O164" s="6">
        <v>45716</v>
      </c>
      <c r="P164" s="109">
        <v>3328</v>
      </c>
      <c r="Q164" s="14" t="s">
        <v>85</v>
      </c>
      <c r="R164" s="15">
        <f>80/8</f>
        <v>10</v>
      </c>
      <c r="S164" s="56">
        <f>3160.8/11</f>
        <v>287.34545454545457</v>
      </c>
      <c r="T164" s="15">
        <f>DATA[[#This Row],[C. DF]]+DATA[[#This Row],[C.OPE.]]</f>
        <v>297.34545454545457</v>
      </c>
      <c r="U164" s="15">
        <f>DATA[[#This Row],[SUB TOTAL]]*0.18</f>
        <v>53.522181818181821</v>
      </c>
      <c r="V164" s="15">
        <f>IFERROR(ROUND(DATA[[#This Row],[SUB TOTAL]]+DATA[[#This Row],[IGV]],2),0)</f>
        <v>350.87</v>
      </c>
      <c r="W164" s="58" t="str">
        <f>IF(DATA[[#This Row],[VALORIZACIÓN ]]="-","NO CORRESPONDE",IF(OR(A164=20558226979,A164=10470707866,A164=20111157058,A164=20100226902),"NO CORRESPONDE",IF(J164="Emitida",IF(P164&gt;0,"EMITIDA","PENDIENTE"),"NO CORRESPONDE")))</f>
        <v>EMITIDA</v>
      </c>
      <c r="X164" s="46" t="s">
        <v>192</v>
      </c>
      <c r="Y164" s="17" t="s">
        <v>118</v>
      </c>
      <c r="Z164" s="30">
        <v>45730</v>
      </c>
      <c r="AA164" s="20" t="s">
        <v>119</v>
      </c>
      <c r="AB164" s="19">
        <v>24</v>
      </c>
      <c r="AC164" s="20">
        <v>0</v>
      </c>
      <c r="AD164" s="18">
        <f>DATA[[#This Row],[FECHA DE EMISION]]+DATA[[#This Row],[CONDICION DE PAGO]]</f>
        <v>45730</v>
      </c>
      <c r="AE164" s="23">
        <f>IF(DATA[[#This Row],[MONEDA]]="USD",VLOOKUP(DATA[[#This Row],[COMBINADA]],#REF!,11,0),1)</f>
        <v>1</v>
      </c>
      <c r="AF164" s="39" t="str">
        <f>IF(DATA[[#This Row],[SERIE2]]="-","NO CORRESPONDE",IF(W164="NO CORRESPONDE","NO CORRESPONDE",IF(Z164&gt;0,"FACTURADO","PENDIENTE")))</f>
        <v>FACTURADO</v>
      </c>
      <c r="AG164" s="61">
        <f>IFERROR(VLOOKUP(DATA[[#This Row],[COMBINADA]],#REF!,6,0),0)</f>
        <v>0</v>
      </c>
      <c r="AH164" s="62">
        <f>IFERROR(VLOOKUP(DATA[[#This Row],[COMBINADA]],#REF!,9,0),0)/COUNTIFS(DATA[COMBINADA],DATA[[#This Row],[COMBINADA]])</f>
        <v>0</v>
      </c>
      <c r="AI164" s="61">
        <f>IFERROR(VLOOKUP(DATA[[#This Row],[COMBINADA]],#REF!,6,0),0)</f>
        <v>0</v>
      </c>
      <c r="AJ164" s="62">
        <f>IFERROR(VLOOKUP(DATA[[#This Row],[COMBINADA]],#REF!,9,0),0)/COUNTIFS(DATA[COMBINADA],DATA[[#This Row],[COMBINADA]])</f>
        <v>0</v>
      </c>
      <c r="AK164" s="61">
        <f>IFERROR(VLOOKUP(DATA[[#This Row],[COMBINADA]],#REF!,6,0),0)</f>
        <v>0</v>
      </c>
      <c r="AL164" s="62">
        <f>IFERROR(VLOOKUP(DATA[[#This Row],[COMBINADA]],#REF!,9,0),0)/COUNTIFS(DATA[COMBINADA],DATA[[#This Row],[COMBINADA]])</f>
        <v>0</v>
      </c>
      <c r="AM164" s="61">
        <f>IFERROR(VLOOKUP(DATA[[#This Row],[COMBINADA]],#REF!,6,0),0)</f>
        <v>0</v>
      </c>
      <c r="AN164" s="62">
        <f>IFERROR(VLOOKUP(DATA[[#This Row],[COMBINADA]],#REF!,9,0),0)/COUNTIFS(DATA[COMBINADA],DATA[[#This Row],[COMBINADA]])</f>
        <v>0</v>
      </c>
      <c r="AO164" s="61">
        <f>IFERROR(VLOOKUP(DATA[[#This Row],[COMBINADA]],#REF!,6,0),0)</f>
        <v>0</v>
      </c>
      <c r="AP164" s="62">
        <f>IFERROR(VLOOKUP(DATA[[#This Row],[COMBINADA]],#REF!,9,0),0)/COUNTIFS(DATA[COMBINADA],DATA[[#This Row],[COMBINADA]])</f>
        <v>0</v>
      </c>
      <c r="AQ164"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395.92454545454547</v>
      </c>
      <c r="AR164" s="22" t="str">
        <f>IFERROR(IF(DATA[[#This Row],[estado_fact]]="FACTURADO",VLOOKUP(DATA[[#This Row],[SERIE2]]&amp;"-"&amp;DATA[[#This Row],[NUMERO]],#REF!,34,0),"NO CORRESPONDE"),"NO CORRESPONDE")</f>
        <v>NO CORRESPONDE</v>
      </c>
      <c r="AS164" s="65" t="str">
        <f>IF(DATA[[#This Row],[fecha_fs]]&gt;0,TEXT(DATA[[#This Row],[fecha_fs]],"Mmmm"),0)</f>
        <v>Febrero</v>
      </c>
      <c r="AT164" s="22" t="str">
        <f>DATA[[#This Row],[SERIE2]]&amp;"-"&amp;DATA[[#This Row],[NUMERO]]</f>
        <v>E001-24</v>
      </c>
      <c r="AU164" s="28">
        <f>DATA[[#This Row],[TOTAL]]*DATA[[#This Row],[T.C.]]</f>
        <v>350.87</v>
      </c>
      <c r="AV164" s="6">
        <f>DATA[[#This Row],[FECHA DE VAL.]]</f>
        <v>45716</v>
      </c>
      <c r="AW164" s="6">
        <f>DATA[[#This Row],[FECHA DE EMISION]]</f>
        <v>45730</v>
      </c>
      <c r="AX164" s="6">
        <f>DATA[[#This Row],[F1]]</f>
        <v>0</v>
      </c>
      <c r="AY164" s="20">
        <f>IF(AV164-DATA[[#This Row],[fecha_fs]]&lt;0,0,AV164-DATA[[#This Row],[fecha_fs]])</f>
        <v>25</v>
      </c>
      <c r="AZ164" s="20">
        <f t="shared" si="16"/>
        <v>14</v>
      </c>
      <c r="BA164" s="20">
        <f t="shared" si="17"/>
        <v>0</v>
      </c>
      <c r="BB164" s="195">
        <f>IFERROR(SUM(DATA[[#This Row],[fs_val_ttf]:[fact_pago_ttf]]),0)</f>
        <v>39</v>
      </c>
      <c r="BC164" s="185">
        <v>45729</v>
      </c>
      <c r="BD164" s="185">
        <v>45735</v>
      </c>
      <c r="BE164" s="185">
        <v>45740</v>
      </c>
      <c r="BF164" s="185">
        <v>45759</v>
      </c>
      <c r="BG164" s="20">
        <f>IFERROR(IF(BC164-DATA[[#This Row],[fecha_fs]]&lt;0,0,BC164-DATA[[#This Row],[fecha_fs]]),0)</f>
        <v>38</v>
      </c>
      <c r="BH164" s="20">
        <f t="shared" si="18"/>
        <v>6</v>
      </c>
      <c r="BI164" s="20">
        <f t="shared" si="19"/>
        <v>5</v>
      </c>
      <c r="BJ164" s="20">
        <f t="shared" si="20"/>
        <v>19</v>
      </c>
      <c r="BK164" s="218">
        <f>IFERROR(SUM(DATA[[#This Row],[fs_fd_ttd]:[fend_fenf_ttd]]),0)</f>
        <v>68</v>
      </c>
      <c r="BL164" s="20" t="str">
        <f>IF(DATA[[#This Row],[fecha_fs]]&gt;0,TEXT(DATA[[#This Row],[fecha_fs]],"YYYY"),0)</f>
        <v>2025</v>
      </c>
      <c r="BM164" s="221" t="b">
        <v>0</v>
      </c>
      <c r="BN164" s="278">
        <f>COUNTIF(DATA[[#This Row],[tiempo_td]], "&lt;=15")</f>
        <v>0</v>
      </c>
      <c r="BO164" s="222"/>
    </row>
    <row r="165" spans="1:67" ht="30.6" customHeight="1" x14ac:dyDescent="0.25">
      <c r="A165" s="4">
        <v>20100226902</v>
      </c>
      <c r="B165" s="5" t="s">
        <v>24</v>
      </c>
      <c r="C165" s="52" t="s">
        <v>18</v>
      </c>
      <c r="D165" s="4" t="s">
        <v>120</v>
      </c>
      <c r="E165" s="5" t="s">
        <v>3</v>
      </c>
      <c r="F165" s="24">
        <v>45688</v>
      </c>
      <c r="G165" s="7" t="s">
        <v>113</v>
      </c>
      <c r="H165" s="25">
        <f t="shared" si="15"/>
        <v>1</v>
      </c>
      <c r="I165" s="67">
        <v>4066</v>
      </c>
      <c r="J165" s="8" t="s">
        <v>115</v>
      </c>
      <c r="K165" s="9" t="s">
        <v>121</v>
      </c>
      <c r="L165" s="10" t="s">
        <v>117</v>
      </c>
      <c r="M165" s="11">
        <v>370</v>
      </c>
      <c r="N165" s="12" t="s">
        <v>127</v>
      </c>
      <c r="O165" s="40"/>
      <c r="P165" s="41" t="s">
        <v>114</v>
      </c>
      <c r="Q165" s="42"/>
      <c r="R165" s="43"/>
      <c r="S165" s="43"/>
      <c r="T165" s="43">
        <f>DATA[[#This Row],[C. DF]]+DATA[[#This Row],[C.OPE.]]</f>
        <v>0</v>
      </c>
      <c r="U165" s="43">
        <f>DATA[[#This Row],[SUB TOTAL]]*0.18</f>
        <v>0</v>
      </c>
      <c r="V165" s="43">
        <f>IFERROR(ROUND(DATA[[#This Row],[SUB TOTAL]]+DATA[[#This Row],[IGV]],2),0)</f>
        <v>0</v>
      </c>
      <c r="W165" s="16" t="str">
        <f>IF(DATA[[#This Row],[VALORIZACIÓN ]]="-","NO CORRESPONDE",IF(OR(A165=20558226979,A165=10470707866,A165=20111157058,A165=20100226902),"NO CORRESPONDE",IF(J165="Emitida",IF(P165&gt;0,"EMITIDA","PENDIENTE"),"NO CORRESPONDE")))</f>
        <v>NO CORRESPONDE</v>
      </c>
      <c r="X165" s="45"/>
      <c r="Y165" s="58" t="s">
        <v>128</v>
      </c>
      <c r="Z165" s="46"/>
      <c r="AA165" s="47"/>
      <c r="AB165" s="48"/>
      <c r="AC165" s="49"/>
      <c r="AD165" s="50">
        <f>DATA[[#This Row],[FECHA DE EMISION]]+DATA[[#This Row],[CONDICION DE PAGO]]</f>
        <v>0</v>
      </c>
      <c r="AE165" s="23">
        <f>IF(DATA[[#This Row],[MONEDA]]="USD",VLOOKUP(DATA[[#This Row],[COMBINADA]],#REF!,11,0),1)</f>
        <v>1</v>
      </c>
      <c r="AF165" s="39" t="str">
        <f>IF(DATA[[#This Row],[SERIE2]]="-","NO CORRESPONDE",IF(W165="NO CORRESPONDE","NO CORRESPONDE",IF(Z165&gt;0,"FACTURADO","PENDIENTE")))</f>
        <v>NO CORRESPONDE</v>
      </c>
      <c r="AG165" s="60">
        <f>IFERROR(VLOOKUP(DATA[[#This Row],[COMBINADA]],#REF!,6,0),0)</f>
        <v>0</v>
      </c>
      <c r="AH165" s="126">
        <f>IFERROR(VLOOKUP(DATA[[#This Row],[COMBINADA]],#REF!,9,0),0)/COUNTIFS(DATA[COMBINADA],DATA[[#This Row],[COMBINADA]])</f>
        <v>0</v>
      </c>
      <c r="AI165" s="60">
        <f>IFERROR(VLOOKUP(DATA[[#This Row],[COMBINADA]],#REF!,6,0),0)</f>
        <v>0</v>
      </c>
      <c r="AJ165" s="126">
        <f>IFERROR(VLOOKUP(DATA[[#This Row],[COMBINADA]],#REF!,9,0),0)/COUNTIFS(DATA[COMBINADA],DATA[[#This Row],[COMBINADA]])</f>
        <v>0</v>
      </c>
      <c r="AK165" s="60">
        <f>IFERROR(VLOOKUP(DATA[[#This Row],[COMBINADA]],#REF!,6,0),0)</f>
        <v>0</v>
      </c>
      <c r="AL165" s="126">
        <f>IFERROR(VLOOKUP(DATA[[#This Row],[COMBINADA]],#REF!,9,0),0)/COUNTIFS(DATA[COMBINADA],DATA[[#This Row],[COMBINADA]])</f>
        <v>0</v>
      </c>
      <c r="AM165" s="60">
        <f>IFERROR(VLOOKUP(DATA[[#This Row],[COMBINADA]],#REF!,6,0),0)</f>
        <v>0</v>
      </c>
      <c r="AN165" s="126">
        <f>IFERROR(VLOOKUP(DATA[[#This Row],[COMBINADA]],#REF!,9,0),0)/COUNTIFS(DATA[COMBINADA],DATA[[#This Row],[COMBINADA]])</f>
        <v>0</v>
      </c>
      <c r="AO165" s="60">
        <f>IFERROR(VLOOKUP(DATA[[#This Row],[COMBINADA]],#REF!,6,0),0)</f>
        <v>0</v>
      </c>
      <c r="AP165" s="126">
        <f>IFERROR(VLOOKUP(DATA[[#This Row],[COMBINADA]],#REF!,9,0),0)/COUNTIFS(DATA[COMBINADA],DATA[[#This Row],[COMBINADA]])</f>
        <v>0</v>
      </c>
      <c r="AQ165"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65" s="64" t="str">
        <f>IFERROR(IF(DATA[[#This Row],[estado_fact]]="FACTURADO",VLOOKUP(DATA[[#This Row],[SERIE2]]&amp;"-"&amp;DATA[[#This Row],[NUMERO]],#REF!,34,0),"NO CORRESPONDE"),"NO CORRESPONDE")</f>
        <v>NO CORRESPONDE</v>
      </c>
      <c r="AS165" s="65" t="str">
        <f>IF(DATA[[#This Row],[fecha_fs]]&gt;0,TEXT(DATA[[#This Row],[fecha_fs]],"Mmmm"),0)</f>
        <v>Enero</v>
      </c>
      <c r="AT165" s="22" t="str">
        <f>DATA[[#This Row],[SERIE2]]&amp;"-"&amp;DATA[[#This Row],[NUMERO]]</f>
        <v>-</v>
      </c>
      <c r="AU165" s="28">
        <f>DATA[[#This Row],[TOTAL]]*DATA[[#This Row],[T.C.]]</f>
        <v>0</v>
      </c>
      <c r="AV165" s="6">
        <f>DATA[[#This Row],[FECHA DE VAL.]]</f>
        <v>0</v>
      </c>
      <c r="AW165" s="6">
        <f>DATA[[#This Row],[FECHA DE EMISION]]</f>
        <v>0</v>
      </c>
      <c r="AX165" s="6">
        <f>DATA[[#This Row],[F1]]</f>
        <v>0</v>
      </c>
      <c r="AY165" s="20">
        <f>IF(AV165-DATA[[#This Row],[fecha_fs]]&lt;0,0,AV165-DATA[[#This Row],[fecha_fs]])</f>
        <v>0</v>
      </c>
      <c r="AZ165" s="20">
        <f t="shared" si="16"/>
        <v>0</v>
      </c>
      <c r="BA165" s="20">
        <f t="shared" si="17"/>
        <v>0</v>
      </c>
      <c r="BB165" s="195">
        <f>IFERROR(SUM(DATA[[#This Row],[fs_val_ttf]:[fact_pago_ttf]]),0)</f>
        <v>0</v>
      </c>
      <c r="BC165" s="187">
        <v>45688</v>
      </c>
      <c r="BD165" s="187">
        <v>45688</v>
      </c>
      <c r="BE165" s="187">
        <v>45691</v>
      </c>
      <c r="BF165" s="187">
        <v>45691</v>
      </c>
      <c r="BG165" s="20">
        <f>IFERROR(IF(BC165-DATA[[#This Row],[fecha_fs]]&lt;0,0,BC165-DATA[[#This Row],[fecha_fs]]),0)</f>
        <v>0</v>
      </c>
      <c r="BH165" s="20">
        <f t="shared" si="18"/>
        <v>0</v>
      </c>
      <c r="BI165" s="20">
        <f t="shared" si="19"/>
        <v>3</v>
      </c>
      <c r="BJ165" s="20">
        <f t="shared" si="20"/>
        <v>0</v>
      </c>
      <c r="BK165" s="218">
        <f>IFERROR(SUM(DATA[[#This Row],[fs_fd_ttd]:[fend_fenf_ttd]]),0)</f>
        <v>3</v>
      </c>
      <c r="BL165" s="20" t="str">
        <f>IF(DATA[[#This Row],[fecha_fs]]&gt;0,TEXT(DATA[[#This Row],[fecha_fs]],"YYYY"),0)</f>
        <v>2025</v>
      </c>
      <c r="BM165" s="221" t="b">
        <v>1</v>
      </c>
      <c r="BN165" s="278">
        <f>COUNTIF(DATA[[#This Row],[tiempo_td]], "&lt;=15")</f>
        <v>1</v>
      </c>
      <c r="BO165" s="222"/>
    </row>
    <row r="166" spans="1:67" ht="30.6" customHeight="1" x14ac:dyDescent="0.25">
      <c r="A166" s="4">
        <v>20100192064</v>
      </c>
      <c r="B166" s="5" t="s">
        <v>60</v>
      </c>
      <c r="C166" s="52" t="s">
        <v>65</v>
      </c>
      <c r="D166" s="4" t="s">
        <v>120</v>
      </c>
      <c r="E166" s="5" t="s">
        <v>3</v>
      </c>
      <c r="F166" s="24">
        <v>45691</v>
      </c>
      <c r="G166" s="7" t="s">
        <v>142</v>
      </c>
      <c r="H166" s="25">
        <f t="shared" si="15"/>
        <v>2</v>
      </c>
      <c r="I166" s="67">
        <v>1038</v>
      </c>
      <c r="J166" s="8" t="s">
        <v>115</v>
      </c>
      <c r="K166" s="9" t="s">
        <v>121</v>
      </c>
      <c r="L166" s="10" t="s">
        <v>117</v>
      </c>
      <c r="M166" s="11">
        <v>430</v>
      </c>
      <c r="N166" s="12" t="s">
        <v>143</v>
      </c>
      <c r="O166" s="6">
        <v>45714</v>
      </c>
      <c r="P166" s="71">
        <v>3320</v>
      </c>
      <c r="Q166" s="14" t="s">
        <v>123</v>
      </c>
      <c r="R166" s="15">
        <f>(DATA[[#This Row],[cantidad_fs]]/1000)*(37+81.01)</f>
        <v>50.744300000000003</v>
      </c>
      <c r="S166" s="56">
        <v>103.6</v>
      </c>
      <c r="T166" s="15">
        <f>DATA[[#This Row],[C. DF]]+DATA[[#This Row],[C.OPE.]]</f>
        <v>154.3443</v>
      </c>
      <c r="U166" s="15">
        <f>DATA[[#This Row],[SUB TOTAL]]*0.18</f>
        <v>27.781973999999998</v>
      </c>
      <c r="V166" s="15">
        <f>IFERROR(ROUND(DATA[[#This Row],[SUB TOTAL]]+DATA[[#This Row],[IGV]],2),0)</f>
        <v>182.13</v>
      </c>
      <c r="W166" s="16" t="str">
        <f>IF(DATA[[#This Row],[VALORIZACIÓN ]]="-","NO CORRESPONDE",IF(OR(A166=20558226979,A166=10470707866,A166=20111157058,A166=20100226902),"NO CORRESPONDE",IF(J166="Emitida",IF(P166&gt;0,"EMITIDA","PENDIENTE"),"NO CORRESPONDE")))</f>
        <v>EMITIDA</v>
      </c>
      <c r="X166" s="29"/>
      <c r="Y166" s="17" t="s">
        <v>118</v>
      </c>
      <c r="Z166" s="30">
        <v>45716</v>
      </c>
      <c r="AA166" s="49" t="s">
        <v>124</v>
      </c>
      <c r="AB166" s="19">
        <v>583</v>
      </c>
      <c r="AC166" s="20">
        <v>15</v>
      </c>
      <c r="AD166" s="18">
        <f>DATA[[#This Row],[FECHA DE EMISION]]+DATA[[#This Row],[CONDICION DE PAGO]]</f>
        <v>45731</v>
      </c>
      <c r="AE166" s="23" t="e">
        <f>IF(DATA[[#This Row],[MONEDA]]="USD",VLOOKUP(DATA[[#This Row],[COMBINADA]],#REF!,11,0),1)</f>
        <v>#REF!</v>
      </c>
      <c r="AF166" s="39" t="str">
        <f>IF(DATA[[#This Row],[SERIE2]]="-","NO CORRESPONDE",IF(W166="NO CORRESPONDE","NO CORRESPONDE",IF(Z166&gt;0,"FACTURADO","PENDIENTE")))</f>
        <v>FACTURADO</v>
      </c>
      <c r="AG166" s="27">
        <f>IFERROR(VLOOKUP(DATA[[#This Row],[COMBINADA]],#REF!,6,0),0)</f>
        <v>0</v>
      </c>
      <c r="AH166" s="125">
        <f>IFERROR(VLOOKUP(DATA[[#This Row],[COMBINADA]],#REF!,9,0),0)/COUNTIFS(DATA[COMBINADA],DATA[[#This Row],[COMBINADA]])</f>
        <v>0</v>
      </c>
      <c r="AI166" s="27">
        <f>IFERROR(VLOOKUP(DATA[[#This Row],[COMBINADA]],#REF!,6,0),0)</f>
        <v>0</v>
      </c>
      <c r="AJ166" s="125">
        <f>IFERROR(VLOOKUP(DATA[[#This Row],[COMBINADA]],#REF!,9,0),0)/COUNTIFS(DATA[COMBINADA],DATA[[#This Row],[COMBINADA]])</f>
        <v>0</v>
      </c>
      <c r="AK166" s="27">
        <f>IFERROR(VLOOKUP(DATA[[#This Row],[COMBINADA]],#REF!,6,0),0)</f>
        <v>0</v>
      </c>
      <c r="AL166" s="125">
        <f>IFERROR(VLOOKUP(DATA[[#This Row],[COMBINADA]],#REF!,9,0),0)/COUNTIFS(DATA[COMBINADA],DATA[[#This Row],[COMBINADA]])</f>
        <v>0</v>
      </c>
      <c r="AM166" s="27">
        <f>IFERROR(VLOOKUP(DATA[[#This Row],[COMBINADA]],#REF!,6,0),0)</f>
        <v>0</v>
      </c>
      <c r="AN166" s="125">
        <f>IFERROR(VLOOKUP(DATA[[#This Row],[COMBINADA]],#REF!,9,0),0)/COUNTIFS(DATA[COMBINADA],DATA[[#This Row],[COMBINADA]])</f>
        <v>0</v>
      </c>
      <c r="AO166" s="27">
        <f>IFERROR(VLOOKUP(DATA[[#This Row],[COMBINADA]],#REF!,6,0),0)</f>
        <v>0</v>
      </c>
      <c r="AP166" s="125">
        <f>IFERROR(VLOOKUP(DATA[[#This Row],[COMBINADA]],#REF!,9,0),0)/COUNTIFS(DATA[COMBINADA],DATA[[#This Row],[COMBINADA]])</f>
        <v>0</v>
      </c>
      <c r="AQ16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677.24384615384611</v>
      </c>
      <c r="AR166" s="26" t="str">
        <f>IFERROR(IF(DATA[[#This Row],[estado_fact]]="FACTURADO",VLOOKUP(DATA[[#This Row],[SERIE2]]&amp;"-"&amp;DATA[[#This Row],[NUMERO]],#REF!,34,0),"NO CORRESPONDE"),"NO CORRESPONDE")</f>
        <v>NO CORRESPONDE</v>
      </c>
      <c r="AS166" s="65" t="str">
        <f>IF(DATA[[#This Row],[fecha_fs]]&gt;0,TEXT(DATA[[#This Row],[fecha_fs]],"Mmmm"),0)</f>
        <v>Febrero</v>
      </c>
      <c r="AT166" s="22" t="str">
        <f>DATA[[#This Row],[SERIE2]]&amp;"-"&amp;DATA[[#This Row],[NUMERO]]</f>
        <v>FE01-583</v>
      </c>
      <c r="AU166" s="28" t="e">
        <f>DATA[[#This Row],[TOTAL]]*DATA[[#This Row],[T.C.]]</f>
        <v>#REF!</v>
      </c>
      <c r="AV166" s="6">
        <f>DATA[[#This Row],[FECHA DE VAL.]]</f>
        <v>45714</v>
      </c>
      <c r="AW166" s="6">
        <f>DATA[[#This Row],[FECHA DE EMISION]]</f>
        <v>45716</v>
      </c>
      <c r="AX166" s="6">
        <f>DATA[[#This Row],[F1]]</f>
        <v>0</v>
      </c>
      <c r="AY166" s="20">
        <f>IF(AV166-DATA[[#This Row],[fecha_fs]]&lt;0,0,AV166-DATA[[#This Row],[fecha_fs]])</f>
        <v>23</v>
      </c>
      <c r="AZ166" s="20">
        <f t="shared" si="16"/>
        <v>2</v>
      </c>
      <c r="BA166" s="20">
        <f t="shared" si="17"/>
        <v>0</v>
      </c>
      <c r="BB166" s="195">
        <f>IFERROR(SUM(DATA[[#This Row],[fs_val_ttf]:[fact_pago_ttf]]),0)</f>
        <v>25</v>
      </c>
      <c r="BC166" s="185">
        <v>45693</v>
      </c>
      <c r="BD166" s="185">
        <v>45700</v>
      </c>
      <c r="BE166" s="185">
        <v>45737</v>
      </c>
      <c r="BF166" s="185">
        <v>45760</v>
      </c>
      <c r="BG166" s="20">
        <f>IFERROR(IF(BC166-DATA[[#This Row],[fecha_fs]]&lt;0,0,BC166-DATA[[#This Row],[fecha_fs]]),0)</f>
        <v>2</v>
      </c>
      <c r="BH166" s="20">
        <f t="shared" si="18"/>
        <v>7</v>
      </c>
      <c r="BI166" s="20">
        <f t="shared" si="19"/>
        <v>37</v>
      </c>
      <c r="BJ166" s="20">
        <f t="shared" si="20"/>
        <v>23</v>
      </c>
      <c r="BK166" s="218">
        <f>IFERROR(SUM(DATA[[#This Row],[fs_fd_ttd]:[fend_fenf_ttd]]),0)</f>
        <v>69</v>
      </c>
      <c r="BL166" s="20" t="str">
        <f>IF(DATA[[#This Row],[fecha_fs]]&gt;0,TEXT(DATA[[#This Row],[fecha_fs]],"YYYY"),0)</f>
        <v>2025</v>
      </c>
      <c r="BM166" s="221" t="b">
        <v>1</v>
      </c>
      <c r="BN166" s="278">
        <f>COUNTIF(DATA[[#This Row],[tiempo_td]], "&lt;=15")</f>
        <v>0</v>
      </c>
      <c r="BO166" s="222"/>
    </row>
    <row r="167" spans="1:67" ht="30.6" customHeight="1" x14ac:dyDescent="0.25">
      <c r="A167" s="4">
        <v>20558353814</v>
      </c>
      <c r="B167" s="5" t="s">
        <v>275</v>
      </c>
      <c r="C167" s="52" t="s">
        <v>194</v>
      </c>
      <c r="D167" s="4" t="s">
        <v>290</v>
      </c>
      <c r="E167" s="5" t="s">
        <v>294</v>
      </c>
      <c r="F167" s="24">
        <v>45686</v>
      </c>
      <c r="G167" s="7" t="s">
        <v>142</v>
      </c>
      <c r="H167" s="25">
        <f t="shared" si="15"/>
        <v>2</v>
      </c>
      <c r="I167" s="67">
        <v>1039</v>
      </c>
      <c r="J167" s="8" t="s">
        <v>115</v>
      </c>
      <c r="K167" s="9" t="s">
        <v>195</v>
      </c>
      <c r="L167" s="10" t="s">
        <v>117</v>
      </c>
      <c r="M167" s="11">
        <v>6750</v>
      </c>
      <c r="N167" s="12" t="s">
        <v>196</v>
      </c>
      <c r="O167" s="6">
        <v>45688</v>
      </c>
      <c r="P167" s="13">
        <v>3278</v>
      </c>
      <c r="Q167" s="14" t="s">
        <v>85</v>
      </c>
      <c r="R167" s="15">
        <f>(DATA[[#This Row],[cantidad_fs]]*0.07)</f>
        <v>472.50000000000006</v>
      </c>
      <c r="S167" s="56">
        <v>1690</v>
      </c>
      <c r="T167" s="15">
        <f>DATA[[#This Row],[C. DF]]+DATA[[#This Row],[C.OPE.]]</f>
        <v>2162.5</v>
      </c>
      <c r="U167" s="15">
        <f>DATA[[#This Row],[SUB TOTAL]]*0.18</f>
        <v>389.25</v>
      </c>
      <c r="V167" s="15">
        <f>IFERROR(ROUND(DATA[[#This Row],[SUB TOTAL]]+DATA[[#This Row],[IGV]],2),0)</f>
        <v>2551.75</v>
      </c>
      <c r="W167" s="16" t="str">
        <f>IF(DATA[[#This Row],[VALORIZACIÓN ]]="-","NO CORRESPONDE",IF(OR(A167=20558226979,A167=10470707866,A167=20111157058,A167=20100226902),"NO CORRESPONDE",IF(J167="Emitida",IF(P167&gt;0,"EMITIDA","PENDIENTE"),"NO CORRESPONDE")))</f>
        <v>EMITIDA</v>
      </c>
      <c r="X167" s="29" t="s">
        <v>197</v>
      </c>
      <c r="Y167" s="17" t="s">
        <v>118</v>
      </c>
      <c r="Z167" s="30">
        <v>45701</v>
      </c>
      <c r="AA167" s="49" t="s">
        <v>124</v>
      </c>
      <c r="AB167" s="19">
        <v>561</v>
      </c>
      <c r="AC167" s="20">
        <v>5</v>
      </c>
      <c r="AD167" s="18">
        <f>DATA[[#This Row],[FECHA DE EMISION]]+DATA[[#This Row],[CONDICION DE PAGO]]</f>
        <v>45706</v>
      </c>
      <c r="AE167" s="23">
        <f>IF(DATA[[#This Row],[MONEDA]]="USD",VLOOKUP(DATA[[#This Row],[COMBINADA]],#REF!,11,0),1)</f>
        <v>1</v>
      </c>
      <c r="AF167" s="39" t="str">
        <f>IF(DATA[[#This Row],[SERIE2]]="-","NO CORRESPONDE",IF(W167="NO CORRESPONDE","NO CORRESPONDE",IF(Z167&gt;0,"FACTURADO","PENDIENTE")))</f>
        <v>FACTURADO</v>
      </c>
      <c r="AG167" s="27">
        <f>IFERROR(VLOOKUP(DATA[[#This Row],[COMBINADA]],#REF!,6,0),0)</f>
        <v>0</v>
      </c>
      <c r="AH167" s="125">
        <f>IFERROR(VLOOKUP(DATA[[#This Row],[COMBINADA]],#REF!,9,0),0)/COUNTIFS(DATA[COMBINADA],DATA[[#This Row],[COMBINADA]])</f>
        <v>0</v>
      </c>
      <c r="AI167" s="27">
        <f>IFERROR(VLOOKUP(DATA[[#This Row],[COMBINADA]],#REF!,6,0),0)</f>
        <v>0</v>
      </c>
      <c r="AJ167" s="125">
        <f>IFERROR(VLOOKUP(DATA[[#This Row],[COMBINADA]],#REF!,9,0),0)/COUNTIFS(DATA[COMBINADA],DATA[[#This Row],[COMBINADA]])</f>
        <v>0</v>
      </c>
      <c r="AK167" s="27">
        <f>IFERROR(VLOOKUP(DATA[[#This Row],[COMBINADA]],#REF!,6,0),0)</f>
        <v>0</v>
      </c>
      <c r="AL167" s="125">
        <f>IFERROR(VLOOKUP(DATA[[#This Row],[COMBINADA]],#REF!,9,0),0)/COUNTIFS(DATA[COMBINADA],DATA[[#This Row],[COMBINADA]])</f>
        <v>0</v>
      </c>
      <c r="AM167" s="27">
        <f>IFERROR(VLOOKUP(DATA[[#This Row],[COMBINADA]],#REF!,6,0),0)</f>
        <v>0</v>
      </c>
      <c r="AN167" s="125">
        <f>IFERROR(VLOOKUP(DATA[[#This Row],[COMBINADA]],#REF!,9,0),0)/COUNTIFS(DATA[COMBINADA],DATA[[#This Row],[COMBINADA]])</f>
        <v>0</v>
      </c>
      <c r="AO167" s="27">
        <f>IFERROR(VLOOKUP(DATA[[#This Row],[COMBINADA]],#REF!,6,0),0)</f>
        <v>0</v>
      </c>
      <c r="AP167" s="125">
        <f>IFERROR(VLOOKUP(DATA[[#This Row],[COMBINADA]],#REF!,9,0),0)/COUNTIFS(DATA[COMBINADA],DATA[[#This Row],[COMBINADA]])</f>
        <v>0</v>
      </c>
      <c r="AQ16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2485.2550000000001</v>
      </c>
      <c r="AR167" s="26" t="str">
        <f>IFERROR(IF(DATA[[#This Row],[estado_fact]]="FACTURADO",VLOOKUP(DATA[[#This Row],[SERIE2]]&amp;"-"&amp;DATA[[#This Row],[NUMERO]],#REF!,34,0),"NO CORRESPONDE"),"NO CORRESPONDE")</f>
        <v>NO CORRESPONDE</v>
      </c>
      <c r="AS167" s="65" t="str">
        <f>IF(DATA[[#This Row],[fecha_fs]]&gt;0,TEXT(DATA[[#This Row],[fecha_fs]],"Mmmm"),0)</f>
        <v>Enero</v>
      </c>
      <c r="AT167" s="22" t="str">
        <f>DATA[[#This Row],[SERIE2]]&amp;"-"&amp;DATA[[#This Row],[NUMERO]]</f>
        <v>FE01-561</v>
      </c>
      <c r="AU167" s="28">
        <f>DATA[[#This Row],[TOTAL]]*DATA[[#This Row],[T.C.]]</f>
        <v>2551.75</v>
      </c>
      <c r="AV167" s="6">
        <f>DATA[[#This Row],[FECHA DE VAL.]]</f>
        <v>45688</v>
      </c>
      <c r="AW167" s="6">
        <f>DATA[[#This Row],[FECHA DE EMISION]]</f>
        <v>45701</v>
      </c>
      <c r="AX167" s="6">
        <f>DATA[[#This Row],[F1]]</f>
        <v>0</v>
      </c>
      <c r="AY167" s="20">
        <f>IF(AV167-DATA[[#This Row],[fecha_fs]]&lt;0,0,AV167-DATA[[#This Row],[fecha_fs]])</f>
        <v>2</v>
      </c>
      <c r="AZ167" s="20">
        <f t="shared" si="16"/>
        <v>13</v>
      </c>
      <c r="BA167" s="20">
        <f t="shared" si="17"/>
        <v>0</v>
      </c>
      <c r="BB167" s="195">
        <f>IFERROR(SUM(DATA[[#This Row],[fs_val_ttf]:[fact_pago_ttf]]),0)</f>
        <v>15</v>
      </c>
      <c r="BC167" s="185">
        <v>45712</v>
      </c>
      <c r="BD167" s="185">
        <v>45726</v>
      </c>
      <c r="BE167" s="185">
        <v>45727</v>
      </c>
      <c r="BF167" s="185">
        <v>45761</v>
      </c>
      <c r="BG167" s="20">
        <f>IFERROR(IF(BC167-DATA[[#This Row],[fecha_fs]]&lt;0,0,BC167-DATA[[#This Row],[fecha_fs]]),0)</f>
        <v>26</v>
      </c>
      <c r="BH167" s="20">
        <f t="shared" si="18"/>
        <v>14</v>
      </c>
      <c r="BI167" s="20">
        <f t="shared" si="19"/>
        <v>1</v>
      </c>
      <c r="BJ167" s="20">
        <f t="shared" si="20"/>
        <v>34</v>
      </c>
      <c r="BK167" s="218">
        <f>IFERROR(SUM(DATA[[#This Row],[fs_fd_ttd]:[fend_fenf_ttd]]),0)</f>
        <v>75</v>
      </c>
      <c r="BL167" s="20" t="str">
        <f>IF(DATA[[#This Row],[fecha_fs]]&gt;0,TEXT(DATA[[#This Row],[fecha_fs]],"YYYY"),0)</f>
        <v>2025</v>
      </c>
      <c r="BM167" s="221" t="b">
        <v>1</v>
      </c>
      <c r="BN167" s="278">
        <f>COUNTIF(DATA[[#This Row],[tiempo_td]], "&lt;=15")</f>
        <v>0</v>
      </c>
      <c r="BO167" s="222"/>
    </row>
    <row r="168" spans="1:67" ht="30.6" customHeight="1" x14ac:dyDescent="0.25">
      <c r="A168" s="4">
        <v>20558353814</v>
      </c>
      <c r="B168" s="5" t="s">
        <v>275</v>
      </c>
      <c r="C168" s="52" t="s">
        <v>194</v>
      </c>
      <c r="D168" s="4" t="s">
        <v>290</v>
      </c>
      <c r="E168" s="5" t="s">
        <v>294</v>
      </c>
      <c r="F168" s="24">
        <v>45687</v>
      </c>
      <c r="G168" s="7" t="s">
        <v>142</v>
      </c>
      <c r="H168" s="25">
        <f t="shared" si="15"/>
        <v>2</v>
      </c>
      <c r="I168" s="67">
        <v>1040</v>
      </c>
      <c r="J168" s="8" t="s">
        <v>115</v>
      </c>
      <c r="K168" s="9" t="s">
        <v>195</v>
      </c>
      <c r="L168" s="10" t="s">
        <v>117</v>
      </c>
      <c r="M168" s="11">
        <v>5140</v>
      </c>
      <c r="N168" s="12" t="s">
        <v>143</v>
      </c>
      <c r="O168" s="6">
        <v>45688</v>
      </c>
      <c r="P168" s="13">
        <v>3278</v>
      </c>
      <c r="Q168" s="14" t="s">
        <v>85</v>
      </c>
      <c r="R168" s="15">
        <f>(DATA[[#This Row],[cantidad_fs]]*0.07)</f>
        <v>359.8</v>
      </c>
      <c r="S168" s="56">
        <v>1690</v>
      </c>
      <c r="T168" s="15">
        <f>DATA[[#This Row],[C. DF]]+DATA[[#This Row],[C.OPE.]]</f>
        <v>2049.8000000000002</v>
      </c>
      <c r="U168" s="15">
        <f>DATA[[#This Row],[SUB TOTAL]]*0.18</f>
        <v>368.964</v>
      </c>
      <c r="V168" s="15">
        <f>IFERROR(ROUND(DATA[[#This Row],[SUB TOTAL]]+DATA[[#This Row],[IGV]],2),0)</f>
        <v>2418.7600000000002</v>
      </c>
      <c r="W168" s="16" t="str">
        <f>IF(DATA[[#This Row],[VALORIZACIÓN ]]="-","NO CORRESPONDE",IF(OR(A168=20558226979,A168=10470707866,A168=20111157058,A168=20100226902),"NO CORRESPONDE",IF(J168="Emitida",IF(P168&gt;0,"EMITIDA","PENDIENTE"),"NO CORRESPONDE")))</f>
        <v>EMITIDA</v>
      </c>
      <c r="X168" s="29" t="s">
        <v>197</v>
      </c>
      <c r="Y168" s="17" t="s">
        <v>118</v>
      </c>
      <c r="Z168" s="30">
        <v>45701</v>
      </c>
      <c r="AA168" s="49" t="s">
        <v>124</v>
      </c>
      <c r="AB168" s="19">
        <v>561</v>
      </c>
      <c r="AC168" s="20">
        <v>5</v>
      </c>
      <c r="AD168" s="18">
        <f>DATA[[#This Row],[FECHA DE EMISION]]+DATA[[#This Row],[CONDICION DE PAGO]]</f>
        <v>45706</v>
      </c>
      <c r="AE168" s="23">
        <f>IF(DATA[[#This Row],[MONEDA]]="USD",VLOOKUP(DATA[[#This Row],[COMBINADA]],#REF!,11,0),1)</f>
        <v>1</v>
      </c>
      <c r="AF168" s="39" t="str">
        <f>IF(DATA[[#This Row],[SERIE2]]="-","NO CORRESPONDE",IF(W168="NO CORRESPONDE","NO CORRESPONDE",IF(Z168&gt;0,"FACTURADO","PENDIENTE")))</f>
        <v>FACTURADO</v>
      </c>
      <c r="AG168" s="27">
        <f>IFERROR(VLOOKUP(DATA[[#This Row],[COMBINADA]],#REF!,6,0),0)</f>
        <v>0</v>
      </c>
      <c r="AH168" s="125">
        <f>IFERROR(VLOOKUP(DATA[[#This Row],[COMBINADA]],#REF!,9,0),0)/COUNTIFS(DATA[COMBINADA],DATA[[#This Row],[COMBINADA]])</f>
        <v>0</v>
      </c>
      <c r="AI168" s="27">
        <f>IFERROR(VLOOKUP(DATA[[#This Row],[COMBINADA]],#REF!,6,0),0)</f>
        <v>0</v>
      </c>
      <c r="AJ168" s="125">
        <f>IFERROR(VLOOKUP(DATA[[#This Row],[COMBINADA]],#REF!,9,0),0)/COUNTIFS(DATA[COMBINADA],DATA[[#This Row],[COMBINADA]])</f>
        <v>0</v>
      </c>
      <c r="AK168" s="27">
        <f>IFERROR(VLOOKUP(DATA[[#This Row],[COMBINADA]],#REF!,6,0),0)</f>
        <v>0</v>
      </c>
      <c r="AL168" s="125">
        <f>IFERROR(VLOOKUP(DATA[[#This Row],[COMBINADA]],#REF!,9,0),0)/COUNTIFS(DATA[COMBINADA],DATA[[#This Row],[COMBINADA]])</f>
        <v>0</v>
      </c>
      <c r="AM168" s="27">
        <f>IFERROR(VLOOKUP(DATA[[#This Row],[COMBINADA]],#REF!,6,0),0)</f>
        <v>0</v>
      </c>
      <c r="AN168" s="125">
        <f>IFERROR(VLOOKUP(DATA[[#This Row],[COMBINADA]],#REF!,9,0),0)/COUNTIFS(DATA[COMBINADA],DATA[[#This Row],[COMBINADA]])</f>
        <v>0</v>
      </c>
      <c r="AO168" s="27">
        <f>IFERROR(VLOOKUP(DATA[[#This Row],[COMBINADA]],#REF!,6,0),0)</f>
        <v>0</v>
      </c>
      <c r="AP168" s="125">
        <f>IFERROR(VLOOKUP(DATA[[#This Row],[COMBINADA]],#REF!,9,0),0)/COUNTIFS(DATA[COMBINADA],DATA[[#This Row],[COMBINADA]])</f>
        <v>0</v>
      </c>
      <c r="AQ16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2485.2550000000001</v>
      </c>
      <c r="AR168" s="26" t="str">
        <f>IFERROR(IF(DATA[[#This Row],[estado_fact]]="FACTURADO",VLOOKUP(DATA[[#This Row],[SERIE2]]&amp;"-"&amp;DATA[[#This Row],[NUMERO]],#REF!,34,0),"NO CORRESPONDE"),"NO CORRESPONDE")</f>
        <v>NO CORRESPONDE</v>
      </c>
      <c r="AS168" s="65" t="str">
        <f>IF(DATA[[#This Row],[fecha_fs]]&gt;0,TEXT(DATA[[#This Row],[fecha_fs]],"Mmmm"),0)</f>
        <v>Enero</v>
      </c>
      <c r="AT168" s="22" t="str">
        <f>DATA[[#This Row],[SERIE2]]&amp;"-"&amp;DATA[[#This Row],[NUMERO]]</f>
        <v>FE01-561</v>
      </c>
      <c r="AU168" s="28">
        <f>DATA[[#This Row],[TOTAL]]*DATA[[#This Row],[T.C.]]</f>
        <v>2418.7600000000002</v>
      </c>
      <c r="AV168" s="6">
        <f>DATA[[#This Row],[FECHA DE VAL.]]</f>
        <v>45688</v>
      </c>
      <c r="AW168" s="6">
        <f>DATA[[#This Row],[FECHA DE EMISION]]</f>
        <v>45701</v>
      </c>
      <c r="AX168" s="6">
        <f>DATA[[#This Row],[F1]]</f>
        <v>0</v>
      </c>
      <c r="AY168" s="20">
        <f>IF(AV168-DATA[[#This Row],[fecha_fs]]&lt;0,0,AV168-DATA[[#This Row],[fecha_fs]])</f>
        <v>1</v>
      </c>
      <c r="AZ168" s="20">
        <f t="shared" si="16"/>
        <v>13</v>
      </c>
      <c r="BA168" s="20">
        <f t="shared" si="17"/>
        <v>0</v>
      </c>
      <c r="BB168" s="195">
        <f>IFERROR(SUM(DATA[[#This Row],[fs_val_ttf]:[fact_pago_ttf]]),0)</f>
        <v>14</v>
      </c>
      <c r="BC168" s="185">
        <v>45712</v>
      </c>
      <c r="BD168" s="185">
        <v>45726</v>
      </c>
      <c r="BE168" s="185">
        <v>45727</v>
      </c>
      <c r="BF168" s="185">
        <v>45761</v>
      </c>
      <c r="BG168" s="20">
        <f>IFERROR(IF(BC168-DATA[[#This Row],[fecha_fs]]&lt;0,0,BC168-DATA[[#This Row],[fecha_fs]]),0)</f>
        <v>25</v>
      </c>
      <c r="BH168" s="20">
        <f t="shared" si="18"/>
        <v>14</v>
      </c>
      <c r="BI168" s="20">
        <f t="shared" si="19"/>
        <v>1</v>
      </c>
      <c r="BJ168" s="20">
        <f t="shared" si="20"/>
        <v>34</v>
      </c>
      <c r="BK168" s="218">
        <f>IFERROR(SUM(DATA[[#This Row],[fs_fd_ttd]:[fend_fenf_ttd]]),0)</f>
        <v>74</v>
      </c>
      <c r="BL168" s="20" t="str">
        <f>IF(DATA[[#This Row],[fecha_fs]]&gt;0,TEXT(DATA[[#This Row],[fecha_fs]],"YYYY"),0)</f>
        <v>2025</v>
      </c>
      <c r="BM168" s="221" t="b">
        <v>1</v>
      </c>
      <c r="BN168" s="278">
        <f>COUNTIF(DATA[[#This Row],[tiempo_td]], "&lt;=15")</f>
        <v>0</v>
      </c>
      <c r="BO168" s="222"/>
    </row>
    <row r="169" spans="1:67" ht="30.6" customHeight="1" x14ac:dyDescent="0.25">
      <c r="A169" s="4">
        <v>20100192064</v>
      </c>
      <c r="B169" s="5" t="s">
        <v>60</v>
      </c>
      <c r="C169" s="52" t="s">
        <v>65</v>
      </c>
      <c r="D169" s="4" t="s">
        <v>112</v>
      </c>
      <c r="E169" s="5" t="s">
        <v>1</v>
      </c>
      <c r="F169" s="24">
        <v>45691</v>
      </c>
      <c r="G169" s="7" t="s">
        <v>142</v>
      </c>
      <c r="H169" s="25">
        <f t="shared" si="15"/>
        <v>2</v>
      </c>
      <c r="I169" s="67">
        <v>1041</v>
      </c>
      <c r="J169" s="8" t="s">
        <v>115</v>
      </c>
      <c r="K169" s="9" t="s">
        <v>116</v>
      </c>
      <c r="L169" s="10" t="s">
        <v>117</v>
      </c>
      <c r="M169" s="11">
        <v>7280</v>
      </c>
      <c r="N169" s="12" t="s">
        <v>143</v>
      </c>
      <c r="O169" s="6">
        <v>45714</v>
      </c>
      <c r="P169" s="71">
        <v>3321</v>
      </c>
      <c r="Q169" s="14" t="s">
        <v>123</v>
      </c>
      <c r="R169" s="15">
        <f>(DATA[[#This Row],[cantidad_fs]]/1000)*(147+81.01)</f>
        <v>1659.9128000000001</v>
      </c>
      <c r="S169" s="56">
        <v>103.6</v>
      </c>
      <c r="T169" s="15">
        <f>DATA[[#This Row],[C. DF]]+DATA[[#This Row],[C.OPE.]]</f>
        <v>1763.5128</v>
      </c>
      <c r="U169" s="15">
        <f>DATA[[#This Row],[SUB TOTAL]]*0.18</f>
        <v>317.43230399999999</v>
      </c>
      <c r="V169" s="15">
        <f>IFERROR(ROUND(DATA[[#This Row],[SUB TOTAL]]+DATA[[#This Row],[IGV]],2),0)</f>
        <v>2080.9499999999998</v>
      </c>
      <c r="W169" s="16" t="str">
        <f>IF(DATA[[#This Row],[VALORIZACIÓN ]]="-","NO CORRESPONDE",IF(OR(A169=20558226979,A169=10470707866,A169=20111157058,A169=20100226902),"NO CORRESPONDE",IF(J169="Emitida",IF(P169&gt;0,"EMITIDA","PENDIENTE"),"NO CORRESPONDE")))</f>
        <v>EMITIDA</v>
      </c>
      <c r="X169" s="29"/>
      <c r="Y169" s="17" t="s">
        <v>118</v>
      </c>
      <c r="Z169" s="30">
        <v>45716</v>
      </c>
      <c r="AA169" s="49" t="s">
        <v>124</v>
      </c>
      <c r="AB169" s="19">
        <v>583</v>
      </c>
      <c r="AC169" s="20">
        <v>15</v>
      </c>
      <c r="AD169" s="18">
        <f>DATA[[#This Row],[FECHA DE EMISION]]+DATA[[#This Row],[CONDICION DE PAGO]]</f>
        <v>45731</v>
      </c>
      <c r="AE169" s="23" t="e">
        <f>IF(DATA[[#This Row],[MONEDA]]="USD",VLOOKUP(DATA[[#This Row],[COMBINADA]],#REF!,11,0),1)</f>
        <v>#REF!</v>
      </c>
      <c r="AF169" s="39" t="str">
        <f>IF(DATA[[#This Row],[SERIE2]]="-","NO CORRESPONDE",IF(W169="NO CORRESPONDE","NO CORRESPONDE",IF(Z169&gt;0,"FACTURADO","PENDIENTE")))</f>
        <v>FACTURADO</v>
      </c>
      <c r="AG169" s="27">
        <f>IFERROR(VLOOKUP(DATA[[#This Row],[COMBINADA]],#REF!,6,0),0)</f>
        <v>0</v>
      </c>
      <c r="AH169" s="125">
        <f>IFERROR(VLOOKUP(DATA[[#This Row],[COMBINADA]],#REF!,9,0),0)/COUNTIFS(DATA[COMBINADA],DATA[[#This Row],[COMBINADA]])</f>
        <v>0</v>
      </c>
      <c r="AI169" s="27">
        <f>IFERROR(VLOOKUP(DATA[[#This Row],[COMBINADA]],#REF!,6,0),0)</f>
        <v>0</v>
      </c>
      <c r="AJ169" s="125">
        <f>IFERROR(VLOOKUP(DATA[[#This Row],[COMBINADA]],#REF!,9,0),0)/COUNTIFS(DATA[COMBINADA],DATA[[#This Row],[COMBINADA]])</f>
        <v>0</v>
      </c>
      <c r="AK169" s="27">
        <f>IFERROR(VLOOKUP(DATA[[#This Row],[COMBINADA]],#REF!,6,0),0)</f>
        <v>0</v>
      </c>
      <c r="AL169" s="125">
        <f>IFERROR(VLOOKUP(DATA[[#This Row],[COMBINADA]],#REF!,9,0),0)/COUNTIFS(DATA[COMBINADA],DATA[[#This Row],[COMBINADA]])</f>
        <v>0</v>
      </c>
      <c r="AM169" s="27">
        <f>IFERROR(VLOOKUP(DATA[[#This Row],[COMBINADA]],#REF!,6,0),0)</f>
        <v>0</v>
      </c>
      <c r="AN169" s="125">
        <f>IFERROR(VLOOKUP(DATA[[#This Row],[COMBINADA]],#REF!,9,0),0)/COUNTIFS(DATA[COMBINADA],DATA[[#This Row],[COMBINADA]])</f>
        <v>0</v>
      </c>
      <c r="AO169" s="27">
        <f>IFERROR(VLOOKUP(DATA[[#This Row],[COMBINADA]],#REF!,6,0),0)</f>
        <v>0</v>
      </c>
      <c r="AP169" s="125">
        <f>IFERROR(VLOOKUP(DATA[[#This Row],[COMBINADA]],#REF!,9,0),0)/COUNTIFS(DATA[COMBINADA],DATA[[#This Row],[COMBINADA]])</f>
        <v>0</v>
      </c>
      <c r="AQ16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677.24384615384611</v>
      </c>
      <c r="AR169" s="26" t="str">
        <f>IFERROR(IF(DATA[[#This Row],[estado_fact]]="FACTURADO",VLOOKUP(DATA[[#This Row],[SERIE2]]&amp;"-"&amp;DATA[[#This Row],[NUMERO]],#REF!,34,0),"NO CORRESPONDE"),"NO CORRESPONDE")</f>
        <v>NO CORRESPONDE</v>
      </c>
      <c r="AS169" s="65" t="str">
        <f>IF(DATA[[#This Row],[fecha_fs]]&gt;0,TEXT(DATA[[#This Row],[fecha_fs]],"Mmmm"),0)</f>
        <v>Febrero</v>
      </c>
      <c r="AT169" s="22" t="str">
        <f>DATA[[#This Row],[SERIE2]]&amp;"-"&amp;DATA[[#This Row],[NUMERO]]</f>
        <v>FE01-583</v>
      </c>
      <c r="AU169" s="28" t="e">
        <f>DATA[[#This Row],[TOTAL]]*DATA[[#This Row],[T.C.]]</f>
        <v>#REF!</v>
      </c>
      <c r="AV169" s="6">
        <f>DATA[[#This Row],[FECHA DE VAL.]]</f>
        <v>45714</v>
      </c>
      <c r="AW169" s="6">
        <f>DATA[[#This Row],[FECHA DE EMISION]]</f>
        <v>45716</v>
      </c>
      <c r="AX169" s="6">
        <f>DATA[[#This Row],[F1]]</f>
        <v>0</v>
      </c>
      <c r="AY169" s="20">
        <f>IF(AV169-DATA[[#This Row],[fecha_fs]]&lt;0,0,AV169-DATA[[#This Row],[fecha_fs]])</f>
        <v>23</v>
      </c>
      <c r="AZ169" s="20">
        <f t="shared" si="16"/>
        <v>2</v>
      </c>
      <c r="BA169" s="20">
        <f t="shared" si="17"/>
        <v>0</v>
      </c>
      <c r="BB169" s="195">
        <f>IFERROR(SUM(DATA[[#This Row],[fs_val_ttf]:[fact_pago_ttf]]),0)</f>
        <v>25</v>
      </c>
      <c r="BC169" s="185">
        <v>45691</v>
      </c>
      <c r="BD169" s="185">
        <v>45707</v>
      </c>
      <c r="BE169" s="185">
        <v>45729</v>
      </c>
      <c r="BF169" s="185">
        <v>45760</v>
      </c>
      <c r="BG169" s="20">
        <f>IFERROR(IF(BC169-DATA[[#This Row],[fecha_fs]]&lt;0,0,BC169-DATA[[#This Row],[fecha_fs]]),0)</f>
        <v>0</v>
      </c>
      <c r="BH169" s="20">
        <f t="shared" si="18"/>
        <v>16</v>
      </c>
      <c r="BI169" s="20">
        <f t="shared" si="19"/>
        <v>22</v>
      </c>
      <c r="BJ169" s="20">
        <f t="shared" si="20"/>
        <v>31</v>
      </c>
      <c r="BK169" s="218">
        <f>IFERROR(SUM(DATA[[#This Row],[fs_fd_ttd]:[fend_fenf_ttd]]),0)</f>
        <v>69</v>
      </c>
      <c r="BL169" s="20" t="str">
        <f>IF(DATA[[#This Row],[fecha_fs]]&gt;0,TEXT(DATA[[#This Row],[fecha_fs]],"YYYY"),0)</f>
        <v>2025</v>
      </c>
      <c r="BM169" s="221" t="b">
        <v>1</v>
      </c>
      <c r="BN169" s="278">
        <f>COUNTIF(DATA[[#This Row],[tiempo_td]], "&lt;=15")</f>
        <v>0</v>
      </c>
      <c r="BO169" s="222"/>
    </row>
    <row r="170" spans="1:67" ht="30.6" customHeight="1" x14ac:dyDescent="0.25">
      <c r="A170" s="4">
        <v>20100192064</v>
      </c>
      <c r="B170" s="5" t="s">
        <v>60</v>
      </c>
      <c r="C170" s="52" t="s">
        <v>66</v>
      </c>
      <c r="D170" s="4" t="s">
        <v>120</v>
      </c>
      <c r="E170" s="5" t="s">
        <v>3</v>
      </c>
      <c r="F170" s="24">
        <v>45691</v>
      </c>
      <c r="G170" s="7" t="s">
        <v>142</v>
      </c>
      <c r="H170" s="25">
        <f t="shared" si="15"/>
        <v>2</v>
      </c>
      <c r="I170" s="67">
        <v>1042</v>
      </c>
      <c r="J170" s="8" t="s">
        <v>115</v>
      </c>
      <c r="K170" s="9" t="s">
        <v>169</v>
      </c>
      <c r="L170" s="10" t="s">
        <v>117</v>
      </c>
      <c r="M170" s="11">
        <v>2450</v>
      </c>
      <c r="N170" s="12" t="s">
        <v>180</v>
      </c>
      <c r="O170" s="6">
        <v>45716</v>
      </c>
      <c r="P170" s="71">
        <v>3324</v>
      </c>
      <c r="Q170" s="14" t="s">
        <v>123</v>
      </c>
      <c r="R170" s="15">
        <v>0</v>
      </c>
      <c r="S170" s="15">
        <f>227/2</f>
        <v>113.5</v>
      </c>
      <c r="T170" s="15">
        <f>DATA[[#This Row],[C. DF]]+DATA[[#This Row],[C.OPE.]]</f>
        <v>113.5</v>
      </c>
      <c r="U170" s="15">
        <f>DATA[[#This Row],[SUB TOTAL]]*0.18</f>
        <v>20.43</v>
      </c>
      <c r="V170" s="15">
        <f>IFERROR(ROUND(DATA[[#This Row],[SUB TOTAL]]+DATA[[#This Row],[IGV]],2),0)</f>
        <v>133.93</v>
      </c>
      <c r="W170" s="16" t="str">
        <f>IF(DATA[[#This Row],[VALORIZACIÓN ]]="-","NO CORRESPONDE",IF(OR(A170=20558226979,A170=10470707866,A170=20111157058,A170=20100226902),"NO CORRESPONDE",IF(J170="Emitida",IF(P170&gt;0,"EMITIDA","PENDIENTE"),"NO CORRESPONDE")))</f>
        <v>EMITIDA</v>
      </c>
      <c r="X170" s="29"/>
      <c r="Y170" s="17" t="s">
        <v>118</v>
      </c>
      <c r="Z170" s="30">
        <v>45716</v>
      </c>
      <c r="AA170" s="20" t="s">
        <v>124</v>
      </c>
      <c r="AB170" s="19">
        <v>583</v>
      </c>
      <c r="AC170" s="20">
        <v>15</v>
      </c>
      <c r="AD170" s="18">
        <f>DATA[[#This Row],[FECHA DE EMISION]]+DATA[[#This Row],[CONDICION DE PAGO]]</f>
        <v>45731</v>
      </c>
      <c r="AE170" s="23" t="e">
        <f>IF(DATA[[#This Row],[MONEDA]]="USD",VLOOKUP(DATA[[#This Row],[COMBINADA]],#REF!,11,0),1)</f>
        <v>#REF!</v>
      </c>
      <c r="AF170" s="39" t="str">
        <f>IF(DATA[[#This Row],[SERIE2]]="-","NO CORRESPONDE",IF(W170="NO CORRESPONDE","NO CORRESPONDE",IF(Z170&gt;0,"FACTURADO","PENDIENTE")))</f>
        <v>FACTURADO</v>
      </c>
      <c r="AG170" s="27">
        <f>IFERROR(VLOOKUP(DATA[[#This Row],[COMBINADA]],#REF!,6,0),0)</f>
        <v>0</v>
      </c>
      <c r="AH170" s="125">
        <f>IFERROR(VLOOKUP(DATA[[#This Row],[COMBINADA]],#REF!,9,0),0)/COUNTIFS(DATA[COMBINADA],DATA[[#This Row],[COMBINADA]])</f>
        <v>0</v>
      </c>
      <c r="AI170" s="27">
        <f>IFERROR(VLOOKUP(DATA[[#This Row],[COMBINADA]],#REF!,6,0),0)</f>
        <v>0</v>
      </c>
      <c r="AJ170" s="125">
        <f>IFERROR(VLOOKUP(DATA[[#This Row],[COMBINADA]],#REF!,9,0),0)/COUNTIFS(DATA[COMBINADA],DATA[[#This Row],[COMBINADA]])</f>
        <v>0</v>
      </c>
      <c r="AK170" s="27">
        <f>IFERROR(VLOOKUP(DATA[[#This Row],[COMBINADA]],#REF!,6,0),0)</f>
        <v>0</v>
      </c>
      <c r="AL170" s="125">
        <f>IFERROR(VLOOKUP(DATA[[#This Row],[COMBINADA]],#REF!,9,0),0)/COUNTIFS(DATA[COMBINADA],DATA[[#This Row],[COMBINADA]])</f>
        <v>0</v>
      </c>
      <c r="AM170" s="27">
        <f>IFERROR(VLOOKUP(DATA[[#This Row],[COMBINADA]],#REF!,6,0),0)</f>
        <v>0</v>
      </c>
      <c r="AN170" s="125">
        <f>IFERROR(VLOOKUP(DATA[[#This Row],[COMBINADA]],#REF!,9,0),0)/COUNTIFS(DATA[COMBINADA],DATA[[#This Row],[COMBINADA]])</f>
        <v>0</v>
      </c>
      <c r="AO170" s="27">
        <f>IFERROR(VLOOKUP(DATA[[#This Row],[COMBINADA]],#REF!,6,0),0)</f>
        <v>0</v>
      </c>
      <c r="AP170" s="125">
        <f>IFERROR(VLOOKUP(DATA[[#This Row],[COMBINADA]],#REF!,9,0),0)/COUNTIFS(DATA[COMBINADA],DATA[[#This Row],[COMBINADA]])</f>
        <v>0</v>
      </c>
      <c r="AQ17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677.24384615384611</v>
      </c>
      <c r="AR170" s="26" t="str">
        <f>IFERROR(IF(DATA[[#This Row],[estado_fact]]="FACTURADO",VLOOKUP(DATA[[#This Row],[SERIE2]]&amp;"-"&amp;DATA[[#This Row],[NUMERO]],#REF!,34,0),"NO CORRESPONDE"),"NO CORRESPONDE")</f>
        <v>NO CORRESPONDE</v>
      </c>
      <c r="AS170" s="65" t="str">
        <f>IF(DATA[[#This Row],[fecha_fs]]&gt;0,TEXT(DATA[[#This Row],[fecha_fs]],"Mmmm"),0)</f>
        <v>Febrero</v>
      </c>
      <c r="AT170" s="22" t="str">
        <f>DATA[[#This Row],[SERIE2]]&amp;"-"&amp;DATA[[#This Row],[NUMERO]]</f>
        <v>FE01-583</v>
      </c>
      <c r="AU170" s="28" t="e">
        <f>DATA[[#This Row],[TOTAL]]*DATA[[#This Row],[T.C.]]</f>
        <v>#REF!</v>
      </c>
      <c r="AV170" s="6">
        <f>DATA[[#This Row],[FECHA DE VAL.]]</f>
        <v>45716</v>
      </c>
      <c r="AW170" s="6">
        <f>DATA[[#This Row],[FECHA DE EMISION]]</f>
        <v>45716</v>
      </c>
      <c r="AX170" s="6">
        <f>DATA[[#This Row],[F1]]</f>
        <v>0</v>
      </c>
      <c r="AY170" s="20">
        <f>IF(AV170-DATA[[#This Row],[fecha_fs]]&lt;0,0,AV170-DATA[[#This Row],[fecha_fs]])</f>
        <v>25</v>
      </c>
      <c r="AZ170" s="20">
        <f t="shared" si="16"/>
        <v>0</v>
      </c>
      <c r="BA170" s="20">
        <f t="shared" si="17"/>
        <v>0</v>
      </c>
      <c r="BB170" s="195">
        <f>IFERROR(SUM(DATA[[#This Row],[fs_val_ttf]:[fact_pago_ttf]]),0)</f>
        <v>25</v>
      </c>
      <c r="BC170" s="185">
        <v>45691</v>
      </c>
      <c r="BD170" s="185">
        <v>45691</v>
      </c>
      <c r="BE170" s="185">
        <v>45737</v>
      </c>
      <c r="BF170" s="185">
        <v>45760</v>
      </c>
      <c r="BG170" s="20">
        <f>IFERROR(IF(BC170-DATA[[#This Row],[fecha_fs]]&lt;0,0,BC170-DATA[[#This Row],[fecha_fs]]),0)</f>
        <v>0</v>
      </c>
      <c r="BH170" s="20">
        <f t="shared" si="18"/>
        <v>0</v>
      </c>
      <c r="BI170" s="20">
        <f t="shared" si="19"/>
        <v>46</v>
      </c>
      <c r="BJ170" s="20">
        <f t="shared" si="20"/>
        <v>23</v>
      </c>
      <c r="BK170" s="218">
        <f>IFERROR(SUM(DATA[[#This Row],[fs_fd_ttd]:[fend_fenf_ttd]]),0)</f>
        <v>69</v>
      </c>
      <c r="BL170" s="20" t="str">
        <f>IF(DATA[[#This Row],[fecha_fs]]&gt;0,TEXT(DATA[[#This Row],[fecha_fs]],"YYYY"),0)</f>
        <v>2025</v>
      </c>
      <c r="BM170" s="221" t="b">
        <v>1</v>
      </c>
      <c r="BN170" s="278">
        <f>COUNTIF(DATA[[#This Row],[tiempo_td]], "&lt;=15")</f>
        <v>0</v>
      </c>
      <c r="BO170" s="222"/>
    </row>
    <row r="171" spans="1:67" ht="30.6" customHeight="1" x14ac:dyDescent="0.25">
      <c r="A171" s="4">
        <v>20100192064</v>
      </c>
      <c r="B171" s="5" t="s">
        <v>60</v>
      </c>
      <c r="C171" s="52" t="s">
        <v>66</v>
      </c>
      <c r="D171" s="4" t="s">
        <v>120</v>
      </c>
      <c r="E171" s="5" t="s">
        <v>3</v>
      </c>
      <c r="F171" s="24">
        <v>45692</v>
      </c>
      <c r="G171" s="7" t="s">
        <v>142</v>
      </c>
      <c r="H171" s="25">
        <f t="shared" si="15"/>
        <v>2</v>
      </c>
      <c r="I171" s="67">
        <v>1043</v>
      </c>
      <c r="J171" s="8" t="s">
        <v>115</v>
      </c>
      <c r="K171" s="9" t="s">
        <v>198</v>
      </c>
      <c r="L171" s="10" t="s">
        <v>117</v>
      </c>
      <c r="M171" s="11">
        <v>550</v>
      </c>
      <c r="N171" s="12" t="s">
        <v>143</v>
      </c>
      <c r="O171" s="6">
        <v>45716</v>
      </c>
      <c r="P171" s="71">
        <v>3324</v>
      </c>
      <c r="Q171" s="14" t="s">
        <v>123</v>
      </c>
      <c r="R171" s="15">
        <f>(DATA[[#This Row],[cantidad_fs]]/1000)*37</f>
        <v>20.350000000000001</v>
      </c>
      <c r="S171" s="15">
        <v>227</v>
      </c>
      <c r="T171" s="15">
        <f>DATA[[#This Row],[C. DF]]+DATA[[#This Row],[C.OPE.]]</f>
        <v>247.35</v>
      </c>
      <c r="U171" s="15">
        <f>DATA[[#This Row],[SUB TOTAL]]*0.18</f>
        <v>44.522999999999996</v>
      </c>
      <c r="V171" s="15">
        <f>IFERROR(ROUND(DATA[[#This Row],[SUB TOTAL]]+DATA[[#This Row],[IGV]],2),0)</f>
        <v>291.87</v>
      </c>
      <c r="W171" s="16" t="str">
        <f>IF(DATA[[#This Row],[VALORIZACIÓN ]]="-","NO CORRESPONDE",IF(OR(A171=20558226979,A171=10470707866,A171=20111157058,A171=20100226902),"NO CORRESPONDE",IF(J171="Emitida",IF(P171&gt;0,"EMITIDA","PENDIENTE"),"NO CORRESPONDE")))</f>
        <v>EMITIDA</v>
      </c>
      <c r="X171" s="29"/>
      <c r="Y171" s="17" t="s">
        <v>118</v>
      </c>
      <c r="Z171" s="30">
        <v>45716</v>
      </c>
      <c r="AA171" s="20" t="s">
        <v>124</v>
      </c>
      <c r="AB171" s="19">
        <v>583</v>
      </c>
      <c r="AC171" s="20">
        <v>15</v>
      </c>
      <c r="AD171" s="18">
        <f>DATA[[#This Row],[FECHA DE EMISION]]+DATA[[#This Row],[CONDICION DE PAGO]]</f>
        <v>45731</v>
      </c>
      <c r="AE171" s="23" t="e">
        <f>IF(DATA[[#This Row],[MONEDA]]="USD",VLOOKUP(DATA[[#This Row],[COMBINADA]],#REF!,11,0),1)</f>
        <v>#REF!</v>
      </c>
      <c r="AF171" s="39" t="str">
        <f>IF(DATA[[#This Row],[SERIE2]]="-","NO CORRESPONDE",IF(W171="NO CORRESPONDE","NO CORRESPONDE",IF(Z171&gt;0,"FACTURADO","PENDIENTE")))</f>
        <v>FACTURADO</v>
      </c>
      <c r="AG171" s="27">
        <f>IFERROR(VLOOKUP(DATA[[#This Row],[COMBINADA]],#REF!,6,0),0)</f>
        <v>0</v>
      </c>
      <c r="AH171" s="125">
        <f>IFERROR(VLOOKUP(DATA[[#This Row],[COMBINADA]],#REF!,9,0),0)/COUNTIFS(DATA[COMBINADA],DATA[[#This Row],[COMBINADA]])</f>
        <v>0</v>
      </c>
      <c r="AI171" s="27">
        <f>IFERROR(VLOOKUP(DATA[[#This Row],[COMBINADA]],#REF!,6,0),0)</f>
        <v>0</v>
      </c>
      <c r="AJ171" s="125">
        <f>IFERROR(VLOOKUP(DATA[[#This Row],[COMBINADA]],#REF!,9,0),0)/COUNTIFS(DATA[COMBINADA],DATA[[#This Row],[COMBINADA]])</f>
        <v>0</v>
      </c>
      <c r="AK171" s="27">
        <f>IFERROR(VLOOKUP(DATA[[#This Row],[COMBINADA]],#REF!,6,0),0)</f>
        <v>0</v>
      </c>
      <c r="AL171" s="125">
        <f>IFERROR(VLOOKUP(DATA[[#This Row],[COMBINADA]],#REF!,9,0),0)/COUNTIFS(DATA[COMBINADA],DATA[[#This Row],[COMBINADA]])</f>
        <v>0</v>
      </c>
      <c r="AM171" s="27">
        <f>IFERROR(VLOOKUP(DATA[[#This Row],[COMBINADA]],#REF!,6,0),0)</f>
        <v>0</v>
      </c>
      <c r="AN171" s="125">
        <f>IFERROR(VLOOKUP(DATA[[#This Row],[COMBINADA]],#REF!,9,0),0)/COUNTIFS(DATA[COMBINADA],DATA[[#This Row],[COMBINADA]])</f>
        <v>0</v>
      </c>
      <c r="AO171" s="27">
        <f>IFERROR(VLOOKUP(DATA[[#This Row],[COMBINADA]],#REF!,6,0),0)</f>
        <v>0</v>
      </c>
      <c r="AP171" s="125">
        <f>IFERROR(VLOOKUP(DATA[[#This Row],[COMBINADA]],#REF!,9,0),0)/COUNTIFS(DATA[COMBINADA],DATA[[#This Row],[COMBINADA]])</f>
        <v>0</v>
      </c>
      <c r="AQ17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677.24384615384611</v>
      </c>
      <c r="AR171" s="26" t="str">
        <f>IFERROR(IF(DATA[[#This Row],[estado_fact]]="FACTURADO",VLOOKUP(DATA[[#This Row],[SERIE2]]&amp;"-"&amp;DATA[[#This Row],[NUMERO]],#REF!,34,0),"NO CORRESPONDE"),"NO CORRESPONDE")</f>
        <v>NO CORRESPONDE</v>
      </c>
      <c r="AS171" s="65" t="str">
        <f>IF(DATA[[#This Row],[fecha_fs]]&gt;0,TEXT(DATA[[#This Row],[fecha_fs]],"Mmmm"),0)</f>
        <v>Febrero</v>
      </c>
      <c r="AT171" s="22" t="str">
        <f>DATA[[#This Row],[SERIE2]]&amp;"-"&amp;DATA[[#This Row],[NUMERO]]</f>
        <v>FE01-583</v>
      </c>
      <c r="AU171" s="28" t="e">
        <f>DATA[[#This Row],[TOTAL]]*DATA[[#This Row],[T.C.]]</f>
        <v>#REF!</v>
      </c>
      <c r="AV171" s="6">
        <f>DATA[[#This Row],[FECHA DE VAL.]]</f>
        <v>45716</v>
      </c>
      <c r="AW171" s="6">
        <f>DATA[[#This Row],[FECHA DE EMISION]]</f>
        <v>45716</v>
      </c>
      <c r="AX171" s="6">
        <f>DATA[[#This Row],[F1]]</f>
        <v>0</v>
      </c>
      <c r="AY171" s="20">
        <f>IF(AV171-DATA[[#This Row],[fecha_fs]]&lt;0,0,AV171-DATA[[#This Row],[fecha_fs]])</f>
        <v>24</v>
      </c>
      <c r="AZ171" s="20">
        <f t="shared" si="16"/>
        <v>0</v>
      </c>
      <c r="BA171" s="20">
        <f t="shared" si="17"/>
        <v>0</v>
      </c>
      <c r="BB171" s="195">
        <f>IFERROR(SUM(DATA[[#This Row],[fs_val_ttf]:[fact_pago_ttf]]),0)</f>
        <v>24</v>
      </c>
      <c r="BC171" s="185">
        <v>45715</v>
      </c>
      <c r="BD171" s="185">
        <v>45735</v>
      </c>
      <c r="BE171" s="185">
        <v>45737</v>
      </c>
      <c r="BF171" s="185">
        <v>45760</v>
      </c>
      <c r="BG171" s="20">
        <f>IFERROR(IF(BC171-DATA[[#This Row],[fecha_fs]]&lt;0,0,BC171-DATA[[#This Row],[fecha_fs]]),0)</f>
        <v>23</v>
      </c>
      <c r="BH171" s="20">
        <f t="shared" si="18"/>
        <v>20</v>
      </c>
      <c r="BI171" s="20">
        <f t="shared" si="19"/>
        <v>2</v>
      </c>
      <c r="BJ171" s="20">
        <f t="shared" si="20"/>
        <v>23</v>
      </c>
      <c r="BK171" s="218">
        <f>IFERROR(SUM(DATA[[#This Row],[fs_fd_ttd]:[fend_fenf_ttd]]),0)</f>
        <v>68</v>
      </c>
      <c r="BL171" s="20" t="str">
        <f>IF(DATA[[#This Row],[fecha_fs]]&gt;0,TEXT(DATA[[#This Row],[fecha_fs]],"YYYY"),0)</f>
        <v>2025</v>
      </c>
      <c r="BM171" s="221" t="b">
        <v>1</v>
      </c>
      <c r="BN171" s="278">
        <f>COUNTIF(DATA[[#This Row],[tiempo_td]], "&lt;=15")</f>
        <v>0</v>
      </c>
      <c r="BO171" s="222"/>
    </row>
    <row r="172" spans="1:67" ht="30.6" customHeight="1" x14ac:dyDescent="0.25">
      <c r="A172" s="4">
        <v>20100192064</v>
      </c>
      <c r="B172" s="5" t="s">
        <v>60</v>
      </c>
      <c r="C172" s="52" t="s">
        <v>66</v>
      </c>
      <c r="D172" s="4" t="s">
        <v>120</v>
      </c>
      <c r="E172" s="5" t="s">
        <v>3</v>
      </c>
      <c r="F172" s="24">
        <v>45691</v>
      </c>
      <c r="G172" s="7" t="s">
        <v>142</v>
      </c>
      <c r="H172" s="25">
        <f t="shared" si="15"/>
        <v>2</v>
      </c>
      <c r="I172" s="67">
        <v>1044</v>
      </c>
      <c r="J172" s="8" t="s">
        <v>115</v>
      </c>
      <c r="K172" s="9" t="s">
        <v>198</v>
      </c>
      <c r="L172" s="10" t="s">
        <v>117</v>
      </c>
      <c r="M172" s="11">
        <v>480</v>
      </c>
      <c r="N172" s="12" t="s">
        <v>143</v>
      </c>
      <c r="O172" s="6">
        <v>45716</v>
      </c>
      <c r="P172" s="71">
        <v>3324</v>
      </c>
      <c r="Q172" s="14" t="s">
        <v>123</v>
      </c>
      <c r="R172" s="15">
        <f>(DATA[[#This Row],[cantidad_fs]]/1000)*37</f>
        <v>17.759999999999998</v>
      </c>
      <c r="S172" s="15">
        <f>227/2</f>
        <v>113.5</v>
      </c>
      <c r="T172" s="15">
        <f>DATA[[#This Row],[C. DF]]+DATA[[#This Row],[C.OPE.]]</f>
        <v>131.26</v>
      </c>
      <c r="U172" s="15">
        <f>DATA[[#This Row],[SUB TOTAL]]*0.18</f>
        <v>23.626799999999996</v>
      </c>
      <c r="V172" s="15">
        <f>IFERROR(ROUND(DATA[[#This Row],[SUB TOTAL]]+DATA[[#This Row],[IGV]],2),0)</f>
        <v>154.88999999999999</v>
      </c>
      <c r="W172" s="16" t="str">
        <f>IF(DATA[[#This Row],[VALORIZACIÓN ]]="-","NO CORRESPONDE",IF(OR(A172=20558226979,A172=10470707866,A172=20111157058,A172=20100226902),"NO CORRESPONDE",IF(J172="Emitida",IF(P172&gt;0,"EMITIDA","PENDIENTE"),"NO CORRESPONDE")))</f>
        <v>EMITIDA</v>
      </c>
      <c r="X172" s="29"/>
      <c r="Y172" s="17" t="s">
        <v>118</v>
      </c>
      <c r="Z172" s="30">
        <v>45716</v>
      </c>
      <c r="AA172" s="20" t="s">
        <v>124</v>
      </c>
      <c r="AB172" s="19">
        <v>583</v>
      </c>
      <c r="AC172" s="20">
        <v>15</v>
      </c>
      <c r="AD172" s="18">
        <f>DATA[[#This Row],[FECHA DE EMISION]]+DATA[[#This Row],[CONDICION DE PAGO]]</f>
        <v>45731</v>
      </c>
      <c r="AE172" s="23" t="e">
        <f>IF(DATA[[#This Row],[MONEDA]]="USD",VLOOKUP(DATA[[#This Row],[COMBINADA]],#REF!,11,0),1)</f>
        <v>#REF!</v>
      </c>
      <c r="AF172" s="39" t="str">
        <f>IF(DATA[[#This Row],[SERIE2]]="-","NO CORRESPONDE",IF(W172="NO CORRESPONDE","NO CORRESPONDE",IF(Z172&gt;0,"FACTURADO","PENDIENTE")))</f>
        <v>FACTURADO</v>
      </c>
      <c r="AG172" s="27">
        <f>IFERROR(VLOOKUP(DATA[[#This Row],[COMBINADA]],#REF!,6,0),0)</f>
        <v>0</v>
      </c>
      <c r="AH172" s="125">
        <f>IFERROR(VLOOKUP(DATA[[#This Row],[COMBINADA]],#REF!,9,0),0)/COUNTIFS(DATA[COMBINADA],DATA[[#This Row],[COMBINADA]])</f>
        <v>0</v>
      </c>
      <c r="AI172" s="27">
        <f>IFERROR(VLOOKUP(DATA[[#This Row],[COMBINADA]],#REF!,6,0),0)</f>
        <v>0</v>
      </c>
      <c r="AJ172" s="125">
        <f>IFERROR(VLOOKUP(DATA[[#This Row],[COMBINADA]],#REF!,9,0),0)/COUNTIFS(DATA[COMBINADA],DATA[[#This Row],[COMBINADA]])</f>
        <v>0</v>
      </c>
      <c r="AK172" s="27">
        <f>IFERROR(VLOOKUP(DATA[[#This Row],[COMBINADA]],#REF!,6,0),0)</f>
        <v>0</v>
      </c>
      <c r="AL172" s="125">
        <f>IFERROR(VLOOKUP(DATA[[#This Row],[COMBINADA]],#REF!,9,0),0)/COUNTIFS(DATA[COMBINADA],DATA[[#This Row],[COMBINADA]])</f>
        <v>0</v>
      </c>
      <c r="AM172" s="27">
        <f>IFERROR(VLOOKUP(DATA[[#This Row],[COMBINADA]],#REF!,6,0),0)</f>
        <v>0</v>
      </c>
      <c r="AN172" s="125">
        <f>IFERROR(VLOOKUP(DATA[[#This Row],[COMBINADA]],#REF!,9,0),0)/COUNTIFS(DATA[COMBINADA],DATA[[#This Row],[COMBINADA]])</f>
        <v>0</v>
      </c>
      <c r="AO172" s="27">
        <f>IFERROR(VLOOKUP(DATA[[#This Row],[COMBINADA]],#REF!,6,0),0)</f>
        <v>0</v>
      </c>
      <c r="AP172" s="125">
        <f>IFERROR(VLOOKUP(DATA[[#This Row],[COMBINADA]],#REF!,9,0),0)/COUNTIFS(DATA[COMBINADA],DATA[[#This Row],[COMBINADA]])</f>
        <v>0</v>
      </c>
      <c r="AQ17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677.24384615384611</v>
      </c>
      <c r="AR172" s="26" t="str">
        <f>IFERROR(IF(DATA[[#This Row],[estado_fact]]="FACTURADO",VLOOKUP(DATA[[#This Row],[SERIE2]]&amp;"-"&amp;DATA[[#This Row],[NUMERO]],#REF!,34,0),"NO CORRESPONDE"),"NO CORRESPONDE")</f>
        <v>NO CORRESPONDE</v>
      </c>
      <c r="AS172" s="65" t="str">
        <f>IF(DATA[[#This Row],[fecha_fs]]&gt;0,TEXT(DATA[[#This Row],[fecha_fs]],"Mmmm"),0)</f>
        <v>Febrero</v>
      </c>
      <c r="AT172" s="22" t="str">
        <f>DATA[[#This Row],[SERIE2]]&amp;"-"&amp;DATA[[#This Row],[NUMERO]]</f>
        <v>FE01-583</v>
      </c>
      <c r="AU172" s="28" t="e">
        <f>DATA[[#This Row],[TOTAL]]*DATA[[#This Row],[T.C.]]</f>
        <v>#REF!</v>
      </c>
      <c r="AV172" s="6">
        <f>DATA[[#This Row],[FECHA DE VAL.]]</f>
        <v>45716</v>
      </c>
      <c r="AW172" s="6">
        <f>DATA[[#This Row],[FECHA DE EMISION]]</f>
        <v>45716</v>
      </c>
      <c r="AX172" s="6">
        <f>DATA[[#This Row],[F1]]</f>
        <v>0</v>
      </c>
      <c r="AY172" s="20">
        <f>IF(AV172-DATA[[#This Row],[fecha_fs]]&lt;0,0,AV172-DATA[[#This Row],[fecha_fs]])</f>
        <v>25</v>
      </c>
      <c r="AZ172" s="20">
        <f t="shared" si="16"/>
        <v>0</v>
      </c>
      <c r="BA172" s="20">
        <f t="shared" si="17"/>
        <v>0</v>
      </c>
      <c r="BB172" s="195">
        <f>IFERROR(SUM(DATA[[#This Row],[fs_val_ttf]:[fact_pago_ttf]]),0)</f>
        <v>25</v>
      </c>
      <c r="BC172" s="185">
        <v>45715</v>
      </c>
      <c r="BD172" s="185">
        <v>45735</v>
      </c>
      <c r="BE172" s="185">
        <v>45737</v>
      </c>
      <c r="BF172" s="185">
        <v>45760</v>
      </c>
      <c r="BG172" s="20">
        <f>IFERROR(IF(BC172-DATA[[#This Row],[fecha_fs]]&lt;0,0,BC172-DATA[[#This Row],[fecha_fs]]),0)</f>
        <v>24</v>
      </c>
      <c r="BH172" s="20">
        <f t="shared" si="18"/>
        <v>20</v>
      </c>
      <c r="BI172" s="20">
        <f t="shared" si="19"/>
        <v>2</v>
      </c>
      <c r="BJ172" s="20">
        <f t="shared" si="20"/>
        <v>23</v>
      </c>
      <c r="BK172" s="218">
        <f>IFERROR(SUM(DATA[[#This Row],[fs_fd_ttd]:[fend_fenf_ttd]]),0)</f>
        <v>69</v>
      </c>
      <c r="BL172" s="20" t="str">
        <f>IF(DATA[[#This Row],[fecha_fs]]&gt;0,TEXT(DATA[[#This Row],[fecha_fs]],"YYYY"),0)</f>
        <v>2025</v>
      </c>
      <c r="BM172" s="221" t="b">
        <v>1</v>
      </c>
      <c r="BN172" s="278">
        <f>COUNTIF(DATA[[#This Row],[tiempo_td]], "&lt;=15")</f>
        <v>0</v>
      </c>
      <c r="BO172" s="222"/>
    </row>
    <row r="173" spans="1:67" ht="30.6" customHeight="1" x14ac:dyDescent="0.25">
      <c r="A173" s="4">
        <v>20100211115</v>
      </c>
      <c r="B173" s="5" t="s">
        <v>41</v>
      </c>
      <c r="C173" s="52" t="s">
        <v>18</v>
      </c>
      <c r="D173" s="4" t="s">
        <v>120</v>
      </c>
      <c r="E173" s="5" t="s">
        <v>3</v>
      </c>
      <c r="F173" s="24">
        <v>45691</v>
      </c>
      <c r="G173" s="7" t="s">
        <v>113</v>
      </c>
      <c r="H173" s="25">
        <f t="shared" si="15"/>
        <v>1</v>
      </c>
      <c r="I173" s="67">
        <v>4067</v>
      </c>
      <c r="J173" s="8" t="s">
        <v>115</v>
      </c>
      <c r="K173" s="9" t="s">
        <v>121</v>
      </c>
      <c r="L173" s="10" t="s">
        <v>117</v>
      </c>
      <c r="M173" s="11">
        <v>90</v>
      </c>
      <c r="N173" s="12" t="s">
        <v>167</v>
      </c>
      <c r="O173" s="6">
        <v>45716</v>
      </c>
      <c r="P173" s="115">
        <v>3326</v>
      </c>
      <c r="Q173" s="14" t="s">
        <v>85</v>
      </c>
      <c r="R173" s="15"/>
      <c r="S173" s="56">
        <f>(DATA[[#This Row],[cantidad_fs]]*4.37)</f>
        <v>393.3</v>
      </c>
      <c r="T173" s="15">
        <f>DATA[[#This Row],[C. DF]]+DATA[[#This Row],[C.OPE.]]</f>
        <v>393.3</v>
      </c>
      <c r="U173" s="15">
        <f>DATA[[#This Row],[SUB TOTAL]]*0.18</f>
        <v>70.793999999999997</v>
      </c>
      <c r="V173" s="15">
        <f>IFERROR(ROUND(DATA[[#This Row],[SUB TOTAL]]+DATA[[#This Row],[IGV]],2),0)</f>
        <v>464.09</v>
      </c>
      <c r="W173" s="16" t="str">
        <f>IF(DATA[[#This Row],[VALORIZACIÓN ]]="-","NO CORRESPONDE",IF(OR(A173=20558226979,A173=10470707866,A173=20111157058,A173=20100226902),"NO CORRESPONDE",IF(J173="Emitida",IF(P173&gt;0,"EMITIDA","PENDIENTE"),"NO CORRESPONDE")))</f>
        <v>EMITIDA</v>
      </c>
      <c r="X173" s="29"/>
      <c r="Y173" s="17" t="s">
        <v>118</v>
      </c>
      <c r="Z173" s="30">
        <v>45722</v>
      </c>
      <c r="AA173" s="10" t="s">
        <v>124</v>
      </c>
      <c r="AB173" s="19">
        <v>588</v>
      </c>
      <c r="AC173" s="20">
        <v>30</v>
      </c>
      <c r="AD173" s="18">
        <f>DATA[[#This Row],[FECHA DE EMISION]]+DATA[[#This Row],[CONDICION DE PAGO]]</f>
        <v>45752</v>
      </c>
      <c r="AE173" s="23">
        <f>IF(DATA[[#This Row],[MONEDA]]="USD",VLOOKUP(DATA[[#This Row],[COMBINADA]],#REF!,11,0),1)</f>
        <v>1</v>
      </c>
      <c r="AF173" s="39" t="str">
        <f>IF(DATA[[#This Row],[SERIE2]]="-","NO CORRESPONDE",IF(W173="NO CORRESPONDE","NO CORRESPONDE",IF(Z173&gt;0,"FACTURADO","PENDIENTE")))</f>
        <v>FACTURADO</v>
      </c>
      <c r="AG173" s="27">
        <f>IFERROR(VLOOKUP(DATA[[#This Row],[COMBINADA]],#REF!,6,0),0)</f>
        <v>0</v>
      </c>
      <c r="AH173" s="125">
        <f>IFERROR(VLOOKUP(DATA[[#This Row],[COMBINADA]],#REF!,9,0),0)/COUNTIFS(DATA[COMBINADA],DATA[[#This Row],[COMBINADA]])</f>
        <v>0</v>
      </c>
      <c r="AI173" s="27">
        <f>IFERROR(VLOOKUP(DATA[[#This Row],[COMBINADA]],#REF!,6,0),0)</f>
        <v>0</v>
      </c>
      <c r="AJ173" s="125">
        <f>IFERROR(VLOOKUP(DATA[[#This Row],[COMBINADA]],#REF!,9,0),0)/COUNTIFS(DATA[COMBINADA],DATA[[#This Row],[COMBINADA]])</f>
        <v>0</v>
      </c>
      <c r="AK173" s="27">
        <f>IFERROR(VLOOKUP(DATA[[#This Row],[COMBINADA]],#REF!,6,0),0)</f>
        <v>0</v>
      </c>
      <c r="AL173" s="125">
        <f>IFERROR(VLOOKUP(DATA[[#This Row],[COMBINADA]],#REF!,9,0),0)/COUNTIFS(DATA[COMBINADA],DATA[[#This Row],[COMBINADA]])</f>
        <v>0</v>
      </c>
      <c r="AM173" s="27">
        <f>IFERROR(VLOOKUP(DATA[[#This Row],[COMBINADA]],#REF!,6,0),0)</f>
        <v>0</v>
      </c>
      <c r="AN173" s="125">
        <f>IFERROR(VLOOKUP(DATA[[#This Row],[COMBINADA]],#REF!,9,0),0)/COUNTIFS(DATA[COMBINADA],DATA[[#This Row],[COMBINADA]])</f>
        <v>0</v>
      </c>
      <c r="AO173" s="27">
        <f>IFERROR(VLOOKUP(DATA[[#This Row],[COMBINADA]],#REF!,6,0),0)</f>
        <v>0</v>
      </c>
      <c r="AP173" s="125">
        <f>IFERROR(VLOOKUP(DATA[[#This Row],[COMBINADA]],#REF!,9,0),0)/COUNTIFS(DATA[COMBINADA],DATA[[#This Row],[COMBINADA]])</f>
        <v>0</v>
      </c>
      <c r="AQ17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173" s="26" t="str">
        <f>IFERROR(IF(DATA[[#This Row],[estado_fact]]="FACTURADO",VLOOKUP(DATA[[#This Row],[SERIE2]]&amp;"-"&amp;DATA[[#This Row],[NUMERO]],#REF!,34,0),"NO CORRESPONDE"),"NO CORRESPONDE")</f>
        <v>NO CORRESPONDE</v>
      </c>
      <c r="AS173" s="65" t="str">
        <f>IF(DATA[[#This Row],[fecha_fs]]&gt;0,TEXT(DATA[[#This Row],[fecha_fs]],"Mmmm"),0)</f>
        <v>Febrero</v>
      </c>
      <c r="AT173" s="22" t="str">
        <f>DATA[[#This Row],[SERIE2]]&amp;"-"&amp;DATA[[#This Row],[NUMERO]]</f>
        <v>FE01-588</v>
      </c>
      <c r="AU173" s="28">
        <f>DATA[[#This Row],[TOTAL]]*DATA[[#This Row],[T.C.]]</f>
        <v>464.09</v>
      </c>
      <c r="AV173" s="6">
        <f>DATA[[#This Row],[FECHA DE VAL.]]</f>
        <v>45716</v>
      </c>
      <c r="AW173" s="6">
        <f>DATA[[#This Row],[FECHA DE EMISION]]</f>
        <v>45722</v>
      </c>
      <c r="AX173" s="6">
        <f>DATA[[#This Row],[F1]]</f>
        <v>0</v>
      </c>
      <c r="AY173" s="20">
        <f>IF(AV173-DATA[[#This Row],[fecha_fs]]&lt;0,0,AV173-DATA[[#This Row],[fecha_fs]])</f>
        <v>25</v>
      </c>
      <c r="AZ173" s="20">
        <f t="shared" si="16"/>
        <v>6</v>
      </c>
      <c r="BA173" s="20">
        <f t="shared" si="17"/>
        <v>0</v>
      </c>
      <c r="BB173" s="195">
        <f>IFERROR(SUM(DATA[[#This Row],[fs_val_ttf]:[fact_pago_ttf]]),0)</f>
        <v>31</v>
      </c>
      <c r="BC173" s="184">
        <v>45729</v>
      </c>
      <c r="BD173" s="184">
        <v>45735</v>
      </c>
      <c r="BE173" s="184">
        <v>45740</v>
      </c>
      <c r="BF173" s="184">
        <v>45749</v>
      </c>
      <c r="BG173" s="20">
        <f>IFERROR(IF(BC173-DATA[[#This Row],[fecha_fs]]&lt;0,0,BC173-DATA[[#This Row],[fecha_fs]]),0)</f>
        <v>38</v>
      </c>
      <c r="BH173" s="20">
        <f t="shared" si="18"/>
        <v>6</v>
      </c>
      <c r="BI173" s="20">
        <f t="shared" si="19"/>
        <v>5</v>
      </c>
      <c r="BJ173" s="20">
        <f t="shared" si="20"/>
        <v>9</v>
      </c>
      <c r="BK173" s="218">
        <f>IFERROR(SUM(DATA[[#This Row],[fs_fd_ttd]:[fend_fenf_ttd]]),0)</f>
        <v>58</v>
      </c>
      <c r="BL173" s="20" t="str">
        <f>IF(DATA[[#This Row],[fecha_fs]]&gt;0,TEXT(DATA[[#This Row],[fecha_fs]],"YYYY"),0)</f>
        <v>2025</v>
      </c>
      <c r="BM173" s="221" t="b">
        <v>1</v>
      </c>
      <c r="BN173" s="278">
        <f>COUNTIF(DATA[[#This Row],[tiempo_td]], "&lt;=15")</f>
        <v>0</v>
      </c>
      <c r="BO173" s="222"/>
    </row>
    <row r="174" spans="1:67" ht="30.6" customHeight="1" x14ac:dyDescent="0.25">
      <c r="A174" s="4">
        <v>20565347099</v>
      </c>
      <c r="B174" s="5" t="s">
        <v>46</v>
      </c>
      <c r="C174" s="52" t="s">
        <v>18</v>
      </c>
      <c r="D174" s="4" t="s">
        <v>112</v>
      </c>
      <c r="E174" s="5" t="s">
        <v>1</v>
      </c>
      <c r="F174" s="24">
        <v>45691</v>
      </c>
      <c r="G174" s="7" t="s">
        <v>113</v>
      </c>
      <c r="H174" s="25">
        <f t="shared" si="15"/>
        <v>1</v>
      </c>
      <c r="I174" s="67">
        <v>4068</v>
      </c>
      <c r="J174" s="8" t="s">
        <v>115</v>
      </c>
      <c r="K174" s="9" t="s">
        <v>116</v>
      </c>
      <c r="L174" s="10" t="s">
        <v>117</v>
      </c>
      <c r="M174" s="11">
        <v>550</v>
      </c>
      <c r="N174" s="12" t="s">
        <v>125</v>
      </c>
      <c r="O174" s="6">
        <v>45692</v>
      </c>
      <c r="P174" s="13">
        <v>3279</v>
      </c>
      <c r="Q174" s="14" t="s">
        <v>85</v>
      </c>
      <c r="R174" s="15">
        <f>DATA[[#This Row],[cantidad_fs]]*0.97</f>
        <v>533.5</v>
      </c>
      <c r="S174" s="56">
        <v>990</v>
      </c>
      <c r="T174" s="15">
        <f>DATA[[#This Row],[C. DF]]+DATA[[#This Row],[C.OPE.]]</f>
        <v>1523.5</v>
      </c>
      <c r="U174" s="15">
        <f>DATA[[#This Row],[SUB TOTAL]]*0.18</f>
        <v>274.23</v>
      </c>
      <c r="V174" s="15">
        <f>IFERROR(ROUND(DATA[[#This Row],[SUB TOTAL]]+DATA[[#This Row],[IGV]],2),0)</f>
        <v>1797.73</v>
      </c>
      <c r="W174" s="16" t="str">
        <f>IF(DATA[[#This Row],[VALORIZACIÓN ]]="-","NO CORRESPONDE",IF(OR(A174=20558226979,A174=10470707866,A174=20111157058,A174=20100226902),"NO CORRESPONDE",IF(J174="Emitida",IF(P174&gt;0,"EMITIDA","PENDIENTE"),"NO CORRESPONDE")))</f>
        <v>EMITIDA</v>
      </c>
      <c r="X174" s="29"/>
      <c r="Y174" s="17" t="s">
        <v>118</v>
      </c>
      <c r="Z174" s="30">
        <v>45706</v>
      </c>
      <c r="AA174" s="49" t="s">
        <v>124</v>
      </c>
      <c r="AB174" s="19">
        <v>566</v>
      </c>
      <c r="AC174" s="20">
        <v>15</v>
      </c>
      <c r="AD174" s="18">
        <f>DATA[[#This Row],[FECHA DE EMISION]]+DATA[[#This Row],[CONDICION DE PAGO]]</f>
        <v>45721</v>
      </c>
      <c r="AE174" s="23">
        <f>IF(DATA[[#This Row],[MONEDA]]="USD",VLOOKUP(DATA[[#This Row],[COMBINADA]],#REF!,11,0),1)</f>
        <v>1</v>
      </c>
      <c r="AF174" s="39" t="str">
        <f>IF(DATA[[#This Row],[SERIE2]]="-","NO CORRESPONDE",IF(W174="NO CORRESPONDE","NO CORRESPONDE",IF(Z174&gt;0,"FACTURADO","PENDIENTE")))</f>
        <v>FACTURADO</v>
      </c>
      <c r="AG174" s="27">
        <f>IFERROR(VLOOKUP(DATA[[#This Row],[COMBINADA]],#REF!,6,0),0)</f>
        <v>0</v>
      </c>
      <c r="AH174" s="125">
        <f>IFERROR(VLOOKUP(DATA[[#This Row],[COMBINADA]],#REF!,9,0),0)/COUNTIFS(DATA[COMBINADA],DATA[[#This Row],[COMBINADA]])</f>
        <v>0</v>
      </c>
      <c r="AI174" s="27">
        <f>IFERROR(VLOOKUP(DATA[[#This Row],[COMBINADA]],#REF!,6,0),0)</f>
        <v>0</v>
      </c>
      <c r="AJ174" s="125">
        <f>IFERROR(VLOOKUP(DATA[[#This Row],[COMBINADA]],#REF!,9,0),0)/COUNTIFS(DATA[COMBINADA],DATA[[#This Row],[COMBINADA]])</f>
        <v>0</v>
      </c>
      <c r="AK174" s="27">
        <f>IFERROR(VLOOKUP(DATA[[#This Row],[COMBINADA]],#REF!,6,0),0)</f>
        <v>0</v>
      </c>
      <c r="AL174" s="125">
        <f>IFERROR(VLOOKUP(DATA[[#This Row],[COMBINADA]],#REF!,9,0),0)/COUNTIFS(DATA[COMBINADA],DATA[[#This Row],[COMBINADA]])</f>
        <v>0</v>
      </c>
      <c r="AM174" s="27">
        <f>IFERROR(VLOOKUP(DATA[[#This Row],[COMBINADA]],#REF!,6,0),0)</f>
        <v>0</v>
      </c>
      <c r="AN174" s="125">
        <f>IFERROR(VLOOKUP(DATA[[#This Row],[COMBINADA]],#REF!,9,0),0)/COUNTIFS(DATA[COMBINADA],DATA[[#This Row],[COMBINADA]])</f>
        <v>0</v>
      </c>
      <c r="AO174" s="27">
        <f>IFERROR(VLOOKUP(DATA[[#This Row],[COMBINADA]],#REF!,6,0),0)</f>
        <v>0</v>
      </c>
      <c r="AP174" s="125">
        <f>IFERROR(VLOOKUP(DATA[[#This Row],[COMBINADA]],#REF!,9,0),0)/COUNTIFS(DATA[COMBINADA],DATA[[#This Row],[COMBINADA]])</f>
        <v>0</v>
      </c>
      <c r="AQ17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1797.73</v>
      </c>
      <c r="AR174" s="26" t="str">
        <f>IFERROR(IF(DATA[[#This Row],[estado_fact]]="FACTURADO",VLOOKUP(DATA[[#This Row],[SERIE2]]&amp;"-"&amp;DATA[[#This Row],[NUMERO]],#REF!,34,0),"NO CORRESPONDE"),"NO CORRESPONDE")</f>
        <v>NO CORRESPONDE</v>
      </c>
      <c r="AS174" s="65" t="str">
        <f>IF(DATA[[#This Row],[fecha_fs]]&gt;0,TEXT(DATA[[#This Row],[fecha_fs]],"Mmmm"),0)</f>
        <v>Febrero</v>
      </c>
      <c r="AT174" s="22" t="str">
        <f>DATA[[#This Row],[SERIE2]]&amp;"-"&amp;DATA[[#This Row],[NUMERO]]</f>
        <v>FE01-566</v>
      </c>
      <c r="AU174" s="28">
        <f>DATA[[#This Row],[TOTAL]]*DATA[[#This Row],[T.C.]]</f>
        <v>1797.73</v>
      </c>
      <c r="AV174" s="6">
        <f>DATA[[#This Row],[FECHA DE VAL.]]</f>
        <v>45692</v>
      </c>
      <c r="AW174" s="6">
        <f>DATA[[#This Row],[FECHA DE EMISION]]</f>
        <v>45706</v>
      </c>
      <c r="AX174" s="6">
        <f>DATA[[#This Row],[F1]]</f>
        <v>0</v>
      </c>
      <c r="AY174" s="20">
        <f>IF(AV174-DATA[[#This Row],[fecha_fs]]&lt;0,0,AV174-DATA[[#This Row],[fecha_fs]])</f>
        <v>1</v>
      </c>
      <c r="AZ174" s="20">
        <f t="shared" si="16"/>
        <v>14</v>
      </c>
      <c r="BA174" s="20">
        <f t="shared" si="17"/>
        <v>0</v>
      </c>
      <c r="BB174" s="195">
        <f>IFERROR(SUM(DATA[[#This Row],[fs_val_ttf]:[fact_pago_ttf]]),0)</f>
        <v>15</v>
      </c>
      <c r="BC174" s="185">
        <v>45698</v>
      </c>
      <c r="BD174" s="185">
        <v>45699</v>
      </c>
      <c r="BE174" s="185">
        <v>45706</v>
      </c>
      <c r="BF174" s="185">
        <v>45760</v>
      </c>
      <c r="BG174" s="20">
        <f>IFERROR(IF(BC174-DATA[[#This Row],[fecha_fs]]&lt;0,0,BC174-DATA[[#This Row],[fecha_fs]]),0)</f>
        <v>7</v>
      </c>
      <c r="BH174" s="20">
        <f t="shared" si="18"/>
        <v>1</v>
      </c>
      <c r="BI174" s="20">
        <f t="shared" si="19"/>
        <v>7</v>
      </c>
      <c r="BJ174" s="20">
        <f t="shared" si="20"/>
        <v>54</v>
      </c>
      <c r="BK174" s="218">
        <f>IFERROR(SUM(DATA[[#This Row],[fs_fd_ttd]:[fend_fenf_ttd]]),0)</f>
        <v>69</v>
      </c>
      <c r="BL174" s="20" t="str">
        <f>IF(DATA[[#This Row],[fecha_fs]]&gt;0,TEXT(DATA[[#This Row],[fecha_fs]],"YYYY"),0)</f>
        <v>2025</v>
      </c>
      <c r="BM174" s="221" t="b">
        <v>1</v>
      </c>
      <c r="BN174" s="278">
        <f>COUNTIF(DATA[[#This Row],[tiempo_td]], "&lt;=15")</f>
        <v>0</v>
      </c>
      <c r="BO174" s="222"/>
    </row>
    <row r="175" spans="1:67" ht="30.6" customHeight="1" x14ac:dyDescent="0.25">
      <c r="A175" s="4">
        <v>20100192064</v>
      </c>
      <c r="B175" s="5" t="s">
        <v>60</v>
      </c>
      <c r="C175" s="52" t="s">
        <v>64</v>
      </c>
      <c r="D175" s="4" t="s">
        <v>112</v>
      </c>
      <c r="E175" s="5" t="s">
        <v>1</v>
      </c>
      <c r="F175" s="24">
        <v>45691</v>
      </c>
      <c r="G175" s="7" t="s">
        <v>113</v>
      </c>
      <c r="H175" s="25">
        <f t="shared" si="15"/>
        <v>1</v>
      </c>
      <c r="I175" s="67">
        <v>4069</v>
      </c>
      <c r="J175" s="8" t="s">
        <v>115</v>
      </c>
      <c r="K175" s="9" t="s">
        <v>116</v>
      </c>
      <c r="L175" s="10" t="s">
        <v>117</v>
      </c>
      <c r="M175" s="11">
        <v>410</v>
      </c>
      <c r="N175" s="12" t="s">
        <v>125</v>
      </c>
      <c r="O175" s="6">
        <v>45714</v>
      </c>
      <c r="P175" s="71">
        <v>3317</v>
      </c>
      <c r="Q175" s="14" t="s">
        <v>123</v>
      </c>
      <c r="R175" s="15">
        <f>(DATA[[#This Row],[cantidad_fs]]/1000)*(143+175.34)</f>
        <v>130.51940000000002</v>
      </c>
      <c r="S175" s="56">
        <v>137</v>
      </c>
      <c r="T175" s="15">
        <f>DATA[[#This Row],[C. DF]]+DATA[[#This Row],[C.OPE.]]</f>
        <v>267.51940000000002</v>
      </c>
      <c r="U175" s="15">
        <f>DATA[[#This Row],[SUB TOTAL]]*0.18</f>
        <v>48.153492</v>
      </c>
      <c r="V175" s="15">
        <f>IFERROR(ROUND(DATA[[#This Row],[SUB TOTAL]]+DATA[[#This Row],[IGV]],2),0)</f>
        <v>315.67</v>
      </c>
      <c r="W175" s="16" t="str">
        <f>IF(DATA[[#This Row],[VALORIZACIÓN ]]="-","NO CORRESPONDE",IF(OR(A175=20558226979,A175=10470707866,A175=20111157058,A175=20100226902),"NO CORRESPONDE",IF(J175="Emitida",IF(P175&gt;0,"EMITIDA","PENDIENTE"),"NO CORRESPONDE")))</f>
        <v>EMITIDA</v>
      </c>
      <c r="X175" s="29"/>
      <c r="Y175" s="17" t="s">
        <v>118</v>
      </c>
      <c r="Z175" s="30">
        <v>45716</v>
      </c>
      <c r="AA175" s="10" t="s">
        <v>124</v>
      </c>
      <c r="AB175" s="19">
        <v>579</v>
      </c>
      <c r="AC175" s="20">
        <v>30</v>
      </c>
      <c r="AD175" s="18">
        <f>DATA[[#This Row],[FECHA DE EMISION]]+DATA[[#This Row],[CONDICION DE PAGO]]</f>
        <v>45746</v>
      </c>
      <c r="AE175" s="23" t="e">
        <f>IF(DATA[[#This Row],[MONEDA]]="USD",VLOOKUP(DATA[[#This Row],[COMBINADA]],#REF!,11,0),1)</f>
        <v>#REF!</v>
      </c>
      <c r="AF175" s="39" t="str">
        <f>IF(DATA[[#This Row],[SERIE2]]="-","NO CORRESPONDE",IF(W175="NO CORRESPONDE","NO CORRESPONDE",IF(Z175&gt;0,"FACTURADO","PENDIENTE")))</f>
        <v>FACTURADO</v>
      </c>
      <c r="AG175" s="27">
        <f>IFERROR(VLOOKUP(DATA[[#This Row],[COMBINADA]],#REF!,6,0),0)</f>
        <v>0</v>
      </c>
      <c r="AH175" s="125">
        <f>IFERROR(VLOOKUP(DATA[[#This Row],[COMBINADA]],#REF!,9,0),0)/COUNTIFS(DATA[COMBINADA],DATA[[#This Row],[COMBINADA]])</f>
        <v>0</v>
      </c>
      <c r="AI175" s="27">
        <f>IFERROR(VLOOKUP(DATA[[#This Row],[COMBINADA]],#REF!,6,0),0)</f>
        <v>0</v>
      </c>
      <c r="AJ175" s="125">
        <f>IFERROR(VLOOKUP(DATA[[#This Row],[COMBINADA]],#REF!,9,0),0)/COUNTIFS(DATA[COMBINADA],DATA[[#This Row],[COMBINADA]])</f>
        <v>0</v>
      </c>
      <c r="AK175" s="27">
        <f>IFERROR(VLOOKUP(DATA[[#This Row],[COMBINADA]],#REF!,6,0),0)</f>
        <v>0</v>
      </c>
      <c r="AL175" s="125">
        <f>IFERROR(VLOOKUP(DATA[[#This Row],[COMBINADA]],#REF!,9,0),0)/COUNTIFS(DATA[COMBINADA],DATA[[#This Row],[COMBINADA]])</f>
        <v>0</v>
      </c>
      <c r="AM175" s="27">
        <f>IFERROR(VLOOKUP(DATA[[#This Row],[COMBINADA]],#REF!,6,0),0)</f>
        <v>0</v>
      </c>
      <c r="AN175" s="125">
        <f>IFERROR(VLOOKUP(DATA[[#This Row],[COMBINADA]],#REF!,9,0),0)/COUNTIFS(DATA[COMBINADA],DATA[[#This Row],[COMBINADA]])</f>
        <v>0</v>
      </c>
      <c r="AO175" s="27">
        <f>IFERROR(VLOOKUP(DATA[[#This Row],[COMBINADA]],#REF!,6,0),0)</f>
        <v>0</v>
      </c>
      <c r="AP175" s="125">
        <f>IFERROR(VLOOKUP(DATA[[#This Row],[COMBINADA]],#REF!,9,0),0)/COUNTIFS(DATA[COMBINADA],DATA[[#This Row],[COMBINADA]])</f>
        <v>0</v>
      </c>
      <c r="AQ17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603.34285714285716</v>
      </c>
      <c r="AR175" s="26" t="str">
        <f>IFERROR(IF(DATA[[#This Row],[estado_fact]]="FACTURADO",VLOOKUP(DATA[[#This Row],[SERIE2]]&amp;"-"&amp;DATA[[#This Row],[NUMERO]],#REF!,34,0),"NO CORRESPONDE"),"NO CORRESPONDE")</f>
        <v>NO CORRESPONDE</v>
      </c>
      <c r="AS175" s="65" t="str">
        <f>IF(DATA[[#This Row],[fecha_fs]]&gt;0,TEXT(DATA[[#This Row],[fecha_fs]],"Mmmm"),0)</f>
        <v>Febrero</v>
      </c>
      <c r="AT175" s="22" t="str">
        <f>DATA[[#This Row],[SERIE2]]&amp;"-"&amp;DATA[[#This Row],[NUMERO]]</f>
        <v>FE01-579</v>
      </c>
      <c r="AU175" s="28" t="e">
        <f>DATA[[#This Row],[TOTAL]]*DATA[[#This Row],[T.C.]]</f>
        <v>#REF!</v>
      </c>
      <c r="AV175" s="6">
        <f>DATA[[#This Row],[FECHA DE VAL.]]</f>
        <v>45714</v>
      </c>
      <c r="AW175" s="6">
        <f>DATA[[#This Row],[FECHA DE EMISION]]</f>
        <v>45716</v>
      </c>
      <c r="AX175" s="6">
        <f>DATA[[#This Row],[F1]]</f>
        <v>0</v>
      </c>
      <c r="AY175" s="20">
        <f>IF(AV175-DATA[[#This Row],[fecha_fs]]&lt;0,0,AV175-DATA[[#This Row],[fecha_fs]])</f>
        <v>23</v>
      </c>
      <c r="AZ175" s="20">
        <f t="shared" si="16"/>
        <v>2</v>
      </c>
      <c r="BA175" s="20">
        <f t="shared" si="17"/>
        <v>0</v>
      </c>
      <c r="BB175" s="195">
        <f>IFERROR(SUM(DATA[[#This Row],[fs_val_ttf]:[fact_pago_ttf]]),0)</f>
        <v>25</v>
      </c>
      <c r="BC175" s="185">
        <v>45706</v>
      </c>
      <c r="BD175" s="185">
        <v>45715</v>
      </c>
      <c r="BE175" s="185">
        <v>45727</v>
      </c>
      <c r="BF175" s="185">
        <v>45760</v>
      </c>
      <c r="BG175" s="20">
        <f>IFERROR(IF(BC175-DATA[[#This Row],[fecha_fs]]&lt;0,0,BC175-DATA[[#This Row],[fecha_fs]]),0)</f>
        <v>15</v>
      </c>
      <c r="BH175" s="20">
        <f t="shared" si="18"/>
        <v>9</v>
      </c>
      <c r="BI175" s="20">
        <f t="shared" si="19"/>
        <v>12</v>
      </c>
      <c r="BJ175" s="20">
        <f t="shared" si="20"/>
        <v>33</v>
      </c>
      <c r="BK175" s="218">
        <f>IFERROR(SUM(DATA[[#This Row],[fs_fd_ttd]:[fend_fenf_ttd]]),0)</f>
        <v>69</v>
      </c>
      <c r="BL175" s="20" t="str">
        <f>IF(DATA[[#This Row],[fecha_fs]]&gt;0,TEXT(DATA[[#This Row],[fecha_fs]],"YYYY"),0)</f>
        <v>2025</v>
      </c>
      <c r="BM175" s="221" t="b">
        <v>1</v>
      </c>
      <c r="BN175" s="278">
        <f>COUNTIF(DATA[[#This Row],[tiempo_td]], "&lt;=15")</f>
        <v>0</v>
      </c>
      <c r="BO175" s="222"/>
    </row>
    <row r="176" spans="1:67" ht="30.6" customHeight="1" x14ac:dyDescent="0.25">
      <c r="A176" s="4">
        <v>20505675836</v>
      </c>
      <c r="B176" s="5" t="s">
        <v>42</v>
      </c>
      <c r="C176" s="52" t="s">
        <v>20</v>
      </c>
      <c r="D176" s="4" t="s">
        <v>112</v>
      </c>
      <c r="E176" s="5" t="s">
        <v>1</v>
      </c>
      <c r="F176" s="24">
        <v>45692</v>
      </c>
      <c r="G176" s="7" t="s">
        <v>113</v>
      </c>
      <c r="H176" s="25">
        <f t="shared" si="15"/>
        <v>1</v>
      </c>
      <c r="I176" s="67">
        <v>4070</v>
      </c>
      <c r="J176" s="8" t="s">
        <v>115</v>
      </c>
      <c r="K176" s="9" t="s">
        <v>116</v>
      </c>
      <c r="L176" s="10" t="s">
        <v>117</v>
      </c>
      <c r="M176" s="11">
        <v>1280</v>
      </c>
      <c r="N176" s="12" t="s">
        <v>188</v>
      </c>
      <c r="O176" s="6">
        <v>45713</v>
      </c>
      <c r="P176" s="71">
        <v>3313</v>
      </c>
      <c r="Q176" s="14" t="s">
        <v>85</v>
      </c>
      <c r="R176" s="15">
        <f>(DATA[[#This Row],[cantidad_fs]]-600)*0.97</f>
        <v>659.6</v>
      </c>
      <c r="S176" s="56">
        <v>1988.35</v>
      </c>
      <c r="T176" s="15">
        <f>DATA[[#This Row],[C. DF]]+DATA[[#This Row],[C.OPE.]]</f>
        <v>2647.95</v>
      </c>
      <c r="U176" s="15">
        <f>DATA[[#This Row],[SUB TOTAL]]*0.18</f>
        <v>476.63099999999997</v>
      </c>
      <c r="V176" s="15">
        <f>IFERROR(ROUND(DATA[[#This Row],[SUB TOTAL]]+DATA[[#This Row],[IGV]],2),0)</f>
        <v>3124.58</v>
      </c>
      <c r="W176" s="16" t="str">
        <f>IF(DATA[[#This Row],[VALORIZACIÓN ]]="-","NO CORRESPONDE",IF(OR(A176=20558226979,A176=10470707866,A176=20111157058,A176=20100226902),"NO CORRESPONDE",IF(J176="Emitida",IF(P176&gt;0,"EMITIDA","PENDIENTE"),"NO CORRESPONDE")))</f>
        <v>EMITIDA</v>
      </c>
      <c r="X176" s="29"/>
      <c r="Y176" s="17" t="s">
        <v>118</v>
      </c>
      <c r="Z176" s="30">
        <v>45740</v>
      </c>
      <c r="AA176" s="49" t="s">
        <v>119</v>
      </c>
      <c r="AB176" s="19">
        <v>38</v>
      </c>
      <c r="AC176" s="20">
        <v>30</v>
      </c>
      <c r="AD176" s="18">
        <f>DATA[[#This Row],[FECHA DE EMISION]]+DATA[[#This Row],[CONDICION DE PAGO]]</f>
        <v>45770</v>
      </c>
      <c r="AE176" s="23">
        <f>IF(DATA[[#This Row],[MONEDA]]="USD",VLOOKUP(DATA[[#This Row],[COMBINADA]],#REF!,11,0),1)</f>
        <v>1</v>
      </c>
      <c r="AF176" s="39" t="str">
        <f>IF(DATA[[#This Row],[SERIE2]]="-","NO CORRESPONDE",IF(W176="NO CORRESPONDE","NO CORRESPONDE",IF(Z176&gt;0,"FACTURADO","PENDIENTE")))</f>
        <v>FACTURADO</v>
      </c>
      <c r="AG176" s="27">
        <f>IFERROR(VLOOKUP(DATA[[#This Row],[COMBINADA]],#REF!,6,0),0)</f>
        <v>0</v>
      </c>
      <c r="AH176" s="125">
        <f>IFERROR(VLOOKUP(DATA[[#This Row],[COMBINADA]],#REF!,9,0),0)/COUNTIFS(DATA[COMBINADA],DATA[[#This Row],[COMBINADA]])</f>
        <v>0</v>
      </c>
      <c r="AI176" s="27">
        <f>IFERROR(VLOOKUP(DATA[[#This Row],[COMBINADA]],#REF!,6,0),0)</f>
        <v>0</v>
      </c>
      <c r="AJ176" s="125">
        <f>IFERROR(VLOOKUP(DATA[[#This Row],[COMBINADA]],#REF!,9,0),0)/COUNTIFS(DATA[COMBINADA],DATA[[#This Row],[COMBINADA]])</f>
        <v>0</v>
      </c>
      <c r="AK176" s="27">
        <f>IFERROR(VLOOKUP(DATA[[#This Row],[COMBINADA]],#REF!,6,0),0)</f>
        <v>0</v>
      </c>
      <c r="AL176" s="125">
        <f>IFERROR(VLOOKUP(DATA[[#This Row],[COMBINADA]],#REF!,9,0),0)/COUNTIFS(DATA[COMBINADA],DATA[[#This Row],[COMBINADA]])</f>
        <v>0</v>
      </c>
      <c r="AM176" s="27">
        <f>IFERROR(VLOOKUP(DATA[[#This Row],[COMBINADA]],#REF!,6,0),0)</f>
        <v>0</v>
      </c>
      <c r="AN176" s="125">
        <f>IFERROR(VLOOKUP(DATA[[#This Row],[COMBINADA]],#REF!,9,0),0)/COUNTIFS(DATA[COMBINADA],DATA[[#This Row],[COMBINADA]])</f>
        <v>0</v>
      </c>
      <c r="AO176" s="27">
        <f>IFERROR(VLOOKUP(DATA[[#This Row],[COMBINADA]],#REF!,6,0),0)</f>
        <v>0</v>
      </c>
      <c r="AP176" s="125">
        <f>IFERROR(VLOOKUP(DATA[[#This Row],[COMBINADA]],#REF!,9,0),0)/COUNTIFS(DATA[COMBINADA],DATA[[#This Row],[COMBINADA]])</f>
        <v>0</v>
      </c>
      <c r="AQ17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2477.54</v>
      </c>
      <c r="AR176" s="26" t="str">
        <f>IFERROR(IF(DATA[[#This Row],[estado_fact]]="FACTURADO",VLOOKUP(DATA[[#This Row],[SERIE2]]&amp;"-"&amp;DATA[[#This Row],[NUMERO]],#REF!,34,0),"NO CORRESPONDE"),"NO CORRESPONDE")</f>
        <v>NO CORRESPONDE</v>
      </c>
      <c r="AS176" s="65" t="str">
        <f>IF(DATA[[#This Row],[fecha_fs]]&gt;0,TEXT(DATA[[#This Row],[fecha_fs]],"Mmmm"),0)</f>
        <v>Febrero</v>
      </c>
      <c r="AT176" s="22" t="str">
        <f>DATA[[#This Row],[SERIE2]]&amp;"-"&amp;DATA[[#This Row],[NUMERO]]</f>
        <v>E001-38</v>
      </c>
      <c r="AU176" s="28">
        <f>DATA[[#This Row],[TOTAL]]*DATA[[#This Row],[T.C.]]</f>
        <v>3124.58</v>
      </c>
      <c r="AV176" s="6">
        <f>DATA[[#This Row],[FECHA DE VAL.]]</f>
        <v>45713</v>
      </c>
      <c r="AW176" s="6">
        <f>DATA[[#This Row],[FECHA DE EMISION]]</f>
        <v>45740</v>
      </c>
      <c r="AX176" s="6">
        <f>DATA[[#This Row],[F1]]</f>
        <v>0</v>
      </c>
      <c r="AY176" s="20">
        <f>IF(AV176-DATA[[#This Row],[fecha_fs]]&lt;0,0,AV176-DATA[[#This Row],[fecha_fs]])</f>
        <v>21</v>
      </c>
      <c r="AZ176" s="20">
        <f t="shared" si="16"/>
        <v>27</v>
      </c>
      <c r="BA176" s="20">
        <f t="shared" si="17"/>
        <v>0</v>
      </c>
      <c r="BB176" s="195">
        <f>IFERROR(SUM(DATA[[#This Row],[fs_val_ttf]:[fact_pago_ttf]]),0)</f>
        <v>48</v>
      </c>
      <c r="BC176" s="187">
        <v>45706</v>
      </c>
      <c r="BD176" s="187">
        <v>45715</v>
      </c>
      <c r="BE176" s="187">
        <v>45735</v>
      </c>
      <c r="BF176" s="187">
        <v>45761</v>
      </c>
      <c r="BG176" s="20">
        <f>IFERROR(IF(BC176-DATA[[#This Row],[fecha_fs]]&lt;0,0,BC176-DATA[[#This Row],[fecha_fs]]),0)</f>
        <v>14</v>
      </c>
      <c r="BH176" s="20">
        <f t="shared" si="18"/>
        <v>9</v>
      </c>
      <c r="BI176" s="20">
        <f t="shared" si="19"/>
        <v>20</v>
      </c>
      <c r="BJ176" s="20">
        <f t="shared" si="20"/>
        <v>26</v>
      </c>
      <c r="BK176" s="218">
        <f>IFERROR(SUM(DATA[[#This Row],[fs_fd_ttd]:[fend_fenf_ttd]]),0)</f>
        <v>69</v>
      </c>
      <c r="BL176" s="20" t="str">
        <f>IF(DATA[[#This Row],[fecha_fs]]&gt;0,TEXT(DATA[[#This Row],[fecha_fs]],"YYYY"),0)</f>
        <v>2025</v>
      </c>
      <c r="BM176" s="221" t="b">
        <v>1</v>
      </c>
      <c r="BN176" s="278">
        <f>COUNTIF(DATA[[#This Row],[tiempo_td]], "&lt;=15")</f>
        <v>0</v>
      </c>
      <c r="BO176" s="222"/>
    </row>
    <row r="177" spans="1:67" ht="30.6" customHeight="1" x14ac:dyDescent="0.25">
      <c r="A177" s="4">
        <v>20100192064</v>
      </c>
      <c r="B177" s="5" t="s">
        <v>60</v>
      </c>
      <c r="C177" s="52" t="s">
        <v>65</v>
      </c>
      <c r="D177" s="4" t="s">
        <v>120</v>
      </c>
      <c r="E177" s="5" t="s">
        <v>3</v>
      </c>
      <c r="F177" s="24">
        <v>45693</v>
      </c>
      <c r="G177" s="7" t="s">
        <v>142</v>
      </c>
      <c r="H177" s="25">
        <f t="shared" si="15"/>
        <v>2</v>
      </c>
      <c r="I177" s="67">
        <v>1045</v>
      </c>
      <c r="J177" s="8" t="s">
        <v>115</v>
      </c>
      <c r="K177" s="9" t="s">
        <v>121</v>
      </c>
      <c r="L177" s="10" t="s">
        <v>117</v>
      </c>
      <c r="M177" s="11">
        <v>470</v>
      </c>
      <c r="N177" s="12" t="s">
        <v>143</v>
      </c>
      <c r="O177" s="6">
        <v>45714</v>
      </c>
      <c r="P177" s="71">
        <v>3320</v>
      </c>
      <c r="Q177" s="14" t="s">
        <v>123</v>
      </c>
      <c r="R177" s="15">
        <f>(DATA[[#This Row],[cantidad_fs]]/1000)*(37+81.01)</f>
        <v>55.464700000000001</v>
      </c>
      <c r="S177" s="15">
        <v>103.6</v>
      </c>
      <c r="T177" s="15">
        <f>DATA[[#This Row],[C. DF]]+DATA[[#This Row],[C.OPE.]]</f>
        <v>159.06469999999999</v>
      </c>
      <c r="U177" s="15">
        <f>DATA[[#This Row],[SUB TOTAL]]*0.18</f>
        <v>28.631645999999996</v>
      </c>
      <c r="V177" s="15">
        <f>IFERROR(ROUND(DATA[[#This Row],[SUB TOTAL]]+DATA[[#This Row],[IGV]],2),0)</f>
        <v>187.7</v>
      </c>
      <c r="W177" s="16" t="str">
        <f>IF(DATA[[#This Row],[VALORIZACIÓN ]]="-","NO CORRESPONDE",IF(OR(A177=20558226979,A177=10470707866,A177=20111157058,A177=20100226902),"NO CORRESPONDE",IF(J177="Emitida",IF(P177&gt;0,"EMITIDA","PENDIENTE"),"NO CORRESPONDE")))</f>
        <v>EMITIDA</v>
      </c>
      <c r="X177" s="29"/>
      <c r="Y177" s="17" t="s">
        <v>118</v>
      </c>
      <c r="Z177" s="30">
        <v>45716</v>
      </c>
      <c r="AA177" s="20" t="s">
        <v>124</v>
      </c>
      <c r="AB177" s="19">
        <v>583</v>
      </c>
      <c r="AC177" s="20">
        <v>15</v>
      </c>
      <c r="AD177" s="18">
        <f>DATA[[#This Row],[FECHA DE EMISION]]+DATA[[#This Row],[CONDICION DE PAGO]]</f>
        <v>45731</v>
      </c>
      <c r="AE177" s="23" t="e">
        <f>IF(DATA[[#This Row],[MONEDA]]="USD",VLOOKUP(DATA[[#This Row],[COMBINADA]],#REF!,11,0),1)</f>
        <v>#REF!</v>
      </c>
      <c r="AF177" s="39" t="str">
        <f>IF(DATA[[#This Row],[SERIE2]]="-","NO CORRESPONDE",IF(W177="NO CORRESPONDE","NO CORRESPONDE",IF(Z177&gt;0,"FACTURADO","PENDIENTE")))</f>
        <v>FACTURADO</v>
      </c>
      <c r="AG177" s="27">
        <f>IFERROR(VLOOKUP(DATA[[#This Row],[COMBINADA]],#REF!,6,0),0)</f>
        <v>0</v>
      </c>
      <c r="AH177" s="125">
        <f>IFERROR(VLOOKUP(DATA[[#This Row],[COMBINADA]],#REF!,9,0),0)/COUNTIFS(DATA[COMBINADA],DATA[[#This Row],[COMBINADA]])</f>
        <v>0</v>
      </c>
      <c r="AI177" s="27">
        <f>IFERROR(VLOOKUP(DATA[[#This Row],[COMBINADA]],#REF!,6,0),0)</f>
        <v>0</v>
      </c>
      <c r="AJ177" s="125">
        <f>IFERROR(VLOOKUP(DATA[[#This Row],[COMBINADA]],#REF!,9,0),0)/COUNTIFS(DATA[COMBINADA],DATA[[#This Row],[COMBINADA]])</f>
        <v>0</v>
      </c>
      <c r="AK177" s="27">
        <f>IFERROR(VLOOKUP(DATA[[#This Row],[COMBINADA]],#REF!,6,0),0)</f>
        <v>0</v>
      </c>
      <c r="AL177" s="125">
        <f>IFERROR(VLOOKUP(DATA[[#This Row],[COMBINADA]],#REF!,9,0),0)/COUNTIFS(DATA[COMBINADA],DATA[[#This Row],[COMBINADA]])</f>
        <v>0</v>
      </c>
      <c r="AM177" s="27">
        <f>IFERROR(VLOOKUP(DATA[[#This Row],[COMBINADA]],#REF!,6,0),0)</f>
        <v>0</v>
      </c>
      <c r="AN177" s="125">
        <f>IFERROR(VLOOKUP(DATA[[#This Row],[COMBINADA]],#REF!,9,0),0)/COUNTIFS(DATA[COMBINADA],DATA[[#This Row],[COMBINADA]])</f>
        <v>0</v>
      </c>
      <c r="AO177" s="27">
        <f>IFERROR(VLOOKUP(DATA[[#This Row],[COMBINADA]],#REF!,6,0),0)</f>
        <v>0</v>
      </c>
      <c r="AP177" s="125">
        <f>IFERROR(VLOOKUP(DATA[[#This Row],[COMBINADA]],#REF!,9,0),0)/COUNTIFS(DATA[COMBINADA],DATA[[#This Row],[COMBINADA]])</f>
        <v>0</v>
      </c>
      <c r="AQ17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677.24384615384611</v>
      </c>
      <c r="AR177" s="26" t="str">
        <f>IFERROR(IF(DATA[[#This Row],[estado_fact]]="FACTURADO",VLOOKUP(DATA[[#This Row],[SERIE2]]&amp;"-"&amp;DATA[[#This Row],[NUMERO]],#REF!,34,0),"NO CORRESPONDE"),"NO CORRESPONDE")</f>
        <v>NO CORRESPONDE</v>
      </c>
      <c r="AS177" s="65" t="str">
        <f>IF(DATA[[#This Row],[fecha_fs]]&gt;0,TEXT(DATA[[#This Row],[fecha_fs]],"Mmmm"),0)</f>
        <v>Febrero</v>
      </c>
      <c r="AT177" s="22" t="str">
        <f>DATA[[#This Row],[SERIE2]]&amp;"-"&amp;DATA[[#This Row],[NUMERO]]</f>
        <v>FE01-583</v>
      </c>
      <c r="AU177" s="28" t="e">
        <f>DATA[[#This Row],[TOTAL]]*DATA[[#This Row],[T.C.]]</f>
        <v>#REF!</v>
      </c>
      <c r="AV177" s="6">
        <f>DATA[[#This Row],[FECHA DE VAL.]]</f>
        <v>45714</v>
      </c>
      <c r="AW177" s="6">
        <f>DATA[[#This Row],[FECHA DE EMISION]]</f>
        <v>45716</v>
      </c>
      <c r="AX177" s="6">
        <f>DATA[[#This Row],[F1]]</f>
        <v>0</v>
      </c>
      <c r="AY177" s="20">
        <f>IF(AV177-DATA[[#This Row],[fecha_fs]]&lt;0,0,AV177-DATA[[#This Row],[fecha_fs]])</f>
        <v>21</v>
      </c>
      <c r="AZ177" s="20">
        <f t="shared" si="16"/>
        <v>2</v>
      </c>
      <c r="BA177" s="20">
        <f t="shared" si="17"/>
        <v>0</v>
      </c>
      <c r="BB177" s="195">
        <f>IFERROR(SUM(DATA[[#This Row],[fs_val_ttf]:[fact_pago_ttf]]),0)</f>
        <v>23</v>
      </c>
      <c r="BC177" s="185">
        <v>45693</v>
      </c>
      <c r="BD177" s="185">
        <v>45700</v>
      </c>
      <c r="BE177" s="185">
        <v>45737</v>
      </c>
      <c r="BF177" s="185">
        <v>45760</v>
      </c>
      <c r="BG177" s="20">
        <f>IFERROR(IF(BC177-DATA[[#This Row],[fecha_fs]]&lt;0,0,BC177-DATA[[#This Row],[fecha_fs]]),0)</f>
        <v>0</v>
      </c>
      <c r="BH177" s="20">
        <f t="shared" si="18"/>
        <v>7</v>
      </c>
      <c r="BI177" s="20">
        <f t="shared" si="19"/>
        <v>37</v>
      </c>
      <c r="BJ177" s="20">
        <f t="shared" si="20"/>
        <v>23</v>
      </c>
      <c r="BK177" s="218">
        <f>IFERROR(SUM(DATA[[#This Row],[fs_fd_ttd]:[fend_fenf_ttd]]),0)</f>
        <v>67</v>
      </c>
      <c r="BL177" s="20" t="str">
        <f>IF(DATA[[#This Row],[fecha_fs]]&gt;0,TEXT(DATA[[#This Row],[fecha_fs]],"YYYY"),0)</f>
        <v>2025</v>
      </c>
      <c r="BM177" s="221" t="b">
        <v>1</v>
      </c>
      <c r="BN177" s="278">
        <f>COUNTIF(DATA[[#This Row],[tiempo_td]], "&lt;=15")</f>
        <v>0</v>
      </c>
      <c r="BO177" s="222"/>
    </row>
    <row r="178" spans="1:67" ht="30.6" customHeight="1" x14ac:dyDescent="0.25">
      <c r="A178" s="4">
        <v>20100211115</v>
      </c>
      <c r="B178" s="5" t="s">
        <v>41</v>
      </c>
      <c r="C178" s="52" t="s">
        <v>18</v>
      </c>
      <c r="D178" s="4" t="s">
        <v>120</v>
      </c>
      <c r="E178" s="5" t="s">
        <v>3</v>
      </c>
      <c r="F178" s="24">
        <v>45693</v>
      </c>
      <c r="G178" s="7" t="s">
        <v>113</v>
      </c>
      <c r="H178" s="25">
        <f t="shared" si="15"/>
        <v>1</v>
      </c>
      <c r="I178" s="67">
        <v>4071</v>
      </c>
      <c r="J178" s="8" t="s">
        <v>115</v>
      </c>
      <c r="K178" s="9" t="s">
        <v>121</v>
      </c>
      <c r="L178" s="10" t="s">
        <v>117</v>
      </c>
      <c r="M178" s="11">
        <v>90</v>
      </c>
      <c r="N178" s="12" t="s">
        <v>132</v>
      </c>
      <c r="O178" s="6">
        <v>45716</v>
      </c>
      <c r="P178" s="115">
        <v>3326</v>
      </c>
      <c r="Q178" s="14" t="s">
        <v>85</v>
      </c>
      <c r="R178" s="15"/>
      <c r="S178" s="56">
        <f>(DATA[[#This Row],[cantidad_fs]]*4.37)</f>
        <v>393.3</v>
      </c>
      <c r="T178" s="15">
        <f>DATA[[#This Row],[C. DF]]+DATA[[#This Row],[C.OPE.]]</f>
        <v>393.3</v>
      </c>
      <c r="U178" s="15">
        <f>DATA[[#This Row],[SUB TOTAL]]*0.18</f>
        <v>70.793999999999997</v>
      </c>
      <c r="V178" s="15">
        <f>IFERROR(ROUND(DATA[[#This Row],[SUB TOTAL]]+DATA[[#This Row],[IGV]],2),0)</f>
        <v>464.09</v>
      </c>
      <c r="W178" s="16" t="str">
        <f>IF(DATA[[#This Row],[VALORIZACIÓN ]]="-","NO CORRESPONDE",IF(OR(A178=20558226979,A178=10470707866,A178=20111157058,A178=20100226902),"NO CORRESPONDE",IF(J178="Emitida",IF(P178&gt;0,"EMITIDA","PENDIENTE"),"NO CORRESPONDE")))</f>
        <v>EMITIDA</v>
      </c>
      <c r="X178" s="29"/>
      <c r="Y178" s="17" t="s">
        <v>118</v>
      </c>
      <c r="Z178" s="30">
        <v>45722</v>
      </c>
      <c r="AA178" s="10" t="s">
        <v>124</v>
      </c>
      <c r="AB178" s="19">
        <v>588</v>
      </c>
      <c r="AC178" s="20">
        <v>30</v>
      </c>
      <c r="AD178" s="18">
        <f>DATA[[#This Row],[FECHA DE EMISION]]+DATA[[#This Row],[CONDICION DE PAGO]]</f>
        <v>45752</v>
      </c>
      <c r="AE178" s="23">
        <f>IF(DATA[[#This Row],[MONEDA]]="USD",VLOOKUP(DATA[[#This Row],[COMBINADA]],#REF!,11,0),1)</f>
        <v>1</v>
      </c>
      <c r="AF178" s="39" t="str">
        <f>IF(DATA[[#This Row],[SERIE2]]="-","NO CORRESPONDE",IF(W178="NO CORRESPONDE","NO CORRESPONDE",IF(Z178&gt;0,"FACTURADO","PENDIENTE")))</f>
        <v>FACTURADO</v>
      </c>
      <c r="AG178" s="27">
        <f>IFERROR(VLOOKUP(DATA[[#This Row],[COMBINADA]],#REF!,6,0),0)</f>
        <v>0</v>
      </c>
      <c r="AH178" s="125">
        <f>IFERROR(VLOOKUP(DATA[[#This Row],[COMBINADA]],#REF!,9,0),0)/COUNTIFS(DATA[COMBINADA],DATA[[#This Row],[COMBINADA]])</f>
        <v>0</v>
      </c>
      <c r="AI178" s="27">
        <f>IFERROR(VLOOKUP(DATA[[#This Row],[COMBINADA]],#REF!,6,0),0)</f>
        <v>0</v>
      </c>
      <c r="AJ178" s="125">
        <f>IFERROR(VLOOKUP(DATA[[#This Row],[COMBINADA]],#REF!,9,0),0)/COUNTIFS(DATA[COMBINADA],DATA[[#This Row],[COMBINADA]])</f>
        <v>0</v>
      </c>
      <c r="AK178" s="27">
        <f>IFERROR(VLOOKUP(DATA[[#This Row],[COMBINADA]],#REF!,6,0),0)</f>
        <v>0</v>
      </c>
      <c r="AL178" s="125">
        <f>IFERROR(VLOOKUP(DATA[[#This Row],[COMBINADA]],#REF!,9,0),0)/COUNTIFS(DATA[COMBINADA],DATA[[#This Row],[COMBINADA]])</f>
        <v>0</v>
      </c>
      <c r="AM178" s="27">
        <f>IFERROR(VLOOKUP(DATA[[#This Row],[COMBINADA]],#REF!,6,0),0)</f>
        <v>0</v>
      </c>
      <c r="AN178" s="125">
        <f>IFERROR(VLOOKUP(DATA[[#This Row],[COMBINADA]],#REF!,9,0),0)/COUNTIFS(DATA[COMBINADA],DATA[[#This Row],[COMBINADA]])</f>
        <v>0</v>
      </c>
      <c r="AO178" s="27">
        <f>IFERROR(VLOOKUP(DATA[[#This Row],[COMBINADA]],#REF!,6,0),0)</f>
        <v>0</v>
      </c>
      <c r="AP178" s="125">
        <f>IFERROR(VLOOKUP(DATA[[#This Row],[COMBINADA]],#REF!,9,0),0)/COUNTIFS(DATA[COMBINADA],DATA[[#This Row],[COMBINADA]])</f>
        <v>0</v>
      </c>
      <c r="AQ17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178" s="26" t="str">
        <f>IFERROR(IF(DATA[[#This Row],[estado_fact]]="FACTURADO",VLOOKUP(DATA[[#This Row],[SERIE2]]&amp;"-"&amp;DATA[[#This Row],[NUMERO]],#REF!,34,0),"NO CORRESPONDE"),"NO CORRESPONDE")</f>
        <v>NO CORRESPONDE</v>
      </c>
      <c r="AS178" s="65" t="str">
        <f>IF(DATA[[#This Row],[fecha_fs]]&gt;0,TEXT(DATA[[#This Row],[fecha_fs]],"Mmmm"),0)</f>
        <v>Febrero</v>
      </c>
      <c r="AT178" s="22" t="str">
        <f>DATA[[#This Row],[SERIE2]]&amp;"-"&amp;DATA[[#This Row],[NUMERO]]</f>
        <v>FE01-588</v>
      </c>
      <c r="AU178" s="28">
        <f>DATA[[#This Row],[TOTAL]]*DATA[[#This Row],[T.C.]]</f>
        <v>464.09</v>
      </c>
      <c r="AV178" s="6">
        <f>DATA[[#This Row],[FECHA DE VAL.]]</f>
        <v>45716</v>
      </c>
      <c r="AW178" s="6">
        <f>DATA[[#This Row],[FECHA DE EMISION]]</f>
        <v>45722</v>
      </c>
      <c r="AX178" s="6">
        <f>DATA[[#This Row],[F1]]</f>
        <v>0</v>
      </c>
      <c r="AY178" s="20">
        <f>IF(AV178-DATA[[#This Row],[fecha_fs]]&lt;0,0,AV178-DATA[[#This Row],[fecha_fs]])</f>
        <v>23</v>
      </c>
      <c r="AZ178" s="20">
        <f t="shared" si="16"/>
        <v>6</v>
      </c>
      <c r="BA178" s="20">
        <f t="shared" si="17"/>
        <v>0</v>
      </c>
      <c r="BB178" s="195">
        <f>IFERROR(SUM(DATA[[#This Row],[fs_val_ttf]:[fact_pago_ttf]]),0)</f>
        <v>29</v>
      </c>
      <c r="BC178" s="184">
        <v>45729</v>
      </c>
      <c r="BD178" s="184">
        <v>45735</v>
      </c>
      <c r="BE178" s="184">
        <v>45740</v>
      </c>
      <c r="BF178" s="184">
        <v>45749</v>
      </c>
      <c r="BG178" s="20">
        <f>IFERROR(IF(BC178-DATA[[#This Row],[fecha_fs]]&lt;0,0,BC178-DATA[[#This Row],[fecha_fs]]),0)</f>
        <v>36</v>
      </c>
      <c r="BH178" s="20">
        <f t="shared" si="18"/>
        <v>6</v>
      </c>
      <c r="BI178" s="20">
        <f t="shared" si="19"/>
        <v>5</v>
      </c>
      <c r="BJ178" s="20">
        <f t="shared" si="20"/>
        <v>9</v>
      </c>
      <c r="BK178" s="218">
        <f>IFERROR(SUM(DATA[[#This Row],[fs_fd_ttd]:[fend_fenf_ttd]]),0)</f>
        <v>56</v>
      </c>
      <c r="BL178" s="20" t="str">
        <f>IF(DATA[[#This Row],[fecha_fs]]&gt;0,TEXT(DATA[[#This Row],[fecha_fs]],"YYYY"),0)</f>
        <v>2025</v>
      </c>
      <c r="BM178" s="221" t="b">
        <v>1</v>
      </c>
      <c r="BN178" s="278">
        <f>COUNTIF(DATA[[#This Row],[tiempo_td]], "&lt;=15")</f>
        <v>0</v>
      </c>
      <c r="BO178" s="222"/>
    </row>
    <row r="179" spans="1:67" ht="30.6" customHeight="1" x14ac:dyDescent="0.25">
      <c r="A179" s="4">
        <v>20141637941</v>
      </c>
      <c r="B179" s="5" t="s">
        <v>79</v>
      </c>
      <c r="C179" s="52" t="s">
        <v>18</v>
      </c>
      <c r="D179" s="4" t="s">
        <v>120</v>
      </c>
      <c r="E179" s="5" t="s">
        <v>3</v>
      </c>
      <c r="F179" s="24">
        <v>45693</v>
      </c>
      <c r="G179" s="7" t="s">
        <v>113</v>
      </c>
      <c r="H179" s="25">
        <f t="shared" si="15"/>
        <v>1</v>
      </c>
      <c r="I179" s="67">
        <v>4072</v>
      </c>
      <c r="J179" s="8" t="s">
        <v>115</v>
      </c>
      <c r="K179" s="9" t="s">
        <v>121</v>
      </c>
      <c r="L179" s="10" t="s">
        <v>117</v>
      </c>
      <c r="M179" s="11">
        <v>1640</v>
      </c>
      <c r="N179" s="12" t="s">
        <v>125</v>
      </c>
      <c r="O179" s="6">
        <v>45695</v>
      </c>
      <c r="P179" s="68">
        <v>3280</v>
      </c>
      <c r="Q179" s="14" t="s">
        <v>85</v>
      </c>
      <c r="R179" s="15">
        <f>70+(DATA[[#This Row],[cantidad_fs]]-1000)*0.1</f>
        <v>134</v>
      </c>
      <c r="S179" s="56">
        <v>517</v>
      </c>
      <c r="T179" s="15">
        <f>DATA[[#This Row],[C. DF]]+DATA[[#This Row],[C.OPE.]]</f>
        <v>651</v>
      </c>
      <c r="U179" s="15">
        <f>DATA[[#This Row],[SUB TOTAL]]*0.18</f>
        <v>117.17999999999999</v>
      </c>
      <c r="V179" s="15">
        <f>IFERROR(ROUND(DATA[[#This Row],[SUB TOTAL]]+DATA[[#This Row],[IGV]],2),0)</f>
        <v>768.18</v>
      </c>
      <c r="W179" s="16" t="str">
        <f>IF(DATA[[#This Row],[VALORIZACIÓN ]]="-","NO CORRESPONDE",IF(OR(A179=20558226979,A179=10470707866,A179=20111157058,A179=20100226902),"NO CORRESPONDE",IF(J179="Emitida",IF(P179&gt;0,"EMITIDA","PENDIENTE"),"NO CORRESPONDE")))</f>
        <v>EMITIDA</v>
      </c>
      <c r="X179" s="29"/>
      <c r="Y179" s="17" t="s">
        <v>118</v>
      </c>
      <c r="Z179" s="30">
        <v>45699</v>
      </c>
      <c r="AA179" s="49" t="s">
        <v>124</v>
      </c>
      <c r="AB179" s="19">
        <v>557</v>
      </c>
      <c r="AC179" s="20">
        <v>30</v>
      </c>
      <c r="AD179" s="18">
        <f>DATA[[#This Row],[FECHA DE EMISION]]+DATA[[#This Row],[CONDICION DE PAGO]]</f>
        <v>45729</v>
      </c>
      <c r="AE179" s="23">
        <f>IF(DATA[[#This Row],[MONEDA]]="USD",VLOOKUP(DATA[[#This Row],[COMBINADA]],#REF!,11,0),1)</f>
        <v>1</v>
      </c>
      <c r="AF179" s="39" t="str">
        <f>IF(DATA[[#This Row],[SERIE2]]="-","NO CORRESPONDE",IF(W179="NO CORRESPONDE","NO CORRESPONDE",IF(Z179&gt;0,"FACTURADO","PENDIENTE")))</f>
        <v>FACTURADO</v>
      </c>
      <c r="AG179" s="27">
        <f>IFERROR(VLOOKUP(DATA[[#This Row],[COMBINADA]],#REF!,6,0),0)</f>
        <v>0</v>
      </c>
      <c r="AH179" s="125">
        <f>IFERROR(VLOOKUP(DATA[[#This Row],[COMBINADA]],#REF!,9,0),0)/COUNTIFS(DATA[COMBINADA],DATA[[#This Row],[COMBINADA]])</f>
        <v>0</v>
      </c>
      <c r="AI179" s="27">
        <f>IFERROR(VLOOKUP(DATA[[#This Row],[COMBINADA]],#REF!,6,0),0)</f>
        <v>0</v>
      </c>
      <c r="AJ179" s="125">
        <f>IFERROR(VLOOKUP(DATA[[#This Row],[COMBINADA]],#REF!,9,0),0)/COUNTIFS(DATA[COMBINADA],DATA[[#This Row],[COMBINADA]])</f>
        <v>0</v>
      </c>
      <c r="AK179" s="27">
        <f>IFERROR(VLOOKUP(DATA[[#This Row],[COMBINADA]],#REF!,6,0),0)</f>
        <v>0</v>
      </c>
      <c r="AL179" s="125">
        <f>IFERROR(VLOOKUP(DATA[[#This Row],[COMBINADA]],#REF!,9,0),0)/COUNTIFS(DATA[COMBINADA],DATA[[#This Row],[COMBINADA]])</f>
        <v>0</v>
      </c>
      <c r="AM179" s="27">
        <f>IFERROR(VLOOKUP(DATA[[#This Row],[COMBINADA]],#REF!,6,0),0)</f>
        <v>0</v>
      </c>
      <c r="AN179" s="125">
        <f>IFERROR(VLOOKUP(DATA[[#This Row],[COMBINADA]],#REF!,9,0),0)/COUNTIFS(DATA[COMBINADA],DATA[[#This Row],[COMBINADA]])</f>
        <v>0</v>
      </c>
      <c r="AO179" s="27">
        <f>IFERROR(VLOOKUP(DATA[[#This Row],[COMBINADA]],#REF!,6,0),0)</f>
        <v>0</v>
      </c>
      <c r="AP179" s="125">
        <f>IFERROR(VLOOKUP(DATA[[#This Row],[COMBINADA]],#REF!,9,0),0)/COUNTIFS(DATA[COMBINADA],DATA[[#This Row],[COMBINADA]])</f>
        <v>0</v>
      </c>
      <c r="AQ17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730.42</v>
      </c>
      <c r="AR179" s="26" t="str">
        <f>IFERROR(IF(DATA[[#This Row],[estado_fact]]="FACTURADO",VLOOKUP(DATA[[#This Row],[SERIE2]]&amp;"-"&amp;DATA[[#This Row],[NUMERO]],#REF!,34,0),"NO CORRESPONDE"),"NO CORRESPONDE")</f>
        <v>NO CORRESPONDE</v>
      </c>
      <c r="AS179" s="65" t="str">
        <f>IF(DATA[[#This Row],[fecha_fs]]&gt;0,TEXT(DATA[[#This Row],[fecha_fs]],"Mmmm"),0)</f>
        <v>Febrero</v>
      </c>
      <c r="AT179" s="22" t="str">
        <f>DATA[[#This Row],[SERIE2]]&amp;"-"&amp;DATA[[#This Row],[NUMERO]]</f>
        <v>FE01-557</v>
      </c>
      <c r="AU179" s="28">
        <f>DATA[[#This Row],[TOTAL]]*DATA[[#This Row],[T.C.]]</f>
        <v>768.18</v>
      </c>
      <c r="AV179" s="6">
        <f>DATA[[#This Row],[FECHA DE VAL.]]</f>
        <v>45695</v>
      </c>
      <c r="AW179" s="6">
        <f>DATA[[#This Row],[FECHA DE EMISION]]</f>
        <v>45699</v>
      </c>
      <c r="AX179" s="6">
        <f>DATA[[#This Row],[F1]]</f>
        <v>0</v>
      </c>
      <c r="AY179" s="20">
        <f>IF(AV179-DATA[[#This Row],[fecha_fs]]&lt;0,0,AV179-DATA[[#This Row],[fecha_fs]])</f>
        <v>2</v>
      </c>
      <c r="AZ179" s="20">
        <f t="shared" si="16"/>
        <v>4</v>
      </c>
      <c r="BA179" s="20">
        <f t="shared" si="17"/>
        <v>0</v>
      </c>
      <c r="BB179" s="195">
        <f>IFERROR(SUM(DATA[[#This Row],[fs_val_ttf]:[fact_pago_ttf]]),0)</f>
        <v>6</v>
      </c>
      <c r="BC179" s="185">
        <v>45693</v>
      </c>
      <c r="BD179" s="185">
        <v>45693</v>
      </c>
      <c r="BE179" s="185">
        <v>45699</v>
      </c>
      <c r="BF179" s="185">
        <v>45699</v>
      </c>
      <c r="BG179" s="20">
        <f>IFERROR(IF(BC179-DATA[[#This Row],[fecha_fs]]&lt;0,0,BC179-DATA[[#This Row],[fecha_fs]]),0)</f>
        <v>0</v>
      </c>
      <c r="BH179" s="20">
        <f t="shared" si="18"/>
        <v>0</v>
      </c>
      <c r="BI179" s="20">
        <f t="shared" si="19"/>
        <v>6</v>
      </c>
      <c r="BJ179" s="20">
        <f t="shared" si="20"/>
        <v>0</v>
      </c>
      <c r="BK179" s="218">
        <f>IFERROR(SUM(DATA[[#This Row],[fs_fd_ttd]:[fend_fenf_ttd]]),0)</f>
        <v>6</v>
      </c>
      <c r="BL179" s="20" t="str">
        <f>IF(DATA[[#This Row],[fecha_fs]]&gt;0,TEXT(DATA[[#This Row],[fecha_fs]],"YYYY"),0)</f>
        <v>2025</v>
      </c>
      <c r="BM179" s="221" t="b">
        <v>1</v>
      </c>
      <c r="BN179" s="278">
        <f>COUNTIF(DATA[[#This Row],[tiempo_td]], "&lt;=15")</f>
        <v>1</v>
      </c>
      <c r="BO179" s="222"/>
    </row>
    <row r="180" spans="1:67" ht="30.6" customHeight="1" x14ac:dyDescent="0.25">
      <c r="A180" s="4">
        <v>20100192064</v>
      </c>
      <c r="B180" s="5" t="s">
        <v>60</v>
      </c>
      <c r="C180" s="52" t="s">
        <v>43</v>
      </c>
      <c r="D180" s="4" t="s">
        <v>120</v>
      </c>
      <c r="E180" s="5" t="s">
        <v>3</v>
      </c>
      <c r="F180" s="24">
        <v>45693</v>
      </c>
      <c r="G180" s="7" t="s">
        <v>113</v>
      </c>
      <c r="H180" s="25">
        <f t="shared" si="15"/>
        <v>1</v>
      </c>
      <c r="I180" s="67">
        <v>4073</v>
      </c>
      <c r="J180" s="8" t="s">
        <v>115</v>
      </c>
      <c r="K180" s="9" t="s">
        <v>121</v>
      </c>
      <c r="L180" s="10" t="s">
        <v>117</v>
      </c>
      <c r="M180" s="11">
        <v>750</v>
      </c>
      <c r="N180" s="12" t="s">
        <v>125</v>
      </c>
      <c r="O180" s="6">
        <v>45714</v>
      </c>
      <c r="P180" s="71">
        <v>3314</v>
      </c>
      <c r="Q180" s="14" t="s">
        <v>123</v>
      </c>
      <c r="R180" s="56">
        <f>(DATA[[#This Row],[cantidad_fs]]/1000)*(47+174.34)</f>
        <v>166.005</v>
      </c>
      <c r="S180" s="56">
        <v>137</v>
      </c>
      <c r="T180" s="15">
        <f>DATA[[#This Row],[C. DF]]+DATA[[#This Row],[C.OPE.]]</f>
        <v>303.005</v>
      </c>
      <c r="U180" s="15">
        <f>DATA[[#This Row],[SUB TOTAL]]*0.18</f>
        <v>54.540900000000001</v>
      </c>
      <c r="V180" s="15">
        <f>IFERROR(ROUND(DATA[[#This Row],[SUB TOTAL]]+DATA[[#This Row],[IGV]],2),0)</f>
        <v>357.55</v>
      </c>
      <c r="W180" s="16" t="str">
        <f>IF(DATA[[#This Row],[VALORIZACIÓN ]]="-","NO CORRESPONDE",IF(OR(A180=20558226979,A180=10470707866,A180=20111157058,A180=20100226902),"NO CORRESPONDE",IF(J180="Emitida",IF(P180&gt;0,"EMITIDA","PENDIENTE"),"NO CORRESPONDE")))</f>
        <v>EMITIDA</v>
      </c>
      <c r="X180" s="29"/>
      <c r="Y180" s="17" t="s">
        <v>118</v>
      </c>
      <c r="Z180" s="30">
        <v>45716</v>
      </c>
      <c r="AA180" s="10" t="s">
        <v>124</v>
      </c>
      <c r="AB180" s="19">
        <v>579</v>
      </c>
      <c r="AC180" s="20">
        <v>30</v>
      </c>
      <c r="AD180" s="18">
        <f>DATA[[#This Row],[FECHA DE EMISION]]+DATA[[#This Row],[CONDICION DE PAGO]]</f>
        <v>45746</v>
      </c>
      <c r="AE180" s="23" t="e">
        <f>IF(DATA[[#This Row],[MONEDA]]="USD",VLOOKUP(DATA[[#This Row],[COMBINADA]],#REF!,11,0),1)</f>
        <v>#REF!</v>
      </c>
      <c r="AF180" s="39" t="str">
        <f>IF(DATA[[#This Row],[SERIE2]]="-","NO CORRESPONDE",IF(W180="NO CORRESPONDE","NO CORRESPONDE",IF(Z180&gt;0,"FACTURADO","PENDIENTE")))</f>
        <v>FACTURADO</v>
      </c>
      <c r="AG180" s="27">
        <f>IFERROR(VLOOKUP(DATA[[#This Row],[COMBINADA]],#REF!,6,0),0)</f>
        <v>0</v>
      </c>
      <c r="AH180" s="125">
        <f>IFERROR(VLOOKUP(DATA[[#This Row],[COMBINADA]],#REF!,9,0),0)/COUNTIFS(DATA[COMBINADA],DATA[[#This Row],[COMBINADA]])</f>
        <v>0</v>
      </c>
      <c r="AI180" s="27">
        <f>IFERROR(VLOOKUP(DATA[[#This Row],[COMBINADA]],#REF!,6,0),0)</f>
        <v>0</v>
      </c>
      <c r="AJ180" s="125">
        <f>IFERROR(VLOOKUP(DATA[[#This Row],[COMBINADA]],#REF!,9,0),0)/COUNTIFS(DATA[COMBINADA],DATA[[#This Row],[COMBINADA]])</f>
        <v>0</v>
      </c>
      <c r="AK180" s="27">
        <f>IFERROR(VLOOKUP(DATA[[#This Row],[COMBINADA]],#REF!,6,0),0)</f>
        <v>0</v>
      </c>
      <c r="AL180" s="125">
        <f>IFERROR(VLOOKUP(DATA[[#This Row],[COMBINADA]],#REF!,9,0),0)/COUNTIFS(DATA[COMBINADA],DATA[[#This Row],[COMBINADA]])</f>
        <v>0</v>
      </c>
      <c r="AM180" s="27">
        <f>IFERROR(VLOOKUP(DATA[[#This Row],[COMBINADA]],#REF!,6,0),0)</f>
        <v>0</v>
      </c>
      <c r="AN180" s="125">
        <f>IFERROR(VLOOKUP(DATA[[#This Row],[COMBINADA]],#REF!,9,0),0)/COUNTIFS(DATA[COMBINADA],DATA[[#This Row],[COMBINADA]])</f>
        <v>0</v>
      </c>
      <c r="AO180" s="27">
        <f>IFERROR(VLOOKUP(DATA[[#This Row],[COMBINADA]],#REF!,6,0),0)</f>
        <v>0</v>
      </c>
      <c r="AP180" s="125">
        <f>IFERROR(VLOOKUP(DATA[[#This Row],[COMBINADA]],#REF!,9,0),0)/COUNTIFS(DATA[COMBINADA],DATA[[#This Row],[COMBINADA]])</f>
        <v>0</v>
      </c>
      <c r="AQ18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603.34285714285716</v>
      </c>
      <c r="AR180" s="26" t="str">
        <f>IFERROR(IF(DATA[[#This Row],[estado_fact]]="FACTURADO",VLOOKUP(DATA[[#This Row],[SERIE2]]&amp;"-"&amp;DATA[[#This Row],[NUMERO]],#REF!,34,0),"NO CORRESPONDE"),"NO CORRESPONDE")</f>
        <v>NO CORRESPONDE</v>
      </c>
      <c r="AS180" s="65" t="str">
        <f>IF(DATA[[#This Row],[fecha_fs]]&gt;0,TEXT(DATA[[#This Row],[fecha_fs]],"Mmmm"),0)</f>
        <v>Febrero</v>
      </c>
      <c r="AT180" s="22" t="str">
        <f>DATA[[#This Row],[SERIE2]]&amp;"-"&amp;DATA[[#This Row],[NUMERO]]</f>
        <v>FE01-579</v>
      </c>
      <c r="AU180" s="28" t="e">
        <f>DATA[[#This Row],[TOTAL]]*DATA[[#This Row],[T.C.]]</f>
        <v>#REF!</v>
      </c>
      <c r="AV180" s="6">
        <f>DATA[[#This Row],[FECHA DE VAL.]]</f>
        <v>45714</v>
      </c>
      <c r="AW180" s="6">
        <f>DATA[[#This Row],[FECHA DE EMISION]]</f>
        <v>45716</v>
      </c>
      <c r="AX180" s="6">
        <f>DATA[[#This Row],[F1]]</f>
        <v>0</v>
      </c>
      <c r="AY180" s="20">
        <f>IF(AV180-DATA[[#This Row],[fecha_fs]]&lt;0,0,AV180-DATA[[#This Row],[fecha_fs]])</f>
        <v>21</v>
      </c>
      <c r="AZ180" s="20">
        <f t="shared" si="16"/>
        <v>2</v>
      </c>
      <c r="BA180" s="20">
        <f t="shared" si="17"/>
        <v>0</v>
      </c>
      <c r="BB180" s="195">
        <f>IFERROR(SUM(DATA[[#This Row],[fs_val_ttf]:[fact_pago_ttf]]),0)</f>
        <v>23</v>
      </c>
      <c r="BC180" s="185">
        <v>45701</v>
      </c>
      <c r="BD180" s="185">
        <v>45705</v>
      </c>
      <c r="BE180" s="185">
        <v>45737</v>
      </c>
      <c r="BF180" s="185">
        <v>45760</v>
      </c>
      <c r="BG180" s="20">
        <f>IFERROR(IF(BC180-DATA[[#This Row],[fecha_fs]]&lt;0,0,BC180-DATA[[#This Row],[fecha_fs]]),0)</f>
        <v>8</v>
      </c>
      <c r="BH180" s="20">
        <f t="shared" si="18"/>
        <v>4</v>
      </c>
      <c r="BI180" s="20">
        <f t="shared" si="19"/>
        <v>32</v>
      </c>
      <c r="BJ180" s="20">
        <f t="shared" si="20"/>
        <v>23</v>
      </c>
      <c r="BK180" s="218">
        <f>IFERROR(SUM(DATA[[#This Row],[fs_fd_ttd]:[fend_fenf_ttd]]),0)</f>
        <v>67</v>
      </c>
      <c r="BL180" s="20" t="str">
        <f>IF(DATA[[#This Row],[fecha_fs]]&gt;0,TEXT(DATA[[#This Row],[fecha_fs]],"YYYY"),0)</f>
        <v>2025</v>
      </c>
      <c r="BM180" s="221" t="b">
        <v>1</v>
      </c>
      <c r="BN180" s="278">
        <f>COUNTIF(DATA[[#This Row],[tiempo_td]], "&lt;=15")</f>
        <v>0</v>
      </c>
      <c r="BO180" s="222"/>
    </row>
    <row r="181" spans="1:67" ht="30.6" customHeight="1" x14ac:dyDescent="0.25">
      <c r="A181" s="4">
        <v>20100055237</v>
      </c>
      <c r="B181" s="5" t="s">
        <v>21</v>
      </c>
      <c r="C181" s="52" t="s">
        <v>138</v>
      </c>
      <c r="D181" s="4" t="s">
        <v>139</v>
      </c>
      <c r="E181" s="5" t="s">
        <v>23</v>
      </c>
      <c r="F181" s="24">
        <v>45692</v>
      </c>
      <c r="G181" s="7" t="s">
        <v>113</v>
      </c>
      <c r="H181" s="25">
        <f t="shared" si="15"/>
        <v>1</v>
      </c>
      <c r="I181" s="67">
        <v>4074</v>
      </c>
      <c r="J181" s="8" t="s">
        <v>115</v>
      </c>
      <c r="K181" s="9" t="s">
        <v>121</v>
      </c>
      <c r="L181" s="10" t="s">
        <v>117</v>
      </c>
      <c r="M181" s="11">
        <v>40</v>
      </c>
      <c r="N181" s="12" t="s">
        <v>167</v>
      </c>
      <c r="O181" s="6">
        <v>45716</v>
      </c>
      <c r="P181" s="54">
        <v>3330</v>
      </c>
      <c r="Q181" s="14" t="s">
        <v>85</v>
      </c>
      <c r="R181" s="74"/>
      <c r="S181" s="56">
        <v>297.92</v>
      </c>
      <c r="T181" s="15">
        <f>DATA[[#This Row],[C. DF]]+DATA[[#This Row],[C.OPE.]]</f>
        <v>297.92</v>
      </c>
      <c r="U181" s="15">
        <f>DATA[[#This Row],[SUB TOTAL]]*0.18</f>
        <v>53.625599999999999</v>
      </c>
      <c r="V181" s="15">
        <f>IFERROR(ROUND(DATA[[#This Row],[SUB TOTAL]]+DATA[[#This Row],[IGV]],2),0)</f>
        <v>351.55</v>
      </c>
      <c r="W181" s="16" t="str">
        <f>IF(DATA[[#This Row],[VALORIZACIÓN ]]="-","NO CORRESPONDE",IF(OR(A181=20558226979,A181=10470707866,A181=20111157058,A181=20100226902),"NO CORRESPONDE",IF(J181="Emitida",IF(P181&gt;0,"EMITIDA","PENDIENTE"),"NO CORRESPONDE")))</f>
        <v>EMITIDA</v>
      </c>
      <c r="X181" s="29"/>
      <c r="Y181" s="17" t="s">
        <v>118</v>
      </c>
      <c r="Z181" s="30">
        <v>45722</v>
      </c>
      <c r="AA181" s="10" t="s">
        <v>124</v>
      </c>
      <c r="AB181" s="19">
        <v>591</v>
      </c>
      <c r="AC181" s="20">
        <v>30</v>
      </c>
      <c r="AD181" s="18">
        <f>DATA[[#This Row],[FECHA DE EMISION]]+DATA[[#This Row],[CONDICION DE PAGO]]</f>
        <v>45752</v>
      </c>
      <c r="AE181" s="23">
        <f>IF(DATA[[#This Row],[MONEDA]]="USD",VLOOKUP(DATA[[#This Row],[COMBINADA]],#REF!,11,0),1)</f>
        <v>1</v>
      </c>
      <c r="AF181" s="39" t="str">
        <f>IF(DATA[[#This Row],[SERIE2]]="-","NO CORRESPONDE",IF(W181="NO CORRESPONDE","NO CORRESPONDE",IF(Z181&gt;0,"FACTURADO","PENDIENTE")))</f>
        <v>FACTURADO</v>
      </c>
      <c r="AG181" s="27">
        <f>IFERROR(VLOOKUP(DATA[[#This Row],[COMBINADA]],#REF!,6,0),0)</f>
        <v>0</v>
      </c>
      <c r="AH181" s="125">
        <f>IFERROR(VLOOKUP(DATA[[#This Row],[COMBINADA]],#REF!,9,0),0)/COUNTIFS(DATA[COMBINADA],DATA[[#This Row],[COMBINADA]])</f>
        <v>0</v>
      </c>
      <c r="AI181" s="27">
        <f>IFERROR(VLOOKUP(DATA[[#This Row],[COMBINADA]],#REF!,6,0),0)</f>
        <v>0</v>
      </c>
      <c r="AJ181" s="125">
        <f>IFERROR(VLOOKUP(DATA[[#This Row],[COMBINADA]],#REF!,9,0),0)/COUNTIFS(DATA[COMBINADA],DATA[[#This Row],[COMBINADA]])</f>
        <v>0</v>
      </c>
      <c r="AK181" s="27">
        <f>IFERROR(VLOOKUP(DATA[[#This Row],[COMBINADA]],#REF!,6,0),0)</f>
        <v>0</v>
      </c>
      <c r="AL181" s="125">
        <f>IFERROR(VLOOKUP(DATA[[#This Row],[COMBINADA]],#REF!,9,0),0)/COUNTIFS(DATA[COMBINADA],DATA[[#This Row],[COMBINADA]])</f>
        <v>0</v>
      </c>
      <c r="AM181" s="27">
        <f>IFERROR(VLOOKUP(DATA[[#This Row],[COMBINADA]],#REF!,6,0),0)</f>
        <v>0</v>
      </c>
      <c r="AN181" s="125">
        <f>IFERROR(VLOOKUP(DATA[[#This Row],[COMBINADA]],#REF!,9,0),0)/COUNTIFS(DATA[COMBINADA],DATA[[#This Row],[COMBINADA]])</f>
        <v>0</v>
      </c>
      <c r="AO181" s="27">
        <f>IFERROR(VLOOKUP(DATA[[#This Row],[COMBINADA]],#REF!,6,0),0)</f>
        <v>0</v>
      </c>
      <c r="AP181" s="125">
        <f>IFERROR(VLOOKUP(DATA[[#This Row],[COMBINADA]],#REF!,9,0),0)/COUNTIFS(DATA[COMBINADA],DATA[[#This Row],[COMBINADA]])</f>
        <v>0</v>
      </c>
      <c r="AQ18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81" s="26" t="str">
        <f>IFERROR(IF(DATA[[#This Row],[estado_fact]]="FACTURADO",VLOOKUP(DATA[[#This Row],[SERIE2]]&amp;"-"&amp;DATA[[#This Row],[NUMERO]],#REF!,34,0),"NO CORRESPONDE"),"NO CORRESPONDE")</f>
        <v>NO CORRESPONDE</v>
      </c>
      <c r="AS181" s="65" t="str">
        <f>IF(DATA[[#This Row],[fecha_fs]]&gt;0,TEXT(DATA[[#This Row],[fecha_fs]],"Mmmm"),0)</f>
        <v>Febrero</v>
      </c>
      <c r="AT181" s="22" t="str">
        <f>DATA[[#This Row],[SERIE2]]&amp;"-"&amp;DATA[[#This Row],[NUMERO]]</f>
        <v>FE01-591</v>
      </c>
      <c r="AU181" s="28">
        <f>DATA[[#This Row],[TOTAL]]*DATA[[#This Row],[T.C.]]</f>
        <v>351.55</v>
      </c>
      <c r="AV181" s="6">
        <f>DATA[[#This Row],[FECHA DE VAL.]]</f>
        <v>45716</v>
      </c>
      <c r="AW181" s="6">
        <f>DATA[[#This Row],[FECHA DE EMISION]]</f>
        <v>45722</v>
      </c>
      <c r="AX181" s="6">
        <f>DATA[[#This Row],[F1]]</f>
        <v>0</v>
      </c>
      <c r="AY181" s="20">
        <f>IF(AV181-DATA[[#This Row],[fecha_fs]]&lt;0,0,AV181-DATA[[#This Row],[fecha_fs]])</f>
        <v>24</v>
      </c>
      <c r="AZ181" s="20">
        <f t="shared" si="16"/>
        <v>6</v>
      </c>
      <c r="BA181" s="20">
        <f t="shared" si="17"/>
        <v>0</v>
      </c>
      <c r="BB181" s="195">
        <f>IFERROR(SUM(DATA[[#This Row],[fs_val_ttf]:[fact_pago_ttf]]),0)</f>
        <v>30</v>
      </c>
      <c r="BC181" s="185">
        <v>45692</v>
      </c>
      <c r="BD181" s="185">
        <v>45692</v>
      </c>
      <c r="BE181" s="185">
        <v>45719</v>
      </c>
      <c r="BF181" s="185">
        <v>45719</v>
      </c>
      <c r="BG181" s="20">
        <f>IFERROR(IF(BC181-DATA[[#This Row],[fecha_fs]]&lt;0,0,BC181-DATA[[#This Row],[fecha_fs]]),0)</f>
        <v>0</v>
      </c>
      <c r="BH181" s="20">
        <f t="shared" si="18"/>
        <v>0</v>
      </c>
      <c r="BI181" s="20">
        <f t="shared" si="19"/>
        <v>27</v>
      </c>
      <c r="BJ181" s="20">
        <f t="shared" si="20"/>
        <v>0</v>
      </c>
      <c r="BK181" s="218">
        <f>IFERROR(SUM(DATA[[#This Row],[fs_fd_ttd]:[fend_fenf_ttd]]),0)</f>
        <v>27</v>
      </c>
      <c r="BL181" s="20" t="str">
        <f>IF(DATA[[#This Row],[fecha_fs]]&gt;0,TEXT(DATA[[#This Row],[fecha_fs]],"YYYY"),0)</f>
        <v>2025</v>
      </c>
      <c r="BM181" s="221" t="b">
        <v>1</v>
      </c>
      <c r="BN181" s="278">
        <f>COUNTIF(DATA[[#This Row],[tiempo_td]], "&lt;=15")</f>
        <v>0</v>
      </c>
      <c r="BO181" s="222"/>
    </row>
    <row r="182" spans="1:67" ht="30.6" customHeight="1" x14ac:dyDescent="0.25">
      <c r="A182" s="4">
        <v>20100192064</v>
      </c>
      <c r="B182" s="5" t="s">
        <v>60</v>
      </c>
      <c r="C182" s="52" t="s">
        <v>64</v>
      </c>
      <c r="D182" s="4" t="s">
        <v>112</v>
      </c>
      <c r="E182" s="5" t="s">
        <v>1</v>
      </c>
      <c r="F182" s="24">
        <v>45694</v>
      </c>
      <c r="G182" s="7" t="s">
        <v>113</v>
      </c>
      <c r="H182" s="25">
        <f t="shared" si="15"/>
        <v>1</v>
      </c>
      <c r="I182" s="67">
        <v>4075</v>
      </c>
      <c r="J182" s="8" t="s">
        <v>115</v>
      </c>
      <c r="K182" s="9" t="s">
        <v>136</v>
      </c>
      <c r="L182" s="10" t="s">
        <v>137</v>
      </c>
      <c r="M182" s="11">
        <v>22</v>
      </c>
      <c r="N182" s="12" t="s">
        <v>129</v>
      </c>
      <c r="O182" s="6">
        <v>45714</v>
      </c>
      <c r="P182" s="71">
        <v>3316</v>
      </c>
      <c r="Q182" s="14" t="s">
        <v>123</v>
      </c>
      <c r="R182" s="15">
        <f>DATA[[#This Row],[cantidad_fs]]*33.34</f>
        <v>733.48</v>
      </c>
      <c r="S182" s="56"/>
      <c r="T182" s="15">
        <f>DATA[[#This Row],[C. DF]]+DATA[[#This Row],[C.OPE.]]</f>
        <v>733.48</v>
      </c>
      <c r="U182" s="15">
        <f>DATA[[#This Row],[SUB TOTAL]]*0.18</f>
        <v>132.0264</v>
      </c>
      <c r="V182" s="15">
        <f>IFERROR(ROUND(DATA[[#This Row],[SUB TOTAL]]+DATA[[#This Row],[IGV]],2),0)</f>
        <v>865.51</v>
      </c>
      <c r="W182" s="16" t="str">
        <f>IF(DATA[[#This Row],[VALORIZACIÓN ]]="-","NO CORRESPONDE",IF(OR(A182=20558226979,A182=10470707866,A182=20111157058,A182=20100226902),"NO CORRESPONDE",IF(J182="Emitida",IF(P182&gt;0,"EMITIDA","PENDIENTE"),"NO CORRESPONDE")))</f>
        <v>EMITIDA</v>
      </c>
      <c r="X182" s="29"/>
      <c r="Y182" s="17" t="s">
        <v>118</v>
      </c>
      <c r="Z182" s="30">
        <v>45716</v>
      </c>
      <c r="AA182" s="10" t="s">
        <v>124</v>
      </c>
      <c r="AB182" s="19">
        <v>579</v>
      </c>
      <c r="AC182" s="20">
        <v>30</v>
      </c>
      <c r="AD182" s="18">
        <f>DATA[[#This Row],[FECHA DE EMISION]]+DATA[[#This Row],[CONDICION DE PAGO]]</f>
        <v>45746</v>
      </c>
      <c r="AE182" s="23" t="e">
        <f>IF(DATA[[#This Row],[MONEDA]]="USD",VLOOKUP(DATA[[#This Row],[COMBINADA]],#REF!,11,0),1)</f>
        <v>#REF!</v>
      </c>
      <c r="AF182" s="39" t="str">
        <f>IF(DATA[[#This Row],[SERIE2]]="-","NO CORRESPONDE",IF(W182="NO CORRESPONDE","NO CORRESPONDE",IF(Z182&gt;0,"FACTURADO","PENDIENTE")))</f>
        <v>FACTURADO</v>
      </c>
      <c r="AG182" s="27">
        <f>IFERROR(VLOOKUP(DATA[[#This Row],[COMBINADA]],#REF!,6,0),0)</f>
        <v>0</v>
      </c>
      <c r="AH182" s="125">
        <f>IFERROR(VLOOKUP(DATA[[#This Row],[COMBINADA]],#REF!,9,0),0)/COUNTIFS(DATA[COMBINADA],DATA[[#This Row],[COMBINADA]])</f>
        <v>0</v>
      </c>
      <c r="AI182" s="27">
        <f>IFERROR(VLOOKUP(DATA[[#This Row],[COMBINADA]],#REF!,6,0),0)</f>
        <v>0</v>
      </c>
      <c r="AJ182" s="125">
        <f>IFERROR(VLOOKUP(DATA[[#This Row],[COMBINADA]],#REF!,9,0),0)/COUNTIFS(DATA[COMBINADA],DATA[[#This Row],[COMBINADA]])</f>
        <v>0</v>
      </c>
      <c r="AK182" s="27">
        <f>IFERROR(VLOOKUP(DATA[[#This Row],[COMBINADA]],#REF!,6,0),0)</f>
        <v>0</v>
      </c>
      <c r="AL182" s="125">
        <f>IFERROR(VLOOKUP(DATA[[#This Row],[COMBINADA]],#REF!,9,0),0)/COUNTIFS(DATA[COMBINADA],DATA[[#This Row],[COMBINADA]])</f>
        <v>0</v>
      </c>
      <c r="AM182" s="27">
        <f>IFERROR(VLOOKUP(DATA[[#This Row],[COMBINADA]],#REF!,6,0),0)</f>
        <v>0</v>
      </c>
      <c r="AN182" s="125">
        <f>IFERROR(VLOOKUP(DATA[[#This Row],[COMBINADA]],#REF!,9,0),0)/COUNTIFS(DATA[COMBINADA],DATA[[#This Row],[COMBINADA]])</f>
        <v>0</v>
      </c>
      <c r="AO182" s="27">
        <f>IFERROR(VLOOKUP(DATA[[#This Row],[COMBINADA]],#REF!,6,0),0)</f>
        <v>0</v>
      </c>
      <c r="AP182" s="125">
        <f>IFERROR(VLOOKUP(DATA[[#This Row],[COMBINADA]],#REF!,9,0),0)/COUNTIFS(DATA[COMBINADA],DATA[[#This Row],[COMBINADA]])</f>
        <v>0</v>
      </c>
      <c r="AQ18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603.34285714285716</v>
      </c>
      <c r="AR182" s="26" t="str">
        <f>IFERROR(IF(DATA[[#This Row],[estado_fact]]="FACTURADO",VLOOKUP(DATA[[#This Row],[SERIE2]]&amp;"-"&amp;DATA[[#This Row],[NUMERO]],#REF!,34,0),"NO CORRESPONDE"),"NO CORRESPONDE")</f>
        <v>NO CORRESPONDE</v>
      </c>
      <c r="AS182" s="65" t="str">
        <f>IF(DATA[[#This Row],[fecha_fs]]&gt;0,TEXT(DATA[[#This Row],[fecha_fs]],"Mmmm"),0)</f>
        <v>Febrero</v>
      </c>
      <c r="AT182" s="22" t="str">
        <f>DATA[[#This Row],[SERIE2]]&amp;"-"&amp;DATA[[#This Row],[NUMERO]]</f>
        <v>FE01-579</v>
      </c>
      <c r="AU182" s="28" t="e">
        <f>DATA[[#This Row],[TOTAL]]*DATA[[#This Row],[T.C.]]</f>
        <v>#REF!</v>
      </c>
      <c r="AV182" s="6">
        <f>DATA[[#This Row],[FECHA DE VAL.]]</f>
        <v>45714</v>
      </c>
      <c r="AW182" s="6">
        <f>DATA[[#This Row],[FECHA DE EMISION]]</f>
        <v>45716</v>
      </c>
      <c r="AX182" s="6">
        <f>DATA[[#This Row],[F1]]</f>
        <v>0</v>
      </c>
      <c r="AY182" s="20">
        <f>IF(AV182-DATA[[#This Row],[fecha_fs]]&lt;0,0,AV182-DATA[[#This Row],[fecha_fs]])</f>
        <v>20</v>
      </c>
      <c r="AZ182" s="20">
        <f t="shared" si="16"/>
        <v>2</v>
      </c>
      <c r="BA182" s="20">
        <f t="shared" si="17"/>
        <v>0</v>
      </c>
      <c r="BB182" s="195">
        <f>IFERROR(SUM(DATA[[#This Row],[fs_val_ttf]:[fact_pago_ttf]]),0)</f>
        <v>22</v>
      </c>
      <c r="BC182" s="185">
        <v>45694</v>
      </c>
      <c r="BD182" s="185">
        <v>45733</v>
      </c>
      <c r="BE182" s="185">
        <v>45737</v>
      </c>
      <c r="BF182" s="185">
        <v>45760</v>
      </c>
      <c r="BG182" s="20">
        <f>IFERROR(IF(BC182-DATA[[#This Row],[fecha_fs]]&lt;0,0,BC182-DATA[[#This Row],[fecha_fs]]),0)</f>
        <v>0</v>
      </c>
      <c r="BH182" s="20">
        <f t="shared" si="18"/>
        <v>39</v>
      </c>
      <c r="BI182" s="20">
        <f t="shared" si="19"/>
        <v>4</v>
      </c>
      <c r="BJ182" s="20">
        <f t="shared" si="20"/>
        <v>23</v>
      </c>
      <c r="BK182" s="218">
        <f>IFERROR(SUM(DATA[[#This Row],[fs_fd_ttd]:[fend_fenf_ttd]]),0)</f>
        <v>66</v>
      </c>
      <c r="BL182" s="20" t="str">
        <f>IF(DATA[[#This Row],[fecha_fs]]&gt;0,TEXT(DATA[[#This Row],[fecha_fs]],"YYYY"),0)</f>
        <v>2025</v>
      </c>
      <c r="BM182" s="221" t="b">
        <v>1</v>
      </c>
      <c r="BN182" s="278">
        <f>COUNTIF(DATA[[#This Row],[tiempo_td]], "&lt;=15")</f>
        <v>0</v>
      </c>
      <c r="BO182" s="222"/>
    </row>
    <row r="183" spans="1:67" ht="30.6" customHeight="1" x14ac:dyDescent="0.25">
      <c r="A183" s="4">
        <v>20100192064</v>
      </c>
      <c r="B183" s="5" t="s">
        <v>60</v>
      </c>
      <c r="C183" s="52" t="s">
        <v>64</v>
      </c>
      <c r="D183" s="4" t="s">
        <v>112</v>
      </c>
      <c r="E183" s="5" t="s">
        <v>1</v>
      </c>
      <c r="F183" s="24">
        <v>45694</v>
      </c>
      <c r="G183" s="7" t="s">
        <v>113</v>
      </c>
      <c r="H183" s="25">
        <f t="shared" si="15"/>
        <v>1</v>
      </c>
      <c r="I183" s="67">
        <v>4076</v>
      </c>
      <c r="J183" s="8" t="s">
        <v>115</v>
      </c>
      <c r="K183" s="9" t="s">
        <v>136</v>
      </c>
      <c r="L183" s="10" t="s">
        <v>137</v>
      </c>
      <c r="M183" s="11">
        <v>22</v>
      </c>
      <c r="N183" s="12" t="s">
        <v>129</v>
      </c>
      <c r="O183" s="6">
        <v>45714</v>
      </c>
      <c r="P183" s="71">
        <v>3316</v>
      </c>
      <c r="Q183" s="14" t="s">
        <v>123</v>
      </c>
      <c r="R183" s="15">
        <f>DATA[[#This Row],[cantidad_fs]]*33.34</f>
        <v>733.48</v>
      </c>
      <c r="S183" s="56"/>
      <c r="T183" s="15">
        <f>DATA[[#This Row],[C. DF]]+DATA[[#This Row],[C.OPE.]]</f>
        <v>733.48</v>
      </c>
      <c r="U183" s="15">
        <f>DATA[[#This Row],[SUB TOTAL]]*0.18</f>
        <v>132.0264</v>
      </c>
      <c r="V183" s="15">
        <f>IFERROR(ROUND(DATA[[#This Row],[SUB TOTAL]]+DATA[[#This Row],[IGV]],2),0)</f>
        <v>865.51</v>
      </c>
      <c r="W183" s="16" t="str">
        <f>IF(DATA[[#This Row],[VALORIZACIÓN ]]="-","NO CORRESPONDE",IF(OR(A183=20558226979,A183=10470707866,A183=20111157058,A183=20100226902),"NO CORRESPONDE",IF(J183="Emitida",IF(P183&gt;0,"EMITIDA","PENDIENTE"),"NO CORRESPONDE")))</f>
        <v>EMITIDA</v>
      </c>
      <c r="X183" s="29"/>
      <c r="Y183" s="17" t="s">
        <v>118</v>
      </c>
      <c r="Z183" s="30">
        <v>45716</v>
      </c>
      <c r="AA183" s="10" t="s">
        <v>124</v>
      </c>
      <c r="AB183" s="19">
        <v>579</v>
      </c>
      <c r="AC183" s="20">
        <v>30</v>
      </c>
      <c r="AD183" s="18">
        <f>DATA[[#This Row],[FECHA DE EMISION]]+DATA[[#This Row],[CONDICION DE PAGO]]</f>
        <v>45746</v>
      </c>
      <c r="AE183" s="23" t="e">
        <f>IF(DATA[[#This Row],[MONEDA]]="USD",VLOOKUP(DATA[[#This Row],[COMBINADA]],#REF!,11,0),1)</f>
        <v>#REF!</v>
      </c>
      <c r="AF183" s="39" t="str">
        <f>IF(DATA[[#This Row],[SERIE2]]="-","NO CORRESPONDE",IF(W183="NO CORRESPONDE","NO CORRESPONDE",IF(Z183&gt;0,"FACTURADO","PENDIENTE")))</f>
        <v>FACTURADO</v>
      </c>
      <c r="AG183" s="27">
        <f>IFERROR(VLOOKUP(DATA[[#This Row],[COMBINADA]],#REF!,6,0),0)</f>
        <v>0</v>
      </c>
      <c r="AH183" s="125">
        <f>IFERROR(VLOOKUP(DATA[[#This Row],[COMBINADA]],#REF!,9,0),0)/COUNTIFS(DATA[COMBINADA],DATA[[#This Row],[COMBINADA]])</f>
        <v>0</v>
      </c>
      <c r="AI183" s="27">
        <f>IFERROR(VLOOKUP(DATA[[#This Row],[COMBINADA]],#REF!,6,0),0)</f>
        <v>0</v>
      </c>
      <c r="AJ183" s="125">
        <f>IFERROR(VLOOKUP(DATA[[#This Row],[COMBINADA]],#REF!,9,0),0)/COUNTIFS(DATA[COMBINADA],DATA[[#This Row],[COMBINADA]])</f>
        <v>0</v>
      </c>
      <c r="AK183" s="27">
        <f>IFERROR(VLOOKUP(DATA[[#This Row],[COMBINADA]],#REF!,6,0),0)</f>
        <v>0</v>
      </c>
      <c r="AL183" s="125">
        <f>IFERROR(VLOOKUP(DATA[[#This Row],[COMBINADA]],#REF!,9,0),0)/COUNTIFS(DATA[COMBINADA],DATA[[#This Row],[COMBINADA]])</f>
        <v>0</v>
      </c>
      <c r="AM183" s="27">
        <f>IFERROR(VLOOKUP(DATA[[#This Row],[COMBINADA]],#REF!,6,0),0)</f>
        <v>0</v>
      </c>
      <c r="AN183" s="125">
        <f>IFERROR(VLOOKUP(DATA[[#This Row],[COMBINADA]],#REF!,9,0),0)/COUNTIFS(DATA[COMBINADA],DATA[[#This Row],[COMBINADA]])</f>
        <v>0</v>
      </c>
      <c r="AO183" s="27">
        <f>IFERROR(VLOOKUP(DATA[[#This Row],[COMBINADA]],#REF!,6,0),0)</f>
        <v>0</v>
      </c>
      <c r="AP183" s="125">
        <f>IFERROR(VLOOKUP(DATA[[#This Row],[COMBINADA]],#REF!,9,0),0)/COUNTIFS(DATA[COMBINADA],DATA[[#This Row],[COMBINADA]])</f>
        <v>0</v>
      </c>
      <c r="AQ18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603.34285714285716</v>
      </c>
      <c r="AR183" s="26" t="str">
        <f>IFERROR(IF(DATA[[#This Row],[estado_fact]]="FACTURADO",VLOOKUP(DATA[[#This Row],[SERIE2]]&amp;"-"&amp;DATA[[#This Row],[NUMERO]],#REF!,34,0),"NO CORRESPONDE"),"NO CORRESPONDE")</f>
        <v>NO CORRESPONDE</v>
      </c>
      <c r="AS183" s="65" t="str">
        <f>IF(DATA[[#This Row],[fecha_fs]]&gt;0,TEXT(DATA[[#This Row],[fecha_fs]],"Mmmm"),0)</f>
        <v>Febrero</v>
      </c>
      <c r="AT183" s="22" t="str">
        <f>DATA[[#This Row],[SERIE2]]&amp;"-"&amp;DATA[[#This Row],[NUMERO]]</f>
        <v>FE01-579</v>
      </c>
      <c r="AU183" s="28" t="e">
        <f>DATA[[#This Row],[TOTAL]]*DATA[[#This Row],[T.C.]]</f>
        <v>#REF!</v>
      </c>
      <c r="AV183" s="6">
        <f>DATA[[#This Row],[FECHA DE VAL.]]</f>
        <v>45714</v>
      </c>
      <c r="AW183" s="6">
        <f>DATA[[#This Row],[FECHA DE EMISION]]</f>
        <v>45716</v>
      </c>
      <c r="AX183" s="6">
        <f>DATA[[#This Row],[F1]]</f>
        <v>0</v>
      </c>
      <c r="AY183" s="20">
        <f>IF(AV183-DATA[[#This Row],[fecha_fs]]&lt;0,0,AV183-DATA[[#This Row],[fecha_fs]])</f>
        <v>20</v>
      </c>
      <c r="AZ183" s="20">
        <f t="shared" si="16"/>
        <v>2</v>
      </c>
      <c r="BA183" s="20">
        <f t="shared" si="17"/>
        <v>0</v>
      </c>
      <c r="BB183" s="195">
        <f>IFERROR(SUM(DATA[[#This Row],[fs_val_ttf]:[fact_pago_ttf]]),0)</f>
        <v>22</v>
      </c>
      <c r="BC183" s="185">
        <v>45694</v>
      </c>
      <c r="BD183" s="185">
        <v>45733</v>
      </c>
      <c r="BE183" s="185">
        <v>45737</v>
      </c>
      <c r="BF183" s="185">
        <v>45760</v>
      </c>
      <c r="BG183" s="20">
        <f>IFERROR(IF(BC183-DATA[[#This Row],[fecha_fs]]&lt;0,0,BC183-DATA[[#This Row],[fecha_fs]]),0)</f>
        <v>0</v>
      </c>
      <c r="BH183" s="20">
        <f t="shared" si="18"/>
        <v>39</v>
      </c>
      <c r="BI183" s="20">
        <f t="shared" si="19"/>
        <v>4</v>
      </c>
      <c r="BJ183" s="20">
        <f t="shared" si="20"/>
        <v>23</v>
      </c>
      <c r="BK183" s="218">
        <f>IFERROR(SUM(DATA[[#This Row],[fs_fd_ttd]:[fend_fenf_ttd]]),0)</f>
        <v>66</v>
      </c>
      <c r="BL183" s="20" t="str">
        <f>IF(DATA[[#This Row],[fecha_fs]]&gt;0,TEXT(DATA[[#This Row],[fecha_fs]],"YYYY"),0)</f>
        <v>2025</v>
      </c>
      <c r="BM183" s="221" t="b">
        <v>1</v>
      </c>
      <c r="BN183" s="278">
        <f>COUNTIF(DATA[[#This Row],[tiempo_td]], "&lt;=15")</f>
        <v>0</v>
      </c>
      <c r="BO183" s="222"/>
    </row>
    <row r="184" spans="1:67" ht="30.6" customHeight="1" x14ac:dyDescent="0.25">
      <c r="A184" s="4">
        <v>20100055237</v>
      </c>
      <c r="B184" s="5" t="s">
        <v>21</v>
      </c>
      <c r="C184" s="52" t="s">
        <v>138</v>
      </c>
      <c r="D184" s="4" t="s">
        <v>139</v>
      </c>
      <c r="E184" s="5" t="s">
        <v>23</v>
      </c>
      <c r="F184" s="24">
        <v>45694</v>
      </c>
      <c r="G184" s="7" t="s">
        <v>113</v>
      </c>
      <c r="H184" s="25">
        <f t="shared" si="15"/>
        <v>1</v>
      </c>
      <c r="I184" s="67">
        <v>4077</v>
      </c>
      <c r="J184" s="8" t="s">
        <v>115</v>
      </c>
      <c r="K184" s="9" t="s">
        <v>121</v>
      </c>
      <c r="L184" s="10" t="s">
        <v>117</v>
      </c>
      <c r="M184" s="11">
        <v>60</v>
      </c>
      <c r="N184" s="12" t="s">
        <v>125</v>
      </c>
      <c r="O184" s="6">
        <v>45716</v>
      </c>
      <c r="P184" s="54">
        <v>3330</v>
      </c>
      <c r="Q184" s="14" t="s">
        <v>85</v>
      </c>
      <c r="R184" s="15"/>
      <c r="S184" s="56">
        <v>297.92</v>
      </c>
      <c r="T184" s="15">
        <f>DATA[[#This Row],[C. DF]]+DATA[[#This Row],[C.OPE.]]</f>
        <v>297.92</v>
      </c>
      <c r="U184" s="15">
        <f>DATA[[#This Row],[SUB TOTAL]]*0.18</f>
        <v>53.625599999999999</v>
      </c>
      <c r="V184" s="15">
        <f>IFERROR(ROUND(DATA[[#This Row],[SUB TOTAL]]+DATA[[#This Row],[IGV]],2),0)</f>
        <v>351.55</v>
      </c>
      <c r="W184" s="16" t="str">
        <f>IF(DATA[[#This Row],[VALORIZACIÓN ]]="-","NO CORRESPONDE",IF(OR(A184=20558226979,A184=10470707866,A184=20111157058,A184=20100226902),"NO CORRESPONDE",IF(J184="Emitida",IF(P184&gt;0,"EMITIDA","PENDIENTE"),"NO CORRESPONDE")))</f>
        <v>EMITIDA</v>
      </c>
      <c r="X184" s="29"/>
      <c r="Y184" s="17" t="s">
        <v>118</v>
      </c>
      <c r="Z184" s="30">
        <v>45722</v>
      </c>
      <c r="AA184" s="10" t="s">
        <v>124</v>
      </c>
      <c r="AB184" s="19">
        <v>591</v>
      </c>
      <c r="AC184" s="20">
        <v>30</v>
      </c>
      <c r="AD184" s="18">
        <f>DATA[[#This Row],[FECHA DE EMISION]]+DATA[[#This Row],[CONDICION DE PAGO]]</f>
        <v>45752</v>
      </c>
      <c r="AE184" s="23">
        <f>IF(DATA[[#This Row],[MONEDA]]="USD",VLOOKUP(DATA[[#This Row],[COMBINADA]],#REF!,11,0),1)</f>
        <v>1</v>
      </c>
      <c r="AF184" s="39" t="str">
        <f>IF(DATA[[#This Row],[SERIE2]]="-","NO CORRESPONDE",IF(W184="NO CORRESPONDE","NO CORRESPONDE",IF(Z184&gt;0,"FACTURADO","PENDIENTE")))</f>
        <v>FACTURADO</v>
      </c>
      <c r="AG184" s="27">
        <f>IFERROR(VLOOKUP(DATA[[#This Row],[COMBINADA]],#REF!,6,0),0)</f>
        <v>0</v>
      </c>
      <c r="AH184" s="125">
        <f>IFERROR(VLOOKUP(DATA[[#This Row],[COMBINADA]],#REF!,9,0),0)/COUNTIFS(DATA[COMBINADA],DATA[[#This Row],[COMBINADA]])</f>
        <v>0</v>
      </c>
      <c r="AI184" s="27">
        <f>IFERROR(VLOOKUP(DATA[[#This Row],[COMBINADA]],#REF!,6,0),0)</f>
        <v>0</v>
      </c>
      <c r="AJ184" s="125">
        <f>IFERROR(VLOOKUP(DATA[[#This Row],[COMBINADA]],#REF!,9,0),0)/COUNTIFS(DATA[COMBINADA],DATA[[#This Row],[COMBINADA]])</f>
        <v>0</v>
      </c>
      <c r="AK184" s="27">
        <f>IFERROR(VLOOKUP(DATA[[#This Row],[COMBINADA]],#REF!,6,0),0)</f>
        <v>0</v>
      </c>
      <c r="AL184" s="125">
        <f>IFERROR(VLOOKUP(DATA[[#This Row],[COMBINADA]],#REF!,9,0),0)/COUNTIFS(DATA[COMBINADA],DATA[[#This Row],[COMBINADA]])</f>
        <v>0</v>
      </c>
      <c r="AM184" s="27">
        <f>IFERROR(VLOOKUP(DATA[[#This Row],[COMBINADA]],#REF!,6,0),0)</f>
        <v>0</v>
      </c>
      <c r="AN184" s="125">
        <f>IFERROR(VLOOKUP(DATA[[#This Row],[COMBINADA]],#REF!,9,0),0)/COUNTIFS(DATA[COMBINADA],DATA[[#This Row],[COMBINADA]])</f>
        <v>0</v>
      </c>
      <c r="AO184" s="27">
        <f>IFERROR(VLOOKUP(DATA[[#This Row],[COMBINADA]],#REF!,6,0),0)</f>
        <v>0</v>
      </c>
      <c r="AP184" s="125">
        <f>IFERROR(VLOOKUP(DATA[[#This Row],[COMBINADA]],#REF!,9,0),0)/COUNTIFS(DATA[COMBINADA],DATA[[#This Row],[COMBINADA]])</f>
        <v>0</v>
      </c>
      <c r="AQ18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84" s="26" t="str">
        <f>IFERROR(IF(DATA[[#This Row],[estado_fact]]="FACTURADO",VLOOKUP(DATA[[#This Row],[SERIE2]]&amp;"-"&amp;DATA[[#This Row],[NUMERO]],#REF!,34,0),"NO CORRESPONDE"),"NO CORRESPONDE")</f>
        <v>NO CORRESPONDE</v>
      </c>
      <c r="AS184" s="65" t="str">
        <f>IF(DATA[[#This Row],[fecha_fs]]&gt;0,TEXT(DATA[[#This Row],[fecha_fs]],"Mmmm"),0)</f>
        <v>Febrero</v>
      </c>
      <c r="AT184" s="22" t="str">
        <f>DATA[[#This Row],[SERIE2]]&amp;"-"&amp;DATA[[#This Row],[NUMERO]]</f>
        <v>FE01-591</v>
      </c>
      <c r="AU184" s="28">
        <f>DATA[[#This Row],[TOTAL]]*DATA[[#This Row],[T.C.]]</f>
        <v>351.55</v>
      </c>
      <c r="AV184" s="6">
        <f>DATA[[#This Row],[FECHA DE VAL.]]</f>
        <v>45716</v>
      </c>
      <c r="AW184" s="6">
        <f>DATA[[#This Row],[FECHA DE EMISION]]</f>
        <v>45722</v>
      </c>
      <c r="AX184" s="6">
        <f>DATA[[#This Row],[F1]]</f>
        <v>0</v>
      </c>
      <c r="AY184" s="20">
        <f>IF(AV184-DATA[[#This Row],[fecha_fs]]&lt;0,0,AV184-DATA[[#This Row],[fecha_fs]])</f>
        <v>22</v>
      </c>
      <c r="AZ184" s="20">
        <f t="shared" si="16"/>
        <v>6</v>
      </c>
      <c r="BA184" s="20">
        <f t="shared" si="17"/>
        <v>0</v>
      </c>
      <c r="BB184" s="195">
        <f>IFERROR(SUM(DATA[[#This Row],[fs_val_ttf]:[fact_pago_ttf]]),0)</f>
        <v>28</v>
      </c>
      <c r="BC184" s="185">
        <v>45694</v>
      </c>
      <c r="BD184" s="185">
        <v>45694</v>
      </c>
      <c r="BE184" s="185">
        <v>45719</v>
      </c>
      <c r="BF184" s="185">
        <v>45719</v>
      </c>
      <c r="BG184" s="20">
        <f>IFERROR(IF(BC184-DATA[[#This Row],[fecha_fs]]&lt;0,0,BC184-DATA[[#This Row],[fecha_fs]]),0)</f>
        <v>0</v>
      </c>
      <c r="BH184" s="20">
        <f t="shared" si="18"/>
        <v>0</v>
      </c>
      <c r="BI184" s="20">
        <f t="shared" si="19"/>
        <v>25</v>
      </c>
      <c r="BJ184" s="20">
        <f t="shared" si="20"/>
        <v>0</v>
      </c>
      <c r="BK184" s="218">
        <f>IFERROR(SUM(DATA[[#This Row],[fs_fd_ttd]:[fend_fenf_ttd]]),0)</f>
        <v>25</v>
      </c>
      <c r="BL184" s="20" t="str">
        <f>IF(DATA[[#This Row],[fecha_fs]]&gt;0,TEXT(DATA[[#This Row],[fecha_fs]],"YYYY"),0)</f>
        <v>2025</v>
      </c>
      <c r="BM184" s="221" t="b">
        <v>1</v>
      </c>
      <c r="BN184" s="278">
        <f>COUNTIF(DATA[[#This Row],[tiempo_td]], "&lt;=15")</f>
        <v>0</v>
      </c>
      <c r="BO184" s="222"/>
    </row>
    <row r="185" spans="1:67" ht="30.6" customHeight="1" x14ac:dyDescent="0.25">
      <c r="A185" s="4">
        <v>20517355951</v>
      </c>
      <c r="B185" s="5" t="s">
        <v>57</v>
      </c>
      <c r="C185" s="52" t="s">
        <v>35</v>
      </c>
      <c r="D185" s="4" t="s">
        <v>112</v>
      </c>
      <c r="E185" s="5" t="s">
        <v>1</v>
      </c>
      <c r="F185" s="24">
        <v>45694</v>
      </c>
      <c r="G185" s="7" t="s">
        <v>113</v>
      </c>
      <c r="H185" s="25">
        <f t="shared" si="15"/>
        <v>1</v>
      </c>
      <c r="I185" s="67">
        <v>4078</v>
      </c>
      <c r="J185" s="8" t="s">
        <v>115</v>
      </c>
      <c r="K185" s="9" t="s">
        <v>116</v>
      </c>
      <c r="L185" s="10" t="s">
        <v>117</v>
      </c>
      <c r="M185" s="11">
        <v>226</v>
      </c>
      <c r="N185" s="12" t="s">
        <v>167</v>
      </c>
      <c r="O185" s="6">
        <v>45695</v>
      </c>
      <c r="P185" s="13">
        <v>3282</v>
      </c>
      <c r="Q185" s="14" t="s">
        <v>85</v>
      </c>
      <c r="R185" s="15">
        <f>DATA[[#This Row],[cantidad_fs]]*0.97</f>
        <v>219.22</v>
      </c>
      <c r="S185" s="56">
        <f>2797.9/2</f>
        <v>1398.95</v>
      </c>
      <c r="T185" s="15">
        <f>DATA[[#This Row],[C. DF]]+DATA[[#This Row],[C.OPE.]]</f>
        <v>1618.17</v>
      </c>
      <c r="U185" s="15">
        <f>DATA[[#This Row],[SUB TOTAL]]*0.18</f>
        <v>291.2706</v>
      </c>
      <c r="V185" s="15">
        <f>IFERROR(ROUND(DATA[[#This Row],[SUB TOTAL]]+DATA[[#This Row],[IGV]],2),0)</f>
        <v>1909.44</v>
      </c>
      <c r="W185" s="16" t="str">
        <f>IF(DATA[[#This Row],[VALORIZACIÓN ]]="-","NO CORRESPONDE",IF(OR(A185=20558226979,A185=10470707866,A185=20111157058,A185=20100226902),"NO CORRESPONDE",IF(J185="Emitida",IF(P185&gt;0,"EMITIDA","PENDIENTE"),"NO CORRESPONDE")))</f>
        <v>EMITIDA</v>
      </c>
      <c r="X185" s="29"/>
      <c r="Y185" s="17" t="s">
        <v>118</v>
      </c>
      <c r="Z185" s="30">
        <v>45700</v>
      </c>
      <c r="AA185" s="10" t="s">
        <v>124</v>
      </c>
      <c r="AB185" s="19">
        <v>558</v>
      </c>
      <c r="AC185" s="20">
        <v>15</v>
      </c>
      <c r="AD185" s="18">
        <f>DATA[[#This Row],[FECHA DE EMISION]]+DATA[[#This Row],[CONDICION DE PAGO]]</f>
        <v>45715</v>
      </c>
      <c r="AE185" s="23">
        <f>IF(DATA[[#This Row],[MONEDA]]="USD",VLOOKUP(DATA[[#This Row],[COMBINADA]],#REF!,11,0),1)</f>
        <v>1</v>
      </c>
      <c r="AF185" s="39" t="str">
        <f>IF(DATA[[#This Row],[SERIE2]]="-","NO CORRESPONDE",IF(W185="NO CORRESPONDE","NO CORRESPONDE",IF(Z185&gt;0,"FACTURADO","PENDIENTE")))</f>
        <v>FACTURADO</v>
      </c>
      <c r="AG185" s="27">
        <f>IFERROR(VLOOKUP(DATA[[#This Row],[COMBINADA]],#REF!,6,0),0)</f>
        <v>0</v>
      </c>
      <c r="AH185" s="125">
        <f>IFERROR(VLOOKUP(DATA[[#This Row],[COMBINADA]],#REF!,9,0),0)/COUNTIFS(DATA[COMBINADA],DATA[[#This Row],[COMBINADA]])</f>
        <v>0</v>
      </c>
      <c r="AI185" s="27">
        <f>IFERROR(VLOOKUP(DATA[[#This Row],[COMBINADA]],#REF!,6,0),0)</f>
        <v>0</v>
      </c>
      <c r="AJ185" s="125">
        <f>IFERROR(VLOOKUP(DATA[[#This Row],[COMBINADA]],#REF!,9,0),0)/COUNTIFS(DATA[COMBINADA],DATA[[#This Row],[COMBINADA]])</f>
        <v>0</v>
      </c>
      <c r="AK185" s="27">
        <f>IFERROR(VLOOKUP(DATA[[#This Row],[COMBINADA]],#REF!,6,0),0)</f>
        <v>0</v>
      </c>
      <c r="AL185" s="125">
        <f>IFERROR(VLOOKUP(DATA[[#This Row],[COMBINADA]],#REF!,9,0),0)/COUNTIFS(DATA[COMBINADA],DATA[[#This Row],[COMBINADA]])</f>
        <v>0</v>
      </c>
      <c r="AM185" s="27">
        <f>IFERROR(VLOOKUP(DATA[[#This Row],[COMBINADA]],#REF!,6,0),0)</f>
        <v>0</v>
      </c>
      <c r="AN185" s="125">
        <f>IFERROR(VLOOKUP(DATA[[#This Row],[COMBINADA]],#REF!,9,0),0)/COUNTIFS(DATA[COMBINADA],DATA[[#This Row],[COMBINADA]])</f>
        <v>0</v>
      </c>
      <c r="AO185" s="27">
        <f>IFERROR(VLOOKUP(DATA[[#This Row],[COMBINADA]],#REF!,6,0),0)</f>
        <v>0</v>
      </c>
      <c r="AP185" s="125">
        <f>IFERROR(VLOOKUP(DATA[[#This Row],[COMBINADA]],#REF!,9,0),0)/COUNTIFS(DATA[COMBINADA],DATA[[#This Row],[COMBINADA]])</f>
        <v>0</v>
      </c>
      <c r="AQ18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1957.1</v>
      </c>
      <c r="AR185" s="26" t="str">
        <f>IFERROR(IF(DATA[[#This Row],[estado_fact]]="FACTURADO",VLOOKUP(DATA[[#This Row],[SERIE2]]&amp;"-"&amp;DATA[[#This Row],[NUMERO]],#REF!,34,0),"NO CORRESPONDE"),"NO CORRESPONDE")</f>
        <v>NO CORRESPONDE</v>
      </c>
      <c r="AS185" s="65" t="str">
        <f>IF(DATA[[#This Row],[fecha_fs]]&gt;0,TEXT(DATA[[#This Row],[fecha_fs]],"Mmmm"),0)</f>
        <v>Febrero</v>
      </c>
      <c r="AT185" s="22" t="str">
        <f>DATA[[#This Row],[SERIE2]]&amp;"-"&amp;DATA[[#This Row],[NUMERO]]</f>
        <v>FE01-558</v>
      </c>
      <c r="AU185" s="28">
        <f>DATA[[#This Row],[TOTAL]]*DATA[[#This Row],[T.C.]]</f>
        <v>1909.44</v>
      </c>
      <c r="AV185" s="6">
        <f>DATA[[#This Row],[FECHA DE VAL.]]</f>
        <v>45695</v>
      </c>
      <c r="AW185" s="6">
        <f>DATA[[#This Row],[FECHA DE EMISION]]</f>
        <v>45700</v>
      </c>
      <c r="AX185" s="6">
        <f>DATA[[#This Row],[F1]]</f>
        <v>0</v>
      </c>
      <c r="AY185" s="20">
        <f>IF(AV185-DATA[[#This Row],[fecha_fs]]&lt;0,0,AV185-DATA[[#This Row],[fecha_fs]])</f>
        <v>1</v>
      </c>
      <c r="AZ185" s="20">
        <f t="shared" si="16"/>
        <v>5</v>
      </c>
      <c r="BA185" s="20">
        <f t="shared" si="17"/>
        <v>0</v>
      </c>
      <c r="BB185" s="195">
        <f>IFERROR(SUM(DATA[[#This Row],[fs_val_ttf]:[fact_pago_ttf]]),0)</f>
        <v>6</v>
      </c>
      <c r="BC185" s="185">
        <v>45709</v>
      </c>
      <c r="BD185" s="185">
        <v>45715</v>
      </c>
      <c r="BE185" s="185">
        <v>45716</v>
      </c>
      <c r="BF185" s="185">
        <v>45728</v>
      </c>
      <c r="BG185" s="20">
        <f>IFERROR(IF(BC185-DATA[[#This Row],[fecha_fs]]&lt;0,0,BC185-DATA[[#This Row],[fecha_fs]]),0)</f>
        <v>15</v>
      </c>
      <c r="BH185" s="20">
        <f t="shared" si="18"/>
        <v>6</v>
      </c>
      <c r="BI185" s="20">
        <f t="shared" si="19"/>
        <v>1</v>
      </c>
      <c r="BJ185" s="20">
        <f t="shared" si="20"/>
        <v>12</v>
      </c>
      <c r="BK185" s="218">
        <f>IFERROR(SUM(DATA[[#This Row],[fs_fd_ttd]:[fend_fenf_ttd]]),0)</f>
        <v>34</v>
      </c>
      <c r="BL185" s="20" t="str">
        <f>IF(DATA[[#This Row],[fecha_fs]]&gt;0,TEXT(DATA[[#This Row],[fecha_fs]],"YYYY"),0)</f>
        <v>2025</v>
      </c>
      <c r="BM185" s="221" t="b">
        <v>1</v>
      </c>
      <c r="BN185" s="278">
        <f>COUNTIF(DATA[[#This Row],[tiempo_td]], "&lt;=15")</f>
        <v>0</v>
      </c>
      <c r="BO185" s="222"/>
    </row>
    <row r="186" spans="1:67" ht="30.6" customHeight="1" x14ac:dyDescent="0.25">
      <c r="A186" s="4">
        <v>20517355951</v>
      </c>
      <c r="B186" s="5" t="s">
        <v>57</v>
      </c>
      <c r="C186" s="52" t="s">
        <v>35</v>
      </c>
      <c r="D186" s="4" t="s">
        <v>152</v>
      </c>
      <c r="E186" s="5" t="s">
        <v>10</v>
      </c>
      <c r="F186" s="24">
        <v>45694</v>
      </c>
      <c r="G186" s="7" t="s">
        <v>113</v>
      </c>
      <c r="H186" s="25">
        <f t="shared" si="15"/>
        <v>1</v>
      </c>
      <c r="I186" s="67">
        <v>4079</v>
      </c>
      <c r="J186" s="8" t="s">
        <v>115</v>
      </c>
      <c r="K186" s="9" t="s">
        <v>153</v>
      </c>
      <c r="L186" s="10" t="s">
        <v>117</v>
      </c>
      <c r="M186" s="11">
        <v>26</v>
      </c>
      <c r="N186" s="12" t="s">
        <v>132</v>
      </c>
      <c r="O186" s="6">
        <v>45695</v>
      </c>
      <c r="P186" s="13">
        <v>3282</v>
      </c>
      <c r="Q186" s="14" t="s">
        <v>85</v>
      </c>
      <c r="R186" s="15">
        <v>300</v>
      </c>
      <c r="S186" s="56">
        <f>2797.9/2</f>
        <v>1398.95</v>
      </c>
      <c r="T186" s="15">
        <f>DATA[[#This Row],[C. DF]]+DATA[[#This Row],[C.OPE.]]</f>
        <v>1698.95</v>
      </c>
      <c r="U186" s="15">
        <f>DATA[[#This Row],[SUB TOTAL]]*0.18</f>
        <v>305.81099999999998</v>
      </c>
      <c r="V186" s="15">
        <f>IFERROR(ROUND(DATA[[#This Row],[SUB TOTAL]]+DATA[[#This Row],[IGV]],2),0)</f>
        <v>2004.76</v>
      </c>
      <c r="W186" s="16" t="str">
        <f>IF(DATA[[#This Row],[VALORIZACIÓN ]]="-","NO CORRESPONDE",IF(OR(A186=20558226979,A186=10470707866,A186=20111157058,A186=20100226902),"NO CORRESPONDE",IF(J186="Emitida",IF(P186&gt;0,"EMITIDA","PENDIENTE"),"NO CORRESPONDE")))</f>
        <v>EMITIDA</v>
      </c>
      <c r="X186" s="29"/>
      <c r="Y186" s="17" t="s">
        <v>118</v>
      </c>
      <c r="Z186" s="30">
        <v>45700</v>
      </c>
      <c r="AA186" s="10" t="s">
        <v>124</v>
      </c>
      <c r="AB186" s="19">
        <v>558</v>
      </c>
      <c r="AC186" s="20">
        <v>15</v>
      </c>
      <c r="AD186" s="18">
        <f>DATA[[#This Row],[FECHA DE EMISION]]+DATA[[#This Row],[CONDICION DE PAGO]]</f>
        <v>45715</v>
      </c>
      <c r="AE186" s="23">
        <f>IF(DATA[[#This Row],[MONEDA]]="USD",VLOOKUP(DATA[[#This Row],[COMBINADA]],#REF!,11,0),1)</f>
        <v>1</v>
      </c>
      <c r="AF186" s="39" t="str">
        <f>IF(DATA[[#This Row],[SERIE2]]="-","NO CORRESPONDE",IF(W186="NO CORRESPONDE","NO CORRESPONDE",IF(Z186&gt;0,"FACTURADO","PENDIENTE")))</f>
        <v>FACTURADO</v>
      </c>
      <c r="AG186" s="27">
        <f>IFERROR(VLOOKUP(DATA[[#This Row],[COMBINADA]],#REF!,6,0),0)</f>
        <v>0</v>
      </c>
      <c r="AH186" s="125">
        <f>IFERROR(VLOOKUP(DATA[[#This Row],[COMBINADA]],#REF!,9,0),0)/COUNTIFS(DATA[COMBINADA],DATA[[#This Row],[COMBINADA]])</f>
        <v>0</v>
      </c>
      <c r="AI186" s="27">
        <f>IFERROR(VLOOKUP(DATA[[#This Row],[COMBINADA]],#REF!,6,0),0)</f>
        <v>0</v>
      </c>
      <c r="AJ186" s="125">
        <f>IFERROR(VLOOKUP(DATA[[#This Row],[COMBINADA]],#REF!,9,0),0)/COUNTIFS(DATA[COMBINADA],DATA[[#This Row],[COMBINADA]])</f>
        <v>0</v>
      </c>
      <c r="AK186" s="27">
        <f>IFERROR(VLOOKUP(DATA[[#This Row],[COMBINADA]],#REF!,6,0),0)</f>
        <v>0</v>
      </c>
      <c r="AL186" s="125">
        <f>IFERROR(VLOOKUP(DATA[[#This Row],[COMBINADA]],#REF!,9,0),0)/COUNTIFS(DATA[COMBINADA],DATA[[#This Row],[COMBINADA]])</f>
        <v>0</v>
      </c>
      <c r="AM186" s="27">
        <f>IFERROR(VLOOKUP(DATA[[#This Row],[COMBINADA]],#REF!,6,0),0)</f>
        <v>0</v>
      </c>
      <c r="AN186" s="125">
        <f>IFERROR(VLOOKUP(DATA[[#This Row],[COMBINADA]],#REF!,9,0),0)/COUNTIFS(DATA[COMBINADA],DATA[[#This Row],[COMBINADA]])</f>
        <v>0</v>
      </c>
      <c r="AO186" s="27">
        <f>IFERROR(VLOOKUP(DATA[[#This Row],[COMBINADA]],#REF!,6,0),0)</f>
        <v>0</v>
      </c>
      <c r="AP186" s="125">
        <f>IFERROR(VLOOKUP(DATA[[#This Row],[COMBINADA]],#REF!,9,0),0)/COUNTIFS(DATA[COMBINADA],DATA[[#This Row],[COMBINADA]])</f>
        <v>0</v>
      </c>
      <c r="AQ18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1957.1</v>
      </c>
      <c r="AR186" s="26" t="str">
        <f>IFERROR(IF(DATA[[#This Row],[estado_fact]]="FACTURADO",VLOOKUP(DATA[[#This Row],[SERIE2]]&amp;"-"&amp;DATA[[#This Row],[NUMERO]],#REF!,34,0),"NO CORRESPONDE"),"NO CORRESPONDE")</f>
        <v>NO CORRESPONDE</v>
      </c>
      <c r="AS186" s="65" t="str">
        <f>IF(DATA[[#This Row],[fecha_fs]]&gt;0,TEXT(DATA[[#This Row],[fecha_fs]],"Mmmm"),0)</f>
        <v>Febrero</v>
      </c>
      <c r="AT186" s="22" t="str">
        <f>DATA[[#This Row],[SERIE2]]&amp;"-"&amp;DATA[[#This Row],[NUMERO]]</f>
        <v>FE01-558</v>
      </c>
      <c r="AU186" s="28">
        <f>DATA[[#This Row],[TOTAL]]*DATA[[#This Row],[T.C.]]</f>
        <v>2004.76</v>
      </c>
      <c r="AV186" s="6">
        <f>DATA[[#This Row],[FECHA DE VAL.]]</f>
        <v>45695</v>
      </c>
      <c r="AW186" s="6">
        <f>DATA[[#This Row],[FECHA DE EMISION]]</f>
        <v>45700</v>
      </c>
      <c r="AX186" s="6">
        <f>DATA[[#This Row],[F1]]</f>
        <v>0</v>
      </c>
      <c r="AY186" s="20">
        <f>IF(AV186-DATA[[#This Row],[fecha_fs]]&lt;0,0,AV186-DATA[[#This Row],[fecha_fs]])</f>
        <v>1</v>
      </c>
      <c r="AZ186" s="20">
        <f t="shared" si="16"/>
        <v>5</v>
      </c>
      <c r="BA186" s="20">
        <f t="shared" si="17"/>
        <v>0</v>
      </c>
      <c r="BB186" s="195">
        <f>IFERROR(SUM(DATA[[#This Row],[fs_val_ttf]:[fact_pago_ttf]]),0)</f>
        <v>6</v>
      </c>
      <c r="BC186" s="185">
        <v>45715</v>
      </c>
      <c r="BD186" s="185">
        <v>45693</v>
      </c>
      <c r="BE186" s="185">
        <v>45722</v>
      </c>
      <c r="BF186" s="185">
        <v>45728</v>
      </c>
      <c r="BG186" s="20">
        <f>IFERROR(IF(BC186-DATA[[#This Row],[fecha_fs]]&lt;0,0,BC186-DATA[[#This Row],[fecha_fs]]),0)</f>
        <v>21</v>
      </c>
      <c r="BH186" s="20">
        <f t="shared" si="18"/>
        <v>0</v>
      </c>
      <c r="BI186" s="20">
        <f t="shared" si="19"/>
        <v>29</v>
      </c>
      <c r="BJ186" s="20">
        <f t="shared" si="20"/>
        <v>6</v>
      </c>
      <c r="BK186" s="218">
        <f>IFERROR(SUM(DATA[[#This Row],[fs_fd_ttd]:[fend_fenf_ttd]]),0)</f>
        <v>56</v>
      </c>
      <c r="BL186" s="20" t="str">
        <f>IF(DATA[[#This Row],[fecha_fs]]&gt;0,TEXT(DATA[[#This Row],[fecha_fs]],"YYYY"),0)</f>
        <v>2025</v>
      </c>
      <c r="BM186" s="221" t="b">
        <v>1</v>
      </c>
      <c r="BN186" s="278">
        <f>COUNTIF(DATA[[#This Row],[tiempo_td]], "&lt;=15")</f>
        <v>0</v>
      </c>
      <c r="BO186" s="222"/>
    </row>
    <row r="187" spans="1:67" ht="30.6" customHeight="1" x14ac:dyDescent="0.25">
      <c r="A187" s="4">
        <v>20481475342</v>
      </c>
      <c r="B187" s="5" t="s">
        <v>69</v>
      </c>
      <c r="C187" s="52" t="s">
        <v>35</v>
      </c>
      <c r="D187" s="4" t="s">
        <v>120</v>
      </c>
      <c r="E187" s="5" t="s">
        <v>3</v>
      </c>
      <c r="F187" s="24">
        <v>45694</v>
      </c>
      <c r="G187" s="7" t="s">
        <v>113</v>
      </c>
      <c r="H187" s="25">
        <f t="shared" si="15"/>
        <v>1</v>
      </c>
      <c r="I187" s="67">
        <v>4080</v>
      </c>
      <c r="J187" s="8" t="s">
        <v>115</v>
      </c>
      <c r="K187" s="9" t="s">
        <v>121</v>
      </c>
      <c r="L187" s="10" t="s">
        <v>117</v>
      </c>
      <c r="M187" s="11">
        <v>170</v>
      </c>
      <c r="N187" s="12" t="s">
        <v>132</v>
      </c>
      <c r="O187" s="6">
        <v>45695</v>
      </c>
      <c r="P187" s="13">
        <v>3283</v>
      </c>
      <c r="Q187" s="14" t="s">
        <v>85</v>
      </c>
      <c r="R187" s="74">
        <v>0</v>
      </c>
      <c r="S187" s="56">
        <v>2335.06</v>
      </c>
      <c r="T187" s="15">
        <f>DATA[[#This Row],[C. DF]]+DATA[[#This Row],[C.OPE.]]</f>
        <v>2335.06</v>
      </c>
      <c r="U187" s="15">
        <f>DATA[[#This Row],[SUB TOTAL]]*0.18</f>
        <v>420.31079999999997</v>
      </c>
      <c r="V187" s="15">
        <f>IFERROR(ROUND(DATA[[#This Row],[SUB TOTAL]]+DATA[[#This Row],[IGV]],2),0)</f>
        <v>2755.37</v>
      </c>
      <c r="W187" s="16" t="str">
        <f>IF(DATA[[#This Row],[VALORIZACIÓN ]]="-","NO CORRESPONDE",IF(OR(A187=20558226979,A187=10470707866,A187=20111157058,A187=20100226902),"NO CORRESPONDE",IF(J187="Emitida",IF(P187&gt;0,"EMITIDA","PENDIENTE"),"NO CORRESPONDE")))</f>
        <v>EMITIDA</v>
      </c>
      <c r="X187" s="29"/>
      <c r="Y187" s="17" t="s">
        <v>118</v>
      </c>
      <c r="Z187" s="30">
        <v>45699</v>
      </c>
      <c r="AA187" s="10" t="s">
        <v>124</v>
      </c>
      <c r="AB187" s="19">
        <v>556</v>
      </c>
      <c r="AC187" s="20">
        <v>15</v>
      </c>
      <c r="AD187" s="18">
        <f>DATA[[#This Row],[FECHA DE EMISION]]+DATA[[#This Row],[CONDICION DE PAGO]]</f>
        <v>45714</v>
      </c>
      <c r="AE187" s="23">
        <f>IF(DATA[[#This Row],[MONEDA]]="USD",VLOOKUP(DATA[[#This Row],[COMBINADA]],#REF!,11,0),1)</f>
        <v>1</v>
      </c>
      <c r="AF187" s="39" t="str">
        <f>IF(DATA[[#This Row],[SERIE2]]="-","NO CORRESPONDE",IF(W187="NO CORRESPONDE","NO CORRESPONDE",IF(Z187&gt;0,"FACTURADO","PENDIENTE")))</f>
        <v>FACTURADO</v>
      </c>
      <c r="AG187" s="27">
        <f>IFERROR(VLOOKUP(DATA[[#This Row],[COMBINADA]],#REF!,6,0),0)</f>
        <v>0</v>
      </c>
      <c r="AH187" s="125">
        <f>IFERROR(VLOOKUP(DATA[[#This Row],[COMBINADA]],#REF!,9,0),0)/COUNTIFS(DATA[COMBINADA],DATA[[#This Row],[COMBINADA]])</f>
        <v>0</v>
      </c>
      <c r="AI187" s="27">
        <f>IFERROR(VLOOKUP(DATA[[#This Row],[COMBINADA]],#REF!,6,0),0)</f>
        <v>0</v>
      </c>
      <c r="AJ187" s="125">
        <f>IFERROR(VLOOKUP(DATA[[#This Row],[COMBINADA]],#REF!,9,0),0)/COUNTIFS(DATA[COMBINADA],DATA[[#This Row],[COMBINADA]])</f>
        <v>0</v>
      </c>
      <c r="AK187" s="27">
        <f>IFERROR(VLOOKUP(DATA[[#This Row],[COMBINADA]],#REF!,6,0),0)</f>
        <v>0</v>
      </c>
      <c r="AL187" s="125">
        <f>IFERROR(VLOOKUP(DATA[[#This Row],[COMBINADA]],#REF!,9,0),0)/COUNTIFS(DATA[COMBINADA],DATA[[#This Row],[COMBINADA]])</f>
        <v>0</v>
      </c>
      <c r="AM187" s="27">
        <f>IFERROR(VLOOKUP(DATA[[#This Row],[COMBINADA]],#REF!,6,0),0)</f>
        <v>0</v>
      </c>
      <c r="AN187" s="125">
        <f>IFERROR(VLOOKUP(DATA[[#This Row],[COMBINADA]],#REF!,9,0),0)/COUNTIFS(DATA[COMBINADA],DATA[[#This Row],[COMBINADA]])</f>
        <v>0</v>
      </c>
      <c r="AO187" s="27">
        <f>IFERROR(VLOOKUP(DATA[[#This Row],[COMBINADA]],#REF!,6,0),0)</f>
        <v>0</v>
      </c>
      <c r="AP187" s="125">
        <f>IFERROR(VLOOKUP(DATA[[#This Row],[COMBINADA]],#REF!,9,0),0)/COUNTIFS(DATA[COMBINADA],DATA[[#This Row],[COMBINADA]])</f>
        <v>0</v>
      </c>
      <c r="AQ18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2755.37</v>
      </c>
      <c r="AR187" s="26" t="str">
        <f>IFERROR(IF(DATA[[#This Row],[estado_fact]]="FACTURADO",VLOOKUP(DATA[[#This Row],[SERIE2]]&amp;"-"&amp;DATA[[#This Row],[NUMERO]],#REF!,34,0),"NO CORRESPONDE"),"NO CORRESPONDE")</f>
        <v>NO CORRESPONDE</v>
      </c>
      <c r="AS187" s="65" t="str">
        <f>IF(DATA[[#This Row],[fecha_fs]]&gt;0,TEXT(DATA[[#This Row],[fecha_fs]],"Mmmm"),0)</f>
        <v>Febrero</v>
      </c>
      <c r="AT187" s="22" t="str">
        <f>DATA[[#This Row],[SERIE2]]&amp;"-"&amp;DATA[[#This Row],[NUMERO]]</f>
        <v>FE01-556</v>
      </c>
      <c r="AU187" s="28">
        <f>DATA[[#This Row],[TOTAL]]*DATA[[#This Row],[T.C.]]</f>
        <v>2755.37</v>
      </c>
      <c r="AV187" s="6">
        <f>DATA[[#This Row],[FECHA DE VAL.]]</f>
        <v>45695</v>
      </c>
      <c r="AW187" s="6">
        <f>DATA[[#This Row],[FECHA DE EMISION]]</f>
        <v>45699</v>
      </c>
      <c r="AX187" s="6">
        <f>DATA[[#This Row],[F1]]</f>
        <v>0</v>
      </c>
      <c r="AY187" s="20">
        <f>IF(AV187-DATA[[#This Row],[fecha_fs]]&lt;0,0,AV187-DATA[[#This Row],[fecha_fs]])</f>
        <v>1</v>
      </c>
      <c r="AZ187" s="20">
        <f t="shared" si="16"/>
        <v>4</v>
      </c>
      <c r="BA187" s="20">
        <f t="shared" si="17"/>
        <v>0</v>
      </c>
      <c r="BB187" s="195">
        <f>IFERROR(SUM(DATA[[#This Row],[fs_val_ttf]:[fact_pago_ttf]]),0)</f>
        <v>5</v>
      </c>
      <c r="BC187" s="185">
        <v>45728</v>
      </c>
      <c r="BD187" s="185">
        <v>45735</v>
      </c>
      <c r="BE187" s="185">
        <v>45735</v>
      </c>
      <c r="BF187" s="185" t="s">
        <v>270</v>
      </c>
      <c r="BG187" s="20">
        <f>IFERROR(IF(BC187-DATA[[#This Row],[fecha_fs]]&lt;0,0,BC187-DATA[[#This Row],[fecha_fs]]),0)</f>
        <v>34</v>
      </c>
      <c r="BH187" s="20">
        <f t="shared" si="18"/>
        <v>7</v>
      </c>
      <c r="BI187" s="20">
        <f t="shared" si="19"/>
        <v>0</v>
      </c>
      <c r="BJ187" s="20">
        <f t="shared" si="20"/>
        <v>0</v>
      </c>
      <c r="BK187" s="218">
        <f>IFERROR(SUM(DATA[[#This Row],[fs_fd_ttd]:[fend_fenf_ttd]]),0)</f>
        <v>41</v>
      </c>
      <c r="BL187" s="20" t="str">
        <f>IF(DATA[[#This Row],[fecha_fs]]&gt;0,TEXT(DATA[[#This Row],[fecha_fs]],"YYYY"),0)</f>
        <v>2025</v>
      </c>
      <c r="BM187" s="221" t="b">
        <v>0</v>
      </c>
      <c r="BN187" s="278">
        <f>COUNTIF(DATA[[#This Row],[tiempo_td]], "&lt;=15")</f>
        <v>0</v>
      </c>
      <c r="BO187" s="222"/>
    </row>
    <row r="188" spans="1:67" ht="30.6" customHeight="1" x14ac:dyDescent="0.25">
      <c r="A188" s="4">
        <v>20419158462</v>
      </c>
      <c r="B188" s="5" t="s">
        <v>2</v>
      </c>
      <c r="C188" s="52" t="s">
        <v>199</v>
      </c>
      <c r="D188" s="4" t="s">
        <v>120</v>
      </c>
      <c r="E188" s="5" t="s">
        <v>3</v>
      </c>
      <c r="F188" s="24">
        <v>45698</v>
      </c>
      <c r="G188" s="7" t="s">
        <v>113</v>
      </c>
      <c r="H188" s="25">
        <f t="shared" si="15"/>
        <v>1</v>
      </c>
      <c r="I188" s="67">
        <v>4081</v>
      </c>
      <c r="J188" s="8" t="s">
        <v>115</v>
      </c>
      <c r="K188" s="9" t="s">
        <v>156</v>
      </c>
      <c r="L188" s="10" t="s">
        <v>117</v>
      </c>
      <c r="M188" s="11">
        <v>515</v>
      </c>
      <c r="N188" s="12" t="s">
        <v>125</v>
      </c>
      <c r="O188" s="6">
        <v>45699</v>
      </c>
      <c r="P188" s="13">
        <v>3284</v>
      </c>
      <c r="Q188" s="14" t="s">
        <v>85</v>
      </c>
      <c r="R188" s="15">
        <v>0</v>
      </c>
      <c r="S188" s="56">
        <f>1429.7/2</f>
        <v>714.85</v>
      </c>
      <c r="T188" s="15">
        <f>DATA[[#This Row],[C. DF]]+DATA[[#This Row],[C.OPE.]]</f>
        <v>714.85</v>
      </c>
      <c r="U188" s="15">
        <f>DATA[[#This Row],[SUB TOTAL]]*0.18</f>
        <v>128.673</v>
      </c>
      <c r="V188" s="15">
        <f>IFERROR(ROUND(DATA[[#This Row],[SUB TOTAL]]+DATA[[#This Row],[IGV]],2),0)</f>
        <v>843.52</v>
      </c>
      <c r="W188" s="16" t="str">
        <f>IF(DATA[[#This Row],[VALORIZACIÓN ]]="-","NO CORRESPONDE",IF(OR(A188=20558226979,A188=10470707866,A188=20111157058,A188=20100226902),"NO CORRESPONDE",IF(J188="Emitida",IF(P188&gt;0,"EMITIDA","PENDIENTE"),"NO CORRESPONDE")))</f>
        <v>EMITIDA</v>
      </c>
      <c r="X188" s="29"/>
      <c r="Y188" s="17" t="s">
        <v>118</v>
      </c>
      <c r="Z188" s="30">
        <v>45761</v>
      </c>
      <c r="AA188" s="10" t="s">
        <v>150</v>
      </c>
      <c r="AB188" s="19">
        <v>31</v>
      </c>
      <c r="AC188" s="20">
        <v>15</v>
      </c>
      <c r="AD188" s="18">
        <f>DATA[[#This Row],[FECHA DE EMISION]]+DATA[[#This Row],[CONDICION DE PAGO]]</f>
        <v>45776</v>
      </c>
      <c r="AE188" s="23">
        <f>IF(DATA[[#This Row],[MONEDA]]="USD",VLOOKUP(DATA[[#This Row],[COMBINADA]],#REF!,11,0),1)</f>
        <v>1</v>
      </c>
      <c r="AF188" s="39" t="str">
        <f>IF(DATA[[#This Row],[SERIE2]]="-","NO CORRESPONDE",IF(W188="NO CORRESPONDE","NO CORRESPONDE",IF(Z188&gt;0,"FACTURADO","PENDIENTE")))</f>
        <v>FACTURADO</v>
      </c>
      <c r="AG188" s="27">
        <f>IFERROR(VLOOKUP(DATA[[#This Row],[COMBINADA]],#REF!,6,0),0)</f>
        <v>0</v>
      </c>
      <c r="AH188" s="125">
        <f>IFERROR(VLOOKUP(DATA[[#This Row],[COMBINADA]],#REF!,9,0),0)/COUNTIFS(DATA[COMBINADA],DATA[[#This Row],[COMBINADA]])</f>
        <v>0</v>
      </c>
      <c r="AI188" s="27">
        <f>IFERROR(VLOOKUP(DATA[[#This Row],[COMBINADA]],#REF!,6,0),0)</f>
        <v>0</v>
      </c>
      <c r="AJ188" s="125">
        <f>IFERROR(VLOOKUP(DATA[[#This Row],[COMBINADA]],#REF!,9,0),0)/COUNTIFS(DATA[COMBINADA],DATA[[#This Row],[COMBINADA]])</f>
        <v>0</v>
      </c>
      <c r="AK188" s="27">
        <f>IFERROR(VLOOKUP(DATA[[#This Row],[COMBINADA]],#REF!,6,0),0)</f>
        <v>0</v>
      </c>
      <c r="AL188" s="125">
        <f>IFERROR(VLOOKUP(DATA[[#This Row],[COMBINADA]],#REF!,9,0),0)/COUNTIFS(DATA[COMBINADA],DATA[[#This Row],[COMBINADA]])</f>
        <v>0</v>
      </c>
      <c r="AM188" s="27">
        <f>IFERROR(VLOOKUP(DATA[[#This Row],[COMBINADA]],#REF!,6,0),0)</f>
        <v>0</v>
      </c>
      <c r="AN188" s="125">
        <f>IFERROR(VLOOKUP(DATA[[#This Row],[COMBINADA]],#REF!,9,0),0)/COUNTIFS(DATA[COMBINADA],DATA[[#This Row],[COMBINADA]])</f>
        <v>0</v>
      </c>
      <c r="AO188" s="27">
        <f>IFERROR(VLOOKUP(DATA[[#This Row],[COMBINADA]],#REF!,6,0),0)</f>
        <v>0</v>
      </c>
      <c r="AP188" s="125">
        <f>IFERROR(VLOOKUP(DATA[[#This Row],[COMBINADA]],#REF!,9,0),0)/COUNTIFS(DATA[COMBINADA],DATA[[#This Row],[COMBINADA]])</f>
        <v>0</v>
      </c>
      <c r="AQ18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188" s="26" t="str">
        <f>IFERROR(IF(DATA[[#This Row],[estado_fact]]="FACTURADO",VLOOKUP(DATA[[#This Row],[SERIE2]]&amp;"-"&amp;DATA[[#This Row],[NUMERO]],#REF!,34,0),"NO CORRESPONDE"),"NO CORRESPONDE")</f>
        <v>NO CORRESPONDE</v>
      </c>
      <c r="AS188" s="65" t="str">
        <f>IF(DATA[[#This Row],[fecha_fs]]&gt;0,TEXT(DATA[[#This Row],[fecha_fs]],"Mmmm"),0)</f>
        <v>Febrero</v>
      </c>
      <c r="AT188" s="22" t="str">
        <f>DATA[[#This Row],[SERIE2]]&amp;"-"&amp;DATA[[#This Row],[NUMERO]]</f>
        <v>FF01-31</v>
      </c>
      <c r="AU188" s="28">
        <f>DATA[[#This Row],[TOTAL]]*DATA[[#This Row],[T.C.]]</f>
        <v>843.52</v>
      </c>
      <c r="AV188" s="6">
        <f>DATA[[#This Row],[FECHA DE VAL.]]</f>
        <v>45699</v>
      </c>
      <c r="AW188" s="6">
        <f>DATA[[#This Row],[FECHA DE EMISION]]</f>
        <v>45761</v>
      </c>
      <c r="AX188" s="6">
        <f>DATA[[#This Row],[F1]]</f>
        <v>0</v>
      </c>
      <c r="AY188" s="20">
        <f>IF(AV188-DATA[[#This Row],[fecha_fs]]&lt;0,0,AV188-DATA[[#This Row],[fecha_fs]])</f>
        <v>1</v>
      </c>
      <c r="AZ188" s="20">
        <f t="shared" si="16"/>
        <v>62</v>
      </c>
      <c r="BA188" s="20">
        <f t="shared" si="17"/>
        <v>0</v>
      </c>
      <c r="BB188" s="195">
        <f>IFERROR(SUM(DATA[[#This Row],[fs_val_ttf]:[fact_pago_ttf]]),0)</f>
        <v>63</v>
      </c>
      <c r="BC188" s="185">
        <v>45698</v>
      </c>
      <c r="BD188" s="185">
        <v>45698</v>
      </c>
      <c r="BE188" s="185">
        <v>45720</v>
      </c>
      <c r="BF188" s="185">
        <v>45720</v>
      </c>
      <c r="BG188" s="20">
        <f>IFERROR(IF(BC188-DATA[[#This Row],[fecha_fs]]&lt;0,0,BC188-DATA[[#This Row],[fecha_fs]]),0)</f>
        <v>0</v>
      </c>
      <c r="BH188" s="20">
        <f t="shared" si="18"/>
        <v>0</v>
      </c>
      <c r="BI188" s="20">
        <f t="shared" si="19"/>
        <v>22</v>
      </c>
      <c r="BJ188" s="20">
        <f t="shared" si="20"/>
        <v>0</v>
      </c>
      <c r="BK188" s="218">
        <f>IFERROR(SUM(DATA[[#This Row],[fs_fd_ttd]:[fend_fenf_ttd]]),0)</f>
        <v>22</v>
      </c>
      <c r="BL188" s="20" t="str">
        <f>IF(DATA[[#This Row],[fecha_fs]]&gt;0,TEXT(DATA[[#This Row],[fecha_fs]],"YYYY"),0)</f>
        <v>2025</v>
      </c>
      <c r="BM188" s="221" t="b">
        <v>1</v>
      </c>
      <c r="BN188" s="278">
        <f>COUNTIF(DATA[[#This Row],[tiempo_td]], "&lt;=15")</f>
        <v>0</v>
      </c>
      <c r="BO188" s="222"/>
    </row>
    <row r="189" spans="1:67" ht="30.6" customHeight="1" x14ac:dyDescent="0.25">
      <c r="A189" s="4">
        <v>20100211115</v>
      </c>
      <c r="B189" s="5" t="s">
        <v>41</v>
      </c>
      <c r="C189" s="52" t="s">
        <v>18</v>
      </c>
      <c r="D189" s="4" t="s">
        <v>120</v>
      </c>
      <c r="E189" s="5" t="s">
        <v>3</v>
      </c>
      <c r="F189" s="24">
        <v>45695</v>
      </c>
      <c r="G189" s="7" t="s">
        <v>113</v>
      </c>
      <c r="H189" s="25">
        <f t="shared" ref="H189:H252" si="21">IF(G189="","",IF(G189="LIM",2,1))</f>
        <v>1</v>
      </c>
      <c r="I189" s="67">
        <v>4082</v>
      </c>
      <c r="J189" s="8" t="s">
        <v>115</v>
      </c>
      <c r="K189" s="9" t="s">
        <v>121</v>
      </c>
      <c r="L189" s="10" t="s">
        <v>117</v>
      </c>
      <c r="M189" s="11">
        <v>90</v>
      </c>
      <c r="N189" s="12" t="s">
        <v>165</v>
      </c>
      <c r="O189" s="6">
        <v>45716</v>
      </c>
      <c r="P189" s="115">
        <v>3326</v>
      </c>
      <c r="Q189" s="14" t="s">
        <v>85</v>
      </c>
      <c r="R189" s="15"/>
      <c r="S189" s="56">
        <f>(DATA[[#This Row],[cantidad_fs]]*4.37)</f>
        <v>393.3</v>
      </c>
      <c r="T189" s="15">
        <f>DATA[[#This Row],[C. DF]]+DATA[[#This Row],[C.OPE.]]</f>
        <v>393.3</v>
      </c>
      <c r="U189" s="15">
        <f>DATA[[#This Row],[SUB TOTAL]]*0.18</f>
        <v>70.793999999999997</v>
      </c>
      <c r="V189" s="15">
        <f>IFERROR(ROUND(DATA[[#This Row],[SUB TOTAL]]+DATA[[#This Row],[IGV]],2),0)</f>
        <v>464.09</v>
      </c>
      <c r="W189" s="16" t="str">
        <f>IF(DATA[[#This Row],[VALORIZACIÓN ]]="-","NO CORRESPONDE",IF(OR(A189=20558226979,A189=10470707866,A189=20111157058,A189=20100226902),"NO CORRESPONDE",IF(J189="Emitida",IF(P189&gt;0,"EMITIDA","PENDIENTE"),"NO CORRESPONDE")))</f>
        <v>EMITIDA</v>
      </c>
      <c r="X189" s="29"/>
      <c r="Y189" s="17" t="s">
        <v>118</v>
      </c>
      <c r="Z189" s="30">
        <v>45722</v>
      </c>
      <c r="AA189" s="10" t="s">
        <v>124</v>
      </c>
      <c r="AB189" s="19">
        <v>588</v>
      </c>
      <c r="AC189" s="20">
        <v>30</v>
      </c>
      <c r="AD189" s="18">
        <f>DATA[[#This Row],[FECHA DE EMISION]]+DATA[[#This Row],[CONDICION DE PAGO]]</f>
        <v>45752</v>
      </c>
      <c r="AE189" s="23">
        <f>IF(DATA[[#This Row],[MONEDA]]="USD",VLOOKUP(DATA[[#This Row],[COMBINADA]],#REF!,11,0),1)</f>
        <v>1</v>
      </c>
      <c r="AF189" s="39" t="str">
        <f>IF(DATA[[#This Row],[SERIE2]]="-","NO CORRESPONDE",IF(W189="NO CORRESPONDE","NO CORRESPONDE",IF(Z189&gt;0,"FACTURADO","PENDIENTE")))</f>
        <v>FACTURADO</v>
      </c>
      <c r="AG189" s="27">
        <f>IFERROR(VLOOKUP(DATA[[#This Row],[COMBINADA]],#REF!,6,0),0)</f>
        <v>0</v>
      </c>
      <c r="AH189" s="125">
        <f>IFERROR(VLOOKUP(DATA[[#This Row],[COMBINADA]],#REF!,9,0),0)/COUNTIFS(DATA[COMBINADA],DATA[[#This Row],[COMBINADA]])</f>
        <v>0</v>
      </c>
      <c r="AI189" s="27">
        <f>IFERROR(VLOOKUP(DATA[[#This Row],[COMBINADA]],#REF!,6,0),0)</f>
        <v>0</v>
      </c>
      <c r="AJ189" s="125">
        <f>IFERROR(VLOOKUP(DATA[[#This Row],[COMBINADA]],#REF!,9,0),0)/COUNTIFS(DATA[COMBINADA],DATA[[#This Row],[COMBINADA]])</f>
        <v>0</v>
      </c>
      <c r="AK189" s="27">
        <f>IFERROR(VLOOKUP(DATA[[#This Row],[COMBINADA]],#REF!,6,0),0)</f>
        <v>0</v>
      </c>
      <c r="AL189" s="125">
        <f>IFERROR(VLOOKUP(DATA[[#This Row],[COMBINADA]],#REF!,9,0),0)/COUNTIFS(DATA[COMBINADA],DATA[[#This Row],[COMBINADA]])</f>
        <v>0</v>
      </c>
      <c r="AM189" s="27">
        <f>IFERROR(VLOOKUP(DATA[[#This Row],[COMBINADA]],#REF!,6,0),0)</f>
        <v>0</v>
      </c>
      <c r="AN189" s="125">
        <f>IFERROR(VLOOKUP(DATA[[#This Row],[COMBINADA]],#REF!,9,0),0)/COUNTIFS(DATA[COMBINADA],DATA[[#This Row],[COMBINADA]])</f>
        <v>0</v>
      </c>
      <c r="AO189" s="27">
        <f>IFERROR(VLOOKUP(DATA[[#This Row],[COMBINADA]],#REF!,6,0),0)</f>
        <v>0</v>
      </c>
      <c r="AP189" s="125">
        <f>IFERROR(VLOOKUP(DATA[[#This Row],[COMBINADA]],#REF!,9,0),0)/COUNTIFS(DATA[COMBINADA],DATA[[#This Row],[COMBINADA]])</f>
        <v>0</v>
      </c>
      <c r="AQ18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189" s="26" t="str">
        <f>IFERROR(IF(DATA[[#This Row],[estado_fact]]="FACTURADO",VLOOKUP(DATA[[#This Row],[SERIE2]]&amp;"-"&amp;DATA[[#This Row],[NUMERO]],#REF!,34,0),"NO CORRESPONDE"),"NO CORRESPONDE")</f>
        <v>NO CORRESPONDE</v>
      </c>
      <c r="AS189" s="65" t="str">
        <f>IF(DATA[[#This Row],[fecha_fs]]&gt;0,TEXT(DATA[[#This Row],[fecha_fs]],"Mmmm"),0)</f>
        <v>Febrero</v>
      </c>
      <c r="AT189" s="22" t="str">
        <f>DATA[[#This Row],[SERIE2]]&amp;"-"&amp;DATA[[#This Row],[NUMERO]]</f>
        <v>FE01-588</v>
      </c>
      <c r="AU189" s="28">
        <f>DATA[[#This Row],[TOTAL]]*DATA[[#This Row],[T.C.]]</f>
        <v>464.09</v>
      </c>
      <c r="AV189" s="6">
        <f>DATA[[#This Row],[FECHA DE VAL.]]</f>
        <v>45716</v>
      </c>
      <c r="AW189" s="6">
        <f>DATA[[#This Row],[FECHA DE EMISION]]</f>
        <v>45722</v>
      </c>
      <c r="AX189" s="6">
        <f>DATA[[#This Row],[F1]]</f>
        <v>0</v>
      </c>
      <c r="AY189" s="20">
        <f>IF(AV189-DATA[[#This Row],[fecha_fs]]&lt;0,0,AV189-DATA[[#This Row],[fecha_fs]])</f>
        <v>21</v>
      </c>
      <c r="AZ189" s="20">
        <f t="shared" si="16"/>
        <v>6</v>
      </c>
      <c r="BA189" s="20">
        <f t="shared" si="17"/>
        <v>0</v>
      </c>
      <c r="BB189" s="195">
        <f>IFERROR(SUM(DATA[[#This Row],[fs_val_ttf]:[fact_pago_ttf]]),0)</f>
        <v>27</v>
      </c>
      <c r="BC189" s="185">
        <v>45729</v>
      </c>
      <c r="BD189" s="185">
        <v>45735</v>
      </c>
      <c r="BE189" s="185">
        <v>45740</v>
      </c>
      <c r="BF189" s="185">
        <v>45749</v>
      </c>
      <c r="BG189" s="20">
        <f>IFERROR(IF(BC189-DATA[[#This Row],[fecha_fs]]&lt;0,0,BC189-DATA[[#This Row],[fecha_fs]]),0)</f>
        <v>34</v>
      </c>
      <c r="BH189" s="20">
        <f t="shared" si="18"/>
        <v>6</v>
      </c>
      <c r="BI189" s="20">
        <f t="shared" si="19"/>
        <v>5</v>
      </c>
      <c r="BJ189" s="20">
        <f t="shared" si="20"/>
        <v>9</v>
      </c>
      <c r="BK189" s="218">
        <f>IFERROR(SUM(DATA[[#This Row],[fs_fd_ttd]:[fend_fenf_ttd]]),0)</f>
        <v>54</v>
      </c>
      <c r="BL189" s="20" t="str">
        <f>IF(DATA[[#This Row],[fecha_fs]]&gt;0,TEXT(DATA[[#This Row],[fecha_fs]],"YYYY"),0)</f>
        <v>2025</v>
      </c>
      <c r="BM189" s="221" t="b">
        <v>1</v>
      </c>
      <c r="BN189" s="278">
        <f>COUNTIF(DATA[[#This Row],[tiempo_td]], "&lt;=15")</f>
        <v>0</v>
      </c>
      <c r="BO189" s="222"/>
    </row>
    <row r="190" spans="1:67" ht="30.6" customHeight="1" x14ac:dyDescent="0.25">
      <c r="A190" s="4">
        <v>20100211115</v>
      </c>
      <c r="B190" s="5" t="s">
        <v>41</v>
      </c>
      <c r="C190" s="52" t="s">
        <v>18</v>
      </c>
      <c r="D190" s="4" t="s">
        <v>120</v>
      </c>
      <c r="E190" s="5" t="s">
        <v>3</v>
      </c>
      <c r="F190" s="24">
        <v>45698</v>
      </c>
      <c r="G190" s="7" t="s">
        <v>113</v>
      </c>
      <c r="H190" s="25">
        <f t="shared" si="21"/>
        <v>1</v>
      </c>
      <c r="I190" s="67">
        <v>4083</v>
      </c>
      <c r="J190" s="8" t="s">
        <v>115</v>
      </c>
      <c r="K190" s="9" t="s">
        <v>121</v>
      </c>
      <c r="L190" s="10" t="s">
        <v>117</v>
      </c>
      <c r="M190" s="11">
        <v>90</v>
      </c>
      <c r="N190" s="12" t="s">
        <v>125</v>
      </c>
      <c r="O190" s="6">
        <v>45716</v>
      </c>
      <c r="P190" s="115">
        <v>3326</v>
      </c>
      <c r="Q190" s="14" t="s">
        <v>85</v>
      </c>
      <c r="R190" s="15"/>
      <c r="S190" s="56">
        <f>(DATA[[#This Row],[cantidad_fs]]*4.37)</f>
        <v>393.3</v>
      </c>
      <c r="T190" s="15">
        <f>DATA[[#This Row],[C. DF]]+DATA[[#This Row],[C.OPE.]]</f>
        <v>393.3</v>
      </c>
      <c r="U190" s="15">
        <f>DATA[[#This Row],[SUB TOTAL]]*0.18</f>
        <v>70.793999999999997</v>
      </c>
      <c r="V190" s="15">
        <f>IFERROR(ROUND(DATA[[#This Row],[SUB TOTAL]]+DATA[[#This Row],[IGV]],2),0)</f>
        <v>464.09</v>
      </c>
      <c r="W190" s="16" t="str">
        <f>IF(DATA[[#This Row],[VALORIZACIÓN ]]="-","NO CORRESPONDE",IF(OR(A190=20558226979,A190=10470707866,A190=20111157058,A190=20100226902),"NO CORRESPONDE",IF(J190="Emitida",IF(P190&gt;0,"EMITIDA","PENDIENTE"),"NO CORRESPONDE")))</f>
        <v>EMITIDA</v>
      </c>
      <c r="X190" s="29"/>
      <c r="Y190" s="17" t="s">
        <v>118</v>
      </c>
      <c r="Z190" s="30">
        <v>45722</v>
      </c>
      <c r="AA190" s="10" t="s">
        <v>124</v>
      </c>
      <c r="AB190" s="19">
        <v>588</v>
      </c>
      <c r="AC190" s="20">
        <v>30</v>
      </c>
      <c r="AD190" s="18">
        <f>DATA[[#This Row],[FECHA DE EMISION]]+DATA[[#This Row],[CONDICION DE PAGO]]</f>
        <v>45752</v>
      </c>
      <c r="AE190" s="23">
        <f>IF(DATA[[#This Row],[MONEDA]]="USD",VLOOKUP(DATA[[#This Row],[COMBINADA]],#REF!,11,0),1)</f>
        <v>1</v>
      </c>
      <c r="AF190" s="39" t="str">
        <f>IF(DATA[[#This Row],[SERIE2]]="-","NO CORRESPONDE",IF(W190="NO CORRESPONDE","NO CORRESPONDE",IF(Z190&gt;0,"FACTURADO","PENDIENTE")))</f>
        <v>FACTURADO</v>
      </c>
      <c r="AG190" s="27">
        <f>IFERROR(VLOOKUP(DATA[[#This Row],[COMBINADA]],#REF!,6,0),0)</f>
        <v>0</v>
      </c>
      <c r="AH190" s="125">
        <f>IFERROR(VLOOKUP(DATA[[#This Row],[COMBINADA]],#REF!,9,0),0)/COUNTIFS(DATA[COMBINADA],DATA[[#This Row],[COMBINADA]])</f>
        <v>0</v>
      </c>
      <c r="AI190" s="27">
        <f>IFERROR(VLOOKUP(DATA[[#This Row],[COMBINADA]],#REF!,6,0),0)</f>
        <v>0</v>
      </c>
      <c r="AJ190" s="125">
        <f>IFERROR(VLOOKUP(DATA[[#This Row],[COMBINADA]],#REF!,9,0),0)/COUNTIFS(DATA[COMBINADA],DATA[[#This Row],[COMBINADA]])</f>
        <v>0</v>
      </c>
      <c r="AK190" s="27">
        <f>IFERROR(VLOOKUP(DATA[[#This Row],[COMBINADA]],#REF!,6,0),0)</f>
        <v>0</v>
      </c>
      <c r="AL190" s="125">
        <f>IFERROR(VLOOKUP(DATA[[#This Row],[COMBINADA]],#REF!,9,0),0)/COUNTIFS(DATA[COMBINADA],DATA[[#This Row],[COMBINADA]])</f>
        <v>0</v>
      </c>
      <c r="AM190" s="27">
        <f>IFERROR(VLOOKUP(DATA[[#This Row],[COMBINADA]],#REF!,6,0),0)</f>
        <v>0</v>
      </c>
      <c r="AN190" s="125">
        <f>IFERROR(VLOOKUP(DATA[[#This Row],[COMBINADA]],#REF!,9,0),0)/COUNTIFS(DATA[COMBINADA],DATA[[#This Row],[COMBINADA]])</f>
        <v>0</v>
      </c>
      <c r="AO190" s="27">
        <f>IFERROR(VLOOKUP(DATA[[#This Row],[COMBINADA]],#REF!,6,0),0)</f>
        <v>0</v>
      </c>
      <c r="AP190" s="125">
        <f>IFERROR(VLOOKUP(DATA[[#This Row],[COMBINADA]],#REF!,9,0),0)/COUNTIFS(DATA[COMBINADA],DATA[[#This Row],[COMBINADA]])</f>
        <v>0</v>
      </c>
      <c r="AQ19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190" s="26" t="str">
        <f>IFERROR(IF(DATA[[#This Row],[estado_fact]]="FACTURADO",VLOOKUP(DATA[[#This Row],[SERIE2]]&amp;"-"&amp;DATA[[#This Row],[NUMERO]],#REF!,34,0),"NO CORRESPONDE"),"NO CORRESPONDE")</f>
        <v>NO CORRESPONDE</v>
      </c>
      <c r="AS190" s="65" t="str">
        <f>IF(DATA[[#This Row],[fecha_fs]]&gt;0,TEXT(DATA[[#This Row],[fecha_fs]],"Mmmm"),0)</f>
        <v>Febrero</v>
      </c>
      <c r="AT190" s="22" t="str">
        <f>DATA[[#This Row],[SERIE2]]&amp;"-"&amp;DATA[[#This Row],[NUMERO]]</f>
        <v>FE01-588</v>
      </c>
      <c r="AU190" s="28">
        <f>DATA[[#This Row],[TOTAL]]*DATA[[#This Row],[T.C.]]</f>
        <v>464.09</v>
      </c>
      <c r="AV190" s="6">
        <f>DATA[[#This Row],[FECHA DE VAL.]]</f>
        <v>45716</v>
      </c>
      <c r="AW190" s="6">
        <f>DATA[[#This Row],[FECHA DE EMISION]]</f>
        <v>45722</v>
      </c>
      <c r="AX190" s="6">
        <f>DATA[[#This Row],[F1]]</f>
        <v>0</v>
      </c>
      <c r="AY190" s="20">
        <f>IF(AV190-DATA[[#This Row],[fecha_fs]]&lt;0,0,AV190-DATA[[#This Row],[fecha_fs]])</f>
        <v>18</v>
      </c>
      <c r="AZ190" s="20">
        <f t="shared" ref="AZ190:AZ253" si="22">IF(AW190-AV190&lt;0,0,AW190-AV190)</f>
        <v>6</v>
      </c>
      <c r="BA190" s="20">
        <f t="shared" ref="BA190:BA253" si="23">IF(AX190-AW190&lt;0,0,AX190-AW190)</f>
        <v>0</v>
      </c>
      <c r="BB190" s="195">
        <f>IFERROR(SUM(DATA[[#This Row],[fs_val_ttf]:[fact_pago_ttf]]),0)</f>
        <v>24</v>
      </c>
      <c r="BC190" s="185">
        <v>45729</v>
      </c>
      <c r="BD190" s="185">
        <v>45735</v>
      </c>
      <c r="BE190" s="185">
        <v>45740</v>
      </c>
      <c r="BF190" s="185">
        <v>45749</v>
      </c>
      <c r="BG190" s="20">
        <f>IFERROR(IF(BC190-DATA[[#This Row],[fecha_fs]]&lt;0,0,BC190-DATA[[#This Row],[fecha_fs]]),0)</f>
        <v>31</v>
      </c>
      <c r="BH190" s="20">
        <f t="shared" si="18"/>
        <v>6</v>
      </c>
      <c r="BI190" s="20">
        <f t="shared" si="19"/>
        <v>5</v>
      </c>
      <c r="BJ190" s="20">
        <f t="shared" si="20"/>
        <v>9</v>
      </c>
      <c r="BK190" s="218">
        <f>IFERROR(SUM(DATA[[#This Row],[fs_fd_ttd]:[fend_fenf_ttd]]),0)</f>
        <v>51</v>
      </c>
      <c r="BL190" s="20" t="str">
        <f>IF(DATA[[#This Row],[fecha_fs]]&gt;0,TEXT(DATA[[#This Row],[fecha_fs]],"YYYY"),0)</f>
        <v>2025</v>
      </c>
      <c r="BM190" s="221" t="b">
        <v>1</v>
      </c>
      <c r="BN190" s="278">
        <f>COUNTIF(DATA[[#This Row],[tiempo_td]], "&lt;=15")</f>
        <v>0</v>
      </c>
      <c r="BO190" s="222"/>
    </row>
    <row r="191" spans="1:67" ht="30.6" customHeight="1" x14ac:dyDescent="0.25">
      <c r="A191" s="4">
        <v>20553956324</v>
      </c>
      <c r="B191" s="5" t="s">
        <v>281</v>
      </c>
      <c r="C191" s="52" t="s">
        <v>175</v>
      </c>
      <c r="D191" s="4" t="s">
        <v>120</v>
      </c>
      <c r="E191" s="5" t="s">
        <v>3</v>
      </c>
      <c r="F191" s="24">
        <v>45695</v>
      </c>
      <c r="G191" s="7" t="s">
        <v>113</v>
      </c>
      <c r="H191" s="25">
        <f t="shared" si="21"/>
        <v>1</v>
      </c>
      <c r="I191" s="67">
        <v>4084</v>
      </c>
      <c r="J191" s="8" t="s">
        <v>115</v>
      </c>
      <c r="K191" s="9" t="s">
        <v>121</v>
      </c>
      <c r="L191" s="10" t="s">
        <v>117</v>
      </c>
      <c r="M191" s="11">
        <v>100</v>
      </c>
      <c r="N191" s="12" t="s">
        <v>200</v>
      </c>
      <c r="O191" s="6">
        <v>45716</v>
      </c>
      <c r="P191" s="109">
        <v>3328</v>
      </c>
      <c r="Q191" s="14" t="s">
        <v>85</v>
      </c>
      <c r="R191" s="15">
        <f>80/8</f>
        <v>10</v>
      </c>
      <c r="S191" s="56">
        <f>3160.8/11</f>
        <v>287.34545454545457</v>
      </c>
      <c r="T191" s="15">
        <f>DATA[[#This Row],[C. DF]]+DATA[[#This Row],[C.OPE.]]</f>
        <v>297.34545454545457</v>
      </c>
      <c r="U191" s="15">
        <f>DATA[[#This Row],[SUB TOTAL]]*0.18</f>
        <v>53.522181818181821</v>
      </c>
      <c r="V191" s="15">
        <f>IFERROR(ROUND(DATA[[#This Row],[SUB TOTAL]]+DATA[[#This Row],[IGV]],2),0)</f>
        <v>350.87</v>
      </c>
      <c r="W191" s="16" t="str">
        <f>IF(DATA[[#This Row],[VALORIZACIÓN ]]="-","NO CORRESPONDE",IF(OR(A191=20558226979,A191=10470707866,A191=20111157058,A191=20100226902),"NO CORRESPONDE",IF(J191="Emitida",IF(P191&gt;0,"EMITIDA","PENDIENTE"),"NO CORRESPONDE")))</f>
        <v>EMITIDA</v>
      </c>
      <c r="X191" s="29"/>
      <c r="Y191" s="17" t="s">
        <v>118</v>
      </c>
      <c r="Z191" s="30">
        <v>45730</v>
      </c>
      <c r="AA191" s="20" t="s">
        <v>119</v>
      </c>
      <c r="AB191" s="19">
        <v>24</v>
      </c>
      <c r="AC191" s="20">
        <v>0</v>
      </c>
      <c r="AD191" s="18">
        <f>DATA[[#This Row],[FECHA DE EMISION]]+DATA[[#This Row],[CONDICION DE PAGO]]</f>
        <v>45730</v>
      </c>
      <c r="AE191" s="23">
        <f>IF(DATA[[#This Row],[MONEDA]]="USD",VLOOKUP(DATA[[#This Row],[COMBINADA]],#REF!,11,0),1)</f>
        <v>1</v>
      </c>
      <c r="AF191" s="39" t="str">
        <f>IF(DATA[[#This Row],[SERIE2]]="-","NO CORRESPONDE",IF(W191="NO CORRESPONDE","NO CORRESPONDE",IF(Z191&gt;0,"FACTURADO","PENDIENTE")))</f>
        <v>FACTURADO</v>
      </c>
      <c r="AG191" s="27">
        <f>IFERROR(VLOOKUP(DATA[[#This Row],[COMBINADA]],#REF!,6,0),0)</f>
        <v>0</v>
      </c>
      <c r="AH191" s="125">
        <f>IFERROR(VLOOKUP(DATA[[#This Row],[COMBINADA]],#REF!,9,0),0)/COUNTIFS(DATA[COMBINADA],DATA[[#This Row],[COMBINADA]])</f>
        <v>0</v>
      </c>
      <c r="AI191" s="27">
        <f>IFERROR(VLOOKUP(DATA[[#This Row],[COMBINADA]],#REF!,6,0),0)</f>
        <v>0</v>
      </c>
      <c r="AJ191" s="125">
        <f>IFERROR(VLOOKUP(DATA[[#This Row],[COMBINADA]],#REF!,9,0),0)/COUNTIFS(DATA[COMBINADA],DATA[[#This Row],[COMBINADA]])</f>
        <v>0</v>
      </c>
      <c r="AK191" s="27">
        <f>IFERROR(VLOOKUP(DATA[[#This Row],[COMBINADA]],#REF!,6,0),0)</f>
        <v>0</v>
      </c>
      <c r="AL191" s="125">
        <f>IFERROR(VLOOKUP(DATA[[#This Row],[COMBINADA]],#REF!,9,0),0)/COUNTIFS(DATA[COMBINADA],DATA[[#This Row],[COMBINADA]])</f>
        <v>0</v>
      </c>
      <c r="AM191" s="27">
        <f>IFERROR(VLOOKUP(DATA[[#This Row],[COMBINADA]],#REF!,6,0),0)</f>
        <v>0</v>
      </c>
      <c r="AN191" s="125">
        <f>IFERROR(VLOOKUP(DATA[[#This Row],[COMBINADA]],#REF!,9,0),0)/COUNTIFS(DATA[COMBINADA],DATA[[#This Row],[COMBINADA]])</f>
        <v>0</v>
      </c>
      <c r="AO191" s="27">
        <f>IFERROR(VLOOKUP(DATA[[#This Row],[COMBINADA]],#REF!,6,0),0)</f>
        <v>0</v>
      </c>
      <c r="AP191" s="125">
        <f>IFERROR(VLOOKUP(DATA[[#This Row],[COMBINADA]],#REF!,9,0),0)/COUNTIFS(DATA[COMBINADA],DATA[[#This Row],[COMBINADA]])</f>
        <v>0</v>
      </c>
      <c r="AQ19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395.92454545454547</v>
      </c>
      <c r="AR191" s="26" t="str">
        <f>IFERROR(IF(DATA[[#This Row],[estado_fact]]="FACTURADO",VLOOKUP(DATA[[#This Row],[SERIE2]]&amp;"-"&amp;DATA[[#This Row],[NUMERO]],#REF!,34,0),"NO CORRESPONDE"),"NO CORRESPONDE")</f>
        <v>NO CORRESPONDE</v>
      </c>
      <c r="AS191" s="65" t="str">
        <f>IF(DATA[[#This Row],[fecha_fs]]&gt;0,TEXT(DATA[[#This Row],[fecha_fs]],"Mmmm"),0)</f>
        <v>Febrero</v>
      </c>
      <c r="AT191" s="22" t="str">
        <f>DATA[[#This Row],[SERIE2]]&amp;"-"&amp;DATA[[#This Row],[NUMERO]]</f>
        <v>E001-24</v>
      </c>
      <c r="AU191" s="28">
        <f>DATA[[#This Row],[TOTAL]]*DATA[[#This Row],[T.C.]]</f>
        <v>350.87</v>
      </c>
      <c r="AV191" s="6">
        <f>DATA[[#This Row],[FECHA DE VAL.]]</f>
        <v>45716</v>
      </c>
      <c r="AW191" s="6">
        <f>DATA[[#This Row],[FECHA DE EMISION]]</f>
        <v>45730</v>
      </c>
      <c r="AX191" s="6">
        <f>DATA[[#This Row],[F1]]</f>
        <v>0</v>
      </c>
      <c r="AY191" s="20">
        <f>IF(AV191-DATA[[#This Row],[fecha_fs]]&lt;0,0,AV191-DATA[[#This Row],[fecha_fs]])</f>
        <v>21</v>
      </c>
      <c r="AZ191" s="20">
        <f t="shared" si="22"/>
        <v>14</v>
      </c>
      <c r="BA191" s="20">
        <f t="shared" si="23"/>
        <v>0</v>
      </c>
      <c r="BB191" s="195">
        <f>IFERROR(SUM(DATA[[#This Row],[fs_val_ttf]:[fact_pago_ttf]]),0)</f>
        <v>35</v>
      </c>
      <c r="BC191" s="185">
        <v>45729</v>
      </c>
      <c r="BD191" s="185">
        <v>45735</v>
      </c>
      <c r="BE191" s="185">
        <v>45740</v>
      </c>
      <c r="BF191" s="185">
        <v>45759</v>
      </c>
      <c r="BG191" s="20">
        <f>IFERROR(IF(BC191-DATA[[#This Row],[fecha_fs]]&lt;0,0,BC191-DATA[[#This Row],[fecha_fs]]),0)</f>
        <v>34</v>
      </c>
      <c r="BH191" s="20">
        <f t="shared" si="18"/>
        <v>6</v>
      </c>
      <c r="BI191" s="20">
        <f t="shared" si="19"/>
        <v>5</v>
      </c>
      <c r="BJ191" s="20">
        <f t="shared" si="20"/>
        <v>19</v>
      </c>
      <c r="BK191" s="218">
        <f>IFERROR(SUM(DATA[[#This Row],[fs_fd_ttd]:[fend_fenf_ttd]]),0)</f>
        <v>64</v>
      </c>
      <c r="BL191" s="20" t="str">
        <f>IF(DATA[[#This Row],[fecha_fs]]&gt;0,TEXT(DATA[[#This Row],[fecha_fs]],"YYYY"),0)</f>
        <v>2025</v>
      </c>
      <c r="BM191" s="221" t="b">
        <v>0</v>
      </c>
      <c r="BN191" s="278">
        <f>COUNTIF(DATA[[#This Row],[tiempo_td]], "&lt;=15")</f>
        <v>0</v>
      </c>
      <c r="BO191" s="222"/>
    </row>
    <row r="192" spans="1:67" ht="30.6" customHeight="1" x14ac:dyDescent="0.25">
      <c r="A192" s="4">
        <v>20553956324</v>
      </c>
      <c r="B192" s="5" t="s">
        <v>281</v>
      </c>
      <c r="C192" s="52" t="s">
        <v>175</v>
      </c>
      <c r="D192" s="4" t="s">
        <v>112</v>
      </c>
      <c r="E192" s="5" t="s">
        <v>1</v>
      </c>
      <c r="F192" s="24">
        <v>45695</v>
      </c>
      <c r="G192" s="7" t="s">
        <v>113</v>
      </c>
      <c r="H192" s="25">
        <f t="shared" si="21"/>
        <v>1</v>
      </c>
      <c r="I192" s="67">
        <v>4085</v>
      </c>
      <c r="J192" s="8" t="s">
        <v>115</v>
      </c>
      <c r="K192" s="9" t="s">
        <v>116</v>
      </c>
      <c r="L192" s="10" t="s">
        <v>117</v>
      </c>
      <c r="M192" s="11">
        <v>40</v>
      </c>
      <c r="N192" s="12" t="s">
        <v>165</v>
      </c>
      <c r="O192" s="6">
        <v>45716</v>
      </c>
      <c r="P192" s="109">
        <v>3328</v>
      </c>
      <c r="Q192" s="14" t="s">
        <v>85</v>
      </c>
      <c r="R192" s="15">
        <f>450/3</f>
        <v>150</v>
      </c>
      <c r="S192" s="56">
        <f>3160.8/11</f>
        <v>287.34545454545457</v>
      </c>
      <c r="T192" s="15">
        <f>DATA[[#This Row],[C. DF]]+DATA[[#This Row],[C.OPE.]]</f>
        <v>437.34545454545457</v>
      </c>
      <c r="U192" s="15">
        <f>DATA[[#This Row],[SUB TOTAL]]*0.18</f>
        <v>78.722181818181824</v>
      </c>
      <c r="V192" s="15">
        <f>IFERROR(ROUND(DATA[[#This Row],[SUB TOTAL]]+DATA[[#This Row],[IGV]],2),0)</f>
        <v>516.07000000000005</v>
      </c>
      <c r="W192" s="16" t="str">
        <f>IF(DATA[[#This Row],[VALORIZACIÓN ]]="-","NO CORRESPONDE",IF(OR(A192=20558226979,A192=10470707866,A192=20111157058,A192=20100226902),"NO CORRESPONDE",IF(J192="Emitida",IF(P192&gt;0,"EMITIDA","PENDIENTE"),"NO CORRESPONDE")))</f>
        <v>EMITIDA</v>
      </c>
      <c r="X192" s="29"/>
      <c r="Y192" s="17" t="s">
        <v>118</v>
      </c>
      <c r="Z192" s="30">
        <v>45730</v>
      </c>
      <c r="AA192" s="20" t="s">
        <v>119</v>
      </c>
      <c r="AB192" s="19">
        <v>24</v>
      </c>
      <c r="AC192" s="20">
        <v>0</v>
      </c>
      <c r="AD192" s="18">
        <f>DATA[[#This Row],[FECHA DE EMISION]]+DATA[[#This Row],[CONDICION DE PAGO]]</f>
        <v>45730</v>
      </c>
      <c r="AE192" s="23">
        <f>IF(DATA[[#This Row],[MONEDA]]="USD",VLOOKUP(DATA[[#This Row],[COMBINADA]],#REF!,11,0),1)</f>
        <v>1</v>
      </c>
      <c r="AF192" s="39" t="str">
        <f>IF(DATA[[#This Row],[SERIE2]]="-","NO CORRESPONDE",IF(W192="NO CORRESPONDE","NO CORRESPONDE",IF(Z192&gt;0,"FACTURADO","PENDIENTE")))</f>
        <v>FACTURADO</v>
      </c>
      <c r="AG192" s="27">
        <f>IFERROR(VLOOKUP(DATA[[#This Row],[COMBINADA]],#REF!,6,0),0)</f>
        <v>0</v>
      </c>
      <c r="AH192" s="125">
        <f>IFERROR(VLOOKUP(DATA[[#This Row],[COMBINADA]],#REF!,9,0),0)/COUNTIFS(DATA[COMBINADA],DATA[[#This Row],[COMBINADA]])</f>
        <v>0</v>
      </c>
      <c r="AI192" s="27">
        <f>IFERROR(VLOOKUP(DATA[[#This Row],[COMBINADA]],#REF!,6,0),0)</f>
        <v>0</v>
      </c>
      <c r="AJ192" s="125">
        <f>IFERROR(VLOOKUP(DATA[[#This Row],[COMBINADA]],#REF!,9,0),0)/COUNTIFS(DATA[COMBINADA],DATA[[#This Row],[COMBINADA]])</f>
        <v>0</v>
      </c>
      <c r="AK192" s="27">
        <f>IFERROR(VLOOKUP(DATA[[#This Row],[COMBINADA]],#REF!,6,0),0)</f>
        <v>0</v>
      </c>
      <c r="AL192" s="125">
        <f>IFERROR(VLOOKUP(DATA[[#This Row],[COMBINADA]],#REF!,9,0),0)/COUNTIFS(DATA[COMBINADA],DATA[[#This Row],[COMBINADA]])</f>
        <v>0</v>
      </c>
      <c r="AM192" s="27">
        <f>IFERROR(VLOOKUP(DATA[[#This Row],[COMBINADA]],#REF!,6,0),0)</f>
        <v>0</v>
      </c>
      <c r="AN192" s="125">
        <f>IFERROR(VLOOKUP(DATA[[#This Row],[COMBINADA]],#REF!,9,0),0)/COUNTIFS(DATA[COMBINADA],DATA[[#This Row],[COMBINADA]])</f>
        <v>0</v>
      </c>
      <c r="AO192" s="27">
        <f>IFERROR(VLOOKUP(DATA[[#This Row],[COMBINADA]],#REF!,6,0),0)</f>
        <v>0</v>
      </c>
      <c r="AP192" s="125">
        <f>IFERROR(VLOOKUP(DATA[[#This Row],[COMBINADA]],#REF!,9,0),0)/COUNTIFS(DATA[COMBINADA],DATA[[#This Row],[COMBINADA]])</f>
        <v>0</v>
      </c>
      <c r="AQ19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395.92454545454547</v>
      </c>
      <c r="AR192" s="26" t="str">
        <f>IFERROR(IF(DATA[[#This Row],[estado_fact]]="FACTURADO",VLOOKUP(DATA[[#This Row],[SERIE2]]&amp;"-"&amp;DATA[[#This Row],[NUMERO]],#REF!,34,0),"NO CORRESPONDE"),"NO CORRESPONDE")</f>
        <v>NO CORRESPONDE</v>
      </c>
      <c r="AS192" s="65" t="str">
        <f>IF(DATA[[#This Row],[fecha_fs]]&gt;0,TEXT(DATA[[#This Row],[fecha_fs]],"Mmmm"),0)</f>
        <v>Febrero</v>
      </c>
      <c r="AT192" s="22" t="str">
        <f>DATA[[#This Row],[SERIE2]]&amp;"-"&amp;DATA[[#This Row],[NUMERO]]</f>
        <v>E001-24</v>
      </c>
      <c r="AU192" s="28">
        <f>DATA[[#This Row],[TOTAL]]*DATA[[#This Row],[T.C.]]</f>
        <v>516.07000000000005</v>
      </c>
      <c r="AV192" s="6">
        <f>DATA[[#This Row],[FECHA DE VAL.]]</f>
        <v>45716</v>
      </c>
      <c r="AW192" s="6">
        <f>DATA[[#This Row],[FECHA DE EMISION]]</f>
        <v>45730</v>
      </c>
      <c r="AX192" s="6">
        <f>DATA[[#This Row],[F1]]</f>
        <v>0</v>
      </c>
      <c r="AY192" s="20">
        <f>IF(AV192-DATA[[#This Row],[fecha_fs]]&lt;0,0,AV192-DATA[[#This Row],[fecha_fs]])</f>
        <v>21</v>
      </c>
      <c r="AZ192" s="20">
        <f t="shared" si="22"/>
        <v>14</v>
      </c>
      <c r="BA192" s="20">
        <f t="shared" si="23"/>
        <v>0</v>
      </c>
      <c r="BB192" s="195">
        <f>IFERROR(SUM(DATA[[#This Row],[fs_val_ttf]:[fact_pago_ttf]]),0)</f>
        <v>35</v>
      </c>
      <c r="BC192" s="185">
        <v>45730</v>
      </c>
      <c r="BD192" s="185">
        <v>45743</v>
      </c>
      <c r="BE192" s="185">
        <v>45740</v>
      </c>
      <c r="BF192" s="185">
        <v>45759</v>
      </c>
      <c r="BG192" s="20">
        <f>IFERROR(IF(BC192-DATA[[#This Row],[fecha_fs]]&lt;0,0,BC192-DATA[[#This Row],[fecha_fs]]),0)</f>
        <v>35</v>
      </c>
      <c r="BH192" s="20">
        <f t="shared" si="18"/>
        <v>13</v>
      </c>
      <c r="BI192" s="20">
        <f t="shared" si="19"/>
        <v>0</v>
      </c>
      <c r="BJ192" s="20">
        <f t="shared" si="20"/>
        <v>19</v>
      </c>
      <c r="BK192" s="218">
        <f>IFERROR(SUM(DATA[[#This Row],[fs_fd_ttd]:[fend_fenf_ttd]]),0)</f>
        <v>67</v>
      </c>
      <c r="BL192" s="20" t="str">
        <f>IF(DATA[[#This Row],[fecha_fs]]&gt;0,TEXT(DATA[[#This Row],[fecha_fs]],"YYYY"),0)</f>
        <v>2025</v>
      </c>
      <c r="BM192" s="221" t="b">
        <v>0</v>
      </c>
      <c r="BN192" s="278">
        <f>COUNTIF(DATA[[#This Row],[tiempo_td]], "&lt;=15")</f>
        <v>0</v>
      </c>
      <c r="BO192" s="222"/>
    </row>
    <row r="193" spans="1:67" ht="30.6" customHeight="1" x14ac:dyDescent="0.25">
      <c r="A193" s="4">
        <v>20141637941</v>
      </c>
      <c r="B193" s="5" t="s">
        <v>79</v>
      </c>
      <c r="C193" s="52" t="s">
        <v>18</v>
      </c>
      <c r="D193" s="4" t="s">
        <v>120</v>
      </c>
      <c r="E193" s="5" t="s">
        <v>3</v>
      </c>
      <c r="F193" s="24">
        <v>45695</v>
      </c>
      <c r="G193" s="7" t="s">
        <v>113</v>
      </c>
      <c r="H193" s="25">
        <f t="shared" si="21"/>
        <v>1</v>
      </c>
      <c r="I193" s="67">
        <v>4086</v>
      </c>
      <c r="J193" s="8" t="s">
        <v>115</v>
      </c>
      <c r="K193" s="9" t="s">
        <v>121</v>
      </c>
      <c r="L193" s="10" t="s">
        <v>117</v>
      </c>
      <c r="M193" s="11">
        <v>940</v>
      </c>
      <c r="N193" s="12" t="s">
        <v>125</v>
      </c>
      <c r="O193" s="6">
        <v>45695</v>
      </c>
      <c r="P193" s="68">
        <v>3280</v>
      </c>
      <c r="Q193" s="14" t="s">
        <v>85</v>
      </c>
      <c r="R193" s="15">
        <v>70</v>
      </c>
      <c r="S193" s="56">
        <v>517</v>
      </c>
      <c r="T193" s="15">
        <f>DATA[[#This Row],[C. DF]]+DATA[[#This Row],[C.OPE.]]</f>
        <v>587</v>
      </c>
      <c r="U193" s="15">
        <f>DATA[[#This Row],[SUB TOTAL]]*0.18</f>
        <v>105.66</v>
      </c>
      <c r="V193" s="15">
        <f>IFERROR(ROUND(DATA[[#This Row],[SUB TOTAL]]+DATA[[#This Row],[IGV]],2),0)</f>
        <v>692.66</v>
      </c>
      <c r="W193" s="16" t="str">
        <f>IF(DATA[[#This Row],[VALORIZACIÓN ]]="-","NO CORRESPONDE",IF(OR(A193=20558226979,A193=10470707866,A193=20111157058,A193=20100226902),"NO CORRESPONDE",IF(J193="Emitida",IF(P193&gt;0,"EMITIDA","PENDIENTE"),"NO CORRESPONDE")))</f>
        <v>EMITIDA</v>
      </c>
      <c r="X193" s="29"/>
      <c r="Y193" s="17" t="s">
        <v>118</v>
      </c>
      <c r="Z193" s="30">
        <v>45699</v>
      </c>
      <c r="AA193" s="10" t="s">
        <v>124</v>
      </c>
      <c r="AB193" s="19">
        <v>557</v>
      </c>
      <c r="AC193" s="20">
        <v>30</v>
      </c>
      <c r="AD193" s="18">
        <f>DATA[[#This Row],[FECHA DE EMISION]]+DATA[[#This Row],[CONDICION DE PAGO]]</f>
        <v>45729</v>
      </c>
      <c r="AE193" s="23">
        <f>IF(DATA[[#This Row],[MONEDA]]="USD",VLOOKUP(DATA[[#This Row],[COMBINADA]],#REF!,11,0),1)</f>
        <v>1</v>
      </c>
      <c r="AF193" s="39" t="str">
        <f>IF(DATA[[#This Row],[SERIE2]]="-","NO CORRESPONDE",IF(W193="NO CORRESPONDE","NO CORRESPONDE",IF(Z193&gt;0,"FACTURADO","PENDIENTE")))</f>
        <v>FACTURADO</v>
      </c>
      <c r="AG193" s="27">
        <f>IFERROR(VLOOKUP(DATA[[#This Row],[COMBINADA]],#REF!,6,0),0)</f>
        <v>0</v>
      </c>
      <c r="AH193" s="125">
        <f>IFERROR(VLOOKUP(DATA[[#This Row],[COMBINADA]],#REF!,9,0),0)/COUNTIFS(DATA[COMBINADA],DATA[[#This Row],[COMBINADA]])</f>
        <v>0</v>
      </c>
      <c r="AI193" s="27">
        <f>IFERROR(VLOOKUP(DATA[[#This Row],[COMBINADA]],#REF!,6,0),0)</f>
        <v>0</v>
      </c>
      <c r="AJ193" s="125">
        <f>IFERROR(VLOOKUP(DATA[[#This Row],[COMBINADA]],#REF!,9,0),0)/COUNTIFS(DATA[COMBINADA],DATA[[#This Row],[COMBINADA]])</f>
        <v>0</v>
      </c>
      <c r="AK193" s="27">
        <f>IFERROR(VLOOKUP(DATA[[#This Row],[COMBINADA]],#REF!,6,0),0)</f>
        <v>0</v>
      </c>
      <c r="AL193" s="125">
        <f>IFERROR(VLOOKUP(DATA[[#This Row],[COMBINADA]],#REF!,9,0),0)/COUNTIFS(DATA[COMBINADA],DATA[[#This Row],[COMBINADA]])</f>
        <v>0</v>
      </c>
      <c r="AM193" s="27">
        <f>IFERROR(VLOOKUP(DATA[[#This Row],[COMBINADA]],#REF!,6,0),0)</f>
        <v>0</v>
      </c>
      <c r="AN193" s="125">
        <f>IFERROR(VLOOKUP(DATA[[#This Row],[COMBINADA]],#REF!,9,0),0)/COUNTIFS(DATA[COMBINADA],DATA[[#This Row],[COMBINADA]])</f>
        <v>0</v>
      </c>
      <c r="AO193" s="27">
        <f>IFERROR(VLOOKUP(DATA[[#This Row],[COMBINADA]],#REF!,6,0),0)</f>
        <v>0</v>
      </c>
      <c r="AP193" s="125">
        <f>IFERROR(VLOOKUP(DATA[[#This Row],[COMBINADA]],#REF!,9,0),0)/COUNTIFS(DATA[COMBINADA],DATA[[#This Row],[COMBINADA]])</f>
        <v>0</v>
      </c>
      <c r="AQ19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730.42</v>
      </c>
      <c r="AR193" s="26" t="str">
        <f>IFERROR(IF(DATA[[#This Row],[estado_fact]]="FACTURADO",VLOOKUP(DATA[[#This Row],[SERIE2]]&amp;"-"&amp;DATA[[#This Row],[NUMERO]],#REF!,34,0),"NO CORRESPONDE"),"NO CORRESPONDE")</f>
        <v>NO CORRESPONDE</v>
      </c>
      <c r="AS193" s="65" t="str">
        <f>IF(DATA[[#This Row],[fecha_fs]]&gt;0,TEXT(DATA[[#This Row],[fecha_fs]],"Mmmm"),0)</f>
        <v>Febrero</v>
      </c>
      <c r="AT193" s="22" t="str">
        <f>DATA[[#This Row],[SERIE2]]&amp;"-"&amp;DATA[[#This Row],[NUMERO]]</f>
        <v>FE01-557</v>
      </c>
      <c r="AU193" s="28">
        <f>DATA[[#This Row],[TOTAL]]*DATA[[#This Row],[T.C.]]</f>
        <v>692.66</v>
      </c>
      <c r="AV193" s="6">
        <f>DATA[[#This Row],[FECHA DE VAL.]]</f>
        <v>45695</v>
      </c>
      <c r="AW193" s="6">
        <f>DATA[[#This Row],[FECHA DE EMISION]]</f>
        <v>45699</v>
      </c>
      <c r="AX193" s="6">
        <f>DATA[[#This Row],[F1]]</f>
        <v>0</v>
      </c>
      <c r="AY193" s="20">
        <f>IF(AV193-DATA[[#This Row],[fecha_fs]]&lt;0,0,AV193-DATA[[#This Row],[fecha_fs]])</f>
        <v>0</v>
      </c>
      <c r="AZ193" s="20">
        <f t="shared" si="22"/>
        <v>4</v>
      </c>
      <c r="BA193" s="20">
        <f t="shared" si="23"/>
        <v>0</v>
      </c>
      <c r="BB193" s="195">
        <f>IFERROR(SUM(DATA[[#This Row],[fs_val_ttf]:[fact_pago_ttf]]),0)</f>
        <v>4</v>
      </c>
      <c r="BC193" s="185">
        <v>45695</v>
      </c>
      <c r="BD193" s="185">
        <v>45695</v>
      </c>
      <c r="BE193" s="185">
        <v>45699</v>
      </c>
      <c r="BF193" s="185">
        <v>45699</v>
      </c>
      <c r="BG193" s="20">
        <f>IFERROR(IF(BC193-DATA[[#This Row],[fecha_fs]]&lt;0,0,BC193-DATA[[#This Row],[fecha_fs]]),0)</f>
        <v>0</v>
      </c>
      <c r="BH193" s="20">
        <f t="shared" si="18"/>
        <v>0</v>
      </c>
      <c r="BI193" s="20">
        <f t="shared" si="19"/>
        <v>4</v>
      </c>
      <c r="BJ193" s="20">
        <f t="shared" si="20"/>
        <v>0</v>
      </c>
      <c r="BK193" s="218">
        <f>IFERROR(SUM(DATA[[#This Row],[fs_fd_ttd]:[fend_fenf_ttd]]),0)</f>
        <v>4</v>
      </c>
      <c r="BL193" s="20" t="str">
        <f>IF(DATA[[#This Row],[fecha_fs]]&gt;0,TEXT(DATA[[#This Row],[fecha_fs]],"YYYY"),0)</f>
        <v>2025</v>
      </c>
      <c r="BM193" s="221" t="b">
        <v>1</v>
      </c>
      <c r="BN193" s="278">
        <f>COUNTIF(DATA[[#This Row],[tiempo_td]], "&lt;=15")</f>
        <v>1</v>
      </c>
      <c r="BO193" s="222"/>
    </row>
    <row r="194" spans="1:67" ht="30.6" customHeight="1" x14ac:dyDescent="0.25">
      <c r="A194" s="4">
        <v>20100192064</v>
      </c>
      <c r="B194" s="5" t="s">
        <v>60</v>
      </c>
      <c r="C194" s="52" t="s">
        <v>43</v>
      </c>
      <c r="D194" s="4" t="s">
        <v>112</v>
      </c>
      <c r="E194" s="5" t="s">
        <v>1</v>
      </c>
      <c r="F194" s="24">
        <v>45695</v>
      </c>
      <c r="G194" s="7" t="s">
        <v>113</v>
      </c>
      <c r="H194" s="25">
        <f t="shared" si="21"/>
        <v>1</v>
      </c>
      <c r="I194" s="67">
        <v>4087</v>
      </c>
      <c r="J194" s="8" t="s">
        <v>115</v>
      </c>
      <c r="K194" s="9" t="s">
        <v>116</v>
      </c>
      <c r="L194" s="10" t="s">
        <v>117</v>
      </c>
      <c r="M194" s="11">
        <v>810</v>
      </c>
      <c r="N194" s="12" t="s">
        <v>132</v>
      </c>
      <c r="O194" s="6">
        <v>45714</v>
      </c>
      <c r="P194" s="71">
        <v>3315</v>
      </c>
      <c r="Q194" s="14" t="s">
        <v>123</v>
      </c>
      <c r="R194" s="15">
        <f>(DATA[[#This Row],[cantidad_fs]]/1000)*(143+175.34)</f>
        <v>257.85540000000003</v>
      </c>
      <c r="S194" s="15">
        <v>137</v>
      </c>
      <c r="T194" s="15">
        <f>DATA[[#This Row],[C. DF]]+DATA[[#This Row],[C.OPE.]]</f>
        <v>394.85540000000003</v>
      </c>
      <c r="U194" s="15">
        <f>DATA[[#This Row],[SUB TOTAL]]*0.18</f>
        <v>71.073971999999998</v>
      </c>
      <c r="V194" s="15">
        <f>IFERROR(ROUND(DATA[[#This Row],[SUB TOTAL]]+DATA[[#This Row],[IGV]],2),0)</f>
        <v>465.93</v>
      </c>
      <c r="W194" s="16" t="str">
        <f>IF(DATA[[#This Row],[VALORIZACIÓN ]]="-","NO CORRESPONDE",IF(OR(A194=20558226979,A194=10470707866,A194=20111157058,A194=20100226902),"NO CORRESPONDE",IF(J194="Emitida",IF(P194&gt;0,"EMITIDA","PENDIENTE"),"NO CORRESPONDE")))</f>
        <v>EMITIDA</v>
      </c>
      <c r="X194" s="29"/>
      <c r="Y194" s="17" t="s">
        <v>118</v>
      </c>
      <c r="Z194" s="30">
        <v>45716</v>
      </c>
      <c r="AA194" s="10" t="s">
        <v>124</v>
      </c>
      <c r="AB194" s="19">
        <v>579</v>
      </c>
      <c r="AC194" s="20">
        <v>30</v>
      </c>
      <c r="AD194" s="18">
        <f>DATA[[#This Row],[FECHA DE EMISION]]+DATA[[#This Row],[CONDICION DE PAGO]]</f>
        <v>45746</v>
      </c>
      <c r="AE194" s="23" t="e">
        <f>IF(DATA[[#This Row],[MONEDA]]="USD",VLOOKUP(DATA[[#This Row],[COMBINADA]],#REF!,11,0),1)</f>
        <v>#REF!</v>
      </c>
      <c r="AF194" s="39" t="str">
        <f>IF(DATA[[#This Row],[SERIE2]]="-","NO CORRESPONDE",IF(W194="NO CORRESPONDE","NO CORRESPONDE",IF(Z194&gt;0,"FACTURADO","PENDIENTE")))</f>
        <v>FACTURADO</v>
      </c>
      <c r="AG194" s="27">
        <f>IFERROR(VLOOKUP(DATA[[#This Row],[COMBINADA]],#REF!,6,0),0)</f>
        <v>0</v>
      </c>
      <c r="AH194" s="125">
        <f>IFERROR(VLOOKUP(DATA[[#This Row],[COMBINADA]],#REF!,9,0),0)/COUNTIFS(DATA[COMBINADA],DATA[[#This Row],[COMBINADA]])</f>
        <v>0</v>
      </c>
      <c r="AI194" s="27">
        <f>IFERROR(VLOOKUP(DATA[[#This Row],[COMBINADA]],#REF!,6,0),0)</f>
        <v>0</v>
      </c>
      <c r="AJ194" s="125">
        <f>IFERROR(VLOOKUP(DATA[[#This Row],[COMBINADA]],#REF!,9,0),0)/COUNTIFS(DATA[COMBINADA],DATA[[#This Row],[COMBINADA]])</f>
        <v>0</v>
      </c>
      <c r="AK194" s="27">
        <f>IFERROR(VLOOKUP(DATA[[#This Row],[COMBINADA]],#REF!,6,0),0)</f>
        <v>0</v>
      </c>
      <c r="AL194" s="125">
        <f>IFERROR(VLOOKUP(DATA[[#This Row],[COMBINADA]],#REF!,9,0),0)/COUNTIFS(DATA[COMBINADA],DATA[[#This Row],[COMBINADA]])</f>
        <v>0</v>
      </c>
      <c r="AM194" s="27">
        <f>IFERROR(VLOOKUP(DATA[[#This Row],[COMBINADA]],#REF!,6,0),0)</f>
        <v>0</v>
      </c>
      <c r="AN194" s="125">
        <f>IFERROR(VLOOKUP(DATA[[#This Row],[COMBINADA]],#REF!,9,0),0)/COUNTIFS(DATA[COMBINADA],DATA[[#This Row],[COMBINADA]])</f>
        <v>0</v>
      </c>
      <c r="AO194" s="27">
        <f>IFERROR(VLOOKUP(DATA[[#This Row],[COMBINADA]],#REF!,6,0),0)</f>
        <v>0</v>
      </c>
      <c r="AP194" s="125">
        <f>IFERROR(VLOOKUP(DATA[[#This Row],[COMBINADA]],#REF!,9,0),0)/COUNTIFS(DATA[COMBINADA],DATA[[#This Row],[COMBINADA]])</f>
        <v>0</v>
      </c>
      <c r="AQ19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603.34285714285716</v>
      </c>
      <c r="AR194" s="26" t="str">
        <f>IFERROR(IF(DATA[[#This Row],[estado_fact]]="FACTURADO",VLOOKUP(DATA[[#This Row],[SERIE2]]&amp;"-"&amp;DATA[[#This Row],[NUMERO]],#REF!,34,0),"NO CORRESPONDE"),"NO CORRESPONDE")</f>
        <v>NO CORRESPONDE</v>
      </c>
      <c r="AS194" s="65" t="str">
        <f>IF(DATA[[#This Row],[fecha_fs]]&gt;0,TEXT(DATA[[#This Row],[fecha_fs]],"Mmmm"),0)</f>
        <v>Febrero</v>
      </c>
      <c r="AT194" s="22" t="str">
        <f>DATA[[#This Row],[SERIE2]]&amp;"-"&amp;DATA[[#This Row],[NUMERO]]</f>
        <v>FE01-579</v>
      </c>
      <c r="AU194" s="28" t="e">
        <f>DATA[[#This Row],[TOTAL]]*DATA[[#This Row],[T.C.]]</f>
        <v>#REF!</v>
      </c>
      <c r="AV194" s="6">
        <f>DATA[[#This Row],[FECHA DE VAL.]]</f>
        <v>45714</v>
      </c>
      <c r="AW194" s="6">
        <f>DATA[[#This Row],[FECHA DE EMISION]]</f>
        <v>45716</v>
      </c>
      <c r="AX194" s="6">
        <f>DATA[[#This Row],[F1]]</f>
        <v>0</v>
      </c>
      <c r="AY194" s="20">
        <f>IF(AV194-DATA[[#This Row],[fecha_fs]]&lt;0,0,AV194-DATA[[#This Row],[fecha_fs]])</f>
        <v>19</v>
      </c>
      <c r="AZ194" s="20">
        <f t="shared" si="22"/>
        <v>2</v>
      </c>
      <c r="BA194" s="20">
        <f t="shared" si="23"/>
        <v>0</v>
      </c>
      <c r="BB194" s="195">
        <f>IFERROR(SUM(DATA[[#This Row],[fs_val_ttf]:[fact_pago_ttf]]),0)</f>
        <v>21</v>
      </c>
      <c r="BC194" s="185">
        <v>45709</v>
      </c>
      <c r="BD194" s="185">
        <v>45728</v>
      </c>
      <c r="BE194" s="185">
        <v>45727</v>
      </c>
      <c r="BF194" s="185">
        <v>45760</v>
      </c>
      <c r="BG194" s="20">
        <f>IFERROR(IF(BC194-DATA[[#This Row],[fecha_fs]]&lt;0,0,BC194-DATA[[#This Row],[fecha_fs]]),0)</f>
        <v>14</v>
      </c>
      <c r="BH194" s="20">
        <f t="shared" si="18"/>
        <v>19</v>
      </c>
      <c r="BI194" s="20">
        <f t="shared" si="19"/>
        <v>0</v>
      </c>
      <c r="BJ194" s="20">
        <f t="shared" si="20"/>
        <v>33</v>
      </c>
      <c r="BK194" s="218">
        <f>IFERROR(SUM(DATA[[#This Row],[fs_fd_ttd]:[fend_fenf_ttd]]),0)</f>
        <v>66</v>
      </c>
      <c r="BL194" s="20" t="str">
        <f>IF(DATA[[#This Row],[fecha_fs]]&gt;0,TEXT(DATA[[#This Row],[fecha_fs]],"YYYY"),0)</f>
        <v>2025</v>
      </c>
      <c r="BM194" s="221" t="b">
        <v>1</v>
      </c>
      <c r="BN194" s="278">
        <f>COUNTIF(DATA[[#This Row],[tiempo_td]], "&lt;=15")</f>
        <v>0</v>
      </c>
      <c r="BO194" s="222"/>
    </row>
    <row r="195" spans="1:67" ht="30.6" customHeight="1" x14ac:dyDescent="0.25">
      <c r="A195" s="4">
        <v>20100055237</v>
      </c>
      <c r="B195" s="5" t="s">
        <v>21</v>
      </c>
      <c r="C195" s="52" t="s">
        <v>138</v>
      </c>
      <c r="D195" s="4" t="s">
        <v>139</v>
      </c>
      <c r="E195" s="5" t="s">
        <v>23</v>
      </c>
      <c r="F195" s="24">
        <v>45699</v>
      </c>
      <c r="G195" s="7" t="s">
        <v>113</v>
      </c>
      <c r="H195" s="25">
        <f t="shared" si="21"/>
        <v>1</v>
      </c>
      <c r="I195" s="67">
        <v>4088</v>
      </c>
      <c r="J195" s="8" t="s">
        <v>115</v>
      </c>
      <c r="K195" s="9" t="s">
        <v>121</v>
      </c>
      <c r="L195" s="10" t="s">
        <v>117</v>
      </c>
      <c r="M195" s="11">
        <v>70</v>
      </c>
      <c r="N195" s="12" t="s">
        <v>125</v>
      </c>
      <c r="O195" s="6">
        <v>45716</v>
      </c>
      <c r="P195" s="54">
        <v>3330</v>
      </c>
      <c r="Q195" s="14" t="s">
        <v>85</v>
      </c>
      <c r="R195" s="15"/>
      <c r="S195" s="56">
        <v>297.92</v>
      </c>
      <c r="T195" s="15">
        <f>DATA[[#This Row],[C. DF]]+DATA[[#This Row],[C.OPE.]]</f>
        <v>297.92</v>
      </c>
      <c r="U195" s="15">
        <f>DATA[[#This Row],[SUB TOTAL]]*0.18</f>
        <v>53.625599999999999</v>
      </c>
      <c r="V195" s="15">
        <f>IFERROR(ROUND(DATA[[#This Row],[SUB TOTAL]]+DATA[[#This Row],[IGV]],2),0)</f>
        <v>351.55</v>
      </c>
      <c r="W195" s="16" t="str">
        <f>IF(DATA[[#This Row],[VALORIZACIÓN ]]="-","NO CORRESPONDE",IF(OR(A195=20558226979,A195=10470707866,A195=20111157058,A195=20100226902),"NO CORRESPONDE",IF(J195="Emitida",IF(P195&gt;0,"EMITIDA","PENDIENTE"),"NO CORRESPONDE")))</f>
        <v>EMITIDA</v>
      </c>
      <c r="X195" s="29"/>
      <c r="Y195" s="17" t="s">
        <v>118</v>
      </c>
      <c r="Z195" s="30">
        <v>45722</v>
      </c>
      <c r="AA195" s="10" t="s">
        <v>124</v>
      </c>
      <c r="AB195" s="19">
        <v>591</v>
      </c>
      <c r="AC195" s="20">
        <v>30</v>
      </c>
      <c r="AD195" s="18">
        <f>DATA[[#This Row],[FECHA DE EMISION]]+DATA[[#This Row],[CONDICION DE PAGO]]</f>
        <v>45752</v>
      </c>
      <c r="AE195" s="23">
        <f>IF(DATA[[#This Row],[MONEDA]]="USD",VLOOKUP(DATA[[#This Row],[COMBINADA]],#REF!,11,0),1)</f>
        <v>1</v>
      </c>
      <c r="AF195" s="39" t="str">
        <f>IF(DATA[[#This Row],[SERIE2]]="-","NO CORRESPONDE",IF(W195="NO CORRESPONDE","NO CORRESPONDE",IF(Z195&gt;0,"FACTURADO","PENDIENTE")))</f>
        <v>FACTURADO</v>
      </c>
      <c r="AG195" s="27">
        <f>IFERROR(VLOOKUP(DATA[[#This Row],[COMBINADA]],#REF!,6,0),0)</f>
        <v>0</v>
      </c>
      <c r="AH195" s="125">
        <f>IFERROR(VLOOKUP(DATA[[#This Row],[COMBINADA]],#REF!,9,0),0)/COUNTIFS(DATA[COMBINADA],DATA[[#This Row],[COMBINADA]])</f>
        <v>0</v>
      </c>
      <c r="AI195" s="27">
        <f>IFERROR(VLOOKUP(DATA[[#This Row],[COMBINADA]],#REF!,6,0),0)</f>
        <v>0</v>
      </c>
      <c r="AJ195" s="125">
        <f>IFERROR(VLOOKUP(DATA[[#This Row],[COMBINADA]],#REF!,9,0),0)/COUNTIFS(DATA[COMBINADA],DATA[[#This Row],[COMBINADA]])</f>
        <v>0</v>
      </c>
      <c r="AK195" s="27">
        <f>IFERROR(VLOOKUP(DATA[[#This Row],[COMBINADA]],#REF!,6,0),0)</f>
        <v>0</v>
      </c>
      <c r="AL195" s="125">
        <f>IFERROR(VLOOKUP(DATA[[#This Row],[COMBINADA]],#REF!,9,0),0)/COUNTIFS(DATA[COMBINADA],DATA[[#This Row],[COMBINADA]])</f>
        <v>0</v>
      </c>
      <c r="AM195" s="27">
        <f>IFERROR(VLOOKUP(DATA[[#This Row],[COMBINADA]],#REF!,6,0),0)</f>
        <v>0</v>
      </c>
      <c r="AN195" s="125">
        <f>IFERROR(VLOOKUP(DATA[[#This Row],[COMBINADA]],#REF!,9,0),0)/COUNTIFS(DATA[COMBINADA],DATA[[#This Row],[COMBINADA]])</f>
        <v>0</v>
      </c>
      <c r="AO195" s="27">
        <f>IFERROR(VLOOKUP(DATA[[#This Row],[COMBINADA]],#REF!,6,0),0)</f>
        <v>0</v>
      </c>
      <c r="AP195" s="125">
        <f>IFERROR(VLOOKUP(DATA[[#This Row],[COMBINADA]],#REF!,9,0),0)/COUNTIFS(DATA[COMBINADA],DATA[[#This Row],[COMBINADA]])</f>
        <v>0</v>
      </c>
      <c r="AQ19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95" s="26" t="str">
        <f>IFERROR(IF(DATA[[#This Row],[estado_fact]]="FACTURADO",VLOOKUP(DATA[[#This Row],[SERIE2]]&amp;"-"&amp;DATA[[#This Row],[NUMERO]],#REF!,34,0),"NO CORRESPONDE"),"NO CORRESPONDE")</f>
        <v>NO CORRESPONDE</v>
      </c>
      <c r="AS195" s="65" t="str">
        <f>IF(DATA[[#This Row],[fecha_fs]]&gt;0,TEXT(DATA[[#This Row],[fecha_fs]],"Mmmm"),0)</f>
        <v>Febrero</v>
      </c>
      <c r="AT195" s="22" t="str">
        <f>DATA[[#This Row],[SERIE2]]&amp;"-"&amp;DATA[[#This Row],[NUMERO]]</f>
        <v>FE01-591</v>
      </c>
      <c r="AU195" s="28">
        <f>DATA[[#This Row],[TOTAL]]*DATA[[#This Row],[T.C.]]</f>
        <v>351.55</v>
      </c>
      <c r="AV195" s="6">
        <f>DATA[[#This Row],[FECHA DE VAL.]]</f>
        <v>45716</v>
      </c>
      <c r="AW195" s="6">
        <f>DATA[[#This Row],[FECHA DE EMISION]]</f>
        <v>45722</v>
      </c>
      <c r="AX195" s="6">
        <f>DATA[[#This Row],[F1]]</f>
        <v>0</v>
      </c>
      <c r="AY195" s="20">
        <f>IF(AV195-DATA[[#This Row],[fecha_fs]]&lt;0,0,AV195-DATA[[#This Row],[fecha_fs]])</f>
        <v>17</v>
      </c>
      <c r="AZ195" s="20">
        <f t="shared" si="22"/>
        <v>6</v>
      </c>
      <c r="BA195" s="20">
        <f t="shared" si="23"/>
        <v>0</v>
      </c>
      <c r="BB195" s="195">
        <f>IFERROR(SUM(DATA[[#This Row],[fs_val_ttf]:[fact_pago_ttf]]),0)</f>
        <v>23</v>
      </c>
      <c r="BC195" s="185">
        <v>45699</v>
      </c>
      <c r="BD195" s="185">
        <v>45699</v>
      </c>
      <c r="BE195" s="185">
        <v>45719</v>
      </c>
      <c r="BF195" s="185">
        <v>45719</v>
      </c>
      <c r="BG195" s="20">
        <f>IFERROR(IF(BC195-DATA[[#This Row],[fecha_fs]]&lt;0,0,BC195-DATA[[#This Row],[fecha_fs]]),0)</f>
        <v>0</v>
      </c>
      <c r="BH195" s="20">
        <f t="shared" si="18"/>
        <v>0</v>
      </c>
      <c r="BI195" s="20">
        <f t="shared" si="19"/>
        <v>20</v>
      </c>
      <c r="BJ195" s="20">
        <f t="shared" si="20"/>
        <v>0</v>
      </c>
      <c r="BK195" s="218">
        <f>IFERROR(SUM(DATA[[#This Row],[fs_fd_ttd]:[fend_fenf_ttd]]),0)</f>
        <v>20</v>
      </c>
      <c r="BL195" s="20" t="str">
        <f>IF(DATA[[#This Row],[fecha_fs]]&gt;0,TEXT(DATA[[#This Row],[fecha_fs]],"YYYY"),0)</f>
        <v>2025</v>
      </c>
      <c r="BM195" s="221" t="b">
        <v>1</v>
      </c>
      <c r="BN195" s="278">
        <f>COUNTIF(DATA[[#This Row],[tiempo_td]], "&lt;=15")</f>
        <v>0</v>
      </c>
      <c r="BO195" s="222"/>
    </row>
    <row r="196" spans="1:67" ht="30" customHeight="1" x14ac:dyDescent="0.25">
      <c r="A196" s="4">
        <v>20100226902</v>
      </c>
      <c r="B196" s="5" t="s">
        <v>24</v>
      </c>
      <c r="C196" s="52" t="s">
        <v>18</v>
      </c>
      <c r="D196" s="4" t="s">
        <v>120</v>
      </c>
      <c r="E196" s="5" t="s">
        <v>3</v>
      </c>
      <c r="F196" s="24">
        <v>45698</v>
      </c>
      <c r="G196" s="7" t="s">
        <v>113</v>
      </c>
      <c r="H196" s="25">
        <f t="shared" si="21"/>
        <v>1</v>
      </c>
      <c r="I196" s="67">
        <v>4089</v>
      </c>
      <c r="J196" s="8" t="s">
        <v>115</v>
      </c>
      <c r="K196" s="9" t="s">
        <v>121</v>
      </c>
      <c r="L196" s="10" t="s">
        <v>117</v>
      </c>
      <c r="M196" s="11">
        <v>430</v>
      </c>
      <c r="N196" s="12" t="s">
        <v>127</v>
      </c>
      <c r="O196" s="40"/>
      <c r="P196" s="41" t="s">
        <v>114</v>
      </c>
      <c r="Q196" s="42"/>
      <c r="R196" s="43"/>
      <c r="S196" s="43"/>
      <c r="T196" s="43">
        <f>DATA[[#This Row],[C. DF]]+DATA[[#This Row],[C.OPE.]]</f>
        <v>0</v>
      </c>
      <c r="U196" s="43">
        <f>DATA[[#This Row],[SUB TOTAL]]*0.18</f>
        <v>0</v>
      </c>
      <c r="V196" s="43">
        <f>IFERROR(ROUND(DATA[[#This Row],[SUB TOTAL]]+DATA[[#This Row],[IGV]],2),0)</f>
        <v>0</v>
      </c>
      <c r="W196" s="58" t="str">
        <f>IF(DATA[[#This Row],[VALORIZACIÓN ]]="-","NO CORRESPONDE",IF(OR(A196=20558226979,A196=10470707866,A196=20111157058,A196=20100226902),"NO CORRESPONDE",IF(J196="Emitida",IF(P196&gt;0,"EMITIDA","PENDIENTE"),"NO CORRESPONDE")))</f>
        <v>NO CORRESPONDE</v>
      </c>
      <c r="X196" s="45"/>
      <c r="Y196" s="58" t="s">
        <v>128</v>
      </c>
      <c r="Z196" s="46"/>
      <c r="AA196" s="47"/>
      <c r="AB196" s="48"/>
      <c r="AC196" s="49"/>
      <c r="AD196" s="50">
        <f>DATA[[#This Row],[FECHA DE EMISION]]+DATA[[#This Row],[CONDICION DE PAGO]]</f>
        <v>0</v>
      </c>
      <c r="AE196" s="23">
        <f>IF(DATA[[#This Row],[MONEDA]]="USD",VLOOKUP(DATA[[#This Row],[COMBINADA]],#REF!,11,0),1)</f>
        <v>1</v>
      </c>
      <c r="AF196" s="39" t="str">
        <f>IF(DATA[[#This Row],[SERIE2]]="-","NO CORRESPONDE",IF(W196="NO CORRESPONDE","NO CORRESPONDE",IF(Z196&gt;0,"FACTURADO","PENDIENTE")))</f>
        <v>NO CORRESPONDE</v>
      </c>
      <c r="AG196" s="60">
        <f>IFERROR(VLOOKUP(DATA[[#This Row],[COMBINADA]],#REF!,6,0),0)</f>
        <v>0</v>
      </c>
      <c r="AH196" s="126">
        <f>IFERROR(VLOOKUP(DATA[[#This Row],[COMBINADA]],#REF!,9,0),0)/COUNTIFS(DATA[COMBINADA],DATA[[#This Row],[COMBINADA]])</f>
        <v>0</v>
      </c>
      <c r="AI196" s="60">
        <f>IFERROR(VLOOKUP(DATA[[#This Row],[COMBINADA]],#REF!,6,0),0)</f>
        <v>0</v>
      </c>
      <c r="AJ196" s="126">
        <f>IFERROR(VLOOKUP(DATA[[#This Row],[COMBINADA]],#REF!,9,0),0)/COUNTIFS(DATA[COMBINADA],DATA[[#This Row],[COMBINADA]])</f>
        <v>0</v>
      </c>
      <c r="AK196" s="60">
        <f>IFERROR(VLOOKUP(DATA[[#This Row],[COMBINADA]],#REF!,6,0),0)</f>
        <v>0</v>
      </c>
      <c r="AL196" s="126">
        <f>IFERROR(VLOOKUP(DATA[[#This Row],[COMBINADA]],#REF!,9,0),0)/COUNTIFS(DATA[COMBINADA],DATA[[#This Row],[COMBINADA]])</f>
        <v>0</v>
      </c>
      <c r="AM196" s="60">
        <f>IFERROR(VLOOKUP(DATA[[#This Row],[COMBINADA]],#REF!,6,0),0)</f>
        <v>0</v>
      </c>
      <c r="AN196" s="126">
        <f>IFERROR(VLOOKUP(DATA[[#This Row],[COMBINADA]],#REF!,9,0),0)/COUNTIFS(DATA[COMBINADA],DATA[[#This Row],[COMBINADA]])</f>
        <v>0</v>
      </c>
      <c r="AO196" s="60">
        <f>IFERROR(VLOOKUP(DATA[[#This Row],[COMBINADA]],#REF!,6,0),0)</f>
        <v>0</v>
      </c>
      <c r="AP196" s="126">
        <f>IFERROR(VLOOKUP(DATA[[#This Row],[COMBINADA]],#REF!,9,0),0)/COUNTIFS(DATA[COMBINADA],DATA[[#This Row],[COMBINADA]])</f>
        <v>0</v>
      </c>
      <c r="AQ196"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96" s="22" t="str">
        <f>IFERROR(IF(DATA[[#This Row],[estado_fact]]="FACTURADO",VLOOKUP(DATA[[#This Row],[SERIE2]]&amp;"-"&amp;DATA[[#This Row],[NUMERO]],#REF!,34,0),"NO CORRESPONDE"),"NO CORRESPONDE")</f>
        <v>NO CORRESPONDE</v>
      </c>
      <c r="AS196" s="65" t="str">
        <f>IF(DATA[[#This Row],[fecha_fs]]&gt;0,TEXT(DATA[[#This Row],[fecha_fs]],"Mmmm"),0)</f>
        <v>Febrero</v>
      </c>
      <c r="AT196" s="22" t="str">
        <f>DATA[[#This Row],[SERIE2]]&amp;"-"&amp;DATA[[#This Row],[NUMERO]]</f>
        <v>-</v>
      </c>
      <c r="AU196" s="28">
        <f>DATA[[#This Row],[TOTAL]]*DATA[[#This Row],[T.C.]]</f>
        <v>0</v>
      </c>
      <c r="AV196" s="6">
        <f>DATA[[#This Row],[FECHA DE VAL.]]</f>
        <v>0</v>
      </c>
      <c r="AW196" s="6">
        <f>DATA[[#This Row],[FECHA DE EMISION]]</f>
        <v>0</v>
      </c>
      <c r="AX196" s="6">
        <f>DATA[[#This Row],[F1]]</f>
        <v>0</v>
      </c>
      <c r="AY196" s="20">
        <f>IF(AV196-DATA[[#This Row],[fecha_fs]]&lt;0,0,AV196-DATA[[#This Row],[fecha_fs]])</f>
        <v>0</v>
      </c>
      <c r="AZ196" s="20">
        <f t="shared" si="22"/>
        <v>0</v>
      </c>
      <c r="BA196" s="20">
        <f t="shared" si="23"/>
        <v>0</v>
      </c>
      <c r="BB196" s="195">
        <f>IFERROR(SUM(DATA[[#This Row],[fs_val_ttf]:[fact_pago_ttf]]),0)</f>
        <v>0</v>
      </c>
      <c r="BC196" s="185">
        <v>45698</v>
      </c>
      <c r="BD196" s="185">
        <v>45698</v>
      </c>
      <c r="BE196" s="185">
        <v>45723</v>
      </c>
      <c r="BF196" s="185">
        <v>45723</v>
      </c>
      <c r="BG196" s="20">
        <f>IFERROR(IF(BC196-DATA[[#This Row],[fecha_fs]]&lt;0,0,BC196-DATA[[#This Row],[fecha_fs]]),0)</f>
        <v>0</v>
      </c>
      <c r="BH196" s="20">
        <f t="shared" si="18"/>
        <v>0</v>
      </c>
      <c r="BI196" s="20">
        <f t="shared" si="19"/>
        <v>25</v>
      </c>
      <c r="BJ196" s="20">
        <f t="shared" si="20"/>
        <v>0</v>
      </c>
      <c r="BK196" s="218">
        <f>IFERROR(SUM(DATA[[#This Row],[fs_fd_ttd]:[fend_fenf_ttd]]),0)</f>
        <v>25</v>
      </c>
      <c r="BL196" s="20" t="str">
        <f>IF(DATA[[#This Row],[fecha_fs]]&gt;0,TEXT(DATA[[#This Row],[fecha_fs]],"YYYY"),0)</f>
        <v>2025</v>
      </c>
      <c r="BM196" s="221" t="b">
        <v>1</v>
      </c>
      <c r="BN196" s="278">
        <f>COUNTIF(DATA[[#This Row],[tiempo_td]], "&lt;=15")</f>
        <v>0</v>
      </c>
      <c r="BO196" s="222"/>
    </row>
    <row r="197" spans="1:67" ht="30.6" customHeight="1" x14ac:dyDescent="0.25">
      <c r="A197" s="4">
        <v>20100235138</v>
      </c>
      <c r="B197" s="5" t="s">
        <v>58</v>
      </c>
      <c r="C197" s="52" t="s">
        <v>18</v>
      </c>
      <c r="D197" s="4" t="s">
        <v>112</v>
      </c>
      <c r="E197" s="5" t="s">
        <v>1</v>
      </c>
      <c r="F197" s="24">
        <v>45699</v>
      </c>
      <c r="G197" s="7" t="s">
        <v>113</v>
      </c>
      <c r="H197" s="25">
        <f t="shared" si="21"/>
        <v>1</v>
      </c>
      <c r="I197" s="67">
        <v>4090</v>
      </c>
      <c r="J197" s="8" t="s">
        <v>115</v>
      </c>
      <c r="K197" s="9" t="s">
        <v>116</v>
      </c>
      <c r="L197" s="10" t="s">
        <v>117</v>
      </c>
      <c r="M197" s="11">
        <v>380</v>
      </c>
      <c r="N197" s="12" t="s">
        <v>125</v>
      </c>
      <c r="O197" s="6">
        <v>45700</v>
      </c>
      <c r="P197" s="82">
        <v>3285</v>
      </c>
      <c r="Q197" s="14" t="s">
        <v>85</v>
      </c>
      <c r="R197" s="15">
        <f>DATA[[#This Row],[cantidad_fs]]*0.87</f>
        <v>330.6</v>
      </c>
      <c r="S197" s="56">
        <f>749/2</f>
        <v>374.5</v>
      </c>
      <c r="T197" s="15">
        <f>DATA[[#This Row],[C. DF]]+DATA[[#This Row],[C.OPE.]]</f>
        <v>705.1</v>
      </c>
      <c r="U197" s="15">
        <f>DATA[[#This Row],[SUB TOTAL]]*0.18</f>
        <v>126.91800000000001</v>
      </c>
      <c r="V197" s="15">
        <f>IFERROR(ROUND(DATA[[#This Row],[SUB TOTAL]]+DATA[[#This Row],[IGV]],2),0)</f>
        <v>832.02</v>
      </c>
      <c r="W197" s="16" t="str">
        <f>IF(DATA[[#This Row],[VALORIZACIÓN ]]="-","NO CORRESPONDE",IF(OR(A197=20558226979,A197=10470707866,A197=20111157058,A197=20100226902),"NO CORRESPONDE",IF(J197="Emitida",IF(P197&gt;0,"EMITIDA","PENDIENTE"),"NO CORRESPONDE")))</f>
        <v>EMITIDA</v>
      </c>
      <c r="X197" s="29"/>
      <c r="Y197" s="17" t="s">
        <v>118</v>
      </c>
      <c r="Z197" s="30">
        <v>45705</v>
      </c>
      <c r="AA197" s="10" t="s">
        <v>124</v>
      </c>
      <c r="AB197" s="19">
        <v>565</v>
      </c>
      <c r="AC197" s="20">
        <v>15</v>
      </c>
      <c r="AD197" s="18">
        <f>DATA[[#This Row],[FECHA DE EMISION]]+DATA[[#This Row],[CONDICION DE PAGO]]</f>
        <v>45720</v>
      </c>
      <c r="AE197" s="23">
        <f>IF(DATA[[#This Row],[MONEDA]]="USD",VLOOKUP(DATA[[#This Row],[COMBINADA]],#REF!,11,0),1)</f>
        <v>1</v>
      </c>
      <c r="AF197" s="39" t="str">
        <f>IF(DATA[[#This Row],[SERIE2]]="-","NO CORRESPONDE",IF(W197="NO CORRESPONDE","NO CORRESPONDE",IF(Z197&gt;0,"FACTURADO","PENDIENTE")))</f>
        <v>FACTURADO</v>
      </c>
      <c r="AG197" s="27">
        <f>IFERROR(VLOOKUP(DATA[[#This Row],[COMBINADA]],#REF!,6,0),0)</f>
        <v>0</v>
      </c>
      <c r="AH197" s="125">
        <f>IFERROR(VLOOKUP(DATA[[#This Row],[COMBINADA]],#REF!,9,0),0)/COUNTIFS(DATA[COMBINADA],DATA[[#This Row],[COMBINADA]])</f>
        <v>0</v>
      </c>
      <c r="AI197" s="27">
        <f>IFERROR(VLOOKUP(DATA[[#This Row],[COMBINADA]],#REF!,6,0),0)</f>
        <v>0</v>
      </c>
      <c r="AJ197" s="125">
        <f>IFERROR(VLOOKUP(DATA[[#This Row],[COMBINADA]],#REF!,9,0),0)/COUNTIFS(DATA[COMBINADA],DATA[[#This Row],[COMBINADA]])</f>
        <v>0</v>
      </c>
      <c r="AK197" s="27">
        <f>IFERROR(VLOOKUP(DATA[[#This Row],[COMBINADA]],#REF!,6,0),0)</f>
        <v>0</v>
      </c>
      <c r="AL197" s="125">
        <f>IFERROR(VLOOKUP(DATA[[#This Row],[COMBINADA]],#REF!,9,0),0)/COUNTIFS(DATA[COMBINADA],DATA[[#This Row],[COMBINADA]])</f>
        <v>0</v>
      </c>
      <c r="AM197" s="27">
        <f>IFERROR(VLOOKUP(DATA[[#This Row],[COMBINADA]],#REF!,6,0),0)</f>
        <v>0</v>
      </c>
      <c r="AN197" s="125">
        <f>IFERROR(VLOOKUP(DATA[[#This Row],[COMBINADA]],#REF!,9,0),0)/COUNTIFS(DATA[COMBINADA],DATA[[#This Row],[COMBINADA]])</f>
        <v>0</v>
      </c>
      <c r="AO197" s="27">
        <f>IFERROR(VLOOKUP(DATA[[#This Row],[COMBINADA]],#REF!,6,0),0)</f>
        <v>0</v>
      </c>
      <c r="AP197" s="125">
        <f>IFERROR(VLOOKUP(DATA[[#This Row],[COMBINADA]],#REF!,9,0),0)/COUNTIFS(DATA[COMBINADA],DATA[[#This Row],[COMBINADA]])</f>
        <v>0</v>
      </c>
      <c r="AQ19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770.89499999999998</v>
      </c>
      <c r="AR197" s="26" t="str">
        <f>IFERROR(IF(DATA[[#This Row],[estado_fact]]="FACTURADO",VLOOKUP(DATA[[#This Row],[SERIE2]]&amp;"-"&amp;DATA[[#This Row],[NUMERO]],#REF!,34,0),"NO CORRESPONDE"),"NO CORRESPONDE")</f>
        <v>NO CORRESPONDE</v>
      </c>
      <c r="AS197" s="65" t="str">
        <f>IF(DATA[[#This Row],[fecha_fs]]&gt;0,TEXT(DATA[[#This Row],[fecha_fs]],"Mmmm"),0)</f>
        <v>Febrero</v>
      </c>
      <c r="AT197" s="22" t="str">
        <f>DATA[[#This Row],[SERIE2]]&amp;"-"&amp;DATA[[#This Row],[NUMERO]]</f>
        <v>FE01-565</v>
      </c>
      <c r="AU197" s="28">
        <f>DATA[[#This Row],[TOTAL]]*DATA[[#This Row],[T.C.]]</f>
        <v>832.02</v>
      </c>
      <c r="AV197" s="6">
        <f>DATA[[#This Row],[FECHA DE VAL.]]</f>
        <v>45700</v>
      </c>
      <c r="AW197" s="6">
        <f>DATA[[#This Row],[FECHA DE EMISION]]</f>
        <v>45705</v>
      </c>
      <c r="AX197" s="6">
        <f>DATA[[#This Row],[F1]]</f>
        <v>0</v>
      </c>
      <c r="AY197" s="20">
        <f>IF(AV197-DATA[[#This Row],[fecha_fs]]&lt;0,0,AV197-DATA[[#This Row],[fecha_fs]])</f>
        <v>1</v>
      </c>
      <c r="AZ197" s="20">
        <f t="shared" si="22"/>
        <v>5</v>
      </c>
      <c r="BA197" s="20">
        <f t="shared" si="23"/>
        <v>0</v>
      </c>
      <c r="BB197" s="195">
        <f>IFERROR(SUM(DATA[[#This Row],[fs_val_ttf]:[fact_pago_ttf]]),0)</f>
        <v>6</v>
      </c>
      <c r="BC197" s="185">
        <v>45709</v>
      </c>
      <c r="BD197" s="185">
        <v>45715</v>
      </c>
      <c r="BE197" s="185">
        <v>45726</v>
      </c>
      <c r="BF197" s="185">
        <v>45750</v>
      </c>
      <c r="BG197" s="20">
        <f>IFERROR(IF(BC197-DATA[[#This Row],[fecha_fs]]&lt;0,0,BC197-DATA[[#This Row],[fecha_fs]]),0)</f>
        <v>10</v>
      </c>
      <c r="BH197" s="20">
        <f t="shared" si="18"/>
        <v>6</v>
      </c>
      <c r="BI197" s="20">
        <f t="shared" si="19"/>
        <v>11</v>
      </c>
      <c r="BJ197" s="20">
        <f t="shared" si="20"/>
        <v>24</v>
      </c>
      <c r="BK197" s="218">
        <f>IFERROR(SUM(DATA[[#This Row],[fs_fd_ttd]:[fend_fenf_ttd]]),0)</f>
        <v>51</v>
      </c>
      <c r="BL197" s="20" t="str">
        <f>IF(DATA[[#This Row],[fecha_fs]]&gt;0,TEXT(DATA[[#This Row],[fecha_fs]],"YYYY"),0)</f>
        <v>2025</v>
      </c>
      <c r="BM197" s="221" t="b">
        <v>1</v>
      </c>
      <c r="BN197" s="278">
        <f>COUNTIF(DATA[[#This Row],[tiempo_td]], "&lt;=15")</f>
        <v>0</v>
      </c>
      <c r="BO197" s="222"/>
    </row>
    <row r="198" spans="1:67" ht="30.6" customHeight="1" x14ac:dyDescent="0.25">
      <c r="A198" s="4">
        <v>20100192064</v>
      </c>
      <c r="B198" s="5" t="s">
        <v>60</v>
      </c>
      <c r="C198" s="52" t="s">
        <v>43</v>
      </c>
      <c r="D198" s="4" t="s">
        <v>120</v>
      </c>
      <c r="E198" s="5" t="s">
        <v>3</v>
      </c>
      <c r="F198" s="24">
        <v>45698</v>
      </c>
      <c r="G198" s="7" t="s">
        <v>113</v>
      </c>
      <c r="H198" s="25">
        <f t="shared" si="21"/>
        <v>1</v>
      </c>
      <c r="I198" s="67">
        <v>4091</v>
      </c>
      <c r="J198" s="8" t="s">
        <v>115</v>
      </c>
      <c r="K198" s="9" t="s">
        <v>121</v>
      </c>
      <c r="L198" s="10" t="s">
        <v>117</v>
      </c>
      <c r="M198" s="11">
        <v>520</v>
      </c>
      <c r="N198" s="12" t="s">
        <v>132</v>
      </c>
      <c r="O198" s="6">
        <v>45714</v>
      </c>
      <c r="P198" s="71">
        <v>3314</v>
      </c>
      <c r="Q198" s="14" t="s">
        <v>123</v>
      </c>
      <c r="R198" s="56">
        <f>(DATA[[#This Row],[cantidad_fs]]/1000)*(47+174.34)</f>
        <v>115.0968</v>
      </c>
      <c r="S198" s="56">
        <v>137</v>
      </c>
      <c r="T198" s="15">
        <f>DATA[[#This Row],[C. DF]]+DATA[[#This Row],[C.OPE.]]</f>
        <v>252.0968</v>
      </c>
      <c r="U198" s="15">
        <f>DATA[[#This Row],[SUB TOTAL]]*0.18</f>
        <v>45.377423999999998</v>
      </c>
      <c r="V198" s="15">
        <f>IFERROR(ROUND(DATA[[#This Row],[SUB TOTAL]]+DATA[[#This Row],[IGV]],2),0)</f>
        <v>297.47000000000003</v>
      </c>
      <c r="W198" s="16" t="str">
        <f>IF(DATA[[#This Row],[VALORIZACIÓN ]]="-","NO CORRESPONDE",IF(OR(A198=20558226979,A198=10470707866,A198=20111157058,A198=20100226902),"NO CORRESPONDE",IF(J198="Emitida",IF(P198&gt;0,"EMITIDA","PENDIENTE"),"NO CORRESPONDE")))</f>
        <v>EMITIDA</v>
      </c>
      <c r="X198" s="29"/>
      <c r="Y198" s="17" t="s">
        <v>118</v>
      </c>
      <c r="Z198" s="30">
        <v>45716</v>
      </c>
      <c r="AA198" s="10" t="s">
        <v>124</v>
      </c>
      <c r="AB198" s="19">
        <v>579</v>
      </c>
      <c r="AC198" s="20">
        <v>30</v>
      </c>
      <c r="AD198" s="18">
        <f>DATA[[#This Row],[FECHA DE EMISION]]+DATA[[#This Row],[CONDICION DE PAGO]]</f>
        <v>45746</v>
      </c>
      <c r="AE198" s="23" t="e">
        <f>IF(DATA[[#This Row],[MONEDA]]="USD",VLOOKUP(DATA[[#This Row],[COMBINADA]],#REF!,11,0),1)</f>
        <v>#REF!</v>
      </c>
      <c r="AF198" s="39" t="str">
        <f>IF(DATA[[#This Row],[SERIE2]]="-","NO CORRESPONDE",IF(W198="NO CORRESPONDE","NO CORRESPONDE",IF(Z198&gt;0,"FACTURADO","PENDIENTE")))</f>
        <v>FACTURADO</v>
      </c>
      <c r="AG198" s="27">
        <f>IFERROR(VLOOKUP(DATA[[#This Row],[COMBINADA]],#REF!,6,0),0)</f>
        <v>0</v>
      </c>
      <c r="AH198" s="125">
        <f>IFERROR(VLOOKUP(DATA[[#This Row],[COMBINADA]],#REF!,9,0),0)/COUNTIFS(DATA[COMBINADA],DATA[[#This Row],[COMBINADA]])</f>
        <v>0</v>
      </c>
      <c r="AI198" s="27">
        <f>IFERROR(VLOOKUP(DATA[[#This Row],[COMBINADA]],#REF!,6,0),0)</f>
        <v>0</v>
      </c>
      <c r="AJ198" s="125">
        <f>IFERROR(VLOOKUP(DATA[[#This Row],[COMBINADA]],#REF!,9,0),0)/COUNTIFS(DATA[COMBINADA],DATA[[#This Row],[COMBINADA]])</f>
        <v>0</v>
      </c>
      <c r="AK198" s="27">
        <f>IFERROR(VLOOKUP(DATA[[#This Row],[COMBINADA]],#REF!,6,0),0)</f>
        <v>0</v>
      </c>
      <c r="AL198" s="125">
        <f>IFERROR(VLOOKUP(DATA[[#This Row],[COMBINADA]],#REF!,9,0),0)/COUNTIFS(DATA[COMBINADA],DATA[[#This Row],[COMBINADA]])</f>
        <v>0</v>
      </c>
      <c r="AM198" s="27">
        <f>IFERROR(VLOOKUP(DATA[[#This Row],[COMBINADA]],#REF!,6,0),0)</f>
        <v>0</v>
      </c>
      <c r="AN198" s="125">
        <f>IFERROR(VLOOKUP(DATA[[#This Row],[COMBINADA]],#REF!,9,0),0)/COUNTIFS(DATA[COMBINADA],DATA[[#This Row],[COMBINADA]])</f>
        <v>0</v>
      </c>
      <c r="AO198" s="27">
        <f>IFERROR(VLOOKUP(DATA[[#This Row],[COMBINADA]],#REF!,6,0),0)</f>
        <v>0</v>
      </c>
      <c r="AP198" s="125">
        <f>IFERROR(VLOOKUP(DATA[[#This Row],[COMBINADA]],#REF!,9,0),0)/COUNTIFS(DATA[COMBINADA],DATA[[#This Row],[COMBINADA]])</f>
        <v>0</v>
      </c>
      <c r="AQ19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603.34285714285716</v>
      </c>
      <c r="AR198" s="26" t="str">
        <f>IFERROR(IF(DATA[[#This Row],[estado_fact]]="FACTURADO",VLOOKUP(DATA[[#This Row],[SERIE2]]&amp;"-"&amp;DATA[[#This Row],[NUMERO]],#REF!,34,0),"NO CORRESPONDE"),"NO CORRESPONDE")</f>
        <v>NO CORRESPONDE</v>
      </c>
      <c r="AS198" s="65" t="str">
        <f>IF(DATA[[#This Row],[fecha_fs]]&gt;0,TEXT(DATA[[#This Row],[fecha_fs]],"Mmmm"),0)</f>
        <v>Febrero</v>
      </c>
      <c r="AT198" s="22" t="str">
        <f>DATA[[#This Row],[SERIE2]]&amp;"-"&amp;DATA[[#This Row],[NUMERO]]</f>
        <v>FE01-579</v>
      </c>
      <c r="AU198" s="28" t="e">
        <f>DATA[[#This Row],[TOTAL]]*DATA[[#This Row],[T.C.]]</f>
        <v>#REF!</v>
      </c>
      <c r="AV198" s="6">
        <f>DATA[[#This Row],[FECHA DE VAL.]]</f>
        <v>45714</v>
      </c>
      <c r="AW198" s="6">
        <f>DATA[[#This Row],[FECHA DE EMISION]]</f>
        <v>45716</v>
      </c>
      <c r="AX198" s="6">
        <f>DATA[[#This Row],[F1]]</f>
        <v>0</v>
      </c>
      <c r="AY198" s="20">
        <f>IF(AV198-DATA[[#This Row],[fecha_fs]]&lt;0,0,AV198-DATA[[#This Row],[fecha_fs]])</f>
        <v>16</v>
      </c>
      <c r="AZ198" s="20">
        <f t="shared" si="22"/>
        <v>2</v>
      </c>
      <c r="BA198" s="20">
        <f t="shared" si="23"/>
        <v>0</v>
      </c>
      <c r="BB198" s="195">
        <f>IFERROR(SUM(DATA[[#This Row],[fs_val_ttf]:[fact_pago_ttf]]),0)</f>
        <v>18</v>
      </c>
      <c r="BC198" s="185">
        <v>45733</v>
      </c>
      <c r="BD198" s="185">
        <v>45737</v>
      </c>
      <c r="BE198" s="185">
        <v>45737</v>
      </c>
      <c r="BF198" s="185">
        <v>45760</v>
      </c>
      <c r="BG198" s="20">
        <f>IFERROR(IF(BC198-DATA[[#This Row],[fecha_fs]]&lt;0,0,BC198-DATA[[#This Row],[fecha_fs]]),0)</f>
        <v>35</v>
      </c>
      <c r="BH198" s="20">
        <f t="shared" ref="BH198:BH261" si="24">IFERROR(IF(BD198-BC198&lt;0,0,BD198-BC198),0)</f>
        <v>4</v>
      </c>
      <c r="BI198" s="20">
        <f t="shared" ref="BI198:BI261" si="25">IFERROR(IF(BE198-BD198&lt;0,0,BE198-BD198),0)</f>
        <v>0</v>
      </c>
      <c r="BJ198" s="20">
        <f t="shared" ref="BJ198:BJ261" si="26">IFERROR(IF(BF198-BE198&lt;0,0,BF198-BE198),0)</f>
        <v>23</v>
      </c>
      <c r="BK198" s="218">
        <f>IFERROR(SUM(DATA[[#This Row],[fs_fd_ttd]:[fend_fenf_ttd]]),0)</f>
        <v>62</v>
      </c>
      <c r="BL198" s="20" t="str">
        <f>IF(DATA[[#This Row],[fecha_fs]]&gt;0,TEXT(DATA[[#This Row],[fecha_fs]],"YYYY"),0)</f>
        <v>2025</v>
      </c>
      <c r="BM198" s="221" t="b">
        <v>1</v>
      </c>
      <c r="BN198" s="278">
        <f>COUNTIF(DATA[[#This Row],[tiempo_td]], "&lt;=15")</f>
        <v>0</v>
      </c>
      <c r="BO198" s="222"/>
    </row>
    <row r="199" spans="1:67" ht="30.6" customHeight="1" x14ac:dyDescent="0.25">
      <c r="A199" s="4">
        <v>20505675836</v>
      </c>
      <c r="B199" s="5" t="s">
        <v>42</v>
      </c>
      <c r="C199" s="52" t="s">
        <v>43</v>
      </c>
      <c r="D199" s="4" t="s">
        <v>120</v>
      </c>
      <c r="E199" s="5" t="s">
        <v>3</v>
      </c>
      <c r="F199" s="24">
        <v>45698</v>
      </c>
      <c r="G199" s="7" t="s">
        <v>113</v>
      </c>
      <c r="H199" s="25">
        <f t="shared" si="21"/>
        <v>1</v>
      </c>
      <c r="I199" s="67">
        <v>4092</v>
      </c>
      <c r="J199" s="8" t="s">
        <v>115</v>
      </c>
      <c r="K199" s="9" t="s">
        <v>121</v>
      </c>
      <c r="L199" s="10" t="s">
        <v>117</v>
      </c>
      <c r="M199" s="11">
        <v>490</v>
      </c>
      <c r="N199" s="12" t="s">
        <v>132</v>
      </c>
      <c r="O199" s="6">
        <v>45713</v>
      </c>
      <c r="P199" s="71">
        <v>3309</v>
      </c>
      <c r="Q199" s="14" t="s">
        <v>85</v>
      </c>
      <c r="R199" s="15">
        <f>(DATA[[#This Row],[cantidad_fs]]-150)*0.67</f>
        <v>227.8</v>
      </c>
      <c r="S199" s="15">
        <v>817.68</v>
      </c>
      <c r="T199" s="15">
        <f>DATA[[#This Row],[C. DF]]+DATA[[#This Row],[C.OPE.]]</f>
        <v>1045.48</v>
      </c>
      <c r="U199" s="15">
        <f>DATA[[#This Row],[SUB TOTAL]]*0.18</f>
        <v>188.18639999999999</v>
      </c>
      <c r="V199" s="15">
        <f>IFERROR(ROUND(DATA[[#This Row],[SUB TOTAL]]+DATA[[#This Row],[IGV]],2),0)</f>
        <v>1233.67</v>
      </c>
      <c r="W199" s="16" t="str">
        <f>IF(DATA[[#This Row],[VALORIZACIÓN ]]="-","NO CORRESPONDE",IF(OR(A199=20558226979,A199=10470707866,A199=20111157058,A199=20100226902),"NO CORRESPONDE",IF(J199="Emitida",IF(P199&gt;0,"EMITIDA","PENDIENTE"),"NO CORRESPONDE")))</f>
        <v>EMITIDA</v>
      </c>
      <c r="X199" s="29"/>
      <c r="Y199" s="17" t="s">
        <v>118</v>
      </c>
      <c r="Z199" s="30">
        <v>45740</v>
      </c>
      <c r="AA199" s="10" t="s">
        <v>119</v>
      </c>
      <c r="AB199" s="19">
        <v>39</v>
      </c>
      <c r="AC199" s="20">
        <v>30</v>
      </c>
      <c r="AD199" s="18">
        <f>DATA[[#This Row],[FECHA DE EMISION]]+DATA[[#This Row],[CONDICION DE PAGO]]</f>
        <v>45770</v>
      </c>
      <c r="AE199" s="23">
        <f>IF(DATA[[#This Row],[MONEDA]]="USD",VLOOKUP(DATA[[#This Row],[COMBINADA]],#REF!,11,0),1)</f>
        <v>1</v>
      </c>
      <c r="AF199" s="39" t="str">
        <f>IF(DATA[[#This Row],[SERIE2]]="-","NO CORRESPONDE",IF(W199="NO CORRESPONDE","NO CORRESPONDE",IF(Z199&gt;0,"FACTURADO","PENDIENTE")))</f>
        <v>FACTURADO</v>
      </c>
      <c r="AG199" s="27">
        <f>IFERROR(VLOOKUP(DATA[[#This Row],[COMBINADA]],#REF!,6,0),0)</f>
        <v>0</v>
      </c>
      <c r="AH199" s="125">
        <f>IFERROR(VLOOKUP(DATA[[#This Row],[COMBINADA]],#REF!,9,0),0)/COUNTIFS(DATA[COMBINADA],DATA[[#This Row],[COMBINADA]])</f>
        <v>0</v>
      </c>
      <c r="AI199" s="27">
        <f>IFERROR(VLOOKUP(DATA[[#This Row],[COMBINADA]],#REF!,6,0),0)</f>
        <v>0</v>
      </c>
      <c r="AJ199" s="125">
        <f>IFERROR(VLOOKUP(DATA[[#This Row],[COMBINADA]],#REF!,9,0),0)/COUNTIFS(DATA[COMBINADA],DATA[[#This Row],[COMBINADA]])</f>
        <v>0</v>
      </c>
      <c r="AK199" s="27">
        <f>IFERROR(VLOOKUP(DATA[[#This Row],[COMBINADA]],#REF!,6,0),0)</f>
        <v>0</v>
      </c>
      <c r="AL199" s="125">
        <f>IFERROR(VLOOKUP(DATA[[#This Row],[COMBINADA]],#REF!,9,0),0)/COUNTIFS(DATA[COMBINADA],DATA[[#This Row],[COMBINADA]])</f>
        <v>0</v>
      </c>
      <c r="AM199" s="27">
        <f>IFERROR(VLOOKUP(DATA[[#This Row],[COMBINADA]],#REF!,6,0),0)</f>
        <v>0</v>
      </c>
      <c r="AN199" s="125">
        <f>IFERROR(VLOOKUP(DATA[[#This Row],[COMBINADA]],#REF!,9,0),0)/COUNTIFS(DATA[COMBINADA],DATA[[#This Row],[COMBINADA]])</f>
        <v>0</v>
      </c>
      <c r="AO199" s="27">
        <f>IFERROR(VLOOKUP(DATA[[#This Row],[COMBINADA]],#REF!,6,0),0)</f>
        <v>0</v>
      </c>
      <c r="AP199" s="125">
        <f>IFERROR(VLOOKUP(DATA[[#This Row],[COMBINADA]],#REF!,9,0),0)/COUNTIFS(DATA[COMBINADA],DATA[[#This Row],[COMBINADA]])</f>
        <v>0</v>
      </c>
      <c r="AQ19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1876.66</v>
      </c>
      <c r="AR199" s="26" t="str">
        <f>IFERROR(IF(DATA[[#This Row],[estado_fact]]="FACTURADO",VLOOKUP(DATA[[#This Row],[SERIE2]]&amp;"-"&amp;DATA[[#This Row],[NUMERO]],#REF!,34,0),"NO CORRESPONDE"),"NO CORRESPONDE")</f>
        <v>NO CORRESPONDE</v>
      </c>
      <c r="AS199" s="65" t="str">
        <f>IF(DATA[[#This Row],[fecha_fs]]&gt;0,TEXT(DATA[[#This Row],[fecha_fs]],"Mmmm"),0)</f>
        <v>Febrero</v>
      </c>
      <c r="AT199" s="22" t="str">
        <f>DATA[[#This Row],[SERIE2]]&amp;"-"&amp;DATA[[#This Row],[NUMERO]]</f>
        <v>E001-39</v>
      </c>
      <c r="AU199" s="28">
        <f>DATA[[#This Row],[TOTAL]]*DATA[[#This Row],[T.C.]]</f>
        <v>1233.67</v>
      </c>
      <c r="AV199" s="6">
        <f>DATA[[#This Row],[FECHA DE VAL.]]</f>
        <v>45713</v>
      </c>
      <c r="AW199" s="6">
        <f>DATA[[#This Row],[FECHA DE EMISION]]</f>
        <v>45740</v>
      </c>
      <c r="AX199" s="6">
        <f>DATA[[#This Row],[F1]]</f>
        <v>0</v>
      </c>
      <c r="AY199" s="20">
        <f>IF(AV199-DATA[[#This Row],[fecha_fs]]&lt;0,0,AV199-DATA[[#This Row],[fecha_fs]])</f>
        <v>15</v>
      </c>
      <c r="AZ199" s="20">
        <f t="shared" si="22"/>
        <v>27</v>
      </c>
      <c r="BA199" s="20">
        <f t="shared" si="23"/>
        <v>0</v>
      </c>
      <c r="BB199" s="195">
        <f>IFERROR(SUM(DATA[[#This Row],[fs_val_ttf]:[fact_pago_ttf]]),0)</f>
        <v>42</v>
      </c>
      <c r="BC199" s="185">
        <v>45734</v>
      </c>
      <c r="BD199" s="185">
        <v>45750</v>
      </c>
      <c r="BE199" s="185">
        <v>45789</v>
      </c>
      <c r="BF199" s="185">
        <v>45814</v>
      </c>
      <c r="BG199" s="20">
        <f>IFERROR(IF(BC199-DATA[[#This Row],[fecha_fs]]&lt;0,0,BC199-DATA[[#This Row],[fecha_fs]]),0)</f>
        <v>36</v>
      </c>
      <c r="BH199" s="20">
        <f t="shared" si="24"/>
        <v>16</v>
      </c>
      <c r="BI199" s="20">
        <f t="shared" si="25"/>
        <v>39</v>
      </c>
      <c r="BJ199" s="20">
        <f t="shared" si="26"/>
        <v>25</v>
      </c>
      <c r="BK199" s="218">
        <f>IFERROR(SUM(DATA[[#This Row],[fs_fd_ttd]:[fend_fenf_ttd]]),0)</f>
        <v>116</v>
      </c>
      <c r="BL199" s="20" t="str">
        <f>IF(DATA[[#This Row],[fecha_fs]]&gt;0,TEXT(DATA[[#This Row],[fecha_fs]],"YYYY"),0)</f>
        <v>2025</v>
      </c>
      <c r="BM199" s="221" t="b">
        <v>1</v>
      </c>
      <c r="BN199" s="278">
        <f>COUNTIF(DATA[[#This Row],[tiempo_td]], "&lt;=15")</f>
        <v>0</v>
      </c>
      <c r="BO199" s="222"/>
    </row>
    <row r="200" spans="1:67" ht="30.6" customHeight="1" x14ac:dyDescent="0.25">
      <c r="A200" s="4">
        <v>20505675836</v>
      </c>
      <c r="B200" s="5" t="s">
        <v>42</v>
      </c>
      <c r="C200" s="52" t="s">
        <v>43</v>
      </c>
      <c r="D200" s="4" t="s">
        <v>157</v>
      </c>
      <c r="E200" s="5" t="s">
        <v>44</v>
      </c>
      <c r="F200" s="24">
        <v>45698</v>
      </c>
      <c r="G200" s="7" t="s">
        <v>113</v>
      </c>
      <c r="H200" s="25">
        <f t="shared" si="21"/>
        <v>1</v>
      </c>
      <c r="I200" s="67">
        <v>4093</v>
      </c>
      <c r="J200" s="8" t="s">
        <v>115</v>
      </c>
      <c r="K200" s="9" t="s">
        <v>158</v>
      </c>
      <c r="L200" s="10" t="s">
        <v>137</v>
      </c>
      <c r="M200" s="11">
        <v>1</v>
      </c>
      <c r="N200" s="12" t="s">
        <v>114</v>
      </c>
      <c r="O200" s="6">
        <v>45713</v>
      </c>
      <c r="P200" s="71">
        <v>3311</v>
      </c>
      <c r="Q200" s="14" t="s">
        <v>85</v>
      </c>
      <c r="R200" s="15"/>
      <c r="S200" s="15">
        <v>396.7</v>
      </c>
      <c r="T200" s="15">
        <f>DATA[[#This Row],[C. DF]]+DATA[[#This Row],[C.OPE.]]</f>
        <v>396.7</v>
      </c>
      <c r="U200" s="15">
        <f>DATA[[#This Row],[SUB TOTAL]]*0.18</f>
        <v>71.405999999999992</v>
      </c>
      <c r="V200" s="15">
        <f>IFERROR(ROUND(DATA[[#This Row],[SUB TOTAL]]+DATA[[#This Row],[IGV]],2),0)</f>
        <v>468.11</v>
      </c>
      <c r="W200" s="16" t="str">
        <f>IF(DATA[[#This Row],[VALORIZACIÓN ]]="-","NO CORRESPONDE",IF(OR(A200=20558226979,A200=10470707866,A200=20111157058,A200=20100226902),"NO CORRESPONDE",IF(J200="Emitida",IF(P200&gt;0,"EMITIDA","PENDIENTE"),"NO CORRESPONDE")))</f>
        <v>EMITIDA</v>
      </c>
      <c r="X200" s="29"/>
      <c r="Y200" s="17" t="s">
        <v>118</v>
      </c>
      <c r="Z200" s="30">
        <v>45741</v>
      </c>
      <c r="AA200" s="10" t="s">
        <v>119</v>
      </c>
      <c r="AB200" s="19">
        <v>51</v>
      </c>
      <c r="AC200" s="20">
        <v>30</v>
      </c>
      <c r="AD200" s="18">
        <f>DATA[[#This Row],[FECHA DE EMISION]]+DATA[[#This Row],[CONDICION DE PAGO]]</f>
        <v>45771</v>
      </c>
      <c r="AE200" s="23">
        <f>IF(DATA[[#This Row],[MONEDA]]="USD",VLOOKUP(DATA[[#This Row],[COMBINADA]],#REF!,11,0),1)</f>
        <v>1</v>
      </c>
      <c r="AF200" s="39" t="str">
        <f>IF(DATA[[#This Row],[SERIE2]]="-","NO CORRESPONDE",IF(W200="NO CORRESPONDE","NO CORRESPONDE",IF(Z200&gt;0,"FACTURADO","PENDIENTE")))</f>
        <v>FACTURADO</v>
      </c>
      <c r="AG200" s="27">
        <f>IFERROR(VLOOKUP(DATA[[#This Row],[COMBINADA]],#REF!,6,0),0)</f>
        <v>0</v>
      </c>
      <c r="AH200" s="125">
        <f>IFERROR(VLOOKUP(DATA[[#This Row],[COMBINADA]],#REF!,9,0),0)/COUNTIFS(DATA[COMBINADA],DATA[[#This Row],[COMBINADA]])</f>
        <v>0</v>
      </c>
      <c r="AI200" s="27">
        <f>IFERROR(VLOOKUP(DATA[[#This Row],[COMBINADA]],#REF!,6,0),0)</f>
        <v>0</v>
      </c>
      <c r="AJ200" s="125">
        <f>IFERROR(VLOOKUP(DATA[[#This Row],[COMBINADA]],#REF!,9,0),0)/COUNTIFS(DATA[COMBINADA],DATA[[#This Row],[COMBINADA]])</f>
        <v>0</v>
      </c>
      <c r="AK200" s="27">
        <f>IFERROR(VLOOKUP(DATA[[#This Row],[COMBINADA]],#REF!,6,0),0)</f>
        <v>0</v>
      </c>
      <c r="AL200" s="125">
        <f>IFERROR(VLOOKUP(DATA[[#This Row],[COMBINADA]],#REF!,9,0),0)/COUNTIFS(DATA[COMBINADA],DATA[[#This Row],[COMBINADA]])</f>
        <v>0</v>
      </c>
      <c r="AM200" s="27">
        <f>IFERROR(VLOOKUP(DATA[[#This Row],[COMBINADA]],#REF!,6,0),0)</f>
        <v>0</v>
      </c>
      <c r="AN200" s="125">
        <f>IFERROR(VLOOKUP(DATA[[#This Row],[COMBINADA]],#REF!,9,0),0)/COUNTIFS(DATA[COMBINADA],DATA[[#This Row],[COMBINADA]])</f>
        <v>0</v>
      </c>
      <c r="AO200" s="27">
        <f>IFERROR(VLOOKUP(DATA[[#This Row],[COMBINADA]],#REF!,6,0),0)</f>
        <v>0</v>
      </c>
      <c r="AP200" s="125">
        <f>IFERROR(VLOOKUP(DATA[[#This Row],[COMBINADA]],#REF!,9,0),0)/COUNTIFS(DATA[COMBINADA],DATA[[#This Row],[COMBINADA]])</f>
        <v>0</v>
      </c>
      <c r="AQ20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468.11</v>
      </c>
      <c r="AR200" s="26" t="str">
        <f>IFERROR(IF(DATA[[#This Row],[estado_fact]]="FACTURADO",VLOOKUP(DATA[[#This Row],[SERIE2]]&amp;"-"&amp;DATA[[#This Row],[NUMERO]],#REF!,34,0),"NO CORRESPONDE"),"NO CORRESPONDE")</f>
        <v>NO CORRESPONDE</v>
      </c>
      <c r="AS200" s="65" t="str">
        <f>IF(DATA[[#This Row],[fecha_fs]]&gt;0,TEXT(DATA[[#This Row],[fecha_fs]],"Mmmm"),0)</f>
        <v>Febrero</v>
      </c>
      <c r="AT200" s="22" t="str">
        <f>DATA[[#This Row],[SERIE2]]&amp;"-"&amp;DATA[[#This Row],[NUMERO]]</f>
        <v>E001-51</v>
      </c>
      <c r="AU200" s="28">
        <f>DATA[[#This Row],[TOTAL]]*DATA[[#This Row],[T.C.]]</f>
        <v>468.11</v>
      </c>
      <c r="AV200" s="6">
        <f>DATA[[#This Row],[FECHA DE VAL.]]</f>
        <v>45713</v>
      </c>
      <c r="AW200" s="6">
        <f>DATA[[#This Row],[FECHA DE EMISION]]</f>
        <v>45741</v>
      </c>
      <c r="AX200" s="6">
        <f>DATA[[#This Row],[F1]]</f>
        <v>0</v>
      </c>
      <c r="AY200" s="20">
        <f>IF(AV200-DATA[[#This Row],[fecha_fs]]&lt;0,0,AV200-DATA[[#This Row],[fecha_fs]])</f>
        <v>15</v>
      </c>
      <c r="AZ200" s="20">
        <f t="shared" si="22"/>
        <v>28</v>
      </c>
      <c r="BA200" s="20">
        <f t="shared" si="23"/>
        <v>0</v>
      </c>
      <c r="BB200" s="195">
        <f>IFERROR(SUM(DATA[[#This Row],[fs_val_ttf]:[fact_pago_ttf]]),0)</f>
        <v>43</v>
      </c>
      <c r="BC200" s="185">
        <v>45698</v>
      </c>
      <c r="BD200" s="185">
        <v>45698</v>
      </c>
      <c r="BE200" s="185">
        <v>45719</v>
      </c>
      <c r="BF200" s="185">
        <v>45719</v>
      </c>
      <c r="BG200" s="20">
        <f>IFERROR(IF(BC200-DATA[[#This Row],[fecha_fs]]&lt;0,0,BC200-DATA[[#This Row],[fecha_fs]]),0)</f>
        <v>0</v>
      </c>
      <c r="BH200" s="20">
        <f t="shared" si="24"/>
        <v>0</v>
      </c>
      <c r="BI200" s="20">
        <f t="shared" si="25"/>
        <v>21</v>
      </c>
      <c r="BJ200" s="20">
        <f t="shared" si="26"/>
        <v>0</v>
      </c>
      <c r="BK200" s="218">
        <f>IFERROR(SUM(DATA[[#This Row],[fs_fd_ttd]:[fend_fenf_ttd]]),0)</f>
        <v>21</v>
      </c>
      <c r="BL200" s="20" t="str">
        <f>IF(DATA[[#This Row],[fecha_fs]]&gt;0,TEXT(DATA[[#This Row],[fecha_fs]],"YYYY"),0)</f>
        <v>2025</v>
      </c>
      <c r="BM200" s="221" t="b">
        <v>1</v>
      </c>
      <c r="BN200" s="278">
        <f>COUNTIF(DATA[[#This Row],[tiempo_td]], "&lt;=15")</f>
        <v>0</v>
      </c>
      <c r="BO200" s="222"/>
    </row>
    <row r="201" spans="1:67" ht="30.6" customHeight="1" x14ac:dyDescent="0.25">
      <c r="A201" s="4">
        <v>20100235138</v>
      </c>
      <c r="B201" s="5" t="s">
        <v>58</v>
      </c>
      <c r="C201" s="52" t="s">
        <v>18</v>
      </c>
      <c r="D201" s="4" t="s">
        <v>120</v>
      </c>
      <c r="E201" s="5" t="s">
        <v>3</v>
      </c>
      <c r="F201" s="24">
        <v>45699</v>
      </c>
      <c r="G201" s="7" t="s">
        <v>113</v>
      </c>
      <c r="H201" s="25">
        <f t="shared" si="21"/>
        <v>1</v>
      </c>
      <c r="I201" s="67">
        <v>4094</v>
      </c>
      <c r="J201" s="8" t="s">
        <v>115</v>
      </c>
      <c r="K201" s="9" t="s">
        <v>121</v>
      </c>
      <c r="L201" s="10" t="s">
        <v>117</v>
      </c>
      <c r="M201" s="11">
        <v>20</v>
      </c>
      <c r="N201" s="12" t="s">
        <v>125</v>
      </c>
      <c r="O201" s="6">
        <v>45700</v>
      </c>
      <c r="P201" s="82">
        <v>3285</v>
      </c>
      <c r="Q201" s="14" t="s">
        <v>85</v>
      </c>
      <c r="R201" s="15">
        <v>227</v>
      </c>
      <c r="S201" s="56">
        <f>749/2</f>
        <v>374.5</v>
      </c>
      <c r="T201" s="15">
        <f>DATA[[#This Row],[C. DF]]+DATA[[#This Row],[C.OPE.]]</f>
        <v>601.5</v>
      </c>
      <c r="U201" s="15">
        <f>DATA[[#This Row],[SUB TOTAL]]*0.18</f>
        <v>108.27</v>
      </c>
      <c r="V201" s="15">
        <f>IFERROR(ROUND(DATA[[#This Row],[SUB TOTAL]]+DATA[[#This Row],[IGV]],2),0)</f>
        <v>709.77</v>
      </c>
      <c r="W201" s="16" t="str">
        <f>IF(DATA[[#This Row],[VALORIZACIÓN ]]="-","NO CORRESPONDE",IF(OR(A201=20558226979,A201=10470707866,A201=20111157058,A201=20100226902),"NO CORRESPONDE",IF(J201="Emitida",IF(P201&gt;0,"EMITIDA","PENDIENTE"),"NO CORRESPONDE")))</f>
        <v>EMITIDA</v>
      </c>
      <c r="X201" s="29"/>
      <c r="Y201" s="17" t="s">
        <v>118</v>
      </c>
      <c r="Z201" s="30">
        <v>45705</v>
      </c>
      <c r="AA201" s="10" t="s">
        <v>124</v>
      </c>
      <c r="AB201" s="19">
        <v>565</v>
      </c>
      <c r="AC201" s="20">
        <v>15</v>
      </c>
      <c r="AD201" s="18">
        <f>DATA[[#This Row],[FECHA DE EMISION]]+DATA[[#This Row],[CONDICION DE PAGO]]</f>
        <v>45720</v>
      </c>
      <c r="AE201" s="23">
        <f>IF(DATA[[#This Row],[MONEDA]]="USD",VLOOKUP(DATA[[#This Row],[COMBINADA]],#REF!,11,0),1)</f>
        <v>1</v>
      </c>
      <c r="AF201" s="39" t="str">
        <f>IF(DATA[[#This Row],[SERIE2]]="-","NO CORRESPONDE",IF(W201="NO CORRESPONDE","NO CORRESPONDE",IF(Z201&gt;0,"FACTURADO","PENDIENTE")))</f>
        <v>FACTURADO</v>
      </c>
      <c r="AG201" s="27">
        <f>IFERROR(VLOOKUP(DATA[[#This Row],[COMBINADA]],#REF!,6,0),0)</f>
        <v>0</v>
      </c>
      <c r="AH201" s="125">
        <f>IFERROR(VLOOKUP(DATA[[#This Row],[COMBINADA]],#REF!,9,0),0)/COUNTIFS(DATA[COMBINADA],DATA[[#This Row],[COMBINADA]])</f>
        <v>0</v>
      </c>
      <c r="AI201" s="27">
        <f>IFERROR(VLOOKUP(DATA[[#This Row],[COMBINADA]],#REF!,6,0),0)</f>
        <v>0</v>
      </c>
      <c r="AJ201" s="125">
        <f>IFERROR(VLOOKUP(DATA[[#This Row],[COMBINADA]],#REF!,9,0),0)/COUNTIFS(DATA[COMBINADA],DATA[[#This Row],[COMBINADA]])</f>
        <v>0</v>
      </c>
      <c r="AK201" s="27">
        <f>IFERROR(VLOOKUP(DATA[[#This Row],[COMBINADA]],#REF!,6,0),0)</f>
        <v>0</v>
      </c>
      <c r="AL201" s="125">
        <f>IFERROR(VLOOKUP(DATA[[#This Row],[COMBINADA]],#REF!,9,0),0)/COUNTIFS(DATA[COMBINADA],DATA[[#This Row],[COMBINADA]])</f>
        <v>0</v>
      </c>
      <c r="AM201" s="27">
        <f>IFERROR(VLOOKUP(DATA[[#This Row],[COMBINADA]],#REF!,6,0),0)</f>
        <v>0</v>
      </c>
      <c r="AN201" s="125">
        <f>IFERROR(VLOOKUP(DATA[[#This Row],[COMBINADA]],#REF!,9,0),0)/COUNTIFS(DATA[COMBINADA],DATA[[#This Row],[COMBINADA]])</f>
        <v>0</v>
      </c>
      <c r="AO201" s="27">
        <f>IFERROR(VLOOKUP(DATA[[#This Row],[COMBINADA]],#REF!,6,0),0)</f>
        <v>0</v>
      </c>
      <c r="AP201" s="125">
        <f>IFERROR(VLOOKUP(DATA[[#This Row],[COMBINADA]],#REF!,9,0),0)/COUNTIFS(DATA[COMBINADA],DATA[[#This Row],[COMBINADA]])</f>
        <v>0</v>
      </c>
      <c r="AQ20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770.89499999999998</v>
      </c>
      <c r="AR201" s="26" t="str">
        <f>IFERROR(IF(DATA[[#This Row],[estado_fact]]="FACTURADO",VLOOKUP(DATA[[#This Row],[SERIE2]]&amp;"-"&amp;DATA[[#This Row],[NUMERO]],#REF!,34,0),"NO CORRESPONDE"),"NO CORRESPONDE")</f>
        <v>NO CORRESPONDE</v>
      </c>
      <c r="AS201" s="65" t="str">
        <f>IF(DATA[[#This Row],[fecha_fs]]&gt;0,TEXT(DATA[[#This Row],[fecha_fs]],"Mmmm"),0)</f>
        <v>Febrero</v>
      </c>
      <c r="AT201" s="22" t="str">
        <f>DATA[[#This Row],[SERIE2]]&amp;"-"&amp;DATA[[#This Row],[NUMERO]]</f>
        <v>FE01-565</v>
      </c>
      <c r="AU201" s="28">
        <f>DATA[[#This Row],[TOTAL]]*DATA[[#This Row],[T.C.]]</f>
        <v>709.77</v>
      </c>
      <c r="AV201" s="6">
        <f>DATA[[#This Row],[FECHA DE VAL.]]</f>
        <v>45700</v>
      </c>
      <c r="AW201" s="6">
        <f>DATA[[#This Row],[FECHA DE EMISION]]</f>
        <v>45705</v>
      </c>
      <c r="AX201" s="6">
        <f>DATA[[#This Row],[F1]]</f>
        <v>0</v>
      </c>
      <c r="AY201" s="20">
        <f>IF(AV201-DATA[[#This Row],[fecha_fs]]&lt;0,0,AV201-DATA[[#This Row],[fecha_fs]])</f>
        <v>1</v>
      </c>
      <c r="AZ201" s="20">
        <f t="shared" si="22"/>
        <v>5</v>
      </c>
      <c r="BA201" s="20">
        <f t="shared" si="23"/>
        <v>0</v>
      </c>
      <c r="BB201" s="195">
        <f>IFERROR(SUM(DATA[[#This Row],[fs_val_ttf]:[fact_pago_ttf]]),0)</f>
        <v>6</v>
      </c>
      <c r="BC201" s="185">
        <v>45728</v>
      </c>
      <c r="BD201" s="185">
        <v>45730</v>
      </c>
      <c r="BE201" s="185">
        <v>45737</v>
      </c>
      <c r="BF201" s="185">
        <v>45750</v>
      </c>
      <c r="BG201" s="20">
        <f>IFERROR(IF(BC201-DATA[[#This Row],[fecha_fs]]&lt;0,0,BC201-DATA[[#This Row],[fecha_fs]]),0)</f>
        <v>29</v>
      </c>
      <c r="BH201" s="20">
        <f t="shared" si="24"/>
        <v>2</v>
      </c>
      <c r="BI201" s="20">
        <f t="shared" si="25"/>
        <v>7</v>
      </c>
      <c r="BJ201" s="20">
        <f t="shared" si="26"/>
        <v>13</v>
      </c>
      <c r="BK201" s="218">
        <f>IFERROR(SUM(DATA[[#This Row],[fs_fd_ttd]:[fend_fenf_ttd]]),0)</f>
        <v>51</v>
      </c>
      <c r="BL201" s="20" t="str">
        <f>IF(DATA[[#This Row],[fecha_fs]]&gt;0,TEXT(DATA[[#This Row],[fecha_fs]],"YYYY"),0)</f>
        <v>2025</v>
      </c>
      <c r="BM201" s="221" t="b">
        <v>1</v>
      </c>
      <c r="BN201" s="278">
        <f>COUNTIF(DATA[[#This Row],[tiempo_td]], "&lt;=15")</f>
        <v>0</v>
      </c>
      <c r="BO201" s="222"/>
    </row>
    <row r="202" spans="1:67" ht="30.6" customHeight="1" x14ac:dyDescent="0.25">
      <c r="A202" s="4">
        <v>20419158462</v>
      </c>
      <c r="B202" s="5" t="s">
        <v>2</v>
      </c>
      <c r="C202" s="52" t="s">
        <v>201</v>
      </c>
      <c r="D202" s="4" t="s">
        <v>120</v>
      </c>
      <c r="E202" s="5" t="s">
        <v>3</v>
      </c>
      <c r="F202" s="24">
        <v>45698</v>
      </c>
      <c r="G202" s="7" t="s">
        <v>113</v>
      </c>
      <c r="H202" s="25">
        <f t="shared" si="21"/>
        <v>1</v>
      </c>
      <c r="I202" s="67">
        <v>4095</v>
      </c>
      <c r="J202" s="8" t="s">
        <v>115</v>
      </c>
      <c r="K202" s="9" t="s">
        <v>156</v>
      </c>
      <c r="L202" s="10" t="s">
        <v>117</v>
      </c>
      <c r="M202" s="11">
        <v>741</v>
      </c>
      <c r="N202" s="12" t="s">
        <v>125</v>
      </c>
      <c r="O202" s="6">
        <v>45699</v>
      </c>
      <c r="P202" s="82">
        <v>3284</v>
      </c>
      <c r="Q202" s="14" t="s">
        <v>85</v>
      </c>
      <c r="R202" s="15">
        <v>0</v>
      </c>
      <c r="S202" s="56">
        <f>1429.7/2</f>
        <v>714.85</v>
      </c>
      <c r="T202" s="15">
        <f>DATA[[#This Row],[C. DF]]+DATA[[#This Row],[C.OPE.]]</f>
        <v>714.85</v>
      </c>
      <c r="U202" s="15">
        <f>DATA[[#This Row],[SUB TOTAL]]*0.18</f>
        <v>128.673</v>
      </c>
      <c r="V202" s="15">
        <f>IFERROR(ROUND(DATA[[#This Row],[SUB TOTAL]]+DATA[[#This Row],[IGV]],2),0)</f>
        <v>843.52</v>
      </c>
      <c r="W202" s="16" t="str">
        <f>IF(DATA[[#This Row],[VALORIZACIÓN ]]="-","NO CORRESPONDE",IF(OR(A202=20558226979,A202=10470707866,A202=20111157058,A202=20100226902),"NO CORRESPONDE",IF(J202="Emitida",IF(P202&gt;0,"EMITIDA","PENDIENTE"),"NO CORRESPONDE")))</f>
        <v>EMITIDA</v>
      </c>
      <c r="X202" s="29"/>
      <c r="Y202" s="17" t="s">
        <v>118</v>
      </c>
      <c r="Z202" s="30">
        <v>45761</v>
      </c>
      <c r="AA202" s="10" t="s">
        <v>150</v>
      </c>
      <c r="AB202" s="19">
        <v>31</v>
      </c>
      <c r="AC202" s="20">
        <v>15</v>
      </c>
      <c r="AD202" s="18">
        <f>DATA[[#This Row],[FECHA DE EMISION]]+DATA[[#This Row],[CONDICION DE PAGO]]</f>
        <v>45776</v>
      </c>
      <c r="AE202" s="23">
        <f>IF(DATA[[#This Row],[MONEDA]]="USD",VLOOKUP(DATA[[#This Row],[COMBINADA]],#REF!,11,0),1)</f>
        <v>1</v>
      </c>
      <c r="AF202" s="39" t="str">
        <f>IF(DATA[[#This Row],[SERIE2]]="-","NO CORRESPONDE",IF(W202="NO CORRESPONDE","NO CORRESPONDE",IF(Z202&gt;0,"FACTURADO","PENDIENTE")))</f>
        <v>FACTURADO</v>
      </c>
      <c r="AG202" s="27">
        <f>IFERROR(VLOOKUP(DATA[[#This Row],[COMBINADA]],#REF!,6,0),0)</f>
        <v>0</v>
      </c>
      <c r="AH202" s="125">
        <f>IFERROR(VLOOKUP(DATA[[#This Row],[COMBINADA]],#REF!,9,0),0)/COUNTIFS(DATA[COMBINADA],DATA[[#This Row],[COMBINADA]])</f>
        <v>0</v>
      </c>
      <c r="AI202" s="27">
        <f>IFERROR(VLOOKUP(DATA[[#This Row],[COMBINADA]],#REF!,6,0),0)</f>
        <v>0</v>
      </c>
      <c r="AJ202" s="125">
        <f>IFERROR(VLOOKUP(DATA[[#This Row],[COMBINADA]],#REF!,9,0),0)/COUNTIFS(DATA[COMBINADA],DATA[[#This Row],[COMBINADA]])</f>
        <v>0</v>
      </c>
      <c r="AK202" s="27">
        <f>IFERROR(VLOOKUP(DATA[[#This Row],[COMBINADA]],#REF!,6,0),0)</f>
        <v>0</v>
      </c>
      <c r="AL202" s="125">
        <f>IFERROR(VLOOKUP(DATA[[#This Row],[COMBINADA]],#REF!,9,0),0)/COUNTIFS(DATA[COMBINADA],DATA[[#This Row],[COMBINADA]])</f>
        <v>0</v>
      </c>
      <c r="AM202" s="27">
        <f>IFERROR(VLOOKUP(DATA[[#This Row],[COMBINADA]],#REF!,6,0),0)</f>
        <v>0</v>
      </c>
      <c r="AN202" s="125">
        <f>IFERROR(VLOOKUP(DATA[[#This Row],[COMBINADA]],#REF!,9,0),0)/COUNTIFS(DATA[COMBINADA],DATA[[#This Row],[COMBINADA]])</f>
        <v>0</v>
      </c>
      <c r="AO202" s="27">
        <f>IFERROR(VLOOKUP(DATA[[#This Row],[COMBINADA]],#REF!,6,0),0)</f>
        <v>0</v>
      </c>
      <c r="AP202" s="125">
        <f>IFERROR(VLOOKUP(DATA[[#This Row],[COMBINADA]],#REF!,9,0),0)/COUNTIFS(DATA[COMBINADA],DATA[[#This Row],[COMBINADA]])</f>
        <v>0</v>
      </c>
      <c r="AQ20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202" s="26" t="str">
        <f>IFERROR(IF(DATA[[#This Row],[estado_fact]]="FACTURADO",VLOOKUP(DATA[[#This Row],[SERIE2]]&amp;"-"&amp;DATA[[#This Row],[NUMERO]],#REF!,34,0),"NO CORRESPONDE"),"NO CORRESPONDE")</f>
        <v>NO CORRESPONDE</v>
      </c>
      <c r="AS202" s="65" t="str">
        <f>IF(DATA[[#This Row],[fecha_fs]]&gt;0,TEXT(DATA[[#This Row],[fecha_fs]],"Mmmm"),0)</f>
        <v>Febrero</v>
      </c>
      <c r="AT202" s="22" t="str">
        <f>DATA[[#This Row],[SERIE2]]&amp;"-"&amp;DATA[[#This Row],[NUMERO]]</f>
        <v>FF01-31</v>
      </c>
      <c r="AU202" s="28">
        <f>DATA[[#This Row],[TOTAL]]*DATA[[#This Row],[T.C.]]</f>
        <v>843.52</v>
      </c>
      <c r="AV202" s="6">
        <f>DATA[[#This Row],[FECHA DE VAL.]]</f>
        <v>45699</v>
      </c>
      <c r="AW202" s="6">
        <f>DATA[[#This Row],[FECHA DE EMISION]]</f>
        <v>45761</v>
      </c>
      <c r="AX202" s="6">
        <f>DATA[[#This Row],[F1]]</f>
        <v>0</v>
      </c>
      <c r="AY202" s="20">
        <f>IF(AV202-DATA[[#This Row],[fecha_fs]]&lt;0,0,AV202-DATA[[#This Row],[fecha_fs]])</f>
        <v>1</v>
      </c>
      <c r="AZ202" s="20">
        <f t="shared" si="22"/>
        <v>62</v>
      </c>
      <c r="BA202" s="20">
        <f t="shared" si="23"/>
        <v>0</v>
      </c>
      <c r="BB202" s="195">
        <f>IFERROR(SUM(DATA[[#This Row],[fs_val_ttf]:[fact_pago_ttf]]),0)</f>
        <v>63</v>
      </c>
      <c r="BC202" s="185">
        <v>45698</v>
      </c>
      <c r="BD202" s="185">
        <v>45698</v>
      </c>
      <c r="BE202" s="185">
        <v>45720</v>
      </c>
      <c r="BF202" s="185">
        <v>45720</v>
      </c>
      <c r="BG202" s="20">
        <f>IFERROR(IF(BC202-DATA[[#This Row],[fecha_fs]]&lt;0,0,BC202-DATA[[#This Row],[fecha_fs]]),0)</f>
        <v>0</v>
      </c>
      <c r="BH202" s="20">
        <f t="shared" si="24"/>
        <v>0</v>
      </c>
      <c r="BI202" s="20">
        <f t="shared" si="25"/>
        <v>22</v>
      </c>
      <c r="BJ202" s="20">
        <f t="shared" si="26"/>
        <v>0</v>
      </c>
      <c r="BK202" s="218">
        <f>IFERROR(SUM(DATA[[#This Row],[fs_fd_ttd]:[fend_fenf_ttd]]),0)</f>
        <v>22</v>
      </c>
      <c r="BL202" s="20" t="str">
        <f>IF(DATA[[#This Row],[fecha_fs]]&gt;0,TEXT(DATA[[#This Row],[fecha_fs]],"YYYY"),0)</f>
        <v>2025</v>
      </c>
      <c r="BM202" s="221" t="b">
        <v>1</v>
      </c>
      <c r="BN202" s="278">
        <f>COUNTIF(DATA[[#This Row],[tiempo_td]], "&lt;=15")</f>
        <v>0</v>
      </c>
      <c r="BO202" s="222"/>
    </row>
    <row r="203" spans="1:67" ht="30.6" customHeight="1" x14ac:dyDescent="0.25">
      <c r="A203" s="4">
        <v>20100192064</v>
      </c>
      <c r="B203" s="5" t="s">
        <v>60</v>
      </c>
      <c r="C203" s="52" t="s">
        <v>65</v>
      </c>
      <c r="D203" s="4" t="s">
        <v>120</v>
      </c>
      <c r="E203" s="5" t="s">
        <v>3</v>
      </c>
      <c r="F203" s="24">
        <v>45699</v>
      </c>
      <c r="G203" s="7" t="s">
        <v>142</v>
      </c>
      <c r="H203" s="25">
        <f t="shared" si="21"/>
        <v>2</v>
      </c>
      <c r="I203" s="67">
        <v>1046</v>
      </c>
      <c r="J203" s="8" t="s">
        <v>115</v>
      </c>
      <c r="K203" s="9" t="s">
        <v>121</v>
      </c>
      <c r="L203" s="10" t="s">
        <v>117</v>
      </c>
      <c r="M203" s="11">
        <v>820</v>
      </c>
      <c r="N203" s="12" t="s">
        <v>143</v>
      </c>
      <c r="O203" s="6">
        <v>45714</v>
      </c>
      <c r="P203" s="71">
        <v>3320</v>
      </c>
      <c r="Q203" s="14" t="s">
        <v>123</v>
      </c>
      <c r="R203" s="15">
        <f>(DATA[[#This Row],[cantidad_fs]]/1000)*(37+81.01)</f>
        <v>96.768199999999993</v>
      </c>
      <c r="S203" s="15">
        <v>103.6</v>
      </c>
      <c r="T203" s="15">
        <f>DATA[[#This Row],[C. DF]]+DATA[[#This Row],[C.OPE.]]</f>
        <v>200.3682</v>
      </c>
      <c r="U203" s="15">
        <f>DATA[[#This Row],[SUB TOTAL]]*0.18</f>
        <v>36.066276000000002</v>
      </c>
      <c r="V203" s="15">
        <f>IFERROR(ROUND(DATA[[#This Row],[SUB TOTAL]]+DATA[[#This Row],[IGV]],2),0)</f>
        <v>236.43</v>
      </c>
      <c r="W203" s="16" t="str">
        <f>IF(DATA[[#This Row],[VALORIZACIÓN ]]="-","NO CORRESPONDE",IF(OR(A203=20558226979,A203=10470707866,A203=20111157058,A203=20100226902),"NO CORRESPONDE",IF(J203="Emitida",IF(P203&gt;0,"EMITIDA","PENDIENTE"),"NO CORRESPONDE")))</f>
        <v>EMITIDA</v>
      </c>
      <c r="X203" s="29"/>
      <c r="Y203" s="17" t="s">
        <v>118</v>
      </c>
      <c r="Z203" s="30">
        <v>45716</v>
      </c>
      <c r="AA203" s="10" t="s">
        <v>124</v>
      </c>
      <c r="AB203" s="19">
        <v>583</v>
      </c>
      <c r="AC203" s="20">
        <v>15</v>
      </c>
      <c r="AD203" s="18">
        <f>DATA[[#This Row],[FECHA DE EMISION]]+DATA[[#This Row],[CONDICION DE PAGO]]</f>
        <v>45731</v>
      </c>
      <c r="AE203" s="23" t="e">
        <f>IF(DATA[[#This Row],[MONEDA]]="USD",VLOOKUP(DATA[[#This Row],[COMBINADA]],#REF!,11,0),1)</f>
        <v>#REF!</v>
      </c>
      <c r="AF203" s="39" t="str">
        <f>IF(DATA[[#This Row],[SERIE2]]="-","NO CORRESPONDE",IF(W203="NO CORRESPONDE","NO CORRESPONDE",IF(Z203&gt;0,"FACTURADO","PENDIENTE")))</f>
        <v>FACTURADO</v>
      </c>
      <c r="AG203" s="27">
        <f>IFERROR(VLOOKUP(DATA[[#This Row],[COMBINADA]],#REF!,6,0),0)</f>
        <v>0</v>
      </c>
      <c r="AH203" s="125">
        <f>IFERROR(VLOOKUP(DATA[[#This Row],[COMBINADA]],#REF!,9,0),0)/COUNTIFS(DATA[COMBINADA],DATA[[#This Row],[COMBINADA]])</f>
        <v>0</v>
      </c>
      <c r="AI203" s="27">
        <f>IFERROR(VLOOKUP(DATA[[#This Row],[COMBINADA]],#REF!,6,0),0)</f>
        <v>0</v>
      </c>
      <c r="AJ203" s="125">
        <f>IFERROR(VLOOKUP(DATA[[#This Row],[COMBINADA]],#REF!,9,0),0)/COUNTIFS(DATA[COMBINADA],DATA[[#This Row],[COMBINADA]])</f>
        <v>0</v>
      </c>
      <c r="AK203" s="27">
        <f>IFERROR(VLOOKUP(DATA[[#This Row],[COMBINADA]],#REF!,6,0),0)</f>
        <v>0</v>
      </c>
      <c r="AL203" s="125">
        <f>IFERROR(VLOOKUP(DATA[[#This Row],[COMBINADA]],#REF!,9,0),0)/COUNTIFS(DATA[COMBINADA],DATA[[#This Row],[COMBINADA]])</f>
        <v>0</v>
      </c>
      <c r="AM203" s="27">
        <f>IFERROR(VLOOKUP(DATA[[#This Row],[COMBINADA]],#REF!,6,0),0)</f>
        <v>0</v>
      </c>
      <c r="AN203" s="125">
        <f>IFERROR(VLOOKUP(DATA[[#This Row],[COMBINADA]],#REF!,9,0),0)/COUNTIFS(DATA[COMBINADA],DATA[[#This Row],[COMBINADA]])</f>
        <v>0</v>
      </c>
      <c r="AO203" s="27">
        <f>IFERROR(VLOOKUP(DATA[[#This Row],[COMBINADA]],#REF!,6,0),0)</f>
        <v>0</v>
      </c>
      <c r="AP203" s="125">
        <f>IFERROR(VLOOKUP(DATA[[#This Row],[COMBINADA]],#REF!,9,0),0)/COUNTIFS(DATA[COMBINADA],DATA[[#This Row],[COMBINADA]])</f>
        <v>0</v>
      </c>
      <c r="AQ20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677.24384615384611</v>
      </c>
      <c r="AR203" s="26" t="str">
        <f>IFERROR(IF(DATA[[#This Row],[estado_fact]]="FACTURADO",VLOOKUP(DATA[[#This Row],[SERIE2]]&amp;"-"&amp;DATA[[#This Row],[NUMERO]],#REF!,34,0),"NO CORRESPONDE"),"NO CORRESPONDE")</f>
        <v>NO CORRESPONDE</v>
      </c>
      <c r="AS203" s="65" t="str">
        <f>IF(DATA[[#This Row],[fecha_fs]]&gt;0,TEXT(DATA[[#This Row],[fecha_fs]],"Mmmm"),0)</f>
        <v>Febrero</v>
      </c>
      <c r="AT203" s="22" t="str">
        <f>DATA[[#This Row],[SERIE2]]&amp;"-"&amp;DATA[[#This Row],[NUMERO]]</f>
        <v>FE01-583</v>
      </c>
      <c r="AU203" s="28" t="e">
        <f>DATA[[#This Row],[TOTAL]]*DATA[[#This Row],[T.C.]]</f>
        <v>#REF!</v>
      </c>
      <c r="AV203" s="6">
        <f>DATA[[#This Row],[FECHA DE VAL.]]</f>
        <v>45714</v>
      </c>
      <c r="AW203" s="6">
        <f>DATA[[#This Row],[FECHA DE EMISION]]</f>
        <v>45716</v>
      </c>
      <c r="AX203" s="6">
        <f>DATA[[#This Row],[F1]]</f>
        <v>0</v>
      </c>
      <c r="AY203" s="20">
        <f>IF(AV203-DATA[[#This Row],[fecha_fs]]&lt;0,0,AV203-DATA[[#This Row],[fecha_fs]])</f>
        <v>15</v>
      </c>
      <c r="AZ203" s="20">
        <f t="shared" si="22"/>
        <v>2</v>
      </c>
      <c r="BA203" s="20">
        <f t="shared" si="23"/>
        <v>0</v>
      </c>
      <c r="BB203" s="195">
        <f>IFERROR(SUM(DATA[[#This Row],[fs_val_ttf]:[fact_pago_ttf]]),0)</f>
        <v>17</v>
      </c>
      <c r="BC203" s="185">
        <v>45701</v>
      </c>
      <c r="BD203" s="185">
        <v>45735</v>
      </c>
      <c r="BE203" s="185">
        <v>45737</v>
      </c>
      <c r="BF203" s="185">
        <v>45760</v>
      </c>
      <c r="BG203" s="20">
        <f>IFERROR(IF(BC203-DATA[[#This Row],[fecha_fs]]&lt;0,0,BC203-DATA[[#This Row],[fecha_fs]]),0)</f>
        <v>2</v>
      </c>
      <c r="BH203" s="20">
        <f t="shared" si="24"/>
        <v>34</v>
      </c>
      <c r="BI203" s="20">
        <f t="shared" si="25"/>
        <v>2</v>
      </c>
      <c r="BJ203" s="20">
        <f t="shared" si="26"/>
        <v>23</v>
      </c>
      <c r="BK203" s="218">
        <f>IFERROR(SUM(DATA[[#This Row],[fs_fd_ttd]:[fend_fenf_ttd]]),0)</f>
        <v>61</v>
      </c>
      <c r="BL203" s="20" t="str">
        <f>IF(DATA[[#This Row],[fecha_fs]]&gt;0,TEXT(DATA[[#This Row],[fecha_fs]],"YYYY"),0)</f>
        <v>2025</v>
      </c>
      <c r="BM203" s="221" t="b">
        <v>1</v>
      </c>
      <c r="BN203" s="278">
        <f>COUNTIF(DATA[[#This Row],[tiempo_td]], "&lt;=15")</f>
        <v>0</v>
      </c>
      <c r="BO203" s="222"/>
    </row>
    <row r="204" spans="1:67" ht="30.6" customHeight="1" x14ac:dyDescent="0.25">
      <c r="A204" s="4">
        <v>20100192064</v>
      </c>
      <c r="B204" s="5" t="s">
        <v>60</v>
      </c>
      <c r="C204" s="52" t="s">
        <v>65</v>
      </c>
      <c r="D204" s="4" t="s">
        <v>112</v>
      </c>
      <c r="E204" s="5" t="s">
        <v>1</v>
      </c>
      <c r="F204" s="24">
        <v>45700</v>
      </c>
      <c r="G204" s="7" t="s">
        <v>142</v>
      </c>
      <c r="H204" s="25">
        <f t="shared" si="21"/>
        <v>2</v>
      </c>
      <c r="I204" s="67">
        <v>1047</v>
      </c>
      <c r="J204" s="8" t="s">
        <v>115</v>
      </c>
      <c r="K204" s="9" t="s">
        <v>116</v>
      </c>
      <c r="L204" s="10" t="s">
        <v>117</v>
      </c>
      <c r="M204" s="11">
        <v>6500</v>
      </c>
      <c r="N204" s="12" t="s">
        <v>143</v>
      </c>
      <c r="O204" s="6">
        <v>45714</v>
      </c>
      <c r="P204" s="71">
        <v>3321</v>
      </c>
      <c r="Q204" s="14" t="s">
        <v>123</v>
      </c>
      <c r="R204" s="15">
        <f>(DATA[[#This Row],[cantidad_fs]]/1000)*(147+81.01)</f>
        <v>1482.0650000000001</v>
      </c>
      <c r="S204" s="15">
        <v>103.6</v>
      </c>
      <c r="T204" s="15">
        <f>DATA[[#This Row],[C. DF]]+DATA[[#This Row],[C.OPE.]]</f>
        <v>1585.665</v>
      </c>
      <c r="U204" s="15">
        <f>DATA[[#This Row],[SUB TOTAL]]*0.18</f>
        <v>285.41969999999998</v>
      </c>
      <c r="V204" s="15">
        <f>IFERROR(ROUND(DATA[[#This Row],[SUB TOTAL]]+DATA[[#This Row],[IGV]],2),0)</f>
        <v>1871.08</v>
      </c>
      <c r="W204" s="16" t="str">
        <f>IF(DATA[[#This Row],[VALORIZACIÓN ]]="-","NO CORRESPONDE",IF(OR(A204=20558226979,A204=10470707866,A204=20111157058,A204=20100226902),"NO CORRESPONDE",IF(J204="Emitida",IF(P204&gt;0,"EMITIDA","PENDIENTE"),"NO CORRESPONDE")))</f>
        <v>EMITIDA</v>
      </c>
      <c r="X204" s="29"/>
      <c r="Y204" s="17" t="s">
        <v>118</v>
      </c>
      <c r="Z204" s="30">
        <v>45716</v>
      </c>
      <c r="AA204" s="10" t="s">
        <v>124</v>
      </c>
      <c r="AB204" s="19">
        <v>583</v>
      </c>
      <c r="AC204" s="20">
        <v>15</v>
      </c>
      <c r="AD204" s="18">
        <f>DATA[[#This Row],[FECHA DE EMISION]]+DATA[[#This Row],[CONDICION DE PAGO]]</f>
        <v>45731</v>
      </c>
      <c r="AE204" s="23" t="e">
        <f>IF(DATA[[#This Row],[MONEDA]]="USD",VLOOKUP(DATA[[#This Row],[COMBINADA]],#REF!,11,0),1)</f>
        <v>#REF!</v>
      </c>
      <c r="AF204" s="39" t="str">
        <f>IF(DATA[[#This Row],[SERIE2]]="-","NO CORRESPONDE",IF(W204="NO CORRESPONDE","NO CORRESPONDE",IF(Z204&gt;0,"FACTURADO","PENDIENTE")))</f>
        <v>FACTURADO</v>
      </c>
      <c r="AG204" s="27">
        <f>IFERROR(VLOOKUP(DATA[[#This Row],[COMBINADA]],#REF!,6,0),0)</f>
        <v>0</v>
      </c>
      <c r="AH204" s="125">
        <f>IFERROR(VLOOKUP(DATA[[#This Row],[COMBINADA]],#REF!,9,0),0)/COUNTIFS(DATA[COMBINADA],DATA[[#This Row],[COMBINADA]])</f>
        <v>0</v>
      </c>
      <c r="AI204" s="27">
        <f>IFERROR(VLOOKUP(DATA[[#This Row],[COMBINADA]],#REF!,6,0),0)</f>
        <v>0</v>
      </c>
      <c r="AJ204" s="125">
        <f>IFERROR(VLOOKUP(DATA[[#This Row],[COMBINADA]],#REF!,9,0),0)/COUNTIFS(DATA[COMBINADA],DATA[[#This Row],[COMBINADA]])</f>
        <v>0</v>
      </c>
      <c r="AK204" s="27">
        <f>IFERROR(VLOOKUP(DATA[[#This Row],[COMBINADA]],#REF!,6,0),0)</f>
        <v>0</v>
      </c>
      <c r="AL204" s="125">
        <f>IFERROR(VLOOKUP(DATA[[#This Row],[COMBINADA]],#REF!,9,0),0)/COUNTIFS(DATA[COMBINADA],DATA[[#This Row],[COMBINADA]])</f>
        <v>0</v>
      </c>
      <c r="AM204" s="27">
        <f>IFERROR(VLOOKUP(DATA[[#This Row],[COMBINADA]],#REF!,6,0),0)</f>
        <v>0</v>
      </c>
      <c r="AN204" s="125">
        <f>IFERROR(VLOOKUP(DATA[[#This Row],[COMBINADA]],#REF!,9,0),0)/COUNTIFS(DATA[COMBINADA],DATA[[#This Row],[COMBINADA]])</f>
        <v>0</v>
      </c>
      <c r="AO204" s="27">
        <f>IFERROR(VLOOKUP(DATA[[#This Row],[COMBINADA]],#REF!,6,0),0)</f>
        <v>0</v>
      </c>
      <c r="AP204" s="125">
        <f>IFERROR(VLOOKUP(DATA[[#This Row],[COMBINADA]],#REF!,9,0),0)/COUNTIFS(DATA[COMBINADA],DATA[[#This Row],[COMBINADA]])</f>
        <v>0</v>
      </c>
      <c r="AQ20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677.24384615384611</v>
      </c>
      <c r="AR204" s="26" t="str">
        <f>IFERROR(IF(DATA[[#This Row],[estado_fact]]="FACTURADO",VLOOKUP(DATA[[#This Row],[SERIE2]]&amp;"-"&amp;DATA[[#This Row],[NUMERO]],#REF!,34,0),"NO CORRESPONDE"),"NO CORRESPONDE")</f>
        <v>NO CORRESPONDE</v>
      </c>
      <c r="AS204" s="65" t="str">
        <f>IF(DATA[[#This Row],[fecha_fs]]&gt;0,TEXT(DATA[[#This Row],[fecha_fs]],"Mmmm"),0)</f>
        <v>Febrero</v>
      </c>
      <c r="AT204" s="22" t="str">
        <f>DATA[[#This Row],[SERIE2]]&amp;"-"&amp;DATA[[#This Row],[NUMERO]]</f>
        <v>FE01-583</v>
      </c>
      <c r="AU204" s="28" t="e">
        <f>DATA[[#This Row],[TOTAL]]*DATA[[#This Row],[T.C.]]</f>
        <v>#REF!</v>
      </c>
      <c r="AV204" s="6">
        <f>DATA[[#This Row],[FECHA DE VAL.]]</f>
        <v>45714</v>
      </c>
      <c r="AW204" s="6">
        <f>DATA[[#This Row],[FECHA DE EMISION]]</f>
        <v>45716</v>
      </c>
      <c r="AX204" s="6">
        <f>DATA[[#This Row],[F1]]</f>
        <v>0</v>
      </c>
      <c r="AY204" s="20">
        <f>IF(AV204-DATA[[#This Row],[fecha_fs]]&lt;0,0,AV204-DATA[[#This Row],[fecha_fs]])</f>
        <v>14</v>
      </c>
      <c r="AZ204" s="20">
        <f t="shared" si="22"/>
        <v>2</v>
      </c>
      <c r="BA204" s="20">
        <f t="shared" si="23"/>
        <v>0</v>
      </c>
      <c r="BB204" s="195">
        <f>IFERROR(SUM(DATA[[#This Row],[fs_val_ttf]:[fact_pago_ttf]]),0)</f>
        <v>16</v>
      </c>
      <c r="BC204" s="185">
        <v>45700</v>
      </c>
      <c r="BD204" s="185">
        <v>45707</v>
      </c>
      <c r="BE204" s="185">
        <v>45729</v>
      </c>
      <c r="BF204" s="185">
        <v>45760</v>
      </c>
      <c r="BG204" s="20">
        <f>IFERROR(IF(BC204-DATA[[#This Row],[fecha_fs]]&lt;0,0,BC204-DATA[[#This Row],[fecha_fs]]),0)</f>
        <v>0</v>
      </c>
      <c r="BH204" s="20">
        <f t="shared" si="24"/>
        <v>7</v>
      </c>
      <c r="BI204" s="20">
        <f t="shared" si="25"/>
        <v>22</v>
      </c>
      <c r="BJ204" s="20">
        <f t="shared" si="26"/>
        <v>31</v>
      </c>
      <c r="BK204" s="218">
        <f>IFERROR(SUM(DATA[[#This Row],[fs_fd_ttd]:[fend_fenf_ttd]]),0)</f>
        <v>60</v>
      </c>
      <c r="BL204" s="20" t="str">
        <f>IF(DATA[[#This Row],[fecha_fs]]&gt;0,TEXT(DATA[[#This Row],[fecha_fs]],"YYYY"),0)</f>
        <v>2025</v>
      </c>
      <c r="BM204" s="221" t="b">
        <v>1</v>
      </c>
      <c r="BN204" s="278">
        <f>COUNTIF(DATA[[#This Row],[tiempo_td]], "&lt;=15")</f>
        <v>0</v>
      </c>
      <c r="BO204" s="222"/>
    </row>
    <row r="205" spans="1:67" ht="30.6" customHeight="1" x14ac:dyDescent="0.25">
      <c r="A205" s="4">
        <v>20419158462</v>
      </c>
      <c r="B205" s="5" t="s">
        <v>2</v>
      </c>
      <c r="C205" s="52" t="s">
        <v>147</v>
      </c>
      <c r="D205" s="4" t="s">
        <v>120</v>
      </c>
      <c r="E205" s="5" t="s">
        <v>3</v>
      </c>
      <c r="F205" s="24">
        <v>45699</v>
      </c>
      <c r="G205" s="7" t="s">
        <v>113</v>
      </c>
      <c r="H205" s="25">
        <f t="shared" si="21"/>
        <v>1</v>
      </c>
      <c r="I205" s="67">
        <v>4096</v>
      </c>
      <c r="J205" s="8" t="s">
        <v>115</v>
      </c>
      <c r="K205" s="9" t="s">
        <v>121</v>
      </c>
      <c r="L205" s="10" t="s">
        <v>117</v>
      </c>
      <c r="M205" s="11">
        <v>4080</v>
      </c>
      <c r="N205" s="12" t="s">
        <v>129</v>
      </c>
      <c r="O205" s="6">
        <v>45700</v>
      </c>
      <c r="P205" s="82">
        <v>3286</v>
      </c>
      <c r="Q205" s="14" t="s">
        <v>85</v>
      </c>
      <c r="R205" s="15">
        <f>DATA[[#This Row],[cantidad_fs]]*0.67</f>
        <v>2733.6000000000004</v>
      </c>
      <c r="S205" s="56">
        <v>839.7</v>
      </c>
      <c r="T205" s="15">
        <f>DATA[[#This Row],[C. DF]]+DATA[[#This Row],[C.OPE.]]</f>
        <v>3573.3</v>
      </c>
      <c r="U205" s="15">
        <f>DATA[[#This Row],[SUB TOTAL]]*0.18</f>
        <v>643.19399999999996</v>
      </c>
      <c r="V205" s="15">
        <f>IFERROR(ROUND(DATA[[#This Row],[SUB TOTAL]]+DATA[[#This Row],[IGV]],2),0)</f>
        <v>4216.49</v>
      </c>
      <c r="W205" s="16" t="str">
        <f>IF(DATA[[#This Row],[VALORIZACIÓN ]]="-","NO CORRESPONDE",IF(OR(A205=20558226979,A205=10470707866,A205=20111157058,A205=20100226902),"NO CORRESPONDE",IF(J205="Emitida",IF(P205&gt;0,"EMITIDA","PENDIENTE"),"NO CORRESPONDE")))</f>
        <v>EMITIDA</v>
      </c>
      <c r="X205" s="29"/>
      <c r="Y205" s="17" t="s">
        <v>118</v>
      </c>
      <c r="Z205" s="30">
        <v>45770</v>
      </c>
      <c r="AA205" s="10" t="s">
        <v>150</v>
      </c>
      <c r="AB205" s="19">
        <v>47</v>
      </c>
      <c r="AC205" s="20">
        <v>15</v>
      </c>
      <c r="AD205" s="18">
        <f>DATA[[#This Row],[FECHA DE EMISION]]+DATA[[#This Row],[CONDICION DE PAGO]]</f>
        <v>45785</v>
      </c>
      <c r="AE205" s="23">
        <f>IF(DATA[[#This Row],[MONEDA]]="USD",VLOOKUP(DATA[[#This Row],[COMBINADA]],#REF!,11,0),1)</f>
        <v>1</v>
      </c>
      <c r="AF205" s="39" t="str">
        <f>IF(DATA[[#This Row],[SERIE2]]="-","NO CORRESPONDE",IF(W205="NO CORRESPONDE","NO CORRESPONDE",IF(Z205&gt;0,"FACTURADO","PENDIENTE")))</f>
        <v>FACTURADO</v>
      </c>
      <c r="AG205" s="27">
        <f>IFERROR(VLOOKUP(DATA[[#This Row],[COMBINADA]],#REF!,6,0),0)</f>
        <v>0</v>
      </c>
      <c r="AH205" s="125">
        <f>IFERROR(VLOOKUP(DATA[[#This Row],[COMBINADA]],#REF!,9,0),0)/COUNTIFS(DATA[COMBINADA],DATA[[#This Row],[COMBINADA]])</f>
        <v>0</v>
      </c>
      <c r="AI205" s="27">
        <f>IFERROR(VLOOKUP(DATA[[#This Row],[COMBINADA]],#REF!,6,0),0)</f>
        <v>0</v>
      </c>
      <c r="AJ205" s="125">
        <f>IFERROR(VLOOKUP(DATA[[#This Row],[COMBINADA]],#REF!,9,0),0)/COUNTIFS(DATA[COMBINADA],DATA[[#This Row],[COMBINADA]])</f>
        <v>0</v>
      </c>
      <c r="AK205" s="27">
        <f>IFERROR(VLOOKUP(DATA[[#This Row],[COMBINADA]],#REF!,6,0),0)</f>
        <v>0</v>
      </c>
      <c r="AL205" s="125">
        <f>IFERROR(VLOOKUP(DATA[[#This Row],[COMBINADA]],#REF!,9,0),0)/COUNTIFS(DATA[COMBINADA],DATA[[#This Row],[COMBINADA]])</f>
        <v>0</v>
      </c>
      <c r="AM205" s="27">
        <f>IFERROR(VLOOKUP(DATA[[#This Row],[COMBINADA]],#REF!,6,0),0)</f>
        <v>0</v>
      </c>
      <c r="AN205" s="125">
        <f>IFERROR(VLOOKUP(DATA[[#This Row],[COMBINADA]],#REF!,9,0),0)/COUNTIFS(DATA[COMBINADA],DATA[[#This Row],[COMBINADA]])</f>
        <v>0</v>
      </c>
      <c r="AO205" s="27">
        <f>IFERROR(VLOOKUP(DATA[[#This Row],[COMBINADA]],#REF!,6,0),0)</f>
        <v>0</v>
      </c>
      <c r="AP205" s="125">
        <f>IFERROR(VLOOKUP(DATA[[#This Row],[COMBINADA]],#REF!,9,0),0)/COUNTIFS(DATA[COMBINADA],DATA[[#This Row],[COMBINADA]])</f>
        <v>0</v>
      </c>
      <c r="AQ20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3640.89</v>
      </c>
      <c r="AR205" s="26" t="str">
        <f>IFERROR(IF(DATA[[#This Row],[estado_fact]]="FACTURADO",VLOOKUP(DATA[[#This Row],[SERIE2]]&amp;"-"&amp;DATA[[#This Row],[NUMERO]],#REF!,34,0),"NO CORRESPONDE"),"NO CORRESPONDE")</f>
        <v>NO CORRESPONDE</v>
      </c>
      <c r="AS205" s="65" t="str">
        <f>IF(DATA[[#This Row],[fecha_fs]]&gt;0,TEXT(DATA[[#This Row],[fecha_fs]],"Mmmm"),0)</f>
        <v>Febrero</v>
      </c>
      <c r="AT205" s="22" t="str">
        <f>DATA[[#This Row],[SERIE2]]&amp;"-"&amp;DATA[[#This Row],[NUMERO]]</f>
        <v>FF01-47</v>
      </c>
      <c r="AU205" s="28">
        <f>DATA[[#This Row],[TOTAL]]*DATA[[#This Row],[T.C.]]</f>
        <v>4216.49</v>
      </c>
      <c r="AV205" s="6">
        <f>DATA[[#This Row],[FECHA DE VAL.]]</f>
        <v>45700</v>
      </c>
      <c r="AW205" s="6">
        <f>DATA[[#This Row],[FECHA DE EMISION]]</f>
        <v>45770</v>
      </c>
      <c r="AX205" s="6">
        <f>DATA[[#This Row],[F1]]</f>
        <v>0</v>
      </c>
      <c r="AY205" s="20">
        <f>IF(AV205-DATA[[#This Row],[fecha_fs]]&lt;0,0,AV205-DATA[[#This Row],[fecha_fs]])</f>
        <v>1</v>
      </c>
      <c r="AZ205" s="20">
        <f t="shared" si="22"/>
        <v>70</v>
      </c>
      <c r="BA205" s="20">
        <f t="shared" si="23"/>
        <v>0</v>
      </c>
      <c r="BB205" s="195">
        <f>IFERROR(SUM(DATA[[#This Row],[fs_val_ttf]:[fact_pago_ttf]]),0)</f>
        <v>71</v>
      </c>
      <c r="BC205" s="185">
        <v>45734</v>
      </c>
      <c r="BD205" s="185">
        <v>45735</v>
      </c>
      <c r="BE205" s="185">
        <v>45740</v>
      </c>
      <c r="BF205" s="185">
        <v>45754</v>
      </c>
      <c r="BG205" s="20">
        <f>IFERROR(IF(BC205-DATA[[#This Row],[fecha_fs]]&lt;0,0,BC205-DATA[[#This Row],[fecha_fs]]),0)</f>
        <v>35</v>
      </c>
      <c r="BH205" s="20">
        <f t="shared" si="24"/>
        <v>1</v>
      </c>
      <c r="BI205" s="20">
        <f t="shared" si="25"/>
        <v>5</v>
      </c>
      <c r="BJ205" s="20">
        <f t="shared" si="26"/>
        <v>14</v>
      </c>
      <c r="BK205" s="218">
        <f>IFERROR(SUM(DATA[[#This Row],[fs_fd_ttd]:[fend_fenf_ttd]]),0)</f>
        <v>55</v>
      </c>
      <c r="BL205" s="20" t="str">
        <f>IF(DATA[[#This Row],[fecha_fs]]&gt;0,TEXT(DATA[[#This Row],[fecha_fs]],"YYYY"),0)</f>
        <v>2025</v>
      </c>
      <c r="BM205" s="221" t="b">
        <v>1</v>
      </c>
      <c r="BN205" s="278">
        <f>COUNTIF(DATA[[#This Row],[tiempo_td]], "&lt;=15")</f>
        <v>0</v>
      </c>
      <c r="BO205" s="222"/>
    </row>
    <row r="206" spans="1:67" ht="30.6" customHeight="1" x14ac:dyDescent="0.25">
      <c r="A206" s="4">
        <v>20454186002</v>
      </c>
      <c r="B206" s="5" t="s">
        <v>25</v>
      </c>
      <c r="C206" s="52" t="s">
        <v>26</v>
      </c>
      <c r="D206" s="4" t="s">
        <v>120</v>
      </c>
      <c r="E206" s="5" t="s">
        <v>3</v>
      </c>
      <c r="F206" s="24">
        <v>45701</v>
      </c>
      <c r="G206" s="7" t="s">
        <v>113</v>
      </c>
      <c r="H206" s="25">
        <f t="shared" si="21"/>
        <v>1</v>
      </c>
      <c r="I206" s="67">
        <v>4097</v>
      </c>
      <c r="J206" s="8" t="s">
        <v>115</v>
      </c>
      <c r="K206" s="9" t="s">
        <v>121</v>
      </c>
      <c r="L206" s="10" t="s">
        <v>117</v>
      </c>
      <c r="M206" s="11">
        <v>5330</v>
      </c>
      <c r="N206" s="12" t="s">
        <v>202</v>
      </c>
      <c r="O206" s="6">
        <v>45702</v>
      </c>
      <c r="P206" s="13">
        <v>3293</v>
      </c>
      <c r="Q206" s="14" t="s">
        <v>85</v>
      </c>
      <c r="R206" s="70">
        <f>3997.8+(DATA[[#This Row],[cantidad_fs]]-4000)*0.99</f>
        <v>5314.5</v>
      </c>
      <c r="S206" s="56"/>
      <c r="T206" s="15">
        <f>DATA[[#This Row],[C. DF]]+DATA[[#This Row],[C.OPE.]]</f>
        <v>5314.5</v>
      </c>
      <c r="U206" s="15">
        <f>DATA[[#This Row],[SUB TOTAL]]*0.18</f>
        <v>956.61</v>
      </c>
      <c r="V206" s="15">
        <f>IFERROR(ROUND(DATA[[#This Row],[SUB TOTAL]]+DATA[[#This Row],[IGV]],2),0)</f>
        <v>6271.11</v>
      </c>
      <c r="W206" s="16" t="str">
        <f>IF(DATA[[#This Row],[VALORIZACIÓN ]]="-","NO CORRESPONDE",IF(OR(A206=20558226979,A206=10470707866,A206=20111157058,A206=20100226902),"NO CORRESPONDE",IF(J206="Emitida",IF(P206&gt;0,"EMITIDA","PENDIENTE"),"NO CORRESPONDE")))</f>
        <v>EMITIDA</v>
      </c>
      <c r="X206" s="29"/>
      <c r="Y206" s="17" t="s">
        <v>118</v>
      </c>
      <c r="Z206" s="30">
        <v>45706</v>
      </c>
      <c r="AA206" s="10" t="s">
        <v>124</v>
      </c>
      <c r="AB206" s="19">
        <v>567</v>
      </c>
      <c r="AC206" s="20">
        <v>5</v>
      </c>
      <c r="AD206" s="18">
        <f>DATA[[#This Row],[FECHA DE EMISION]]+DATA[[#This Row],[CONDICION DE PAGO]]</f>
        <v>45711</v>
      </c>
      <c r="AE206" s="23">
        <f>IF(DATA[[#This Row],[MONEDA]]="USD",VLOOKUP(DATA[[#This Row],[COMBINADA]],#REF!,11,0),1)</f>
        <v>1</v>
      </c>
      <c r="AF206" s="39" t="str">
        <f>IF(DATA[[#This Row],[SERIE2]]="-","NO CORRESPONDE",IF(W206="NO CORRESPONDE","NO CORRESPONDE",IF(Z206&gt;0,"FACTURADO","PENDIENTE")))</f>
        <v>FACTURADO</v>
      </c>
      <c r="AG206" s="27">
        <f>IFERROR(VLOOKUP(DATA[[#This Row],[COMBINADA]],#REF!,6,0),0)</f>
        <v>0</v>
      </c>
      <c r="AH206" s="125">
        <f>IFERROR(VLOOKUP(DATA[[#This Row],[COMBINADA]],#REF!,9,0),0)/COUNTIFS(DATA[COMBINADA],DATA[[#This Row],[COMBINADA]])</f>
        <v>0</v>
      </c>
      <c r="AI206" s="27">
        <f>IFERROR(VLOOKUP(DATA[[#This Row],[COMBINADA]],#REF!,6,0),0)</f>
        <v>0</v>
      </c>
      <c r="AJ206" s="125">
        <f>IFERROR(VLOOKUP(DATA[[#This Row],[COMBINADA]],#REF!,9,0),0)/COUNTIFS(DATA[COMBINADA],DATA[[#This Row],[COMBINADA]])</f>
        <v>0</v>
      </c>
      <c r="AK206" s="27">
        <f>IFERROR(VLOOKUP(DATA[[#This Row],[COMBINADA]],#REF!,6,0),0)</f>
        <v>0</v>
      </c>
      <c r="AL206" s="125">
        <f>IFERROR(VLOOKUP(DATA[[#This Row],[COMBINADA]],#REF!,9,0),0)/COUNTIFS(DATA[COMBINADA],DATA[[#This Row],[COMBINADA]])</f>
        <v>0</v>
      </c>
      <c r="AM206" s="27">
        <f>IFERROR(VLOOKUP(DATA[[#This Row],[COMBINADA]],#REF!,6,0),0)</f>
        <v>0</v>
      </c>
      <c r="AN206" s="125">
        <f>IFERROR(VLOOKUP(DATA[[#This Row],[COMBINADA]],#REF!,9,0),0)/COUNTIFS(DATA[COMBINADA],DATA[[#This Row],[COMBINADA]])</f>
        <v>0</v>
      </c>
      <c r="AO206" s="27">
        <f>IFERROR(VLOOKUP(DATA[[#This Row],[COMBINADA]],#REF!,6,0),0)</f>
        <v>0</v>
      </c>
      <c r="AP206" s="125">
        <f>IFERROR(VLOOKUP(DATA[[#This Row],[COMBINADA]],#REF!,9,0),0)/COUNTIFS(DATA[COMBINADA],DATA[[#This Row],[COMBINADA]])</f>
        <v>0</v>
      </c>
      <c r="AQ20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6271.11</v>
      </c>
      <c r="AR206" s="26" t="str">
        <f>IFERROR(IF(DATA[[#This Row],[estado_fact]]="FACTURADO",VLOOKUP(DATA[[#This Row],[SERIE2]]&amp;"-"&amp;DATA[[#This Row],[NUMERO]],#REF!,34,0),"NO CORRESPONDE"),"NO CORRESPONDE")</f>
        <v>NO CORRESPONDE</v>
      </c>
      <c r="AS206" s="65" t="str">
        <f>IF(DATA[[#This Row],[fecha_fs]]&gt;0,TEXT(DATA[[#This Row],[fecha_fs]],"Mmmm"),0)</f>
        <v>Febrero</v>
      </c>
      <c r="AT206" s="22" t="str">
        <f>DATA[[#This Row],[SERIE2]]&amp;"-"&amp;DATA[[#This Row],[NUMERO]]</f>
        <v>FE01-567</v>
      </c>
      <c r="AU206" s="28">
        <f>DATA[[#This Row],[TOTAL]]*DATA[[#This Row],[T.C.]]</f>
        <v>6271.11</v>
      </c>
      <c r="AV206" s="6">
        <f>DATA[[#This Row],[FECHA DE VAL.]]</f>
        <v>45702</v>
      </c>
      <c r="AW206" s="6">
        <f>DATA[[#This Row],[FECHA DE EMISION]]</f>
        <v>45706</v>
      </c>
      <c r="AX206" s="6">
        <f>DATA[[#This Row],[F1]]</f>
        <v>0</v>
      </c>
      <c r="AY206" s="20">
        <f>IF(AV206-DATA[[#This Row],[fecha_fs]]&lt;0,0,AV206-DATA[[#This Row],[fecha_fs]])</f>
        <v>1</v>
      </c>
      <c r="AZ206" s="20">
        <f t="shared" si="22"/>
        <v>4</v>
      </c>
      <c r="BA206" s="20">
        <f t="shared" si="23"/>
        <v>0</v>
      </c>
      <c r="BB206" s="195">
        <f>IFERROR(SUM(DATA[[#This Row],[fs_val_ttf]:[fact_pago_ttf]]),0)</f>
        <v>5</v>
      </c>
      <c r="BC206" s="185">
        <v>45705</v>
      </c>
      <c r="BD206" s="185">
        <v>45749</v>
      </c>
      <c r="BE206" s="185">
        <v>45729</v>
      </c>
      <c r="BF206" s="185">
        <v>45734</v>
      </c>
      <c r="BG206" s="20">
        <f>IFERROR(IF(BC206-DATA[[#This Row],[fecha_fs]]&lt;0,0,BC206-DATA[[#This Row],[fecha_fs]]),0)</f>
        <v>4</v>
      </c>
      <c r="BH206" s="20">
        <f t="shared" si="24"/>
        <v>44</v>
      </c>
      <c r="BI206" s="20">
        <f t="shared" si="25"/>
        <v>0</v>
      </c>
      <c r="BJ206" s="20">
        <f t="shared" si="26"/>
        <v>5</v>
      </c>
      <c r="BK206" s="218">
        <f>IFERROR(SUM(DATA[[#This Row],[fs_fd_ttd]:[fend_fenf_ttd]]),0)</f>
        <v>53</v>
      </c>
      <c r="BL206" s="20" t="str">
        <f>IF(DATA[[#This Row],[fecha_fs]]&gt;0,TEXT(DATA[[#This Row],[fecha_fs]],"YYYY"),0)</f>
        <v>2025</v>
      </c>
      <c r="BM206" s="221" t="b">
        <v>0</v>
      </c>
      <c r="BN206" s="278">
        <f>COUNTIF(DATA[[#This Row],[tiempo_td]], "&lt;=15")</f>
        <v>0</v>
      </c>
      <c r="BO206" s="222"/>
    </row>
    <row r="207" spans="1:67" ht="30.6" customHeight="1" x14ac:dyDescent="0.25">
      <c r="A207" s="4">
        <v>20454186002</v>
      </c>
      <c r="B207" s="5" t="s">
        <v>25</v>
      </c>
      <c r="C207" s="52" t="s">
        <v>26</v>
      </c>
      <c r="D207" s="4" t="s">
        <v>112</v>
      </c>
      <c r="E207" s="5" t="s">
        <v>1</v>
      </c>
      <c r="F207" s="24">
        <v>45701</v>
      </c>
      <c r="G207" s="7" t="s">
        <v>113</v>
      </c>
      <c r="H207" s="25">
        <f t="shared" si="21"/>
        <v>1</v>
      </c>
      <c r="I207" s="67">
        <v>4098</v>
      </c>
      <c r="J207" s="8" t="s">
        <v>115</v>
      </c>
      <c r="K207" s="9" t="s">
        <v>116</v>
      </c>
      <c r="L207" s="10" t="s">
        <v>117</v>
      </c>
      <c r="M207" s="11">
        <f>950+1280</f>
        <v>2230</v>
      </c>
      <c r="N207" s="12" t="s">
        <v>202</v>
      </c>
      <c r="O207" s="6">
        <v>45702</v>
      </c>
      <c r="P207" s="13">
        <v>3294</v>
      </c>
      <c r="Q207" s="14" t="s">
        <v>85</v>
      </c>
      <c r="R207" s="70">
        <f>(DATA[[#This Row],[cantidad_fs]]-950)*0.45</f>
        <v>576</v>
      </c>
      <c r="S207" s="56">
        <v>2997</v>
      </c>
      <c r="T207" s="15">
        <f>DATA[[#This Row],[C. DF]]+DATA[[#This Row],[C.OPE.]]</f>
        <v>3573</v>
      </c>
      <c r="U207" s="15">
        <f>DATA[[#This Row],[SUB TOTAL]]*0.18</f>
        <v>643.14</v>
      </c>
      <c r="V207" s="15">
        <f>IFERROR(ROUND(DATA[[#This Row],[SUB TOTAL]]+DATA[[#This Row],[IGV]],2),0)</f>
        <v>4216.1400000000003</v>
      </c>
      <c r="W207" s="16" t="str">
        <f>IF(DATA[[#This Row],[VALORIZACIÓN ]]="-","NO CORRESPONDE",IF(OR(A207=20558226979,A207=10470707866,A207=20111157058,A207=20100226902),"NO CORRESPONDE",IF(J207="Emitida",IF(P207&gt;0,"EMITIDA","PENDIENTE"),"NO CORRESPONDE")))</f>
        <v>EMITIDA</v>
      </c>
      <c r="X207" s="29"/>
      <c r="Y207" s="17" t="s">
        <v>118</v>
      </c>
      <c r="Z207" s="30">
        <v>45706</v>
      </c>
      <c r="AA207" s="10" t="s">
        <v>124</v>
      </c>
      <c r="AB207" s="19">
        <v>568</v>
      </c>
      <c r="AC207" s="20">
        <v>7</v>
      </c>
      <c r="AD207" s="18">
        <f>DATA[[#This Row],[FECHA DE EMISION]]+DATA[[#This Row],[CONDICION DE PAGO]]</f>
        <v>45713</v>
      </c>
      <c r="AE207" s="23">
        <f>IF(DATA[[#This Row],[MONEDA]]="USD",VLOOKUP(DATA[[#This Row],[COMBINADA]],#REF!,11,0),1)</f>
        <v>1</v>
      </c>
      <c r="AF207" s="39" t="str">
        <f>IF(DATA[[#This Row],[SERIE2]]="-","NO CORRESPONDE",IF(W207="NO CORRESPONDE","NO CORRESPONDE",IF(Z207&gt;0,"FACTURADO","PENDIENTE")))</f>
        <v>FACTURADO</v>
      </c>
      <c r="AG207" s="27">
        <f>IFERROR(VLOOKUP(DATA[[#This Row],[COMBINADA]],#REF!,6,0),0)</f>
        <v>0</v>
      </c>
      <c r="AH207" s="125">
        <f>IFERROR(VLOOKUP(DATA[[#This Row],[COMBINADA]],#REF!,9,0),0)/COUNTIFS(DATA[COMBINADA],DATA[[#This Row],[COMBINADA]])</f>
        <v>0</v>
      </c>
      <c r="AI207" s="27">
        <f>IFERROR(VLOOKUP(DATA[[#This Row],[COMBINADA]],#REF!,6,0),0)</f>
        <v>0</v>
      </c>
      <c r="AJ207" s="125">
        <f>IFERROR(VLOOKUP(DATA[[#This Row],[COMBINADA]],#REF!,9,0),0)/COUNTIFS(DATA[COMBINADA],DATA[[#This Row],[COMBINADA]])</f>
        <v>0</v>
      </c>
      <c r="AK207" s="27">
        <f>IFERROR(VLOOKUP(DATA[[#This Row],[COMBINADA]],#REF!,6,0),0)</f>
        <v>0</v>
      </c>
      <c r="AL207" s="125">
        <f>IFERROR(VLOOKUP(DATA[[#This Row],[COMBINADA]],#REF!,9,0),0)/COUNTIFS(DATA[COMBINADA],DATA[[#This Row],[COMBINADA]])</f>
        <v>0</v>
      </c>
      <c r="AM207" s="27">
        <f>IFERROR(VLOOKUP(DATA[[#This Row],[COMBINADA]],#REF!,6,0),0)</f>
        <v>0</v>
      </c>
      <c r="AN207" s="125">
        <f>IFERROR(VLOOKUP(DATA[[#This Row],[COMBINADA]],#REF!,9,0),0)/COUNTIFS(DATA[COMBINADA],DATA[[#This Row],[COMBINADA]])</f>
        <v>0</v>
      </c>
      <c r="AO207" s="27">
        <f>IFERROR(VLOOKUP(DATA[[#This Row],[COMBINADA]],#REF!,6,0),0)</f>
        <v>0</v>
      </c>
      <c r="AP207" s="125">
        <f>IFERROR(VLOOKUP(DATA[[#This Row],[COMBINADA]],#REF!,9,0),0)/COUNTIFS(DATA[COMBINADA],DATA[[#This Row],[COMBINADA]])</f>
        <v>0</v>
      </c>
      <c r="AQ20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4216.1400000000003</v>
      </c>
      <c r="AR207" s="26" t="str">
        <f>IFERROR(IF(DATA[[#This Row],[estado_fact]]="FACTURADO",VLOOKUP(DATA[[#This Row],[SERIE2]]&amp;"-"&amp;DATA[[#This Row],[NUMERO]],#REF!,34,0),"NO CORRESPONDE"),"NO CORRESPONDE")</f>
        <v>NO CORRESPONDE</v>
      </c>
      <c r="AS207" s="65" t="str">
        <f>IF(DATA[[#This Row],[fecha_fs]]&gt;0,TEXT(DATA[[#This Row],[fecha_fs]],"Mmmm"),0)</f>
        <v>Febrero</v>
      </c>
      <c r="AT207" s="22" t="str">
        <f>DATA[[#This Row],[SERIE2]]&amp;"-"&amp;DATA[[#This Row],[NUMERO]]</f>
        <v>FE01-568</v>
      </c>
      <c r="AU207" s="28">
        <f>DATA[[#This Row],[TOTAL]]*DATA[[#This Row],[T.C.]]</f>
        <v>4216.1400000000003</v>
      </c>
      <c r="AV207" s="6">
        <f>DATA[[#This Row],[FECHA DE VAL.]]</f>
        <v>45702</v>
      </c>
      <c r="AW207" s="6">
        <f>DATA[[#This Row],[FECHA DE EMISION]]</f>
        <v>45706</v>
      </c>
      <c r="AX207" s="6">
        <f>DATA[[#This Row],[F1]]</f>
        <v>0</v>
      </c>
      <c r="AY207" s="20">
        <f>IF(AV207-DATA[[#This Row],[fecha_fs]]&lt;0,0,AV207-DATA[[#This Row],[fecha_fs]])</f>
        <v>1</v>
      </c>
      <c r="AZ207" s="20">
        <f t="shared" si="22"/>
        <v>4</v>
      </c>
      <c r="BA207" s="20">
        <f t="shared" si="23"/>
        <v>0</v>
      </c>
      <c r="BB207" s="195">
        <f>IFERROR(SUM(DATA[[#This Row],[fs_val_ttf]:[fact_pago_ttf]]),0)</f>
        <v>5</v>
      </c>
      <c r="BC207" s="185">
        <v>45716</v>
      </c>
      <c r="BD207" s="185">
        <v>45729</v>
      </c>
      <c r="BE207" s="185">
        <v>45723</v>
      </c>
      <c r="BF207" s="185">
        <v>45734</v>
      </c>
      <c r="BG207" s="20">
        <f>IFERROR(IF(BC207-DATA[[#This Row],[fecha_fs]]&lt;0,0,BC207-DATA[[#This Row],[fecha_fs]]),0)</f>
        <v>15</v>
      </c>
      <c r="BH207" s="20">
        <f t="shared" si="24"/>
        <v>13</v>
      </c>
      <c r="BI207" s="20">
        <f t="shared" si="25"/>
        <v>0</v>
      </c>
      <c r="BJ207" s="20">
        <f t="shared" si="26"/>
        <v>11</v>
      </c>
      <c r="BK207" s="218">
        <f>IFERROR(SUM(DATA[[#This Row],[fs_fd_ttd]:[fend_fenf_ttd]]),0)</f>
        <v>39</v>
      </c>
      <c r="BL207" s="20" t="str">
        <f>IF(DATA[[#This Row],[fecha_fs]]&gt;0,TEXT(DATA[[#This Row],[fecha_fs]],"YYYY"),0)</f>
        <v>2025</v>
      </c>
      <c r="BM207" s="221" t="b">
        <v>0</v>
      </c>
      <c r="BN207" s="278">
        <f>COUNTIF(DATA[[#This Row],[tiempo_td]], "&lt;=15")</f>
        <v>0</v>
      </c>
      <c r="BO207" s="222"/>
    </row>
    <row r="208" spans="1:67" ht="30.6" customHeight="1" x14ac:dyDescent="0.25">
      <c r="A208" s="4">
        <v>20603536569</v>
      </c>
      <c r="B208" s="5" t="s">
        <v>27</v>
      </c>
      <c r="C208" s="52" t="s">
        <v>295</v>
      </c>
      <c r="D208" s="4" t="s">
        <v>112</v>
      </c>
      <c r="E208" s="5" t="s">
        <v>1</v>
      </c>
      <c r="F208" s="24">
        <v>45701</v>
      </c>
      <c r="G208" s="7" t="s">
        <v>113</v>
      </c>
      <c r="H208" s="25">
        <f t="shared" si="21"/>
        <v>1</v>
      </c>
      <c r="I208" s="67">
        <v>4099</v>
      </c>
      <c r="J208" s="8" t="s">
        <v>115</v>
      </c>
      <c r="K208" s="9" t="s">
        <v>116</v>
      </c>
      <c r="L208" s="10" t="s">
        <v>117</v>
      </c>
      <c r="M208" s="11">
        <v>650</v>
      </c>
      <c r="N208" s="12" t="s">
        <v>132</v>
      </c>
      <c r="O208" s="6">
        <v>45702</v>
      </c>
      <c r="P208" s="13">
        <v>3295</v>
      </c>
      <c r="Q208" s="14" t="s">
        <v>85</v>
      </c>
      <c r="R208" s="15">
        <f>485+((DATA[[#This Row],[cantidad_fs]]-500)*0.97)</f>
        <v>630.5</v>
      </c>
      <c r="S208" s="56">
        <v>5982.77</v>
      </c>
      <c r="T208" s="15">
        <f>DATA[[#This Row],[C. DF]]+DATA[[#This Row],[C.OPE.]]</f>
        <v>6613.27</v>
      </c>
      <c r="U208" s="15">
        <f>DATA[[#This Row],[SUB TOTAL]]*0.18</f>
        <v>1190.3886</v>
      </c>
      <c r="V208" s="15">
        <f>IFERROR(ROUND(DATA[[#This Row],[SUB TOTAL]]+DATA[[#This Row],[IGV]],2),0)</f>
        <v>7803.66</v>
      </c>
      <c r="W208" s="16" t="str">
        <f>IF(DATA[[#This Row],[VALORIZACIÓN ]]="-","NO CORRESPONDE",IF(OR(A208=20558226979,A208=10470707866,A208=20111157058,A208=20100226902),"NO CORRESPONDE",IF(J208="Emitida",IF(P208&gt;0,"EMITIDA","PENDIENTE"),"NO CORRESPONDE")))</f>
        <v>EMITIDA</v>
      </c>
      <c r="X208" s="29"/>
      <c r="Y208" s="17" t="s">
        <v>118</v>
      </c>
      <c r="Z208" s="30">
        <v>45719</v>
      </c>
      <c r="AA208" s="10" t="s">
        <v>124</v>
      </c>
      <c r="AB208" s="19">
        <v>585</v>
      </c>
      <c r="AC208" s="20">
        <v>15</v>
      </c>
      <c r="AD208" s="18">
        <f>DATA[[#This Row],[FECHA DE EMISION]]+DATA[[#This Row],[CONDICION DE PAGO]]</f>
        <v>45734</v>
      </c>
      <c r="AE208" s="23">
        <f>IF(DATA[[#This Row],[MONEDA]]="USD",VLOOKUP(DATA[[#This Row],[COMBINADA]],#REF!,11,0),1)</f>
        <v>1</v>
      </c>
      <c r="AF208" s="39" t="str">
        <f>IF(DATA[[#This Row],[SERIE2]]="-","NO CORRESPONDE",IF(W208="NO CORRESPONDE","NO CORRESPONDE",IF(Z208&gt;0,"FACTURADO","PENDIENTE")))</f>
        <v>FACTURADO</v>
      </c>
      <c r="AG208" s="27">
        <f>IFERROR(VLOOKUP(DATA[[#This Row],[COMBINADA]],#REF!,6,0),0)</f>
        <v>0</v>
      </c>
      <c r="AH208" s="125">
        <f>IFERROR(VLOOKUP(DATA[[#This Row],[COMBINADA]],#REF!,9,0),0)/COUNTIFS(DATA[COMBINADA],DATA[[#This Row],[COMBINADA]])</f>
        <v>0</v>
      </c>
      <c r="AI208" s="27">
        <f>IFERROR(VLOOKUP(DATA[[#This Row],[COMBINADA]],#REF!,6,0),0)</f>
        <v>0</v>
      </c>
      <c r="AJ208" s="125">
        <f>IFERROR(VLOOKUP(DATA[[#This Row],[COMBINADA]],#REF!,9,0),0)/COUNTIFS(DATA[COMBINADA],DATA[[#This Row],[COMBINADA]])</f>
        <v>0</v>
      </c>
      <c r="AK208" s="27">
        <f>IFERROR(VLOOKUP(DATA[[#This Row],[COMBINADA]],#REF!,6,0),0)</f>
        <v>0</v>
      </c>
      <c r="AL208" s="125">
        <f>IFERROR(VLOOKUP(DATA[[#This Row],[COMBINADA]],#REF!,9,0),0)/COUNTIFS(DATA[COMBINADA],DATA[[#This Row],[COMBINADA]])</f>
        <v>0</v>
      </c>
      <c r="AM208" s="27">
        <f>IFERROR(VLOOKUP(DATA[[#This Row],[COMBINADA]],#REF!,6,0),0)</f>
        <v>0</v>
      </c>
      <c r="AN208" s="125">
        <f>IFERROR(VLOOKUP(DATA[[#This Row],[COMBINADA]],#REF!,9,0),0)/COUNTIFS(DATA[COMBINADA],DATA[[#This Row],[COMBINADA]])</f>
        <v>0</v>
      </c>
      <c r="AO208" s="27">
        <f>IFERROR(VLOOKUP(DATA[[#This Row],[COMBINADA]],#REF!,6,0),0)</f>
        <v>0</v>
      </c>
      <c r="AP208" s="125">
        <f>IFERROR(VLOOKUP(DATA[[#This Row],[COMBINADA]],#REF!,9,0),0)/COUNTIFS(DATA[COMBINADA],DATA[[#This Row],[COMBINADA]])</f>
        <v>0</v>
      </c>
      <c r="AQ20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7803.66</v>
      </c>
      <c r="AR208" s="26" t="str">
        <f>IFERROR(IF(DATA[[#This Row],[estado_fact]]="FACTURADO",VLOOKUP(DATA[[#This Row],[SERIE2]]&amp;"-"&amp;DATA[[#This Row],[NUMERO]],#REF!,34,0),"NO CORRESPONDE"),"NO CORRESPONDE")</f>
        <v>NO CORRESPONDE</v>
      </c>
      <c r="AS208" s="65" t="str">
        <f>IF(DATA[[#This Row],[fecha_fs]]&gt;0,TEXT(DATA[[#This Row],[fecha_fs]],"Mmmm"),0)</f>
        <v>Febrero</v>
      </c>
      <c r="AT208" s="22" t="str">
        <f>DATA[[#This Row],[SERIE2]]&amp;"-"&amp;DATA[[#This Row],[NUMERO]]</f>
        <v>FE01-585</v>
      </c>
      <c r="AU208" s="28">
        <f>DATA[[#This Row],[TOTAL]]*DATA[[#This Row],[T.C.]]</f>
        <v>7803.66</v>
      </c>
      <c r="AV208" s="6">
        <f>DATA[[#This Row],[FECHA DE VAL.]]</f>
        <v>45702</v>
      </c>
      <c r="AW208" s="6">
        <f>DATA[[#This Row],[FECHA DE EMISION]]</f>
        <v>45719</v>
      </c>
      <c r="AX208" s="6">
        <f>DATA[[#This Row],[F1]]</f>
        <v>0</v>
      </c>
      <c r="AY208" s="20">
        <f>IF(AV208-DATA[[#This Row],[fecha_fs]]&lt;0,0,AV208-DATA[[#This Row],[fecha_fs]])</f>
        <v>1</v>
      </c>
      <c r="AZ208" s="20">
        <f t="shared" si="22"/>
        <v>17</v>
      </c>
      <c r="BA208" s="20">
        <f t="shared" si="23"/>
        <v>0</v>
      </c>
      <c r="BB208" s="195">
        <f>IFERROR(SUM(DATA[[#This Row],[fs_val_ttf]:[fact_pago_ttf]]),0)</f>
        <v>18</v>
      </c>
      <c r="BC208" s="185">
        <v>45716</v>
      </c>
      <c r="BD208" s="185">
        <v>45729</v>
      </c>
      <c r="BE208" s="185">
        <v>45737</v>
      </c>
      <c r="BF208" s="185">
        <v>45774</v>
      </c>
      <c r="BG208" s="20">
        <f>IFERROR(IF(BC208-DATA[[#This Row],[fecha_fs]]&lt;0,0,BC208-DATA[[#This Row],[fecha_fs]]),0)</f>
        <v>15</v>
      </c>
      <c r="BH208" s="20">
        <f t="shared" si="24"/>
        <v>13</v>
      </c>
      <c r="BI208" s="20">
        <f t="shared" si="25"/>
        <v>8</v>
      </c>
      <c r="BJ208" s="20">
        <f t="shared" si="26"/>
        <v>37</v>
      </c>
      <c r="BK208" s="218">
        <f>IFERROR(SUM(DATA[[#This Row],[fs_fd_ttd]:[fend_fenf_ttd]]),0)</f>
        <v>73</v>
      </c>
      <c r="BL208" s="20" t="str">
        <f>IF(DATA[[#This Row],[fecha_fs]]&gt;0,TEXT(DATA[[#This Row],[fecha_fs]],"YYYY"),0)</f>
        <v>2025</v>
      </c>
      <c r="BM208" s="221" t="b">
        <v>1</v>
      </c>
      <c r="BN208" s="278">
        <f>COUNTIF(DATA[[#This Row],[tiempo_td]], "&lt;=15")</f>
        <v>0</v>
      </c>
      <c r="BO208" s="222"/>
    </row>
    <row r="209" spans="1:67" ht="30" customHeight="1" x14ac:dyDescent="0.25">
      <c r="A209" s="4"/>
      <c r="B209" s="5" t="s">
        <v>0</v>
      </c>
      <c r="C209" s="52"/>
      <c r="D209" s="4"/>
      <c r="E209" s="5" t="s">
        <v>0</v>
      </c>
      <c r="F209" s="24">
        <v>45699</v>
      </c>
      <c r="G209" s="7" t="s">
        <v>113</v>
      </c>
      <c r="H209" s="25">
        <f t="shared" si="21"/>
        <v>1</v>
      </c>
      <c r="I209" s="67">
        <v>4100</v>
      </c>
      <c r="J209" s="8" t="s">
        <v>173</v>
      </c>
      <c r="K209" s="9"/>
      <c r="L209" s="10"/>
      <c r="M209" s="111"/>
      <c r="N209" s="112"/>
      <c r="O209" s="6"/>
      <c r="P209" s="13" t="s">
        <v>114</v>
      </c>
      <c r="Q209" s="14"/>
      <c r="R209" s="43"/>
      <c r="S209" s="43"/>
      <c r="T209" s="43">
        <f>DATA[[#This Row],[C. DF]]+DATA[[#This Row],[C.OPE.]]</f>
        <v>0</v>
      </c>
      <c r="U209" s="73">
        <f>DATA[[#This Row],[SUB TOTAL]]*0.18</f>
        <v>0</v>
      </c>
      <c r="V209" s="45">
        <f>IFERROR(ROUND(DATA[[#This Row],[SUB TOTAL]]+DATA[[#This Row],[IGV]],2),0)</f>
        <v>0</v>
      </c>
      <c r="W209" s="58" t="str">
        <f>IF(DATA[[#This Row],[VALORIZACIÓN ]]="-","NO CORRESPONDE",IF(OR(A209=20558226979,A209=10470707866,A209=20111157058,A209=20100226902),"NO CORRESPONDE",IF(J209="Emitida",IF(P209&gt;0,"EMITIDA","PENDIENTE"),"NO CORRESPONDE")))</f>
        <v>NO CORRESPONDE</v>
      </c>
      <c r="X209" s="46"/>
      <c r="Y209" s="17" t="s">
        <v>128</v>
      </c>
      <c r="Z209" s="48"/>
      <c r="AA209" s="49"/>
      <c r="AB209" s="50"/>
      <c r="AC209" s="51"/>
      <c r="AD209" s="59">
        <f>DATA[[#This Row],[FECHA DE EMISION]]+DATA[[#This Row],[CONDICION DE PAGO]]</f>
        <v>0</v>
      </c>
      <c r="AE209" s="23">
        <f>IF(DATA[[#This Row],[MONEDA]]="USD",VLOOKUP(DATA[[#This Row],[COMBINADA]],#REF!,11,0),1)</f>
        <v>1</v>
      </c>
      <c r="AF209" s="39" t="str">
        <f>IF(DATA[[#This Row],[SERIE2]]="-","NO CORRESPONDE",IF(W209="NO CORRESPONDE","NO CORRESPONDE",IF(Z209&gt;0,"FACTURADO","PENDIENTE")))</f>
        <v>NO CORRESPONDE</v>
      </c>
      <c r="AG209" s="61">
        <f>IFERROR(VLOOKUP(DATA[[#This Row],[COMBINADA]],#REF!,6,0),0)</f>
        <v>0</v>
      </c>
      <c r="AH209" s="62">
        <f>IFERROR(VLOOKUP(DATA[[#This Row],[COMBINADA]],#REF!,9,0),0)/COUNTIFS(DATA[COMBINADA],DATA[[#This Row],[COMBINADA]])</f>
        <v>0</v>
      </c>
      <c r="AI209" s="61">
        <f>IFERROR(VLOOKUP(DATA[[#This Row],[COMBINADA]],#REF!,6,0),0)</f>
        <v>0</v>
      </c>
      <c r="AJ209" s="62">
        <f>IFERROR(VLOOKUP(DATA[[#This Row],[COMBINADA]],#REF!,9,0),0)/COUNTIFS(DATA[COMBINADA],DATA[[#This Row],[COMBINADA]])</f>
        <v>0</v>
      </c>
      <c r="AK209" s="61">
        <f>IFERROR(VLOOKUP(DATA[[#This Row],[COMBINADA]],#REF!,6,0),0)</f>
        <v>0</v>
      </c>
      <c r="AL209" s="62">
        <f>IFERROR(VLOOKUP(DATA[[#This Row],[COMBINADA]],#REF!,9,0),0)/COUNTIFS(DATA[COMBINADA],DATA[[#This Row],[COMBINADA]])</f>
        <v>0</v>
      </c>
      <c r="AM209" s="61">
        <f>IFERROR(VLOOKUP(DATA[[#This Row],[COMBINADA]],#REF!,6,0),0)</f>
        <v>0</v>
      </c>
      <c r="AN209" s="62">
        <f>IFERROR(VLOOKUP(DATA[[#This Row],[COMBINADA]],#REF!,9,0),0)/COUNTIFS(DATA[COMBINADA],DATA[[#This Row],[COMBINADA]])</f>
        <v>0</v>
      </c>
      <c r="AO209" s="61">
        <f>IFERROR(VLOOKUP(DATA[[#This Row],[COMBINADA]],#REF!,6,0),0)</f>
        <v>0</v>
      </c>
      <c r="AP209" s="62">
        <f>IFERROR(VLOOKUP(DATA[[#This Row],[COMBINADA]],#REF!,9,0),0)/COUNTIFS(DATA[COMBINADA],DATA[[#This Row],[COMBINADA]])</f>
        <v>0</v>
      </c>
      <c r="AQ209"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209" s="22" t="str">
        <f>IFERROR(IF(DATA[[#This Row],[estado_fact]]="FACTURADO",VLOOKUP(DATA[[#This Row],[SERIE2]]&amp;"-"&amp;DATA[[#This Row],[NUMERO]],#REF!,34,0),"NO CORRESPONDE"),"NO CORRESPONDE")</f>
        <v>NO CORRESPONDE</v>
      </c>
      <c r="AS209" s="198" t="str">
        <f>IF(DATA[[#This Row],[fecha_fs]]&gt;0,TEXT(DATA[[#This Row],[fecha_fs]],"Mmmm"),0)</f>
        <v>Febrero</v>
      </c>
      <c r="AT209" s="199" t="str">
        <f>DATA[[#This Row],[SERIE2]]&amp;"-"&amp;DATA[[#This Row],[NUMERO]]</f>
        <v>-</v>
      </c>
      <c r="AU209" s="198">
        <f>DATA[[#This Row],[TOTAL]]*DATA[[#This Row],[T.C.]]</f>
        <v>0</v>
      </c>
      <c r="AV209" s="40">
        <f>DATA[[#This Row],[FECHA DE VAL.]]</f>
        <v>0</v>
      </c>
      <c r="AW209" s="40">
        <f>DATA[[#This Row],[FECHA DE EMISION]]</f>
        <v>0</v>
      </c>
      <c r="AX209" s="40">
        <f>DATA[[#This Row],[F1]]</f>
        <v>0</v>
      </c>
      <c r="AY209" s="49">
        <f>IF(AV209-DATA[[#This Row],[fecha_fs]]&lt;0,0,AV209-DATA[[#This Row],[fecha_fs]])</f>
        <v>0</v>
      </c>
      <c r="AZ209" s="49">
        <f t="shared" si="22"/>
        <v>0</v>
      </c>
      <c r="BA209" s="49">
        <f t="shared" si="23"/>
        <v>0</v>
      </c>
      <c r="BB209" s="195">
        <f>IFERROR(SUM(DATA[[#This Row],[fs_val_ttf]:[fact_pago_ttf]]),0)</f>
        <v>0</v>
      </c>
      <c r="BC209" s="200"/>
      <c r="BD209" s="200"/>
      <c r="BE209" s="200"/>
      <c r="BF209" s="200"/>
      <c r="BG209" s="49">
        <f>IFERROR(IF(BC209-DATA[[#This Row],[fecha_fs]]&lt;0,0,BC209-DATA[[#This Row],[fecha_fs]]),0)</f>
        <v>0</v>
      </c>
      <c r="BH209" s="49">
        <f t="shared" si="24"/>
        <v>0</v>
      </c>
      <c r="BI209" s="49">
        <f t="shared" si="25"/>
        <v>0</v>
      </c>
      <c r="BJ209" s="49">
        <f t="shared" si="26"/>
        <v>0</v>
      </c>
      <c r="BK209" s="218">
        <f>IFERROR(SUM(DATA[[#This Row],[fs_fd_ttd]:[fend_fenf_ttd]]),0)</f>
        <v>0</v>
      </c>
      <c r="BL209" s="20" t="str">
        <f>IF(DATA[[#This Row],[fecha_fs]]&gt;0,TEXT(DATA[[#This Row],[fecha_fs]],"YYYY"),0)</f>
        <v>2025</v>
      </c>
      <c r="BM209" s="221" t="b">
        <v>0</v>
      </c>
      <c r="BN209" s="278"/>
      <c r="BO209" s="222"/>
    </row>
    <row r="210" spans="1:67" ht="30.6" customHeight="1" x14ac:dyDescent="0.25">
      <c r="A210" s="4">
        <v>20553956324</v>
      </c>
      <c r="B210" s="5" t="s">
        <v>281</v>
      </c>
      <c r="C210" s="52" t="s">
        <v>175</v>
      </c>
      <c r="D210" s="4" t="s">
        <v>120</v>
      </c>
      <c r="E210" s="5" t="s">
        <v>3</v>
      </c>
      <c r="F210" s="24">
        <v>45699</v>
      </c>
      <c r="G210" s="7" t="s">
        <v>113</v>
      </c>
      <c r="H210" s="25">
        <f t="shared" si="21"/>
        <v>1</v>
      </c>
      <c r="I210" s="67">
        <v>4101</v>
      </c>
      <c r="J210" s="8" t="s">
        <v>115</v>
      </c>
      <c r="K210" s="9" t="s">
        <v>121</v>
      </c>
      <c r="L210" s="10" t="s">
        <v>117</v>
      </c>
      <c r="M210" s="11">
        <v>80</v>
      </c>
      <c r="N210" s="12" t="s">
        <v>200</v>
      </c>
      <c r="O210" s="6">
        <v>45716</v>
      </c>
      <c r="P210" s="109">
        <v>3328</v>
      </c>
      <c r="Q210" s="14" t="s">
        <v>85</v>
      </c>
      <c r="R210" s="15">
        <f>80/8</f>
        <v>10</v>
      </c>
      <c r="S210" s="56">
        <f>3160.8/11</f>
        <v>287.34545454545457</v>
      </c>
      <c r="T210" s="15">
        <f>DATA[[#This Row],[C. DF]]+DATA[[#This Row],[C.OPE.]]</f>
        <v>297.34545454545457</v>
      </c>
      <c r="U210" s="15">
        <f>DATA[[#This Row],[SUB TOTAL]]*0.18</f>
        <v>53.522181818181821</v>
      </c>
      <c r="V210" s="15">
        <f>IFERROR(ROUND(DATA[[#This Row],[SUB TOTAL]]+DATA[[#This Row],[IGV]],2),0)</f>
        <v>350.87</v>
      </c>
      <c r="W210" s="16" t="str">
        <f>IF(DATA[[#This Row],[VALORIZACIÓN ]]="-","NO CORRESPONDE",IF(OR(A210=20558226979,A210=10470707866,A210=20111157058,A210=20100226902),"NO CORRESPONDE",IF(J210="Emitida",IF(P210&gt;0,"EMITIDA","PENDIENTE"),"NO CORRESPONDE")))</f>
        <v>EMITIDA</v>
      </c>
      <c r="X210" s="29"/>
      <c r="Y210" s="17" t="s">
        <v>118</v>
      </c>
      <c r="Z210" s="30">
        <v>45730</v>
      </c>
      <c r="AA210" s="20" t="s">
        <v>119</v>
      </c>
      <c r="AB210" s="19">
        <v>24</v>
      </c>
      <c r="AC210" s="20">
        <v>0</v>
      </c>
      <c r="AD210" s="18">
        <f>DATA[[#This Row],[FECHA DE EMISION]]+DATA[[#This Row],[CONDICION DE PAGO]]</f>
        <v>45730</v>
      </c>
      <c r="AE210" s="23">
        <f>IF(DATA[[#This Row],[MONEDA]]="USD",VLOOKUP(DATA[[#This Row],[COMBINADA]],#REF!,11,0),1)</f>
        <v>1</v>
      </c>
      <c r="AF210" s="39" t="str">
        <f>IF(DATA[[#This Row],[SERIE2]]="-","NO CORRESPONDE",IF(W210="NO CORRESPONDE","NO CORRESPONDE",IF(Z210&gt;0,"FACTURADO","PENDIENTE")))</f>
        <v>FACTURADO</v>
      </c>
      <c r="AG210" s="27">
        <f>IFERROR(VLOOKUP(DATA[[#This Row],[COMBINADA]],#REF!,6,0),0)</f>
        <v>0</v>
      </c>
      <c r="AH210" s="125">
        <f>IFERROR(VLOOKUP(DATA[[#This Row],[COMBINADA]],#REF!,9,0),0)/COUNTIFS(DATA[COMBINADA],DATA[[#This Row],[COMBINADA]])</f>
        <v>0</v>
      </c>
      <c r="AI210" s="27">
        <f>IFERROR(VLOOKUP(DATA[[#This Row],[COMBINADA]],#REF!,6,0),0)</f>
        <v>0</v>
      </c>
      <c r="AJ210" s="125">
        <f>IFERROR(VLOOKUP(DATA[[#This Row],[COMBINADA]],#REF!,9,0),0)/COUNTIFS(DATA[COMBINADA],DATA[[#This Row],[COMBINADA]])</f>
        <v>0</v>
      </c>
      <c r="AK210" s="27">
        <f>IFERROR(VLOOKUP(DATA[[#This Row],[COMBINADA]],#REF!,6,0),0)</f>
        <v>0</v>
      </c>
      <c r="AL210" s="125">
        <f>IFERROR(VLOOKUP(DATA[[#This Row],[COMBINADA]],#REF!,9,0),0)/COUNTIFS(DATA[COMBINADA],DATA[[#This Row],[COMBINADA]])</f>
        <v>0</v>
      </c>
      <c r="AM210" s="27">
        <f>IFERROR(VLOOKUP(DATA[[#This Row],[COMBINADA]],#REF!,6,0),0)</f>
        <v>0</v>
      </c>
      <c r="AN210" s="125">
        <f>IFERROR(VLOOKUP(DATA[[#This Row],[COMBINADA]],#REF!,9,0),0)/COUNTIFS(DATA[COMBINADA],DATA[[#This Row],[COMBINADA]])</f>
        <v>0</v>
      </c>
      <c r="AO210" s="27">
        <f>IFERROR(VLOOKUP(DATA[[#This Row],[COMBINADA]],#REF!,6,0),0)</f>
        <v>0</v>
      </c>
      <c r="AP210" s="125">
        <f>IFERROR(VLOOKUP(DATA[[#This Row],[COMBINADA]],#REF!,9,0),0)/COUNTIFS(DATA[COMBINADA],DATA[[#This Row],[COMBINADA]])</f>
        <v>0</v>
      </c>
      <c r="AQ21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395.92454545454547</v>
      </c>
      <c r="AR210" s="26" t="str">
        <f>IFERROR(IF(DATA[[#This Row],[estado_fact]]="FACTURADO",VLOOKUP(DATA[[#This Row],[SERIE2]]&amp;"-"&amp;DATA[[#This Row],[NUMERO]],#REF!,34,0),"NO CORRESPONDE"),"NO CORRESPONDE")</f>
        <v>NO CORRESPONDE</v>
      </c>
      <c r="AS210" s="65" t="str">
        <f>IF(DATA[[#This Row],[fecha_fs]]&gt;0,TEXT(DATA[[#This Row],[fecha_fs]],"Mmmm"),0)</f>
        <v>Febrero</v>
      </c>
      <c r="AT210" s="22" t="str">
        <f>DATA[[#This Row],[SERIE2]]&amp;"-"&amp;DATA[[#This Row],[NUMERO]]</f>
        <v>E001-24</v>
      </c>
      <c r="AU210" s="28">
        <f>DATA[[#This Row],[TOTAL]]*DATA[[#This Row],[T.C.]]</f>
        <v>350.87</v>
      </c>
      <c r="AV210" s="6">
        <f>DATA[[#This Row],[FECHA DE VAL.]]</f>
        <v>45716</v>
      </c>
      <c r="AW210" s="6">
        <f>DATA[[#This Row],[FECHA DE EMISION]]</f>
        <v>45730</v>
      </c>
      <c r="AX210" s="6">
        <f>DATA[[#This Row],[F1]]</f>
        <v>0</v>
      </c>
      <c r="AY210" s="20">
        <f>IF(AV210-DATA[[#This Row],[fecha_fs]]&lt;0,0,AV210-DATA[[#This Row],[fecha_fs]])</f>
        <v>17</v>
      </c>
      <c r="AZ210" s="20">
        <f t="shared" si="22"/>
        <v>14</v>
      </c>
      <c r="BA210" s="20">
        <f t="shared" si="23"/>
        <v>0</v>
      </c>
      <c r="BB210" s="195">
        <f>IFERROR(SUM(DATA[[#This Row],[fs_val_ttf]:[fact_pago_ttf]]),0)</f>
        <v>31</v>
      </c>
      <c r="BC210" s="185">
        <v>45729</v>
      </c>
      <c r="BD210" s="185">
        <v>45735</v>
      </c>
      <c r="BE210" s="185">
        <v>45740</v>
      </c>
      <c r="BF210" s="185">
        <v>45759</v>
      </c>
      <c r="BG210" s="20">
        <f>IFERROR(IF(BC210-DATA[[#This Row],[fecha_fs]]&lt;0,0,BC210-DATA[[#This Row],[fecha_fs]]),0)</f>
        <v>30</v>
      </c>
      <c r="BH210" s="20">
        <f t="shared" si="24"/>
        <v>6</v>
      </c>
      <c r="BI210" s="20">
        <f t="shared" si="25"/>
        <v>5</v>
      </c>
      <c r="BJ210" s="20">
        <f t="shared" si="26"/>
        <v>19</v>
      </c>
      <c r="BK210" s="218">
        <f>IFERROR(SUM(DATA[[#This Row],[fs_fd_ttd]:[fend_fenf_ttd]]),0)</f>
        <v>60</v>
      </c>
      <c r="BL210" s="20" t="str">
        <f>IF(DATA[[#This Row],[fecha_fs]]&gt;0,TEXT(DATA[[#This Row],[fecha_fs]],"YYYY"),0)</f>
        <v>2025</v>
      </c>
      <c r="BM210" s="221" t="b">
        <v>0</v>
      </c>
      <c r="BN210" s="278">
        <f>COUNTIF(DATA[[#This Row],[tiempo_td]], "&lt;=15")</f>
        <v>0</v>
      </c>
      <c r="BO210" s="222"/>
    </row>
    <row r="211" spans="1:67" ht="30" customHeight="1" x14ac:dyDescent="0.25">
      <c r="A211" s="4"/>
      <c r="B211" s="5" t="s">
        <v>0</v>
      </c>
      <c r="C211" s="52"/>
      <c r="D211" s="4"/>
      <c r="E211" s="5" t="s">
        <v>0</v>
      </c>
      <c r="F211" s="24">
        <v>45701</v>
      </c>
      <c r="G211" s="7" t="s">
        <v>113</v>
      </c>
      <c r="H211" s="25">
        <f t="shared" si="21"/>
        <v>1</v>
      </c>
      <c r="I211" s="67">
        <v>4102</v>
      </c>
      <c r="J211" s="8" t="s">
        <v>151</v>
      </c>
      <c r="K211" s="9"/>
      <c r="L211" s="10"/>
      <c r="M211" s="111"/>
      <c r="N211" s="112"/>
      <c r="O211" s="6"/>
      <c r="P211" s="13" t="s">
        <v>114</v>
      </c>
      <c r="Q211" s="14"/>
      <c r="R211" s="43"/>
      <c r="S211" s="43"/>
      <c r="T211" s="43">
        <f>DATA[[#This Row],[C. DF]]+DATA[[#This Row],[C.OPE.]]</f>
        <v>0</v>
      </c>
      <c r="U211" s="73">
        <f>DATA[[#This Row],[SUB TOTAL]]*0.18</f>
        <v>0</v>
      </c>
      <c r="V211" s="45">
        <f>IFERROR(ROUND(DATA[[#This Row],[SUB TOTAL]]+DATA[[#This Row],[IGV]],2),0)</f>
        <v>0</v>
      </c>
      <c r="W211" s="58" t="str">
        <f>IF(DATA[[#This Row],[VALORIZACIÓN ]]="-","NO CORRESPONDE",IF(OR(A211=20558226979,A211=10470707866,A211=20111157058,A211=20100226902),"NO CORRESPONDE",IF(J211="Emitida",IF(P211&gt;0,"EMITIDA","PENDIENTE"),"NO CORRESPONDE")))</f>
        <v>NO CORRESPONDE</v>
      </c>
      <c r="X211" s="46"/>
      <c r="Y211" s="17" t="s">
        <v>128</v>
      </c>
      <c r="Z211" s="48"/>
      <c r="AA211" s="49"/>
      <c r="AB211" s="50"/>
      <c r="AC211" s="51"/>
      <c r="AD211" s="59">
        <f>DATA[[#This Row],[FECHA DE EMISION]]+DATA[[#This Row],[CONDICION DE PAGO]]</f>
        <v>0</v>
      </c>
      <c r="AE211" s="23">
        <f>IF(DATA[[#This Row],[MONEDA]]="USD",VLOOKUP(DATA[[#This Row],[COMBINADA]],#REF!,11,0),1)</f>
        <v>1</v>
      </c>
      <c r="AF211" s="39" t="str">
        <f>IF(DATA[[#This Row],[SERIE2]]="-","NO CORRESPONDE",IF(W211="NO CORRESPONDE","NO CORRESPONDE",IF(Z211&gt;0,"FACTURADO","PENDIENTE")))</f>
        <v>NO CORRESPONDE</v>
      </c>
      <c r="AG211" s="61">
        <f>IFERROR(VLOOKUP(DATA[[#This Row],[COMBINADA]],#REF!,6,0),0)</f>
        <v>0</v>
      </c>
      <c r="AH211" s="62">
        <f>IFERROR(VLOOKUP(DATA[[#This Row],[COMBINADA]],#REF!,9,0),0)/COUNTIFS(DATA[COMBINADA],DATA[[#This Row],[COMBINADA]])</f>
        <v>0</v>
      </c>
      <c r="AI211" s="61">
        <f>IFERROR(VLOOKUP(DATA[[#This Row],[COMBINADA]],#REF!,6,0),0)</f>
        <v>0</v>
      </c>
      <c r="AJ211" s="62">
        <f>IFERROR(VLOOKUP(DATA[[#This Row],[COMBINADA]],#REF!,9,0),0)/COUNTIFS(DATA[COMBINADA],DATA[[#This Row],[COMBINADA]])</f>
        <v>0</v>
      </c>
      <c r="AK211" s="61">
        <f>IFERROR(VLOOKUP(DATA[[#This Row],[COMBINADA]],#REF!,6,0),0)</f>
        <v>0</v>
      </c>
      <c r="AL211" s="62">
        <f>IFERROR(VLOOKUP(DATA[[#This Row],[COMBINADA]],#REF!,9,0),0)/COUNTIFS(DATA[COMBINADA],DATA[[#This Row],[COMBINADA]])</f>
        <v>0</v>
      </c>
      <c r="AM211" s="61">
        <f>IFERROR(VLOOKUP(DATA[[#This Row],[COMBINADA]],#REF!,6,0),0)</f>
        <v>0</v>
      </c>
      <c r="AN211" s="62">
        <f>IFERROR(VLOOKUP(DATA[[#This Row],[COMBINADA]],#REF!,9,0),0)/COUNTIFS(DATA[COMBINADA],DATA[[#This Row],[COMBINADA]])</f>
        <v>0</v>
      </c>
      <c r="AO211" s="61">
        <f>IFERROR(VLOOKUP(DATA[[#This Row],[COMBINADA]],#REF!,6,0),0)</f>
        <v>0</v>
      </c>
      <c r="AP211" s="62">
        <f>IFERROR(VLOOKUP(DATA[[#This Row],[COMBINADA]],#REF!,9,0),0)/COUNTIFS(DATA[COMBINADA],DATA[[#This Row],[COMBINADA]])</f>
        <v>0</v>
      </c>
      <c r="AQ211"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211" s="22" t="str">
        <f>IFERROR(IF(DATA[[#This Row],[estado_fact]]="FACTURADO",VLOOKUP(DATA[[#This Row],[SERIE2]]&amp;"-"&amp;DATA[[#This Row],[NUMERO]],#REF!,34,0),"NO CORRESPONDE"),"NO CORRESPONDE")</f>
        <v>NO CORRESPONDE</v>
      </c>
      <c r="AS211" s="198" t="str">
        <f>IF(DATA[[#This Row],[fecha_fs]]&gt;0,TEXT(DATA[[#This Row],[fecha_fs]],"Mmmm"),0)</f>
        <v>Febrero</v>
      </c>
      <c r="AT211" s="199" t="str">
        <f>DATA[[#This Row],[SERIE2]]&amp;"-"&amp;DATA[[#This Row],[NUMERO]]</f>
        <v>-</v>
      </c>
      <c r="AU211" s="198">
        <f>DATA[[#This Row],[TOTAL]]*DATA[[#This Row],[T.C.]]</f>
        <v>0</v>
      </c>
      <c r="AV211" s="40">
        <f>DATA[[#This Row],[FECHA DE VAL.]]</f>
        <v>0</v>
      </c>
      <c r="AW211" s="40">
        <f>DATA[[#This Row],[FECHA DE EMISION]]</f>
        <v>0</v>
      </c>
      <c r="AX211" s="40">
        <f>DATA[[#This Row],[F1]]</f>
        <v>0</v>
      </c>
      <c r="AY211" s="49">
        <f>IF(AV211-DATA[[#This Row],[fecha_fs]]&lt;0,0,AV211-DATA[[#This Row],[fecha_fs]])</f>
        <v>0</v>
      </c>
      <c r="AZ211" s="49">
        <f t="shared" si="22"/>
        <v>0</v>
      </c>
      <c r="BA211" s="49">
        <f t="shared" si="23"/>
        <v>0</v>
      </c>
      <c r="BB211" s="195">
        <f>IFERROR(SUM(DATA[[#This Row],[fs_val_ttf]:[fact_pago_ttf]]),0)</f>
        <v>0</v>
      </c>
      <c r="BC211" s="200"/>
      <c r="BD211" s="200"/>
      <c r="BE211" s="200"/>
      <c r="BF211" s="200"/>
      <c r="BG211" s="49">
        <f>IFERROR(IF(BC211-DATA[[#This Row],[fecha_fs]]&lt;0,0,BC211-DATA[[#This Row],[fecha_fs]]),0)</f>
        <v>0</v>
      </c>
      <c r="BH211" s="49">
        <f t="shared" si="24"/>
        <v>0</v>
      </c>
      <c r="BI211" s="49">
        <f t="shared" si="25"/>
        <v>0</v>
      </c>
      <c r="BJ211" s="49">
        <f t="shared" si="26"/>
        <v>0</v>
      </c>
      <c r="BK211" s="218">
        <f>IFERROR(SUM(DATA[[#This Row],[fs_fd_ttd]:[fend_fenf_ttd]]),0)</f>
        <v>0</v>
      </c>
      <c r="BL211" s="20" t="str">
        <f>IF(DATA[[#This Row],[fecha_fs]]&gt;0,TEXT(DATA[[#This Row],[fecha_fs]],"YYYY"),0)</f>
        <v>2025</v>
      </c>
      <c r="BM211" s="221" t="b">
        <v>0</v>
      </c>
      <c r="BN211" s="278"/>
      <c r="BO211" s="222"/>
    </row>
    <row r="212" spans="1:67" ht="30.6" customHeight="1" x14ac:dyDescent="0.25">
      <c r="A212" s="4">
        <v>20456012427</v>
      </c>
      <c r="B212" s="5" t="s">
        <v>54</v>
      </c>
      <c r="C212" s="52" t="s">
        <v>177</v>
      </c>
      <c r="D212" s="4" t="s">
        <v>112</v>
      </c>
      <c r="E212" s="5" t="s">
        <v>1</v>
      </c>
      <c r="F212" s="24">
        <v>45698</v>
      </c>
      <c r="G212" s="7" t="s">
        <v>113</v>
      </c>
      <c r="H212" s="25">
        <f t="shared" si="21"/>
        <v>1</v>
      </c>
      <c r="I212" s="67">
        <v>4103</v>
      </c>
      <c r="J212" s="8" t="s">
        <v>115</v>
      </c>
      <c r="K212" s="9" t="s">
        <v>116</v>
      </c>
      <c r="L212" s="10" t="s">
        <v>117</v>
      </c>
      <c r="M212" s="11">
        <v>150</v>
      </c>
      <c r="N212" s="12" t="s">
        <v>114</v>
      </c>
      <c r="O212" s="6">
        <v>45700</v>
      </c>
      <c r="P212" s="13">
        <v>3287</v>
      </c>
      <c r="Q212" s="14" t="s">
        <v>85</v>
      </c>
      <c r="R212" s="15">
        <f>DATA[[#This Row],[cantidad_fs]]*1</f>
        <v>150</v>
      </c>
      <c r="S212" s="56">
        <v>270</v>
      </c>
      <c r="T212" s="15">
        <f>DATA[[#This Row],[C. DF]]+DATA[[#This Row],[C.OPE.]]</f>
        <v>420</v>
      </c>
      <c r="U212" s="15">
        <f>DATA[[#This Row],[SUB TOTAL]]*0.18</f>
        <v>75.599999999999994</v>
      </c>
      <c r="V212" s="15">
        <f>IFERROR(ROUND(DATA[[#This Row],[SUB TOTAL]]+DATA[[#This Row],[IGV]],2),0)</f>
        <v>495.6</v>
      </c>
      <c r="W212" s="16" t="str">
        <f>IF(DATA[[#This Row],[VALORIZACIÓN ]]="-","NO CORRESPONDE",IF(OR(A212=20558226979,A212=10470707866,A212=20111157058,A212=20100226902),"NO CORRESPONDE",IF(J212="Emitida",IF(P212&gt;0,"EMITIDA","PENDIENTE"),"NO CORRESPONDE")))</f>
        <v>EMITIDA</v>
      </c>
      <c r="X212" s="29"/>
      <c r="Y212" s="17" t="s">
        <v>118</v>
      </c>
      <c r="Z212" s="30">
        <v>45716</v>
      </c>
      <c r="AA212" s="10" t="s">
        <v>124</v>
      </c>
      <c r="AB212" s="19">
        <v>582</v>
      </c>
      <c r="AC212" s="20">
        <v>15</v>
      </c>
      <c r="AD212" s="18">
        <f>DATA[[#This Row],[FECHA DE EMISION]]+DATA[[#This Row],[CONDICION DE PAGO]]</f>
        <v>45731</v>
      </c>
      <c r="AE212" s="23">
        <f>IF(DATA[[#This Row],[MONEDA]]="USD",VLOOKUP(DATA[[#This Row],[COMBINADA]],#REF!,11,0),1)</f>
        <v>1</v>
      </c>
      <c r="AF212" s="39" t="str">
        <f>IF(DATA[[#This Row],[SERIE2]]="-","NO CORRESPONDE",IF(W212="NO CORRESPONDE","NO CORRESPONDE",IF(Z212&gt;0,"FACTURADO","PENDIENTE")))</f>
        <v>FACTURADO</v>
      </c>
      <c r="AG212" s="27">
        <f>IFERROR(VLOOKUP(DATA[[#This Row],[COMBINADA]],#REF!,6,0),0)</f>
        <v>0</v>
      </c>
      <c r="AH212" s="125">
        <f>IFERROR(VLOOKUP(DATA[[#This Row],[COMBINADA]],#REF!,9,0),0)/COUNTIFS(DATA[COMBINADA],DATA[[#This Row],[COMBINADA]])</f>
        <v>0</v>
      </c>
      <c r="AI212" s="27">
        <f>IFERROR(VLOOKUP(DATA[[#This Row],[COMBINADA]],#REF!,6,0),0)</f>
        <v>0</v>
      </c>
      <c r="AJ212" s="125">
        <f>IFERROR(VLOOKUP(DATA[[#This Row],[COMBINADA]],#REF!,9,0),0)/COUNTIFS(DATA[COMBINADA],DATA[[#This Row],[COMBINADA]])</f>
        <v>0</v>
      </c>
      <c r="AK212" s="27">
        <f>IFERROR(VLOOKUP(DATA[[#This Row],[COMBINADA]],#REF!,6,0),0)</f>
        <v>0</v>
      </c>
      <c r="AL212" s="125">
        <f>IFERROR(VLOOKUP(DATA[[#This Row],[COMBINADA]],#REF!,9,0),0)/COUNTIFS(DATA[COMBINADA],DATA[[#This Row],[COMBINADA]])</f>
        <v>0</v>
      </c>
      <c r="AM212" s="27">
        <f>IFERROR(VLOOKUP(DATA[[#This Row],[COMBINADA]],#REF!,6,0),0)</f>
        <v>0</v>
      </c>
      <c r="AN212" s="125">
        <f>IFERROR(VLOOKUP(DATA[[#This Row],[COMBINADA]],#REF!,9,0),0)/COUNTIFS(DATA[COMBINADA],DATA[[#This Row],[COMBINADA]])</f>
        <v>0</v>
      </c>
      <c r="AO212" s="27">
        <f>IFERROR(VLOOKUP(DATA[[#This Row],[COMBINADA]],#REF!,6,0),0)</f>
        <v>0</v>
      </c>
      <c r="AP212" s="125">
        <f>IFERROR(VLOOKUP(DATA[[#This Row],[COMBINADA]],#REF!,9,0),0)/COUNTIFS(DATA[COMBINADA],DATA[[#This Row],[COMBINADA]])</f>
        <v>0</v>
      </c>
      <c r="AQ21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466.69</v>
      </c>
      <c r="AR212" s="26" t="str">
        <f>IFERROR(IF(DATA[[#This Row],[estado_fact]]="FACTURADO",VLOOKUP(DATA[[#This Row],[SERIE2]]&amp;"-"&amp;DATA[[#This Row],[NUMERO]],#REF!,34,0),"NO CORRESPONDE"),"NO CORRESPONDE")</f>
        <v>NO CORRESPONDE</v>
      </c>
      <c r="AS212" s="65" t="str">
        <f>IF(DATA[[#This Row],[fecha_fs]]&gt;0,TEXT(DATA[[#This Row],[fecha_fs]],"Mmmm"),0)</f>
        <v>Febrero</v>
      </c>
      <c r="AT212" s="22" t="str">
        <f>DATA[[#This Row],[SERIE2]]&amp;"-"&amp;DATA[[#This Row],[NUMERO]]</f>
        <v>FE01-582</v>
      </c>
      <c r="AU212" s="28">
        <f>DATA[[#This Row],[TOTAL]]*DATA[[#This Row],[T.C.]]</f>
        <v>495.6</v>
      </c>
      <c r="AV212" s="6">
        <f>DATA[[#This Row],[FECHA DE VAL.]]</f>
        <v>45700</v>
      </c>
      <c r="AW212" s="6">
        <f>DATA[[#This Row],[FECHA DE EMISION]]</f>
        <v>45716</v>
      </c>
      <c r="AX212" s="6">
        <f>DATA[[#This Row],[F1]]</f>
        <v>0</v>
      </c>
      <c r="AY212" s="20">
        <f>IF(AV212-DATA[[#This Row],[fecha_fs]]&lt;0,0,AV212-DATA[[#This Row],[fecha_fs]])</f>
        <v>2</v>
      </c>
      <c r="AZ212" s="20">
        <f t="shared" si="22"/>
        <v>16</v>
      </c>
      <c r="BA212" s="20">
        <f t="shared" si="23"/>
        <v>0</v>
      </c>
      <c r="BB212" s="195">
        <f>IFERROR(SUM(DATA[[#This Row],[fs_val_ttf]:[fact_pago_ttf]]),0)</f>
        <v>18</v>
      </c>
      <c r="BC212" s="185">
        <v>45709</v>
      </c>
      <c r="BD212" s="185">
        <v>45715</v>
      </c>
      <c r="BE212" s="185">
        <v>45715</v>
      </c>
      <c r="BF212" s="185">
        <v>45716</v>
      </c>
      <c r="BG212" s="20">
        <f>IFERROR(IF(BC212-DATA[[#This Row],[fecha_fs]]&lt;0,0,BC212-DATA[[#This Row],[fecha_fs]]),0)</f>
        <v>11</v>
      </c>
      <c r="BH212" s="20">
        <f t="shared" si="24"/>
        <v>6</v>
      </c>
      <c r="BI212" s="20">
        <f t="shared" si="25"/>
        <v>0</v>
      </c>
      <c r="BJ212" s="20">
        <f t="shared" si="26"/>
        <v>1</v>
      </c>
      <c r="BK212" s="218">
        <f>IFERROR(SUM(DATA[[#This Row],[fs_fd_ttd]:[fend_fenf_ttd]]),0)</f>
        <v>18</v>
      </c>
      <c r="BL212" s="20" t="str">
        <f>IF(DATA[[#This Row],[fecha_fs]]&gt;0,TEXT(DATA[[#This Row],[fecha_fs]],"YYYY"),0)</f>
        <v>2025</v>
      </c>
      <c r="BM212" s="221" t="b">
        <v>1</v>
      </c>
      <c r="BN212" s="278">
        <f>COUNTIF(DATA[[#This Row],[tiempo_td]], "&lt;=15")</f>
        <v>0</v>
      </c>
      <c r="BO212" s="222"/>
    </row>
    <row r="213" spans="1:67" ht="30" customHeight="1" x14ac:dyDescent="0.25">
      <c r="A213" s="4"/>
      <c r="B213" s="5" t="s">
        <v>0</v>
      </c>
      <c r="C213" s="52"/>
      <c r="D213" s="4"/>
      <c r="E213" s="5" t="s">
        <v>0</v>
      </c>
      <c r="F213" s="24">
        <v>45701</v>
      </c>
      <c r="G213" s="7" t="s">
        <v>113</v>
      </c>
      <c r="H213" s="25">
        <f t="shared" si="21"/>
        <v>1</v>
      </c>
      <c r="I213" s="67">
        <v>4104</v>
      </c>
      <c r="J213" s="8" t="s">
        <v>151</v>
      </c>
      <c r="K213" s="9"/>
      <c r="L213" s="10"/>
      <c r="M213" s="111"/>
      <c r="N213" s="112"/>
      <c r="O213" s="6"/>
      <c r="P213" s="13" t="s">
        <v>114</v>
      </c>
      <c r="Q213" s="14"/>
      <c r="R213" s="43"/>
      <c r="S213" s="43"/>
      <c r="T213" s="43">
        <f>DATA[[#This Row],[C. DF]]+DATA[[#This Row],[C.OPE.]]</f>
        <v>0</v>
      </c>
      <c r="U213" s="73">
        <f>DATA[[#This Row],[SUB TOTAL]]*0.18</f>
        <v>0</v>
      </c>
      <c r="V213" s="45">
        <f>IFERROR(ROUND(DATA[[#This Row],[SUB TOTAL]]+DATA[[#This Row],[IGV]],2),0)</f>
        <v>0</v>
      </c>
      <c r="W213" s="58" t="str">
        <f>IF(DATA[[#This Row],[VALORIZACIÓN ]]="-","NO CORRESPONDE",IF(OR(A213=20558226979,A213=10470707866,A213=20111157058,A213=20100226902),"NO CORRESPONDE",IF(J213="Emitida",IF(P213&gt;0,"EMITIDA","PENDIENTE"),"NO CORRESPONDE")))</f>
        <v>NO CORRESPONDE</v>
      </c>
      <c r="X213" s="46"/>
      <c r="Y213" s="17" t="s">
        <v>128</v>
      </c>
      <c r="Z213" s="48"/>
      <c r="AA213" s="49"/>
      <c r="AB213" s="50"/>
      <c r="AC213" s="51"/>
      <c r="AD213" s="59">
        <f>DATA[[#This Row],[FECHA DE EMISION]]+DATA[[#This Row],[CONDICION DE PAGO]]</f>
        <v>0</v>
      </c>
      <c r="AE213" s="23">
        <f>IF(DATA[[#This Row],[MONEDA]]="USD",VLOOKUP(DATA[[#This Row],[COMBINADA]],#REF!,11,0),1)</f>
        <v>1</v>
      </c>
      <c r="AF213" s="39" t="str">
        <f>IF(DATA[[#This Row],[SERIE2]]="-","NO CORRESPONDE",IF(W213="NO CORRESPONDE","NO CORRESPONDE",IF(Z213&gt;0,"FACTURADO","PENDIENTE")))</f>
        <v>NO CORRESPONDE</v>
      </c>
      <c r="AG213" s="61">
        <f>IFERROR(VLOOKUP(DATA[[#This Row],[COMBINADA]],#REF!,6,0),0)</f>
        <v>0</v>
      </c>
      <c r="AH213" s="62">
        <f>IFERROR(VLOOKUP(DATA[[#This Row],[COMBINADA]],#REF!,9,0),0)/COUNTIFS(DATA[COMBINADA],DATA[[#This Row],[COMBINADA]])</f>
        <v>0</v>
      </c>
      <c r="AI213" s="61">
        <f>IFERROR(VLOOKUP(DATA[[#This Row],[COMBINADA]],#REF!,6,0),0)</f>
        <v>0</v>
      </c>
      <c r="AJ213" s="62">
        <f>IFERROR(VLOOKUP(DATA[[#This Row],[COMBINADA]],#REF!,9,0),0)/COUNTIFS(DATA[COMBINADA],DATA[[#This Row],[COMBINADA]])</f>
        <v>0</v>
      </c>
      <c r="AK213" s="61">
        <f>IFERROR(VLOOKUP(DATA[[#This Row],[COMBINADA]],#REF!,6,0),0)</f>
        <v>0</v>
      </c>
      <c r="AL213" s="62">
        <f>IFERROR(VLOOKUP(DATA[[#This Row],[COMBINADA]],#REF!,9,0),0)/COUNTIFS(DATA[COMBINADA],DATA[[#This Row],[COMBINADA]])</f>
        <v>0</v>
      </c>
      <c r="AM213" s="61">
        <f>IFERROR(VLOOKUP(DATA[[#This Row],[COMBINADA]],#REF!,6,0),0)</f>
        <v>0</v>
      </c>
      <c r="AN213" s="62">
        <f>IFERROR(VLOOKUP(DATA[[#This Row],[COMBINADA]],#REF!,9,0),0)/COUNTIFS(DATA[COMBINADA],DATA[[#This Row],[COMBINADA]])</f>
        <v>0</v>
      </c>
      <c r="AO213" s="61">
        <f>IFERROR(VLOOKUP(DATA[[#This Row],[COMBINADA]],#REF!,6,0),0)</f>
        <v>0</v>
      </c>
      <c r="AP213" s="62">
        <f>IFERROR(VLOOKUP(DATA[[#This Row],[COMBINADA]],#REF!,9,0),0)/COUNTIFS(DATA[COMBINADA],DATA[[#This Row],[COMBINADA]])</f>
        <v>0</v>
      </c>
      <c r="AQ213"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213" s="22" t="str">
        <f>IFERROR(IF(DATA[[#This Row],[estado_fact]]="FACTURADO",VLOOKUP(DATA[[#This Row],[SERIE2]]&amp;"-"&amp;DATA[[#This Row],[NUMERO]],#REF!,34,0),"NO CORRESPONDE"),"NO CORRESPONDE")</f>
        <v>NO CORRESPONDE</v>
      </c>
      <c r="AS213" s="198" t="str">
        <f>IF(DATA[[#This Row],[fecha_fs]]&gt;0,TEXT(DATA[[#This Row],[fecha_fs]],"Mmmm"),0)</f>
        <v>Febrero</v>
      </c>
      <c r="AT213" s="199" t="str">
        <f>DATA[[#This Row],[SERIE2]]&amp;"-"&amp;DATA[[#This Row],[NUMERO]]</f>
        <v>-</v>
      </c>
      <c r="AU213" s="198">
        <f>DATA[[#This Row],[TOTAL]]*DATA[[#This Row],[T.C.]]</f>
        <v>0</v>
      </c>
      <c r="AV213" s="40">
        <f>DATA[[#This Row],[FECHA DE VAL.]]</f>
        <v>0</v>
      </c>
      <c r="AW213" s="40">
        <f>DATA[[#This Row],[FECHA DE EMISION]]</f>
        <v>0</v>
      </c>
      <c r="AX213" s="40">
        <f>DATA[[#This Row],[F1]]</f>
        <v>0</v>
      </c>
      <c r="AY213" s="49">
        <f>IF(AV213-DATA[[#This Row],[fecha_fs]]&lt;0,0,AV213-DATA[[#This Row],[fecha_fs]])</f>
        <v>0</v>
      </c>
      <c r="AZ213" s="49">
        <f t="shared" si="22"/>
        <v>0</v>
      </c>
      <c r="BA213" s="49">
        <f t="shared" si="23"/>
        <v>0</v>
      </c>
      <c r="BB213" s="195">
        <f>IFERROR(SUM(DATA[[#This Row],[fs_val_ttf]:[fact_pago_ttf]]),0)</f>
        <v>0</v>
      </c>
      <c r="BC213" s="200"/>
      <c r="BD213" s="200"/>
      <c r="BE213" s="200"/>
      <c r="BF213" s="200"/>
      <c r="BG213" s="49">
        <f>IFERROR(IF(BC213-DATA[[#This Row],[fecha_fs]]&lt;0,0,BC213-DATA[[#This Row],[fecha_fs]]),0)</f>
        <v>0</v>
      </c>
      <c r="BH213" s="49">
        <f t="shared" si="24"/>
        <v>0</v>
      </c>
      <c r="BI213" s="49">
        <f t="shared" si="25"/>
        <v>0</v>
      </c>
      <c r="BJ213" s="49">
        <f t="shared" si="26"/>
        <v>0</v>
      </c>
      <c r="BK213" s="218">
        <f>IFERROR(SUM(DATA[[#This Row],[fs_fd_ttd]:[fend_fenf_ttd]]),0)</f>
        <v>0</v>
      </c>
      <c r="BL213" s="20" t="str">
        <f>IF(DATA[[#This Row],[fecha_fs]]&gt;0,TEXT(DATA[[#This Row],[fecha_fs]],"YYYY"),0)</f>
        <v>2025</v>
      </c>
      <c r="BM213" s="221" t="b">
        <v>0</v>
      </c>
      <c r="BN213" s="278"/>
      <c r="BO213" s="222"/>
    </row>
    <row r="214" spans="1:67" ht="30.6" customHeight="1" x14ac:dyDescent="0.25">
      <c r="A214" s="4">
        <v>20456012427</v>
      </c>
      <c r="B214" s="5" t="s">
        <v>54</v>
      </c>
      <c r="C214" s="52" t="s">
        <v>55</v>
      </c>
      <c r="D214" s="4" t="s">
        <v>112</v>
      </c>
      <c r="E214" s="5" t="s">
        <v>1</v>
      </c>
      <c r="F214" s="24">
        <v>45698</v>
      </c>
      <c r="G214" s="7" t="s">
        <v>113</v>
      </c>
      <c r="H214" s="25">
        <f t="shared" si="21"/>
        <v>1</v>
      </c>
      <c r="I214" s="67">
        <v>4105</v>
      </c>
      <c r="J214" s="8" t="s">
        <v>115</v>
      </c>
      <c r="K214" s="9" t="s">
        <v>116</v>
      </c>
      <c r="L214" s="10" t="s">
        <v>117</v>
      </c>
      <c r="M214" s="11">
        <v>101</v>
      </c>
      <c r="N214" s="12" t="s">
        <v>114</v>
      </c>
      <c r="O214" s="6">
        <v>45700</v>
      </c>
      <c r="P214" s="13">
        <v>3287</v>
      </c>
      <c r="Q214" s="14" t="s">
        <v>85</v>
      </c>
      <c r="R214" s="15">
        <f>DATA[[#This Row],[cantidad_fs]]*1</f>
        <v>101</v>
      </c>
      <c r="S214" s="56">
        <v>270</v>
      </c>
      <c r="T214" s="15">
        <f>DATA[[#This Row],[C. DF]]+DATA[[#This Row],[C.OPE.]]</f>
        <v>371</v>
      </c>
      <c r="U214" s="15">
        <f>DATA[[#This Row],[SUB TOTAL]]*0.18</f>
        <v>66.78</v>
      </c>
      <c r="V214" s="15">
        <f>IFERROR(ROUND(DATA[[#This Row],[SUB TOTAL]]+DATA[[#This Row],[IGV]],2),0)</f>
        <v>437.78</v>
      </c>
      <c r="W214" s="16" t="str">
        <f>IF(DATA[[#This Row],[VALORIZACIÓN ]]="-","NO CORRESPONDE",IF(OR(A214=20558226979,A214=10470707866,A214=20111157058,A214=20100226902),"NO CORRESPONDE",IF(J214="Emitida",IF(P214&gt;0,"EMITIDA","PENDIENTE"),"NO CORRESPONDE")))</f>
        <v>EMITIDA</v>
      </c>
      <c r="X214" s="29"/>
      <c r="Y214" s="17" t="s">
        <v>118</v>
      </c>
      <c r="Z214" s="30">
        <v>45716</v>
      </c>
      <c r="AA214" s="10" t="s">
        <v>124</v>
      </c>
      <c r="AB214" s="19">
        <v>582</v>
      </c>
      <c r="AC214" s="20">
        <v>15</v>
      </c>
      <c r="AD214" s="18">
        <f>DATA[[#This Row],[FECHA DE EMISION]]+DATA[[#This Row],[CONDICION DE PAGO]]</f>
        <v>45731</v>
      </c>
      <c r="AE214" s="23">
        <f>IF(DATA[[#This Row],[MONEDA]]="USD",VLOOKUP(DATA[[#This Row],[COMBINADA]],#REF!,11,0),1)</f>
        <v>1</v>
      </c>
      <c r="AF214" s="39" t="str">
        <f>IF(DATA[[#This Row],[SERIE2]]="-","NO CORRESPONDE",IF(W214="NO CORRESPONDE","NO CORRESPONDE",IF(Z214&gt;0,"FACTURADO","PENDIENTE")))</f>
        <v>FACTURADO</v>
      </c>
      <c r="AG214" s="27">
        <f>IFERROR(VLOOKUP(DATA[[#This Row],[COMBINADA]],#REF!,6,0),0)</f>
        <v>0</v>
      </c>
      <c r="AH214" s="125">
        <f>IFERROR(VLOOKUP(DATA[[#This Row],[COMBINADA]],#REF!,9,0),0)/COUNTIFS(DATA[COMBINADA],DATA[[#This Row],[COMBINADA]])</f>
        <v>0</v>
      </c>
      <c r="AI214" s="27">
        <f>IFERROR(VLOOKUP(DATA[[#This Row],[COMBINADA]],#REF!,6,0),0)</f>
        <v>0</v>
      </c>
      <c r="AJ214" s="125">
        <f>IFERROR(VLOOKUP(DATA[[#This Row],[COMBINADA]],#REF!,9,0),0)/COUNTIFS(DATA[COMBINADA],DATA[[#This Row],[COMBINADA]])</f>
        <v>0</v>
      </c>
      <c r="AK214" s="27">
        <f>IFERROR(VLOOKUP(DATA[[#This Row],[COMBINADA]],#REF!,6,0),0)</f>
        <v>0</v>
      </c>
      <c r="AL214" s="125">
        <f>IFERROR(VLOOKUP(DATA[[#This Row],[COMBINADA]],#REF!,9,0),0)/COUNTIFS(DATA[COMBINADA],DATA[[#This Row],[COMBINADA]])</f>
        <v>0</v>
      </c>
      <c r="AM214" s="27">
        <f>IFERROR(VLOOKUP(DATA[[#This Row],[COMBINADA]],#REF!,6,0),0)</f>
        <v>0</v>
      </c>
      <c r="AN214" s="125">
        <f>IFERROR(VLOOKUP(DATA[[#This Row],[COMBINADA]],#REF!,9,0),0)/COUNTIFS(DATA[COMBINADA],DATA[[#This Row],[COMBINADA]])</f>
        <v>0</v>
      </c>
      <c r="AO214" s="27">
        <f>IFERROR(VLOOKUP(DATA[[#This Row],[COMBINADA]],#REF!,6,0),0)</f>
        <v>0</v>
      </c>
      <c r="AP214" s="125">
        <f>IFERROR(VLOOKUP(DATA[[#This Row],[COMBINADA]],#REF!,9,0),0)/COUNTIFS(DATA[COMBINADA],DATA[[#This Row],[COMBINADA]])</f>
        <v>0</v>
      </c>
      <c r="AQ21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466.69</v>
      </c>
      <c r="AR214" s="26" t="str">
        <f>IFERROR(IF(DATA[[#This Row],[estado_fact]]="FACTURADO",VLOOKUP(DATA[[#This Row],[SERIE2]]&amp;"-"&amp;DATA[[#This Row],[NUMERO]],#REF!,34,0),"NO CORRESPONDE"),"NO CORRESPONDE")</f>
        <v>NO CORRESPONDE</v>
      </c>
      <c r="AS214" s="65" t="str">
        <f>IF(DATA[[#This Row],[fecha_fs]]&gt;0,TEXT(DATA[[#This Row],[fecha_fs]],"Mmmm"),0)</f>
        <v>Febrero</v>
      </c>
      <c r="AT214" s="22" t="str">
        <f>DATA[[#This Row],[SERIE2]]&amp;"-"&amp;DATA[[#This Row],[NUMERO]]</f>
        <v>FE01-582</v>
      </c>
      <c r="AU214" s="28">
        <f>DATA[[#This Row],[TOTAL]]*DATA[[#This Row],[T.C.]]</f>
        <v>437.78</v>
      </c>
      <c r="AV214" s="6">
        <f>DATA[[#This Row],[FECHA DE VAL.]]</f>
        <v>45700</v>
      </c>
      <c r="AW214" s="6">
        <f>DATA[[#This Row],[FECHA DE EMISION]]</f>
        <v>45716</v>
      </c>
      <c r="AX214" s="6">
        <f>DATA[[#This Row],[F1]]</f>
        <v>0</v>
      </c>
      <c r="AY214" s="20">
        <f>IF(AV214-DATA[[#This Row],[fecha_fs]]&lt;0,0,AV214-DATA[[#This Row],[fecha_fs]])</f>
        <v>2</v>
      </c>
      <c r="AZ214" s="20">
        <f t="shared" si="22"/>
        <v>16</v>
      </c>
      <c r="BA214" s="20">
        <f t="shared" si="23"/>
        <v>0</v>
      </c>
      <c r="BB214" s="195">
        <f>IFERROR(SUM(DATA[[#This Row],[fs_val_ttf]:[fact_pago_ttf]]),0)</f>
        <v>18</v>
      </c>
      <c r="BC214" s="185">
        <v>45709</v>
      </c>
      <c r="BD214" s="185">
        <v>45715</v>
      </c>
      <c r="BE214" s="185">
        <v>45715</v>
      </c>
      <c r="BF214" s="185">
        <v>45716</v>
      </c>
      <c r="BG214" s="20">
        <f>IFERROR(IF(BC214-DATA[[#This Row],[fecha_fs]]&lt;0,0,BC214-DATA[[#This Row],[fecha_fs]]),0)</f>
        <v>11</v>
      </c>
      <c r="BH214" s="20">
        <f t="shared" si="24"/>
        <v>6</v>
      </c>
      <c r="BI214" s="20">
        <f t="shared" si="25"/>
        <v>0</v>
      </c>
      <c r="BJ214" s="20">
        <f t="shared" si="26"/>
        <v>1</v>
      </c>
      <c r="BK214" s="218">
        <f>IFERROR(SUM(DATA[[#This Row],[fs_fd_ttd]:[fend_fenf_ttd]]),0)</f>
        <v>18</v>
      </c>
      <c r="BL214" s="20" t="str">
        <f>IF(DATA[[#This Row],[fecha_fs]]&gt;0,TEXT(DATA[[#This Row],[fecha_fs]],"YYYY"),0)</f>
        <v>2025</v>
      </c>
      <c r="BM214" s="221" t="b">
        <v>1</v>
      </c>
      <c r="BN214" s="278">
        <f>COUNTIF(DATA[[#This Row],[tiempo_td]], "&lt;=15")</f>
        <v>0</v>
      </c>
      <c r="BO214" s="222"/>
    </row>
    <row r="215" spans="1:67" ht="30.6" customHeight="1" x14ac:dyDescent="0.25">
      <c r="A215" s="4">
        <v>20100211115</v>
      </c>
      <c r="B215" s="5" t="s">
        <v>41</v>
      </c>
      <c r="C215" s="52" t="s">
        <v>18</v>
      </c>
      <c r="D215" s="4" t="s">
        <v>120</v>
      </c>
      <c r="E215" s="5" t="s">
        <v>3</v>
      </c>
      <c r="F215" s="24">
        <v>45700</v>
      </c>
      <c r="G215" s="7" t="s">
        <v>113</v>
      </c>
      <c r="H215" s="25">
        <f t="shared" si="21"/>
        <v>1</v>
      </c>
      <c r="I215" s="67">
        <v>4106</v>
      </c>
      <c r="J215" s="8" t="s">
        <v>115</v>
      </c>
      <c r="K215" s="9" t="s">
        <v>121</v>
      </c>
      <c r="L215" s="10" t="s">
        <v>117</v>
      </c>
      <c r="M215" s="11">
        <v>90</v>
      </c>
      <c r="N215" s="12" t="s">
        <v>125</v>
      </c>
      <c r="O215" s="6">
        <v>45716</v>
      </c>
      <c r="P215" s="115">
        <v>3326</v>
      </c>
      <c r="Q215" s="14" t="s">
        <v>85</v>
      </c>
      <c r="R215" s="15"/>
      <c r="S215" s="56">
        <f>(DATA[[#This Row],[cantidad_fs]]*4.37)</f>
        <v>393.3</v>
      </c>
      <c r="T215" s="15">
        <f>DATA[[#This Row],[C. DF]]+DATA[[#This Row],[C.OPE.]]</f>
        <v>393.3</v>
      </c>
      <c r="U215" s="15">
        <f>DATA[[#This Row],[SUB TOTAL]]*0.18</f>
        <v>70.793999999999997</v>
      </c>
      <c r="V215" s="15">
        <f>IFERROR(ROUND(DATA[[#This Row],[SUB TOTAL]]+DATA[[#This Row],[IGV]],2),0)</f>
        <v>464.09</v>
      </c>
      <c r="W215" s="16" t="str">
        <f>IF(DATA[[#This Row],[VALORIZACIÓN ]]="-","NO CORRESPONDE",IF(OR(A215=20558226979,A215=10470707866,A215=20111157058,A215=20100226902),"NO CORRESPONDE",IF(J215="Emitida",IF(P215&gt;0,"EMITIDA","PENDIENTE"),"NO CORRESPONDE")))</f>
        <v>EMITIDA</v>
      </c>
      <c r="X215" s="29"/>
      <c r="Y215" s="17" t="s">
        <v>118</v>
      </c>
      <c r="Z215" s="30">
        <v>45722</v>
      </c>
      <c r="AA215" s="10" t="s">
        <v>124</v>
      </c>
      <c r="AB215" s="19">
        <v>588</v>
      </c>
      <c r="AC215" s="20">
        <v>30</v>
      </c>
      <c r="AD215" s="18">
        <f>DATA[[#This Row],[FECHA DE EMISION]]+DATA[[#This Row],[CONDICION DE PAGO]]</f>
        <v>45752</v>
      </c>
      <c r="AE215" s="23">
        <f>IF(DATA[[#This Row],[MONEDA]]="USD",VLOOKUP(DATA[[#This Row],[COMBINADA]],#REF!,11,0),1)</f>
        <v>1</v>
      </c>
      <c r="AF215" s="39" t="str">
        <f>IF(DATA[[#This Row],[SERIE2]]="-","NO CORRESPONDE",IF(W215="NO CORRESPONDE","NO CORRESPONDE",IF(Z215&gt;0,"FACTURADO","PENDIENTE")))</f>
        <v>FACTURADO</v>
      </c>
      <c r="AG215" s="27">
        <f>IFERROR(VLOOKUP(DATA[[#This Row],[COMBINADA]],#REF!,6,0),0)</f>
        <v>0</v>
      </c>
      <c r="AH215" s="125">
        <f>IFERROR(VLOOKUP(DATA[[#This Row],[COMBINADA]],#REF!,9,0),0)/COUNTIFS(DATA[COMBINADA],DATA[[#This Row],[COMBINADA]])</f>
        <v>0</v>
      </c>
      <c r="AI215" s="27">
        <f>IFERROR(VLOOKUP(DATA[[#This Row],[COMBINADA]],#REF!,6,0),0)</f>
        <v>0</v>
      </c>
      <c r="AJ215" s="125">
        <f>IFERROR(VLOOKUP(DATA[[#This Row],[COMBINADA]],#REF!,9,0),0)/COUNTIFS(DATA[COMBINADA],DATA[[#This Row],[COMBINADA]])</f>
        <v>0</v>
      </c>
      <c r="AK215" s="27">
        <f>IFERROR(VLOOKUP(DATA[[#This Row],[COMBINADA]],#REF!,6,0),0)</f>
        <v>0</v>
      </c>
      <c r="AL215" s="125">
        <f>IFERROR(VLOOKUP(DATA[[#This Row],[COMBINADA]],#REF!,9,0),0)/COUNTIFS(DATA[COMBINADA],DATA[[#This Row],[COMBINADA]])</f>
        <v>0</v>
      </c>
      <c r="AM215" s="27">
        <f>IFERROR(VLOOKUP(DATA[[#This Row],[COMBINADA]],#REF!,6,0),0)</f>
        <v>0</v>
      </c>
      <c r="AN215" s="125">
        <f>IFERROR(VLOOKUP(DATA[[#This Row],[COMBINADA]],#REF!,9,0),0)/COUNTIFS(DATA[COMBINADA],DATA[[#This Row],[COMBINADA]])</f>
        <v>0</v>
      </c>
      <c r="AO215" s="27">
        <f>IFERROR(VLOOKUP(DATA[[#This Row],[COMBINADA]],#REF!,6,0),0)</f>
        <v>0</v>
      </c>
      <c r="AP215" s="125">
        <f>IFERROR(VLOOKUP(DATA[[#This Row],[COMBINADA]],#REF!,9,0),0)/COUNTIFS(DATA[COMBINADA],DATA[[#This Row],[COMBINADA]])</f>
        <v>0</v>
      </c>
      <c r="AQ21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215" s="26" t="str">
        <f>IFERROR(IF(DATA[[#This Row],[estado_fact]]="FACTURADO",VLOOKUP(DATA[[#This Row],[SERIE2]]&amp;"-"&amp;DATA[[#This Row],[NUMERO]],#REF!,34,0),"NO CORRESPONDE"),"NO CORRESPONDE")</f>
        <v>NO CORRESPONDE</v>
      </c>
      <c r="AS215" s="65" t="str">
        <f>IF(DATA[[#This Row],[fecha_fs]]&gt;0,TEXT(DATA[[#This Row],[fecha_fs]],"Mmmm"),0)</f>
        <v>Febrero</v>
      </c>
      <c r="AT215" s="22" t="str">
        <f>DATA[[#This Row],[SERIE2]]&amp;"-"&amp;DATA[[#This Row],[NUMERO]]</f>
        <v>FE01-588</v>
      </c>
      <c r="AU215" s="28">
        <f>DATA[[#This Row],[TOTAL]]*DATA[[#This Row],[T.C.]]</f>
        <v>464.09</v>
      </c>
      <c r="AV215" s="6">
        <f>DATA[[#This Row],[FECHA DE VAL.]]</f>
        <v>45716</v>
      </c>
      <c r="AW215" s="6">
        <f>DATA[[#This Row],[FECHA DE EMISION]]</f>
        <v>45722</v>
      </c>
      <c r="AX215" s="6">
        <f>DATA[[#This Row],[F1]]</f>
        <v>0</v>
      </c>
      <c r="AY215" s="20">
        <f>IF(AV215-DATA[[#This Row],[fecha_fs]]&lt;0,0,AV215-DATA[[#This Row],[fecha_fs]])</f>
        <v>16</v>
      </c>
      <c r="AZ215" s="20">
        <f t="shared" si="22"/>
        <v>6</v>
      </c>
      <c r="BA215" s="20">
        <f t="shared" si="23"/>
        <v>0</v>
      </c>
      <c r="BB215" s="195">
        <f>IFERROR(SUM(DATA[[#This Row],[fs_val_ttf]:[fact_pago_ttf]]),0)</f>
        <v>22</v>
      </c>
      <c r="BC215" s="185">
        <v>45729</v>
      </c>
      <c r="BD215" s="185">
        <v>45735</v>
      </c>
      <c r="BE215" s="185">
        <v>45740</v>
      </c>
      <c r="BF215" s="185">
        <v>45749</v>
      </c>
      <c r="BG215" s="20">
        <f>IFERROR(IF(BC215-DATA[[#This Row],[fecha_fs]]&lt;0,0,BC215-DATA[[#This Row],[fecha_fs]]),0)</f>
        <v>29</v>
      </c>
      <c r="BH215" s="20">
        <f t="shared" si="24"/>
        <v>6</v>
      </c>
      <c r="BI215" s="20">
        <f t="shared" si="25"/>
        <v>5</v>
      </c>
      <c r="BJ215" s="20">
        <f t="shared" si="26"/>
        <v>9</v>
      </c>
      <c r="BK215" s="218">
        <f>IFERROR(SUM(DATA[[#This Row],[fs_fd_ttd]:[fend_fenf_ttd]]),0)</f>
        <v>49</v>
      </c>
      <c r="BL215" s="20" t="str">
        <f>IF(DATA[[#This Row],[fecha_fs]]&gt;0,TEXT(DATA[[#This Row],[fecha_fs]],"YYYY"),0)</f>
        <v>2025</v>
      </c>
      <c r="BM215" s="221" t="b">
        <v>1</v>
      </c>
      <c r="BN215" s="278">
        <f>COUNTIF(DATA[[#This Row],[tiempo_td]], "&lt;=15")</f>
        <v>0</v>
      </c>
      <c r="BO215" s="222"/>
    </row>
    <row r="216" spans="1:67" ht="30.6" customHeight="1" x14ac:dyDescent="0.25">
      <c r="A216" s="4">
        <v>20505675836</v>
      </c>
      <c r="B216" s="5" t="s">
        <v>42</v>
      </c>
      <c r="C216" s="52" t="s">
        <v>43</v>
      </c>
      <c r="D216" s="4" t="s">
        <v>112</v>
      </c>
      <c r="E216" s="5" t="s">
        <v>1</v>
      </c>
      <c r="F216" s="24">
        <v>45700</v>
      </c>
      <c r="G216" s="7" t="s">
        <v>113</v>
      </c>
      <c r="H216" s="25">
        <f t="shared" si="21"/>
        <v>1</v>
      </c>
      <c r="I216" s="67">
        <v>4107</v>
      </c>
      <c r="J216" s="8" t="s">
        <v>115</v>
      </c>
      <c r="K216" s="9" t="s">
        <v>116</v>
      </c>
      <c r="L216" s="10" t="s">
        <v>117</v>
      </c>
      <c r="M216" s="11">
        <v>1330</v>
      </c>
      <c r="N216" s="12" t="s">
        <v>129</v>
      </c>
      <c r="O216" s="6">
        <v>45713</v>
      </c>
      <c r="P216" s="71">
        <v>3310</v>
      </c>
      <c r="Q216" s="14" t="s">
        <v>85</v>
      </c>
      <c r="R216" s="15">
        <f>(DATA[[#This Row],[cantidad_fs]]-600)*0.97</f>
        <v>708.1</v>
      </c>
      <c r="S216" s="15">
        <v>1427.2</v>
      </c>
      <c r="T216" s="15">
        <f>DATA[[#This Row],[C. DF]]+DATA[[#This Row],[C.OPE.]]</f>
        <v>2135.3000000000002</v>
      </c>
      <c r="U216" s="15">
        <f>DATA[[#This Row],[SUB TOTAL]]*0.18</f>
        <v>384.35400000000004</v>
      </c>
      <c r="V216" s="15">
        <f>IFERROR(ROUND(DATA[[#This Row],[SUB TOTAL]]+DATA[[#This Row],[IGV]],2),0)</f>
        <v>2519.65</v>
      </c>
      <c r="W216" s="16" t="str">
        <f>IF(DATA[[#This Row],[VALORIZACIÓN ]]="-","NO CORRESPONDE",IF(OR(A216=20558226979,A216=10470707866,A216=20111157058,A216=20100226902),"NO CORRESPONDE",IF(J216="Emitida",IF(P216&gt;0,"EMITIDA","PENDIENTE"),"NO CORRESPONDE")))</f>
        <v>EMITIDA</v>
      </c>
      <c r="X216" s="29"/>
      <c r="Y216" s="17" t="s">
        <v>118</v>
      </c>
      <c r="Z216" s="30">
        <v>45740</v>
      </c>
      <c r="AA216" s="10" t="s">
        <v>119</v>
      </c>
      <c r="AB216" s="19">
        <v>39</v>
      </c>
      <c r="AC216" s="20">
        <v>30</v>
      </c>
      <c r="AD216" s="18">
        <f>DATA[[#This Row],[FECHA DE EMISION]]+DATA[[#This Row],[CONDICION DE PAGO]]</f>
        <v>45770</v>
      </c>
      <c r="AE216" s="23">
        <f>IF(DATA[[#This Row],[MONEDA]]="USD",VLOOKUP(DATA[[#This Row],[COMBINADA]],#REF!,11,0),1)</f>
        <v>1</v>
      </c>
      <c r="AF216" s="39" t="str">
        <f>IF(DATA[[#This Row],[SERIE2]]="-","NO CORRESPONDE",IF(W216="NO CORRESPONDE","NO CORRESPONDE",IF(Z216&gt;0,"FACTURADO","PENDIENTE")))</f>
        <v>FACTURADO</v>
      </c>
      <c r="AG216" s="27">
        <f>IFERROR(VLOOKUP(DATA[[#This Row],[COMBINADA]],#REF!,6,0),0)</f>
        <v>0</v>
      </c>
      <c r="AH216" s="125">
        <f>IFERROR(VLOOKUP(DATA[[#This Row],[COMBINADA]],#REF!,9,0),0)/COUNTIFS(DATA[COMBINADA],DATA[[#This Row],[COMBINADA]])</f>
        <v>0</v>
      </c>
      <c r="AI216" s="27">
        <f>IFERROR(VLOOKUP(DATA[[#This Row],[COMBINADA]],#REF!,6,0),0)</f>
        <v>0</v>
      </c>
      <c r="AJ216" s="125">
        <f>IFERROR(VLOOKUP(DATA[[#This Row],[COMBINADA]],#REF!,9,0),0)/COUNTIFS(DATA[COMBINADA],DATA[[#This Row],[COMBINADA]])</f>
        <v>0</v>
      </c>
      <c r="AK216" s="27">
        <f>IFERROR(VLOOKUP(DATA[[#This Row],[COMBINADA]],#REF!,6,0),0)</f>
        <v>0</v>
      </c>
      <c r="AL216" s="125">
        <f>IFERROR(VLOOKUP(DATA[[#This Row],[COMBINADA]],#REF!,9,0),0)/COUNTIFS(DATA[COMBINADA],DATA[[#This Row],[COMBINADA]])</f>
        <v>0</v>
      </c>
      <c r="AM216" s="27">
        <f>IFERROR(VLOOKUP(DATA[[#This Row],[COMBINADA]],#REF!,6,0),0)</f>
        <v>0</v>
      </c>
      <c r="AN216" s="125">
        <f>IFERROR(VLOOKUP(DATA[[#This Row],[COMBINADA]],#REF!,9,0),0)/COUNTIFS(DATA[COMBINADA],DATA[[#This Row],[COMBINADA]])</f>
        <v>0</v>
      </c>
      <c r="AO216" s="27">
        <f>IFERROR(VLOOKUP(DATA[[#This Row],[COMBINADA]],#REF!,6,0),0)</f>
        <v>0</v>
      </c>
      <c r="AP216" s="125">
        <f>IFERROR(VLOOKUP(DATA[[#This Row],[COMBINADA]],#REF!,9,0),0)/COUNTIFS(DATA[COMBINADA],DATA[[#This Row],[COMBINADA]])</f>
        <v>0</v>
      </c>
      <c r="AQ21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1876.66</v>
      </c>
      <c r="AR216" s="26" t="str">
        <f>IFERROR(IF(DATA[[#This Row],[estado_fact]]="FACTURADO",VLOOKUP(DATA[[#This Row],[SERIE2]]&amp;"-"&amp;DATA[[#This Row],[NUMERO]],#REF!,34,0),"NO CORRESPONDE"),"NO CORRESPONDE")</f>
        <v>NO CORRESPONDE</v>
      </c>
      <c r="AS216" s="65" t="str">
        <f>IF(DATA[[#This Row],[fecha_fs]]&gt;0,TEXT(DATA[[#This Row],[fecha_fs]],"Mmmm"),0)</f>
        <v>Febrero</v>
      </c>
      <c r="AT216" s="22" t="str">
        <f>DATA[[#This Row],[SERIE2]]&amp;"-"&amp;DATA[[#This Row],[NUMERO]]</f>
        <v>E001-39</v>
      </c>
      <c r="AU216" s="28">
        <f>DATA[[#This Row],[TOTAL]]*DATA[[#This Row],[T.C.]]</f>
        <v>2519.65</v>
      </c>
      <c r="AV216" s="6">
        <f>DATA[[#This Row],[FECHA DE VAL.]]</f>
        <v>45713</v>
      </c>
      <c r="AW216" s="6">
        <f>DATA[[#This Row],[FECHA DE EMISION]]</f>
        <v>45740</v>
      </c>
      <c r="AX216" s="6">
        <f>DATA[[#This Row],[F1]]</f>
        <v>0</v>
      </c>
      <c r="AY216" s="20">
        <f>IF(AV216-DATA[[#This Row],[fecha_fs]]&lt;0,0,AV216-DATA[[#This Row],[fecha_fs]])</f>
        <v>13</v>
      </c>
      <c r="AZ216" s="20">
        <f t="shared" si="22"/>
        <v>27</v>
      </c>
      <c r="BA216" s="20">
        <f t="shared" si="23"/>
        <v>0</v>
      </c>
      <c r="BB216" s="195">
        <f>IFERROR(SUM(DATA[[#This Row],[fs_val_ttf]:[fact_pago_ttf]]),0)</f>
        <v>40</v>
      </c>
      <c r="BC216" s="185">
        <v>45709</v>
      </c>
      <c r="BD216" s="185">
        <v>45728</v>
      </c>
      <c r="BE216" s="185">
        <v>45735</v>
      </c>
      <c r="BF216" s="185">
        <v>45761</v>
      </c>
      <c r="BG216" s="20">
        <f>IFERROR(IF(BC216-DATA[[#This Row],[fecha_fs]]&lt;0,0,BC216-DATA[[#This Row],[fecha_fs]]),0)</f>
        <v>9</v>
      </c>
      <c r="BH216" s="20">
        <f t="shared" si="24"/>
        <v>19</v>
      </c>
      <c r="BI216" s="20">
        <f t="shared" si="25"/>
        <v>7</v>
      </c>
      <c r="BJ216" s="20">
        <f t="shared" si="26"/>
        <v>26</v>
      </c>
      <c r="BK216" s="218">
        <f>IFERROR(SUM(DATA[[#This Row],[fs_fd_ttd]:[fend_fenf_ttd]]),0)</f>
        <v>61</v>
      </c>
      <c r="BL216" s="20" t="str">
        <f>IF(DATA[[#This Row],[fecha_fs]]&gt;0,TEXT(DATA[[#This Row],[fecha_fs]],"YYYY"),0)</f>
        <v>2025</v>
      </c>
      <c r="BM216" s="221" t="b">
        <v>1</v>
      </c>
      <c r="BN216" s="278">
        <f>COUNTIF(DATA[[#This Row],[tiempo_td]], "&lt;=15")</f>
        <v>0</v>
      </c>
      <c r="BO216" s="222"/>
    </row>
    <row r="217" spans="1:67" ht="30" customHeight="1" x14ac:dyDescent="0.25">
      <c r="A217" s="4">
        <v>20100226902</v>
      </c>
      <c r="B217" s="5" t="s">
        <v>24</v>
      </c>
      <c r="C217" s="52" t="s">
        <v>18</v>
      </c>
      <c r="D217" s="4" t="s">
        <v>120</v>
      </c>
      <c r="E217" s="5" t="s">
        <v>3</v>
      </c>
      <c r="F217" s="24">
        <v>45700</v>
      </c>
      <c r="G217" s="7" t="s">
        <v>113</v>
      </c>
      <c r="H217" s="25">
        <f t="shared" si="21"/>
        <v>1</v>
      </c>
      <c r="I217" s="67">
        <v>4108</v>
      </c>
      <c r="J217" s="8" t="s">
        <v>115</v>
      </c>
      <c r="K217" s="9" t="s">
        <v>121</v>
      </c>
      <c r="L217" s="10" t="s">
        <v>117</v>
      </c>
      <c r="M217" s="11">
        <v>500</v>
      </c>
      <c r="N217" s="12" t="s">
        <v>127</v>
      </c>
      <c r="O217" s="40"/>
      <c r="P217" s="41" t="s">
        <v>114</v>
      </c>
      <c r="Q217" s="42"/>
      <c r="R217" s="43"/>
      <c r="S217" s="43"/>
      <c r="T217" s="43">
        <f>DATA[[#This Row],[C. DF]]+DATA[[#This Row],[C.OPE.]]</f>
        <v>0</v>
      </c>
      <c r="U217" s="43">
        <f>DATA[[#This Row],[SUB TOTAL]]*0.18</f>
        <v>0</v>
      </c>
      <c r="V217" s="43">
        <f>IFERROR(ROUND(DATA[[#This Row],[SUB TOTAL]]+DATA[[#This Row],[IGV]],2),0)</f>
        <v>0</v>
      </c>
      <c r="W217" s="58" t="str">
        <f>IF(DATA[[#This Row],[VALORIZACIÓN ]]="-","NO CORRESPONDE",IF(OR(A217=20558226979,A217=10470707866,A217=20111157058,A217=20100226902),"NO CORRESPONDE",IF(J217="Emitida",IF(P217&gt;0,"EMITIDA","PENDIENTE"),"NO CORRESPONDE")))</f>
        <v>NO CORRESPONDE</v>
      </c>
      <c r="X217" s="45"/>
      <c r="Y217" s="58" t="s">
        <v>128</v>
      </c>
      <c r="Z217" s="46"/>
      <c r="AA217" s="47"/>
      <c r="AB217" s="48"/>
      <c r="AC217" s="49"/>
      <c r="AD217" s="50">
        <f>DATA[[#This Row],[FECHA DE EMISION]]+DATA[[#This Row],[CONDICION DE PAGO]]</f>
        <v>0</v>
      </c>
      <c r="AE217" s="23">
        <f>IF(DATA[[#This Row],[MONEDA]]="USD",VLOOKUP(DATA[[#This Row],[COMBINADA]],#REF!,11,0),1)</f>
        <v>1</v>
      </c>
      <c r="AF217" s="39" t="str">
        <f>IF(DATA[[#This Row],[SERIE2]]="-","NO CORRESPONDE",IF(W217="NO CORRESPONDE","NO CORRESPONDE",IF(Z217&gt;0,"FACTURADO","PENDIENTE")))</f>
        <v>NO CORRESPONDE</v>
      </c>
      <c r="AG217" s="60">
        <f>IFERROR(VLOOKUP(DATA[[#This Row],[COMBINADA]],#REF!,6,0),0)</f>
        <v>0</v>
      </c>
      <c r="AH217" s="126">
        <f>IFERROR(VLOOKUP(DATA[[#This Row],[COMBINADA]],#REF!,9,0),0)/COUNTIFS(DATA[COMBINADA],DATA[[#This Row],[COMBINADA]])</f>
        <v>0</v>
      </c>
      <c r="AI217" s="60">
        <f>IFERROR(VLOOKUP(DATA[[#This Row],[COMBINADA]],#REF!,6,0),0)</f>
        <v>0</v>
      </c>
      <c r="AJ217" s="126">
        <f>IFERROR(VLOOKUP(DATA[[#This Row],[COMBINADA]],#REF!,9,0),0)/COUNTIFS(DATA[COMBINADA],DATA[[#This Row],[COMBINADA]])</f>
        <v>0</v>
      </c>
      <c r="AK217" s="60">
        <f>IFERROR(VLOOKUP(DATA[[#This Row],[COMBINADA]],#REF!,6,0),0)</f>
        <v>0</v>
      </c>
      <c r="AL217" s="126">
        <f>IFERROR(VLOOKUP(DATA[[#This Row],[COMBINADA]],#REF!,9,0),0)/COUNTIFS(DATA[COMBINADA],DATA[[#This Row],[COMBINADA]])</f>
        <v>0</v>
      </c>
      <c r="AM217" s="60">
        <f>IFERROR(VLOOKUP(DATA[[#This Row],[COMBINADA]],#REF!,6,0),0)</f>
        <v>0</v>
      </c>
      <c r="AN217" s="126">
        <f>IFERROR(VLOOKUP(DATA[[#This Row],[COMBINADA]],#REF!,9,0),0)/COUNTIFS(DATA[COMBINADA],DATA[[#This Row],[COMBINADA]])</f>
        <v>0</v>
      </c>
      <c r="AO217" s="60">
        <f>IFERROR(VLOOKUP(DATA[[#This Row],[COMBINADA]],#REF!,6,0),0)</f>
        <v>0</v>
      </c>
      <c r="AP217" s="126">
        <f>IFERROR(VLOOKUP(DATA[[#This Row],[COMBINADA]],#REF!,9,0),0)/COUNTIFS(DATA[COMBINADA],DATA[[#This Row],[COMBINADA]])</f>
        <v>0</v>
      </c>
      <c r="AQ217"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217" s="22" t="str">
        <f>IFERROR(IF(DATA[[#This Row],[estado_fact]]="FACTURADO",VLOOKUP(DATA[[#This Row],[SERIE2]]&amp;"-"&amp;DATA[[#This Row],[NUMERO]],#REF!,34,0),"NO CORRESPONDE"),"NO CORRESPONDE")</f>
        <v>NO CORRESPONDE</v>
      </c>
      <c r="AS217" s="65" t="str">
        <f>IF(DATA[[#This Row],[fecha_fs]]&gt;0,TEXT(DATA[[#This Row],[fecha_fs]],"Mmmm"),0)</f>
        <v>Febrero</v>
      </c>
      <c r="AT217" s="22" t="str">
        <f>DATA[[#This Row],[SERIE2]]&amp;"-"&amp;DATA[[#This Row],[NUMERO]]</f>
        <v>-</v>
      </c>
      <c r="AU217" s="28">
        <f>DATA[[#This Row],[TOTAL]]*DATA[[#This Row],[T.C.]]</f>
        <v>0</v>
      </c>
      <c r="AV217" s="6">
        <f>DATA[[#This Row],[FECHA DE VAL.]]</f>
        <v>0</v>
      </c>
      <c r="AW217" s="6">
        <f>DATA[[#This Row],[FECHA DE EMISION]]</f>
        <v>0</v>
      </c>
      <c r="AX217" s="6">
        <f>DATA[[#This Row],[F1]]</f>
        <v>0</v>
      </c>
      <c r="AY217" s="20">
        <f>IF(AV217-DATA[[#This Row],[fecha_fs]]&lt;0,0,AV217-DATA[[#This Row],[fecha_fs]])</f>
        <v>0</v>
      </c>
      <c r="AZ217" s="20">
        <f t="shared" si="22"/>
        <v>0</v>
      </c>
      <c r="BA217" s="20">
        <f t="shared" si="23"/>
        <v>0</v>
      </c>
      <c r="BB217" s="195">
        <f>IFERROR(SUM(DATA[[#This Row],[fs_val_ttf]:[fact_pago_ttf]]),0)</f>
        <v>0</v>
      </c>
      <c r="BC217" s="185">
        <v>45700</v>
      </c>
      <c r="BD217" s="185">
        <v>45700</v>
      </c>
      <c r="BE217" s="185">
        <v>45723</v>
      </c>
      <c r="BF217" s="185">
        <v>45723</v>
      </c>
      <c r="BG217" s="20">
        <f>IFERROR(IF(BC217-DATA[[#This Row],[fecha_fs]]&lt;0,0,BC217-DATA[[#This Row],[fecha_fs]]),0)</f>
        <v>0</v>
      </c>
      <c r="BH217" s="20">
        <f t="shared" si="24"/>
        <v>0</v>
      </c>
      <c r="BI217" s="20">
        <f t="shared" si="25"/>
        <v>23</v>
      </c>
      <c r="BJ217" s="20">
        <f t="shared" si="26"/>
        <v>0</v>
      </c>
      <c r="BK217" s="218">
        <f>IFERROR(SUM(DATA[[#This Row],[fs_fd_ttd]:[fend_fenf_ttd]]),0)</f>
        <v>23</v>
      </c>
      <c r="BL217" s="20" t="str">
        <f>IF(DATA[[#This Row],[fecha_fs]]&gt;0,TEXT(DATA[[#This Row],[fecha_fs]],"YYYY"),0)</f>
        <v>2025</v>
      </c>
      <c r="BM217" s="221" t="b">
        <v>1</v>
      </c>
      <c r="BN217" s="278">
        <f>COUNTIF(DATA[[#This Row],[tiempo_td]], "&lt;=15")</f>
        <v>0</v>
      </c>
      <c r="BO217" s="222"/>
    </row>
    <row r="218" spans="1:67" s="107" customFormat="1" ht="30.6" customHeight="1" x14ac:dyDescent="0.25">
      <c r="A218" s="84">
        <v>20100211115</v>
      </c>
      <c r="B218" s="85" t="s">
        <v>41</v>
      </c>
      <c r="C218" s="86" t="s">
        <v>18</v>
      </c>
      <c r="D218" s="84" t="s">
        <v>120</v>
      </c>
      <c r="E218" s="85" t="s">
        <v>3</v>
      </c>
      <c r="F218" s="87">
        <v>45701</v>
      </c>
      <c r="G218" s="88" t="s">
        <v>113</v>
      </c>
      <c r="H218" s="89">
        <f t="shared" si="21"/>
        <v>1</v>
      </c>
      <c r="I218" s="67">
        <v>4109</v>
      </c>
      <c r="J218" s="90" t="s">
        <v>115</v>
      </c>
      <c r="K218" s="91" t="s">
        <v>163</v>
      </c>
      <c r="L218" s="92" t="s">
        <v>117</v>
      </c>
      <c r="M218" s="93">
        <v>1097</v>
      </c>
      <c r="N218" s="12" t="s">
        <v>125</v>
      </c>
      <c r="O218" s="94">
        <v>45716</v>
      </c>
      <c r="P218" s="115">
        <v>3332</v>
      </c>
      <c r="Q218" s="14" t="s">
        <v>85</v>
      </c>
      <c r="R218" s="95"/>
      <c r="S218" s="15">
        <f>DATA[[#This Row],[cantidad_fs]]*0.75</f>
        <v>822.75</v>
      </c>
      <c r="T218" s="15">
        <f>DATA[[#This Row],[C. DF]]+DATA[[#This Row],[C.OPE.]]</f>
        <v>822.75</v>
      </c>
      <c r="U218" s="95">
        <f>DATA[[#This Row],[SUB TOTAL]]*0.18</f>
        <v>148.095</v>
      </c>
      <c r="V218" s="95">
        <f>IFERROR(ROUND(DATA[[#This Row],[SUB TOTAL]]+DATA[[#This Row],[IGV]],2),0)</f>
        <v>970.85</v>
      </c>
      <c r="W218" s="96" t="str">
        <f>IF(DATA[[#This Row],[VALORIZACIÓN ]]="-","NO CORRESPONDE",IF(OR(A218=20558226979,A218=10470707866,A218=20111157058,A218=20100226902),"NO CORRESPONDE",IF(J218="Emitida",IF(P218&gt;0,"EMITIDA","PENDIENTE"),"NO CORRESPONDE")))</f>
        <v>EMITIDA</v>
      </c>
      <c r="X218" s="97"/>
      <c r="Y218" s="98" t="s">
        <v>118</v>
      </c>
      <c r="Z218" s="99">
        <v>45722</v>
      </c>
      <c r="AA218" s="92" t="s">
        <v>124</v>
      </c>
      <c r="AB218" s="100">
        <v>589</v>
      </c>
      <c r="AC218" s="101">
        <v>30</v>
      </c>
      <c r="AD218" s="102">
        <f>DATA[[#This Row],[FECHA DE EMISION]]+DATA[[#This Row],[CONDICION DE PAGO]]</f>
        <v>45752</v>
      </c>
      <c r="AE218" s="103">
        <f>IF(DATA[[#This Row],[MONEDA]]="USD",VLOOKUP(DATA[[#This Row],[COMBINADA]],#REF!,11,0),1)</f>
        <v>1</v>
      </c>
      <c r="AF218" s="39" t="str">
        <f>IF(DATA[[#This Row],[SERIE2]]="-","NO CORRESPONDE",IF(W218="NO CORRESPONDE","NO CORRESPONDE",IF(Z218&gt;0,"FACTURADO","PENDIENTE")))</f>
        <v>FACTURADO</v>
      </c>
      <c r="AG218" s="104">
        <f>IFERROR(VLOOKUP(DATA[[#This Row],[COMBINADA]],#REF!,6,0),0)</f>
        <v>0</v>
      </c>
      <c r="AH218" s="127">
        <f>IFERROR(VLOOKUP(DATA[[#This Row],[COMBINADA]],#REF!,9,0),0)/COUNTIFS(DATA[COMBINADA],DATA[[#This Row],[COMBINADA]])</f>
        <v>0</v>
      </c>
      <c r="AI218" s="104">
        <f>IFERROR(VLOOKUP(DATA[[#This Row],[COMBINADA]],#REF!,6,0),0)</f>
        <v>0</v>
      </c>
      <c r="AJ218" s="127">
        <f>IFERROR(VLOOKUP(DATA[[#This Row],[COMBINADA]],#REF!,9,0),0)/COUNTIFS(DATA[COMBINADA],DATA[[#This Row],[COMBINADA]])</f>
        <v>0</v>
      </c>
      <c r="AK218" s="104">
        <f>IFERROR(VLOOKUP(DATA[[#This Row],[COMBINADA]],#REF!,6,0),0)</f>
        <v>0</v>
      </c>
      <c r="AL218" s="127">
        <f>IFERROR(VLOOKUP(DATA[[#This Row],[COMBINADA]],#REF!,9,0),0)/COUNTIFS(DATA[COMBINADA],DATA[[#This Row],[COMBINADA]])</f>
        <v>0</v>
      </c>
      <c r="AM218" s="104">
        <f>IFERROR(VLOOKUP(DATA[[#This Row],[COMBINADA]],#REF!,6,0),0)</f>
        <v>0</v>
      </c>
      <c r="AN218" s="127">
        <f>IFERROR(VLOOKUP(DATA[[#This Row],[COMBINADA]],#REF!,9,0),0)/COUNTIFS(DATA[COMBINADA],DATA[[#This Row],[COMBINADA]])</f>
        <v>0</v>
      </c>
      <c r="AO218" s="104">
        <f>IFERROR(VLOOKUP(DATA[[#This Row],[COMBINADA]],#REF!,6,0),0)</f>
        <v>0</v>
      </c>
      <c r="AP218" s="127">
        <f>IFERROR(VLOOKUP(DATA[[#This Row],[COMBINADA]],#REF!,9,0),0)/COUNTIFS(DATA[COMBINADA],DATA[[#This Row],[COMBINADA]])</f>
        <v>0</v>
      </c>
      <c r="AQ218" s="105">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785.44</v>
      </c>
      <c r="AR218" s="106" t="str">
        <f>IFERROR(IF(DATA[[#This Row],[estado_fact]]="FACTURADO",VLOOKUP(DATA[[#This Row],[SERIE2]]&amp;"-"&amp;DATA[[#This Row],[NUMERO]],#REF!,34,0),"NO CORRESPONDE"),"NO CORRESPONDE")</f>
        <v>NO CORRESPONDE</v>
      </c>
      <c r="AS218" s="65" t="str">
        <f>IF(DATA[[#This Row],[fecha_fs]]&gt;0,TEXT(DATA[[#This Row],[fecha_fs]],"Mmmm"),0)</f>
        <v>Febrero</v>
      </c>
      <c r="AT218" s="22" t="str">
        <f>DATA[[#This Row],[SERIE2]]&amp;"-"&amp;DATA[[#This Row],[NUMERO]]</f>
        <v>FE01-589</v>
      </c>
      <c r="AU218" s="28">
        <f>DATA[[#This Row],[TOTAL]]*DATA[[#This Row],[T.C.]]</f>
        <v>970.85</v>
      </c>
      <c r="AV218" s="6">
        <f>DATA[[#This Row],[FECHA DE VAL.]]</f>
        <v>45716</v>
      </c>
      <c r="AW218" s="6">
        <f>DATA[[#This Row],[FECHA DE EMISION]]</f>
        <v>45722</v>
      </c>
      <c r="AX218" s="6">
        <f>DATA[[#This Row],[F1]]</f>
        <v>0</v>
      </c>
      <c r="AY218" s="20">
        <f>IF(AV218-DATA[[#This Row],[fecha_fs]]&lt;0,0,AV218-DATA[[#This Row],[fecha_fs]])</f>
        <v>15</v>
      </c>
      <c r="AZ218" s="20">
        <f t="shared" si="22"/>
        <v>6</v>
      </c>
      <c r="BA218" s="20">
        <f t="shared" si="23"/>
        <v>0</v>
      </c>
      <c r="BB218" s="195">
        <f>IFERROR(SUM(DATA[[#This Row],[fs_val_ttf]:[fact_pago_ttf]]),0)</f>
        <v>21</v>
      </c>
      <c r="BC218" s="185">
        <v>45729</v>
      </c>
      <c r="BD218" s="185">
        <v>45735</v>
      </c>
      <c r="BE218" s="185">
        <v>45740</v>
      </c>
      <c r="BF218" s="185">
        <v>45749</v>
      </c>
      <c r="BG218" s="20">
        <f>IFERROR(IF(BC218-DATA[[#This Row],[fecha_fs]]&lt;0,0,BC218-DATA[[#This Row],[fecha_fs]]),0)</f>
        <v>28</v>
      </c>
      <c r="BH218" s="20">
        <f t="shared" si="24"/>
        <v>6</v>
      </c>
      <c r="BI218" s="20">
        <f t="shared" si="25"/>
        <v>5</v>
      </c>
      <c r="BJ218" s="20">
        <f t="shared" si="26"/>
        <v>9</v>
      </c>
      <c r="BK218" s="218">
        <f>IFERROR(SUM(DATA[[#This Row],[fs_fd_ttd]:[fend_fenf_ttd]]),0)</f>
        <v>48</v>
      </c>
      <c r="BL218" s="20" t="str">
        <f>IF(DATA[[#This Row],[fecha_fs]]&gt;0,TEXT(DATA[[#This Row],[fecha_fs]],"YYYY"),0)</f>
        <v>2025</v>
      </c>
      <c r="BM218" s="231" t="b">
        <v>1</v>
      </c>
      <c r="BN218" s="278">
        <f>COUNTIF(DATA[[#This Row],[tiempo_td]], "&lt;=15")</f>
        <v>0</v>
      </c>
      <c r="BO218" s="223"/>
    </row>
    <row r="219" spans="1:67" ht="30.6" customHeight="1" x14ac:dyDescent="0.25">
      <c r="A219" s="4">
        <v>20100192064</v>
      </c>
      <c r="B219" s="5" t="s">
        <v>60</v>
      </c>
      <c r="C219" s="52" t="s">
        <v>43</v>
      </c>
      <c r="D219" s="4" t="s">
        <v>120</v>
      </c>
      <c r="E219" s="5" t="s">
        <v>3</v>
      </c>
      <c r="F219" s="24">
        <v>45700</v>
      </c>
      <c r="G219" s="7" t="s">
        <v>113</v>
      </c>
      <c r="H219" s="25">
        <f t="shared" si="21"/>
        <v>1</v>
      </c>
      <c r="I219" s="67">
        <v>4110</v>
      </c>
      <c r="J219" s="8" t="s">
        <v>115</v>
      </c>
      <c r="K219" s="9" t="s">
        <v>121</v>
      </c>
      <c r="L219" s="10" t="s">
        <v>117</v>
      </c>
      <c r="M219" s="11">
        <v>480</v>
      </c>
      <c r="N219" s="12" t="s">
        <v>125</v>
      </c>
      <c r="O219" s="6">
        <v>45714</v>
      </c>
      <c r="P219" s="71">
        <v>3314</v>
      </c>
      <c r="Q219" s="14" t="s">
        <v>123</v>
      </c>
      <c r="R219" s="56">
        <f>(DATA[[#This Row],[cantidad_fs]]/1000)*(47+174.34)</f>
        <v>106.2432</v>
      </c>
      <c r="S219" s="56">
        <v>137</v>
      </c>
      <c r="T219" s="15">
        <f>DATA[[#This Row],[C. DF]]+DATA[[#This Row],[C.OPE.]]</f>
        <v>243.2432</v>
      </c>
      <c r="U219" s="15">
        <f>DATA[[#This Row],[SUB TOTAL]]*0.18</f>
        <v>43.783775999999996</v>
      </c>
      <c r="V219" s="15">
        <f>IFERROR(ROUND(DATA[[#This Row],[SUB TOTAL]]+DATA[[#This Row],[IGV]],2),0)</f>
        <v>287.02999999999997</v>
      </c>
      <c r="W219" s="16" t="str">
        <f>IF(DATA[[#This Row],[VALORIZACIÓN ]]="-","NO CORRESPONDE",IF(OR(A219=20558226979,A219=10470707866,A219=20111157058,A219=20100226902),"NO CORRESPONDE",IF(J219="Emitida",IF(P219&gt;0,"EMITIDA","PENDIENTE"),"NO CORRESPONDE")))</f>
        <v>EMITIDA</v>
      </c>
      <c r="X219" s="29"/>
      <c r="Y219" s="17" t="s">
        <v>118</v>
      </c>
      <c r="Z219" s="30">
        <v>45716</v>
      </c>
      <c r="AA219" s="10" t="s">
        <v>124</v>
      </c>
      <c r="AB219" s="19">
        <v>579</v>
      </c>
      <c r="AC219" s="20">
        <v>30</v>
      </c>
      <c r="AD219" s="18">
        <f>DATA[[#This Row],[FECHA DE EMISION]]+DATA[[#This Row],[CONDICION DE PAGO]]</f>
        <v>45746</v>
      </c>
      <c r="AE219" s="23" t="e">
        <f>IF(DATA[[#This Row],[MONEDA]]="USD",VLOOKUP(DATA[[#This Row],[COMBINADA]],#REF!,11,0),1)</f>
        <v>#REF!</v>
      </c>
      <c r="AF219" s="39" t="str">
        <f>IF(DATA[[#This Row],[SERIE2]]="-","NO CORRESPONDE",IF(W219="NO CORRESPONDE","NO CORRESPONDE",IF(Z219&gt;0,"FACTURADO","PENDIENTE")))</f>
        <v>FACTURADO</v>
      </c>
      <c r="AG219" s="27">
        <f>IFERROR(VLOOKUP(DATA[[#This Row],[COMBINADA]],#REF!,6,0),0)</f>
        <v>0</v>
      </c>
      <c r="AH219" s="125">
        <f>IFERROR(VLOOKUP(DATA[[#This Row],[COMBINADA]],#REF!,9,0),0)/COUNTIFS(DATA[COMBINADA],DATA[[#This Row],[COMBINADA]])</f>
        <v>0</v>
      </c>
      <c r="AI219" s="27">
        <f>IFERROR(VLOOKUP(DATA[[#This Row],[COMBINADA]],#REF!,6,0),0)</f>
        <v>0</v>
      </c>
      <c r="AJ219" s="125">
        <f>IFERROR(VLOOKUP(DATA[[#This Row],[COMBINADA]],#REF!,9,0),0)/COUNTIFS(DATA[COMBINADA],DATA[[#This Row],[COMBINADA]])</f>
        <v>0</v>
      </c>
      <c r="AK219" s="27">
        <f>IFERROR(VLOOKUP(DATA[[#This Row],[COMBINADA]],#REF!,6,0),0)</f>
        <v>0</v>
      </c>
      <c r="AL219" s="125">
        <f>IFERROR(VLOOKUP(DATA[[#This Row],[COMBINADA]],#REF!,9,0),0)/COUNTIFS(DATA[COMBINADA],DATA[[#This Row],[COMBINADA]])</f>
        <v>0</v>
      </c>
      <c r="AM219" s="27">
        <f>IFERROR(VLOOKUP(DATA[[#This Row],[COMBINADA]],#REF!,6,0),0)</f>
        <v>0</v>
      </c>
      <c r="AN219" s="125">
        <f>IFERROR(VLOOKUP(DATA[[#This Row],[COMBINADA]],#REF!,9,0),0)/COUNTIFS(DATA[COMBINADA],DATA[[#This Row],[COMBINADA]])</f>
        <v>0</v>
      </c>
      <c r="AO219" s="27">
        <f>IFERROR(VLOOKUP(DATA[[#This Row],[COMBINADA]],#REF!,6,0),0)</f>
        <v>0</v>
      </c>
      <c r="AP219" s="125">
        <f>IFERROR(VLOOKUP(DATA[[#This Row],[COMBINADA]],#REF!,9,0),0)/COUNTIFS(DATA[COMBINADA],DATA[[#This Row],[COMBINADA]])</f>
        <v>0</v>
      </c>
      <c r="AQ21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603.34285714285716</v>
      </c>
      <c r="AR219" s="26" t="str">
        <f>IFERROR(IF(DATA[[#This Row],[estado_fact]]="FACTURADO",VLOOKUP(DATA[[#This Row],[SERIE2]]&amp;"-"&amp;DATA[[#This Row],[NUMERO]],#REF!,34,0),"NO CORRESPONDE"),"NO CORRESPONDE")</f>
        <v>NO CORRESPONDE</v>
      </c>
      <c r="AS219" s="65" t="str">
        <f>IF(DATA[[#This Row],[fecha_fs]]&gt;0,TEXT(DATA[[#This Row],[fecha_fs]],"Mmmm"),0)</f>
        <v>Febrero</v>
      </c>
      <c r="AT219" s="22" t="str">
        <f>DATA[[#This Row],[SERIE2]]&amp;"-"&amp;DATA[[#This Row],[NUMERO]]</f>
        <v>FE01-579</v>
      </c>
      <c r="AU219" s="28" t="e">
        <f>DATA[[#This Row],[TOTAL]]*DATA[[#This Row],[T.C.]]</f>
        <v>#REF!</v>
      </c>
      <c r="AV219" s="6">
        <f>DATA[[#This Row],[FECHA DE VAL.]]</f>
        <v>45714</v>
      </c>
      <c r="AW219" s="6">
        <f>DATA[[#This Row],[FECHA DE EMISION]]</f>
        <v>45716</v>
      </c>
      <c r="AX219" s="6">
        <f>DATA[[#This Row],[F1]]</f>
        <v>0</v>
      </c>
      <c r="AY219" s="20">
        <f>IF(AV219-DATA[[#This Row],[fecha_fs]]&lt;0,0,AV219-DATA[[#This Row],[fecha_fs]])</f>
        <v>14</v>
      </c>
      <c r="AZ219" s="20">
        <f t="shared" si="22"/>
        <v>2</v>
      </c>
      <c r="BA219" s="20">
        <f t="shared" si="23"/>
        <v>0</v>
      </c>
      <c r="BB219" s="195">
        <f>IFERROR(SUM(DATA[[#This Row],[fs_val_ttf]:[fact_pago_ttf]]),0)</f>
        <v>16</v>
      </c>
      <c r="BC219" s="185">
        <v>45733</v>
      </c>
      <c r="BD219" s="185">
        <v>45737</v>
      </c>
      <c r="BE219" s="185">
        <v>45737</v>
      </c>
      <c r="BF219" s="185">
        <v>45760</v>
      </c>
      <c r="BG219" s="20">
        <f>IFERROR(IF(BC219-DATA[[#This Row],[fecha_fs]]&lt;0,0,BC219-DATA[[#This Row],[fecha_fs]]),0)</f>
        <v>33</v>
      </c>
      <c r="BH219" s="20">
        <f t="shared" si="24"/>
        <v>4</v>
      </c>
      <c r="BI219" s="20">
        <f t="shared" si="25"/>
        <v>0</v>
      </c>
      <c r="BJ219" s="20">
        <f t="shared" si="26"/>
        <v>23</v>
      </c>
      <c r="BK219" s="218">
        <f>IFERROR(SUM(DATA[[#This Row],[fs_fd_ttd]:[fend_fenf_ttd]]),0)</f>
        <v>60</v>
      </c>
      <c r="BL219" s="20" t="str">
        <f>IF(DATA[[#This Row],[fecha_fs]]&gt;0,TEXT(DATA[[#This Row],[fecha_fs]],"YYYY"),0)</f>
        <v>2025</v>
      </c>
      <c r="BM219" s="221" t="b">
        <v>1</v>
      </c>
      <c r="BN219" s="278">
        <f>COUNTIF(DATA[[#This Row],[tiempo_td]], "&lt;=15")</f>
        <v>0</v>
      </c>
      <c r="BO219" s="222"/>
    </row>
    <row r="220" spans="1:67" s="107" customFormat="1" ht="30.6" customHeight="1" x14ac:dyDescent="0.25">
      <c r="A220" s="84">
        <v>20100211115</v>
      </c>
      <c r="B220" s="85" t="s">
        <v>41</v>
      </c>
      <c r="C220" s="86" t="s">
        <v>18</v>
      </c>
      <c r="D220" s="84" t="s">
        <v>112</v>
      </c>
      <c r="E220" s="85" t="s">
        <v>1</v>
      </c>
      <c r="F220" s="87">
        <v>45701</v>
      </c>
      <c r="G220" s="88" t="s">
        <v>113</v>
      </c>
      <c r="H220" s="89">
        <f t="shared" si="21"/>
        <v>1</v>
      </c>
      <c r="I220" s="67">
        <v>4111</v>
      </c>
      <c r="J220" s="90" t="s">
        <v>115</v>
      </c>
      <c r="K220" s="91" t="s">
        <v>116</v>
      </c>
      <c r="L220" s="92" t="s">
        <v>117</v>
      </c>
      <c r="M220" s="93">
        <v>39</v>
      </c>
      <c r="N220" s="12" t="s">
        <v>125</v>
      </c>
      <c r="O220" s="94">
        <v>45716</v>
      </c>
      <c r="P220" s="115">
        <v>3327</v>
      </c>
      <c r="Q220" s="14" t="s">
        <v>85</v>
      </c>
      <c r="R220" s="95"/>
      <c r="S220" s="15">
        <f>(DATA[[#This Row],[cantidad_fs]]*4.57)</f>
        <v>178.23000000000002</v>
      </c>
      <c r="T220" s="15">
        <f>DATA[[#This Row],[C. DF]]+DATA[[#This Row],[C.OPE.]]</f>
        <v>178.23000000000002</v>
      </c>
      <c r="U220" s="95">
        <f>DATA[[#This Row],[SUB TOTAL]]*0.18</f>
        <v>32.081400000000002</v>
      </c>
      <c r="V220" s="95">
        <f>IFERROR(ROUND(DATA[[#This Row],[SUB TOTAL]]+DATA[[#This Row],[IGV]],2),0)</f>
        <v>210.31</v>
      </c>
      <c r="W220" s="96" t="str">
        <f>IF(DATA[[#This Row],[VALORIZACIÓN ]]="-","NO CORRESPONDE",IF(OR(A220=20558226979,A220=10470707866,A220=20111157058,A220=20100226902),"NO CORRESPONDE",IF(J220="Emitida",IF(P220&gt;0,"EMITIDA","PENDIENTE"),"NO CORRESPONDE")))</f>
        <v>EMITIDA</v>
      </c>
      <c r="X220" s="97"/>
      <c r="Y220" s="17" t="s">
        <v>118</v>
      </c>
      <c r="Z220" s="30">
        <v>45722</v>
      </c>
      <c r="AA220" s="10" t="s">
        <v>124</v>
      </c>
      <c r="AB220" s="19">
        <v>590</v>
      </c>
      <c r="AC220" s="20">
        <v>30</v>
      </c>
      <c r="AD220" s="102">
        <f>DATA[[#This Row],[FECHA DE EMISION]]+DATA[[#This Row],[CONDICION DE PAGO]]</f>
        <v>45752</v>
      </c>
      <c r="AE220" s="103">
        <f>IF(DATA[[#This Row],[MONEDA]]="USD",VLOOKUP(DATA[[#This Row],[COMBINADA]],#REF!,11,0),1)</f>
        <v>1</v>
      </c>
      <c r="AF220" s="39" t="str">
        <f>IF(DATA[[#This Row],[SERIE2]]="-","NO CORRESPONDE",IF(W220="NO CORRESPONDE","NO CORRESPONDE",IF(Z220&gt;0,"FACTURADO","PENDIENTE")))</f>
        <v>FACTURADO</v>
      </c>
      <c r="AG220" s="104">
        <f>IFERROR(VLOOKUP(DATA[[#This Row],[COMBINADA]],#REF!,6,0),0)</f>
        <v>0</v>
      </c>
      <c r="AH220" s="127">
        <f>IFERROR(VLOOKUP(DATA[[#This Row],[COMBINADA]],#REF!,9,0),0)/COUNTIFS(DATA[COMBINADA],DATA[[#This Row],[COMBINADA]])</f>
        <v>0</v>
      </c>
      <c r="AI220" s="104">
        <f>IFERROR(VLOOKUP(DATA[[#This Row],[COMBINADA]],#REF!,6,0),0)</f>
        <v>0</v>
      </c>
      <c r="AJ220" s="127">
        <f>IFERROR(VLOOKUP(DATA[[#This Row],[COMBINADA]],#REF!,9,0),0)/COUNTIFS(DATA[COMBINADA],DATA[[#This Row],[COMBINADA]])</f>
        <v>0</v>
      </c>
      <c r="AK220" s="104">
        <f>IFERROR(VLOOKUP(DATA[[#This Row],[COMBINADA]],#REF!,6,0),0)</f>
        <v>0</v>
      </c>
      <c r="AL220" s="127">
        <f>IFERROR(VLOOKUP(DATA[[#This Row],[COMBINADA]],#REF!,9,0),0)/COUNTIFS(DATA[COMBINADA],DATA[[#This Row],[COMBINADA]])</f>
        <v>0</v>
      </c>
      <c r="AM220" s="104">
        <f>IFERROR(VLOOKUP(DATA[[#This Row],[COMBINADA]],#REF!,6,0),0)</f>
        <v>0</v>
      </c>
      <c r="AN220" s="127">
        <f>IFERROR(VLOOKUP(DATA[[#This Row],[COMBINADA]],#REF!,9,0),0)/COUNTIFS(DATA[COMBINADA],DATA[[#This Row],[COMBINADA]])</f>
        <v>0</v>
      </c>
      <c r="AO220" s="104">
        <f>IFERROR(VLOOKUP(DATA[[#This Row],[COMBINADA]],#REF!,6,0),0)</f>
        <v>0</v>
      </c>
      <c r="AP220" s="127">
        <f>IFERROR(VLOOKUP(DATA[[#This Row],[COMBINADA]],#REF!,9,0),0)/COUNTIFS(DATA[COMBINADA],DATA[[#This Row],[COMBINADA]])</f>
        <v>0</v>
      </c>
      <c r="AQ220" s="105">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75.496666666666655</v>
      </c>
      <c r="AR220" s="106" t="str">
        <f>IFERROR(IF(DATA[[#This Row],[estado_fact]]="FACTURADO",VLOOKUP(DATA[[#This Row],[SERIE2]]&amp;"-"&amp;DATA[[#This Row],[NUMERO]],#REF!,34,0),"NO CORRESPONDE"),"NO CORRESPONDE")</f>
        <v>NO CORRESPONDE</v>
      </c>
      <c r="AS220" s="65" t="str">
        <f>IF(DATA[[#This Row],[fecha_fs]]&gt;0,TEXT(DATA[[#This Row],[fecha_fs]],"Mmmm"),0)</f>
        <v>Febrero</v>
      </c>
      <c r="AT220" s="22" t="str">
        <f>DATA[[#This Row],[SERIE2]]&amp;"-"&amp;DATA[[#This Row],[NUMERO]]</f>
        <v>FE01-590</v>
      </c>
      <c r="AU220" s="28">
        <f>DATA[[#This Row],[TOTAL]]*DATA[[#This Row],[T.C.]]</f>
        <v>210.31</v>
      </c>
      <c r="AV220" s="6">
        <f>DATA[[#This Row],[FECHA DE VAL.]]</f>
        <v>45716</v>
      </c>
      <c r="AW220" s="6">
        <f>DATA[[#This Row],[FECHA DE EMISION]]</f>
        <v>45722</v>
      </c>
      <c r="AX220" s="6">
        <f>DATA[[#This Row],[F1]]</f>
        <v>0</v>
      </c>
      <c r="AY220" s="20">
        <f>IF(AV220-DATA[[#This Row],[fecha_fs]]&lt;0,0,AV220-DATA[[#This Row],[fecha_fs]])</f>
        <v>15</v>
      </c>
      <c r="AZ220" s="20">
        <f t="shared" si="22"/>
        <v>6</v>
      </c>
      <c r="BA220" s="20">
        <f t="shared" si="23"/>
        <v>0</v>
      </c>
      <c r="BB220" s="195">
        <f>IFERROR(SUM(DATA[[#This Row],[fs_val_ttf]:[fact_pago_ttf]]),0)</f>
        <v>21</v>
      </c>
      <c r="BC220" s="185">
        <v>45730</v>
      </c>
      <c r="BD220" s="185">
        <v>45743</v>
      </c>
      <c r="BE220" s="185">
        <v>45740</v>
      </c>
      <c r="BF220" s="185">
        <v>45749</v>
      </c>
      <c r="BG220" s="20">
        <f>IFERROR(IF(BC220-DATA[[#This Row],[fecha_fs]]&lt;0,0,BC220-DATA[[#This Row],[fecha_fs]]),0)</f>
        <v>29</v>
      </c>
      <c r="BH220" s="20">
        <f t="shared" si="24"/>
        <v>13</v>
      </c>
      <c r="BI220" s="20">
        <f t="shared" si="25"/>
        <v>0</v>
      </c>
      <c r="BJ220" s="20">
        <f t="shared" si="26"/>
        <v>9</v>
      </c>
      <c r="BK220" s="218">
        <f>IFERROR(SUM(DATA[[#This Row],[fs_fd_ttd]:[fend_fenf_ttd]]),0)</f>
        <v>51</v>
      </c>
      <c r="BL220" s="20" t="str">
        <f>IF(DATA[[#This Row],[fecha_fs]]&gt;0,TEXT(DATA[[#This Row],[fecha_fs]],"YYYY"),0)</f>
        <v>2025</v>
      </c>
      <c r="BM220" s="231" t="b">
        <v>1</v>
      </c>
      <c r="BN220" s="278">
        <f>COUNTIF(DATA[[#This Row],[tiempo_td]], "&lt;=15")</f>
        <v>0</v>
      </c>
      <c r="BO220" s="223"/>
    </row>
    <row r="221" spans="1:67" ht="30.6" customHeight="1" x14ac:dyDescent="0.25">
      <c r="A221" s="4">
        <v>20100192064</v>
      </c>
      <c r="B221" s="5" t="s">
        <v>60</v>
      </c>
      <c r="C221" s="52" t="s">
        <v>43</v>
      </c>
      <c r="D221" s="4" t="s">
        <v>112</v>
      </c>
      <c r="E221" s="5" t="s">
        <v>1</v>
      </c>
      <c r="F221" s="24">
        <v>45700</v>
      </c>
      <c r="G221" s="7" t="s">
        <v>113</v>
      </c>
      <c r="H221" s="25">
        <f t="shared" si="21"/>
        <v>1</v>
      </c>
      <c r="I221" s="67">
        <v>4112</v>
      </c>
      <c r="J221" s="8" t="s">
        <v>115</v>
      </c>
      <c r="K221" s="9" t="s">
        <v>116</v>
      </c>
      <c r="L221" s="10" t="s">
        <v>117</v>
      </c>
      <c r="M221" s="11">
        <v>660</v>
      </c>
      <c r="N221" s="12" t="s">
        <v>125</v>
      </c>
      <c r="O221" s="6">
        <v>45714</v>
      </c>
      <c r="P221" s="71">
        <v>3315</v>
      </c>
      <c r="Q221" s="14" t="s">
        <v>123</v>
      </c>
      <c r="R221" s="15">
        <f>(DATA[[#This Row],[cantidad_fs]]/1000)*(143+175.34)</f>
        <v>210.10440000000003</v>
      </c>
      <c r="S221" s="15">
        <v>137</v>
      </c>
      <c r="T221" s="15">
        <f>DATA[[#This Row],[C. DF]]+DATA[[#This Row],[C.OPE.]]</f>
        <v>347.10440000000006</v>
      </c>
      <c r="U221" s="15">
        <f>DATA[[#This Row],[SUB TOTAL]]*0.18</f>
        <v>62.478792000000006</v>
      </c>
      <c r="V221" s="15">
        <f>IFERROR(ROUND(DATA[[#This Row],[SUB TOTAL]]+DATA[[#This Row],[IGV]],2),0)</f>
        <v>409.58</v>
      </c>
      <c r="W221" s="16" t="str">
        <f>IF(DATA[[#This Row],[VALORIZACIÓN ]]="-","NO CORRESPONDE",IF(OR(A221=20558226979,A221=10470707866,A221=20111157058,A221=20100226902),"NO CORRESPONDE",IF(J221="Emitida",IF(P221&gt;0,"EMITIDA","PENDIENTE"),"NO CORRESPONDE")))</f>
        <v>EMITIDA</v>
      </c>
      <c r="X221" s="29"/>
      <c r="Y221" s="17" t="s">
        <v>118</v>
      </c>
      <c r="Z221" s="30">
        <v>45716</v>
      </c>
      <c r="AA221" s="10" t="s">
        <v>124</v>
      </c>
      <c r="AB221" s="19">
        <v>579</v>
      </c>
      <c r="AC221" s="20">
        <v>30</v>
      </c>
      <c r="AD221" s="18">
        <f>DATA[[#This Row],[FECHA DE EMISION]]+DATA[[#This Row],[CONDICION DE PAGO]]</f>
        <v>45746</v>
      </c>
      <c r="AE221" s="23" t="e">
        <f>IF(DATA[[#This Row],[MONEDA]]="USD",VLOOKUP(DATA[[#This Row],[COMBINADA]],#REF!,11,0),1)</f>
        <v>#REF!</v>
      </c>
      <c r="AF221" s="39" t="str">
        <f>IF(DATA[[#This Row],[SERIE2]]="-","NO CORRESPONDE",IF(W221="NO CORRESPONDE","NO CORRESPONDE",IF(Z221&gt;0,"FACTURADO","PENDIENTE")))</f>
        <v>FACTURADO</v>
      </c>
      <c r="AG221" s="27">
        <f>IFERROR(VLOOKUP(DATA[[#This Row],[COMBINADA]],#REF!,6,0),0)</f>
        <v>0</v>
      </c>
      <c r="AH221" s="125">
        <f>IFERROR(VLOOKUP(DATA[[#This Row],[COMBINADA]],#REF!,9,0),0)/COUNTIFS(DATA[COMBINADA],DATA[[#This Row],[COMBINADA]])</f>
        <v>0</v>
      </c>
      <c r="AI221" s="27">
        <f>IFERROR(VLOOKUP(DATA[[#This Row],[COMBINADA]],#REF!,6,0),0)</f>
        <v>0</v>
      </c>
      <c r="AJ221" s="125">
        <f>IFERROR(VLOOKUP(DATA[[#This Row],[COMBINADA]],#REF!,9,0),0)/COUNTIFS(DATA[COMBINADA],DATA[[#This Row],[COMBINADA]])</f>
        <v>0</v>
      </c>
      <c r="AK221" s="27">
        <f>IFERROR(VLOOKUP(DATA[[#This Row],[COMBINADA]],#REF!,6,0),0)</f>
        <v>0</v>
      </c>
      <c r="AL221" s="125">
        <f>IFERROR(VLOOKUP(DATA[[#This Row],[COMBINADA]],#REF!,9,0),0)/COUNTIFS(DATA[COMBINADA],DATA[[#This Row],[COMBINADA]])</f>
        <v>0</v>
      </c>
      <c r="AM221" s="27">
        <f>IFERROR(VLOOKUP(DATA[[#This Row],[COMBINADA]],#REF!,6,0),0)</f>
        <v>0</v>
      </c>
      <c r="AN221" s="125">
        <f>IFERROR(VLOOKUP(DATA[[#This Row],[COMBINADA]],#REF!,9,0),0)/COUNTIFS(DATA[COMBINADA],DATA[[#This Row],[COMBINADA]])</f>
        <v>0</v>
      </c>
      <c r="AO221" s="27">
        <f>IFERROR(VLOOKUP(DATA[[#This Row],[COMBINADA]],#REF!,6,0),0)</f>
        <v>0</v>
      </c>
      <c r="AP221" s="125">
        <f>IFERROR(VLOOKUP(DATA[[#This Row],[COMBINADA]],#REF!,9,0),0)/COUNTIFS(DATA[COMBINADA],DATA[[#This Row],[COMBINADA]])</f>
        <v>0</v>
      </c>
      <c r="AQ22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603.34285714285716</v>
      </c>
      <c r="AR221" s="26" t="str">
        <f>IFERROR(IF(DATA[[#This Row],[estado_fact]]="FACTURADO",VLOOKUP(DATA[[#This Row],[SERIE2]]&amp;"-"&amp;DATA[[#This Row],[NUMERO]],#REF!,34,0),"NO CORRESPONDE"),"NO CORRESPONDE")</f>
        <v>NO CORRESPONDE</v>
      </c>
      <c r="AS221" s="65" t="str">
        <f>IF(DATA[[#This Row],[fecha_fs]]&gt;0,TEXT(DATA[[#This Row],[fecha_fs]],"Mmmm"),0)</f>
        <v>Febrero</v>
      </c>
      <c r="AT221" s="22" t="str">
        <f>DATA[[#This Row],[SERIE2]]&amp;"-"&amp;DATA[[#This Row],[NUMERO]]</f>
        <v>FE01-579</v>
      </c>
      <c r="AU221" s="28" t="e">
        <f>DATA[[#This Row],[TOTAL]]*DATA[[#This Row],[T.C.]]</f>
        <v>#REF!</v>
      </c>
      <c r="AV221" s="6">
        <f>DATA[[#This Row],[FECHA DE VAL.]]</f>
        <v>45714</v>
      </c>
      <c r="AW221" s="6">
        <f>DATA[[#This Row],[FECHA DE EMISION]]</f>
        <v>45716</v>
      </c>
      <c r="AX221" s="6">
        <f>DATA[[#This Row],[F1]]</f>
        <v>0</v>
      </c>
      <c r="AY221" s="20">
        <f>IF(AV221-DATA[[#This Row],[fecha_fs]]&lt;0,0,AV221-DATA[[#This Row],[fecha_fs]])</f>
        <v>14</v>
      </c>
      <c r="AZ221" s="20">
        <f t="shared" si="22"/>
        <v>2</v>
      </c>
      <c r="BA221" s="20">
        <f t="shared" si="23"/>
        <v>0</v>
      </c>
      <c r="BB221" s="195">
        <f>IFERROR(SUM(DATA[[#This Row],[fs_val_ttf]:[fact_pago_ttf]]),0)</f>
        <v>16</v>
      </c>
      <c r="BC221" s="185">
        <v>45709</v>
      </c>
      <c r="BD221" s="185">
        <v>45728</v>
      </c>
      <c r="BE221" s="185">
        <v>45727</v>
      </c>
      <c r="BF221" s="185">
        <v>45760</v>
      </c>
      <c r="BG221" s="20">
        <f>IFERROR(IF(BC221-DATA[[#This Row],[fecha_fs]]&lt;0,0,BC221-DATA[[#This Row],[fecha_fs]]),0)</f>
        <v>9</v>
      </c>
      <c r="BH221" s="20">
        <f t="shared" si="24"/>
        <v>19</v>
      </c>
      <c r="BI221" s="20">
        <f t="shared" si="25"/>
        <v>0</v>
      </c>
      <c r="BJ221" s="20">
        <f t="shared" si="26"/>
        <v>33</v>
      </c>
      <c r="BK221" s="218">
        <f>IFERROR(SUM(DATA[[#This Row],[fs_fd_ttd]:[fend_fenf_ttd]]),0)</f>
        <v>61</v>
      </c>
      <c r="BL221" s="20" t="str">
        <f>IF(DATA[[#This Row],[fecha_fs]]&gt;0,TEXT(DATA[[#This Row],[fecha_fs]],"YYYY"),0)</f>
        <v>2025</v>
      </c>
      <c r="BM221" s="221" t="b">
        <v>1</v>
      </c>
      <c r="BN221" s="278">
        <f>COUNTIF(DATA[[#This Row],[tiempo_td]], "&lt;=15")</f>
        <v>0</v>
      </c>
      <c r="BO221" s="222"/>
    </row>
    <row r="222" spans="1:67" ht="30.6" customHeight="1" x14ac:dyDescent="0.25">
      <c r="A222" s="4">
        <v>20100192064</v>
      </c>
      <c r="B222" s="5" t="s">
        <v>60</v>
      </c>
      <c r="C222" s="52" t="s">
        <v>43</v>
      </c>
      <c r="D222" s="4" t="s">
        <v>112</v>
      </c>
      <c r="E222" s="5" t="s">
        <v>1</v>
      </c>
      <c r="F222" s="24">
        <v>45700</v>
      </c>
      <c r="G222" s="7" t="s">
        <v>113</v>
      </c>
      <c r="H222" s="25">
        <f t="shared" si="21"/>
        <v>1</v>
      </c>
      <c r="I222" s="67">
        <v>4113</v>
      </c>
      <c r="J222" s="8" t="s">
        <v>115</v>
      </c>
      <c r="K222" s="9" t="s">
        <v>116</v>
      </c>
      <c r="L222" s="10" t="s">
        <v>117</v>
      </c>
      <c r="M222" s="11">
        <v>1660</v>
      </c>
      <c r="N222" s="12" t="s">
        <v>125</v>
      </c>
      <c r="O222" s="6">
        <v>45714</v>
      </c>
      <c r="P222" s="71">
        <v>3315</v>
      </c>
      <c r="Q222" s="14" t="s">
        <v>123</v>
      </c>
      <c r="R222" s="15">
        <f>(DATA[[#This Row],[cantidad_fs]]/1000)*(143+175.34)</f>
        <v>528.44439999999997</v>
      </c>
      <c r="S222" s="15">
        <v>137</v>
      </c>
      <c r="T222" s="15">
        <f>DATA[[#This Row],[C. DF]]+DATA[[#This Row],[C.OPE.]]</f>
        <v>665.44439999999997</v>
      </c>
      <c r="U222" s="15">
        <f>DATA[[#This Row],[SUB TOTAL]]*0.18</f>
        <v>119.77999199999999</v>
      </c>
      <c r="V222" s="15">
        <f>IFERROR(ROUND(DATA[[#This Row],[SUB TOTAL]]+DATA[[#This Row],[IGV]],2),0)</f>
        <v>785.22</v>
      </c>
      <c r="W222" s="16" t="str">
        <f>IF(DATA[[#This Row],[VALORIZACIÓN ]]="-","NO CORRESPONDE",IF(OR(A222=20558226979,A222=10470707866,A222=20111157058,A222=20100226902),"NO CORRESPONDE",IF(J222="Emitida",IF(P222&gt;0,"EMITIDA","PENDIENTE"),"NO CORRESPONDE")))</f>
        <v>EMITIDA</v>
      </c>
      <c r="X222" s="29"/>
      <c r="Y222" s="17" t="s">
        <v>118</v>
      </c>
      <c r="Z222" s="30">
        <v>45716</v>
      </c>
      <c r="AA222" s="10" t="s">
        <v>124</v>
      </c>
      <c r="AB222" s="19">
        <v>579</v>
      </c>
      <c r="AC222" s="20">
        <v>30</v>
      </c>
      <c r="AD222" s="18">
        <f>DATA[[#This Row],[FECHA DE EMISION]]+DATA[[#This Row],[CONDICION DE PAGO]]</f>
        <v>45746</v>
      </c>
      <c r="AE222" s="23" t="e">
        <f>IF(DATA[[#This Row],[MONEDA]]="USD",VLOOKUP(DATA[[#This Row],[COMBINADA]],#REF!,11,0),1)</f>
        <v>#REF!</v>
      </c>
      <c r="AF222" s="39" t="str">
        <f>IF(DATA[[#This Row],[SERIE2]]="-","NO CORRESPONDE",IF(W222="NO CORRESPONDE","NO CORRESPONDE",IF(Z222&gt;0,"FACTURADO","PENDIENTE")))</f>
        <v>FACTURADO</v>
      </c>
      <c r="AG222" s="27">
        <f>IFERROR(VLOOKUP(DATA[[#This Row],[COMBINADA]],#REF!,6,0),0)</f>
        <v>0</v>
      </c>
      <c r="AH222" s="125">
        <f>IFERROR(VLOOKUP(DATA[[#This Row],[COMBINADA]],#REF!,9,0),0)/COUNTIFS(DATA[COMBINADA],DATA[[#This Row],[COMBINADA]])</f>
        <v>0</v>
      </c>
      <c r="AI222" s="27">
        <f>IFERROR(VLOOKUP(DATA[[#This Row],[COMBINADA]],#REF!,6,0),0)</f>
        <v>0</v>
      </c>
      <c r="AJ222" s="125">
        <f>IFERROR(VLOOKUP(DATA[[#This Row],[COMBINADA]],#REF!,9,0),0)/COUNTIFS(DATA[COMBINADA],DATA[[#This Row],[COMBINADA]])</f>
        <v>0</v>
      </c>
      <c r="AK222" s="27">
        <f>IFERROR(VLOOKUP(DATA[[#This Row],[COMBINADA]],#REF!,6,0),0)</f>
        <v>0</v>
      </c>
      <c r="AL222" s="125">
        <f>IFERROR(VLOOKUP(DATA[[#This Row],[COMBINADA]],#REF!,9,0),0)/COUNTIFS(DATA[COMBINADA],DATA[[#This Row],[COMBINADA]])</f>
        <v>0</v>
      </c>
      <c r="AM222" s="27">
        <f>IFERROR(VLOOKUP(DATA[[#This Row],[COMBINADA]],#REF!,6,0),0)</f>
        <v>0</v>
      </c>
      <c r="AN222" s="125">
        <f>IFERROR(VLOOKUP(DATA[[#This Row],[COMBINADA]],#REF!,9,0),0)/COUNTIFS(DATA[COMBINADA],DATA[[#This Row],[COMBINADA]])</f>
        <v>0</v>
      </c>
      <c r="AO222" s="27">
        <f>IFERROR(VLOOKUP(DATA[[#This Row],[COMBINADA]],#REF!,6,0),0)</f>
        <v>0</v>
      </c>
      <c r="AP222" s="125">
        <f>IFERROR(VLOOKUP(DATA[[#This Row],[COMBINADA]],#REF!,9,0),0)/COUNTIFS(DATA[COMBINADA],DATA[[#This Row],[COMBINADA]])</f>
        <v>0</v>
      </c>
      <c r="AQ22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603.34285714285716</v>
      </c>
      <c r="AR222" s="26" t="str">
        <f>IFERROR(IF(DATA[[#This Row],[estado_fact]]="FACTURADO",VLOOKUP(DATA[[#This Row],[SERIE2]]&amp;"-"&amp;DATA[[#This Row],[NUMERO]],#REF!,34,0),"NO CORRESPONDE"),"NO CORRESPONDE")</f>
        <v>NO CORRESPONDE</v>
      </c>
      <c r="AS222" s="65" t="str">
        <f>IF(DATA[[#This Row],[fecha_fs]]&gt;0,TEXT(DATA[[#This Row],[fecha_fs]],"Mmmm"),0)</f>
        <v>Febrero</v>
      </c>
      <c r="AT222" s="22" t="str">
        <f>DATA[[#This Row],[SERIE2]]&amp;"-"&amp;DATA[[#This Row],[NUMERO]]</f>
        <v>FE01-579</v>
      </c>
      <c r="AU222" s="28" t="e">
        <f>DATA[[#This Row],[TOTAL]]*DATA[[#This Row],[T.C.]]</f>
        <v>#REF!</v>
      </c>
      <c r="AV222" s="6">
        <f>DATA[[#This Row],[FECHA DE VAL.]]</f>
        <v>45714</v>
      </c>
      <c r="AW222" s="6">
        <f>DATA[[#This Row],[FECHA DE EMISION]]</f>
        <v>45716</v>
      </c>
      <c r="AX222" s="6">
        <f>DATA[[#This Row],[F1]]</f>
        <v>0</v>
      </c>
      <c r="AY222" s="20">
        <f>IF(AV222-DATA[[#This Row],[fecha_fs]]&lt;0,0,AV222-DATA[[#This Row],[fecha_fs]])</f>
        <v>14</v>
      </c>
      <c r="AZ222" s="20">
        <f t="shared" si="22"/>
        <v>2</v>
      </c>
      <c r="BA222" s="20">
        <f t="shared" si="23"/>
        <v>0</v>
      </c>
      <c r="BB222" s="195">
        <f>IFERROR(SUM(DATA[[#This Row],[fs_val_ttf]:[fact_pago_ttf]]),0)</f>
        <v>16</v>
      </c>
      <c r="BC222" s="185">
        <v>45709</v>
      </c>
      <c r="BD222" s="185">
        <v>45728</v>
      </c>
      <c r="BE222" s="185">
        <v>45727</v>
      </c>
      <c r="BF222" s="185">
        <v>45760</v>
      </c>
      <c r="BG222" s="20">
        <f>IFERROR(IF(BC222-DATA[[#This Row],[fecha_fs]]&lt;0,0,BC222-DATA[[#This Row],[fecha_fs]]),0)</f>
        <v>9</v>
      </c>
      <c r="BH222" s="20">
        <f t="shared" si="24"/>
        <v>19</v>
      </c>
      <c r="BI222" s="20">
        <f t="shared" si="25"/>
        <v>0</v>
      </c>
      <c r="BJ222" s="20">
        <f t="shared" si="26"/>
        <v>33</v>
      </c>
      <c r="BK222" s="218">
        <f>IFERROR(SUM(DATA[[#This Row],[fs_fd_ttd]:[fend_fenf_ttd]]),0)</f>
        <v>61</v>
      </c>
      <c r="BL222" s="20" t="str">
        <f>IF(DATA[[#This Row],[fecha_fs]]&gt;0,TEXT(DATA[[#This Row],[fecha_fs]],"YYYY"),0)</f>
        <v>2025</v>
      </c>
      <c r="BM222" s="221" t="b">
        <v>1</v>
      </c>
      <c r="BN222" s="278">
        <f>COUNTIF(DATA[[#This Row],[tiempo_td]], "&lt;=15")</f>
        <v>0</v>
      </c>
      <c r="BO222" s="222"/>
    </row>
    <row r="223" spans="1:67" s="107" customFormat="1" ht="30.6" customHeight="1" x14ac:dyDescent="0.25">
      <c r="A223" s="84">
        <v>20100211115</v>
      </c>
      <c r="B223" s="85" t="s">
        <v>41</v>
      </c>
      <c r="C223" s="86" t="s">
        <v>18</v>
      </c>
      <c r="D223" s="84" t="s">
        <v>112</v>
      </c>
      <c r="E223" s="85" t="s">
        <v>1</v>
      </c>
      <c r="F223" s="87">
        <v>45701</v>
      </c>
      <c r="G223" s="88" t="s">
        <v>113</v>
      </c>
      <c r="H223" s="89">
        <f t="shared" si="21"/>
        <v>1</v>
      </c>
      <c r="I223" s="67">
        <v>4114</v>
      </c>
      <c r="J223" s="90" t="s">
        <v>115</v>
      </c>
      <c r="K223" s="91" t="s">
        <v>116</v>
      </c>
      <c r="L223" s="92" t="s">
        <v>117</v>
      </c>
      <c r="M223" s="93">
        <v>12</v>
      </c>
      <c r="N223" s="12" t="s">
        <v>125</v>
      </c>
      <c r="O223" s="94">
        <v>45716</v>
      </c>
      <c r="P223" s="115">
        <v>3327</v>
      </c>
      <c r="Q223" s="14" t="s">
        <v>85</v>
      </c>
      <c r="R223" s="108"/>
      <c r="S223" s="15">
        <f>(DATA[[#This Row],[cantidad_fs]]*4.57)</f>
        <v>54.84</v>
      </c>
      <c r="T223" s="15">
        <f>DATA[[#This Row],[C. DF]]+DATA[[#This Row],[C.OPE.]]</f>
        <v>54.84</v>
      </c>
      <c r="U223" s="95">
        <f>DATA[[#This Row],[SUB TOTAL]]*0.18</f>
        <v>9.8712</v>
      </c>
      <c r="V223" s="95">
        <f>IFERROR(ROUND(DATA[[#This Row],[SUB TOTAL]]+DATA[[#This Row],[IGV]],2),0)</f>
        <v>64.709999999999994</v>
      </c>
      <c r="W223" s="96" t="str">
        <f>IF(DATA[[#This Row],[VALORIZACIÓN ]]="-","NO CORRESPONDE",IF(OR(A223=20558226979,A223=10470707866,A223=20111157058,A223=20100226902),"NO CORRESPONDE",IF(J223="Emitida",IF(P223&gt;0,"EMITIDA","PENDIENTE"),"NO CORRESPONDE")))</f>
        <v>EMITIDA</v>
      </c>
      <c r="X223" s="97"/>
      <c r="Y223" s="17" t="s">
        <v>118</v>
      </c>
      <c r="Z223" s="30">
        <v>45722</v>
      </c>
      <c r="AA223" s="10" t="s">
        <v>124</v>
      </c>
      <c r="AB223" s="19">
        <v>590</v>
      </c>
      <c r="AC223" s="20">
        <v>30</v>
      </c>
      <c r="AD223" s="102">
        <f>DATA[[#This Row],[FECHA DE EMISION]]+DATA[[#This Row],[CONDICION DE PAGO]]</f>
        <v>45752</v>
      </c>
      <c r="AE223" s="103">
        <f>IF(DATA[[#This Row],[MONEDA]]="USD",VLOOKUP(DATA[[#This Row],[COMBINADA]],#REF!,11,0),1)</f>
        <v>1</v>
      </c>
      <c r="AF223" s="39" t="str">
        <f>IF(DATA[[#This Row],[SERIE2]]="-","NO CORRESPONDE",IF(W223="NO CORRESPONDE","NO CORRESPONDE",IF(Z223&gt;0,"FACTURADO","PENDIENTE")))</f>
        <v>FACTURADO</v>
      </c>
      <c r="AG223" s="104">
        <f>IFERROR(VLOOKUP(DATA[[#This Row],[COMBINADA]],#REF!,6,0),0)</f>
        <v>0</v>
      </c>
      <c r="AH223" s="127">
        <f>IFERROR(VLOOKUP(DATA[[#This Row],[COMBINADA]],#REF!,9,0),0)/COUNTIFS(DATA[COMBINADA],DATA[[#This Row],[COMBINADA]])</f>
        <v>0</v>
      </c>
      <c r="AI223" s="104">
        <f>IFERROR(VLOOKUP(DATA[[#This Row],[COMBINADA]],#REF!,6,0),0)</f>
        <v>0</v>
      </c>
      <c r="AJ223" s="127">
        <f>IFERROR(VLOOKUP(DATA[[#This Row],[COMBINADA]],#REF!,9,0),0)/COUNTIFS(DATA[COMBINADA],DATA[[#This Row],[COMBINADA]])</f>
        <v>0</v>
      </c>
      <c r="AK223" s="104">
        <f>IFERROR(VLOOKUP(DATA[[#This Row],[COMBINADA]],#REF!,6,0),0)</f>
        <v>0</v>
      </c>
      <c r="AL223" s="127">
        <f>IFERROR(VLOOKUP(DATA[[#This Row],[COMBINADA]],#REF!,9,0),0)/COUNTIFS(DATA[COMBINADA],DATA[[#This Row],[COMBINADA]])</f>
        <v>0</v>
      </c>
      <c r="AM223" s="104">
        <f>IFERROR(VLOOKUP(DATA[[#This Row],[COMBINADA]],#REF!,6,0),0)</f>
        <v>0</v>
      </c>
      <c r="AN223" s="127">
        <f>IFERROR(VLOOKUP(DATA[[#This Row],[COMBINADA]],#REF!,9,0),0)/COUNTIFS(DATA[COMBINADA],DATA[[#This Row],[COMBINADA]])</f>
        <v>0</v>
      </c>
      <c r="AO223" s="104">
        <f>IFERROR(VLOOKUP(DATA[[#This Row],[COMBINADA]],#REF!,6,0),0)</f>
        <v>0</v>
      </c>
      <c r="AP223" s="127">
        <f>IFERROR(VLOOKUP(DATA[[#This Row],[COMBINADA]],#REF!,9,0),0)/COUNTIFS(DATA[COMBINADA],DATA[[#This Row],[COMBINADA]])</f>
        <v>0</v>
      </c>
      <c r="AQ223" s="105">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75.496666666666655</v>
      </c>
      <c r="AR223" s="106" t="str">
        <f>IFERROR(IF(DATA[[#This Row],[estado_fact]]="FACTURADO",VLOOKUP(DATA[[#This Row],[SERIE2]]&amp;"-"&amp;DATA[[#This Row],[NUMERO]],#REF!,34,0),"NO CORRESPONDE"),"NO CORRESPONDE")</f>
        <v>NO CORRESPONDE</v>
      </c>
      <c r="AS223" s="65" t="str">
        <f>IF(DATA[[#This Row],[fecha_fs]]&gt;0,TEXT(DATA[[#This Row],[fecha_fs]],"Mmmm"),0)</f>
        <v>Febrero</v>
      </c>
      <c r="AT223" s="22" t="str">
        <f>DATA[[#This Row],[SERIE2]]&amp;"-"&amp;DATA[[#This Row],[NUMERO]]</f>
        <v>FE01-590</v>
      </c>
      <c r="AU223" s="28">
        <f>DATA[[#This Row],[TOTAL]]*DATA[[#This Row],[T.C.]]</f>
        <v>64.709999999999994</v>
      </c>
      <c r="AV223" s="6">
        <f>DATA[[#This Row],[FECHA DE VAL.]]</f>
        <v>45716</v>
      </c>
      <c r="AW223" s="6">
        <f>DATA[[#This Row],[FECHA DE EMISION]]</f>
        <v>45722</v>
      </c>
      <c r="AX223" s="6">
        <f>DATA[[#This Row],[F1]]</f>
        <v>0</v>
      </c>
      <c r="AY223" s="20">
        <f>IF(AV223-DATA[[#This Row],[fecha_fs]]&lt;0,0,AV223-DATA[[#This Row],[fecha_fs]])</f>
        <v>15</v>
      </c>
      <c r="AZ223" s="20">
        <f t="shared" si="22"/>
        <v>6</v>
      </c>
      <c r="BA223" s="20">
        <f t="shared" si="23"/>
        <v>0</v>
      </c>
      <c r="BB223" s="195">
        <f>IFERROR(SUM(DATA[[#This Row],[fs_val_ttf]:[fact_pago_ttf]]),0)</f>
        <v>21</v>
      </c>
      <c r="BC223" s="185">
        <v>45730</v>
      </c>
      <c r="BD223" s="185">
        <v>45743</v>
      </c>
      <c r="BE223" s="185">
        <v>45740</v>
      </c>
      <c r="BF223" s="185">
        <v>45749</v>
      </c>
      <c r="BG223" s="20">
        <f>IFERROR(IF(BC223-DATA[[#This Row],[fecha_fs]]&lt;0,0,BC223-DATA[[#This Row],[fecha_fs]]),0)</f>
        <v>29</v>
      </c>
      <c r="BH223" s="20">
        <f t="shared" si="24"/>
        <v>13</v>
      </c>
      <c r="BI223" s="20">
        <f t="shared" si="25"/>
        <v>0</v>
      </c>
      <c r="BJ223" s="20">
        <f t="shared" si="26"/>
        <v>9</v>
      </c>
      <c r="BK223" s="218">
        <f>IFERROR(SUM(DATA[[#This Row],[fs_fd_ttd]:[fend_fenf_ttd]]),0)</f>
        <v>51</v>
      </c>
      <c r="BL223" s="20" t="str">
        <f>IF(DATA[[#This Row],[fecha_fs]]&gt;0,TEXT(DATA[[#This Row],[fecha_fs]],"YYYY"),0)</f>
        <v>2025</v>
      </c>
      <c r="BM223" s="231" t="b">
        <v>1</v>
      </c>
      <c r="BN223" s="278">
        <f>COUNTIF(DATA[[#This Row],[tiempo_td]], "&lt;=15")</f>
        <v>0</v>
      </c>
      <c r="BO223" s="223"/>
    </row>
    <row r="224" spans="1:67" ht="30.6" customHeight="1" x14ac:dyDescent="0.25">
      <c r="A224" s="4">
        <v>20141637941</v>
      </c>
      <c r="B224" s="5" t="s">
        <v>79</v>
      </c>
      <c r="C224" s="52" t="s">
        <v>18</v>
      </c>
      <c r="D224" s="4" t="s">
        <v>120</v>
      </c>
      <c r="E224" s="5" t="s">
        <v>3</v>
      </c>
      <c r="F224" s="24">
        <v>45701</v>
      </c>
      <c r="G224" s="7" t="s">
        <v>113</v>
      </c>
      <c r="H224" s="25">
        <f t="shared" si="21"/>
        <v>1</v>
      </c>
      <c r="I224" s="67">
        <v>4115</v>
      </c>
      <c r="J224" s="8" t="s">
        <v>115</v>
      </c>
      <c r="K224" s="9" t="s">
        <v>121</v>
      </c>
      <c r="L224" s="10" t="s">
        <v>117</v>
      </c>
      <c r="M224" s="11">
        <v>1660</v>
      </c>
      <c r="N224" s="12" t="s">
        <v>125</v>
      </c>
      <c r="O224" s="6">
        <v>45716</v>
      </c>
      <c r="P224" s="110">
        <v>3331</v>
      </c>
      <c r="Q224" s="14" t="s">
        <v>85</v>
      </c>
      <c r="R224" s="15">
        <f>70+(DATA[[#This Row],[cantidad_fs]]-1000)*0.1</f>
        <v>136</v>
      </c>
      <c r="S224" s="56">
        <v>517</v>
      </c>
      <c r="T224" s="15">
        <f>DATA[[#This Row],[C. DF]]+DATA[[#This Row],[C.OPE.]]</f>
        <v>653</v>
      </c>
      <c r="U224" s="15">
        <f>DATA[[#This Row],[SUB TOTAL]]*0.18</f>
        <v>117.53999999999999</v>
      </c>
      <c r="V224" s="15">
        <f>IFERROR(ROUND(DATA[[#This Row],[SUB TOTAL]]+DATA[[#This Row],[IGV]],2),0)</f>
        <v>770.54</v>
      </c>
      <c r="W224" s="16" t="str">
        <f>IF(DATA[[#This Row],[VALORIZACIÓN ]]="-","NO CORRESPONDE",IF(OR(A224=20558226979,A224=10470707866,A224=20111157058,A224=20100226902),"NO CORRESPONDE",IF(J224="Emitida",IF(P224&gt;0,"EMITIDA","PENDIENTE"),"NO CORRESPONDE")))</f>
        <v>EMITIDA</v>
      </c>
      <c r="X224" s="29"/>
      <c r="Y224" s="17" t="s">
        <v>118</v>
      </c>
      <c r="Z224" s="30">
        <v>45719</v>
      </c>
      <c r="AA224" s="10" t="s">
        <v>124</v>
      </c>
      <c r="AB224" s="19">
        <v>587</v>
      </c>
      <c r="AC224" s="20">
        <v>30</v>
      </c>
      <c r="AD224" s="18">
        <f>DATA[[#This Row],[FECHA DE EMISION]]+DATA[[#This Row],[CONDICION DE PAGO]]</f>
        <v>45749</v>
      </c>
      <c r="AE224" s="23">
        <f>IF(DATA[[#This Row],[MONEDA]]="USD",VLOOKUP(DATA[[#This Row],[COMBINADA]],#REF!,11,0),1)</f>
        <v>1</v>
      </c>
      <c r="AF224" s="39" t="str">
        <f>IF(DATA[[#This Row],[SERIE2]]="-","NO CORRESPONDE",IF(W224="NO CORRESPONDE","NO CORRESPONDE",IF(Z224&gt;0,"FACTURADO","PENDIENTE")))</f>
        <v>FACTURADO</v>
      </c>
      <c r="AG224" s="27">
        <f>IFERROR(VLOOKUP(DATA[[#This Row],[COMBINADA]],#REF!,6,0),0)</f>
        <v>0</v>
      </c>
      <c r="AH224" s="125">
        <f>IFERROR(VLOOKUP(DATA[[#This Row],[COMBINADA]],#REF!,9,0),0)/COUNTIFS(DATA[COMBINADA],DATA[[#This Row],[COMBINADA]])</f>
        <v>0</v>
      </c>
      <c r="AI224" s="27">
        <f>IFERROR(VLOOKUP(DATA[[#This Row],[COMBINADA]],#REF!,6,0),0)</f>
        <v>0</v>
      </c>
      <c r="AJ224" s="125">
        <f>IFERROR(VLOOKUP(DATA[[#This Row],[COMBINADA]],#REF!,9,0),0)/COUNTIFS(DATA[COMBINADA],DATA[[#This Row],[COMBINADA]])</f>
        <v>0</v>
      </c>
      <c r="AK224" s="27">
        <f>IFERROR(VLOOKUP(DATA[[#This Row],[COMBINADA]],#REF!,6,0),0)</f>
        <v>0</v>
      </c>
      <c r="AL224" s="125">
        <f>IFERROR(VLOOKUP(DATA[[#This Row],[COMBINADA]],#REF!,9,0),0)/COUNTIFS(DATA[COMBINADA],DATA[[#This Row],[COMBINADA]])</f>
        <v>0</v>
      </c>
      <c r="AM224" s="27">
        <f>IFERROR(VLOOKUP(DATA[[#This Row],[COMBINADA]],#REF!,6,0),0)</f>
        <v>0</v>
      </c>
      <c r="AN224" s="125">
        <f>IFERROR(VLOOKUP(DATA[[#This Row],[COMBINADA]],#REF!,9,0),0)/COUNTIFS(DATA[COMBINADA],DATA[[#This Row],[COMBINADA]])</f>
        <v>0</v>
      </c>
      <c r="AO224" s="27">
        <f>IFERROR(VLOOKUP(DATA[[#This Row],[COMBINADA]],#REF!,6,0),0)</f>
        <v>0</v>
      </c>
      <c r="AP224" s="125">
        <f>IFERROR(VLOOKUP(DATA[[#This Row],[COMBINADA]],#REF!,9,0),0)/COUNTIFS(DATA[COMBINADA],DATA[[#This Row],[COMBINADA]])</f>
        <v>0</v>
      </c>
      <c r="AQ22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759.32999999999993</v>
      </c>
      <c r="AR224" s="26" t="str">
        <f>IFERROR(IF(DATA[[#This Row],[estado_fact]]="FACTURADO",VLOOKUP(DATA[[#This Row],[SERIE2]]&amp;"-"&amp;DATA[[#This Row],[NUMERO]],#REF!,34,0),"NO CORRESPONDE"),"NO CORRESPONDE")</f>
        <v>NO CORRESPONDE</v>
      </c>
      <c r="AS224" s="65" t="str">
        <f>IF(DATA[[#This Row],[fecha_fs]]&gt;0,TEXT(DATA[[#This Row],[fecha_fs]],"Mmmm"),0)</f>
        <v>Febrero</v>
      </c>
      <c r="AT224" s="22" t="str">
        <f>DATA[[#This Row],[SERIE2]]&amp;"-"&amp;DATA[[#This Row],[NUMERO]]</f>
        <v>FE01-587</v>
      </c>
      <c r="AU224" s="28">
        <f>DATA[[#This Row],[TOTAL]]*DATA[[#This Row],[T.C.]]</f>
        <v>770.54</v>
      </c>
      <c r="AV224" s="6">
        <f>DATA[[#This Row],[FECHA DE VAL.]]</f>
        <v>45716</v>
      </c>
      <c r="AW224" s="6">
        <f>DATA[[#This Row],[FECHA DE EMISION]]</f>
        <v>45719</v>
      </c>
      <c r="AX224" s="6">
        <f>DATA[[#This Row],[F1]]</f>
        <v>0</v>
      </c>
      <c r="AY224" s="20">
        <f>IF(AV224-DATA[[#This Row],[fecha_fs]]&lt;0,0,AV224-DATA[[#This Row],[fecha_fs]])</f>
        <v>15</v>
      </c>
      <c r="AZ224" s="20">
        <f t="shared" si="22"/>
        <v>3</v>
      </c>
      <c r="BA224" s="20">
        <f t="shared" si="23"/>
        <v>0</v>
      </c>
      <c r="BB224" s="195">
        <f>IFERROR(SUM(DATA[[#This Row],[fs_val_ttf]:[fact_pago_ttf]]),0)</f>
        <v>18</v>
      </c>
      <c r="BC224" s="185">
        <v>45701</v>
      </c>
      <c r="BD224" s="185">
        <v>45701</v>
      </c>
      <c r="BE224" s="185">
        <v>45719</v>
      </c>
      <c r="BF224" s="185">
        <v>45719</v>
      </c>
      <c r="BG224" s="20">
        <f>IFERROR(IF(BC224-DATA[[#This Row],[fecha_fs]]&lt;0,0,BC224-DATA[[#This Row],[fecha_fs]]),0)</f>
        <v>0</v>
      </c>
      <c r="BH224" s="20">
        <f t="shared" si="24"/>
        <v>0</v>
      </c>
      <c r="BI224" s="20">
        <f t="shared" si="25"/>
        <v>18</v>
      </c>
      <c r="BJ224" s="20">
        <f t="shared" si="26"/>
        <v>0</v>
      </c>
      <c r="BK224" s="218">
        <f>IFERROR(SUM(DATA[[#This Row],[fs_fd_ttd]:[fend_fenf_ttd]]),0)</f>
        <v>18</v>
      </c>
      <c r="BL224" s="20" t="str">
        <f>IF(DATA[[#This Row],[fecha_fs]]&gt;0,TEXT(DATA[[#This Row],[fecha_fs]],"YYYY"),0)</f>
        <v>2025</v>
      </c>
      <c r="BM224" s="221" t="b">
        <v>1</v>
      </c>
      <c r="BN224" s="278">
        <f>COUNTIF(DATA[[#This Row],[tiempo_td]], "&lt;=15")</f>
        <v>0</v>
      </c>
      <c r="BO224" s="222"/>
    </row>
    <row r="225" spans="1:67" ht="30.6" customHeight="1" x14ac:dyDescent="0.25">
      <c r="A225" s="4">
        <v>20100055237</v>
      </c>
      <c r="B225" s="5" t="s">
        <v>21</v>
      </c>
      <c r="C225" s="52" t="s">
        <v>138</v>
      </c>
      <c r="D225" s="4" t="s">
        <v>139</v>
      </c>
      <c r="E225" s="5" t="s">
        <v>23</v>
      </c>
      <c r="F225" s="24">
        <v>45701</v>
      </c>
      <c r="G225" s="7" t="s">
        <v>113</v>
      </c>
      <c r="H225" s="25">
        <f t="shared" si="21"/>
        <v>1</v>
      </c>
      <c r="I225" s="67">
        <v>4116</v>
      </c>
      <c r="J225" s="8" t="s">
        <v>115</v>
      </c>
      <c r="K225" s="9" t="s">
        <v>121</v>
      </c>
      <c r="L225" s="10" t="s">
        <v>117</v>
      </c>
      <c r="M225" s="11">
        <v>80</v>
      </c>
      <c r="N225" s="12" t="s">
        <v>200</v>
      </c>
      <c r="O225" s="6">
        <v>45716</v>
      </c>
      <c r="P225" s="54">
        <v>3330</v>
      </c>
      <c r="Q225" s="14" t="s">
        <v>85</v>
      </c>
      <c r="R225" s="75"/>
      <c r="S225" s="56">
        <v>297.92</v>
      </c>
      <c r="T225" s="15">
        <f>DATA[[#This Row],[C. DF]]+DATA[[#This Row],[C.OPE.]]</f>
        <v>297.92</v>
      </c>
      <c r="U225" s="15">
        <f>DATA[[#This Row],[SUB TOTAL]]*0.18</f>
        <v>53.625599999999999</v>
      </c>
      <c r="V225" s="15">
        <f>IFERROR(ROUND(DATA[[#This Row],[SUB TOTAL]]+DATA[[#This Row],[IGV]],2),0)</f>
        <v>351.55</v>
      </c>
      <c r="W225" s="16" t="str">
        <f>IF(DATA[[#This Row],[VALORIZACIÓN ]]="-","NO CORRESPONDE",IF(OR(A225=20558226979,A225=10470707866,A225=20111157058,A225=20100226902),"NO CORRESPONDE",IF(J225="Emitida",IF(P225&gt;0,"EMITIDA","PENDIENTE"),"NO CORRESPONDE")))</f>
        <v>EMITIDA</v>
      </c>
      <c r="X225" s="29"/>
      <c r="Y225" s="17" t="s">
        <v>118</v>
      </c>
      <c r="Z225" s="30">
        <v>45722</v>
      </c>
      <c r="AA225" s="10" t="s">
        <v>124</v>
      </c>
      <c r="AB225" s="19">
        <v>591</v>
      </c>
      <c r="AC225" s="20">
        <v>30</v>
      </c>
      <c r="AD225" s="18">
        <f>DATA[[#This Row],[FECHA DE EMISION]]+DATA[[#This Row],[CONDICION DE PAGO]]</f>
        <v>45752</v>
      </c>
      <c r="AE225" s="23">
        <f>IF(DATA[[#This Row],[MONEDA]]="USD",VLOOKUP(DATA[[#This Row],[COMBINADA]],#REF!,11,0),1)</f>
        <v>1</v>
      </c>
      <c r="AF225" s="39" t="str">
        <f>IF(DATA[[#This Row],[SERIE2]]="-","NO CORRESPONDE",IF(W225="NO CORRESPONDE","NO CORRESPONDE",IF(Z225&gt;0,"FACTURADO","PENDIENTE")))</f>
        <v>FACTURADO</v>
      </c>
      <c r="AG225" s="27">
        <f>IFERROR(VLOOKUP(DATA[[#This Row],[COMBINADA]],#REF!,6,0),0)</f>
        <v>0</v>
      </c>
      <c r="AH225" s="125">
        <f>IFERROR(VLOOKUP(DATA[[#This Row],[COMBINADA]],#REF!,9,0),0)/COUNTIFS(DATA[COMBINADA],DATA[[#This Row],[COMBINADA]])</f>
        <v>0</v>
      </c>
      <c r="AI225" s="27">
        <f>IFERROR(VLOOKUP(DATA[[#This Row],[COMBINADA]],#REF!,6,0),0)</f>
        <v>0</v>
      </c>
      <c r="AJ225" s="125">
        <f>IFERROR(VLOOKUP(DATA[[#This Row],[COMBINADA]],#REF!,9,0),0)/COUNTIFS(DATA[COMBINADA],DATA[[#This Row],[COMBINADA]])</f>
        <v>0</v>
      </c>
      <c r="AK225" s="27">
        <f>IFERROR(VLOOKUP(DATA[[#This Row],[COMBINADA]],#REF!,6,0),0)</f>
        <v>0</v>
      </c>
      <c r="AL225" s="125">
        <f>IFERROR(VLOOKUP(DATA[[#This Row],[COMBINADA]],#REF!,9,0),0)/COUNTIFS(DATA[COMBINADA],DATA[[#This Row],[COMBINADA]])</f>
        <v>0</v>
      </c>
      <c r="AM225" s="27">
        <f>IFERROR(VLOOKUP(DATA[[#This Row],[COMBINADA]],#REF!,6,0),0)</f>
        <v>0</v>
      </c>
      <c r="AN225" s="125">
        <f>IFERROR(VLOOKUP(DATA[[#This Row],[COMBINADA]],#REF!,9,0),0)/COUNTIFS(DATA[COMBINADA],DATA[[#This Row],[COMBINADA]])</f>
        <v>0</v>
      </c>
      <c r="AO225" s="27">
        <f>IFERROR(VLOOKUP(DATA[[#This Row],[COMBINADA]],#REF!,6,0),0)</f>
        <v>0</v>
      </c>
      <c r="AP225" s="125">
        <f>IFERROR(VLOOKUP(DATA[[#This Row],[COMBINADA]],#REF!,9,0),0)/COUNTIFS(DATA[COMBINADA],DATA[[#This Row],[COMBINADA]])</f>
        <v>0</v>
      </c>
      <c r="AQ22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225" s="26" t="str">
        <f>IFERROR(IF(DATA[[#This Row],[estado_fact]]="FACTURADO",VLOOKUP(DATA[[#This Row],[SERIE2]]&amp;"-"&amp;DATA[[#This Row],[NUMERO]],#REF!,34,0),"NO CORRESPONDE"),"NO CORRESPONDE")</f>
        <v>NO CORRESPONDE</v>
      </c>
      <c r="AS225" s="65" t="str">
        <f>IF(DATA[[#This Row],[fecha_fs]]&gt;0,TEXT(DATA[[#This Row],[fecha_fs]],"Mmmm"),0)</f>
        <v>Febrero</v>
      </c>
      <c r="AT225" s="22" t="str">
        <f>DATA[[#This Row],[SERIE2]]&amp;"-"&amp;DATA[[#This Row],[NUMERO]]</f>
        <v>FE01-591</v>
      </c>
      <c r="AU225" s="28">
        <f>DATA[[#This Row],[TOTAL]]*DATA[[#This Row],[T.C.]]</f>
        <v>351.55</v>
      </c>
      <c r="AV225" s="6">
        <f>DATA[[#This Row],[FECHA DE VAL.]]</f>
        <v>45716</v>
      </c>
      <c r="AW225" s="6">
        <f>DATA[[#This Row],[FECHA DE EMISION]]</f>
        <v>45722</v>
      </c>
      <c r="AX225" s="6">
        <f>DATA[[#This Row],[F1]]</f>
        <v>0</v>
      </c>
      <c r="AY225" s="20">
        <f>IF(AV225-DATA[[#This Row],[fecha_fs]]&lt;0,0,AV225-DATA[[#This Row],[fecha_fs]])</f>
        <v>15</v>
      </c>
      <c r="AZ225" s="20">
        <f t="shared" si="22"/>
        <v>6</v>
      </c>
      <c r="BA225" s="20">
        <f t="shared" si="23"/>
        <v>0</v>
      </c>
      <c r="BB225" s="195">
        <f>IFERROR(SUM(DATA[[#This Row],[fs_val_ttf]:[fact_pago_ttf]]),0)</f>
        <v>21</v>
      </c>
      <c r="BC225" s="185">
        <v>45701</v>
      </c>
      <c r="BD225" s="185">
        <v>45701</v>
      </c>
      <c r="BE225" s="185">
        <v>45719</v>
      </c>
      <c r="BF225" s="185">
        <v>45719</v>
      </c>
      <c r="BG225" s="20">
        <f>IFERROR(IF(BC225-DATA[[#This Row],[fecha_fs]]&lt;0,0,BC225-DATA[[#This Row],[fecha_fs]]),0)</f>
        <v>0</v>
      </c>
      <c r="BH225" s="20">
        <f t="shared" si="24"/>
        <v>0</v>
      </c>
      <c r="BI225" s="20">
        <f t="shared" si="25"/>
        <v>18</v>
      </c>
      <c r="BJ225" s="20">
        <f t="shared" si="26"/>
        <v>0</v>
      </c>
      <c r="BK225" s="218">
        <f>IFERROR(SUM(DATA[[#This Row],[fs_fd_ttd]:[fend_fenf_ttd]]),0)</f>
        <v>18</v>
      </c>
      <c r="BL225" s="20" t="str">
        <f>IF(DATA[[#This Row],[fecha_fs]]&gt;0,TEXT(DATA[[#This Row],[fecha_fs]],"YYYY"),0)</f>
        <v>2025</v>
      </c>
      <c r="BM225" s="221" t="b">
        <v>1</v>
      </c>
      <c r="BN225" s="278">
        <f>COUNTIF(DATA[[#This Row],[tiempo_td]], "&lt;=15")</f>
        <v>0</v>
      </c>
      <c r="BO225" s="222"/>
    </row>
    <row r="226" spans="1:67" ht="30.6" customHeight="1" x14ac:dyDescent="0.25">
      <c r="A226" s="4">
        <v>20100192064</v>
      </c>
      <c r="B226" s="5" t="s">
        <v>60</v>
      </c>
      <c r="C226" s="52" t="s">
        <v>64</v>
      </c>
      <c r="D226" s="4" t="s">
        <v>112</v>
      </c>
      <c r="E226" s="5" t="s">
        <v>1</v>
      </c>
      <c r="F226" s="24">
        <v>45701</v>
      </c>
      <c r="G226" s="7" t="s">
        <v>113</v>
      </c>
      <c r="H226" s="25">
        <f t="shared" si="21"/>
        <v>1</v>
      </c>
      <c r="I226" s="67">
        <v>4117</v>
      </c>
      <c r="J226" s="8" t="s">
        <v>115</v>
      </c>
      <c r="K226" s="9" t="s">
        <v>203</v>
      </c>
      <c r="L226" s="10" t="s">
        <v>117</v>
      </c>
      <c r="M226" s="11">
        <v>5230</v>
      </c>
      <c r="N226" s="12" t="s">
        <v>129</v>
      </c>
      <c r="O226" s="6">
        <v>45705</v>
      </c>
      <c r="P226" s="13">
        <v>3297</v>
      </c>
      <c r="Q226" s="14" t="s">
        <v>85</v>
      </c>
      <c r="R226" s="56">
        <f>DATA[[#This Row],[cantidad_fs]]*0.57</f>
        <v>2981.1</v>
      </c>
      <c r="S226" s="56">
        <f>8999.3/2</f>
        <v>4499.6499999999996</v>
      </c>
      <c r="T226" s="15">
        <f>DATA[[#This Row],[C. DF]]+DATA[[#This Row],[C.OPE.]]</f>
        <v>7480.75</v>
      </c>
      <c r="U226" s="15">
        <f>DATA[[#This Row],[SUB TOTAL]]*0.18</f>
        <v>1346.5349999999999</v>
      </c>
      <c r="V226" s="15">
        <f>IFERROR(ROUND(DATA[[#This Row],[SUB TOTAL]]+DATA[[#This Row],[IGV]],2),0)</f>
        <v>8827.2900000000009</v>
      </c>
      <c r="W226" s="16" t="str">
        <f>IF(DATA[[#This Row],[VALORIZACIÓN ]]="-","NO CORRESPONDE",IF(OR(A226=20558226979,A226=10470707866,A226=20111157058,A226=20100226902),"NO CORRESPONDE",IF(J226="Emitida",IF(P226&gt;0,"EMITIDA","PENDIENTE"),"NO CORRESPONDE")))</f>
        <v>EMITIDA</v>
      </c>
      <c r="X226" s="29"/>
      <c r="Y226" s="17" t="s">
        <v>118</v>
      </c>
      <c r="Z226" s="30">
        <v>45716</v>
      </c>
      <c r="AA226" s="10" t="s">
        <v>124</v>
      </c>
      <c r="AB226" s="19">
        <v>577</v>
      </c>
      <c r="AC226" s="20">
        <v>30</v>
      </c>
      <c r="AD226" s="18">
        <f>DATA[[#This Row],[FECHA DE EMISION]]+DATA[[#This Row],[CONDICION DE PAGO]]</f>
        <v>45746</v>
      </c>
      <c r="AE226" s="23">
        <f>IF(DATA[[#This Row],[MONEDA]]="USD",VLOOKUP(DATA[[#This Row],[COMBINADA]],#REF!,11,0),1)</f>
        <v>1</v>
      </c>
      <c r="AF226" s="39" t="str">
        <f>IF(DATA[[#This Row],[SERIE2]]="-","NO CORRESPONDE",IF(W226="NO CORRESPONDE","NO CORRESPONDE",IF(Z226&gt;0,"FACTURADO","PENDIENTE")))</f>
        <v>FACTURADO</v>
      </c>
      <c r="AG226" s="27">
        <f>IFERROR(VLOOKUP(DATA[[#This Row],[COMBINADA]],#REF!,6,0),0)</f>
        <v>0</v>
      </c>
      <c r="AH226" s="125">
        <f>IFERROR(VLOOKUP(DATA[[#This Row],[COMBINADA]],#REF!,9,0),0)/COUNTIFS(DATA[COMBINADA],DATA[[#This Row],[COMBINADA]])</f>
        <v>0</v>
      </c>
      <c r="AI226" s="27">
        <f>IFERROR(VLOOKUP(DATA[[#This Row],[COMBINADA]],#REF!,6,0),0)</f>
        <v>0</v>
      </c>
      <c r="AJ226" s="125">
        <f>IFERROR(VLOOKUP(DATA[[#This Row],[COMBINADA]],#REF!,9,0),0)/COUNTIFS(DATA[COMBINADA],DATA[[#This Row],[COMBINADA]])</f>
        <v>0</v>
      </c>
      <c r="AK226" s="27">
        <f>IFERROR(VLOOKUP(DATA[[#This Row],[COMBINADA]],#REF!,6,0),0)</f>
        <v>0</v>
      </c>
      <c r="AL226" s="125">
        <f>IFERROR(VLOOKUP(DATA[[#This Row],[COMBINADA]],#REF!,9,0),0)/COUNTIFS(DATA[COMBINADA],DATA[[#This Row],[COMBINADA]])</f>
        <v>0</v>
      </c>
      <c r="AM226" s="27">
        <f>IFERROR(VLOOKUP(DATA[[#This Row],[COMBINADA]],#REF!,6,0),0)</f>
        <v>0</v>
      </c>
      <c r="AN226" s="125">
        <f>IFERROR(VLOOKUP(DATA[[#This Row],[COMBINADA]],#REF!,9,0),0)/COUNTIFS(DATA[COMBINADA],DATA[[#This Row],[COMBINADA]])</f>
        <v>0</v>
      </c>
      <c r="AO226" s="27">
        <f>IFERROR(VLOOKUP(DATA[[#This Row],[COMBINADA]],#REF!,6,0),0)</f>
        <v>0</v>
      </c>
      <c r="AP226" s="125">
        <f>IFERROR(VLOOKUP(DATA[[#This Row],[COMBINADA]],#REF!,9,0),0)/COUNTIFS(DATA[COMBINADA],DATA[[#This Row],[COMBINADA]])</f>
        <v>0</v>
      </c>
      <c r="AQ22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8390.1</v>
      </c>
      <c r="AR226" s="26" t="str">
        <f>IFERROR(IF(DATA[[#This Row],[estado_fact]]="FACTURADO",VLOOKUP(DATA[[#This Row],[SERIE2]]&amp;"-"&amp;DATA[[#This Row],[NUMERO]],#REF!,34,0),"NO CORRESPONDE"),"NO CORRESPONDE")</f>
        <v>NO CORRESPONDE</v>
      </c>
      <c r="AS226" s="65" t="str">
        <f>IF(DATA[[#This Row],[fecha_fs]]&gt;0,TEXT(DATA[[#This Row],[fecha_fs]],"Mmmm"),0)</f>
        <v>Febrero</v>
      </c>
      <c r="AT226" s="22" t="str">
        <f>DATA[[#This Row],[SERIE2]]&amp;"-"&amp;DATA[[#This Row],[NUMERO]]</f>
        <v>FE01-577</v>
      </c>
      <c r="AU226" s="28">
        <f>DATA[[#This Row],[TOTAL]]*DATA[[#This Row],[T.C.]]</f>
        <v>8827.2900000000009</v>
      </c>
      <c r="AV226" s="6">
        <f>DATA[[#This Row],[FECHA DE VAL.]]</f>
        <v>45705</v>
      </c>
      <c r="AW226" s="6">
        <f>DATA[[#This Row],[FECHA DE EMISION]]</f>
        <v>45716</v>
      </c>
      <c r="AX226" s="6">
        <f>DATA[[#This Row],[F1]]</f>
        <v>0</v>
      </c>
      <c r="AY226" s="20">
        <f>IF(AV226-DATA[[#This Row],[fecha_fs]]&lt;0,0,AV226-DATA[[#This Row],[fecha_fs]])</f>
        <v>4</v>
      </c>
      <c r="AZ226" s="20">
        <f t="shared" si="22"/>
        <v>11</v>
      </c>
      <c r="BA226" s="20">
        <f t="shared" si="23"/>
        <v>0</v>
      </c>
      <c r="BB226" s="195">
        <f>IFERROR(SUM(DATA[[#This Row],[fs_val_ttf]:[fact_pago_ttf]]),0)</f>
        <v>15</v>
      </c>
      <c r="BC226" s="185">
        <v>45709</v>
      </c>
      <c r="BD226" s="185">
        <v>45727</v>
      </c>
      <c r="BE226" s="185">
        <v>45734</v>
      </c>
      <c r="BF226" s="185">
        <v>45760</v>
      </c>
      <c r="BG226" s="20">
        <f>IFERROR(IF(BC226-DATA[[#This Row],[fecha_fs]]&lt;0,0,BC226-DATA[[#This Row],[fecha_fs]]),0)</f>
        <v>8</v>
      </c>
      <c r="BH226" s="20">
        <f t="shared" si="24"/>
        <v>18</v>
      </c>
      <c r="BI226" s="20">
        <f t="shared" si="25"/>
        <v>7</v>
      </c>
      <c r="BJ226" s="20">
        <f t="shared" si="26"/>
        <v>26</v>
      </c>
      <c r="BK226" s="218">
        <f>IFERROR(SUM(DATA[[#This Row],[fs_fd_ttd]:[fend_fenf_ttd]]),0)</f>
        <v>59</v>
      </c>
      <c r="BL226" s="20" t="str">
        <f>IF(DATA[[#This Row],[fecha_fs]]&gt;0,TEXT(DATA[[#This Row],[fecha_fs]],"YYYY"),0)</f>
        <v>2025</v>
      </c>
      <c r="BM226" s="221" t="b">
        <v>1</v>
      </c>
      <c r="BN226" s="278">
        <f>COUNTIF(DATA[[#This Row],[tiempo_td]], "&lt;=15")</f>
        <v>0</v>
      </c>
      <c r="BO226" s="222"/>
    </row>
    <row r="227" spans="1:67" ht="30.6" customHeight="1" x14ac:dyDescent="0.25">
      <c r="A227" s="4">
        <v>20100192064</v>
      </c>
      <c r="B227" s="5" t="s">
        <v>60</v>
      </c>
      <c r="C227" s="52" t="s">
        <v>64</v>
      </c>
      <c r="D227" s="4" t="s">
        <v>112</v>
      </c>
      <c r="E227" s="5" t="s">
        <v>1</v>
      </c>
      <c r="F227" s="24">
        <v>45701</v>
      </c>
      <c r="G227" s="7" t="s">
        <v>113</v>
      </c>
      <c r="H227" s="25">
        <f t="shared" si="21"/>
        <v>1</v>
      </c>
      <c r="I227" s="67">
        <v>4118</v>
      </c>
      <c r="J227" s="8" t="s">
        <v>115</v>
      </c>
      <c r="K227" s="9" t="s">
        <v>203</v>
      </c>
      <c r="L227" s="10" t="s">
        <v>117</v>
      </c>
      <c r="M227" s="11">
        <v>3930</v>
      </c>
      <c r="N227" s="12" t="s">
        <v>129</v>
      </c>
      <c r="O227" s="6">
        <v>45705</v>
      </c>
      <c r="P227" s="13">
        <v>3297</v>
      </c>
      <c r="Q227" s="14" t="s">
        <v>85</v>
      </c>
      <c r="R227" s="56">
        <f>DATA[[#This Row],[cantidad_fs]]*0.57</f>
        <v>2240.1</v>
      </c>
      <c r="S227" s="56">
        <f>8999.3/2</f>
        <v>4499.6499999999996</v>
      </c>
      <c r="T227" s="15">
        <f>DATA[[#This Row],[C. DF]]+DATA[[#This Row],[C.OPE.]]</f>
        <v>6739.75</v>
      </c>
      <c r="U227" s="15">
        <f>DATA[[#This Row],[SUB TOTAL]]*0.18</f>
        <v>1213.155</v>
      </c>
      <c r="V227" s="15">
        <f>IFERROR(ROUND(DATA[[#This Row],[SUB TOTAL]]+DATA[[#This Row],[IGV]],2),0)</f>
        <v>7952.91</v>
      </c>
      <c r="W227" s="16" t="str">
        <f>IF(DATA[[#This Row],[VALORIZACIÓN ]]="-","NO CORRESPONDE",IF(OR(A227=20558226979,A227=10470707866,A227=20111157058,A227=20100226902),"NO CORRESPONDE",IF(J227="Emitida",IF(P227&gt;0,"EMITIDA","PENDIENTE"),"NO CORRESPONDE")))</f>
        <v>EMITIDA</v>
      </c>
      <c r="X227" s="29"/>
      <c r="Y227" s="17" t="s">
        <v>118</v>
      </c>
      <c r="Z227" s="30">
        <v>45716</v>
      </c>
      <c r="AA227" s="10" t="s">
        <v>124</v>
      </c>
      <c r="AB227" s="19">
        <v>577</v>
      </c>
      <c r="AC227" s="20">
        <v>30</v>
      </c>
      <c r="AD227" s="18">
        <f>DATA[[#This Row],[FECHA DE EMISION]]+DATA[[#This Row],[CONDICION DE PAGO]]</f>
        <v>45746</v>
      </c>
      <c r="AE227" s="23">
        <f>IF(DATA[[#This Row],[MONEDA]]="USD",VLOOKUP(DATA[[#This Row],[COMBINADA]],#REF!,11,0),1)</f>
        <v>1</v>
      </c>
      <c r="AF227" s="39" t="str">
        <f>IF(DATA[[#This Row],[SERIE2]]="-","NO CORRESPONDE",IF(W227="NO CORRESPONDE","NO CORRESPONDE",IF(Z227&gt;0,"FACTURADO","PENDIENTE")))</f>
        <v>FACTURADO</v>
      </c>
      <c r="AG227" s="27">
        <f>IFERROR(VLOOKUP(DATA[[#This Row],[COMBINADA]],#REF!,6,0),0)</f>
        <v>0</v>
      </c>
      <c r="AH227" s="125">
        <f>IFERROR(VLOOKUP(DATA[[#This Row],[COMBINADA]],#REF!,9,0),0)/COUNTIFS(DATA[COMBINADA],DATA[[#This Row],[COMBINADA]])</f>
        <v>0</v>
      </c>
      <c r="AI227" s="27">
        <f>IFERROR(VLOOKUP(DATA[[#This Row],[COMBINADA]],#REF!,6,0),0)</f>
        <v>0</v>
      </c>
      <c r="AJ227" s="125">
        <f>IFERROR(VLOOKUP(DATA[[#This Row],[COMBINADA]],#REF!,9,0),0)/COUNTIFS(DATA[COMBINADA],DATA[[#This Row],[COMBINADA]])</f>
        <v>0</v>
      </c>
      <c r="AK227" s="27">
        <f>IFERROR(VLOOKUP(DATA[[#This Row],[COMBINADA]],#REF!,6,0),0)</f>
        <v>0</v>
      </c>
      <c r="AL227" s="125">
        <f>IFERROR(VLOOKUP(DATA[[#This Row],[COMBINADA]],#REF!,9,0),0)/COUNTIFS(DATA[COMBINADA],DATA[[#This Row],[COMBINADA]])</f>
        <v>0</v>
      </c>
      <c r="AM227" s="27">
        <f>IFERROR(VLOOKUP(DATA[[#This Row],[COMBINADA]],#REF!,6,0),0)</f>
        <v>0</v>
      </c>
      <c r="AN227" s="125">
        <f>IFERROR(VLOOKUP(DATA[[#This Row],[COMBINADA]],#REF!,9,0),0)/COUNTIFS(DATA[COMBINADA],DATA[[#This Row],[COMBINADA]])</f>
        <v>0</v>
      </c>
      <c r="AO227" s="27">
        <f>IFERROR(VLOOKUP(DATA[[#This Row],[COMBINADA]],#REF!,6,0),0)</f>
        <v>0</v>
      </c>
      <c r="AP227" s="125">
        <f>IFERROR(VLOOKUP(DATA[[#This Row],[COMBINADA]],#REF!,9,0),0)/COUNTIFS(DATA[COMBINADA],DATA[[#This Row],[COMBINADA]])</f>
        <v>0</v>
      </c>
      <c r="AQ22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8390.1</v>
      </c>
      <c r="AR227" s="26" t="str">
        <f>IFERROR(IF(DATA[[#This Row],[estado_fact]]="FACTURADO",VLOOKUP(DATA[[#This Row],[SERIE2]]&amp;"-"&amp;DATA[[#This Row],[NUMERO]],#REF!,34,0),"NO CORRESPONDE"),"NO CORRESPONDE")</f>
        <v>NO CORRESPONDE</v>
      </c>
      <c r="AS227" s="65" t="str">
        <f>IF(DATA[[#This Row],[fecha_fs]]&gt;0,TEXT(DATA[[#This Row],[fecha_fs]],"Mmmm"),0)</f>
        <v>Febrero</v>
      </c>
      <c r="AT227" s="22" t="str">
        <f>DATA[[#This Row],[SERIE2]]&amp;"-"&amp;DATA[[#This Row],[NUMERO]]</f>
        <v>FE01-577</v>
      </c>
      <c r="AU227" s="28">
        <f>DATA[[#This Row],[TOTAL]]*DATA[[#This Row],[T.C.]]</f>
        <v>7952.91</v>
      </c>
      <c r="AV227" s="6">
        <f>DATA[[#This Row],[FECHA DE VAL.]]</f>
        <v>45705</v>
      </c>
      <c r="AW227" s="6">
        <f>DATA[[#This Row],[FECHA DE EMISION]]</f>
        <v>45716</v>
      </c>
      <c r="AX227" s="6">
        <f>DATA[[#This Row],[F1]]</f>
        <v>0</v>
      </c>
      <c r="AY227" s="20">
        <f>IF(AV227-DATA[[#This Row],[fecha_fs]]&lt;0,0,AV227-DATA[[#This Row],[fecha_fs]])</f>
        <v>4</v>
      </c>
      <c r="AZ227" s="20">
        <f t="shared" si="22"/>
        <v>11</v>
      </c>
      <c r="BA227" s="20">
        <f t="shared" si="23"/>
        <v>0</v>
      </c>
      <c r="BB227" s="195">
        <f>IFERROR(SUM(DATA[[#This Row],[fs_val_ttf]:[fact_pago_ttf]]),0)</f>
        <v>15</v>
      </c>
      <c r="BC227" s="185">
        <v>45709</v>
      </c>
      <c r="BD227" s="185">
        <v>45727</v>
      </c>
      <c r="BE227" s="185">
        <v>45734</v>
      </c>
      <c r="BF227" s="185">
        <v>45760</v>
      </c>
      <c r="BG227" s="20">
        <f>IFERROR(IF(BC227-DATA[[#This Row],[fecha_fs]]&lt;0,0,BC227-DATA[[#This Row],[fecha_fs]]),0)</f>
        <v>8</v>
      </c>
      <c r="BH227" s="20">
        <f t="shared" si="24"/>
        <v>18</v>
      </c>
      <c r="BI227" s="20">
        <f t="shared" si="25"/>
        <v>7</v>
      </c>
      <c r="BJ227" s="20">
        <f t="shared" si="26"/>
        <v>26</v>
      </c>
      <c r="BK227" s="218">
        <f>IFERROR(SUM(DATA[[#This Row],[fs_fd_ttd]:[fend_fenf_ttd]]),0)</f>
        <v>59</v>
      </c>
      <c r="BL227" s="20" t="str">
        <f>IF(DATA[[#This Row],[fecha_fs]]&gt;0,TEXT(DATA[[#This Row],[fecha_fs]],"YYYY"),0)</f>
        <v>2025</v>
      </c>
      <c r="BM227" s="221" t="b">
        <v>1</v>
      </c>
      <c r="BN227" s="278">
        <f>COUNTIF(DATA[[#This Row],[tiempo_td]], "&lt;=15")</f>
        <v>0</v>
      </c>
      <c r="BO227" s="222"/>
    </row>
    <row r="228" spans="1:67" ht="30" customHeight="1" x14ac:dyDescent="0.25">
      <c r="A228" s="4"/>
      <c r="B228" s="5" t="s">
        <v>0</v>
      </c>
      <c r="C228" s="52"/>
      <c r="D228" s="4"/>
      <c r="E228" s="5" t="s">
        <v>0</v>
      </c>
      <c r="F228" s="24">
        <v>45701</v>
      </c>
      <c r="G228" s="7" t="s">
        <v>113</v>
      </c>
      <c r="H228" s="25">
        <f t="shared" si="21"/>
        <v>1</v>
      </c>
      <c r="I228" s="67">
        <v>4119</v>
      </c>
      <c r="J228" s="8" t="s">
        <v>151</v>
      </c>
      <c r="K228" s="9"/>
      <c r="L228" s="10"/>
      <c r="M228" s="111"/>
      <c r="N228" s="112"/>
      <c r="O228" s="6"/>
      <c r="P228" s="13" t="s">
        <v>114</v>
      </c>
      <c r="Q228" s="14"/>
      <c r="R228" s="43"/>
      <c r="S228" s="43"/>
      <c r="T228" s="43">
        <f>DATA[[#This Row],[C. DF]]+DATA[[#This Row],[C.OPE.]]</f>
        <v>0</v>
      </c>
      <c r="U228" s="73">
        <f>DATA[[#This Row],[SUB TOTAL]]*0.18</f>
        <v>0</v>
      </c>
      <c r="V228" s="45">
        <f>IFERROR(ROUND(DATA[[#This Row],[SUB TOTAL]]+DATA[[#This Row],[IGV]],2),0)</f>
        <v>0</v>
      </c>
      <c r="W228" s="58" t="str">
        <f>IF(DATA[[#This Row],[VALORIZACIÓN ]]="-","NO CORRESPONDE",IF(OR(A228=20558226979,A228=10470707866,A228=20111157058,A228=20100226902),"NO CORRESPONDE",IF(J228="Emitida",IF(P228&gt;0,"EMITIDA","PENDIENTE"),"NO CORRESPONDE")))</f>
        <v>NO CORRESPONDE</v>
      </c>
      <c r="X228" s="46"/>
      <c r="Y228" s="17" t="s">
        <v>128</v>
      </c>
      <c r="Z228" s="48"/>
      <c r="AA228" s="49"/>
      <c r="AB228" s="50"/>
      <c r="AC228" s="51"/>
      <c r="AD228" s="59">
        <f>DATA[[#This Row],[FECHA DE EMISION]]+DATA[[#This Row],[CONDICION DE PAGO]]</f>
        <v>0</v>
      </c>
      <c r="AE228" s="23">
        <f>IF(DATA[[#This Row],[MONEDA]]="USD",VLOOKUP(DATA[[#This Row],[COMBINADA]],#REF!,11,0),1)</f>
        <v>1</v>
      </c>
      <c r="AF228" s="39" t="str">
        <f>IF(DATA[[#This Row],[SERIE2]]="-","NO CORRESPONDE",IF(W228="NO CORRESPONDE","NO CORRESPONDE",IF(Z228&gt;0,"FACTURADO","PENDIENTE")))</f>
        <v>NO CORRESPONDE</v>
      </c>
      <c r="AG228" s="61">
        <f>IFERROR(VLOOKUP(DATA[[#This Row],[COMBINADA]],#REF!,6,0),0)</f>
        <v>0</v>
      </c>
      <c r="AH228" s="62">
        <f>IFERROR(VLOOKUP(DATA[[#This Row],[COMBINADA]],#REF!,9,0),0)/COUNTIFS(DATA[COMBINADA],DATA[[#This Row],[COMBINADA]])</f>
        <v>0</v>
      </c>
      <c r="AI228" s="61">
        <f>IFERROR(VLOOKUP(DATA[[#This Row],[COMBINADA]],#REF!,6,0),0)</f>
        <v>0</v>
      </c>
      <c r="AJ228" s="62">
        <f>IFERROR(VLOOKUP(DATA[[#This Row],[COMBINADA]],#REF!,9,0),0)/COUNTIFS(DATA[COMBINADA],DATA[[#This Row],[COMBINADA]])</f>
        <v>0</v>
      </c>
      <c r="AK228" s="61">
        <f>IFERROR(VLOOKUP(DATA[[#This Row],[COMBINADA]],#REF!,6,0),0)</f>
        <v>0</v>
      </c>
      <c r="AL228" s="62">
        <f>IFERROR(VLOOKUP(DATA[[#This Row],[COMBINADA]],#REF!,9,0),0)/COUNTIFS(DATA[COMBINADA],DATA[[#This Row],[COMBINADA]])</f>
        <v>0</v>
      </c>
      <c r="AM228" s="61">
        <f>IFERROR(VLOOKUP(DATA[[#This Row],[COMBINADA]],#REF!,6,0),0)</f>
        <v>0</v>
      </c>
      <c r="AN228" s="62">
        <f>IFERROR(VLOOKUP(DATA[[#This Row],[COMBINADA]],#REF!,9,0),0)/COUNTIFS(DATA[COMBINADA],DATA[[#This Row],[COMBINADA]])</f>
        <v>0</v>
      </c>
      <c r="AO228" s="61">
        <f>IFERROR(VLOOKUP(DATA[[#This Row],[COMBINADA]],#REF!,6,0),0)</f>
        <v>0</v>
      </c>
      <c r="AP228" s="62">
        <f>IFERROR(VLOOKUP(DATA[[#This Row],[COMBINADA]],#REF!,9,0),0)/COUNTIFS(DATA[COMBINADA],DATA[[#This Row],[COMBINADA]])</f>
        <v>0</v>
      </c>
      <c r="AQ228"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228" s="22" t="str">
        <f>IFERROR(IF(DATA[[#This Row],[estado_fact]]="FACTURADO",VLOOKUP(DATA[[#This Row],[SERIE2]]&amp;"-"&amp;DATA[[#This Row],[NUMERO]],#REF!,34,0),"NO CORRESPONDE"),"NO CORRESPONDE")</f>
        <v>NO CORRESPONDE</v>
      </c>
      <c r="AS228" s="198" t="str">
        <f>IF(DATA[[#This Row],[fecha_fs]]&gt;0,TEXT(DATA[[#This Row],[fecha_fs]],"Mmmm"),0)</f>
        <v>Febrero</v>
      </c>
      <c r="AT228" s="199" t="str">
        <f>DATA[[#This Row],[SERIE2]]&amp;"-"&amp;DATA[[#This Row],[NUMERO]]</f>
        <v>-</v>
      </c>
      <c r="AU228" s="198">
        <f>DATA[[#This Row],[TOTAL]]*DATA[[#This Row],[T.C.]]</f>
        <v>0</v>
      </c>
      <c r="AV228" s="40">
        <f>DATA[[#This Row],[FECHA DE VAL.]]</f>
        <v>0</v>
      </c>
      <c r="AW228" s="40">
        <f>DATA[[#This Row],[FECHA DE EMISION]]</f>
        <v>0</v>
      </c>
      <c r="AX228" s="40">
        <f>DATA[[#This Row],[F1]]</f>
        <v>0</v>
      </c>
      <c r="AY228" s="49">
        <f>IF(AV228-DATA[[#This Row],[fecha_fs]]&lt;0,0,AV228-DATA[[#This Row],[fecha_fs]])</f>
        <v>0</v>
      </c>
      <c r="AZ228" s="49">
        <f t="shared" si="22"/>
        <v>0</v>
      </c>
      <c r="BA228" s="49">
        <f t="shared" si="23"/>
        <v>0</v>
      </c>
      <c r="BB228" s="195">
        <f>IFERROR(SUM(DATA[[#This Row],[fs_val_ttf]:[fact_pago_ttf]]),0)</f>
        <v>0</v>
      </c>
      <c r="BC228" s="200"/>
      <c r="BD228" s="200"/>
      <c r="BE228" s="200"/>
      <c r="BF228" s="200"/>
      <c r="BG228" s="49">
        <f>IFERROR(IF(BC228-DATA[[#This Row],[fecha_fs]]&lt;0,0,BC228-DATA[[#This Row],[fecha_fs]]),0)</f>
        <v>0</v>
      </c>
      <c r="BH228" s="49">
        <f t="shared" si="24"/>
        <v>0</v>
      </c>
      <c r="BI228" s="49">
        <f t="shared" si="25"/>
        <v>0</v>
      </c>
      <c r="BJ228" s="49">
        <f t="shared" si="26"/>
        <v>0</v>
      </c>
      <c r="BK228" s="218">
        <f>IFERROR(SUM(DATA[[#This Row],[fs_fd_ttd]:[fend_fenf_ttd]]),0)</f>
        <v>0</v>
      </c>
      <c r="BL228" s="20" t="str">
        <f>IF(DATA[[#This Row],[fecha_fs]]&gt;0,TEXT(DATA[[#This Row],[fecha_fs]],"YYYY"),0)</f>
        <v>2025</v>
      </c>
      <c r="BM228" s="221" t="b">
        <v>0</v>
      </c>
      <c r="BN228" s="278"/>
      <c r="BO228" s="222"/>
    </row>
    <row r="229" spans="1:67" ht="30.6" customHeight="1" x14ac:dyDescent="0.25">
      <c r="A229" s="4">
        <v>20100211115</v>
      </c>
      <c r="B229" s="5" t="s">
        <v>41</v>
      </c>
      <c r="C229" s="52" t="s">
        <v>18</v>
      </c>
      <c r="D229" s="4" t="s">
        <v>120</v>
      </c>
      <c r="E229" s="5" t="s">
        <v>3</v>
      </c>
      <c r="F229" s="24">
        <v>45702</v>
      </c>
      <c r="G229" s="7" t="s">
        <v>113</v>
      </c>
      <c r="H229" s="25">
        <f t="shared" si="21"/>
        <v>1</v>
      </c>
      <c r="I229" s="67">
        <v>4120</v>
      </c>
      <c r="J229" s="8" t="s">
        <v>115</v>
      </c>
      <c r="K229" s="9" t="s">
        <v>121</v>
      </c>
      <c r="L229" s="10" t="s">
        <v>117</v>
      </c>
      <c r="M229" s="11">
        <v>90</v>
      </c>
      <c r="N229" s="12" t="s">
        <v>125</v>
      </c>
      <c r="O229" s="6">
        <v>45716</v>
      </c>
      <c r="P229" s="115">
        <v>3326</v>
      </c>
      <c r="Q229" s="14" t="s">
        <v>85</v>
      </c>
      <c r="R229" s="15"/>
      <c r="S229" s="56">
        <f>(DATA[[#This Row],[cantidad_fs]]*4.37)</f>
        <v>393.3</v>
      </c>
      <c r="T229" s="15">
        <f>DATA[[#This Row],[C. DF]]+DATA[[#This Row],[C.OPE.]]</f>
        <v>393.3</v>
      </c>
      <c r="U229" s="15">
        <f>DATA[[#This Row],[SUB TOTAL]]*0.18</f>
        <v>70.793999999999997</v>
      </c>
      <c r="V229" s="15">
        <f>IFERROR(ROUND(DATA[[#This Row],[SUB TOTAL]]+DATA[[#This Row],[IGV]],2),0)</f>
        <v>464.09</v>
      </c>
      <c r="W229" s="16" t="str">
        <f>IF(DATA[[#This Row],[VALORIZACIÓN ]]="-","NO CORRESPONDE",IF(OR(A229=20558226979,A229=10470707866,A229=20111157058,A229=20100226902),"NO CORRESPONDE",IF(J229="Emitida",IF(P229&gt;0,"EMITIDA","PENDIENTE"),"NO CORRESPONDE")))</f>
        <v>EMITIDA</v>
      </c>
      <c r="X229" s="29"/>
      <c r="Y229" s="17" t="s">
        <v>118</v>
      </c>
      <c r="Z229" s="30">
        <v>45722</v>
      </c>
      <c r="AA229" s="10" t="s">
        <v>124</v>
      </c>
      <c r="AB229" s="19">
        <v>588</v>
      </c>
      <c r="AC229" s="20">
        <v>30</v>
      </c>
      <c r="AD229" s="18">
        <f>DATA[[#This Row],[FECHA DE EMISION]]+DATA[[#This Row],[CONDICION DE PAGO]]</f>
        <v>45752</v>
      </c>
      <c r="AE229" s="23">
        <f>IF(DATA[[#This Row],[MONEDA]]="USD",VLOOKUP(DATA[[#This Row],[COMBINADA]],#REF!,11,0),1)</f>
        <v>1</v>
      </c>
      <c r="AF229" s="39" t="str">
        <f>IF(DATA[[#This Row],[SERIE2]]="-","NO CORRESPONDE",IF(W229="NO CORRESPONDE","NO CORRESPONDE",IF(Z229&gt;0,"FACTURADO","PENDIENTE")))</f>
        <v>FACTURADO</v>
      </c>
      <c r="AG229" s="27">
        <f>IFERROR(VLOOKUP(DATA[[#This Row],[COMBINADA]],#REF!,6,0),0)</f>
        <v>0</v>
      </c>
      <c r="AH229" s="125">
        <f>IFERROR(VLOOKUP(DATA[[#This Row],[COMBINADA]],#REF!,9,0),0)/COUNTIFS(DATA[COMBINADA],DATA[[#This Row],[COMBINADA]])</f>
        <v>0</v>
      </c>
      <c r="AI229" s="27">
        <f>IFERROR(VLOOKUP(DATA[[#This Row],[COMBINADA]],#REF!,6,0),0)</f>
        <v>0</v>
      </c>
      <c r="AJ229" s="125">
        <f>IFERROR(VLOOKUP(DATA[[#This Row],[COMBINADA]],#REF!,9,0),0)/COUNTIFS(DATA[COMBINADA],DATA[[#This Row],[COMBINADA]])</f>
        <v>0</v>
      </c>
      <c r="AK229" s="27">
        <f>IFERROR(VLOOKUP(DATA[[#This Row],[COMBINADA]],#REF!,6,0),0)</f>
        <v>0</v>
      </c>
      <c r="AL229" s="125">
        <f>IFERROR(VLOOKUP(DATA[[#This Row],[COMBINADA]],#REF!,9,0),0)/COUNTIFS(DATA[COMBINADA],DATA[[#This Row],[COMBINADA]])</f>
        <v>0</v>
      </c>
      <c r="AM229" s="27">
        <f>IFERROR(VLOOKUP(DATA[[#This Row],[COMBINADA]],#REF!,6,0),0)</f>
        <v>0</v>
      </c>
      <c r="AN229" s="125">
        <f>IFERROR(VLOOKUP(DATA[[#This Row],[COMBINADA]],#REF!,9,0),0)/COUNTIFS(DATA[COMBINADA],DATA[[#This Row],[COMBINADA]])</f>
        <v>0</v>
      </c>
      <c r="AO229" s="27">
        <f>IFERROR(VLOOKUP(DATA[[#This Row],[COMBINADA]],#REF!,6,0),0)</f>
        <v>0</v>
      </c>
      <c r="AP229" s="125">
        <f>IFERROR(VLOOKUP(DATA[[#This Row],[COMBINADA]],#REF!,9,0),0)/COUNTIFS(DATA[COMBINADA],DATA[[#This Row],[COMBINADA]])</f>
        <v>0</v>
      </c>
      <c r="AQ22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229" s="26" t="str">
        <f>IFERROR(IF(DATA[[#This Row],[estado_fact]]="FACTURADO",VLOOKUP(DATA[[#This Row],[SERIE2]]&amp;"-"&amp;DATA[[#This Row],[NUMERO]],#REF!,34,0),"NO CORRESPONDE"),"NO CORRESPONDE")</f>
        <v>NO CORRESPONDE</v>
      </c>
      <c r="AS229" s="65" t="str">
        <f>IF(DATA[[#This Row],[fecha_fs]]&gt;0,TEXT(DATA[[#This Row],[fecha_fs]],"Mmmm"),0)</f>
        <v>Febrero</v>
      </c>
      <c r="AT229" s="22" t="str">
        <f>DATA[[#This Row],[SERIE2]]&amp;"-"&amp;DATA[[#This Row],[NUMERO]]</f>
        <v>FE01-588</v>
      </c>
      <c r="AU229" s="28">
        <f>DATA[[#This Row],[TOTAL]]*DATA[[#This Row],[T.C.]]</f>
        <v>464.09</v>
      </c>
      <c r="AV229" s="6">
        <f>DATA[[#This Row],[FECHA DE VAL.]]</f>
        <v>45716</v>
      </c>
      <c r="AW229" s="6">
        <f>DATA[[#This Row],[FECHA DE EMISION]]</f>
        <v>45722</v>
      </c>
      <c r="AX229" s="6">
        <f>DATA[[#This Row],[F1]]</f>
        <v>0</v>
      </c>
      <c r="AY229" s="20">
        <f>IF(AV229-DATA[[#This Row],[fecha_fs]]&lt;0,0,AV229-DATA[[#This Row],[fecha_fs]])</f>
        <v>14</v>
      </c>
      <c r="AZ229" s="20">
        <f t="shared" si="22"/>
        <v>6</v>
      </c>
      <c r="BA229" s="20">
        <f t="shared" si="23"/>
        <v>0</v>
      </c>
      <c r="BB229" s="195">
        <f>IFERROR(SUM(DATA[[#This Row],[fs_val_ttf]:[fact_pago_ttf]]),0)</f>
        <v>20</v>
      </c>
      <c r="BC229" s="185">
        <v>45729</v>
      </c>
      <c r="BD229" s="185">
        <v>45735</v>
      </c>
      <c r="BE229" s="185">
        <v>45740</v>
      </c>
      <c r="BF229" s="185">
        <v>45749</v>
      </c>
      <c r="BG229" s="20">
        <f>IFERROR(IF(BC229-DATA[[#This Row],[fecha_fs]]&lt;0,0,BC229-DATA[[#This Row],[fecha_fs]]),0)</f>
        <v>27</v>
      </c>
      <c r="BH229" s="20">
        <f t="shared" si="24"/>
        <v>6</v>
      </c>
      <c r="BI229" s="20">
        <f t="shared" si="25"/>
        <v>5</v>
      </c>
      <c r="BJ229" s="20">
        <f t="shared" si="26"/>
        <v>9</v>
      </c>
      <c r="BK229" s="218">
        <f>IFERROR(SUM(DATA[[#This Row],[fs_fd_ttd]:[fend_fenf_ttd]]),0)</f>
        <v>47</v>
      </c>
      <c r="BL229" s="20" t="str">
        <f>IF(DATA[[#This Row],[fecha_fs]]&gt;0,TEXT(DATA[[#This Row],[fecha_fs]],"YYYY"),0)</f>
        <v>2025</v>
      </c>
      <c r="BM229" s="221" t="b">
        <v>1</v>
      </c>
      <c r="BN229" s="278">
        <f>COUNTIF(DATA[[#This Row],[tiempo_td]], "&lt;=15")</f>
        <v>0</v>
      </c>
      <c r="BO229" s="222"/>
    </row>
    <row r="230" spans="1:67" ht="30.6" customHeight="1" x14ac:dyDescent="0.25">
      <c r="A230" s="4">
        <v>20553956324</v>
      </c>
      <c r="B230" s="5" t="s">
        <v>281</v>
      </c>
      <c r="C230" s="52" t="s">
        <v>175</v>
      </c>
      <c r="D230" s="4" t="s">
        <v>120</v>
      </c>
      <c r="E230" s="5" t="s">
        <v>3</v>
      </c>
      <c r="F230" s="24">
        <v>45702</v>
      </c>
      <c r="G230" s="7" t="s">
        <v>113</v>
      </c>
      <c r="H230" s="25">
        <f t="shared" si="21"/>
        <v>1</v>
      </c>
      <c r="I230" s="67">
        <v>4121</v>
      </c>
      <c r="J230" s="8" t="s">
        <v>115</v>
      </c>
      <c r="K230" s="9" t="s">
        <v>121</v>
      </c>
      <c r="L230" s="10" t="s">
        <v>117</v>
      </c>
      <c r="M230" s="11">
        <v>80</v>
      </c>
      <c r="N230" s="12" t="s">
        <v>125</v>
      </c>
      <c r="O230" s="6">
        <v>45716</v>
      </c>
      <c r="P230" s="109">
        <v>3328</v>
      </c>
      <c r="Q230" s="14" t="s">
        <v>85</v>
      </c>
      <c r="R230" s="15">
        <f>80/8</f>
        <v>10</v>
      </c>
      <c r="S230" s="56">
        <f>3160.8/11</f>
        <v>287.34545454545457</v>
      </c>
      <c r="T230" s="15">
        <f>DATA[[#This Row],[C. DF]]+DATA[[#This Row],[C.OPE.]]</f>
        <v>297.34545454545457</v>
      </c>
      <c r="U230" s="15">
        <f>DATA[[#This Row],[SUB TOTAL]]*0.18</f>
        <v>53.522181818181821</v>
      </c>
      <c r="V230" s="15">
        <f>IFERROR(ROUND(DATA[[#This Row],[SUB TOTAL]]+DATA[[#This Row],[IGV]],2),0)</f>
        <v>350.87</v>
      </c>
      <c r="W230" s="16" t="str">
        <f>IF(DATA[[#This Row],[VALORIZACIÓN ]]="-","NO CORRESPONDE",IF(OR(A230=20558226979,A230=10470707866,A230=20111157058,A230=20100226902),"NO CORRESPONDE",IF(J230="Emitida",IF(P230&gt;0,"EMITIDA","PENDIENTE"),"NO CORRESPONDE")))</f>
        <v>EMITIDA</v>
      </c>
      <c r="X230" s="29"/>
      <c r="Y230" s="17" t="s">
        <v>118</v>
      </c>
      <c r="Z230" s="30">
        <v>45730</v>
      </c>
      <c r="AA230" s="20" t="s">
        <v>119</v>
      </c>
      <c r="AB230" s="19">
        <v>24</v>
      </c>
      <c r="AC230" s="20">
        <v>0</v>
      </c>
      <c r="AD230" s="18">
        <f>DATA[[#This Row],[FECHA DE EMISION]]+DATA[[#This Row],[CONDICION DE PAGO]]</f>
        <v>45730</v>
      </c>
      <c r="AE230" s="23">
        <f>IF(DATA[[#This Row],[MONEDA]]="USD",VLOOKUP(DATA[[#This Row],[COMBINADA]],#REF!,11,0),1)</f>
        <v>1</v>
      </c>
      <c r="AF230" s="39" t="str">
        <f>IF(DATA[[#This Row],[SERIE2]]="-","NO CORRESPONDE",IF(W230="NO CORRESPONDE","NO CORRESPONDE",IF(Z230&gt;0,"FACTURADO","PENDIENTE")))</f>
        <v>FACTURADO</v>
      </c>
      <c r="AG230" s="27">
        <f>IFERROR(VLOOKUP(DATA[[#This Row],[COMBINADA]],#REF!,6,0),0)</f>
        <v>0</v>
      </c>
      <c r="AH230" s="125">
        <f>IFERROR(VLOOKUP(DATA[[#This Row],[COMBINADA]],#REF!,9,0),0)/COUNTIFS(DATA[COMBINADA],DATA[[#This Row],[COMBINADA]])</f>
        <v>0</v>
      </c>
      <c r="AI230" s="27">
        <f>IFERROR(VLOOKUP(DATA[[#This Row],[COMBINADA]],#REF!,6,0),0)</f>
        <v>0</v>
      </c>
      <c r="AJ230" s="125">
        <f>IFERROR(VLOOKUP(DATA[[#This Row],[COMBINADA]],#REF!,9,0),0)/COUNTIFS(DATA[COMBINADA],DATA[[#This Row],[COMBINADA]])</f>
        <v>0</v>
      </c>
      <c r="AK230" s="27">
        <f>IFERROR(VLOOKUP(DATA[[#This Row],[COMBINADA]],#REF!,6,0),0)</f>
        <v>0</v>
      </c>
      <c r="AL230" s="125">
        <f>IFERROR(VLOOKUP(DATA[[#This Row],[COMBINADA]],#REF!,9,0),0)/COUNTIFS(DATA[COMBINADA],DATA[[#This Row],[COMBINADA]])</f>
        <v>0</v>
      </c>
      <c r="AM230" s="27">
        <f>IFERROR(VLOOKUP(DATA[[#This Row],[COMBINADA]],#REF!,6,0),0)</f>
        <v>0</v>
      </c>
      <c r="AN230" s="125">
        <f>IFERROR(VLOOKUP(DATA[[#This Row],[COMBINADA]],#REF!,9,0),0)/COUNTIFS(DATA[COMBINADA],DATA[[#This Row],[COMBINADA]])</f>
        <v>0</v>
      </c>
      <c r="AO230" s="27">
        <f>IFERROR(VLOOKUP(DATA[[#This Row],[COMBINADA]],#REF!,6,0),0)</f>
        <v>0</v>
      </c>
      <c r="AP230" s="125">
        <f>IFERROR(VLOOKUP(DATA[[#This Row],[COMBINADA]],#REF!,9,0),0)/COUNTIFS(DATA[COMBINADA],DATA[[#This Row],[COMBINADA]])</f>
        <v>0</v>
      </c>
      <c r="AQ23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395.92454545454547</v>
      </c>
      <c r="AR230" s="26" t="str">
        <f>IFERROR(IF(DATA[[#This Row],[estado_fact]]="FACTURADO",VLOOKUP(DATA[[#This Row],[SERIE2]]&amp;"-"&amp;DATA[[#This Row],[NUMERO]],#REF!,34,0),"NO CORRESPONDE"),"NO CORRESPONDE")</f>
        <v>NO CORRESPONDE</v>
      </c>
      <c r="AS230" s="65" t="str">
        <f>IF(DATA[[#This Row],[fecha_fs]]&gt;0,TEXT(DATA[[#This Row],[fecha_fs]],"Mmmm"),0)</f>
        <v>Febrero</v>
      </c>
      <c r="AT230" s="22" t="str">
        <f>DATA[[#This Row],[SERIE2]]&amp;"-"&amp;DATA[[#This Row],[NUMERO]]</f>
        <v>E001-24</v>
      </c>
      <c r="AU230" s="28">
        <f>DATA[[#This Row],[TOTAL]]*DATA[[#This Row],[T.C.]]</f>
        <v>350.87</v>
      </c>
      <c r="AV230" s="6">
        <f>DATA[[#This Row],[FECHA DE VAL.]]</f>
        <v>45716</v>
      </c>
      <c r="AW230" s="6">
        <f>DATA[[#This Row],[FECHA DE EMISION]]</f>
        <v>45730</v>
      </c>
      <c r="AX230" s="6">
        <f>DATA[[#This Row],[F1]]</f>
        <v>0</v>
      </c>
      <c r="AY230" s="20">
        <f>IF(AV230-DATA[[#This Row],[fecha_fs]]&lt;0,0,AV230-DATA[[#This Row],[fecha_fs]])</f>
        <v>14</v>
      </c>
      <c r="AZ230" s="20">
        <f t="shared" si="22"/>
        <v>14</v>
      </c>
      <c r="BA230" s="20">
        <f t="shared" si="23"/>
        <v>0</v>
      </c>
      <c r="BB230" s="195">
        <f>IFERROR(SUM(DATA[[#This Row],[fs_val_ttf]:[fact_pago_ttf]]),0)</f>
        <v>28</v>
      </c>
      <c r="BC230" s="185">
        <v>45729</v>
      </c>
      <c r="BD230" s="185">
        <v>45735</v>
      </c>
      <c r="BE230" s="185">
        <v>45740</v>
      </c>
      <c r="BF230" s="185">
        <v>45759</v>
      </c>
      <c r="BG230" s="20">
        <f>IFERROR(IF(BC230-DATA[[#This Row],[fecha_fs]]&lt;0,0,BC230-DATA[[#This Row],[fecha_fs]]),0)</f>
        <v>27</v>
      </c>
      <c r="BH230" s="20">
        <f t="shared" si="24"/>
        <v>6</v>
      </c>
      <c r="BI230" s="20">
        <f t="shared" si="25"/>
        <v>5</v>
      </c>
      <c r="BJ230" s="20">
        <f t="shared" si="26"/>
        <v>19</v>
      </c>
      <c r="BK230" s="218">
        <f>IFERROR(SUM(DATA[[#This Row],[fs_fd_ttd]:[fend_fenf_ttd]]),0)</f>
        <v>57</v>
      </c>
      <c r="BL230" s="20" t="str">
        <f>IF(DATA[[#This Row],[fecha_fs]]&gt;0,TEXT(DATA[[#This Row],[fecha_fs]],"YYYY"),0)</f>
        <v>2025</v>
      </c>
      <c r="BM230" s="221" t="b">
        <v>0</v>
      </c>
      <c r="BN230" s="278">
        <f>COUNTIF(DATA[[#This Row],[tiempo_td]], "&lt;=15")</f>
        <v>0</v>
      </c>
      <c r="BO230" s="222"/>
    </row>
    <row r="231" spans="1:67" ht="30" customHeight="1" x14ac:dyDescent="0.25">
      <c r="A231" s="4"/>
      <c r="B231" s="5" t="s">
        <v>0</v>
      </c>
      <c r="C231" s="52"/>
      <c r="D231" s="4"/>
      <c r="E231" s="5" t="s">
        <v>0</v>
      </c>
      <c r="F231" s="24">
        <v>45702</v>
      </c>
      <c r="G231" s="7" t="s">
        <v>113</v>
      </c>
      <c r="H231" s="25">
        <f t="shared" si="21"/>
        <v>1</v>
      </c>
      <c r="I231" s="67">
        <v>4122</v>
      </c>
      <c r="J231" s="8" t="s">
        <v>151</v>
      </c>
      <c r="K231" s="9"/>
      <c r="L231" s="10"/>
      <c r="M231" s="111"/>
      <c r="N231" s="112"/>
      <c r="O231" s="6"/>
      <c r="P231" s="13" t="s">
        <v>114</v>
      </c>
      <c r="Q231" s="14"/>
      <c r="R231" s="43"/>
      <c r="S231" s="43"/>
      <c r="T231" s="43">
        <f>DATA[[#This Row],[C. DF]]+DATA[[#This Row],[C.OPE.]]</f>
        <v>0</v>
      </c>
      <c r="U231" s="73">
        <f>DATA[[#This Row],[SUB TOTAL]]*0.18</f>
        <v>0</v>
      </c>
      <c r="V231" s="45">
        <f>IFERROR(ROUND(DATA[[#This Row],[SUB TOTAL]]+DATA[[#This Row],[IGV]],2),0)</f>
        <v>0</v>
      </c>
      <c r="W231" s="58" t="str">
        <f>IF(DATA[[#This Row],[VALORIZACIÓN ]]="-","NO CORRESPONDE",IF(OR(A231=20558226979,A231=10470707866,A231=20111157058,A231=20100226902),"NO CORRESPONDE",IF(J231="Emitida",IF(P231&gt;0,"EMITIDA","PENDIENTE"),"NO CORRESPONDE")))</f>
        <v>NO CORRESPONDE</v>
      </c>
      <c r="X231" s="46"/>
      <c r="Y231" s="17" t="s">
        <v>128</v>
      </c>
      <c r="Z231" s="48"/>
      <c r="AA231" s="49"/>
      <c r="AB231" s="50"/>
      <c r="AC231" s="51"/>
      <c r="AD231" s="59">
        <f>DATA[[#This Row],[FECHA DE EMISION]]+DATA[[#This Row],[CONDICION DE PAGO]]</f>
        <v>0</v>
      </c>
      <c r="AE231" s="23">
        <f>IF(DATA[[#This Row],[MONEDA]]="USD",VLOOKUP(DATA[[#This Row],[COMBINADA]],#REF!,11,0),1)</f>
        <v>1</v>
      </c>
      <c r="AF231" s="39" t="str">
        <f>IF(DATA[[#This Row],[SERIE2]]="-","NO CORRESPONDE",IF(W231="NO CORRESPONDE","NO CORRESPONDE",IF(Z231&gt;0,"FACTURADO","PENDIENTE")))</f>
        <v>NO CORRESPONDE</v>
      </c>
      <c r="AG231" s="61">
        <f>IFERROR(VLOOKUP(DATA[[#This Row],[COMBINADA]],#REF!,6,0),0)</f>
        <v>0</v>
      </c>
      <c r="AH231" s="62">
        <f>IFERROR(VLOOKUP(DATA[[#This Row],[COMBINADA]],#REF!,9,0),0)/COUNTIFS(DATA[COMBINADA],DATA[[#This Row],[COMBINADA]])</f>
        <v>0</v>
      </c>
      <c r="AI231" s="61">
        <f>IFERROR(VLOOKUP(DATA[[#This Row],[COMBINADA]],#REF!,6,0),0)</f>
        <v>0</v>
      </c>
      <c r="AJ231" s="62">
        <f>IFERROR(VLOOKUP(DATA[[#This Row],[COMBINADA]],#REF!,9,0),0)/COUNTIFS(DATA[COMBINADA],DATA[[#This Row],[COMBINADA]])</f>
        <v>0</v>
      </c>
      <c r="AK231" s="61">
        <f>IFERROR(VLOOKUP(DATA[[#This Row],[COMBINADA]],#REF!,6,0),0)</f>
        <v>0</v>
      </c>
      <c r="AL231" s="62">
        <f>IFERROR(VLOOKUP(DATA[[#This Row],[COMBINADA]],#REF!,9,0),0)/COUNTIFS(DATA[COMBINADA],DATA[[#This Row],[COMBINADA]])</f>
        <v>0</v>
      </c>
      <c r="AM231" s="61">
        <f>IFERROR(VLOOKUP(DATA[[#This Row],[COMBINADA]],#REF!,6,0),0)</f>
        <v>0</v>
      </c>
      <c r="AN231" s="62">
        <f>IFERROR(VLOOKUP(DATA[[#This Row],[COMBINADA]],#REF!,9,0),0)/COUNTIFS(DATA[COMBINADA],DATA[[#This Row],[COMBINADA]])</f>
        <v>0</v>
      </c>
      <c r="AO231" s="61">
        <f>IFERROR(VLOOKUP(DATA[[#This Row],[COMBINADA]],#REF!,6,0),0)</f>
        <v>0</v>
      </c>
      <c r="AP231" s="62">
        <f>IFERROR(VLOOKUP(DATA[[#This Row],[COMBINADA]],#REF!,9,0),0)/COUNTIFS(DATA[COMBINADA],DATA[[#This Row],[COMBINADA]])</f>
        <v>0</v>
      </c>
      <c r="AQ231"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231" s="22" t="str">
        <f>IFERROR(IF(DATA[[#This Row],[estado_fact]]="FACTURADO",VLOOKUP(DATA[[#This Row],[SERIE2]]&amp;"-"&amp;DATA[[#This Row],[NUMERO]],#REF!,34,0),"NO CORRESPONDE"),"NO CORRESPONDE")</f>
        <v>NO CORRESPONDE</v>
      </c>
      <c r="AS231" s="198" t="str">
        <f>IF(DATA[[#This Row],[fecha_fs]]&gt;0,TEXT(DATA[[#This Row],[fecha_fs]],"Mmmm"),0)</f>
        <v>Febrero</v>
      </c>
      <c r="AT231" s="199" t="str">
        <f>DATA[[#This Row],[SERIE2]]&amp;"-"&amp;DATA[[#This Row],[NUMERO]]</f>
        <v>-</v>
      </c>
      <c r="AU231" s="198">
        <f>DATA[[#This Row],[TOTAL]]*DATA[[#This Row],[T.C.]]</f>
        <v>0</v>
      </c>
      <c r="AV231" s="40">
        <f>DATA[[#This Row],[FECHA DE VAL.]]</f>
        <v>0</v>
      </c>
      <c r="AW231" s="40">
        <f>DATA[[#This Row],[FECHA DE EMISION]]</f>
        <v>0</v>
      </c>
      <c r="AX231" s="40">
        <f>DATA[[#This Row],[F1]]</f>
        <v>0</v>
      </c>
      <c r="AY231" s="49">
        <f>IF(AV231-DATA[[#This Row],[fecha_fs]]&lt;0,0,AV231-DATA[[#This Row],[fecha_fs]])</f>
        <v>0</v>
      </c>
      <c r="AZ231" s="49">
        <f t="shared" si="22"/>
        <v>0</v>
      </c>
      <c r="BA231" s="49">
        <f t="shared" si="23"/>
        <v>0</v>
      </c>
      <c r="BB231" s="195">
        <f>IFERROR(SUM(DATA[[#This Row],[fs_val_ttf]:[fact_pago_ttf]]),0)</f>
        <v>0</v>
      </c>
      <c r="BC231" s="200"/>
      <c r="BD231" s="200"/>
      <c r="BE231" s="200"/>
      <c r="BF231" s="200"/>
      <c r="BG231" s="49">
        <f>IFERROR(IF(BC231-DATA[[#This Row],[fecha_fs]]&lt;0,0,BC231-DATA[[#This Row],[fecha_fs]]),0)</f>
        <v>0</v>
      </c>
      <c r="BH231" s="49">
        <f t="shared" si="24"/>
        <v>0</v>
      </c>
      <c r="BI231" s="49">
        <f t="shared" si="25"/>
        <v>0</v>
      </c>
      <c r="BJ231" s="49">
        <f t="shared" si="26"/>
        <v>0</v>
      </c>
      <c r="BK231" s="218">
        <f>IFERROR(SUM(DATA[[#This Row],[fs_fd_ttd]:[fend_fenf_ttd]]),0)</f>
        <v>0</v>
      </c>
      <c r="BL231" s="20" t="str">
        <f>IF(DATA[[#This Row],[fecha_fs]]&gt;0,TEXT(DATA[[#This Row],[fecha_fs]],"YYYY"),0)</f>
        <v>2025</v>
      </c>
      <c r="BM231" s="221" t="b">
        <v>0</v>
      </c>
      <c r="BN231" s="278"/>
      <c r="BO231" s="222"/>
    </row>
    <row r="232" spans="1:67" ht="30.6" customHeight="1" x14ac:dyDescent="0.25">
      <c r="A232" s="4">
        <v>20100211115</v>
      </c>
      <c r="B232" s="5" t="s">
        <v>41</v>
      </c>
      <c r="C232" s="52" t="s">
        <v>18</v>
      </c>
      <c r="D232" s="4" t="s">
        <v>112</v>
      </c>
      <c r="E232" s="5" t="s">
        <v>1</v>
      </c>
      <c r="F232" s="24">
        <v>45702</v>
      </c>
      <c r="G232" s="7" t="s">
        <v>113</v>
      </c>
      <c r="H232" s="25">
        <f t="shared" si="21"/>
        <v>1</v>
      </c>
      <c r="I232" s="67">
        <v>4123</v>
      </c>
      <c r="J232" s="8" t="s">
        <v>115</v>
      </c>
      <c r="K232" s="9" t="s">
        <v>116</v>
      </c>
      <c r="L232" s="10" t="s">
        <v>117</v>
      </c>
      <c r="M232" s="11">
        <v>7</v>
      </c>
      <c r="N232" s="12" t="s">
        <v>125</v>
      </c>
      <c r="O232" s="6">
        <v>45716</v>
      </c>
      <c r="P232" s="115">
        <v>3327</v>
      </c>
      <c r="Q232" s="14" t="s">
        <v>85</v>
      </c>
      <c r="R232" s="15"/>
      <c r="S232" s="15">
        <f>(DATA[[#This Row],[cantidad_fs]]*4.57)</f>
        <v>31.990000000000002</v>
      </c>
      <c r="T232" s="15">
        <f>DATA[[#This Row],[C. DF]]+DATA[[#This Row],[C.OPE.]]</f>
        <v>31.990000000000002</v>
      </c>
      <c r="U232" s="15">
        <f>DATA[[#This Row],[SUB TOTAL]]*0.18</f>
        <v>5.7582000000000004</v>
      </c>
      <c r="V232" s="15">
        <f>IFERROR(ROUND(DATA[[#This Row],[SUB TOTAL]]+DATA[[#This Row],[IGV]],2),0)</f>
        <v>37.75</v>
      </c>
      <c r="W232" s="16" t="str">
        <f>IF(DATA[[#This Row],[VALORIZACIÓN ]]="-","NO CORRESPONDE",IF(OR(A232=20558226979,A232=10470707866,A232=20111157058,A232=20100226902),"NO CORRESPONDE",IF(J232="Emitida",IF(P232&gt;0,"EMITIDA","PENDIENTE"),"NO CORRESPONDE")))</f>
        <v>EMITIDA</v>
      </c>
      <c r="X232" s="29"/>
      <c r="Y232" s="17" t="s">
        <v>118</v>
      </c>
      <c r="Z232" s="30">
        <v>45722</v>
      </c>
      <c r="AA232" s="10" t="s">
        <v>124</v>
      </c>
      <c r="AB232" s="19">
        <v>590</v>
      </c>
      <c r="AC232" s="20">
        <v>30</v>
      </c>
      <c r="AD232" s="18">
        <f>DATA[[#This Row],[FECHA DE EMISION]]+DATA[[#This Row],[CONDICION DE PAGO]]</f>
        <v>45752</v>
      </c>
      <c r="AE232" s="23">
        <f>IF(DATA[[#This Row],[MONEDA]]="USD",VLOOKUP(DATA[[#This Row],[COMBINADA]],#REF!,11,0),1)</f>
        <v>1</v>
      </c>
      <c r="AF232" s="39" t="str">
        <f>IF(DATA[[#This Row],[SERIE2]]="-","NO CORRESPONDE",IF(W232="NO CORRESPONDE","NO CORRESPONDE",IF(Z232&gt;0,"FACTURADO","PENDIENTE")))</f>
        <v>FACTURADO</v>
      </c>
      <c r="AG232" s="27">
        <f>IFERROR(VLOOKUP(DATA[[#This Row],[COMBINADA]],#REF!,6,0),0)</f>
        <v>0</v>
      </c>
      <c r="AH232" s="125">
        <f>IFERROR(VLOOKUP(DATA[[#This Row],[COMBINADA]],#REF!,9,0),0)/COUNTIFS(DATA[COMBINADA],DATA[[#This Row],[COMBINADA]])</f>
        <v>0</v>
      </c>
      <c r="AI232" s="27">
        <f>IFERROR(VLOOKUP(DATA[[#This Row],[COMBINADA]],#REF!,6,0),0)</f>
        <v>0</v>
      </c>
      <c r="AJ232" s="125">
        <f>IFERROR(VLOOKUP(DATA[[#This Row],[COMBINADA]],#REF!,9,0),0)/COUNTIFS(DATA[COMBINADA],DATA[[#This Row],[COMBINADA]])</f>
        <v>0</v>
      </c>
      <c r="AK232" s="27">
        <f>IFERROR(VLOOKUP(DATA[[#This Row],[COMBINADA]],#REF!,6,0),0)</f>
        <v>0</v>
      </c>
      <c r="AL232" s="125">
        <f>IFERROR(VLOOKUP(DATA[[#This Row],[COMBINADA]],#REF!,9,0),0)/COUNTIFS(DATA[COMBINADA],DATA[[#This Row],[COMBINADA]])</f>
        <v>0</v>
      </c>
      <c r="AM232" s="27">
        <f>IFERROR(VLOOKUP(DATA[[#This Row],[COMBINADA]],#REF!,6,0),0)</f>
        <v>0</v>
      </c>
      <c r="AN232" s="125">
        <f>IFERROR(VLOOKUP(DATA[[#This Row],[COMBINADA]],#REF!,9,0),0)/COUNTIFS(DATA[COMBINADA],DATA[[#This Row],[COMBINADA]])</f>
        <v>0</v>
      </c>
      <c r="AO232" s="27">
        <f>IFERROR(VLOOKUP(DATA[[#This Row],[COMBINADA]],#REF!,6,0),0)</f>
        <v>0</v>
      </c>
      <c r="AP232" s="125">
        <f>IFERROR(VLOOKUP(DATA[[#This Row],[COMBINADA]],#REF!,9,0),0)/COUNTIFS(DATA[COMBINADA],DATA[[#This Row],[COMBINADA]])</f>
        <v>0</v>
      </c>
      <c r="AQ23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75.496666666666655</v>
      </c>
      <c r="AR232" s="26" t="str">
        <f>IFERROR(IF(DATA[[#This Row],[estado_fact]]="FACTURADO",VLOOKUP(DATA[[#This Row],[SERIE2]]&amp;"-"&amp;DATA[[#This Row],[NUMERO]],#REF!,34,0),"NO CORRESPONDE"),"NO CORRESPONDE")</f>
        <v>NO CORRESPONDE</v>
      </c>
      <c r="AS232" s="65" t="str">
        <f>IF(DATA[[#This Row],[fecha_fs]]&gt;0,TEXT(DATA[[#This Row],[fecha_fs]],"Mmmm"),0)</f>
        <v>Febrero</v>
      </c>
      <c r="AT232" s="22" t="str">
        <f>DATA[[#This Row],[SERIE2]]&amp;"-"&amp;DATA[[#This Row],[NUMERO]]</f>
        <v>FE01-590</v>
      </c>
      <c r="AU232" s="28">
        <f>DATA[[#This Row],[TOTAL]]*DATA[[#This Row],[T.C.]]</f>
        <v>37.75</v>
      </c>
      <c r="AV232" s="6">
        <f>DATA[[#This Row],[FECHA DE VAL.]]</f>
        <v>45716</v>
      </c>
      <c r="AW232" s="6">
        <f>DATA[[#This Row],[FECHA DE EMISION]]</f>
        <v>45722</v>
      </c>
      <c r="AX232" s="6">
        <f>DATA[[#This Row],[F1]]</f>
        <v>0</v>
      </c>
      <c r="AY232" s="20">
        <f>IF(AV232-DATA[[#This Row],[fecha_fs]]&lt;0,0,AV232-DATA[[#This Row],[fecha_fs]])</f>
        <v>14</v>
      </c>
      <c r="AZ232" s="20">
        <f t="shared" si="22"/>
        <v>6</v>
      </c>
      <c r="BA232" s="20">
        <f t="shared" si="23"/>
        <v>0</v>
      </c>
      <c r="BB232" s="195">
        <f>IFERROR(SUM(DATA[[#This Row],[fs_val_ttf]:[fact_pago_ttf]]),0)</f>
        <v>20</v>
      </c>
      <c r="BC232" s="185">
        <v>45730</v>
      </c>
      <c r="BD232" s="185">
        <v>45743</v>
      </c>
      <c r="BE232" s="185">
        <v>45740</v>
      </c>
      <c r="BF232" s="185">
        <v>45749</v>
      </c>
      <c r="BG232" s="20">
        <f>IFERROR(IF(BC232-DATA[[#This Row],[fecha_fs]]&lt;0,0,BC232-DATA[[#This Row],[fecha_fs]]),0)</f>
        <v>28</v>
      </c>
      <c r="BH232" s="20">
        <f t="shared" si="24"/>
        <v>13</v>
      </c>
      <c r="BI232" s="20">
        <f t="shared" si="25"/>
        <v>0</v>
      </c>
      <c r="BJ232" s="20">
        <f t="shared" si="26"/>
        <v>9</v>
      </c>
      <c r="BK232" s="218">
        <f>IFERROR(SUM(DATA[[#This Row],[fs_fd_ttd]:[fend_fenf_ttd]]),0)</f>
        <v>50</v>
      </c>
      <c r="BL232" s="20" t="str">
        <f>IF(DATA[[#This Row],[fecha_fs]]&gt;0,TEXT(DATA[[#This Row],[fecha_fs]],"YYYY"),0)</f>
        <v>2025</v>
      </c>
      <c r="BM232" s="221" t="b">
        <v>1</v>
      </c>
      <c r="BN232" s="278">
        <f>COUNTIF(DATA[[#This Row],[tiempo_td]], "&lt;=15")</f>
        <v>0</v>
      </c>
      <c r="BO232" s="222"/>
    </row>
    <row r="233" spans="1:67" ht="30.6" customHeight="1" x14ac:dyDescent="0.25">
      <c r="A233" s="4">
        <v>20100226902</v>
      </c>
      <c r="B233" s="5" t="s">
        <v>24</v>
      </c>
      <c r="C233" s="52" t="s">
        <v>18</v>
      </c>
      <c r="D233" s="4" t="s">
        <v>120</v>
      </c>
      <c r="E233" s="5" t="s">
        <v>3</v>
      </c>
      <c r="F233" s="24">
        <v>45702</v>
      </c>
      <c r="G233" s="7" t="s">
        <v>113</v>
      </c>
      <c r="H233" s="25">
        <f t="shared" si="21"/>
        <v>1</v>
      </c>
      <c r="I233" s="67">
        <v>4124</v>
      </c>
      <c r="J233" s="8" t="s">
        <v>115</v>
      </c>
      <c r="K233" s="9" t="s">
        <v>121</v>
      </c>
      <c r="L233" s="10" t="s">
        <v>117</v>
      </c>
      <c r="M233" s="11">
        <v>950</v>
      </c>
      <c r="N233" s="12" t="s">
        <v>127</v>
      </c>
      <c r="O233" s="40"/>
      <c r="P233" s="41" t="s">
        <v>114</v>
      </c>
      <c r="Q233" s="42"/>
      <c r="R233" s="43"/>
      <c r="S233" s="43"/>
      <c r="T233" s="43">
        <f>DATA[[#This Row],[C. DF]]+DATA[[#This Row],[C.OPE.]]</f>
        <v>0</v>
      </c>
      <c r="U233" s="43">
        <f>DATA[[#This Row],[SUB TOTAL]]*0.18</f>
        <v>0</v>
      </c>
      <c r="V233" s="43">
        <f>IFERROR(ROUND(DATA[[#This Row],[SUB TOTAL]]+DATA[[#This Row],[IGV]],2),0)</f>
        <v>0</v>
      </c>
      <c r="W233" s="58" t="str">
        <f>IF(DATA[[#This Row],[VALORIZACIÓN ]]="-","NO CORRESPONDE",IF(OR(A233=20558226979,A233=10470707866,A233=20111157058,A233=20100226902),"NO CORRESPONDE",IF(J233="Emitida",IF(P233&gt;0,"EMITIDA","PENDIENTE"),"NO CORRESPONDE")))</f>
        <v>NO CORRESPONDE</v>
      </c>
      <c r="X233" s="45"/>
      <c r="Y233" s="58" t="s">
        <v>128</v>
      </c>
      <c r="Z233" s="46"/>
      <c r="AA233" s="47"/>
      <c r="AB233" s="48"/>
      <c r="AC233" s="49"/>
      <c r="AD233" s="50">
        <f>DATA[[#This Row],[FECHA DE EMISION]]+DATA[[#This Row],[CONDICION DE PAGO]]</f>
        <v>0</v>
      </c>
      <c r="AE233" s="23">
        <f>IF(DATA[[#This Row],[MONEDA]]="USD",VLOOKUP(DATA[[#This Row],[COMBINADA]],#REF!,11,0),1)</f>
        <v>1</v>
      </c>
      <c r="AF233" s="39" t="str">
        <f>IF(DATA[[#This Row],[SERIE2]]="-","NO CORRESPONDE",IF(W233="NO CORRESPONDE","NO CORRESPONDE",IF(Z233&gt;0,"FACTURADO","PENDIENTE")))</f>
        <v>NO CORRESPONDE</v>
      </c>
      <c r="AG233" s="60">
        <f>IFERROR(VLOOKUP(DATA[[#This Row],[COMBINADA]],#REF!,6,0),0)</f>
        <v>0</v>
      </c>
      <c r="AH233" s="126">
        <f>IFERROR(VLOOKUP(DATA[[#This Row],[COMBINADA]],#REF!,9,0),0)/COUNTIFS(DATA[COMBINADA],DATA[[#This Row],[COMBINADA]])</f>
        <v>0</v>
      </c>
      <c r="AI233" s="60">
        <f>IFERROR(VLOOKUP(DATA[[#This Row],[COMBINADA]],#REF!,6,0),0)</f>
        <v>0</v>
      </c>
      <c r="AJ233" s="126">
        <f>IFERROR(VLOOKUP(DATA[[#This Row],[COMBINADA]],#REF!,9,0),0)/COUNTIFS(DATA[COMBINADA],DATA[[#This Row],[COMBINADA]])</f>
        <v>0</v>
      </c>
      <c r="AK233" s="60">
        <f>IFERROR(VLOOKUP(DATA[[#This Row],[COMBINADA]],#REF!,6,0),0)</f>
        <v>0</v>
      </c>
      <c r="AL233" s="126">
        <f>IFERROR(VLOOKUP(DATA[[#This Row],[COMBINADA]],#REF!,9,0),0)/COUNTIFS(DATA[COMBINADA],DATA[[#This Row],[COMBINADA]])</f>
        <v>0</v>
      </c>
      <c r="AM233" s="60">
        <f>IFERROR(VLOOKUP(DATA[[#This Row],[COMBINADA]],#REF!,6,0),0)</f>
        <v>0</v>
      </c>
      <c r="AN233" s="126">
        <f>IFERROR(VLOOKUP(DATA[[#This Row],[COMBINADA]],#REF!,9,0),0)/COUNTIFS(DATA[COMBINADA],DATA[[#This Row],[COMBINADA]])</f>
        <v>0</v>
      </c>
      <c r="AO233" s="60">
        <f>IFERROR(VLOOKUP(DATA[[#This Row],[COMBINADA]],#REF!,6,0),0)</f>
        <v>0</v>
      </c>
      <c r="AP233" s="126">
        <f>IFERROR(VLOOKUP(DATA[[#This Row],[COMBINADA]],#REF!,9,0),0)/COUNTIFS(DATA[COMBINADA],DATA[[#This Row],[COMBINADA]])</f>
        <v>0</v>
      </c>
      <c r="AQ233"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233" s="22" t="str">
        <f>IFERROR(IF(DATA[[#This Row],[estado_fact]]="FACTURADO",VLOOKUP(DATA[[#This Row],[SERIE2]]&amp;"-"&amp;DATA[[#This Row],[NUMERO]],#REF!,34,0),"NO CORRESPONDE"),"NO CORRESPONDE")</f>
        <v>NO CORRESPONDE</v>
      </c>
      <c r="AS233" s="65" t="str">
        <f>IF(DATA[[#This Row],[fecha_fs]]&gt;0,TEXT(DATA[[#This Row],[fecha_fs]],"Mmmm"),0)</f>
        <v>Febrero</v>
      </c>
      <c r="AT233" s="22" t="str">
        <f>DATA[[#This Row],[SERIE2]]&amp;"-"&amp;DATA[[#This Row],[NUMERO]]</f>
        <v>-</v>
      </c>
      <c r="AU233" s="28">
        <f>DATA[[#This Row],[TOTAL]]*DATA[[#This Row],[T.C.]]</f>
        <v>0</v>
      </c>
      <c r="AV233" s="6">
        <f>DATA[[#This Row],[FECHA DE VAL.]]</f>
        <v>0</v>
      </c>
      <c r="AW233" s="6">
        <f>DATA[[#This Row],[FECHA DE EMISION]]</f>
        <v>0</v>
      </c>
      <c r="AX233" s="6">
        <f>DATA[[#This Row],[F1]]</f>
        <v>0</v>
      </c>
      <c r="AY233" s="20">
        <f>IF(AV233-DATA[[#This Row],[fecha_fs]]&lt;0,0,AV233-DATA[[#This Row],[fecha_fs]])</f>
        <v>0</v>
      </c>
      <c r="AZ233" s="20">
        <f t="shared" si="22"/>
        <v>0</v>
      </c>
      <c r="BA233" s="20">
        <f t="shared" si="23"/>
        <v>0</v>
      </c>
      <c r="BB233" s="195">
        <f>IFERROR(SUM(DATA[[#This Row],[fs_val_ttf]:[fact_pago_ttf]]),0)</f>
        <v>0</v>
      </c>
      <c r="BC233" s="185">
        <v>45702</v>
      </c>
      <c r="BD233" s="185">
        <v>45702</v>
      </c>
      <c r="BE233" s="185">
        <v>45723</v>
      </c>
      <c r="BF233" s="185">
        <v>45723</v>
      </c>
      <c r="BG233" s="20">
        <f>IFERROR(IF(BC233-DATA[[#This Row],[fecha_fs]]&lt;0,0,BC233-DATA[[#This Row],[fecha_fs]]),0)</f>
        <v>0</v>
      </c>
      <c r="BH233" s="20">
        <f t="shared" si="24"/>
        <v>0</v>
      </c>
      <c r="BI233" s="20">
        <f t="shared" si="25"/>
        <v>21</v>
      </c>
      <c r="BJ233" s="20">
        <f t="shared" si="26"/>
        <v>0</v>
      </c>
      <c r="BK233" s="218">
        <f>IFERROR(SUM(DATA[[#This Row],[fs_fd_ttd]:[fend_fenf_ttd]]),0)</f>
        <v>21</v>
      </c>
      <c r="BL233" s="20" t="str">
        <f>IF(DATA[[#This Row],[fecha_fs]]&gt;0,TEXT(DATA[[#This Row],[fecha_fs]],"YYYY"),0)</f>
        <v>2025</v>
      </c>
      <c r="BM233" s="221" t="b">
        <v>1</v>
      </c>
      <c r="BN233" s="278">
        <f>COUNTIF(DATA[[#This Row],[tiempo_td]], "&lt;=15")</f>
        <v>0</v>
      </c>
      <c r="BO233" s="222"/>
    </row>
    <row r="234" spans="1:67" ht="30.6" customHeight="1" x14ac:dyDescent="0.25">
      <c r="A234" s="4">
        <v>20100192064</v>
      </c>
      <c r="B234" s="5" t="s">
        <v>60</v>
      </c>
      <c r="C234" s="52" t="s">
        <v>64</v>
      </c>
      <c r="D234" s="4" t="s">
        <v>112</v>
      </c>
      <c r="E234" s="5" t="s">
        <v>1</v>
      </c>
      <c r="F234" s="24">
        <v>45702</v>
      </c>
      <c r="G234" s="7" t="s">
        <v>113</v>
      </c>
      <c r="H234" s="25">
        <f t="shared" si="21"/>
        <v>1</v>
      </c>
      <c r="I234" s="67">
        <v>4125</v>
      </c>
      <c r="J234" s="8" t="s">
        <v>115</v>
      </c>
      <c r="K234" s="9" t="s">
        <v>136</v>
      </c>
      <c r="L234" s="10" t="s">
        <v>137</v>
      </c>
      <c r="M234" s="11">
        <v>22</v>
      </c>
      <c r="N234" s="12" t="s">
        <v>129</v>
      </c>
      <c r="O234" s="6">
        <v>45714</v>
      </c>
      <c r="P234" s="71">
        <v>3316</v>
      </c>
      <c r="Q234" s="14" t="s">
        <v>123</v>
      </c>
      <c r="R234" s="15">
        <f>DATA[[#This Row],[cantidad_fs]]*33.34</f>
        <v>733.48</v>
      </c>
      <c r="S234" s="74"/>
      <c r="T234" s="15">
        <f>DATA[[#This Row],[C. DF]]+DATA[[#This Row],[C.OPE.]]</f>
        <v>733.48</v>
      </c>
      <c r="U234" s="15">
        <f>DATA[[#This Row],[SUB TOTAL]]*0.18</f>
        <v>132.0264</v>
      </c>
      <c r="V234" s="15">
        <f>IFERROR(ROUND(DATA[[#This Row],[SUB TOTAL]]+DATA[[#This Row],[IGV]],2),0)</f>
        <v>865.51</v>
      </c>
      <c r="W234" s="16" t="str">
        <f>IF(DATA[[#This Row],[VALORIZACIÓN ]]="-","NO CORRESPONDE",IF(OR(A234=20558226979,A234=10470707866,A234=20111157058,A234=20100226902),"NO CORRESPONDE",IF(J234="Emitida",IF(P234&gt;0,"EMITIDA","PENDIENTE"),"NO CORRESPONDE")))</f>
        <v>EMITIDA</v>
      </c>
      <c r="X234" s="29"/>
      <c r="Y234" s="17" t="s">
        <v>118</v>
      </c>
      <c r="Z234" s="30">
        <v>45716</v>
      </c>
      <c r="AA234" s="10" t="s">
        <v>124</v>
      </c>
      <c r="AB234" s="19">
        <v>579</v>
      </c>
      <c r="AC234" s="20">
        <v>30</v>
      </c>
      <c r="AD234" s="18">
        <f>DATA[[#This Row],[FECHA DE EMISION]]+DATA[[#This Row],[CONDICION DE PAGO]]</f>
        <v>45746</v>
      </c>
      <c r="AE234" s="23" t="e">
        <f>IF(DATA[[#This Row],[MONEDA]]="USD",VLOOKUP(DATA[[#This Row],[COMBINADA]],#REF!,11,0),1)</f>
        <v>#REF!</v>
      </c>
      <c r="AF234" s="39" t="str">
        <f>IF(DATA[[#This Row],[SERIE2]]="-","NO CORRESPONDE",IF(W234="NO CORRESPONDE","NO CORRESPONDE",IF(Z234&gt;0,"FACTURADO","PENDIENTE")))</f>
        <v>FACTURADO</v>
      </c>
      <c r="AG234" s="27">
        <f>IFERROR(VLOOKUP(DATA[[#This Row],[COMBINADA]],#REF!,6,0),0)</f>
        <v>0</v>
      </c>
      <c r="AH234" s="125">
        <f>IFERROR(VLOOKUP(DATA[[#This Row],[COMBINADA]],#REF!,9,0),0)/COUNTIFS(DATA[COMBINADA],DATA[[#This Row],[COMBINADA]])</f>
        <v>0</v>
      </c>
      <c r="AI234" s="27">
        <f>IFERROR(VLOOKUP(DATA[[#This Row],[COMBINADA]],#REF!,6,0),0)</f>
        <v>0</v>
      </c>
      <c r="AJ234" s="125">
        <f>IFERROR(VLOOKUP(DATA[[#This Row],[COMBINADA]],#REF!,9,0),0)/COUNTIFS(DATA[COMBINADA],DATA[[#This Row],[COMBINADA]])</f>
        <v>0</v>
      </c>
      <c r="AK234" s="27">
        <f>IFERROR(VLOOKUP(DATA[[#This Row],[COMBINADA]],#REF!,6,0),0)</f>
        <v>0</v>
      </c>
      <c r="AL234" s="125">
        <f>IFERROR(VLOOKUP(DATA[[#This Row],[COMBINADA]],#REF!,9,0),0)/COUNTIFS(DATA[COMBINADA],DATA[[#This Row],[COMBINADA]])</f>
        <v>0</v>
      </c>
      <c r="AM234" s="27">
        <f>IFERROR(VLOOKUP(DATA[[#This Row],[COMBINADA]],#REF!,6,0),0)</f>
        <v>0</v>
      </c>
      <c r="AN234" s="125">
        <f>IFERROR(VLOOKUP(DATA[[#This Row],[COMBINADA]],#REF!,9,0),0)/COUNTIFS(DATA[COMBINADA],DATA[[#This Row],[COMBINADA]])</f>
        <v>0</v>
      </c>
      <c r="AO234" s="27">
        <f>IFERROR(VLOOKUP(DATA[[#This Row],[COMBINADA]],#REF!,6,0),0)</f>
        <v>0</v>
      </c>
      <c r="AP234" s="125">
        <f>IFERROR(VLOOKUP(DATA[[#This Row],[COMBINADA]],#REF!,9,0),0)/COUNTIFS(DATA[COMBINADA],DATA[[#This Row],[COMBINADA]])</f>
        <v>0</v>
      </c>
      <c r="AQ23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603.34285714285716</v>
      </c>
      <c r="AR234" s="26" t="str">
        <f>IFERROR(IF(DATA[[#This Row],[estado_fact]]="FACTURADO",VLOOKUP(DATA[[#This Row],[SERIE2]]&amp;"-"&amp;DATA[[#This Row],[NUMERO]],#REF!,34,0),"NO CORRESPONDE"),"NO CORRESPONDE")</f>
        <v>NO CORRESPONDE</v>
      </c>
      <c r="AS234" s="65" t="str">
        <f>IF(DATA[[#This Row],[fecha_fs]]&gt;0,TEXT(DATA[[#This Row],[fecha_fs]],"Mmmm"),0)</f>
        <v>Febrero</v>
      </c>
      <c r="AT234" s="22" t="str">
        <f>DATA[[#This Row],[SERIE2]]&amp;"-"&amp;DATA[[#This Row],[NUMERO]]</f>
        <v>FE01-579</v>
      </c>
      <c r="AU234" s="28" t="e">
        <f>DATA[[#This Row],[TOTAL]]*DATA[[#This Row],[T.C.]]</f>
        <v>#REF!</v>
      </c>
      <c r="AV234" s="6">
        <f>DATA[[#This Row],[FECHA DE VAL.]]</f>
        <v>45714</v>
      </c>
      <c r="AW234" s="6">
        <f>DATA[[#This Row],[FECHA DE EMISION]]</f>
        <v>45716</v>
      </c>
      <c r="AX234" s="6">
        <f>DATA[[#This Row],[F1]]</f>
        <v>0</v>
      </c>
      <c r="AY234" s="20">
        <f>IF(AV234-DATA[[#This Row],[fecha_fs]]&lt;0,0,AV234-DATA[[#This Row],[fecha_fs]])</f>
        <v>12</v>
      </c>
      <c r="AZ234" s="20">
        <f t="shared" si="22"/>
        <v>2</v>
      </c>
      <c r="BA234" s="20">
        <f t="shared" si="23"/>
        <v>0</v>
      </c>
      <c r="BB234" s="195">
        <f>IFERROR(SUM(DATA[[#This Row],[fs_val_ttf]:[fact_pago_ttf]]),0)</f>
        <v>14</v>
      </c>
      <c r="BC234" s="185">
        <v>45716</v>
      </c>
      <c r="BD234" s="185">
        <v>45751</v>
      </c>
      <c r="BE234" s="185">
        <v>45755</v>
      </c>
      <c r="BF234" s="185">
        <v>45760</v>
      </c>
      <c r="BG234" s="20">
        <f>IFERROR(IF(BC234-DATA[[#This Row],[fecha_fs]]&lt;0,0,BC234-DATA[[#This Row],[fecha_fs]]),0)</f>
        <v>14</v>
      </c>
      <c r="BH234" s="20">
        <f t="shared" si="24"/>
        <v>35</v>
      </c>
      <c r="BI234" s="20">
        <f t="shared" si="25"/>
        <v>4</v>
      </c>
      <c r="BJ234" s="20">
        <f t="shared" si="26"/>
        <v>5</v>
      </c>
      <c r="BK234" s="218">
        <f>IFERROR(SUM(DATA[[#This Row],[fs_fd_ttd]:[fend_fenf_ttd]]),0)</f>
        <v>58</v>
      </c>
      <c r="BL234" s="20" t="str">
        <f>IF(DATA[[#This Row],[fecha_fs]]&gt;0,TEXT(DATA[[#This Row],[fecha_fs]],"YYYY"),0)</f>
        <v>2025</v>
      </c>
      <c r="BM234" s="221" t="b">
        <v>1</v>
      </c>
      <c r="BN234" s="278">
        <f>COUNTIF(DATA[[#This Row],[tiempo_td]], "&lt;=15")</f>
        <v>0</v>
      </c>
      <c r="BO234" s="222"/>
    </row>
    <row r="235" spans="1:67" ht="30" customHeight="1" x14ac:dyDescent="0.25">
      <c r="A235" s="4"/>
      <c r="B235" s="5" t="s">
        <v>0</v>
      </c>
      <c r="C235" s="52"/>
      <c r="D235" s="4"/>
      <c r="E235" s="5" t="s">
        <v>0</v>
      </c>
      <c r="F235" s="24">
        <v>45705</v>
      </c>
      <c r="G235" s="7" t="s">
        <v>113</v>
      </c>
      <c r="H235" s="25">
        <f t="shared" si="21"/>
        <v>1</v>
      </c>
      <c r="I235" s="67">
        <v>4126</v>
      </c>
      <c r="J235" s="8" t="s">
        <v>151</v>
      </c>
      <c r="K235" s="9"/>
      <c r="L235" s="10"/>
      <c r="M235" s="111"/>
      <c r="N235" s="112"/>
      <c r="O235" s="6"/>
      <c r="P235" s="13" t="s">
        <v>114</v>
      </c>
      <c r="Q235" s="14"/>
      <c r="R235" s="43"/>
      <c r="S235" s="43"/>
      <c r="T235" s="43">
        <f>DATA[[#This Row],[C. DF]]+DATA[[#This Row],[C.OPE.]]</f>
        <v>0</v>
      </c>
      <c r="U235" s="73">
        <f>DATA[[#This Row],[SUB TOTAL]]*0.18</f>
        <v>0</v>
      </c>
      <c r="V235" s="45">
        <f>IFERROR(ROUND(DATA[[#This Row],[SUB TOTAL]]+DATA[[#This Row],[IGV]],2),0)</f>
        <v>0</v>
      </c>
      <c r="W235" s="58" t="str">
        <f>IF(DATA[[#This Row],[VALORIZACIÓN ]]="-","NO CORRESPONDE",IF(OR(A235=20558226979,A235=10470707866,A235=20111157058,A235=20100226902),"NO CORRESPONDE",IF(J235="Emitida",IF(P235&gt;0,"EMITIDA","PENDIENTE"),"NO CORRESPONDE")))</f>
        <v>NO CORRESPONDE</v>
      </c>
      <c r="X235" s="46"/>
      <c r="Y235" s="17" t="s">
        <v>128</v>
      </c>
      <c r="Z235" s="48"/>
      <c r="AA235" s="49"/>
      <c r="AB235" s="50"/>
      <c r="AC235" s="51"/>
      <c r="AD235" s="59">
        <f>DATA[[#This Row],[FECHA DE EMISION]]+DATA[[#This Row],[CONDICION DE PAGO]]</f>
        <v>0</v>
      </c>
      <c r="AE235" s="23">
        <f>IF(DATA[[#This Row],[MONEDA]]="USD",VLOOKUP(DATA[[#This Row],[COMBINADA]],#REF!,11,0),1)</f>
        <v>1</v>
      </c>
      <c r="AF235" s="39" t="str">
        <f>IF(DATA[[#This Row],[SERIE2]]="-","NO CORRESPONDE",IF(W235="NO CORRESPONDE","NO CORRESPONDE",IF(Z235&gt;0,"FACTURADO","PENDIENTE")))</f>
        <v>NO CORRESPONDE</v>
      </c>
      <c r="AG235" s="61">
        <f>IFERROR(VLOOKUP(DATA[[#This Row],[COMBINADA]],#REF!,6,0),0)</f>
        <v>0</v>
      </c>
      <c r="AH235" s="62">
        <f>IFERROR(VLOOKUP(DATA[[#This Row],[COMBINADA]],#REF!,9,0),0)/COUNTIFS(DATA[COMBINADA],DATA[[#This Row],[COMBINADA]])</f>
        <v>0</v>
      </c>
      <c r="AI235" s="61">
        <f>IFERROR(VLOOKUP(DATA[[#This Row],[COMBINADA]],#REF!,6,0),0)</f>
        <v>0</v>
      </c>
      <c r="AJ235" s="62">
        <f>IFERROR(VLOOKUP(DATA[[#This Row],[COMBINADA]],#REF!,9,0),0)/COUNTIFS(DATA[COMBINADA],DATA[[#This Row],[COMBINADA]])</f>
        <v>0</v>
      </c>
      <c r="AK235" s="61">
        <f>IFERROR(VLOOKUP(DATA[[#This Row],[COMBINADA]],#REF!,6,0),0)</f>
        <v>0</v>
      </c>
      <c r="AL235" s="62">
        <f>IFERROR(VLOOKUP(DATA[[#This Row],[COMBINADA]],#REF!,9,0),0)/COUNTIFS(DATA[COMBINADA],DATA[[#This Row],[COMBINADA]])</f>
        <v>0</v>
      </c>
      <c r="AM235" s="61">
        <f>IFERROR(VLOOKUP(DATA[[#This Row],[COMBINADA]],#REF!,6,0),0)</f>
        <v>0</v>
      </c>
      <c r="AN235" s="62">
        <f>IFERROR(VLOOKUP(DATA[[#This Row],[COMBINADA]],#REF!,9,0),0)/COUNTIFS(DATA[COMBINADA],DATA[[#This Row],[COMBINADA]])</f>
        <v>0</v>
      </c>
      <c r="AO235" s="61">
        <f>IFERROR(VLOOKUP(DATA[[#This Row],[COMBINADA]],#REF!,6,0),0)</f>
        <v>0</v>
      </c>
      <c r="AP235" s="62">
        <f>IFERROR(VLOOKUP(DATA[[#This Row],[COMBINADA]],#REF!,9,0),0)/COUNTIFS(DATA[COMBINADA],DATA[[#This Row],[COMBINADA]])</f>
        <v>0</v>
      </c>
      <c r="AQ235"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235" s="22" t="str">
        <f>IFERROR(IF(DATA[[#This Row],[estado_fact]]="FACTURADO",VLOOKUP(DATA[[#This Row],[SERIE2]]&amp;"-"&amp;DATA[[#This Row],[NUMERO]],#REF!,34,0),"NO CORRESPONDE"),"NO CORRESPONDE")</f>
        <v>NO CORRESPONDE</v>
      </c>
      <c r="AS235" s="198" t="str">
        <f>IF(DATA[[#This Row],[fecha_fs]]&gt;0,TEXT(DATA[[#This Row],[fecha_fs]],"Mmmm"),0)</f>
        <v>Febrero</v>
      </c>
      <c r="AT235" s="199" t="str">
        <f>DATA[[#This Row],[SERIE2]]&amp;"-"&amp;DATA[[#This Row],[NUMERO]]</f>
        <v>-</v>
      </c>
      <c r="AU235" s="198">
        <f>DATA[[#This Row],[TOTAL]]*DATA[[#This Row],[T.C.]]</f>
        <v>0</v>
      </c>
      <c r="AV235" s="40">
        <f>DATA[[#This Row],[FECHA DE VAL.]]</f>
        <v>0</v>
      </c>
      <c r="AW235" s="40">
        <f>DATA[[#This Row],[FECHA DE EMISION]]</f>
        <v>0</v>
      </c>
      <c r="AX235" s="40">
        <f>DATA[[#This Row],[F1]]</f>
        <v>0</v>
      </c>
      <c r="AY235" s="49">
        <f>IF(AV235-DATA[[#This Row],[fecha_fs]]&lt;0,0,AV235-DATA[[#This Row],[fecha_fs]])</f>
        <v>0</v>
      </c>
      <c r="AZ235" s="49">
        <f t="shared" si="22"/>
        <v>0</v>
      </c>
      <c r="BA235" s="49">
        <f t="shared" si="23"/>
        <v>0</v>
      </c>
      <c r="BB235" s="195">
        <f>IFERROR(SUM(DATA[[#This Row],[fs_val_ttf]:[fact_pago_ttf]]),0)</f>
        <v>0</v>
      </c>
      <c r="BC235" s="200"/>
      <c r="BD235" s="200"/>
      <c r="BE235" s="200"/>
      <c r="BF235" s="200"/>
      <c r="BG235" s="49">
        <f>IFERROR(IF(BC235-DATA[[#This Row],[fecha_fs]]&lt;0,0,BC235-DATA[[#This Row],[fecha_fs]]),0)</f>
        <v>0</v>
      </c>
      <c r="BH235" s="49">
        <f t="shared" si="24"/>
        <v>0</v>
      </c>
      <c r="BI235" s="49">
        <f t="shared" si="25"/>
        <v>0</v>
      </c>
      <c r="BJ235" s="49">
        <f t="shared" si="26"/>
        <v>0</v>
      </c>
      <c r="BK235" s="218">
        <f>IFERROR(SUM(DATA[[#This Row],[fs_fd_ttd]:[fend_fenf_ttd]]),0)</f>
        <v>0</v>
      </c>
      <c r="BL235" s="20" t="str">
        <f>IF(DATA[[#This Row],[fecha_fs]]&gt;0,TEXT(DATA[[#This Row],[fecha_fs]],"YYYY"),0)</f>
        <v>2025</v>
      </c>
      <c r="BM235" s="221" t="b">
        <v>0</v>
      </c>
      <c r="BN235" s="278"/>
      <c r="BO235" s="222"/>
    </row>
    <row r="236" spans="1:67" ht="30.6" customHeight="1" x14ac:dyDescent="0.25">
      <c r="A236" s="4">
        <v>20100192064</v>
      </c>
      <c r="B236" s="5" t="s">
        <v>60</v>
      </c>
      <c r="C236" s="52" t="s">
        <v>43</v>
      </c>
      <c r="D236" s="4" t="s">
        <v>120</v>
      </c>
      <c r="E236" s="5" t="s">
        <v>3</v>
      </c>
      <c r="F236" s="24">
        <v>45705</v>
      </c>
      <c r="G236" s="7" t="s">
        <v>113</v>
      </c>
      <c r="H236" s="25">
        <f t="shared" si="21"/>
        <v>1</v>
      </c>
      <c r="I236" s="67">
        <v>4127</v>
      </c>
      <c r="J236" s="8" t="s">
        <v>115</v>
      </c>
      <c r="K236" s="9" t="s">
        <v>121</v>
      </c>
      <c r="L236" s="10" t="s">
        <v>117</v>
      </c>
      <c r="M236" s="11">
        <v>420</v>
      </c>
      <c r="N236" s="12" t="s">
        <v>129</v>
      </c>
      <c r="O236" s="6">
        <v>45714</v>
      </c>
      <c r="P236" s="71">
        <v>3314</v>
      </c>
      <c r="Q236" s="14" t="s">
        <v>123</v>
      </c>
      <c r="R236" s="56">
        <f>(DATA[[#This Row],[cantidad_fs]]/1000)*(47+174.34)</f>
        <v>92.962800000000001</v>
      </c>
      <c r="S236" s="56">
        <v>137</v>
      </c>
      <c r="T236" s="15">
        <f>DATA[[#This Row],[C. DF]]+DATA[[#This Row],[C.OPE.]]</f>
        <v>229.96280000000002</v>
      </c>
      <c r="U236" s="15">
        <f>DATA[[#This Row],[SUB TOTAL]]*0.18</f>
        <v>41.393304000000001</v>
      </c>
      <c r="V236" s="15">
        <f>IFERROR(ROUND(DATA[[#This Row],[SUB TOTAL]]+DATA[[#This Row],[IGV]],2),0)</f>
        <v>271.36</v>
      </c>
      <c r="W236" s="16" t="str">
        <f>IF(DATA[[#This Row],[VALORIZACIÓN ]]="-","NO CORRESPONDE",IF(OR(A236=20558226979,A236=10470707866,A236=20111157058,A236=20100226902),"NO CORRESPONDE",IF(J236="Emitida",IF(P236&gt;0,"EMITIDA","PENDIENTE"),"NO CORRESPONDE")))</f>
        <v>EMITIDA</v>
      </c>
      <c r="X236" s="29"/>
      <c r="Y236" s="17" t="s">
        <v>118</v>
      </c>
      <c r="Z236" s="30">
        <v>45716</v>
      </c>
      <c r="AA236" s="10" t="s">
        <v>124</v>
      </c>
      <c r="AB236" s="19">
        <v>579</v>
      </c>
      <c r="AC236" s="20">
        <v>30</v>
      </c>
      <c r="AD236" s="18">
        <f>DATA[[#This Row],[FECHA DE EMISION]]+DATA[[#This Row],[CONDICION DE PAGO]]</f>
        <v>45746</v>
      </c>
      <c r="AE236" s="23" t="e">
        <f>IF(DATA[[#This Row],[MONEDA]]="USD",VLOOKUP(DATA[[#This Row],[COMBINADA]],#REF!,11,0),1)</f>
        <v>#REF!</v>
      </c>
      <c r="AF236" s="39" t="str">
        <f>IF(DATA[[#This Row],[SERIE2]]="-","NO CORRESPONDE",IF(W236="NO CORRESPONDE","NO CORRESPONDE",IF(Z236&gt;0,"FACTURADO","PENDIENTE")))</f>
        <v>FACTURADO</v>
      </c>
      <c r="AG236" s="27">
        <f>IFERROR(VLOOKUP(DATA[[#This Row],[COMBINADA]],#REF!,6,0),0)</f>
        <v>0</v>
      </c>
      <c r="AH236" s="125">
        <f>IFERROR(VLOOKUP(DATA[[#This Row],[COMBINADA]],#REF!,9,0),0)/COUNTIFS(DATA[COMBINADA],DATA[[#This Row],[COMBINADA]])</f>
        <v>0</v>
      </c>
      <c r="AI236" s="27">
        <f>IFERROR(VLOOKUP(DATA[[#This Row],[COMBINADA]],#REF!,6,0),0)</f>
        <v>0</v>
      </c>
      <c r="AJ236" s="125">
        <f>IFERROR(VLOOKUP(DATA[[#This Row],[COMBINADA]],#REF!,9,0),0)/COUNTIFS(DATA[COMBINADA],DATA[[#This Row],[COMBINADA]])</f>
        <v>0</v>
      </c>
      <c r="AK236" s="27">
        <f>IFERROR(VLOOKUP(DATA[[#This Row],[COMBINADA]],#REF!,6,0),0)</f>
        <v>0</v>
      </c>
      <c r="AL236" s="125">
        <f>IFERROR(VLOOKUP(DATA[[#This Row],[COMBINADA]],#REF!,9,0),0)/COUNTIFS(DATA[COMBINADA],DATA[[#This Row],[COMBINADA]])</f>
        <v>0</v>
      </c>
      <c r="AM236" s="27">
        <f>IFERROR(VLOOKUP(DATA[[#This Row],[COMBINADA]],#REF!,6,0),0)</f>
        <v>0</v>
      </c>
      <c r="AN236" s="125">
        <f>IFERROR(VLOOKUP(DATA[[#This Row],[COMBINADA]],#REF!,9,0),0)/COUNTIFS(DATA[COMBINADA],DATA[[#This Row],[COMBINADA]])</f>
        <v>0</v>
      </c>
      <c r="AO236" s="27">
        <f>IFERROR(VLOOKUP(DATA[[#This Row],[COMBINADA]],#REF!,6,0),0)</f>
        <v>0</v>
      </c>
      <c r="AP236" s="125">
        <f>IFERROR(VLOOKUP(DATA[[#This Row],[COMBINADA]],#REF!,9,0),0)/COUNTIFS(DATA[COMBINADA],DATA[[#This Row],[COMBINADA]])</f>
        <v>0</v>
      </c>
      <c r="AQ23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603.34285714285716</v>
      </c>
      <c r="AR236" s="26" t="str">
        <f>IFERROR(IF(DATA[[#This Row],[estado_fact]]="FACTURADO",VLOOKUP(DATA[[#This Row],[SERIE2]]&amp;"-"&amp;DATA[[#This Row],[NUMERO]],#REF!,34,0),"NO CORRESPONDE"),"NO CORRESPONDE")</f>
        <v>NO CORRESPONDE</v>
      </c>
      <c r="AS236" s="22" t="str">
        <f>IF(DATA[[#This Row],[fecha_fs]]&gt;0,TEXT(DATA[[#This Row],[fecha_fs]],"Mmmm"),0)</f>
        <v>Febrero</v>
      </c>
      <c r="AT236" s="22" t="str">
        <f>DATA[[#This Row],[SERIE2]]&amp;"-"&amp;DATA[[#This Row],[NUMERO]]</f>
        <v>FE01-579</v>
      </c>
      <c r="AU236" s="28" t="e">
        <f>DATA[[#This Row],[TOTAL]]*DATA[[#This Row],[T.C.]]</f>
        <v>#REF!</v>
      </c>
      <c r="AV236" s="6">
        <f>DATA[[#This Row],[FECHA DE VAL.]]</f>
        <v>45714</v>
      </c>
      <c r="AW236" s="6">
        <f>DATA[[#This Row],[FECHA DE EMISION]]</f>
        <v>45716</v>
      </c>
      <c r="AX236" s="6">
        <f>DATA[[#This Row],[F1]]</f>
        <v>0</v>
      </c>
      <c r="AY236" s="20">
        <f>IF(AV236-DATA[[#This Row],[fecha_fs]]&lt;0,0,AV236-DATA[[#This Row],[fecha_fs]])</f>
        <v>9</v>
      </c>
      <c r="AZ236" s="20">
        <f t="shared" si="22"/>
        <v>2</v>
      </c>
      <c r="BA236" s="20">
        <f t="shared" si="23"/>
        <v>0</v>
      </c>
      <c r="BB236" s="195">
        <f>IFERROR(SUM(DATA[[#This Row],[fs_val_ttf]:[fact_pago_ttf]]),0)</f>
        <v>11</v>
      </c>
      <c r="BC236" s="185">
        <v>45733</v>
      </c>
      <c r="BD236" s="185">
        <v>45737</v>
      </c>
      <c r="BE236" s="185">
        <v>45737</v>
      </c>
      <c r="BF236" s="185">
        <v>45760</v>
      </c>
      <c r="BG236" s="20">
        <f>IFERROR(IF(BC236-DATA[[#This Row],[fecha_fs]]&lt;0,0,BC236-DATA[[#This Row],[fecha_fs]]),0)</f>
        <v>28</v>
      </c>
      <c r="BH236" s="20">
        <f t="shared" si="24"/>
        <v>4</v>
      </c>
      <c r="BI236" s="20">
        <f t="shared" si="25"/>
        <v>0</v>
      </c>
      <c r="BJ236" s="20">
        <f t="shared" si="26"/>
        <v>23</v>
      </c>
      <c r="BK236" s="218">
        <f>IFERROR(SUM(DATA[[#This Row],[fs_fd_ttd]:[fend_fenf_ttd]]),0)</f>
        <v>55</v>
      </c>
      <c r="BL236" s="20" t="str">
        <f>IF(DATA[[#This Row],[fecha_fs]]&gt;0,TEXT(DATA[[#This Row],[fecha_fs]],"YYYY"),0)</f>
        <v>2025</v>
      </c>
      <c r="BM236" s="221" t="b">
        <v>1</v>
      </c>
      <c r="BN236" s="278">
        <f>COUNTIF(DATA[[#This Row],[tiempo_td]], "&lt;=15")</f>
        <v>0</v>
      </c>
      <c r="BO236" s="222"/>
    </row>
    <row r="237" spans="1:67" ht="30.6" customHeight="1" x14ac:dyDescent="0.25">
      <c r="A237" s="4">
        <v>20100192064</v>
      </c>
      <c r="B237" s="5" t="s">
        <v>60</v>
      </c>
      <c r="C237" s="52" t="s">
        <v>43</v>
      </c>
      <c r="D237" s="4" t="s">
        <v>152</v>
      </c>
      <c r="E237" s="5" t="s">
        <v>10</v>
      </c>
      <c r="F237" s="24">
        <v>45705</v>
      </c>
      <c r="G237" s="7" t="s">
        <v>113</v>
      </c>
      <c r="H237" s="25">
        <f t="shared" si="21"/>
        <v>1</v>
      </c>
      <c r="I237" s="67">
        <v>4128</v>
      </c>
      <c r="J237" s="8" t="s">
        <v>115</v>
      </c>
      <c r="K237" s="9" t="s">
        <v>153</v>
      </c>
      <c r="L237" s="10" t="s">
        <v>117</v>
      </c>
      <c r="M237" s="11">
        <v>560</v>
      </c>
      <c r="N237" s="12" t="s">
        <v>132</v>
      </c>
      <c r="O237" s="6"/>
      <c r="P237" s="71" t="s">
        <v>114</v>
      </c>
      <c r="Q237" s="14"/>
      <c r="R237" s="15"/>
      <c r="S237" s="74"/>
      <c r="T237" s="15">
        <f>DATA[[#This Row],[C. DF]]+DATA[[#This Row],[C.OPE.]]</f>
        <v>0</v>
      </c>
      <c r="U237" s="15">
        <f>DATA[[#This Row],[SUB TOTAL]]*0.18</f>
        <v>0</v>
      </c>
      <c r="V237" s="15">
        <f>IFERROR(ROUND(DATA[[#This Row],[SUB TOTAL]]+DATA[[#This Row],[IGV]],2),0)</f>
        <v>0</v>
      </c>
      <c r="W237" s="16" t="str">
        <f>IF(DATA[[#This Row],[VALORIZACIÓN ]]="-","NO CORRESPONDE",IF(OR(A237=20558226979,A237=10470707866,A237=20111157058,A237=20100226902),"NO CORRESPONDE",IF(J237="Emitida",IF(P237&gt;0,"EMITIDA","PENDIENTE"),"NO CORRESPONDE")))</f>
        <v>NO CORRESPONDE</v>
      </c>
      <c r="X237" s="29"/>
      <c r="Y237" s="17" t="s">
        <v>128</v>
      </c>
      <c r="Z237" s="30"/>
      <c r="AA237" s="10"/>
      <c r="AB237" s="19"/>
      <c r="AC237" s="20"/>
      <c r="AD237" s="18">
        <f>DATA[[#This Row],[FECHA DE EMISION]]+DATA[[#This Row],[CONDICION DE PAGO]]</f>
        <v>0</v>
      </c>
      <c r="AE237" s="23">
        <f>IF(DATA[[#This Row],[MONEDA]]="USD",VLOOKUP(DATA[[#This Row],[COMBINADA]],#REF!,11,0),1)</f>
        <v>1</v>
      </c>
      <c r="AF237" s="39" t="str">
        <f>IF(DATA[[#This Row],[SERIE2]]="-","NO CORRESPONDE",IF(W237="NO CORRESPONDE","NO CORRESPONDE",IF(Z237&gt;0,"FACTURADO","PENDIENTE")))</f>
        <v>NO CORRESPONDE</v>
      </c>
      <c r="AG237" s="27">
        <f>IFERROR(VLOOKUP(DATA[[#This Row],[COMBINADA]],#REF!,6,0),0)</f>
        <v>0</v>
      </c>
      <c r="AH237" s="125">
        <f>IFERROR(VLOOKUP(DATA[[#This Row],[COMBINADA]],#REF!,9,0),0)/COUNTIFS(DATA[COMBINADA],DATA[[#This Row],[COMBINADA]])</f>
        <v>0</v>
      </c>
      <c r="AI237" s="27">
        <f>IFERROR(VLOOKUP(DATA[[#This Row],[COMBINADA]],#REF!,6,0),0)</f>
        <v>0</v>
      </c>
      <c r="AJ237" s="125">
        <f>IFERROR(VLOOKUP(DATA[[#This Row],[COMBINADA]],#REF!,9,0),0)/COUNTIFS(DATA[COMBINADA],DATA[[#This Row],[COMBINADA]])</f>
        <v>0</v>
      </c>
      <c r="AK237" s="27">
        <f>IFERROR(VLOOKUP(DATA[[#This Row],[COMBINADA]],#REF!,6,0),0)</f>
        <v>0</v>
      </c>
      <c r="AL237" s="125">
        <f>IFERROR(VLOOKUP(DATA[[#This Row],[COMBINADA]],#REF!,9,0),0)/COUNTIFS(DATA[COMBINADA],DATA[[#This Row],[COMBINADA]])</f>
        <v>0</v>
      </c>
      <c r="AM237" s="27">
        <f>IFERROR(VLOOKUP(DATA[[#This Row],[COMBINADA]],#REF!,6,0),0)</f>
        <v>0</v>
      </c>
      <c r="AN237" s="125">
        <f>IFERROR(VLOOKUP(DATA[[#This Row],[COMBINADA]],#REF!,9,0),0)/COUNTIFS(DATA[COMBINADA],DATA[[#This Row],[COMBINADA]])</f>
        <v>0</v>
      </c>
      <c r="AO237" s="27">
        <f>IFERROR(VLOOKUP(DATA[[#This Row],[COMBINADA]],#REF!,6,0),0)</f>
        <v>0</v>
      </c>
      <c r="AP237" s="125">
        <f>IFERROR(VLOOKUP(DATA[[#This Row],[COMBINADA]],#REF!,9,0),0)/COUNTIFS(DATA[COMBINADA],DATA[[#This Row],[COMBINADA]])</f>
        <v>0</v>
      </c>
      <c r="AQ23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237" s="26" t="str">
        <f>IFERROR(IF(DATA[[#This Row],[estado_fact]]="FACTURADO",VLOOKUP(DATA[[#This Row],[SERIE2]]&amp;"-"&amp;DATA[[#This Row],[NUMERO]],#REF!,34,0),"NO CORRESPONDE"),"NO CORRESPONDE")</f>
        <v>NO CORRESPONDE</v>
      </c>
      <c r="AS237" s="22" t="str">
        <f>IF(DATA[[#This Row],[fecha_fs]]&gt;0,TEXT(DATA[[#This Row],[fecha_fs]],"Mmmm"),0)</f>
        <v>Febrero</v>
      </c>
      <c r="AT237" s="22" t="str">
        <f>DATA[[#This Row],[SERIE2]]&amp;"-"&amp;DATA[[#This Row],[NUMERO]]</f>
        <v>-</v>
      </c>
      <c r="AU237" s="28">
        <f>DATA[[#This Row],[TOTAL]]*DATA[[#This Row],[T.C.]]</f>
        <v>0</v>
      </c>
      <c r="AV237" s="6">
        <f>DATA[[#This Row],[FECHA DE VAL.]]</f>
        <v>0</v>
      </c>
      <c r="AW237" s="6">
        <f>DATA[[#This Row],[FECHA DE EMISION]]</f>
        <v>0</v>
      </c>
      <c r="AX237" s="6">
        <f>DATA[[#This Row],[F1]]</f>
        <v>0</v>
      </c>
      <c r="AY237" s="20">
        <f>IF(AV237-DATA[[#This Row],[fecha_fs]]&lt;0,0,AV237-DATA[[#This Row],[fecha_fs]])</f>
        <v>0</v>
      </c>
      <c r="AZ237" s="20">
        <f t="shared" si="22"/>
        <v>0</v>
      </c>
      <c r="BA237" s="20">
        <f t="shared" si="23"/>
        <v>0</v>
      </c>
      <c r="BB237" s="195">
        <f>IFERROR(SUM(DATA[[#This Row],[fs_val_ttf]:[fact_pago_ttf]]),0)</f>
        <v>0</v>
      </c>
      <c r="BC237" s="185">
        <v>45730</v>
      </c>
      <c r="BD237" s="185">
        <v>45734</v>
      </c>
      <c r="BE237" s="185">
        <v>45737</v>
      </c>
      <c r="BF237" s="185">
        <v>45760</v>
      </c>
      <c r="BG237" s="20">
        <f>IFERROR(IF(BC237-DATA[[#This Row],[fecha_fs]]&lt;0,0,BC237-DATA[[#This Row],[fecha_fs]]),0)</f>
        <v>25</v>
      </c>
      <c r="BH237" s="20">
        <f t="shared" si="24"/>
        <v>4</v>
      </c>
      <c r="BI237" s="20">
        <f t="shared" si="25"/>
        <v>3</v>
      </c>
      <c r="BJ237" s="20">
        <f t="shared" si="26"/>
        <v>23</v>
      </c>
      <c r="BK237" s="218">
        <f>IFERROR(SUM(DATA[[#This Row],[fs_fd_ttd]:[fend_fenf_ttd]]),0)</f>
        <v>55</v>
      </c>
      <c r="BL237" s="20" t="str">
        <f>IF(DATA[[#This Row],[fecha_fs]]&gt;0,TEXT(DATA[[#This Row],[fecha_fs]],"YYYY"),0)</f>
        <v>2025</v>
      </c>
      <c r="BM237" s="221" t="b">
        <v>1</v>
      </c>
      <c r="BN237" s="278">
        <f>COUNTIF(DATA[[#This Row],[tiempo_td]], "&lt;=15")</f>
        <v>0</v>
      </c>
      <c r="BO237" s="222"/>
    </row>
    <row r="238" spans="1:67" ht="30.6" customHeight="1" x14ac:dyDescent="0.25">
      <c r="A238" s="4">
        <v>20454186002</v>
      </c>
      <c r="B238" s="5" t="s">
        <v>25</v>
      </c>
      <c r="C238" s="52" t="s">
        <v>18</v>
      </c>
      <c r="D238" s="4" t="s">
        <v>120</v>
      </c>
      <c r="E238" s="5" t="s">
        <v>3</v>
      </c>
      <c r="F238" s="24">
        <v>45702</v>
      </c>
      <c r="G238" s="7" t="s">
        <v>113</v>
      </c>
      <c r="H238" s="25">
        <f t="shared" si="21"/>
        <v>1</v>
      </c>
      <c r="I238" s="67">
        <v>4129</v>
      </c>
      <c r="J238" s="8" t="s">
        <v>115</v>
      </c>
      <c r="K238" s="9" t="s">
        <v>121</v>
      </c>
      <c r="L238" s="10" t="s">
        <v>117</v>
      </c>
      <c r="M238" s="11">
        <v>8770</v>
      </c>
      <c r="N238" s="12" t="s">
        <v>135</v>
      </c>
      <c r="O238" s="6">
        <v>45705</v>
      </c>
      <c r="P238" s="13">
        <v>3296</v>
      </c>
      <c r="Q238" s="14" t="s">
        <v>85</v>
      </c>
      <c r="R238" s="70">
        <f>1485.02+((DATA[[#This Row],[cantidad_fs]]-3000)*0.49)</f>
        <v>4312.32</v>
      </c>
      <c r="S238" s="15"/>
      <c r="T238" s="15">
        <f>DATA[[#This Row],[C. DF]]+DATA[[#This Row],[C.OPE.]]</f>
        <v>4312.32</v>
      </c>
      <c r="U238" s="15">
        <f>DATA[[#This Row],[SUB TOTAL]]*0.18</f>
        <v>776.21759999999995</v>
      </c>
      <c r="V238" s="15">
        <f>IFERROR(ROUND(DATA[[#This Row],[SUB TOTAL]]+DATA[[#This Row],[IGV]],2),0)</f>
        <v>5088.54</v>
      </c>
      <c r="W238" s="16" t="str">
        <f>IF(DATA[[#This Row],[VALORIZACIÓN ]]="-","NO CORRESPONDE",IF(OR(A238=20558226979,A238=10470707866,A238=20111157058,A238=20100226902),"NO CORRESPONDE",IF(J238="Emitida",IF(P238&gt;0,"EMITIDA","PENDIENTE"),"NO CORRESPONDE")))</f>
        <v>EMITIDA</v>
      </c>
      <c r="X238" s="29"/>
      <c r="Y238" s="17" t="s">
        <v>118</v>
      </c>
      <c r="Z238" s="30">
        <v>45706</v>
      </c>
      <c r="AA238" s="10" t="s">
        <v>124</v>
      </c>
      <c r="AB238" s="19">
        <v>569</v>
      </c>
      <c r="AC238" s="20">
        <v>7</v>
      </c>
      <c r="AD238" s="18">
        <f>DATA[[#This Row],[FECHA DE EMISION]]+DATA[[#This Row],[CONDICION DE PAGO]]</f>
        <v>45713</v>
      </c>
      <c r="AE238" s="23">
        <f>IF(DATA[[#This Row],[MONEDA]]="USD",VLOOKUP(DATA[[#This Row],[COMBINADA]],#REF!,11,0),1)</f>
        <v>1</v>
      </c>
      <c r="AF238" s="39" t="str">
        <f>IF(DATA[[#This Row],[SERIE2]]="-","NO CORRESPONDE",IF(W238="NO CORRESPONDE","NO CORRESPONDE",IF(Z238&gt;0,"FACTURADO","PENDIENTE")))</f>
        <v>FACTURADO</v>
      </c>
      <c r="AG238" s="27">
        <f>IFERROR(VLOOKUP(DATA[[#This Row],[COMBINADA]],#REF!,6,0),0)</f>
        <v>0</v>
      </c>
      <c r="AH238" s="125">
        <f>IFERROR(VLOOKUP(DATA[[#This Row],[COMBINADA]],#REF!,9,0),0)/COUNTIFS(DATA[COMBINADA],DATA[[#This Row],[COMBINADA]])</f>
        <v>0</v>
      </c>
      <c r="AI238" s="27">
        <f>IFERROR(VLOOKUP(DATA[[#This Row],[COMBINADA]],#REF!,6,0),0)</f>
        <v>0</v>
      </c>
      <c r="AJ238" s="125">
        <f>IFERROR(VLOOKUP(DATA[[#This Row],[COMBINADA]],#REF!,9,0),0)/COUNTIFS(DATA[COMBINADA],DATA[[#This Row],[COMBINADA]])</f>
        <v>0</v>
      </c>
      <c r="AK238" s="27">
        <f>IFERROR(VLOOKUP(DATA[[#This Row],[COMBINADA]],#REF!,6,0),0)</f>
        <v>0</v>
      </c>
      <c r="AL238" s="125">
        <f>IFERROR(VLOOKUP(DATA[[#This Row],[COMBINADA]],#REF!,9,0),0)/COUNTIFS(DATA[COMBINADA],DATA[[#This Row],[COMBINADA]])</f>
        <v>0</v>
      </c>
      <c r="AM238" s="27">
        <f>IFERROR(VLOOKUP(DATA[[#This Row],[COMBINADA]],#REF!,6,0),0)</f>
        <v>0</v>
      </c>
      <c r="AN238" s="125">
        <f>IFERROR(VLOOKUP(DATA[[#This Row],[COMBINADA]],#REF!,9,0),0)/COUNTIFS(DATA[COMBINADA],DATA[[#This Row],[COMBINADA]])</f>
        <v>0</v>
      </c>
      <c r="AO238" s="27">
        <f>IFERROR(VLOOKUP(DATA[[#This Row],[COMBINADA]],#REF!,6,0),0)</f>
        <v>0</v>
      </c>
      <c r="AP238" s="125">
        <f>IFERROR(VLOOKUP(DATA[[#This Row],[COMBINADA]],#REF!,9,0),0)/COUNTIFS(DATA[COMBINADA],DATA[[#This Row],[COMBINADA]])</f>
        <v>0</v>
      </c>
      <c r="AQ23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5088.54</v>
      </c>
      <c r="AR238" s="26" t="str">
        <f>IFERROR(IF(DATA[[#This Row],[estado_fact]]="FACTURADO",VLOOKUP(DATA[[#This Row],[SERIE2]]&amp;"-"&amp;DATA[[#This Row],[NUMERO]],#REF!,34,0),"NO CORRESPONDE"),"NO CORRESPONDE")</f>
        <v>NO CORRESPONDE</v>
      </c>
      <c r="AS238" s="22" t="str">
        <f>IF(DATA[[#This Row],[fecha_fs]]&gt;0,TEXT(DATA[[#This Row],[fecha_fs]],"Mmmm"),0)</f>
        <v>Febrero</v>
      </c>
      <c r="AT238" s="22" t="str">
        <f>DATA[[#This Row],[SERIE2]]&amp;"-"&amp;DATA[[#This Row],[NUMERO]]</f>
        <v>FE01-569</v>
      </c>
      <c r="AU238" s="28">
        <f>DATA[[#This Row],[TOTAL]]*DATA[[#This Row],[T.C.]]</f>
        <v>5088.54</v>
      </c>
      <c r="AV238" s="6">
        <f>DATA[[#This Row],[FECHA DE VAL.]]</f>
        <v>45705</v>
      </c>
      <c r="AW238" s="6">
        <f>DATA[[#This Row],[FECHA DE EMISION]]</f>
        <v>45706</v>
      </c>
      <c r="AX238" s="6">
        <f>DATA[[#This Row],[F1]]</f>
        <v>0</v>
      </c>
      <c r="AY238" s="20">
        <f>IF(AV238-DATA[[#This Row],[fecha_fs]]&lt;0,0,AV238-DATA[[#This Row],[fecha_fs]])</f>
        <v>3</v>
      </c>
      <c r="AZ238" s="20">
        <f t="shared" si="22"/>
        <v>1</v>
      </c>
      <c r="BA238" s="20">
        <f t="shared" si="23"/>
        <v>0</v>
      </c>
      <c r="BB238" s="195">
        <f>IFERROR(SUM(DATA[[#This Row],[fs_val_ttf]:[fact_pago_ttf]]),0)</f>
        <v>4</v>
      </c>
      <c r="BC238" s="185">
        <v>45705</v>
      </c>
      <c r="BD238" s="185">
        <v>45735</v>
      </c>
      <c r="BE238" s="185">
        <v>45730</v>
      </c>
      <c r="BF238" s="185">
        <v>45734</v>
      </c>
      <c r="BG238" s="20">
        <f>IFERROR(IF(BC238-DATA[[#This Row],[fecha_fs]]&lt;0,0,BC238-DATA[[#This Row],[fecha_fs]]),0)</f>
        <v>3</v>
      </c>
      <c r="BH238" s="20">
        <f t="shared" si="24"/>
        <v>30</v>
      </c>
      <c r="BI238" s="20">
        <f t="shared" si="25"/>
        <v>0</v>
      </c>
      <c r="BJ238" s="20">
        <f t="shared" si="26"/>
        <v>4</v>
      </c>
      <c r="BK238" s="218">
        <f>IFERROR(SUM(DATA[[#This Row],[fs_fd_ttd]:[fend_fenf_ttd]]),0)</f>
        <v>37</v>
      </c>
      <c r="BL238" s="20" t="str">
        <f>IF(DATA[[#This Row],[fecha_fs]]&gt;0,TEXT(DATA[[#This Row],[fecha_fs]],"YYYY"),0)</f>
        <v>2025</v>
      </c>
      <c r="BM238" s="221" t="b">
        <v>0</v>
      </c>
      <c r="BN238" s="278">
        <f>COUNTIF(DATA[[#This Row],[tiempo_td]], "&lt;=15")</f>
        <v>0</v>
      </c>
      <c r="BO238" s="222"/>
    </row>
    <row r="239" spans="1:67" ht="30.6" customHeight="1" x14ac:dyDescent="0.25">
      <c r="A239" s="4">
        <v>20553956324</v>
      </c>
      <c r="B239" s="5" t="s">
        <v>281</v>
      </c>
      <c r="C239" s="52" t="s">
        <v>175</v>
      </c>
      <c r="D239" s="4" t="s">
        <v>112</v>
      </c>
      <c r="E239" s="5" t="s">
        <v>1</v>
      </c>
      <c r="F239" s="24">
        <v>45702</v>
      </c>
      <c r="G239" s="7" t="s">
        <v>113</v>
      </c>
      <c r="H239" s="25">
        <f t="shared" si="21"/>
        <v>1</v>
      </c>
      <c r="I239" s="67">
        <v>4130</v>
      </c>
      <c r="J239" s="8" t="s">
        <v>115</v>
      </c>
      <c r="K239" s="9" t="s">
        <v>116</v>
      </c>
      <c r="L239" s="10" t="s">
        <v>117</v>
      </c>
      <c r="M239" s="11">
        <v>25</v>
      </c>
      <c r="N239" s="12" t="s">
        <v>125</v>
      </c>
      <c r="O239" s="6">
        <v>45716</v>
      </c>
      <c r="P239" s="109">
        <v>3328</v>
      </c>
      <c r="Q239" s="14" t="s">
        <v>85</v>
      </c>
      <c r="R239" s="15">
        <f>450/3</f>
        <v>150</v>
      </c>
      <c r="S239" s="56">
        <f>3160.8/11</f>
        <v>287.34545454545457</v>
      </c>
      <c r="T239" s="15">
        <f>DATA[[#This Row],[C. DF]]+DATA[[#This Row],[C.OPE.]]</f>
        <v>437.34545454545457</v>
      </c>
      <c r="U239" s="15">
        <f>DATA[[#This Row],[SUB TOTAL]]*0.18</f>
        <v>78.722181818181824</v>
      </c>
      <c r="V239" s="15">
        <f>IFERROR(ROUND(DATA[[#This Row],[SUB TOTAL]]+DATA[[#This Row],[IGV]],2),0)</f>
        <v>516.07000000000005</v>
      </c>
      <c r="W239" s="16" t="str">
        <f>IF(DATA[[#This Row],[VALORIZACIÓN ]]="-","NO CORRESPONDE",IF(OR(A239=20558226979,A239=10470707866,A239=20111157058,A239=20100226902),"NO CORRESPONDE",IF(J239="Emitida",IF(P239&gt;0,"EMITIDA","PENDIENTE"),"NO CORRESPONDE")))</f>
        <v>EMITIDA</v>
      </c>
      <c r="X239" s="29"/>
      <c r="Y239" s="17" t="s">
        <v>118</v>
      </c>
      <c r="Z239" s="30">
        <v>45730</v>
      </c>
      <c r="AA239" s="20" t="s">
        <v>119</v>
      </c>
      <c r="AB239" s="19">
        <v>24</v>
      </c>
      <c r="AC239" s="20">
        <v>0</v>
      </c>
      <c r="AD239" s="18">
        <f>DATA[[#This Row],[FECHA DE EMISION]]+DATA[[#This Row],[CONDICION DE PAGO]]</f>
        <v>45730</v>
      </c>
      <c r="AE239" s="23">
        <f>IF(DATA[[#This Row],[MONEDA]]="USD",VLOOKUP(DATA[[#This Row],[COMBINADA]],#REF!,11,0),1)</f>
        <v>1</v>
      </c>
      <c r="AF239" s="39" t="str">
        <f>IF(DATA[[#This Row],[SERIE2]]="-","NO CORRESPONDE",IF(W239="NO CORRESPONDE","NO CORRESPONDE",IF(Z239&gt;0,"FACTURADO","PENDIENTE")))</f>
        <v>FACTURADO</v>
      </c>
      <c r="AG239" s="27">
        <f>IFERROR(VLOOKUP(DATA[[#This Row],[COMBINADA]],#REF!,6,0),0)</f>
        <v>0</v>
      </c>
      <c r="AH239" s="125">
        <f>IFERROR(VLOOKUP(DATA[[#This Row],[COMBINADA]],#REF!,9,0),0)/COUNTIFS(DATA[COMBINADA],DATA[[#This Row],[COMBINADA]])</f>
        <v>0</v>
      </c>
      <c r="AI239" s="27">
        <f>IFERROR(VLOOKUP(DATA[[#This Row],[COMBINADA]],#REF!,6,0),0)</f>
        <v>0</v>
      </c>
      <c r="AJ239" s="125">
        <f>IFERROR(VLOOKUP(DATA[[#This Row],[COMBINADA]],#REF!,9,0),0)/COUNTIFS(DATA[COMBINADA],DATA[[#This Row],[COMBINADA]])</f>
        <v>0</v>
      </c>
      <c r="AK239" s="27">
        <f>IFERROR(VLOOKUP(DATA[[#This Row],[COMBINADA]],#REF!,6,0),0)</f>
        <v>0</v>
      </c>
      <c r="AL239" s="125">
        <f>IFERROR(VLOOKUP(DATA[[#This Row],[COMBINADA]],#REF!,9,0),0)/COUNTIFS(DATA[COMBINADA],DATA[[#This Row],[COMBINADA]])</f>
        <v>0</v>
      </c>
      <c r="AM239" s="27">
        <f>IFERROR(VLOOKUP(DATA[[#This Row],[COMBINADA]],#REF!,6,0),0)</f>
        <v>0</v>
      </c>
      <c r="AN239" s="125">
        <f>IFERROR(VLOOKUP(DATA[[#This Row],[COMBINADA]],#REF!,9,0),0)/COUNTIFS(DATA[COMBINADA],DATA[[#This Row],[COMBINADA]])</f>
        <v>0</v>
      </c>
      <c r="AO239" s="27">
        <f>IFERROR(VLOOKUP(DATA[[#This Row],[COMBINADA]],#REF!,6,0),0)</f>
        <v>0</v>
      </c>
      <c r="AP239" s="125">
        <f>IFERROR(VLOOKUP(DATA[[#This Row],[COMBINADA]],#REF!,9,0),0)/COUNTIFS(DATA[COMBINADA],DATA[[#This Row],[COMBINADA]])</f>
        <v>0</v>
      </c>
      <c r="AQ23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395.92454545454547</v>
      </c>
      <c r="AR239" s="26" t="str">
        <f>IFERROR(IF(DATA[[#This Row],[estado_fact]]="FACTURADO",VLOOKUP(DATA[[#This Row],[SERIE2]]&amp;"-"&amp;DATA[[#This Row],[NUMERO]],#REF!,34,0),"NO CORRESPONDE"),"NO CORRESPONDE")</f>
        <v>NO CORRESPONDE</v>
      </c>
      <c r="AS239" s="22" t="str">
        <f>IF(DATA[[#This Row],[fecha_fs]]&gt;0,TEXT(DATA[[#This Row],[fecha_fs]],"Mmmm"),0)</f>
        <v>Febrero</v>
      </c>
      <c r="AT239" s="22" t="str">
        <f>DATA[[#This Row],[SERIE2]]&amp;"-"&amp;DATA[[#This Row],[NUMERO]]</f>
        <v>E001-24</v>
      </c>
      <c r="AU239" s="28">
        <f>DATA[[#This Row],[TOTAL]]*DATA[[#This Row],[T.C.]]</f>
        <v>516.07000000000005</v>
      </c>
      <c r="AV239" s="6">
        <f>DATA[[#This Row],[FECHA DE VAL.]]</f>
        <v>45716</v>
      </c>
      <c r="AW239" s="6">
        <f>DATA[[#This Row],[FECHA DE EMISION]]</f>
        <v>45730</v>
      </c>
      <c r="AX239" s="6">
        <f>DATA[[#This Row],[F1]]</f>
        <v>0</v>
      </c>
      <c r="AY239" s="20">
        <f>IF(AV239-DATA[[#This Row],[fecha_fs]]&lt;0,0,AV239-DATA[[#This Row],[fecha_fs]])</f>
        <v>14</v>
      </c>
      <c r="AZ239" s="20">
        <f t="shared" si="22"/>
        <v>14</v>
      </c>
      <c r="BA239" s="20">
        <f t="shared" si="23"/>
        <v>0</v>
      </c>
      <c r="BB239" s="195">
        <f>IFERROR(SUM(DATA[[#This Row],[fs_val_ttf]:[fact_pago_ttf]]),0)</f>
        <v>28</v>
      </c>
      <c r="BC239" s="185">
        <v>45730</v>
      </c>
      <c r="BD239" s="185">
        <v>45743</v>
      </c>
      <c r="BE239" s="185">
        <v>45740</v>
      </c>
      <c r="BF239" s="185">
        <v>45759</v>
      </c>
      <c r="BG239" s="20">
        <f>IFERROR(IF(BC239-DATA[[#This Row],[fecha_fs]]&lt;0,0,BC239-DATA[[#This Row],[fecha_fs]]),0)</f>
        <v>28</v>
      </c>
      <c r="BH239" s="20">
        <f t="shared" si="24"/>
        <v>13</v>
      </c>
      <c r="BI239" s="20">
        <f t="shared" si="25"/>
        <v>0</v>
      </c>
      <c r="BJ239" s="20">
        <f t="shared" si="26"/>
        <v>19</v>
      </c>
      <c r="BK239" s="218">
        <f>IFERROR(SUM(DATA[[#This Row],[fs_fd_ttd]:[fend_fenf_ttd]]),0)</f>
        <v>60</v>
      </c>
      <c r="BL239" s="20" t="str">
        <f>IF(DATA[[#This Row],[fecha_fs]]&gt;0,TEXT(DATA[[#This Row],[fecha_fs]],"YYYY"),0)</f>
        <v>2025</v>
      </c>
      <c r="BM239" s="221" t="b">
        <v>0</v>
      </c>
      <c r="BN239" s="278">
        <f>COUNTIF(DATA[[#This Row],[tiempo_td]], "&lt;=15")</f>
        <v>0</v>
      </c>
      <c r="BO239" s="222"/>
    </row>
    <row r="240" spans="1:67" ht="30.6" customHeight="1" x14ac:dyDescent="0.25">
      <c r="A240" s="4">
        <v>20100211115</v>
      </c>
      <c r="B240" s="5" t="s">
        <v>41</v>
      </c>
      <c r="C240" s="52" t="s">
        <v>18</v>
      </c>
      <c r="D240" s="4" t="s">
        <v>120</v>
      </c>
      <c r="E240" s="5" t="s">
        <v>3</v>
      </c>
      <c r="F240" s="24">
        <v>45705</v>
      </c>
      <c r="G240" s="7" t="s">
        <v>113</v>
      </c>
      <c r="H240" s="25">
        <f t="shared" si="21"/>
        <v>1</v>
      </c>
      <c r="I240" s="67">
        <v>4131</v>
      </c>
      <c r="J240" s="8" t="s">
        <v>115</v>
      </c>
      <c r="K240" s="9" t="s">
        <v>121</v>
      </c>
      <c r="L240" s="10" t="s">
        <v>117</v>
      </c>
      <c r="M240" s="11">
        <v>90</v>
      </c>
      <c r="N240" s="12" t="s">
        <v>125</v>
      </c>
      <c r="O240" s="6">
        <v>45716</v>
      </c>
      <c r="P240" s="115">
        <v>3326</v>
      </c>
      <c r="Q240" s="14" t="s">
        <v>85</v>
      </c>
      <c r="R240" s="15"/>
      <c r="S240" s="56">
        <f>(DATA[[#This Row],[cantidad_fs]]*4.37)</f>
        <v>393.3</v>
      </c>
      <c r="T240" s="15">
        <f>DATA[[#This Row],[C. DF]]+DATA[[#This Row],[C.OPE.]]</f>
        <v>393.3</v>
      </c>
      <c r="U240" s="15">
        <f>DATA[[#This Row],[SUB TOTAL]]*0.18</f>
        <v>70.793999999999997</v>
      </c>
      <c r="V240" s="15">
        <f>IFERROR(ROUND(DATA[[#This Row],[SUB TOTAL]]+DATA[[#This Row],[IGV]],2),0)</f>
        <v>464.09</v>
      </c>
      <c r="W240" s="16" t="str">
        <f>IF(DATA[[#This Row],[VALORIZACIÓN ]]="-","NO CORRESPONDE",IF(OR(A240=20558226979,A240=10470707866,A240=20111157058,A240=20100226902),"NO CORRESPONDE",IF(J240="Emitida",IF(P240&gt;0,"EMITIDA","PENDIENTE"),"NO CORRESPONDE")))</f>
        <v>EMITIDA</v>
      </c>
      <c r="X240" s="29"/>
      <c r="Y240" s="17" t="s">
        <v>118</v>
      </c>
      <c r="Z240" s="30">
        <v>45722</v>
      </c>
      <c r="AA240" s="10" t="s">
        <v>124</v>
      </c>
      <c r="AB240" s="19">
        <v>588</v>
      </c>
      <c r="AC240" s="20">
        <v>30</v>
      </c>
      <c r="AD240" s="18">
        <f>DATA[[#This Row],[FECHA DE EMISION]]+DATA[[#This Row],[CONDICION DE PAGO]]</f>
        <v>45752</v>
      </c>
      <c r="AE240" s="23">
        <f>IF(DATA[[#This Row],[MONEDA]]="USD",VLOOKUP(DATA[[#This Row],[COMBINADA]],#REF!,11,0),1)</f>
        <v>1</v>
      </c>
      <c r="AF240" s="39" t="str">
        <f>IF(DATA[[#This Row],[SERIE2]]="-","NO CORRESPONDE",IF(W240="NO CORRESPONDE","NO CORRESPONDE",IF(Z240&gt;0,"FACTURADO","PENDIENTE")))</f>
        <v>FACTURADO</v>
      </c>
      <c r="AG240" s="27">
        <f>IFERROR(VLOOKUP(DATA[[#This Row],[COMBINADA]],#REF!,6,0),0)</f>
        <v>0</v>
      </c>
      <c r="AH240" s="125">
        <f>IFERROR(VLOOKUP(DATA[[#This Row],[COMBINADA]],#REF!,9,0),0)/COUNTIFS(DATA[COMBINADA],DATA[[#This Row],[COMBINADA]])</f>
        <v>0</v>
      </c>
      <c r="AI240" s="27">
        <f>IFERROR(VLOOKUP(DATA[[#This Row],[COMBINADA]],#REF!,6,0),0)</f>
        <v>0</v>
      </c>
      <c r="AJ240" s="125">
        <f>IFERROR(VLOOKUP(DATA[[#This Row],[COMBINADA]],#REF!,9,0),0)/COUNTIFS(DATA[COMBINADA],DATA[[#This Row],[COMBINADA]])</f>
        <v>0</v>
      </c>
      <c r="AK240" s="27">
        <f>IFERROR(VLOOKUP(DATA[[#This Row],[COMBINADA]],#REF!,6,0),0)</f>
        <v>0</v>
      </c>
      <c r="AL240" s="125">
        <f>IFERROR(VLOOKUP(DATA[[#This Row],[COMBINADA]],#REF!,9,0),0)/COUNTIFS(DATA[COMBINADA],DATA[[#This Row],[COMBINADA]])</f>
        <v>0</v>
      </c>
      <c r="AM240" s="27">
        <f>IFERROR(VLOOKUP(DATA[[#This Row],[COMBINADA]],#REF!,6,0),0)</f>
        <v>0</v>
      </c>
      <c r="AN240" s="125">
        <f>IFERROR(VLOOKUP(DATA[[#This Row],[COMBINADA]],#REF!,9,0),0)/COUNTIFS(DATA[COMBINADA],DATA[[#This Row],[COMBINADA]])</f>
        <v>0</v>
      </c>
      <c r="AO240" s="27">
        <f>IFERROR(VLOOKUP(DATA[[#This Row],[COMBINADA]],#REF!,6,0),0)</f>
        <v>0</v>
      </c>
      <c r="AP240" s="125">
        <f>IFERROR(VLOOKUP(DATA[[#This Row],[COMBINADA]],#REF!,9,0),0)/COUNTIFS(DATA[COMBINADA],DATA[[#This Row],[COMBINADA]])</f>
        <v>0</v>
      </c>
      <c r="AQ24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240" s="26" t="str">
        <f>IFERROR(IF(DATA[[#This Row],[estado_fact]]="FACTURADO",VLOOKUP(DATA[[#This Row],[SERIE2]]&amp;"-"&amp;DATA[[#This Row],[NUMERO]],#REF!,34,0),"NO CORRESPONDE"),"NO CORRESPONDE")</f>
        <v>NO CORRESPONDE</v>
      </c>
      <c r="AS240" s="22" t="str">
        <f>IF(DATA[[#This Row],[fecha_fs]]&gt;0,TEXT(DATA[[#This Row],[fecha_fs]],"Mmmm"),0)</f>
        <v>Febrero</v>
      </c>
      <c r="AT240" s="22" t="str">
        <f>DATA[[#This Row],[SERIE2]]&amp;"-"&amp;DATA[[#This Row],[NUMERO]]</f>
        <v>FE01-588</v>
      </c>
      <c r="AU240" s="28">
        <f>DATA[[#This Row],[TOTAL]]*DATA[[#This Row],[T.C.]]</f>
        <v>464.09</v>
      </c>
      <c r="AV240" s="6">
        <f>DATA[[#This Row],[FECHA DE VAL.]]</f>
        <v>45716</v>
      </c>
      <c r="AW240" s="6">
        <f>DATA[[#This Row],[FECHA DE EMISION]]</f>
        <v>45722</v>
      </c>
      <c r="AX240" s="6">
        <f>DATA[[#This Row],[F1]]</f>
        <v>0</v>
      </c>
      <c r="AY240" s="20">
        <f>IF(AV240-DATA[[#This Row],[fecha_fs]]&lt;0,0,AV240-DATA[[#This Row],[fecha_fs]])</f>
        <v>11</v>
      </c>
      <c r="AZ240" s="20">
        <f t="shared" si="22"/>
        <v>6</v>
      </c>
      <c r="BA240" s="20">
        <f t="shared" si="23"/>
        <v>0</v>
      </c>
      <c r="BB240" s="195">
        <f>IFERROR(SUM(DATA[[#This Row],[fs_val_ttf]:[fact_pago_ttf]]),0)</f>
        <v>17</v>
      </c>
      <c r="BC240" s="187">
        <v>45729</v>
      </c>
      <c r="BD240" s="187">
        <v>45735</v>
      </c>
      <c r="BE240" s="187">
        <v>45740</v>
      </c>
      <c r="BF240" s="187">
        <v>45749</v>
      </c>
      <c r="BG240" s="20">
        <f>IFERROR(IF(BC240-DATA[[#This Row],[fecha_fs]]&lt;0,0,BC240-DATA[[#This Row],[fecha_fs]]),0)</f>
        <v>24</v>
      </c>
      <c r="BH240" s="20">
        <f t="shared" si="24"/>
        <v>6</v>
      </c>
      <c r="BI240" s="20">
        <f t="shared" si="25"/>
        <v>5</v>
      </c>
      <c r="BJ240" s="20">
        <f t="shared" si="26"/>
        <v>9</v>
      </c>
      <c r="BK240" s="218">
        <f>IFERROR(SUM(DATA[[#This Row],[fs_fd_ttd]:[fend_fenf_ttd]]),0)</f>
        <v>44</v>
      </c>
      <c r="BL240" s="20" t="str">
        <f>IF(DATA[[#This Row],[fecha_fs]]&gt;0,TEXT(DATA[[#This Row],[fecha_fs]],"YYYY"),0)</f>
        <v>2025</v>
      </c>
      <c r="BM240" s="221" t="b">
        <v>1</v>
      </c>
      <c r="BN240" s="278">
        <f>COUNTIF(DATA[[#This Row],[tiempo_td]], "&lt;=15")</f>
        <v>0</v>
      </c>
      <c r="BO240" s="222"/>
    </row>
    <row r="241" spans="1:67" ht="30.6" customHeight="1" x14ac:dyDescent="0.25">
      <c r="A241" s="4">
        <v>20100192064</v>
      </c>
      <c r="B241" s="5" t="s">
        <v>60</v>
      </c>
      <c r="C241" s="52" t="s">
        <v>63</v>
      </c>
      <c r="D241" s="4" t="s">
        <v>112</v>
      </c>
      <c r="E241" s="5" t="s">
        <v>1</v>
      </c>
      <c r="F241" s="24">
        <v>45705</v>
      </c>
      <c r="G241" s="7" t="s">
        <v>142</v>
      </c>
      <c r="H241" s="25">
        <f t="shared" si="21"/>
        <v>2</v>
      </c>
      <c r="I241" s="67">
        <v>1048</v>
      </c>
      <c r="J241" s="8" t="s">
        <v>115</v>
      </c>
      <c r="K241" s="9" t="s">
        <v>116</v>
      </c>
      <c r="L241" s="10" t="s">
        <v>117</v>
      </c>
      <c r="M241" s="11">
        <v>32</v>
      </c>
      <c r="N241" s="12" t="s">
        <v>143</v>
      </c>
      <c r="O241" s="6">
        <v>45714</v>
      </c>
      <c r="P241" s="71">
        <v>3323</v>
      </c>
      <c r="Q241" s="14" t="s">
        <v>123</v>
      </c>
      <c r="R241" s="15">
        <f>(DATA[[#This Row],[cantidad_fs]]/1000)*(147+82.74)</f>
        <v>7.3516800000000009</v>
      </c>
      <c r="S241" s="15">
        <v>148.53</v>
      </c>
      <c r="T241" s="15">
        <f>DATA[[#This Row],[C. DF]]+DATA[[#This Row],[C.OPE.]]</f>
        <v>155.88167999999999</v>
      </c>
      <c r="U241" s="15">
        <f>DATA[[#This Row],[SUB TOTAL]]*0.18</f>
        <v>28.058702399999998</v>
      </c>
      <c r="V241" s="15">
        <f>IFERROR(ROUND(DATA[[#This Row],[SUB TOTAL]]+DATA[[#This Row],[IGV]],2),0)</f>
        <v>183.94</v>
      </c>
      <c r="W241" s="16" t="str">
        <f>IF(DATA[[#This Row],[VALORIZACIÓN ]]="-","NO CORRESPONDE",IF(OR(A241=20558226979,A241=10470707866,A241=20111157058,A241=20100226902),"NO CORRESPONDE",IF(J241="Emitida",IF(P241&gt;0,"EMITIDA","PENDIENTE"),"NO CORRESPONDE")))</f>
        <v>EMITIDA</v>
      </c>
      <c r="X241" s="29"/>
      <c r="Y241" s="17" t="s">
        <v>118</v>
      </c>
      <c r="Z241" s="30">
        <v>45716</v>
      </c>
      <c r="AA241" s="10" t="s">
        <v>124</v>
      </c>
      <c r="AB241" s="19">
        <v>583</v>
      </c>
      <c r="AC241" s="20">
        <v>15</v>
      </c>
      <c r="AD241" s="18">
        <f>DATA[[#This Row],[FECHA DE EMISION]]+DATA[[#This Row],[CONDICION DE PAGO]]</f>
        <v>45731</v>
      </c>
      <c r="AE241" s="23" t="e">
        <f>IF(DATA[[#This Row],[MONEDA]]="USD",VLOOKUP(DATA[[#This Row],[COMBINADA]],#REF!,11,0),1)</f>
        <v>#REF!</v>
      </c>
      <c r="AF241" s="39" t="str">
        <f>IF(DATA[[#This Row],[SERIE2]]="-","NO CORRESPONDE",IF(W241="NO CORRESPONDE","NO CORRESPONDE",IF(Z241&gt;0,"FACTURADO","PENDIENTE")))</f>
        <v>FACTURADO</v>
      </c>
      <c r="AG241" s="27">
        <f>IFERROR(VLOOKUP(DATA[[#This Row],[COMBINADA]],#REF!,6,0),0)</f>
        <v>0</v>
      </c>
      <c r="AH241" s="125">
        <f>IFERROR(VLOOKUP(DATA[[#This Row],[COMBINADA]],#REF!,9,0),0)/COUNTIFS(DATA[COMBINADA],DATA[[#This Row],[COMBINADA]])</f>
        <v>0</v>
      </c>
      <c r="AI241" s="27">
        <f>IFERROR(VLOOKUP(DATA[[#This Row],[COMBINADA]],#REF!,6,0),0)</f>
        <v>0</v>
      </c>
      <c r="AJ241" s="125">
        <f>IFERROR(VLOOKUP(DATA[[#This Row],[COMBINADA]],#REF!,9,0),0)/COUNTIFS(DATA[COMBINADA],DATA[[#This Row],[COMBINADA]])</f>
        <v>0</v>
      </c>
      <c r="AK241" s="27">
        <f>IFERROR(VLOOKUP(DATA[[#This Row],[COMBINADA]],#REF!,6,0),0)</f>
        <v>0</v>
      </c>
      <c r="AL241" s="125">
        <f>IFERROR(VLOOKUP(DATA[[#This Row],[COMBINADA]],#REF!,9,0),0)/COUNTIFS(DATA[COMBINADA],DATA[[#This Row],[COMBINADA]])</f>
        <v>0</v>
      </c>
      <c r="AM241" s="27">
        <f>IFERROR(VLOOKUP(DATA[[#This Row],[COMBINADA]],#REF!,6,0),0)</f>
        <v>0</v>
      </c>
      <c r="AN241" s="125">
        <f>IFERROR(VLOOKUP(DATA[[#This Row],[COMBINADA]],#REF!,9,0),0)/COUNTIFS(DATA[COMBINADA],DATA[[#This Row],[COMBINADA]])</f>
        <v>0</v>
      </c>
      <c r="AO241" s="27">
        <f>IFERROR(VLOOKUP(DATA[[#This Row],[COMBINADA]],#REF!,6,0),0)</f>
        <v>0</v>
      </c>
      <c r="AP241" s="125">
        <f>IFERROR(VLOOKUP(DATA[[#This Row],[COMBINADA]],#REF!,9,0),0)/COUNTIFS(DATA[COMBINADA],DATA[[#This Row],[COMBINADA]])</f>
        <v>0</v>
      </c>
      <c r="AQ24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677.24384615384611</v>
      </c>
      <c r="AR241" s="26" t="str">
        <f>IFERROR(IF(DATA[[#This Row],[estado_fact]]="FACTURADO",VLOOKUP(DATA[[#This Row],[SERIE2]]&amp;"-"&amp;DATA[[#This Row],[NUMERO]],#REF!,34,0),"NO CORRESPONDE"),"NO CORRESPONDE")</f>
        <v>NO CORRESPONDE</v>
      </c>
      <c r="AS241" s="22" t="str">
        <f>IF(DATA[[#This Row],[fecha_fs]]&gt;0,TEXT(DATA[[#This Row],[fecha_fs]],"Mmmm"),0)</f>
        <v>Febrero</v>
      </c>
      <c r="AT241" s="22" t="str">
        <f>DATA[[#This Row],[SERIE2]]&amp;"-"&amp;DATA[[#This Row],[NUMERO]]</f>
        <v>FE01-583</v>
      </c>
      <c r="AU241" s="28" t="e">
        <f>DATA[[#This Row],[TOTAL]]*DATA[[#This Row],[T.C.]]</f>
        <v>#REF!</v>
      </c>
      <c r="AV241" s="6">
        <f>DATA[[#This Row],[FECHA DE VAL.]]</f>
        <v>45714</v>
      </c>
      <c r="AW241" s="6">
        <f>DATA[[#This Row],[FECHA DE EMISION]]</f>
        <v>45716</v>
      </c>
      <c r="AX241" s="6">
        <f>DATA[[#This Row],[F1]]</f>
        <v>0</v>
      </c>
      <c r="AY241" s="20">
        <f>IF(AV241-DATA[[#This Row],[fecha_fs]]&lt;0,0,AV241-DATA[[#This Row],[fecha_fs]])</f>
        <v>9</v>
      </c>
      <c r="AZ241" s="20">
        <f t="shared" si="22"/>
        <v>2</v>
      </c>
      <c r="BA241" s="20">
        <f t="shared" si="23"/>
        <v>0</v>
      </c>
      <c r="BB241" s="195">
        <f>IFERROR(SUM(DATA[[#This Row],[fs_val_ttf]:[fact_pago_ttf]]),0)</f>
        <v>11</v>
      </c>
      <c r="BC241" s="185">
        <v>45716</v>
      </c>
      <c r="BD241" s="185">
        <v>45729</v>
      </c>
      <c r="BE241" s="185">
        <v>45729</v>
      </c>
      <c r="BF241" s="185">
        <v>45760</v>
      </c>
      <c r="BG241" s="20">
        <f>IFERROR(IF(BC241-DATA[[#This Row],[fecha_fs]]&lt;0,0,BC241-DATA[[#This Row],[fecha_fs]]),0)</f>
        <v>11</v>
      </c>
      <c r="BH241" s="20">
        <f t="shared" si="24"/>
        <v>13</v>
      </c>
      <c r="BI241" s="20">
        <f t="shared" si="25"/>
        <v>0</v>
      </c>
      <c r="BJ241" s="20">
        <f t="shared" si="26"/>
        <v>31</v>
      </c>
      <c r="BK241" s="218">
        <f>IFERROR(SUM(DATA[[#This Row],[fs_fd_ttd]:[fend_fenf_ttd]]),0)</f>
        <v>55</v>
      </c>
      <c r="BL241" s="20" t="str">
        <f>IF(DATA[[#This Row],[fecha_fs]]&gt;0,TEXT(DATA[[#This Row],[fecha_fs]],"YYYY"),0)</f>
        <v>2025</v>
      </c>
      <c r="BM241" s="221" t="b">
        <v>1</v>
      </c>
      <c r="BN241" s="278">
        <f>COUNTIF(DATA[[#This Row],[tiempo_td]], "&lt;=15")</f>
        <v>0</v>
      </c>
      <c r="BO241" s="222"/>
    </row>
    <row r="242" spans="1:67" ht="30.6" customHeight="1" x14ac:dyDescent="0.25">
      <c r="A242" s="4">
        <v>20100192064</v>
      </c>
      <c r="B242" s="5" t="s">
        <v>60</v>
      </c>
      <c r="C242" s="52" t="s">
        <v>63</v>
      </c>
      <c r="D242" s="4" t="s">
        <v>120</v>
      </c>
      <c r="E242" s="5" t="s">
        <v>3</v>
      </c>
      <c r="F242" s="24">
        <v>45705</v>
      </c>
      <c r="G242" s="7" t="s">
        <v>142</v>
      </c>
      <c r="H242" s="25">
        <f t="shared" si="21"/>
        <v>2</v>
      </c>
      <c r="I242" s="67">
        <v>1049</v>
      </c>
      <c r="J242" s="8" t="s">
        <v>115</v>
      </c>
      <c r="K242" s="9" t="s">
        <v>121</v>
      </c>
      <c r="L242" s="10" t="s">
        <v>117</v>
      </c>
      <c r="M242" s="11">
        <v>150</v>
      </c>
      <c r="N242" s="12" t="s">
        <v>143</v>
      </c>
      <c r="O242" s="6">
        <v>45714</v>
      </c>
      <c r="P242" s="71">
        <v>3322</v>
      </c>
      <c r="Q242" s="14" t="s">
        <v>123</v>
      </c>
      <c r="R242" s="15">
        <f>(DATA[[#This Row],[cantidad_fs]]/1000)*(37+82.74)</f>
        <v>17.960999999999999</v>
      </c>
      <c r="S242" s="15">
        <v>148.53</v>
      </c>
      <c r="T242" s="15">
        <f>DATA[[#This Row],[C. DF]]+DATA[[#This Row],[C.OPE.]]</f>
        <v>166.49099999999999</v>
      </c>
      <c r="U242" s="15">
        <f>DATA[[#This Row],[SUB TOTAL]]*0.18</f>
        <v>29.968379999999996</v>
      </c>
      <c r="V242" s="15">
        <f>IFERROR(ROUND(DATA[[#This Row],[SUB TOTAL]]+DATA[[#This Row],[IGV]],2),0)</f>
        <v>196.46</v>
      </c>
      <c r="W242" s="16" t="str">
        <f>IF(DATA[[#This Row],[VALORIZACIÓN ]]="-","NO CORRESPONDE",IF(OR(A242=20558226979,A242=10470707866,A242=20111157058,A242=20100226902),"NO CORRESPONDE",IF(J242="Emitida",IF(P242&gt;0,"EMITIDA","PENDIENTE"),"NO CORRESPONDE")))</f>
        <v>EMITIDA</v>
      </c>
      <c r="X242" s="29"/>
      <c r="Y242" s="17" t="s">
        <v>118</v>
      </c>
      <c r="Z242" s="30">
        <v>45716</v>
      </c>
      <c r="AA242" s="10" t="s">
        <v>124</v>
      </c>
      <c r="AB242" s="19">
        <v>583</v>
      </c>
      <c r="AC242" s="20">
        <v>15</v>
      </c>
      <c r="AD242" s="18">
        <f>DATA[[#This Row],[FECHA DE EMISION]]+DATA[[#This Row],[CONDICION DE PAGO]]</f>
        <v>45731</v>
      </c>
      <c r="AE242" s="23" t="e">
        <f>IF(DATA[[#This Row],[MONEDA]]="USD",VLOOKUP(DATA[[#This Row],[COMBINADA]],#REF!,11,0),1)</f>
        <v>#REF!</v>
      </c>
      <c r="AF242" s="39" t="str">
        <f>IF(DATA[[#This Row],[SERIE2]]="-","NO CORRESPONDE",IF(W242="NO CORRESPONDE","NO CORRESPONDE",IF(Z242&gt;0,"FACTURADO","PENDIENTE")))</f>
        <v>FACTURADO</v>
      </c>
      <c r="AG242" s="27">
        <f>IFERROR(VLOOKUP(DATA[[#This Row],[COMBINADA]],#REF!,6,0),0)</f>
        <v>0</v>
      </c>
      <c r="AH242" s="125">
        <f>IFERROR(VLOOKUP(DATA[[#This Row],[COMBINADA]],#REF!,9,0),0)/COUNTIFS(DATA[COMBINADA],DATA[[#This Row],[COMBINADA]])</f>
        <v>0</v>
      </c>
      <c r="AI242" s="27">
        <f>IFERROR(VLOOKUP(DATA[[#This Row],[COMBINADA]],#REF!,6,0),0)</f>
        <v>0</v>
      </c>
      <c r="AJ242" s="125">
        <f>IFERROR(VLOOKUP(DATA[[#This Row],[COMBINADA]],#REF!,9,0),0)/COUNTIFS(DATA[COMBINADA],DATA[[#This Row],[COMBINADA]])</f>
        <v>0</v>
      </c>
      <c r="AK242" s="27">
        <f>IFERROR(VLOOKUP(DATA[[#This Row],[COMBINADA]],#REF!,6,0),0)</f>
        <v>0</v>
      </c>
      <c r="AL242" s="125">
        <f>IFERROR(VLOOKUP(DATA[[#This Row],[COMBINADA]],#REF!,9,0),0)/COUNTIFS(DATA[COMBINADA],DATA[[#This Row],[COMBINADA]])</f>
        <v>0</v>
      </c>
      <c r="AM242" s="27">
        <f>IFERROR(VLOOKUP(DATA[[#This Row],[COMBINADA]],#REF!,6,0),0)</f>
        <v>0</v>
      </c>
      <c r="AN242" s="125">
        <f>IFERROR(VLOOKUP(DATA[[#This Row],[COMBINADA]],#REF!,9,0),0)/COUNTIFS(DATA[COMBINADA],DATA[[#This Row],[COMBINADA]])</f>
        <v>0</v>
      </c>
      <c r="AO242" s="27">
        <f>IFERROR(VLOOKUP(DATA[[#This Row],[COMBINADA]],#REF!,6,0),0)</f>
        <v>0</v>
      </c>
      <c r="AP242" s="125">
        <f>IFERROR(VLOOKUP(DATA[[#This Row],[COMBINADA]],#REF!,9,0),0)/COUNTIFS(DATA[COMBINADA],DATA[[#This Row],[COMBINADA]])</f>
        <v>0</v>
      </c>
      <c r="AQ24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677.24384615384611</v>
      </c>
      <c r="AR242" s="26" t="str">
        <f>IFERROR(IF(DATA[[#This Row],[estado_fact]]="FACTURADO",VLOOKUP(DATA[[#This Row],[SERIE2]]&amp;"-"&amp;DATA[[#This Row],[NUMERO]],#REF!,34,0),"NO CORRESPONDE"),"NO CORRESPONDE")</f>
        <v>NO CORRESPONDE</v>
      </c>
      <c r="AS242" s="22" t="str">
        <f>IF(DATA[[#This Row],[fecha_fs]]&gt;0,TEXT(DATA[[#This Row],[fecha_fs]],"Mmmm"),0)</f>
        <v>Febrero</v>
      </c>
      <c r="AT242" s="22" t="str">
        <f>DATA[[#This Row],[SERIE2]]&amp;"-"&amp;DATA[[#This Row],[NUMERO]]</f>
        <v>FE01-583</v>
      </c>
      <c r="AU242" s="28" t="e">
        <f>DATA[[#This Row],[TOTAL]]*DATA[[#This Row],[T.C.]]</f>
        <v>#REF!</v>
      </c>
      <c r="AV242" s="6">
        <f>DATA[[#This Row],[FECHA DE VAL.]]</f>
        <v>45714</v>
      </c>
      <c r="AW242" s="6">
        <f>DATA[[#This Row],[FECHA DE EMISION]]</f>
        <v>45716</v>
      </c>
      <c r="AX242" s="6">
        <f>DATA[[#This Row],[F1]]</f>
        <v>0</v>
      </c>
      <c r="AY242" s="20">
        <f>IF(AV242-DATA[[#This Row],[fecha_fs]]&lt;0,0,AV242-DATA[[#This Row],[fecha_fs]])</f>
        <v>9</v>
      </c>
      <c r="AZ242" s="20">
        <f t="shared" si="22"/>
        <v>2</v>
      </c>
      <c r="BA242" s="20">
        <f t="shared" si="23"/>
        <v>0</v>
      </c>
      <c r="BB242" s="195">
        <f>IFERROR(SUM(DATA[[#This Row],[fs_val_ttf]:[fact_pago_ttf]]),0)</f>
        <v>11</v>
      </c>
      <c r="BC242" s="185">
        <v>45714</v>
      </c>
      <c r="BD242" s="185">
        <v>45735</v>
      </c>
      <c r="BE242" s="185">
        <v>45737</v>
      </c>
      <c r="BF242" s="185">
        <v>45760</v>
      </c>
      <c r="BG242" s="20">
        <f>IFERROR(IF(BC242-DATA[[#This Row],[fecha_fs]]&lt;0,0,BC242-DATA[[#This Row],[fecha_fs]]),0)</f>
        <v>9</v>
      </c>
      <c r="BH242" s="20">
        <f t="shared" si="24"/>
        <v>21</v>
      </c>
      <c r="BI242" s="20">
        <f t="shared" si="25"/>
        <v>2</v>
      </c>
      <c r="BJ242" s="20">
        <f t="shared" si="26"/>
        <v>23</v>
      </c>
      <c r="BK242" s="218">
        <f>IFERROR(SUM(DATA[[#This Row],[fs_fd_ttd]:[fend_fenf_ttd]]),0)</f>
        <v>55</v>
      </c>
      <c r="BL242" s="20" t="str">
        <f>IF(DATA[[#This Row],[fecha_fs]]&gt;0,TEXT(DATA[[#This Row],[fecha_fs]],"YYYY"),0)</f>
        <v>2025</v>
      </c>
      <c r="BM242" s="221" t="b">
        <v>1</v>
      </c>
      <c r="BN242" s="278">
        <f>COUNTIF(DATA[[#This Row],[tiempo_td]], "&lt;=15")</f>
        <v>0</v>
      </c>
      <c r="BO242" s="222"/>
    </row>
    <row r="243" spans="1:67" ht="30.6" customHeight="1" x14ac:dyDescent="0.25">
      <c r="A243" s="4">
        <v>20517932346</v>
      </c>
      <c r="B243" s="5" t="s">
        <v>78</v>
      </c>
      <c r="C243" s="52" t="s">
        <v>18</v>
      </c>
      <c r="D243" s="4" t="s">
        <v>152</v>
      </c>
      <c r="E243" s="5" t="s">
        <v>10</v>
      </c>
      <c r="F243" s="24">
        <v>45706</v>
      </c>
      <c r="G243" s="7" t="s">
        <v>113</v>
      </c>
      <c r="H243" s="25">
        <f t="shared" si="21"/>
        <v>1</v>
      </c>
      <c r="I243" s="67">
        <v>4132</v>
      </c>
      <c r="J243" s="8" t="s">
        <v>115</v>
      </c>
      <c r="K243" s="9" t="s">
        <v>153</v>
      </c>
      <c r="L243" s="10" t="s">
        <v>117</v>
      </c>
      <c r="M243" s="11">
        <v>497</v>
      </c>
      <c r="N243" s="12" t="s">
        <v>200</v>
      </c>
      <c r="O243" s="6">
        <v>45707</v>
      </c>
      <c r="P243" s="13">
        <v>3302</v>
      </c>
      <c r="Q243" s="14" t="s">
        <v>85</v>
      </c>
      <c r="R243" s="15"/>
      <c r="S243" s="56">
        <v>1550.98</v>
      </c>
      <c r="T243" s="15">
        <f>DATA[[#This Row],[C. DF]]+DATA[[#This Row],[C.OPE.]]</f>
        <v>1550.98</v>
      </c>
      <c r="U243" s="15">
        <f>DATA[[#This Row],[SUB TOTAL]]*0.18</f>
        <v>279.1764</v>
      </c>
      <c r="V243" s="15">
        <f>IFERROR(ROUND(DATA[[#This Row],[SUB TOTAL]]+DATA[[#This Row],[IGV]],2),0)</f>
        <v>1830.16</v>
      </c>
      <c r="W243" s="16" t="str">
        <f>IF(DATA[[#This Row],[VALORIZACIÓN ]]="-","NO CORRESPONDE",IF(OR(A243=20558226979,A243=10470707866,A243=20111157058,A243=20100226902),"NO CORRESPONDE",IF(J243="Emitida",IF(P243&gt;0,"EMITIDA","PENDIENTE"),"NO CORRESPONDE")))</f>
        <v>EMITIDA</v>
      </c>
      <c r="X243" s="29"/>
      <c r="Y243" s="17" t="s">
        <v>118</v>
      </c>
      <c r="Z243" s="30">
        <v>45709</v>
      </c>
      <c r="AA243" s="10" t="s">
        <v>124</v>
      </c>
      <c r="AB243" s="19">
        <v>574</v>
      </c>
      <c r="AC243" s="20">
        <v>15</v>
      </c>
      <c r="AD243" s="18">
        <f>DATA[[#This Row],[FECHA DE EMISION]]+DATA[[#This Row],[CONDICION DE PAGO]]</f>
        <v>45724</v>
      </c>
      <c r="AE243" s="23">
        <f>IF(DATA[[#This Row],[MONEDA]]="USD",VLOOKUP(DATA[[#This Row],[COMBINADA]],#REF!,11,0),1)</f>
        <v>1</v>
      </c>
      <c r="AF243" s="39" t="str">
        <f>IF(DATA[[#This Row],[SERIE2]]="-","NO CORRESPONDE",IF(W243="NO CORRESPONDE","NO CORRESPONDE",IF(Z243&gt;0,"FACTURADO","PENDIENTE")))</f>
        <v>FACTURADO</v>
      </c>
      <c r="AG243" s="27">
        <f>IFERROR(VLOOKUP(DATA[[#This Row],[COMBINADA]],#REF!,6,0),0)</f>
        <v>0</v>
      </c>
      <c r="AH243" s="125">
        <f>IFERROR(VLOOKUP(DATA[[#This Row],[COMBINADA]],#REF!,9,0),0)/COUNTIFS(DATA[COMBINADA],DATA[[#This Row],[COMBINADA]])</f>
        <v>0</v>
      </c>
      <c r="AI243" s="27">
        <f>IFERROR(VLOOKUP(DATA[[#This Row],[COMBINADA]],#REF!,6,0),0)</f>
        <v>0</v>
      </c>
      <c r="AJ243" s="125">
        <f>IFERROR(VLOOKUP(DATA[[#This Row],[COMBINADA]],#REF!,9,0),0)/COUNTIFS(DATA[COMBINADA],DATA[[#This Row],[COMBINADA]])</f>
        <v>0</v>
      </c>
      <c r="AK243" s="27">
        <f>IFERROR(VLOOKUP(DATA[[#This Row],[COMBINADA]],#REF!,6,0),0)</f>
        <v>0</v>
      </c>
      <c r="AL243" s="125">
        <f>IFERROR(VLOOKUP(DATA[[#This Row],[COMBINADA]],#REF!,9,0),0)/COUNTIFS(DATA[COMBINADA],DATA[[#This Row],[COMBINADA]])</f>
        <v>0</v>
      </c>
      <c r="AM243" s="27">
        <f>IFERROR(VLOOKUP(DATA[[#This Row],[COMBINADA]],#REF!,6,0),0)</f>
        <v>0</v>
      </c>
      <c r="AN243" s="125">
        <f>IFERROR(VLOOKUP(DATA[[#This Row],[COMBINADA]],#REF!,9,0),0)/COUNTIFS(DATA[COMBINADA],DATA[[#This Row],[COMBINADA]])</f>
        <v>0</v>
      </c>
      <c r="AO243" s="27">
        <f>IFERROR(VLOOKUP(DATA[[#This Row],[COMBINADA]],#REF!,6,0),0)</f>
        <v>0</v>
      </c>
      <c r="AP243" s="125">
        <f>IFERROR(VLOOKUP(DATA[[#This Row],[COMBINADA]],#REF!,9,0),0)/COUNTIFS(DATA[COMBINADA],DATA[[#This Row],[COMBINADA]])</f>
        <v>0</v>
      </c>
      <c r="AQ24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1830.16</v>
      </c>
      <c r="AR243" s="26" t="str">
        <f>IFERROR(IF(DATA[[#This Row],[estado_fact]]="FACTURADO",VLOOKUP(DATA[[#This Row],[SERIE2]]&amp;"-"&amp;DATA[[#This Row],[NUMERO]],#REF!,34,0),"NO CORRESPONDE"),"NO CORRESPONDE")</f>
        <v>NO CORRESPONDE</v>
      </c>
      <c r="AS243" s="22" t="str">
        <f>IF(DATA[[#This Row],[fecha_fs]]&gt;0,TEXT(DATA[[#This Row],[fecha_fs]],"Mmmm"),0)</f>
        <v>Febrero</v>
      </c>
      <c r="AT243" s="22" t="str">
        <f>DATA[[#This Row],[SERIE2]]&amp;"-"&amp;DATA[[#This Row],[NUMERO]]</f>
        <v>FE01-574</v>
      </c>
      <c r="AU243" s="28">
        <f>DATA[[#This Row],[TOTAL]]*DATA[[#This Row],[T.C.]]</f>
        <v>1830.16</v>
      </c>
      <c r="AV243" s="6">
        <f>DATA[[#This Row],[FECHA DE VAL.]]</f>
        <v>45707</v>
      </c>
      <c r="AW243" s="6">
        <f>DATA[[#This Row],[FECHA DE EMISION]]</f>
        <v>45709</v>
      </c>
      <c r="AX243" s="6">
        <f>DATA[[#This Row],[F1]]</f>
        <v>0</v>
      </c>
      <c r="AY243" s="20">
        <f>IF(AV243-DATA[[#This Row],[fecha_fs]]&lt;0,0,AV243-DATA[[#This Row],[fecha_fs]])</f>
        <v>1</v>
      </c>
      <c r="AZ243" s="20">
        <f t="shared" si="22"/>
        <v>2</v>
      </c>
      <c r="BA243" s="20">
        <f t="shared" si="23"/>
        <v>0</v>
      </c>
      <c r="BB243" s="195">
        <f>IFERROR(SUM(DATA[[#This Row],[fs_val_ttf]:[fact_pago_ttf]]),0)</f>
        <v>3</v>
      </c>
      <c r="BC243" s="184">
        <v>45706</v>
      </c>
      <c r="BD243" s="184">
        <v>45706</v>
      </c>
      <c r="BE243" s="184">
        <v>45706</v>
      </c>
      <c r="BF243" s="184">
        <v>45706</v>
      </c>
      <c r="BG243" s="20">
        <f>IFERROR(IF(BC243-DATA[[#This Row],[fecha_fs]]&lt;0,0,BC243-DATA[[#This Row],[fecha_fs]]),0)</f>
        <v>0</v>
      </c>
      <c r="BH243" s="20">
        <f t="shared" si="24"/>
        <v>0</v>
      </c>
      <c r="BI243" s="20">
        <f t="shared" si="25"/>
        <v>0</v>
      </c>
      <c r="BJ243" s="20">
        <f t="shared" si="26"/>
        <v>0</v>
      </c>
      <c r="BK243" s="218">
        <f>IFERROR(SUM(DATA[[#This Row],[fs_fd_ttd]:[fend_fenf_ttd]]),0)</f>
        <v>0</v>
      </c>
      <c r="BL243" s="20" t="str">
        <f>IF(DATA[[#This Row],[fecha_fs]]&gt;0,TEXT(DATA[[#This Row],[fecha_fs]],"YYYY"),0)</f>
        <v>2025</v>
      </c>
      <c r="BM243" s="221" t="b">
        <v>1</v>
      </c>
      <c r="BN243" s="278">
        <f>COUNTIF(DATA[[#This Row],[tiempo_td]], "&lt;=15")</f>
        <v>1</v>
      </c>
      <c r="BO243" s="222"/>
    </row>
    <row r="244" spans="1:67" ht="30.6" customHeight="1" x14ac:dyDescent="0.25">
      <c r="A244" s="4">
        <v>20553956324</v>
      </c>
      <c r="B244" s="5" t="s">
        <v>281</v>
      </c>
      <c r="C244" s="52" t="s">
        <v>175</v>
      </c>
      <c r="D244" s="4" t="s">
        <v>120</v>
      </c>
      <c r="E244" s="5" t="s">
        <v>3</v>
      </c>
      <c r="F244" s="24">
        <v>45707</v>
      </c>
      <c r="G244" s="7" t="s">
        <v>113</v>
      </c>
      <c r="H244" s="25">
        <f t="shared" si="21"/>
        <v>1</v>
      </c>
      <c r="I244" s="67">
        <v>4133</v>
      </c>
      <c r="J244" s="8" t="s">
        <v>115</v>
      </c>
      <c r="K244" s="9" t="s">
        <v>121</v>
      </c>
      <c r="L244" s="10" t="s">
        <v>117</v>
      </c>
      <c r="M244" s="11">
        <v>200</v>
      </c>
      <c r="N244" s="12" t="s">
        <v>132</v>
      </c>
      <c r="O244" s="6">
        <v>45716</v>
      </c>
      <c r="P244" s="109">
        <v>3328</v>
      </c>
      <c r="Q244" s="14" t="s">
        <v>85</v>
      </c>
      <c r="R244" s="15">
        <f>80/8</f>
        <v>10</v>
      </c>
      <c r="S244" s="56">
        <f>3160.8/11</f>
        <v>287.34545454545457</v>
      </c>
      <c r="T244" s="15">
        <f>DATA[[#This Row],[C. DF]]+DATA[[#This Row],[C.OPE.]]</f>
        <v>297.34545454545457</v>
      </c>
      <c r="U244" s="15">
        <f>DATA[[#This Row],[SUB TOTAL]]*0.18</f>
        <v>53.522181818181821</v>
      </c>
      <c r="V244" s="15">
        <f>IFERROR(ROUND(DATA[[#This Row],[SUB TOTAL]]+DATA[[#This Row],[IGV]],2),0)</f>
        <v>350.87</v>
      </c>
      <c r="W244" s="16" t="str">
        <f>IF(DATA[[#This Row],[VALORIZACIÓN ]]="-","NO CORRESPONDE",IF(OR(A244=20558226979,A244=10470707866,A244=20111157058,A244=20100226902),"NO CORRESPONDE",IF(J244="Emitida",IF(P244&gt;0,"EMITIDA","PENDIENTE"),"NO CORRESPONDE")))</f>
        <v>EMITIDA</v>
      </c>
      <c r="X244" s="29"/>
      <c r="Y244" s="17" t="s">
        <v>118</v>
      </c>
      <c r="Z244" s="30">
        <v>45730</v>
      </c>
      <c r="AA244" s="20" t="s">
        <v>119</v>
      </c>
      <c r="AB244" s="19">
        <v>24</v>
      </c>
      <c r="AC244" s="20">
        <v>0</v>
      </c>
      <c r="AD244" s="18">
        <f>DATA[[#This Row],[FECHA DE EMISION]]+DATA[[#This Row],[CONDICION DE PAGO]]</f>
        <v>45730</v>
      </c>
      <c r="AE244" s="23">
        <f>IF(DATA[[#This Row],[MONEDA]]="USD",VLOOKUP(DATA[[#This Row],[COMBINADA]],#REF!,11,0),1)</f>
        <v>1</v>
      </c>
      <c r="AF244" s="39" t="str">
        <f>IF(DATA[[#This Row],[SERIE2]]="-","NO CORRESPONDE",IF(W244="NO CORRESPONDE","NO CORRESPONDE",IF(Z244&gt;0,"FACTURADO","PENDIENTE")))</f>
        <v>FACTURADO</v>
      </c>
      <c r="AG244" s="27">
        <f>IFERROR(VLOOKUP(DATA[[#This Row],[COMBINADA]],#REF!,6,0),0)</f>
        <v>0</v>
      </c>
      <c r="AH244" s="125">
        <f>IFERROR(VLOOKUP(DATA[[#This Row],[COMBINADA]],#REF!,9,0),0)/COUNTIFS(DATA[COMBINADA],DATA[[#This Row],[COMBINADA]])</f>
        <v>0</v>
      </c>
      <c r="AI244" s="27">
        <f>IFERROR(VLOOKUP(DATA[[#This Row],[COMBINADA]],#REF!,6,0),0)</f>
        <v>0</v>
      </c>
      <c r="AJ244" s="125">
        <f>IFERROR(VLOOKUP(DATA[[#This Row],[COMBINADA]],#REF!,9,0),0)/COUNTIFS(DATA[COMBINADA],DATA[[#This Row],[COMBINADA]])</f>
        <v>0</v>
      </c>
      <c r="AK244" s="27">
        <f>IFERROR(VLOOKUP(DATA[[#This Row],[COMBINADA]],#REF!,6,0),0)</f>
        <v>0</v>
      </c>
      <c r="AL244" s="125">
        <f>IFERROR(VLOOKUP(DATA[[#This Row],[COMBINADA]],#REF!,9,0),0)/COUNTIFS(DATA[COMBINADA],DATA[[#This Row],[COMBINADA]])</f>
        <v>0</v>
      </c>
      <c r="AM244" s="27">
        <f>IFERROR(VLOOKUP(DATA[[#This Row],[COMBINADA]],#REF!,6,0),0)</f>
        <v>0</v>
      </c>
      <c r="AN244" s="125">
        <f>IFERROR(VLOOKUP(DATA[[#This Row],[COMBINADA]],#REF!,9,0),0)/COUNTIFS(DATA[COMBINADA],DATA[[#This Row],[COMBINADA]])</f>
        <v>0</v>
      </c>
      <c r="AO244" s="27">
        <f>IFERROR(VLOOKUP(DATA[[#This Row],[COMBINADA]],#REF!,6,0),0)</f>
        <v>0</v>
      </c>
      <c r="AP244" s="125">
        <f>IFERROR(VLOOKUP(DATA[[#This Row],[COMBINADA]],#REF!,9,0),0)/COUNTIFS(DATA[COMBINADA],DATA[[#This Row],[COMBINADA]])</f>
        <v>0</v>
      </c>
      <c r="AQ24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395.92454545454547</v>
      </c>
      <c r="AR244" s="26" t="str">
        <f>IFERROR(IF(DATA[[#This Row],[estado_fact]]="FACTURADO",VLOOKUP(DATA[[#This Row],[SERIE2]]&amp;"-"&amp;DATA[[#This Row],[NUMERO]],#REF!,34,0),"NO CORRESPONDE"),"NO CORRESPONDE")</f>
        <v>NO CORRESPONDE</v>
      </c>
      <c r="AS244" s="22" t="str">
        <f>IF(DATA[[#This Row],[fecha_fs]]&gt;0,TEXT(DATA[[#This Row],[fecha_fs]],"Mmmm"),0)</f>
        <v>Febrero</v>
      </c>
      <c r="AT244" s="22" t="str">
        <f>DATA[[#This Row],[SERIE2]]&amp;"-"&amp;DATA[[#This Row],[NUMERO]]</f>
        <v>E001-24</v>
      </c>
      <c r="AU244" s="28">
        <f>DATA[[#This Row],[TOTAL]]*DATA[[#This Row],[T.C.]]</f>
        <v>350.87</v>
      </c>
      <c r="AV244" s="6">
        <f>DATA[[#This Row],[FECHA DE VAL.]]</f>
        <v>45716</v>
      </c>
      <c r="AW244" s="6">
        <f>DATA[[#This Row],[FECHA DE EMISION]]</f>
        <v>45730</v>
      </c>
      <c r="AX244" s="6">
        <f>DATA[[#This Row],[F1]]</f>
        <v>0</v>
      </c>
      <c r="AY244" s="20">
        <f>IF(AV244-DATA[[#This Row],[fecha_fs]]&lt;0,0,AV244-DATA[[#This Row],[fecha_fs]])</f>
        <v>9</v>
      </c>
      <c r="AZ244" s="20">
        <f t="shared" si="22"/>
        <v>14</v>
      </c>
      <c r="BA244" s="20">
        <f t="shared" si="23"/>
        <v>0</v>
      </c>
      <c r="BB244" s="195">
        <f>IFERROR(SUM(DATA[[#This Row],[fs_val_ttf]:[fact_pago_ttf]]),0)</f>
        <v>23</v>
      </c>
      <c r="BC244" s="185">
        <v>45729</v>
      </c>
      <c r="BD244" s="185">
        <v>45735</v>
      </c>
      <c r="BE244" s="185">
        <v>45740</v>
      </c>
      <c r="BF244" s="185">
        <v>45759</v>
      </c>
      <c r="BG244" s="20">
        <f>IFERROR(IF(BC244-DATA[[#This Row],[fecha_fs]]&lt;0,0,BC244-DATA[[#This Row],[fecha_fs]]),0)</f>
        <v>22</v>
      </c>
      <c r="BH244" s="20">
        <f t="shared" si="24"/>
        <v>6</v>
      </c>
      <c r="BI244" s="20">
        <f t="shared" si="25"/>
        <v>5</v>
      </c>
      <c r="BJ244" s="20">
        <f t="shared" si="26"/>
        <v>19</v>
      </c>
      <c r="BK244" s="218">
        <f>IFERROR(SUM(DATA[[#This Row],[fs_fd_ttd]:[fend_fenf_ttd]]),0)</f>
        <v>52</v>
      </c>
      <c r="BL244" s="20" t="str">
        <f>IF(DATA[[#This Row],[fecha_fs]]&gt;0,TEXT(DATA[[#This Row],[fecha_fs]],"YYYY"),0)</f>
        <v>2025</v>
      </c>
      <c r="BM244" s="221" t="b">
        <v>0</v>
      </c>
      <c r="BN244" s="278">
        <f>COUNTIF(DATA[[#This Row],[tiempo_td]], "&lt;=15")</f>
        <v>0</v>
      </c>
      <c r="BO244" s="222"/>
    </row>
    <row r="245" spans="1:67" ht="30.6" customHeight="1" x14ac:dyDescent="0.25">
      <c r="A245" s="4">
        <v>20100211115</v>
      </c>
      <c r="B245" s="5" t="s">
        <v>41</v>
      </c>
      <c r="C245" s="52" t="s">
        <v>18</v>
      </c>
      <c r="D245" s="4" t="s">
        <v>120</v>
      </c>
      <c r="E245" s="5" t="s">
        <v>3</v>
      </c>
      <c r="F245" s="24">
        <v>45706</v>
      </c>
      <c r="G245" s="7" t="s">
        <v>113</v>
      </c>
      <c r="H245" s="25">
        <f t="shared" si="21"/>
        <v>1</v>
      </c>
      <c r="I245" s="67">
        <v>4134</v>
      </c>
      <c r="J245" s="8" t="s">
        <v>115</v>
      </c>
      <c r="K245" s="9" t="s">
        <v>121</v>
      </c>
      <c r="L245" s="10" t="s">
        <v>117</v>
      </c>
      <c r="M245" s="11">
        <v>90</v>
      </c>
      <c r="N245" s="12" t="s">
        <v>132</v>
      </c>
      <c r="O245" s="6">
        <v>45716</v>
      </c>
      <c r="P245" s="115">
        <v>3326</v>
      </c>
      <c r="Q245" s="14" t="s">
        <v>85</v>
      </c>
      <c r="R245" s="15"/>
      <c r="S245" s="56">
        <f>(DATA[[#This Row],[cantidad_fs]]*4.37)</f>
        <v>393.3</v>
      </c>
      <c r="T245" s="15">
        <f>DATA[[#This Row],[C. DF]]+DATA[[#This Row],[C.OPE.]]</f>
        <v>393.3</v>
      </c>
      <c r="U245" s="15">
        <f>DATA[[#This Row],[SUB TOTAL]]*0.18</f>
        <v>70.793999999999997</v>
      </c>
      <c r="V245" s="15">
        <f>IFERROR(ROUND(DATA[[#This Row],[SUB TOTAL]]+DATA[[#This Row],[IGV]],2),0)</f>
        <v>464.09</v>
      </c>
      <c r="W245" s="16" t="str">
        <f>IF(DATA[[#This Row],[VALORIZACIÓN ]]="-","NO CORRESPONDE",IF(OR(A245=20558226979,A245=10470707866,A245=20111157058,A245=20100226902),"NO CORRESPONDE",IF(J245="Emitida",IF(P245&gt;0,"EMITIDA","PENDIENTE"),"NO CORRESPONDE")))</f>
        <v>EMITIDA</v>
      </c>
      <c r="X245" s="29"/>
      <c r="Y245" s="17" t="s">
        <v>118</v>
      </c>
      <c r="Z245" s="30">
        <v>45722</v>
      </c>
      <c r="AA245" s="10" t="s">
        <v>124</v>
      </c>
      <c r="AB245" s="19">
        <v>588</v>
      </c>
      <c r="AC245" s="20">
        <v>30</v>
      </c>
      <c r="AD245" s="18">
        <f>DATA[[#This Row],[FECHA DE EMISION]]+DATA[[#This Row],[CONDICION DE PAGO]]</f>
        <v>45752</v>
      </c>
      <c r="AE245" s="23">
        <f>IF(DATA[[#This Row],[MONEDA]]="USD",VLOOKUP(DATA[[#This Row],[COMBINADA]],#REF!,11,0),1)</f>
        <v>1</v>
      </c>
      <c r="AF245" s="39" t="str">
        <f>IF(DATA[[#This Row],[SERIE2]]="-","NO CORRESPONDE",IF(W245="NO CORRESPONDE","NO CORRESPONDE",IF(Z245&gt;0,"FACTURADO","PENDIENTE")))</f>
        <v>FACTURADO</v>
      </c>
      <c r="AG245" s="27">
        <f>IFERROR(VLOOKUP(DATA[[#This Row],[COMBINADA]],#REF!,6,0),0)</f>
        <v>0</v>
      </c>
      <c r="AH245" s="125">
        <f>IFERROR(VLOOKUP(DATA[[#This Row],[COMBINADA]],#REF!,9,0),0)/COUNTIFS(DATA[COMBINADA],DATA[[#This Row],[COMBINADA]])</f>
        <v>0</v>
      </c>
      <c r="AI245" s="27">
        <f>IFERROR(VLOOKUP(DATA[[#This Row],[COMBINADA]],#REF!,6,0),0)</f>
        <v>0</v>
      </c>
      <c r="AJ245" s="125">
        <f>IFERROR(VLOOKUP(DATA[[#This Row],[COMBINADA]],#REF!,9,0),0)/COUNTIFS(DATA[COMBINADA],DATA[[#This Row],[COMBINADA]])</f>
        <v>0</v>
      </c>
      <c r="AK245" s="27">
        <f>IFERROR(VLOOKUP(DATA[[#This Row],[COMBINADA]],#REF!,6,0),0)</f>
        <v>0</v>
      </c>
      <c r="AL245" s="125">
        <f>IFERROR(VLOOKUP(DATA[[#This Row],[COMBINADA]],#REF!,9,0),0)/COUNTIFS(DATA[COMBINADA],DATA[[#This Row],[COMBINADA]])</f>
        <v>0</v>
      </c>
      <c r="AM245" s="27">
        <f>IFERROR(VLOOKUP(DATA[[#This Row],[COMBINADA]],#REF!,6,0),0)</f>
        <v>0</v>
      </c>
      <c r="AN245" s="125">
        <f>IFERROR(VLOOKUP(DATA[[#This Row],[COMBINADA]],#REF!,9,0),0)/COUNTIFS(DATA[COMBINADA],DATA[[#This Row],[COMBINADA]])</f>
        <v>0</v>
      </c>
      <c r="AO245" s="27">
        <f>IFERROR(VLOOKUP(DATA[[#This Row],[COMBINADA]],#REF!,6,0),0)</f>
        <v>0</v>
      </c>
      <c r="AP245" s="125">
        <f>IFERROR(VLOOKUP(DATA[[#This Row],[COMBINADA]],#REF!,9,0),0)/COUNTIFS(DATA[COMBINADA],DATA[[#This Row],[COMBINADA]])</f>
        <v>0</v>
      </c>
      <c r="AQ24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245" s="26" t="str">
        <f>IFERROR(IF(DATA[[#This Row],[estado_fact]]="FACTURADO",VLOOKUP(DATA[[#This Row],[SERIE2]]&amp;"-"&amp;DATA[[#This Row],[NUMERO]],#REF!,34,0),"NO CORRESPONDE"),"NO CORRESPONDE")</f>
        <v>NO CORRESPONDE</v>
      </c>
      <c r="AS245" s="22" t="str">
        <f>IF(DATA[[#This Row],[fecha_fs]]&gt;0,TEXT(DATA[[#This Row],[fecha_fs]],"Mmmm"),0)</f>
        <v>Febrero</v>
      </c>
      <c r="AT245" s="22" t="str">
        <f>DATA[[#This Row],[SERIE2]]&amp;"-"&amp;DATA[[#This Row],[NUMERO]]</f>
        <v>FE01-588</v>
      </c>
      <c r="AU245" s="28">
        <f>DATA[[#This Row],[TOTAL]]*DATA[[#This Row],[T.C.]]</f>
        <v>464.09</v>
      </c>
      <c r="AV245" s="6">
        <f>DATA[[#This Row],[FECHA DE VAL.]]</f>
        <v>45716</v>
      </c>
      <c r="AW245" s="6">
        <f>DATA[[#This Row],[FECHA DE EMISION]]</f>
        <v>45722</v>
      </c>
      <c r="AX245" s="6">
        <f>DATA[[#This Row],[F1]]</f>
        <v>0</v>
      </c>
      <c r="AY245" s="20">
        <f>IF(AV245-DATA[[#This Row],[fecha_fs]]&lt;0,0,AV245-DATA[[#This Row],[fecha_fs]])</f>
        <v>10</v>
      </c>
      <c r="AZ245" s="20">
        <f t="shared" si="22"/>
        <v>6</v>
      </c>
      <c r="BA245" s="20">
        <f t="shared" si="23"/>
        <v>0</v>
      </c>
      <c r="BB245" s="195">
        <f>IFERROR(SUM(DATA[[#This Row],[fs_val_ttf]:[fact_pago_ttf]]),0)</f>
        <v>16</v>
      </c>
      <c r="BC245" s="185">
        <v>45729</v>
      </c>
      <c r="BD245" s="185">
        <v>45735</v>
      </c>
      <c r="BE245" s="185">
        <v>45740</v>
      </c>
      <c r="BF245" s="185">
        <v>45749</v>
      </c>
      <c r="BG245" s="20">
        <f>IFERROR(IF(BC245-DATA[[#This Row],[fecha_fs]]&lt;0,0,BC245-DATA[[#This Row],[fecha_fs]]),0)</f>
        <v>23</v>
      </c>
      <c r="BH245" s="20">
        <f t="shared" si="24"/>
        <v>6</v>
      </c>
      <c r="BI245" s="20">
        <f t="shared" si="25"/>
        <v>5</v>
      </c>
      <c r="BJ245" s="20">
        <f t="shared" si="26"/>
        <v>9</v>
      </c>
      <c r="BK245" s="218">
        <f>IFERROR(SUM(DATA[[#This Row],[fs_fd_ttd]:[fend_fenf_ttd]]),0)</f>
        <v>43</v>
      </c>
      <c r="BL245" s="20" t="str">
        <f>IF(DATA[[#This Row],[fecha_fs]]&gt;0,TEXT(DATA[[#This Row],[fecha_fs]],"YYYY"),0)</f>
        <v>2025</v>
      </c>
      <c r="BM245" s="221" t="b">
        <v>1</v>
      </c>
      <c r="BN245" s="278">
        <f>COUNTIF(DATA[[#This Row],[tiempo_td]], "&lt;=15")</f>
        <v>0</v>
      </c>
      <c r="BO245" s="222"/>
    </row>
    <row r="246" spans="1:67" ht="30.6" customHeight="1" x14ac:dyDescent="0.25">
      <c r="A246" s="4">
        <v>20141637941</v>
      </c>
      <c r="B246" s="5" t="s">
        <v>79</v>
      </c>
      <c r="C246" s="52" t="s">
        <v>18</v>
      </c>
      <c r="D246" s="4" t="s">
        <v>120</v>
      </c>
      <c r="E246" s="5" t="s">
        <v>3</v>
      </c>
      <c r="F246" s="24">
        <v>45707</v>
      </c>
      <c r="G246" s="7" t="s">
        <v>113</v>
      </c>
      <c r="H246" s="25">
        <f t="shared" si="21"/>
        <v>1</v>
      </c>
      <c r="I246" s="67">
        <v>4135</v>
      </c>
      <c r="J246" s="8" t="s">
        <v>115</v>
      </c>
      <c r="K246" s="9" t="s">
        <v>121</v>
      </c>
      <c r="L246" s="10" t="s">
        <v>117</v>
      </c>
      <c r="M246" s="11">
        <v>1710</v>
      </c>
      <c r="N246" s="12" t="s">
        <v>125</v>
      </c>
      <c r="O246" s="6">
        <v>45716</v>
      </c>
      <c r="P246" s="110">
        <v>3331</v>
      </c>
      <c r="Q246" s="14" t="s">
        <v>85</v>
      </c>
      <c r="R246" s="15">
        <f>70+(DATA[[#This Row],[cantidad_fs]]-1000)*0.1</f>
        <v>141</v>
      </c>
      <c r="S246" s="56">
        <v>517</v>
      </c>
      <c r="T246" s="15">
        <f>DATA[[#This Row],[C. DF]]+DATA[[#This Row],[C.OPE.]]</f>
        <v>658</v>
      </c>
      <c r="U246" s="15">
        <f>DATA[[#This Row],[SUB TOTAL]]*0.18</f>
        <v>118.44</v>
      </c>
      <c r="V246" s="15">
        <f>IFERROR(ROUND(DATA[[#This Row],[SUB TOTAL]]+DATA[[#This Row],[IGV]],2),0)</f>
        <v>776.44</v>
      </c>
      <c r="W246" s="16" t="str">
        <f>IF(DATA[[#This Row],[VALORIZACIÓN ]]="-","NO CORRESPONDE",IF(OR(A246=20558226979,A246=10470707866,A246=20111157058,A246=20100226902),"NO CORRESPONDE",IF(J246="Emitida",IF(P246&gt;0,"EMITIDA","PENDIENTE"),"NO CORRESPONDE")))</f>
        <v>EMITIDA</v>
      </c>
      <c r="X246" s="29"/>
      <c r="Y246" s="17" t="s">
        <v>118</v>
      </c>
      <c r="Z246" s="30">
        <v>45719</v>
      </c>
      <c r="AA246" s="10" t="s">
        <v>124</v>
      </c>
      <c r="AB246" s="19">
        <v>587</v>
      </c>
      <c r="AC246" s="20">
        <v>30</v>
      </c>
      <c r="AD246" s="18">
        <f>DATA[[#This Row],[FECHA DE EMISION]]+DATA[[#This Row],[CONDICION DE PAGO]]</f>
        <v>45749</v>
      </c>
      <c r="AE246" s="23">
        <f>IF(DATA[[#This Row],[MONEDA]]="USD",VLOOKUP(DATA[[#This Row],[COMBINADA]],#REF!,11,0),1)</f>
        <v>1</v>
      </c>
      <c r="AF246" s="39" t="str">
        <f>IF(DATA[[#This Row],[SERIE2]]="-","NO CORRESPONDE",IF(W246="NO CORRESPONDE","NO CORRESPONDE",IF(Z246&gt;0,"FACTURADO","PENDIENTE")))</f>
        <v>FACTURADO</v>
      </c>
      <c r="AG246" s="27">
        <f>IFERROR(VLOOKUP(DATA[[#This Row],[COMBINADA]],#REF!,6,0),0)</f>
        <v>0</v>
      </c>
      <c r="AH246" s="125">
        <f>IFERROR(VLOOKUP(DATA[[#This Row],[COMBINADA]],#REF!,9,0),0)/COUNTIFS(DATA[COMBINADA],DATA[[#This Row],[COMBINADA]])</f>
        <v>0</v>
      </c>
      <c r="AI246" s="27">
        <f>IFERROR(VLOOKUP(DATA[[#This Row],[COMBINADA]],#REF!,6,0),0)</f>
        <v>0</v>
      </c>
      <c r="AJ246" s="125">
        <f>IFERROR(VLOOKUP(DATA[[#This Row],[COMBINADA]],#REF!,9,0),0)/COUNTIFS(DATA[COMBINADA],DATA[[#This Row],[COMBINADA]])</f>
        <v>0</v>
      </c>
      <c r="AK246" s="27">
        <f>IFERROR(VLOOKUP(DATA[[#This Row],[COMBINADA]],#REF!,6,0),0)</f>
        <v>0</v>
      </c>
      <c r="AL246" s="125">
        <f>IFERROR(VLOOKUP(DATA[[#This Row],[COMBINADA]],#REF!,9,0),0)/COUNTIFS(DATA[COMBINADA],DATA[[#This Row],[COMBINADA]])</f>
        <v>0</v>
      </c>
      <c r="AM246" s="27">
        <f>IFERROR(VLOOKUP(DATA[[#This Row],[COMBINADA]],#REF!,6,0),0)</f>
        <v>0</v>
      </c>
      <c r="AN246" s="125">
        <f>IFERROR(VLOOKUP(DATA[[#This Row],[COMBINADA]],#REF!,9,0),0)/COUNTIFS(DATA[COMBINADA],DATA[[#This Row],[COMBINADA]])</f>
        <v>0</v>
      </c>
      <c r="AO246" s="27">
        <f>IFERROR(VLOOKUP(DATA[[#This Row],[COMBINADA]],#REF!,6,0),0)</f>
        <v>0</v>
      </c>
      <c r="AP246" s="125">
        <f>IFERROR(VLOOKUP(DATA[[#This Row],[COMBINADA]],#REF!,9,0),0)/COUNTIFS(DATA[COMBINADA],DATA[[#This Row],[COMBINADA]])</f>
        <v>0</v>
      </c>
      <c r="AQ24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759.32999999999993</v>
      </c>
      <c r="AR246" s="26" t="str">
        <f>IFERROR(IF(DATA[[#This Row],[estado_fact]]="FACTURADO",VLOOKUP(DATA[[#This Row],[SERIE2]]&amp;"-"&amp;DATA[[#This Row],[NUMERO]],#REF!,34,0),"NO CORRESPONDE"),"NO CORRESPONDE")</f>
        <v>NO CORRESPONDE</v>
      </c>
      <c r="AS246" s="22" t="str">
        <f>IF(DATA[[#This Row],[fecha_fs]]&gt;0,TEXT(DATA[[#This Row],[fecha_fs]],"Mmmm"),0)</f>
        <v>Febrero</v>
      </c>
      <c r="AT246" s="22" t="str">
        <f>DATA[[#This Row],[SERIE2]]&amp;"-"&amp;DATA[[#This Row],[NUMERO]]</f>
        <v>FE01-587</v>
      </c>
      <c r="AU246" s="28">
        <f>DATA[[#This Row],[TOTAL]]*DATA[[#This Row],[T.C.]]</f>
        <v>776.44</v>
      </c>
      <c r="AV246" s="6">
        <f>DATA[[#This Row],[FECHA DE VAL.]]</f>
        <v>45716</v>
      </c>
      <c r="AW246" s="6">
        <f>DATA[[#This Row],[FECHA DE EMISION]]</f>
        <v>45719</v>
      </c>
      <c r="AX246" s="6">
        <f>DATA[[#This Row],[F1]]</f>
        <v>0</v>
      </c>
      <c r="AY246" s="20">
        <f>IF(AV246-DATA[[#This Row],[fecha_fs]]&lt;0,0,AV246-DATA[[#This Row],[fecha_fs]])</f>
        <v>9</v>
      </c>
      <c r="AZ246" s="20">
        <f t="shared" si="22"/>
        <v>3</v>
      </c>
      <c r="BA246" s="20">
        <f t="shared" si="23"/>
        <v>0</v>
      </c>
      <c r="BB246" s="195">
        <f>IFERROR(SUM(DATA[[#This Row],[fs_val_ttf]:[fact_pago_ttf]]),0)</f>
        <v>12</v>
      </c>
      <c r="BC246" s="185">
        <v>45707</v>
      </c>
      <c r="BD246" s="185">
        <v>45707</v>
      </c>
      <c r="BE246" s="185">
        <v>45719</v>
      </c>
      <c r="BF246" s="185">
        <v>45719</v>
      </c>
      <c r="BG246" s="20">
        <f>IFERROR(IF(BC246-DATA[[#This Row],[fecha_fs]]&lt;0,0,BC246-DATA[[#This Row],[fecha_fs]]),0)</f>
        <v>0</v>
      </c>
      <c r="BH246" s="20">
        <f t="shared" si="24"/>
        <v>0</v>
      </c>
      <c r="BI246" s="20">
        <f t="shared" si="25"/>
        <v>12</v>
      </c>
      <c r="BJ246" s="20">
        <f t="shared" si="26"/>
        <v>0</v>
      </c>
      <c r="BK246" s="218">
        <f>IFERROR(SUM(DATA[[#This Row],[fs_fd_ttd]:[fend_fenf_ttd]]),0)</f>
        <v>12</v>
      </c>
      <c r="BL246" s="20" t="str">
        <f>IF(DATA[[#This Row],[fecha_fs]]&gt;0,TEXT(DATA[[#This Row],[fecha_fs]],"YYYY"),0)</f>
        <v>2025</v>
      </c>
      <c r="BM246" s="221" t="b">
        <v>1</v>
      </c>
      <c r="BN246" s="278">
        <f>COUNTIF(DATA[[#This Row],[tiempo_td]], "&lt;=15")</f>
        <v>1</v>
      </c>
      <c r="BO246" s="222"/>
    </row>
    <row r="247" spans="1:67" ht="30" customHeight="1" x14ac:dyDescent="0.25">
      <c r="A247" s="4"/>
      <c r="B247" s="5" t="s">
        <v>0</v>
      </c>
      <c r="C247" s="52"/>
      <c r="D247" s="4"/>
      <c r="E247" s="5" t="s">
        <v>0</v>
      </c>
      <c r="F247" s="24">
        <v>45706</v>
      </c>
      <c r="G247" s="7" t="s">
        <v>113</v>
      </c>
      <c r="H247" s="25">
        <f t="shared" si="21"/>
        <v>1</v>
      </c>
      <c r="I247" s="67">
        <v>4136</v>
      </c>
      <c r="J247" s="8" t="s">
        <v>151</v>
      </c>
      <c r="K247" s="9"/>
      <c r="L247" s="10"/>
      <c r="M247" s="111"/>
      <c r="N247" s="112"/>
      <c r="O247" s="6"/>
      <c r="P247" s="13" t="s">
        <v>114</v>
      </c>
      <c r="Q247" s="14"/>
      <c r="R247" s="43"/>
      <c r="S247" s="43"/>
      <c r="T247" s="43">
        <f>DATA[[#This Row],[C. DF]]+DATA[[#This Row],[C.OPE.]]</f>
        <v>0</v>
      </c>
      <c r="U247" s="73">
        <f>DATA[[#This Row],[SUB TOTAL]]*0.18</f>
        <v>0</v>
      </c>
      <c r="V247" s="45">
        <f>IFERROR(ROUND(DATA[[#This Row],[SUB TOTAL]]+DATA[[#This Row],[IGV]],2),0)</f>
        <v>0</v>
      </c>
      <c r="W247" s="58" t="str">
        <f>IF(DATA[[#This Row],[VALORIZACIÓN ]]="-","NO CORRESPONDE",IF(OR(A247=20558226979,A247=10470707866,A247=20111157058,A247=20100226902),"NO CORRESPONDE",IF(J247="Emitida",IF(P247&gt;0,"EMITIDA","PENDIENTE"),"NO CORRESPONDE")))</f>
        <v>NO CORRESPONDE</v>
      </c>
      <c r="X247" s="46"/>
      <c r="Y247" s="17" t="s">
        <v>128</v>
      </c>
      <c r="Z247" s="48"/>
      <c r="AA247" s="49"/>
      <c r="AB247" s="50"/>
      <c r="AC247" s="51"/>
      <c r="AD247" s="59">
        <f>DATA[[#This Row],[FECHA DE EMISION]]+DATA[[#This Row],[CONDICION DE PAGO]]</f>
        <v>0</v>
      </c>
      <c r="AE247" s="23">
        <f>IF(DATA[[#This Row],[MONEDA]]="USD",VLOOKUP(DATA[[#This Row],[COMBINADA]],#REF!,11,0),1)</f>
        <v>1</v>
      </c>
      <c r="AF247" s="39" t="str">
        <f>IF(DATA[[#This Row],[SERIE2]]="-","NO CORRESPONDE",IF(W247="NO CORRESPONDE","NO CORRESPONDE",IF(Z247&gt;0,"FACTURADO","PENDIENTE")))</f>
        <v>NO CORRESPONDE</v>
      </c>
      <c r="AG247" s="61">
        <f>IFERROR(VLOOKUP(DATA[[#This Row],[COMBINADA]],#REF!,6,0),0)</f>
        <v>0</v>
      </c>
      <c r="AH247" s="62">
        <f>IFERROR(VLOOKUP(DATA[[#This Row],[COMBINADA]],#REF!,9,0),0)/COUNTIFS(DATA[COMBINADA],DATA[[#This Row],[COMBINADA]])</f>
        <v>0</v>
      </c>
      <c r="AI247" s="61">
        <f>IFERROR(VLOOKUP(DATA[[#This Row],[COMBINADA]],#REF!,6,0),0)</f>
        <v>0</v>
      </c>
      <c r="AJ247" s="62">
        <f>IFERROR(VLOOKUP(DATA[[#This Row],[COMBINADA]],#REF!,9,0),0)/COUNTIFS(DATA[COMBINADA],DATA[[#This Row],[COMBINADA]])</f>
        <v>0</v>
      </c>
      <c r="AK247" s="61">
        <f>IFERROR(VLOOKUP(DATA[[#This Row],[COMBINADA]],#REF!,6,0),0)</f>
        <v>0</v>
      </c>
      <c r="AL247" s="62">
        <f>IFERROR(VLOOKUP(DATA[[#This Row],[COMBINADA]],#REF!,9,0),0)/COUNTIFS(DATA[COMBINADA],DATA[[#This Row],[COMBINADA]])</f>
        <v>0</v>
      </c>
      <c r="AM247" s="61">
        <f>IFERROR(VLOOKUP(DATA[[#This Row],[COMBINADA]],#REF!,6,0),0)</f>
        <v>0</v>
      </c>
      <c r="AN247" s="62">
        <f>IFERROR(VLOOKUP(DATA[[#This Row],[COMBINADA]],#REF!,9,0),0)/COUNTIFS(DATA[COMBINADA],DATA[[#This Row],[COMBINADA]])</f>
        <v>0</v>
      </c>
      <c r="AO247" s="61">
        <f>IFERROR(VLOOKUP(DATA[[#This Row],[COMBINADA]],#REF!,6,0),0)</f>
        <v>0</v>
      </c>
      <c r="AP247" s="62">
        <f>IFERROR(VLOOKUP(DATA[[#This Row],[COMBINADA]],#REF!,9,0),0)/COUNTIFS(DATA[COMBINADA],DATA[[#This Row],[COMBINADA]])</f>
        <v>0</v>
      </c>
      <c r="AQ247"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247" s="22" t="str">
        <f>IFERROR(IF(DATA[[#This Row],[estado_fact]]="FACTURADO",VLOOKUP(DATA[[#This Row],[SERIE2]]&amp;"-"&amp;DATA[[#This Row],[NUMERO]],#REF!,34,0),"NO CORRESPONDE"),"NO CORRESPONDE")</f>
        <v>NO CORRESPONDE</v>
      </c>
      <c r="AS247" s="198" t="str">
        <f>IF(DATA[[#This Row],[fecha_fs]]&gt;0,TEXT(DATA[[#This Row],[fecha_fs]],"Mmmm"),0)</f>
        <v>Febrero</v>
      </c>
      <c r="AT247" s="199" t="str">
        <f>DATA[[#This Row],[SERIE2]]&amp;"-"&amp;DATA[[#This Row],[NUMERO]]</f>
        <v>-</v>
      </c>
      <c r="AU247" s="198">
        <f>DATA[[#This Row],[TOTAL]]*DATA[[#This Row],[T.C.]]</f>
        <v>0</v>
      </c>
      <c r="AV247" s="40">
        <f>DATA[[#This Row],[FECHA DE VAL.]]</f>
        <v>0</v>
      </c>
      <c r="AW247" s="40">
        <f>DATA[[#This Row],[FECHA DE EMISION]]</f>
        <v>0</v>
      </c>
      <c r="AX247" s="40">
        <f>DATA[[#This Row],[F1]]</f>
        <v>0</v>
      </c>
      <c r="AY247" s="49">
        <f>IF(AV247-DATA[[#This Row],[fecha_fs]]&lt;0,0,AV247-DATA[[#This Row],[fecha_fs]])</f>
        <v>0</v>
      </c>
      <c r="AZ247" s="49">
        <f t="shared" si="22"/>
        <v>0</v>
      </c>
      <c r="BA247" s="49">
        <f t="shared" si="23"/>
        <v>0</v>
      </c>
      <c r="BB247" s="195">
        <f>IFERROR(SUM(DATA[[#This Row],[fs_val_ttf]:[fact_pago_ttf]]),0)</f>
        <v>0</v>
      </c>
      <c r="BC247" s="200"/>
      <c r="BD247" s="200"/>
      <c r="BE247" s="200"/>
      <c r="BF247" s="200"/>
      <c r="BG247" s="49">
        <f>IFERROR(IF(BC247-DATA[[#This Row],[fecha_fs]]&lt;0,0,BC247-DATA[[#This Row],[fecha_fs]]),0)</f>
        <v>0</v>
      </c>
      <c r="BH247" s="49">
        <f t="shared" si="24"/>
        <v>0</v>
      </c>
      <c r="BI247" s="49">
        <f t="shared" si="25"/>
        <v>0</v>
      </c>
      <c r="BJ247" s="49">
        <f t="shared" si="26"/>
        <v>0</v>
      </c>
      <c r="BK247" s="218">
        <f>IFERROR(SUM(DATA[[#This Row],[fs_fd_ttd]:[fend_fenf_ttd]]),0)</f>
        <v>0</v>
      </c>
      <c r="BL247" s="20" t="str">
        <f>IF(DATA[[#This Row],[fecha_fs]]&gt;0,TEXT(DATA[[#This Row],[fecha_fs]],"YYYY"),0)</f>
        <v>2025</v>
      </c>
      <c r="BM247" s="221" t="b">
        <v>0</v>
      </c>
      <c r="BN247" s="278"/>
      <c r="BO247" s="222"/>
    </row>
    <row r="248" spans="1:67" ht="30.6" customHeight="1" x14ac:dyDescent="0.25">
      <c r="A248" s="4">
        <v>20100055237</v>
      </c>
      <c r="B248" s="5" t="s">
        <v>21</v>
      </c>
      <c r="C248" s="52" t="s">
        <v>138</v>
      </c>
      <c r="D248" s="4" t="s">
        <v>139</v>
      </c>
      <c r="E248" s="5" t="s">
        <v>23</v>
      </c>
      <c r="F248" s="24">
        <v>45706</v>
      </c>
      <c r="G248" s="7" t="s">
        <v>113</v>
      </c>
      <c r="H248" s="25">
        <f t="shared" si="21"/>
        <v>1</v>
      </c>
      <c r="I248" s="67">
        <v>4137</v>
      </c>
      <c r="J248" s="8" t="s">
        <v>115</v>
      </c>
      <c r="K248" s="9" t="s">
        <v>121</v>
      </c>
      <c r="L248" s="10" t="s">
        <v>117</v>
      </c>
      <c r="M248" s="11">
        <v>150</v>
      </c>
      <c r="N248" s="12" t="s">
        <v>132</v>
      </c>
      <c r="O248" s="6">
        <v>45716</v>
      </c>
      <c r="P248" s="54">
        <v>3330</v>
      </c>
      <c r="Q248" s="14" t="s">
        <v>85</v>
      </c>
      <c r="R248" s="74"/>
      <c r="S248" s="56">
        <v>297.92</v>
      </c>
      <c r="T248" s="15">
        <f>DATA[[#This Row],[C. DF]]+DATA[[#This Row],[C.OPE.]]</f>
        <v>297.92</v>
      </c>
      <c r="U248" s="15">
        <f>DATA[[#This Row],[SUB TOTAL]]*0.18</f>
        <v>53.625599999999999</v>
      </c>
      <c r="V248" s="15">
        <f>IFERROR(ROUND(DATA[[#This Row],[SUB TOTAL]]+DATA[[#This Row],[IGV]],2),0)</f>
        <v>351.55</v>
      </c>
      <c r="W248" s="16" t="str">
        <f>IF(DATA[[#This Row],[VALORIZACIÓN ]]="-","NO CORRESPONDE",IF(OR(A248=20558226979,A248=10470707866,A248=20111157058,A248=20100226902),"NO CORRESPONDE",IF(J248="Emitida",IF(P248&gt;0,"EMITIDA","PENDIENTE"),"NO CORRESPONDE")))</f>
        <v>EMITIDA</v>
      </c>
      <c r="X248" s="29"/>
      <c r="Y248" s="17" t="s">
        <v>118</v>
      </c>
      <c r="Z248" s="30">
        <v>45722</v>
      </c>
      <c r="AA248" s="10" t="s">
        <v>124</v>
      </c>
      <c r="AB248" s="19">
        <v>591</v>
      </c>
      <c r="AC248" s="20">
        <v>30</v>
      </c>
      <c r="AD248" s="18">
        <f>DATA[[#This Row],[FECHA DE EMISION]]+DATA[[#This Row],[CONDICION DE PAGO]]</f>
        <v>45752</v>
      </c>
      <c r="AE248" s="23">
        <f>IF(DATA[[#This Row],[MONEDA]]="USD",VLOOKUP(DATA[[#This Row],[COMBINADA]],#REF!,11,0),1)</f>
        <v>1</v>
      </c>
      <c r="AF248" s="39" t="str">
        <f>IF(DATA[[#This Row],[SERIE2]]="-","NO CORRESPONDE",IF(W248="NO CORRESPONDE","NO CORRESPONDE",IF(Z248&gt;0,"FACTURADO","PENDIENTE")))</f>
        <v>FACTURADO</v>
      </c>
      <c r="AG248" s="27">
        <f>IFERROR(VLOOKUP(DATA[[#This Row],[COMBINADA]],#REF!,6,0),0)</f>
        <v>0</v>
      </c>
      <c r="AH248" s="125">
        <f>IFERROR(VLOOKUP(DATA[[#This Row],[COMBINADA]],#REF!,9,0),0)/COUNTIFS(DATA[COMBINADA],DATA[[#This Row],[COMBINADA]])</f>
        <v>0</v>
      </c>
      <c r="AI248" s="27">
        <f>IFERROR(VLOOKUP(DATA[[#This Row],[COMBINADA]],#REF!,6,0),0)</f>
        <v>0</v>
      </c>
      <c r="AJ248" s="125">
        <f>IFERROR(VLOOKUP(DATA[[#This Row],[COMBINADA]],#REF!,9,0),0)/COUNTIFS(DATA[COMBINADA],DATA[[#This Row],[COMBINADA]])</f>
        <v>0</v>
      </c>
      <c r="AK248" s="27">
        <f>IFERROR(VLOOKUP(DATA[[#This Row],[COMBINADA]],#REF!,6,0),0)</f>
        <v>0</v>
      </c>
      <c r="AL248" s="125">
        <f>IFERROR(VLOOKUP(DATA[[#This Row],[COMBINADA]],#REF!,9,0),0)/COUNTIFS(DATA[COMBINADA],DATA[[#This Row],[COMBINADA]])</f>
        <v>0</v>
      </c>
      <c r="AM248" s="27">
        <f>IFERROR(VLOOKUP(DATA[[#This Row],[COMBINADA]],#REF!,6,0),0)</f>
        <v>0</v>
      </c>
      <c r="AN248" s="125">
        <f>IFERROR(VLOOKUP(DATA[[#This Row],[COMBINADA]],#REF!,9,0),0)/COUNTIFS(DATA[COMBINADA],DATA[[#This Row],[COMBINADA]])</f>
        <v>0</v>
      </c>
      <c r="AO248" s="27">
        <f>IFERROR(VLOOKUP(DATA[[#This Row],[COMBINADA]],#REF!,6,0),0)</f>
        <v>0</v>
      </c>
      <c r="AP248" s="125">
        <f>IFERROR(VLOOKUP(DATA[[#This Row],[COMBINADA]],#REF!,9,0),0)/COUNTIFS(DATA[COMBINADA],DATA[[#This Row],[COMBINADA]])</f>
        <v>0</v>
      </c>
      <c r="AQ24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248" s="26" t="str">
        <f>IFERROR(IF(DATA[[#This Row],[estado_fact]]="FACTURADO",VLOOKUP(DATA[[#This Row],[SERIE2]]&amp;"-"&amp;DATA[[#This Row],[NUMERO]],#REF!,34,0),"NO CORRESPONDE"),"NO CORRESPONDE")</f>
        <v>NO CORRESPONDE</v>
      </c>
      <c r="AS248" s="22" t="str">
        <f>IF(DATA[[#This Row],[fecha_fs]]&gt;0,TEXT(DATA[[#This Row],[fecha_fs]],"Mmmm"),0)</f>
        <v>Febrero</v>
      </c>
      <c r="AT248" s="22" t="str">
        <f>DATA[[#This Row],[SERIE2]]&amp;"-"&amp;DATA[[#This Row],[NUMERO]]</f>
        <v>FE01-591</v>
      </c>
      <c r="AU248" s="28">
        <f>DATA[[#This Row],[TOTAL]]*DATA[[#This Row],[T.C.]]</f>
        <v>351.55</v>
      </c>
      <c r="AV248" s="6">
        <f>DATA[[#This Row],[FECHA DE VAL.]]</f>
        <v>45716</v>
      </c>
      <c r="AW248" s="6">
        <f>DATA[[#This Row],[FECHA DE EMISION]]</f>
        <v>45722</v>
      </c>
      <c r="AX248" s="6">
        <f>DATA[[#This Row],[F1]]</f>
        <v>0</v>
      </c>
      <c r="AY248" s="20">
        <f>IF(AV248-DATA[[#This Row],[fecha_fs]]&lt;0,0,AV248-DATA[[#This Row],[fecha_fs]])</f>
        <v>10</v>
      </c>
      <c r="AZ248" s="20">
        <f t="shared" si="22"/>
        <v>6</v>
      </c>
      <c r="BA248" s="20">
        <f t="shared" si="23"/>
        <v>0</v>
      </c>
      <c r="BB248" s="195">
        <f>IFERROR(SUM(DATA[[#This Row],[fs_val_ttf]:[fact_pago_ttf]]),0)</f>
        <v>16</v>
      </c>
      <c r="BC248" s="185">
        <v>45706</v>
      </c>
      <c r="BD248" s="185">
        <v>45706</v>
      </c>
      <c r="BE248" s="185">
        <v>45719</v>
      </c>
      <c r="BF248" s="185" t="s">
        <v>292</v>
      </c>
      <c r="BG248" s="20">
        <f>IFERROR(IF(BC248-DATA[[#This Row],[fecha_fs]]&lt;0,0,BC248-DATA[[#This Row],[fecha_fs]]),0)</f>
        <v>0</v>
      </c>
      <c r="BH248" s="20">
        <f t="shared" si="24"/>
        <v>0</v>
      </c>
      <c r="BI248" s="20">
        <f t="shared" si="25"/>
        <v>13</v>
      </c>
      <c r="BJ248" s="20">
        <f t="shared" si="26"/>
        <v>0</v>
      </c>
      <c r="BK248" s="218">
        <f>IFERROR(SUM(DATA[[#This Row],[fs_fd_ttd]:[fend_fenf_ttd]]),0)</f>
        <v>13</v>
      </c>
      <c r="BL248" s="20" t="str">
        <f>IF(DATA[[#This Row],[fecha_fs]]&gt;0,TEXT(DATA[[#This Row],[fecha_fs]],"YYYY"),0)</f>
        <v>2025</v>
      </c>
      <c r="BM248" s="221" t="b">
        <v>1</v>
      </c>
      <c r="BN248" s="278">
        <f>COUNTIF(DATA[[#This Row],[tiempo_td]], "&lt;=15")</f>
        <v>1</v>
      </c>
      <c r="BO248" s="222"/>
    </row>
    <row r="249" spans="1:67" ht="30.6" customHeight="1" x14ac:dyDescent="0.25">
      <c r="A249" s="4">
        <v>20419158462</v>
      </c>
      <c r="B249" s="5" t="s">
        <v>2</v>
      </c>
      <c r="C249" s="52" t="s">
        <v>14</v>
      </c>
      <c r="D249" s="4" t="s">
        <v>120</v>
      </c>
      <c r="E249" s="5" t="s">
        <v>3</v>
      </c>
      <c r="F249" s="24">
        <v>45706</v>
      </c>
      <c r="G249" s="7" t="s">
        <v>113</v>
      </c>
      <c r="H249" s="25">
        <f t="shared" si="21"/>
        <v>1</v>
      </c>
      <c r="I249" s="67">
        <v>4138</v>
      </c>
      <c r="J249" s="8" t="s">
        <v>115</v>
      </c>
      <c r="K249" s="9" t="s">
        <v>156</v>
      </c>
      <c r="L249" s="10" t="s">
        <v>117</v>
      </c>
      <c r="M249" s="11">
        <v>850</v>
      </c>
      <c r="N249" s="12" t="s">
        <v>125</v>
      </c>
      <c r="O249" s="6">
        <v>45707</v>
      </c>
      <c r="P249" s="13">
        <v>3298</v>
      </c>
      <c r="Q249" s="14" t="s">
        <v>85</v>
      </c>
      <c r="R249" s="75">
        <v>0</v>
      </c>
      <c r="S249" s="56">
        <f>1429.7/2</f>
        <v>714.85</v>
      </c>
      <c r="T249" s="15">
        <f>DATA[[#This Row],[C. DF]]+DATA[[#This Row],[C.OPE.]]</f>
        <v>714.85</v>
      </c>
      <c r="U249" s="15">
        <f>DATA[[#This Row],[SUB TOTAL]]*0.18</f>
        <v>128.673</v>
      </c>
      <c r="V249" s="15">
        <f>IFERROR(ROUND(DATA[[#This Row],[SUB TOTAL]]+DATA[[#This Row],[IGV]],2),0)</f>
        <v>843.52</v>
      </c>
      <c r="W249" s="16" t="str">
        <f>IF(DATA[[#This Row],[VALORIZACIÓN ]]="-","NO CORRESPONDE",IF(OR(A249=20558226979,A249=10470707866,A249=20111157058,A249=20100226902),"NO CORRESPONDE",IF(J249="Emitida",IF(P249&gt;0,"EMITIDA","PENDIENTE"),"NO CORRESPONDE")))</f>
        <v>EMITIDA</v>
      </c>
      <c r="X249" s="29"/>
      <c r="Y249" s="17" t="s">
        <v>118</v>
      </c>
      <c r="Z249" s="30">
        <v>45761</v>
      </c>
      <c r="AA249" s="10" t="s">
        <v>150</v>
      </c>
      <c r="AB249" s="19">
        <v>32</v>
      </c>
      <c r="AC249" s="20">
        <v>15</v>
      </c>
      <c r="AD249" s="18">
        <f>DATA[[#This Row],[FECHA DE EMISION]]+DATA[[#This Row],[CONDICION DE PAGO]]</f>
        <v>45776</v>
      </c>
      <c r="AE249" s="23">
        <f>IF(DATA[[#This Row],[MONEDA]]="USD",VLOOKUP(DATA[[#This Row],[COMBINADA]],#REF!,11,0),1)</f>
        <v>1</v>
      </c>
      <c r="AF249" s="39" t="str">
        <f>IF(DATA[[#This Row],[SERIE2]]="-","NO CORRESPONDE",IF(W249="NO CORRESPONDE","NO CORRESPONDE",IF(Z249&gt;0,"FACTURADO","PENDIENTE")))</f>
        <v>FACTURADO</v>
      </c>
      <c r="AG249" s="27">
        <f>IFERROR(VLOOKUP(DATA[[#This Row],[COMBINADA]],#REF!,6,0),0)</f>
        <v>0</v>
      </c>
      <c r="AH249" s="125">
        <f>IFERROR(VLOOKUP(DATA[[#This Row],[COMBINADA]],#REF!,9,0),0)/COUNTIFS(DATA[COMBINADA],DATA[[#This Row],[COMBINADA]])</f>
        <v>0</v>
      </c>
      <c r="AI249" s="27">
        <f>IFERROR(VLOOKUP(DATA[[#This Row],[COMBINADA]],#REF!,6,0),0)</f>
        <v>0</v>
      </c>
      <c r="AJ249" s="125">
        <f>IFERROR(VLOOKUP(DATA[[#This Row],[COMBINADA]],#REF!,9,0),0)/COUNTIFS(DATA[COMBINADA],DATA[[#This Row],[COMBINADA]])</f>
        <v>0</v>
      </c>
      <c r="AK249" s="27">
        <f>IFERROR(VLOOKUP(DATA[[#This Row],[COMBINADA]],#REF!,6,0),0)</f>
        <v>0</v>
      </c>
      <c r="AL249" s="125">
        <f>IFERROR(VLOOKUP(DATA[[#This Row],[COMBINADA]],#REF!,9,0),0)/COUNTIFS(DATA[COMBINADA],DATA[[#This Row],[COMBINADA]])</f>
        <v>0</v>
      </c>
      <c r="AM249" s="27">
        <f>IFERROR(VLOOKUP(DATA[[#This Row],[COMBINADA]],#REF!,6,0),0)</f>
        <v>0</v>
      </c>
      <c r="AN249" s="125">
        <f>IFERROR(VLOOKUP(DATA[[#This Row],[COMBINADA]],#REF!,9,0),0)/COUNTIFS(DATA[COMBINADA],DATA[[#This Row],[COMBINADA]])</f>
        <v>0</v>
      </c>
      <c r="AO249" s="27">
        <f>IFERROR(VLOOKUP(DATA[[#This Row],[COMBINADA]],#REF!,6,0),0)</f>
        <v>0</v>
      </c>
      <c r="AP249" s="125">
        <f>IFERROR(VLOOKUP(DATA[[#This Row],[COMBINADA]],#REF!,9,0),0)/COUNTIFS(DATA[COMBINADA],DATA[[#This Row],[COMBINADA]])</f>
        <v>0</v>
      </c>
      <c r="AQ24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249" s="26" t="str">
        <f>IFERROR(IF(DATA[[#This Row],[estado_fact]]="FACTURADO",VLOOKUP(DATA[[#This Row],[SERIE2]]&amp;"-"&amp;DATA[[#This Row],[NUMERO]],#REF!,34,0),"NO CORRESPONDE"),"NO CORRESPONDE")</f>
        <v>NO CORRESPONDE</v>
      </c>
      <c r="AS249" s="22" t="str">
        <f>IF(DATA[[#This Row],[fecha_fs]]&gt;0,TEXT(DATA[[#This Row],[fecha_fs]],"Mmmm"),0)</f>
        <v>Febrero</v>
      </c>
      <c r="AT249" s="22" t="str">
        <f>DATA[[#This Row],[SERIE2]]&amp;"-"&amp;DATA[[#This Row],[NUMERO]]</f>
        <v>FF01-32</v>
      </c>
      <c r="AU249" s="28">
        <f>DATA[[#This Row],[TOTAL]]*DATA[[#This Row],[T.C.]]</f>
        <v>843.52</v>
      </c>
      <c r="AV249" s="6">
        <f>DATA[[#This Row],[FECHA DE VAL.]]</f>
        <v>45707</v>
      </c>
      <c r="AW249" s="6">
        <f>DATA[[#This Row],[FECHA DE EMISION]]</f>
        <v>45761</v>
      </c>
      <c r="AX249" s="6">
        <f>DATA[[#This Row],[F1]]</f>
        <v>0</v>
      </c>
      <c r="AY249" s="20">
        <f>IF(AV249-DATA[[#This Row],[fecha_fs]]&lt;0,0,AV249-DATA[[#This Row],[fecha_fs]])</f>
        <v>1</v>
      </c>
      <c r="AZ249" s="20">
        <f t="shared" si="22"/>
        <v>54</v>
      </c>
      <c r="BA249" s="20">
        <f t="shared" si="23"/>
        <v>0</v>
      </c>
      <c r="BB249" s="195">
        <f>IFERROR(SUM(DATA[[#This Row],[fs_val_ttf]:[fact_pago_ttf]]),0)</f>
        <v>55</v>
      </c>
      <c r="BC249" s="185">
        <v>45706</v>
      </c>
      <c r="BD249" s="185">
        <v>45706</v>
      </c>
      <c r="BE249" s="185">
        <v>45720</v>
      </c>
      <c r="BF249" s="185">
        <v>45720</v>
      </c>
      <c r="BG249" s="20">
        <f>IFERROR(IF(BC249-DATA[[#This Row],[fecha_fs]]&lt;0,0,BC249-DATA[[#This Row],[fecha_fs]]),0)</f>
        <v>0</v>
      </c>
      <c r="BH249" s="20">
        <f t="shared" si="24"/>
        <v>0</v>
      </c>
      <c r="BI249" s="20">
        <f t="shared" si="25"/>
        <v>14</v>
      </c>
      <c r="BJ249" s="20">
        <f t="shared" si="26"/>
        <v>0</v>
      </c>
      <c r="BK249" s="218">
        <f>IFERROR(SUM(DATA[[#This Row],[fs_fd_ttd]:[fend_fenf_ttd]]),0)</f>
        <v>14</v>
      </c>
      <c r="BL249" s="20" t="str">
        <f>IF(DATA[[#This Row],[fecha_fs]]&gt;0,TEXT(DATA[[#This Row],[fecha_fs]],"YYYY"),0)</f>
        <v>2025</v>
      </c>
      <c r="BM249" s="221" t="b">
        <v>1</v>
      </c>
      <c r="BN249" s="278">
        <f>COUNTIF(DATA[[#This Row],[tiempo_td]], "&lt;=15")</f>
        <v>1</v>
      </c>
      <c r="BO249" s="222"/>
    </row>
    <row r="250" spans="1:67" ht="30.6" customHeight="1" x14ac:dyDescent="0.25">
      <c r="A250" s="4">
        <v>20419158462</v>
      </c>
      <c r="B250" s="5" t="s">
        <v>2</v>
      </c>
      <c r="C250" s="52" t="s">
        <v>15</v>
      </c>
      <c r="D250" s="4" t="s">
        <v>120</v>
      </c>
      <c r="E250" s="5" t="s">
        <v>3</v>
      </c>
      <c r="F250" s="24">
        <v>45706</v>
      </c>
      <c r="G250" s="7" t="s">
        <v>113</v>
      </c>
      <c r="H250" s="25">
        <f t="shared" si="21"/>
        <v>1</v>
      </c>
      <c r="I250" s="67">
        <v>4139</v>
      </c>
      <c r="J250" s="8" t="s">
        <v>115</v>
      </c>
      <c r="K250" s="9" t="s">
        <v>156</v>
      </c>
      <c r="L250" s="10" t="s">
        <v>117</v>
      </c>
      <c r="M250" s="11">
        <v>755</v>
      </c>
      <c r="N250" s="12" t="s">
        <v>125</v>
      </c>
      <c r="O250" s="6">
        <v>45707</v>
      </c>
      <c r="P250" s="13">
        <v>3298</v>
      </c>
      <c r="Q250" s="14" t="s">
        <v>85</v>
      </c>
      <c r="R250" s="75">
        <v>0</v>
      </c>
      <c r="S250" s="56">
        <f>1429.7/2</f>
        <v>714.85</v>
      </c>
      <c r="T250" s="15">
        <f>DATA[[#This Row],[C. DF]]+DATA[[#This Row],[C.OPE.]]</f>
        <v>714.85</v>
      </c>
      <c r="U250" s="15">
        <f>DATA[[#This Row],[SUB TOTAL]]*0.18</f>
        <v>128.673</v>
      </c>
      <c r="V250" s="15">
        <f>IFERROR(ROUND(DATA[[#This Row],[SUB TOTAL]]+DATA[[#This Row],[IGV]],2),0)</f>
        <v>843.52</v>
      </c>
      <c r="W250" s="16" t="str">
        <f>IF(DATA[[#This Row],[VALORIZACIÓN ]]="-","NO CORRESPONDE",IF(OR(A250=20558226979,A250=10470707866,A250=20111157058,A250=20100226902),"NO CORRESPONDE",IF(J250="Emitida",IF(P250&gt;0,"EMITIDA","PENDIENTE"),"NO CORRESPONDE")))</f>
        <v>EMITIDA</v>
      </c>
      <c r="X250" s="29"/>
      <c r="Y250" s="17" t="s">
        <v>118</v>
      </c>
      <c r="Z250" s="30">
        <v>45761</v>
      </c>
      <c r="AA250" s="10" t="s">
        <v>150</v>
      </c>
      <c r="AB250" s="19">
        <v>32</v>
      </c>
      <c r="AC250" s="20">
        <v>15</v>
      </c>
      <c r="AD250" s="18">
        <f>DATA[[#This Row],[FECHA DE EMISION]]+DATA[[#This Row],[CONDICION DE PAGO]]</f>
        <v>45776</v>
      </c>
      <c r="AE250" s="23">
        <f>IF(DATA[[#This Row],[MONEDA]]="USD",VLOOKUP(DATA[[#This Row],[COMBINADA]],#REF!,11,0),1)</f>
        <v>1</v>
      </c>
      <c r="AF250" s="39" t="str">
        <f>IF(DATA[[#This Row],[SERIE2]]="-","NO CORRESPONDE",IF(W250="NO CORRESPONDE","NO CORRESPONDE",IF(Z250&gt;0,"FACTURADO","PENDIENTE")))</f>
        <v>FACTURADO</v>
      </c>
      <c r="AG250" s="27">
        <f>IFERROR(VLOOKUP(DATA[[#This Row],[COMBINADA]],#REF!,6,0),0)</f>
        <v>0</v>
      </c>
      <c r="AH250" s="125">
        <f>IFERROR(VLOOKUP(DATA[[#This Row],[COMBINADA]],#REF!,9,0),0)/COUNTIFS(DATA[COMBINADA],DATA[[#This Row],[COMBINADA]])</f>
        <v>0</v>
      </c>
      <c r="AI250" s="27">
        <f>IFERROR(VLOOKUP(DATA[[#This Row],[COMBINADA]],#REF!,6,0),0)</f>
        <v>0</v>
      </c>
      <c r="AJ250" s="125">
        <f>IFERROR(VLOOKUP(DATA[[#This Row],[COMBINADA]],#REF!,9,0),0)/COUNTIFS(DATA[COMBINADA],DATA[[#This Row],[COMBINADA]])</f>
        <v>0</v>
      </c>
      <c r="AK250" s="27">
        <f>IFERROR(VLOOKUP(DATA[[#This Row],[COMBINADA]],#REF!,6,0),0)</f>
        <v>0</v>
      </c>
      <c r="AL250" s="125">
        <f>IFERROR(VLOOKUP(DATA[[#This Row],[COMBINADA]],#REF!,9,0),0)/COUNTIFS(DATA[COMBINADA],DATA[[#This Row],[COMBINADA]])</f>
        <v>0</v>
      </c>
      <c r="AM250" s="27">
        <f>IFERROR(VLOOKUP(DATA[[#This Row],[COMBINADA]],#REF!,6,0),0)</f>
        <v>0</v>
      </c>
      <c r="AN250" s="125">
        <f>IFERROR(VLOOKUP(DATA[[#This Row],[COMBINADA]],#REF!,9,0),0)/COUNTIFS(DATA[COMBINADA],DATA[[#This Row],[COMBINADA]])</f>
        <v>0</v>
      </c>
      <c r="AO250" s="27">
        <f>IFERROR(VLOOKUP(DATA[[#This Row],[COMBINADA]],#REF!,6,0),0)</f>
        <v>0</v>
      </c>
      <c r="AP250" s="125">
        <f>IFERROR(VLOOKUP(DATA[[#This Row],[COMBINADA]],#REF!,9,0),0)/COUNTIFS(DATA[COMBINADA],DATA[[#This Row],[COMBINADA]])</f>
        <v>0</v>
      </c>
      <c r="AQ25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250" s="26" t="str">
        <f>IFERROR(IF(DATA[[#This Row],[estado_fact]]="FACTURADO",VLOOKUP(DATA[[#This Row],[SERIE2]]&amp;"-"&amp;DATA[[#This Row],[NUMERO]],#REF!,34,0),"NO CORRESPONDE"),"NO CORRESPONDE")</f>
        <v>NO CORRESPONDE</v>
      </c>
      <c r="AS250" s="22" t="str">
        <f>IF(DATA[[#This Row],[fecha_fs]]&gt;0,TEXT(DATA[[#This Row],[fecha_fs]],"Mmmm"),0)</f>
        <v>Febrero</v>
      </c>
      <c r="AT250" s="22" t="str">
        <f>DATA[[#This Row],[SERIE2]]&amp;"-"&amp;DATA[[#This Row],[NUMERO]]</f>
        <v>FF01-32</v>
      </c>
      <c r="AU250" s="28">
        <f>DATA[[#This Row],[TOTAL]]*DATA[[#This Row],[T.C.]]</f>
        <v>843.52</v>
      </c>
      <c r="AV250" s="6">
        <f>DATA[[#This Row],[FECHA DE VAL.]]</f>
        <v>45707</v>
      </c>
      <c r="AW250" s="6">
        <f>DATA[[#This Row],[FECHA DE EMISION]]</f>
        <v>45761</v>
      </c>
      <c r="AX250" s="6">
        <f>DATA[[#This Row],[F1]]</f>
        <v>0</v>
      </c>
      <c r="AY250" s="20">
        <f>IF(AV250-DATA[[#This Row],[fecha_fs]]&lt;0,0,AV250-DATA[[#This Row],[fecha_fs]])</f>
        <v>1</v>
      </c>
      <c r="AZ250" s="20">
        <f t="shared" si="22"/>
        <v>54</v>
      </c>
      <c r="BA250" s="20">
        <f t="shared" si="23"/>
        <v>0</v>
      </c>
      <c r="BB250" s="195">
        <f>IFERROR(SUM(DATA[[#This Row],[fs_val_ttf]:[fact_pago_ttf]]),0)</f>
        <v>55</v>
      </c>
      <c r="BC250" s="185">
        <v>45706</v>
      </c>
      <c r="BD250" s="185">
        <v>45706</v>
      </c>
      <c r="BE250" s="185">
        <v>45720</v>
      </c>
      <c r="BF250" s="185">
        <v>45720</v>
      </c>
      <c r="BG250" s="20">
        <f>IFERROR(IF(BC250-DATA[[#This Row],[fecha_fs]]&lt;0,0,BC250-DATA[[#This Row],[fecha_fs]]),0)</f>
        <v>0</v>
      </c>
      <c r="BH250" s="20">
        <f t="shared" si="24"/>
        <v>0</v>
      </c>
      <c r="BI250" s="20">
        <f t="shared" si="25"/>
        <v>14</v>
      </c>
      <c r="BJ250" s="20">
        <f t="shared" si="26"/>
        <v>0</v>
      </c>
      <c r="BK250" s="218">
        <f>IFERROR(SUM(DATA[[#This Row],[fs_fd_ttd]:[fend_fenf_ttd]]),0)</f>
        <v>14</v>
      </c>
      <c r="BL250" s="20" t="str">
        <f>IF(DATA[[#This Row],[fecha_fs]]&gt;0,TEXT(DATA[[#This Row],[fecha_fs]],"YYYY"),0)</f>
        <v>2025</v>
      </c>
      <c r="BM250" s="221" t="b">
        <v>1</v>
      </c>
      <c r="BN250" s="278">
        <f>COUNTIF(DATA[[#This Row],[tiempo_td]], "&lt;=15")</f>
        <v>1</v>
      </c>
      <c r="BO250" s="222"/>
    </row>
    <row r="251" spans="1:67" ht="30.6" customHeight="1" x14ac:dyDescent="0.25">
      <c r="A251" s="4">
        <v>20419158462</v>
      </c>
      <c r="B251" s="5" t="s">
        <v>2</v>
      </c>
      <c r="C251" s="52" t="s">
        <v>147</v>
      </c>
      <c r="D251" s="4" t="s">
        <v>120</v>
      </c>
      <c r="E251" s="5" t="s">
        <v>3</v>
      </c>
      <c r="F251" s="24">
        <v>45707</v>
      </c>
      <c r="G251" s="7" t="s">
        <v>113</v>
      </c>
      <c r="H251" s="25">
        <f t="shared" si="21"/>
        <v>1</v>
      </c>
      <c r="I251" s="67">
        <v>4140</v>
      </c>
      <c r="J251" s="8" t="s">
        <v>115</v>
      </c>
      <c r="K251" s="9" t="s">
        <v>148</v>
      </c>
      <c r="L251" s="10" t="s">
        <v>117</v>
      </c>
      <c r="M251" s="11">
        <v>3360</v>
      </c>
      <c r="N251" s="12" t="s">
        <v>129</v>
      </c>
      <c r="O251" s="6">
        <v>45708</v>
      </c>
      <c r="P251" s="13">
        <v>3299</v>
      </c>
      <c r="Q251" s="14" t="s">
        <v>85</v>
      </c>
      <c r="R251" s="75">
        <v>0</v>
      </c>
      <c r="S251" s="56">
        <v>2597.6999999999998</v>
      </c>
      <c r="T251" s="15">
        <f>DATA[[#This Row],[C. DF]]+DATA[[#This Row],[C.OPE.]]</f>
        <v>2597.6999999999998</v>
      </c>
      <c r="U251" s="15">
        <f>DATA[[#This Row],[SUB TOTAL]]*0.18</f>
        <v>467.58599999999996</v>
      </c>
      <c r="V251" s="15">
        <f>IFERROR(ROUND(DATA[[#This Row],[SUB TOTAL]]+DATA[[#This Row],[IGV]],2),0)</f>
        <v>3065.29</v>
      </c>
      <c r="W251" s="16" t="str">
        <f>IF(DATA[[#This Row],[VALORIZACIÓN ]]="-","NO CORRESPONDE",IF(OR(A251=20558226979,A251=10470707866,A251=20111157058,A251=20100226902),"NO CORRESPONDE",IF(J251="Emitida",IF(P251&gt;0,"EMITIDA","PENDIENTE"),"NO CORRESPONDE")))</f>
        <v>EMITIDA</v>
      </c>
      <c r="X251" s="29"/>
      <c r="Y251" s="17" t="s">
        <v>118</v>
      </c>
      <c r="Z251" s="30">
        <v>45770</v>
      </c>
      <c r="AA251" s="10" t="s">
        <v>150</v>
      </c>
      <c r="AB251" s="19">
        <v>47</v>
      </c>
      <c r="AC251" s="20">
        <v>15</v>
      </c>
      <c r="AD251" s="18">
        <f>DATA[[#This Row],[FECHA DE EMISION]]+DATA[[#This Row],[CONDICION DE PAGO]]</f>
        <v>45785</v>
      </c>
      <c r="AE251" s="23">
        <f>IF(DATA[[#This Row],[MONEDA]]="USD",VLOOKUP(DATA[[#This Row],[COMBINADA]],#REF!,11,0),1)</f>
        <v>1</v>
      </c>
      <c r="AF251" s="39" t="str">
        <f>IF(DATA[[#This Row],[SERIE2]]="-","NO CORRESPONDE",IF(W251="NO CORRESPONDE","NO CORRESPONDE",IF(Z251&gt;0,"FACTURADO","PENDIENTE")))</f>
        <v>FACTURADO</v>
      </c>
      <c r="AG251" s="27">
        <f>IFERROR(VLOOKUP(DATA[[#This Row],[COMBINADA]],#REF!,6,0),0)</f>
        <v>0</v>
      </c>
      <c r="AH251" s="125">
        <f>IFERROR(VLOOKUP(DATA[[#This Row],[COMBINADA]],#REF!,9,0),0)/COUNTIFS(DATA[COMBINADA],DATA[[#This Row],[COMBINADA]])</f>
        <v>0</v>
      </c>
      <c r="AI251" s="27">
        <f>IFERROR(VLOOKUP(DATA[[#This Row],[COMBINADA]],#REF!,6,0),0)</f>
        <v>0</v>
      </c>
      <c r="AJ251" s="125">
        <f>IFERROR(VLOOKUP(DATA[[#This Row],[COMBINADA]],#REF!,9,0),0)/COUNTIFS(DATA[COMBINADA],DATA[[#This Row],[COMBINADA]])</f>
        <v>0</v>
      </c>
      <c r="AK251" s="27">
        <f>IFERROR(VLOOKUP(DATA[[#This Row],[COMBINADA]],#REF!,6,0),0)</f>
        <v>0</v>
      </c>
      <c r="AL251" s="125">
        <f>IFERROR(VLOOKUP(DATA[[#This Row],[COMBINADA]],#REF!,9,0),0)/COUNTIFS(DATA[COMBINADA],DATA[[#This Row],[COMBINADA]])</f>
        <v>0</v>
      </c>
      <c r="AM251" s="27">
        <f>IFERROR(VLOOKUP(DATA[[#This Row],[COMBINADA]],#REF!,6,0),0)</f>
        <v>0</v>
      </c>
      <c r="AN251" s="125">
        <f>IFERROR(VLOOKUP(DATA[[#This Row],[COMBINADA]],#REF!,9,0),0)/COUNTIFS(DATA[COMBINADA],DATA[[#This Row],[COMBINADA]])</f>
        <v>0</v>
      </c>
      <c r="AO251" s="27">
        <f>IFERROR(VLOOKUP(DATA[[#This Row],[COMBINADA]],#REF!,6,0),0)</f>
        <v>0</v>
      </c>
      <c r="AP251" s="125">
        <f>IFERROR(VLOOKUP(DATA[[#This Row],[COMBINADA]],#REF!,9,0),0)/COUNTIFS(DATA[COMBINADA],DATA[[#This Row],[COMBINADA]])</f>
        <v>0</v>
      </c>
      <c r="AQ25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3640.89</v>
      </c>
      <c r="AR251" s="26" t="str">
        <f>IFERROR(IF(DATA[[#This Row],[estado_fact]]="FACTURADO",VLOOKUP(DATA[[#This Row],[SERIE2]]&amp;"-"&amp;DATA[[#This Row],[NUMERO]],#REF!,34,0),"NO CORRESPONDE"),"NO CORRESPONDE")</f>
        <v>NO CORRESPONDE</v>
      </c>
      <c r="AS251" s="22" t="str">
        <f>IF(DATA[[#This Row],[fecha_fs]]&gt;0,TEXT(DATA[[#This Row],[fecha_fs]],"Mmmm"),0)</f>
        <v>Febrero</v>
      </c>
      <c r="AT251" s="22" t="str">
        <f>DATA[[#This Row],[SERIE2]]&amp;"-"&amp;DATA[[#This Row],[NUMERO]]</f>
        <v>FF01-47</v>
      </c>
      <c r="AU251" s="28">
        <f>DATA[[#This Row],[TOTAL]]*DATA[[#This Row],[T.C.]]</f>
        <v>3065.29</v>
      </c>
      <c r="AV251" s="6">
        <f>DATA[[#This Row],[FECHA DE VAL.]]</f>
        <v>45708</v>
      </c>
      <c r="AW251" s="6">
        <f>DATA[[#This Row],[FECHA DE EMISION]]</f>
        <v>45770</v>
      </c>
      <c r="AX251" s="6">
        <f>DATA[[#This Row],[F1]]</f>
        <v>0</v>
      </c>
      <c r="AY251" s="20">
        <f>IF(AV251-DATA[[#This Row],[fecha_fs]]&lt;0,0,AV251-DATA[[#This Row],[fecha_fs]])</f>
        <v>1</v>
      </c>
      <c r="AZ251" s="20">
        <f t="shared" si="22"/>
        <v>62</v>
      </c>
      <c r="BA251" s="20">
        <f t="shared" si="23"/>
        <v>0</v>
      </c>
      <c r="BB251" s="195">
        <f>IFERROR(SUM(DATA[[#This Row],[fs_val_ttf]:[fact_pago_ttf]]),0)</f>
        <v>63</v>
      </c>
      <c r="BC251" s="185">
        <v>45707</v>
      </c>
      <c r="BD251" s="185">
        <v>45707</v>
      </c>
      <c r="BE251" s="185">
        <v>45720</v>
      </c>
      <c r="BF251" s="185">
        <v>45720</v>
      </c>
      <c r="BG251" s="20">
        <f>IFERROR(IF(BC251-DATA[[#This Row],[fecha_fs]]&lt;0,0,BC251-DATA[[#This Row],[fecha_fs]]),0)</f>
        <v>0</v>
      </c>
      <c r="BH251" s="20">
        <f t="shared" si="24"/>
        <v>0</v>
      </c>
      <c r="BI251" s="20">
        <f t="shared" si="25"/>
        <v>13</v>
      </c>
      <c r="BJ251" s="20">
        <f t="shared" si="26"/>
        <v>0</v>
      </c>
      <c r="BK251" s="218">
        <f>IFERROR(SUM(DATA[[#This Row],[fs_fd_ttd]:[fend_fenf_ttd]]),0)</f>
        <v>13</v>
      </c>
      <c r="BL251" s="20" t="str">
        <f>IF(DATA[[#This Row],[fecha_fs]]&gt;0,TEXT(DATA[[#This Row],[fecha_fs]],"YYYY"),0)</f>
        <v>2025</v>
      </c>
      <c r="BM251" s="221" t="b">
        <v>1</v>
      </c>
      <c r="BN251" s="278">
        <f>COUNTIF(DATA[[#This Row],[tiempo_td]], "&lt;=15")</f>
        <v>1</v>
      </c>
      <c r="BO251" s="222"/>
    </row>
    <row r="252" spans="1:67" ht="30.6" customHeight="1" x14ac:dyDescent="0.25">
      <c r="A252" s="4">
        <v>20496535066</v>
      </c>
      <c r="B252" s="5" t="s">
        <v>36</v>
      </c>
      <c r="C252" s="52" t="s">
        <v>205</v>
      </c>
      <c r="D252" s="4" t="s">
        <v>120</v>
      </c>
      <c r="E252" s="5" t="s">
        <v>3</v>
      </c>
      <c r="F252" s="24">
        <v>45708</v>
      </c>
      <c r="G252" s="7" t="s">
        <v>113</v>
      </c>
      <c r="H252" s="25">
        <f t="shared" si="21"/>
        <v>1</v>
      </c>
      <c r="I252" s="67">
        <v>4141</v>
      </c>
      <c r="J252" s="8" t="s">
        <v>115</v>
      </c>
      <c r="K252" s="9" t="s">
        <v>121</v>
      </c>
      <c r="L252" s="10" t="s">
        <v>117</v>
      </c>
      <c r="M252" s="11">
        <v>2360</v>
      </c>
      <c r="N252" s="12" t="s">
        <v>125</v>
      </c>
      <c r="O252" s="6">
        <v>45709</v>
      </c>
      <c r="P252" s="13">
        <v>3303</v>
      </c>
      <c r="Q252" s="14" t="s">
        <v>85</v>
      </c>
      <c r="R252" s="15">
        <f>DATA[[#This Row],[cantidad_fs]]*0.08</f>
        <v>188.8</v>
      </c>
      <c r="S252" s="15">
        <f>2945/3</f>
        <v>981.66666666666663</v>
      </c>
      <c r="T252" s="15">
        <f>DATA[[#This Row],[C. DF]]+DATA[[#This Row],[C.OPE.]]</f>
        <v>1170.4666666666667</v>
      </c>
      <c r="U252" s="15">
        <f>DATA[[#This Row],[SUB TOTAL]]*0.18</f>
        <v>210.684</v>
      </c>
      <c r="V252" s="15">
        <f>IFERROR(ROUND(DATA[[#This Row],[SUB TOTAL]]+DATA[[#This Row],[IGV]],2),0)</f>
        <v>1381.15</v>
      </c>
      <c r="W252" s="16" t="str">
        <f>IF(DATA[[#This Row],[VALORIZACIÓN ]]="-","NO CORRESPONDE",IF(OR(A252=20558226979,A252=10470707866,A252=20111157058,A252=20100226902),"NO CORRESPONDE",IF(J252="Emitida",IF(P252&gt;0,"EMITIDA","PENDIENTE"),"NO CORRESPONDE")))</f>
        <v>EMITIDA</v>
      </c>
      <c r="X252" s="29"/>
      <c r="Y252" s="17" t="s">
        <v>118</v>
      </c>
      <c r="Z252" s="30">
        <v>45734</v>
      </c>
      <c r="AA252" s="10" t="s">
        <v>119</v>
      </c>
      <c r="AB252" s="19">
        <v>31</v>
      </c>
      <c r="AC252" s="20">
        <v>15</v>
      </c>
      <c r="AD252" s="18">
        <f>DATA[[#This Row],[FECHA DE EMISION]]+DATA[[#This Row],[CONDICION DE PAGO]]</f>
        <v>45749</v>
      </c>
      <c r="AE252" s="23">
        <f>IF(DATA[[#This Row],[MONEDA]]="USD",VLOOKUP(DATA[[#This Row],[COMBINADA]],#REF!,11,0),1)</f>
        <v>1</v>
      </c>
      <c r="AF252" s="39" t="str">
        <f>IF(DATA[[#This Row],[SERIE2]]="-","NO CORRESPONDE",IF(W252="NO CORRESPONDE","NO CORRESPONDE",IF(Z252&gt;0,"FACTURADO","PENDIENTE")))</f>
        <v>FACTURADO</v>
      </c>
      <c r="AG252" s="27">
        <f>IFERROR(VLOOKUP(DATA[[#This Row],[COMBINADA]],#REF!,6,0),0)</f>
        <v>0</v>
      </c>
      <c r="AH252" s="125">
        <f>IFERROR(VLOOKUP(DATA[[#This Row],[COMBINADA]],#REF!,9,0),0)/COUNTIFS(DATA[COMBINADA],DATA[[#This Row],[COMBINADA]])</f>
        <v>0</v>
      </c>
      <c r="AI252" s="27">
        <f>IFERROR(VLOOKUP(DATA[[#This Row],[COMBINADA]],#REF!,6,0),0)</f>
        <v>0</v>
      </c>
      <c r="AJ252" s="125">
        <f>IFERROR(VLOOKUP(DATA[[#This Row],[COMBINADA]],#REF!,9,0),0)/COUNTIFS(DATA[COMBINADA],DATA[[#This Row],[COMBINADA]])</f>
        <v>0</v>
      </c>
      <c r="AK252" s="27">
        <f>IFERROR(VLOOKUP(DATA[[#This Row],[COMBINADA]],#REF!,6,0),0)</f>
        <v>0</v>
      </c>
      <c r="AL252" s="125">
        <f>IFERROR(VLOOKUP(DATA[[#This Row],[COMBINADA]],#REF!,9,0),0)/COUNTIFS(DATA[COMBINADA],DATA[[#This Row],[COMBINADA]])</f>
        <v>0</v>
      </c>
      <c r="AM252" s="27">
        <f>IFERROR(VLOOKUP(DATA[[#This Row],[COMBINADA]],#REF!,6,0),0)</f>
        <v>0</v>
      </c>
      <c r="AN252" s="125">
        <f>IFERROR(VLOOKUP(DATA[[#This Row],[COMBINADA]],#REF!,9,0),0)/COUNTIFS(DATA[COMBINADA],DATA[[#This Row],[COMBINADA]])</f>
        <v>0</v>
      </c>
      <c r="AO252" s="27">
        <f>IFERROR(VLOOKUP(DATA[[#This Row],[COMBINADA]],#REF!,6,0),0)</f>
        <v>0</v>
      </c>
      <c r="AP252" s="125">
        <f>IFERROR(VLOOKUP(DATA[[#This Row],[COMBINADA]],#REF!,9,0),0)/COUNTIFS(DATA[COMBINADA],DATA[[#This Row],[COMBINADA]])</f>
        <v>0</v>
      </c>
      <c r="AQ25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1583.7966666666664</v>
      </c>
      <c r="AR252" s="26" t="str">
        <f>IFERROR(IF(DATA[[#This Row],[estado_fact]]="FACTURADO",VLOOKUP(DATA[[#This Row],[SERIE2]]&amp;"-"&amp;DATA[[#This Row],[NUMERO]],#REF!,34,0),"NO CORRESPONDE"),"NO CORRESPONDE")</f>
        <v>NO CORRESPONDE</v>
      </c>
      <c r="AS252" s="22" t="str">
        <f>IF(DATA[[#This Row],[fecha_fs]]&gt;0,TEXT(DATA[[#This Row],[fecha_fs]],"Mmmm"),0)</f>
        <v>Febrero</v>
      </c>
      <c r="AT252" s="22" t="str">
        <f>DATA[[#This Row],[SERIE2]]&amp;"-"&amp;DATA[[#This Row],[NUMERO]]</f>
        <v>E001-31</v>
      </c>
      <c r="AU252" s="28">
        <f>DATA[[#This Row],[TOTAL]]*DATA[[#This Row],[T.C.]]</f>
        <v>1381.15</v>
      </c>
      <c r="AV252" s="6">
        <f>DATA[[#This Row],[FECHA DE VAL.]]</f>
        <v>45709</v>
      </c>
      <c r="AW252" s="6">
        <f>DATA[[#This Row],[FECHA DE EMISION]]</f>
        <v>45734</v>
      </c>
      <c r="AX252" s="6">
        <f>DATA[[#This Row],[F1]]</f>
        <v>0</v>
      </c>
      <c r="AY252" s="20">
        <f>IF(AV252-DATA[[#This Row],[fecha_fs]]&lt;0,0,AV252-DATA[[#This Row],[fecha_fs]])</f>
        <v>1</v>
      </c>
      <c r="AZ252" s="20">
        <f t="shared" si="22"/>
        <v>25</v>
      </c>
      <c r="BA252" s="20">
        <f t="shared" si="23"/>
        <v>0</v>
      </c>
      <c r="BB252" s="195">
        <f>IFERROR(SUM(DATA[[#This Row],[fs_val_ttf]:[fact_pago_ttf]]),0)</f>
        <v>26</v>
      </c>
      <c r="BC252" s="185">
        <v>45721</v>
      </c>
      <c r="BD252" s="185">
        <v>45728</v>
      </c>
      <c r="BE252" s="185">
        <v>45728</v>
      </c>
      <c r="BF252" s="185">
        <v>45758</v>
      </c>
      <c r="BG252" s="20">
        <f>IFERROR(IF(BC252-DATA[[#This Row],[fecha_fs]]&lt;0,0,BC252-DATA[[#This Row],[fecha_fs]]),0)</f>
        <v>13</v>
      </c>
      <c r="BH252" s="20">
        <f t="shared" si="24"/>
        <v>7</v>
      </c>
      <c r="BI252" s="20">
        <f t="shared" si="25"/>
        <v>0</v>
      </c>
      <c r="BJ252" s="20">
        <f t="shared" si="26"/>
        <v>30</v>
      </c>
      <c r="BK252" s="218">
        <f>IFERROR(SUM(DATA[[#This Row],[fs_fd_ttd]:[fend_fenf_ttd]]),0)</f>
        <v>50</v>
      </c>
      <c r="BL252" s="20" t="str">
        <f>IF(DATA[[#This Row],[fecha_fs]]&gt;0,TEXT(DATA[[#This Row],[fecha_fs]],"YYYY"),0)</f>
        <v>2025</v>
      </c>
      <c r="BM252" s="221" t="b">
        <v>1</v>
      </c>
      <c r="BN252" s="278">
        <f>COUNTIF(DATA[[#This Row],[tiempo_td]], "&lt;=15")</f>
        <v>0</v>
      </c>
      <c r="BO252" s="222"/>
    </row>
    <row r="253" spans="1:67" ht="30.6" customHeight="1" x14ac:dyDescent="0.25">
      <c r="A253" s="4">
        <v>20553956324</v>
      </c>
      <c r="B253" s="5" t="s">
        <v>281</v>
      </c>
      <c r="C253" s="52" t="s">
        <v>175</v>
      </c>
      <c r="D253" s="4" t="s">
        <v>112</v>
      </c>
      <c r="E253" s="5" t="s">
        <v>1</v>
      </c>
      <c r="F253" s="24">
        <v>45707</v>
      </c>
      <c r="G253" s="7" t="s">
        <v>113</v>
      </c>
      <c r="H253" s="25">
        <f t="shared" ref="H253:H316" si="27">IF(G253="","",IF(G253="LIM",2,1))</f>
        <v>1</v>
      </c>
      <c r="I253" s="67">
        <v>4142</v>
      </c>
      <c r="J253" s="8" t="s">
        <v>115</v>
      </c>
      <c r="K253" s="9" t="s">
        <v>116</v>
      </c>
      <c r="L253" s="10" t="s">
        <v>117</v>
      </c>
      <c r="M253" s="11">
        <v>40</v>
      </c>
      <c r="N253" s="12" t="s">
        <v>141</v>
      </c>
      <c r="O253" s="6">
        <v>45716</v>
      </c>
      <c r="P253" s="109">
        <v>3328</v>
      </c>
      <c r="Q253" s="14" t="s">
        <v>85</v>
      </c>
      <c r="R253" s="15">
        <f>450/3</f>
        <v>150</v>
      </c>
      <c r="S253" s="15">
        <f>3160.8/11</f>
        <v>287.34545454545457</v>
      </c>
      <c r="T253" s="15">
        <f>DATA[[#This Row],[C. DF]]+DATA[[#This Row],[C.OPE.]]</f>
        <v>437.34545454545457</v>
      </c>
      <c r="U253" s="15">
        <f>DATA[[#This Row],[SUB TOTAL]]*0.18</f>
        <v>78.722181818181824</v>
      </c>
      <c r="V253" s="15">
        <f>IFERROR(ROUND(DATA[[#This Row],[SUB TOTAL]]+DATA[[#This Row],[IGV]],2),0)</f>
        <v>516.07000000000005</v>
      </c>
      <c r="W253" s="16" t="str">
        <f>IF(DATA[[#This Row],[VALORIZACIÓN ]]="-","NO CORRESPONDE",IF(OR(A253=20558226979,A253=10470707866,A253=20111157058,A253=20100226902),"NO CORRESPONDE",IF(J253="Emitida",IF(P253&gt;0,"EMITIDA","PENDIENTE"),"NO CORRESPONDE")))</f>
        <v>EMITIDA</v>
      </c>
      <c r="X253" s="29"/>
      <c r="Y253" s="17" t="s">
        <v>118</v>
      </c>
      <c r="Z253" s="30">
        <v>45730</v>
      </c>
      <c r="AA253" s="20" t="s">
        <v>119</v>
      </c>
      <c r="AB253" s="19">
        <v>24</v>
      </c>
      <c r="AC253" s="20">
        <v>0</v>
      </c>
      <c r="AD253" s="18">
        <f>DATA[[#This Row],[FECHA DE EMISION]]+DATA[[#This Row],[CONDICION DE PAGO]]</f>
        <v>45730</v>
      </c>
      <c r="AE253" s="23">
        <f>IF(DATA[[#This Row],[MONEDA]]="USD",VLOOKUP(DATA[[#This Row],[COMBINADA]],#REF!,11,0),1)</f>
        <v>1</v>
      </c>
      <c r="AF253" s="39" t="str">
        <f>IF(DATA[[#This Row],[SERIE2]]="-","NO CORRESPONDE",IF(W253="NO CORRESPONDE","NO CORRESPONDE",IF(Z253&gt;0,"FACTURADO","PENDIENTE")))</f>
        <v>FACTURADO</v>
      </c>
      <c r="AG253" s="27">
        <f>IFERROR(VLOOKUP(DATA[[#This Row],[COMBINADA]],#REF!,6,0),0)</f>
        <v>0</v>
      </c>
      <c r="AH253" s="125">
        <f>IFERROR(VLOOKUP(DATA[[#This Row],[COMBINADA]],#REF!,9,0),0)/COUNTIFS(DATA[COMBINADA],DATA[[#This Row],[COMBINADA]])</f>
        <v>0</v>
      </c>
      <c r="AI253" s="27">
        <f>IFERROR(VLOOKUP(DATA[[#This Row],[COMBINADA]],#REF!,6,0),0)</f>
        <v>0</v>
      </c>
      <c r="AJ253" s="125">
        <f>IFERROR(VLOOKUP(DATA[[#This Row],[COMBINADA]],#REF!,9,0),0)/COUNTIFS(DATA[COMBINADA],DATA[[#This Row],[COMBINADA]])</f>
        <v>0</v>
      </c>
      <c r="AK253" s="27">
        <f>IFERROR(VLOOKUP(DATA[[#This Row],[COMBINADA]],#REF!,6,0),0)</f>
        <v>0</v>
      </c>
      <c r="AL253" s="125">
        <f>IFERROR(VLOOKUP(DATA[[#This Row],[COMBINADA]],#REF!,9,0),0)/COUNTIFS(DATA[COMBINADA],DATA[[#This Row],[COMBINADA]])</f>
        <v>0</v>
      </c>
      <c r="AM253" s="27">
        <f>IFERROR(VLOOKUP(DATA[[#This Row],[COMBINADA]],#REF!,6,0),0)</f>
        <v>0</v>
      </c>
      <c r="AN253" s="125">
        <f>IFERROR(VLOOKUP(DATA[[#This Row],[COMBINADA]],#REF!,9,0),0)/COUNTIFS(DATA[COMBINADA],DATA[[#This Row],[COMBINADA]])</f>
        <v>0</v>
      </c>
      <c r="AO253" s="27">
        <f>IFERROR(VLOOKUP(DATA[[#This Row],[COMBINADA]],#REF!,6,0),0)</f>
        <v>0</v>
      </c>
      <c r="AP253" s="125">
        <f>IFERROR(VLOOKUP(DATA[[#This Row],[COMBINADA]],#REF!,9,0),0)/COUNTIFS(DATA[COMBINADA],DATA[[#This Row],[COMBINADA]])</f>
        <v>0</v>
      </c>
      <c r="AQ25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395.92454545454547</v>
      </c>
      <c r="AR253" s="26" t="str">
        <f>IFERROR(IF(DATA[[#This Row],[estado_fact]]="FACTURADO",VLOOKUP(DATA[[#This Row],[SERIE2]]&amp;"-"&amp;DATA[[#This Row],[NUMERO]],#REF!,34,0),"NO CORRESPONDE"),"NO CORRESPONDE")</f>
        <v>NO CORRESPONDE</v>
      </c>
      <c r="AS253" s="22" t="str">
        <f>IF(DATA[[#This Row],[fecha_fs]]&gt;0,TEXT(DATA[[#This Row],[fecha_fs]],"Mmmm"),0)</f>
        <v>Febrero</v>
      </c>
      <c r="AT253" s="22" t="str">
        <f>DATA[[#This Row],[SERIE2]]&amp;"-"&amp;DATA[[#This Row],[NUMERO]]</f>
        <v>E001-24</v>
      </c>
      <c r="AU253" s="28">
        <f>DATA[[#This Row],[TOTAL]]*DATA[[#This Row],[T.C.]]</f>
        <v>516.07000000000005</v>
      </c>
      <c r="AV253" s="6">
        <f>DATA[[#This Row],[FECHA DE VAL.]]</f>
        <v>45716</v>
      </c>
      <c r="AW253" s="6">
        <f>DATA[[#This Row],[FECHA DE EMISION]]</f>
        <v>45730</v>
      </c>
      <c r="AX253" s="6">
        <f>DATA[[#This Row],[F1]]</f>
        <v>0</v>
      </c>
      <c r="AY253" s="20">
        <f>IF(AV253-DATA[[#This Row],[fecha_fs]]&lt;0,0,AV253-DATA[[#This Row],[fecha_fs]])</f>
        <v>9</v>
      </c>
      <c r="AZ253" s="20">
        <f t="shared" si="22"/>
        <v>14</v>
      </c>
      <c r="BA253" s="20">
        <f t="shared" si="23"/>
        <v>0</v>
      </c>
      <c r="BB253" s="195">
        <f>IFERROR(SUM(DATA[[#This Row],[fs_val_ttf]:[fact_pago_ttf]]),0)</f>
        <v>23</v>
      </c>
      <c r="BC253" s="185">
        <v>45730</v>
      </c>
      <c r="BD253" s="185">
        <v>45743</v>
      </c>
      <c r="BE253" s="185">
        <v>45740</v>
      </c>
      <c r="BF253" s="185">
        <v>45759</v>
      </c>
      <c r="BG253" s="20">
        <f>IFERROR(IF(BC253-DATA[[#This Row],[fecha_fs]]&lt;0,0,BC253-DATA[[#This Row],[fecha_fs]]),0)</f>
        <v>23</v>
      </c>
      <c r="BH253" s="20">
        <f t="shared" si="24"/>
        <v>13</v>
      </c>
      <c r="BI253" s="20">
        <f t="shared" si="25"/>
        <v>0</v>
      </c>
      <c r="BJ253" s="20">
        <f t="shared" si="26"/>
        <v>19</v>
      </c>
      <c r="BK253" s="218">
        <f>IFERROR(SUM(DATA[[#This Row],[fs_fd_ttd]:[fend_fenf_ttd]]),0)</f>
        <v>55</v>
      </c>
      <c r="BL253" s="20" t="str">
        <f>IF(DATA[[#This Row],[fecha_fs]]&gt;0,TEXT(DATA[[#This Row],[fecha_fs]],"YYYY"),0)</f>
        <v>2025</v>
      </c>
      <c r="BM253" s="221" t="b">
        <v>0</v>
      </c>
      <c r="BN253" s="278">
        <f>COUNTIF(DATA[[#This Row],[tiempo_td]], "&lt;=15")</f>
        <v>0</v>
      </c>
      <c r="BO253" s="222"/>
    </row>
    <row r="254" spans="1:67" ht="30.6" customHeight="1" x14ac:dyDescent="0.25">
      <c r="A254" s="4">
        <v>20603536569</v>
      </c>
      <c r="B254" s="5" t="s">
        <v>27</v>
      </c>
      <c r="C254" s="52" t="s">
        <v>295</v>
      </c>
      <c r="D254" s="4" t="s">
        <v>120</v>
      </c>
      <c r="E254" s="5" t="s">
        <v>3</v>
      </c>
      <c r="F254" s="24">
        <v>45708</v>
      </c>
      <c r="G254" s="7" t="s">
        <v>113</v>
      </c>
      <c r="H254" s="25">
        <f t="shared" si="27"/>
        <v>1</v>
      </c>
      <c r="I254" s="67">
        <v>4143</v>
      </c>
      <c r="J254" s="8" t="s">
        <v>115</v>
      </c>
      <c r="K254" s="9" t="s">
        <v>121</v>
      </c>
      <c r="L254" s="10" t="s">
        <v>117</v>
      </c>
      <c r="M254" s="11">
        <v>490</v>
      </c>
      <c r="N254" s="12" t="s">
        <v>132</v>
      </c>
      <c r="O254" s="6">
        <v>45708</v>
      </c>
      <c r="P254" s="13">
        <v>3300</v>
      </c>
      <c r="Q254" s="14" t="s">
        <v>85</v>
      </c>
      <c r="R254" s="15">
        <f>192+((DATA[[#This Row],[cantidad_fs]]-300)*1.7)</f>
        <v>515</v>
      </c>
      <c r="S254" s="15">
        <v>3688.35</v>
      </c>
      <c r="T254" s="15">
        <f>DATA[[#This Row],[C. DF]]+DATA[[#This Row],[C.OPE.]]</f>
        <v>4203.3500000000004</v>
      </c>
      <c r="U254" s="15">
        <f>DATA[[#This Row],[SUB TOTAL]]*0.18</f>
        <v>756.60300000000007</v>
      </c>
      <c r="V254" s="15">
        <f>IFERROR(ROUND(DATA[[#This Row],[SUB TOTAL]]+DATA[[#This Row],[IGV]],2),0)</f>
        <v>4959.95</v>
      </c>
      <c r="W254" s="16" t="str">
        <f>IF(DATA[[#This Row],[VALORIZACIÓN ]]="-","NO CORRESPONDE",IF(OR(A254=20558226979,A254=10470707866,A254=20111157058,A254=20100226902),"NO CORRESPONDE",IF(J254="Emitida",IF(P254&gt;0,"EMITIDA","PENDIENTE"),"NO CORRESPONDE")))</f>
        <v>EMITIDA</v>
      </c>
      <c r="X254" s="29"/>
      <c r="Y254" s="17" t="s">
        <v>118</v>
      </c>
      <c r="Z254" s="30">
        <v>45719</v>
      </c>
      <c r="AA254" s="10" t="s">
        <v>124</v>
      </c>
      <c r="AB254" s="19">
        <v>586</v>
      </c>
      <c r="AC254" s="20">
        <v>15</v>
      </c>
      <c r="AD254" s="18">
        <f>DATA[[#This Row],[FECHA DE EMISION]]+DATA[[#This Row],[CONDICION DE PAGO]]</f>
        <v>45734</v>
      </c>
      <c r="AE254" s="23">
        <f>IF(DATA[[#This Row],[MONEDA]]="USD",VLOOKUP(DATA[[#This Row],[COMBINADA]],#REF!,11,0),1)</f>
        <v>1</v>
      </c>
      <c r="AF254" s="39" t="str">
        <f>IF(DATA[[#This Row],[SERIE2]]="-","NO CORRESPONDE",IF(W254="NO CORRESPONDE","NO CORRESPONDE",IF(Z254&gt;0,"FACTURADO","PENDIENTE")))</f>
        <v>FACTURADO</v>
      </c>
      <c r="AG254" s="27">
        <f>IFERROR(VLOOKUP(DATA[[#This Row],[COMBINADA]],#REF!,6,0),0)</f>
        <v>0</v>
      </c>
      <c r="AH254" s="125">
        <f>IFERROR(VLOOKUP(DATA[[#This Row],[COMBINADA]],#REF!,9,0),0)/COUNTIFS(DATA[COMBINADA],DATA[[#This Row],[COMBINADA]])</f>
        <v>0</v>
      </c>
      <c r="AI254" s="27">
        <f>IFERROR(VLOOKUP(DATA[[#This Row],[COMBINADA]],#REF!,6,0),0)</f>
        <v>0</v>
      </c>
      <c r="AJ254" s="125">
        <f>IFERROR(VLOOKUP(DATA[[#This Row],[COMBINADA]],#REF!,9,0),0)/COUNTIFS(DATA[COMBINADA],DATA[[#This Row],[COMBINADA]])</f>
        <v>0</v>
      </c>
      <c r="AK254" s="27">
        <f>IFERROR(VLOOKUP(DATA[[#This Row],[COMBINADA]],#REF!,6,0),0)</f>
        <v>0</v>
      </c>
      <c r="AL254" s="125">
        <f>IFERROR(VLOOKUP(DATA[[#This Row],[COMBINADA]],#REF!,9,0),0)/COUNTIFS(DATA[COMBINADA],DATA[[#This Row],[COMBINADA]])</f>
        <v>0</v>
      </c>
      <c r="AM254" s="27">
        <f>IFERROR(VLOOKUP(DATA[[#This Row],[COMBINADA]],#REF!,6,0),0)</f>
        <v>0</v>
      </c>
      <c r="AN254" s="125">
        <f>IFERROR(VLOOKUP(DATA[[#This Row],[COMBINADA]],#REF!,9,0),0)/COUNTIFS(DATA[COMBINADA],DATA[[#This Row],[COMBINADA]])</f>
        <v>0</v>
      </c>
      <c r="AO254" s="27">
        <f>IFERROR(VLOOKUP(DATA[[#This Row],[COMBINADA]],#REF!,6,0),0)</f>
        <v>0</v>
      </c>
      <c r="AP254" s="125">
        <f>IFERROR(VLOOKUP(DATA[[#This Row],[COMBINADA]],#REF!,9,0),0)/COUNTIFS(DATA[COMBINADA],DATA[[#This Row],[COMBINADA]])</f>
        <v>0</v>
      </c>
      <c r="AQ25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4959.95</v>
      </c>
      <c r="AR254" s="26" t="str">
        <f>IFERROR(IF(DATA[[#This Row],[estado_fact]]="FACTURADO",VLOOKUP(DATA[[#This Row],[SERIE2]]&amp;"-"&amp;DATA[[#This Row],[NUMERO]],#REF!,34,0),"NO CORRESPONDE"),"NO CORRESPONDE")</f>
        <v>NO CORRESPONDE</v>
      </c>
      <c r="AS254" s="22" t="str">
        <f>IF(DATA[[#This Row],[fecha_fs]]&gt;0,TEXT(DATA[[#This Row],[fecha_fs]],"Mmmm"),0)</f>
        <v>Febrero</v>
      </c>
      <c r="AT254" s="22" t="str">
        <f>DATA[[#This Row],[SERIE2]]&amp;"-"&amp;DATA[[#This Row],[NUMERO]]</f>
        <v>FE01-586</v>
      </c>
      <c r="AU254" s="28">
        <f>DATA[[#This Row],[TOTAL]]*DATA[[#This Row],[T.C.]]</f>
        <v>4959.95</v>
      </c>
      <c r="AV254" s="6">
        <f>DATA[[#This Row],[FECHA DE VAL.]]</f>
        <v>45708</v>
      </c>
      <c r="AW254" s="6">
        <f>DATA[[#This Row],[FECHA DE EMISION]]</f>
        <v>45719</v>
      </c>
      <c r="AX254" s="6">
        <f>DATA[[#This Row],[F1]]</f>
        <v>0</v>
      </c>
      <c r="AY254" s="20">
        <f>IF(AV254-DATA[[#This Row],[fecha_fs]]&lt;0,0,AV254-DATA[[#This Row],[fecha_fs]])</f>
        <v>0</v>
      </c>
      <c r="AZ254" s="20">
        <f t="shared" ref="AZ254:AZ317" si="28">IF(AW254-AV254&lt;0,0,AW254-AV254)</f>
        <v>11</v>
      </c>
      <c r="BA254" s="20">
        <f t="shared" ref="BA254:BA317" si="29">IF(AX254-AW254&lt;0,0,AX254-AW254)</f>
        <v>0</v>
      </c>
      <c r="BB254" s="195">
        <f>IFERROR(SUM(DATA[[#This Row],[fs_val_ttf]:[fact_pago_ttf]]),0)</f>
        <v>11</v>
      </c>
      <c r="BC254" s="185">
        <v>45728</v>
      </c>
      <c r="BD254" s="185">
        <v>45730</v>
      </c>
      <c r="BE254" s="185">
        <v>45737</v>
      </c>
      <c r="BF254" s="185">
        <v>45774</v>
      </c>
      <c r="BG254" s="20">
        <f>IFERROR(IF(BC254-DATA[[#This Row],[fecha_fs]]&lt;0,0,BC254-DATA[[#This Row],[fecha_fs]]),0)</f>
        <v>20</v>
      </c>
      <c r="BH254" s="20">
        <f t="shared" si="24"/>
        <v>2</v>
      </c>
      <c r="BI254" s="20">
        <f t="shared" si="25"/>
        <v>7</v>
      </c>
      <c r="BJ254" s="20">
        <f t="shared" si="26"/>
        <v>37</v>
      </c>
      <c r="BK254" s="218">
        <f>IFERROR(SUM(DATA[[#This Row],[fs_fd_ttd]:[fend_fenf_ttd]]),0)</f>
        <v>66</v>
      </c>
      <c r="BL254" s="20" t="str">
        <f>IF(DATA[[#This Row],[fecha_fs]]&gt;0,TEXT(DATA[[#This Row],[fecha_fs]],"YYYY"),0)</f>
        <v>2025</v>
      </c>
      <c r="BM254" s="221" t="b">
        <v>1</v>
      </c>
      <c r="BN254" s="278">
        <f>COUNTIF(DATA[[#This Row],[tiempo_td]], "&lt;=15")</f>
        <v>0</v>
      </c>
      <c r="BO254" s="222"/>
    </row>
    <row r="255" spans="1:67" ht="30.6" customHeight="1" x14ac:dyDescent="0.25">
      <c r="A255" s="4">
        <v>20100192064</v>
      </c>
      <c r="B255" s="5" t="s">
        <v>60</v>
      </c>
      <c r="C255" s="52" t="s">
        <v>43</v>
      </c>
      <c r="D255" s="4" t="s">
        <v>112</v>
      </c>
      <c r="E255" s="5" t="s">
        <v>1</v>
      </c>
      <c r="F255" s="24">
        <v>45707</v>
      </c>
      <c r="G255" s="7" t="s">
        <v>113</v>
      </c>
      <c r="H255" s="25">
        <f t="shared" si="27"/>
        <v>1</v>
      </c>
      <c r="I255" s="67">
        <v>4144</v>
      </c>
      <c r="J255" s="8" t="s">
        <v>115</v>
      </c>
      <c r="K255" s="9" t="s">
        <v>116</v>
      </c>
      <c r="L255" s="10" t="s">
        <v>117</v>
      </c>
      <c r="M255" s="11">
        <v>1410</v>
      </c>
      <c r="N255" s="12" t="s">
        <v>125</v>
      </c>
      <c r="O255" s="6">
        <v>45714</v>
      </c>
      <c r="P255" s="71">
        <v>3315</v>
      </c>
      <c r="Q255" s="14" t="s">
        <v>123</v>
      </c>
      <c r="R255" s="15">
        <f>(DATA[[#This Row],[cantidad_fs]]/1000)*(143+175.34)</f>
        <v>448.85939999999999</v>
      </c>
      <c r="S255" s="15">
        <v>137</v>
      </c>
      <c r="T255" s="15">
        <f>DATA[[#This Row],[C. DF]]+DATA[[#This Row],[C.OPE.]]</f>
        <v>585.85940000000005</v>
      </c>
      <c r="U255" s="15">
        <f>DATA[[#This Row],[SUB TOTAL]]*0.18</f>
        <v>105.45469200000001</v>
      </c>
      <c r="V255" s="15">
        <f>IFERROR(ROUND(DATA[[#This Row],[SUB TOTAL]]+DATA[[#This Row],[IGV]],2),0)</f>
        <v>691.31</v>
      </c>
      <c r="W255" s="16" t="str">
        <f>IF(DATA[[#This Row],[VALORIZACIÓN ]]="-","NO CORRESPONDE",IF(OR(A255=20558226979,A255=10470707866,A255=20111157058,A255=20100226902),"NO CORRESPONDE",IF(J255="Emitida",IF(P255&gt;0,"EMITIDA","PENDIENTE"),"NO CORRESPONDE")))</f>
        <v>EMITIDA</v>
      </c>
      <c r="X255" s="29"/>
      <c r="Y255" s="17" t="s">
        <v>118</v>
      </c>
      <c r="Z255" s="30">
        <v>45716</v>
      </c>
      <c r="AA255" s="10" t="s">
        <v>124</v>
      </c>
      <c r="AB255" s="19">
        <v>579</v>
      </c>
      <c r="AC255" s="20">
        <v>30</v>
      </c>
      <c r="AD255" s="18">
        <f>DATA[[#This Row],[FECHA DE EMISION]]+DATA[[#This Row],[CONDICION DE PAGO]]</f>
        <v>45746</v>
      </c>
      <c r="AE255" s="23" t="e">
        <f>IF(DATA[[#This Row],[MONEDA]]="USD",VLOOKUP(DATA[[#This Row],[COMBINADA]],#REF!,11,0),1)</f>
        <v>#REF!</v>
      </c>
      <c r="AF255" s="39" t="str">
        <f>IF(DATA[[#This Row],[SERIE2]]="-","NO CORRESPONDE",IF(W255="NO CORRESPONDE","NO CORRESPONDE",IF(Z255&gt;0,"FACTURADO","PENDIENTE")))</f>
        <v>FACTURADO</v>
      </c>
      <c r="AG255" s="27">
        <f>IFERROR(VLOOKUP(DATA[[#This Row],[COMBINADA]],#REF!,6,0),0)</f>
        <v>0</v>
      </c>
      <c r="AH255" s="125">
        <f>IFERROR(VLOOKUP(DATA[[#This Row],[COMBINADA]],#REF!,9,0),0)/COUNTIFS(DATA[COMBINADA],DATA[[#This Row],[COMBINADA]])</f>
        <v>0</v>
      </c>
      <c r="AI255" s="27">
        <f>IFERROR(VLOOKUP(DATA[[#This Row],[COMBINADA]],#REF!,6,0),0)</f>
        <v>0</v>
      </c>
      <c r="AJ255" s="125">
        <f>IFERROR(VLOOKUP(DATA[[#This Row],[COMBINADA]],#REF!,9,0),0)/COUNTIFS(DATA[COMBINADA],DATA[[#This Row],[COMBINADA]])</f>
        <v>0</v>
      </c>
      <c r="AK255" s="27">
        <f>IFERROR(VLOOKUP(DATA[[#This Row],[COMBINADA]],#REF!,6,0),0)</f>
        <v>0</v>
      </c>
      <c r="AL255" s="125">
        <f>IFERROR(VLOOKUP(DATA[[#This Row],[COMBINADA]],#REF!,9,0),0)/COUNTIFS(DATA[COMBINADA],DATA[[#This Row],[COMBINADA]])</f>
        <v>0</v>
      </c>
      <c r="AM255" s="27">
        <f>IFERROR(VLOOKUP(DATA[[#This Row],[COMBINADA]],#REF!,6,0),0)</f>
        <v>0</v>
      </c>
      <c r="AN255" s="125">
        <f>IFERROR(VLOOKUP(DATA[[#This Row],[COMBINADA]],#REF!,9,0),0)/COUNTIFS(DATA[COMBINADA],DATA[[#This Row],[COMBINADA]])</f>
        <v>0</v>
      </c>
      <c r="AO255" s="27">
        <f>IFERROR(VLOOKUP(DATA[[#This Row],[COMBINADA]],#REF!,6,0),0)</f>
        <v>0</v>
      </c>
      <c r="AP255" s="125">
        <f>IFERROR(VLOOKUP(DATA[[#This Row],[COMBINADA]],#REF!,9,0),0)/COUNTIFS(DATA[COMBINADA],DATA[[#This Row],[COMBINADA]])</f>
        <v>0</v>
      </c>
      <c r="AQ25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603.34285714285716</v>
      </c>
      <c r="AR255" s="26" t="str">
        <f>IFERROR(IF(DATA[[#This Row],[estado_fact]]="FACTURADO",VLOOKUP(DATA[[#This Row],[SERIE2]]&amp;"-"&amp;DATA[[#This Row],[NUMERO]],#REF!,34,0),"NO CORRESPONDE"),"NO CORRESPONDE")</f>
        <v>NO CORRESPONDE</v>
      </c>
      <c r="AS255" s="22" t="str">
        <f>IF(DATA[[#This Row],[fecha_fs]]&gt;0,TEXT(DATA[[#This Row],[fecha_fs]],"Mmmm"),0)</f>
        <v>Febrero</v>
      </c>
      <c r="AT255" s="22" t="str">
        <f>DATA[[#This Row],[SERIE2]]&amp;"-"&amp;DATA[[#This Row],[NUMERO]]</f>
        <v>FE01-579</v>
      </c>
      <c r="AU255" s="28" t="e">
        <f>DATA[[#This Row],[TOTAL]]*DATA[[#This Row],[T.C.]]</f>
        <v>#REF!</v>
      </c>
      <c r="AV255" s="6">
        <f>DATA[[#This Row],[FECHA DE VAL.]]</f>
        <v>45714</v>
      </c>
      <c r="AW255" s="6">
        <f>DATA[[#This Row],[FECHA DE EMISION]]</f>
        <v>45716</v>
      </c>
      <c r="AX255" s="6">
        <f>DATA[[#This Row],[F1]]</f>
        <v>0</v>
      </c>
      <c r="AY255" s="20">
        <f>IF(AV255-DATA[[#This Row],[fecha_fs]]&lt;0,0,AV255-DATA[[#This Row],[fecha_fs]])</f>
        <v>7</v>
      </c>
      <c r="AZ255" s="20">
        <f t="shared" si="28"/>
        <v>2</v>
      </c>
      <c r="BA255" s="20">
        <f t="shared" si="29"/>
        <v>0</v>
      </c>
      <c r="BB255" s="195">
        <f>IFERROR(SUM(DATA[[#This Row],[fs_val_ttf]:[fact_pago_ttf]]),0)</f>
        <v>9</v>
      </c>
      <c r="BC255" s="185">
        <v>45716</v>
      </c>
      <c r="BD255" s="185">
        <v>45729</v>
      </c>
      <c r="BE255" s="185">
        <v>45737</v>
      </c>
      <c r="BF255" s="185">
        <v>45760</v>
      </c>
      <c r="BG255" s="20">
        <f>IFERROR(IF(BC255-DATA[[#This Row],[fecha_fs]]&lt;0,0,BC255-DATA[[#This Row],[fecha_fs]]),0)</f>
        <v>9</v>
      </c>
      <c r="BH255" s="20">
        <f t="shared" si="24"/>
        <v>13</v>
      </c>
      <c r="BI255" s="20">
        <f t="shared" si="25"/>
        <v>8</v>
      </c>
      <c r="BJ255" s="20">
        <f t="shared" si="26"/>
        <v>23</v>
      </c>
      <c r="BK255" s="218">
        <f>IFERROR(SUM(DATA[[#This Row],[fs_fd_ttd]:[fend_fenf_ttd]]),0)</f>
        <v>53</v>
      </c>
      <c r="BL255" s="20" t="str">
        <f>IF(DATA[[#This Row],[fecha_fs]]&gt;0,TEXT(DATA[[#This Row],[fecha_fs]],"YYYY"),0)</f>
        <v>2025</v>
      </c>
      <c r="BM255" s="221" t="b">
        <v>1</v>
      </c>
      <c r="BN255" s="278">
        <f>COUNTIF(DATA[[#This Row],[tiempo_td]], "&lt;=15")</f>
        <v>0</v>
      </c>
      <c r="BO255" s="222"/>
    </row>
    <row r="256" spans="1:67" ht="30.6" customHeight="1" x14ac:dyDescent="0.25">
      <c r="A256" s="4">
        <v>20100192064</v>
      </c>
      <c r="B256" s="5" t="s">
        <v>60</v>
      </c>
      <c r="C256" s="52" t="s">
        <v>64</v>
      </c>
      <c r="D256" s="4" t="s">
        <v>112</v>
      </c>
      <c r="E256" s="5" t="s">
        <v>1</v>
      </c>
      <c r="F256" s="24">
        <v>45707</v>
      </c>
      <c r="G256" s="7" t="s">
        <v>113</v>
      </c>
      <c r="H256" s="25">
        <f t="shared" si="27"/>
        <v>1</v>
      </c>
      <c r="I256" s="67">
        <v>4145</v>
      </c>
      <c r="J256" s="8" t="s">
        <v>115</v>
      </c>
      <c r="K256" s="9" t="s">
        <v>136</v>
      </c>
      <c r="L256" s="10" t="s">
        <v>137</v>
      </c>
      <c r="M256" s="11">
        <v>22</v>
      </c>
      <c r="N256" s="12" t="s">
        <v>129</v>
      </c>
      <c r="O256" s="6">
        <v>45714</v>
      </c>
      <c r="P256" s="71">
        <v>3316</v>
      </c>
      <c r="Q256" s="14" t="s">
        <v>123</v>
      </c>
      <c r="R256" s="15">
        <f>DATA[[#This Row],[cantidad_fs]]*33.34</f>
        <v>733.48</v>
      </c>
      <c r="S256" s="15"/>
      <c r="T256" s="15">
        <f>DATA[[#This Row],[C. DF]]+DATA[[#This Row],[C.OPE.]]</f>
        <v>733.48</v>
      </c>
      <c r="U256" s="15">
        <f>DATA[[#This Row],[SUB TOTAL]]*0.18</f>
        <v>132.0264</v>
      </c>
      <c r="V256" s="15">
        <f>IFERROR(ROUND(DATA[[#This Row],[SUB TOTAL]]+DATA[[#This Row],[IGV]],2),0)</f>
        <v>865.51</v>
      </c>
      <c r="W256" s="16" t="str">
        <f>IF(DATA[[#This Row],[VALORIZACIÓN ]]="-","NO CORRESPONDE",IF(OR(A256=20558226979,A256=10470707866,A256=20111157058,A256=20100226902),"NO CORRESPONDE",IF(J256="Emitida",IF(P256&gt;0,"EMITIDA","PENDIENTE"),"NO CORRESPONDE")))</f>
        <v>EMITIDA</v>
      </c>
      <c r="X256" s="29"/>
      <c r="Y256" s="17" t="s">
        <v>118</v>
      </c>
      <c r="Z256" s="30">
        <v>45716</v>
      </c>
      <c r="AA256" s="10" t="s">
        <v>124</v>
      </c>
      <c r="AB256" s="19">
        <v>579</v>
      </c>
      <c r="AC256" s="20">
        <v>30</v>
      </c>
      <c r="AD256" s="18">
        <f>DATA[[#This Row],[FECHA DE EMISION]]+DATA[[#This Row],[CONDICION DE PAGO]]</f>
        <v>45746</v>
      </c>
      <c r="AE256" s="23" t="e">
        <f>IF(DATA[[#This Row],[MONEDA]]="USD",VLOOKUP(DATA[[#This Row],[COMBINADA]],#REF!,11,0),1)</f>
        <v>#REF!</v>
      </c>
      <c r="AF256" s="39" t="str">
        <f>IF(DATA[[#This Row],[SERIE2]]="-","NO CORRESPONDE",IF(W256="NO CORRESPONDE","NO CORRESPONDE",IF(Z256&gt;0,"FACTURADO","PENDIENTE")))</f>
        <v>FACTURADO</v>
      </c>
      <c r="AG256" s="27">
        <f>IFERROR(VLOOKUP(DATA[[#This Row],[COMBINADA]],#REF!,6,0),0)</f>
        <v>0</v>
      </c>
      <c r="AH256" s="125">
        <f>IFERROR(VLOOKUP(DATA[[#This Row],[COMBINADA]],#REF!,9,0),0)/COUNTIFS(DATA[COMBINADA],DATA[[#This Row],[COMBINADA]])</f>
        <v>0</v>
      </c>
      <c r="AI256" s="27">
        <f>IFERROR(VLOOKUP(DATA[[#This Row],[COMBINADA]],#REF!,6,0),0)</f>
        <v>0</v>
      </c>
      <c r="AJ256" s="125">
        <f>IFERROR(VLOOKUP(DATA[[#This Row],[COMBINADA]],#REF!,9,0),0)/COUNTIFS(DATA[COMBINADA],DATA[[#This Row],[COMBINADA]])</f>
        <v>0</v>
      </c>
      <c r="AK256" s="27">
        <f>IFERROR(VLOOKUP(DATA[[#This Row],[COMBINADA]],#REF!,6,0),0)</f>
        <v>0</v>
      </c>
      <c r="AL256" s="125">
        <f>IFERROR(VLOOKUP(DATA[[#This Row],[COMBINADA]],#REF!,9,0),0)/COUNTIFS(DATA[COMBINADA],DATA[[#This Row],[COMBINADA]])</f>
        <v>0</v>
      </c>
      <c r="AM256" s="27">
        <f>IFERROR(VLOOKUP(DATA[[#This Row],[COMBINADA]],#REF!,6,0),0)</f>
        <v>0</v>
      </c>
      <c r="AN256" s="125">
        <f>IFERROR(VLOOKUP(DATA[[#This Row],[COMBINADA]],#REF!,9,0),0)/COUNTIFS(DATA[COMBINADA],DATA[[#This Row],[COMBINADA]])</f>
        <v>0</v>
      </c>
      <c r="AO256" s="27">
        <f>IFERROR(VLOOKUP(DATA[[#This Row],[COMBINADA]],#REF!,6,0),0)</f>
        <v>0</v>
      </c>
      <c r="AP256" s="125">
        <f>IFERROR(VLOOKUP(DATA[[#This Row],[COMBINADA]],#REF!,9,0),0)/COUNTIFS(DATA[COMBINADA],DATA[[#This Row],[COMBINADA]])</f>
        <v>0</v>
      </c>
      <c r="AQ25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603.34285714285716</v>
      </c>
      <c r="AR256" s="26" t="str">
        <f>IFERROR(IF(DATA[[#This Row],[estado_fact]]="FACTURADO",VLOOKUP(DATA[[#This Row],[SERIE2]]&amp;"-"&amp;DATA[[#This Row],[NUMERO]],#REF!,34,0),"NO CORRESPONDE"),"NO CORRESPONDE")</f>
        <v>NO CORRESPONDE</v>
      </c>
      <c r="AS256" s="22" t="str">
        <f>IF(DATA[[#This Row],[fecha_fs]]&gt;0,TEXT(DATA[[#This Row],[fecha_fs]],"Mmmm"),0)</f>
        <v>Febrero</v>
      </c>
      <c r="AT256" s="22" t="str">
        <f>DATA[[#This Row],[SERIE2]]&amp;"-"&amp;DATA[[#This Row],[NUMERO]]</f>
        <v>FE01-579</v>
      </c>
      <c r="AU256" s="28" t="e">
        <f>DATA[[#This Row],[TOTAL]]*DATA[[#This Row],[T.C.]]</f>
        <v>#REF!</v>
      </c>
      <c r="AV256" s="6">
        <f>DATA[[#This Row],[FECHA DE VAL.]]</f>
        <v>45714</v>
      </c>
      <c r="AW256" s="6">
        <f>DATA[[#This Row],[FECHA DE EMISION]]</f>
        <v>45716</v>
      </c>
      <c r="AX256" s="6">
        <f>DATA[[#This Row],[F1]]</f>
        <v>0</v>
      </c>
      <c r="AY256" s="20">
        <f>IF(AV256-DATA[[#This Row],[fecha_fs]]&lt;0,0,AV256-DATA[[#This Row],[fecha_fs]])</f>
        <v>7</v>
      </c>
      <c r="AZ256" s="20">
        <f t="shared" si="28"/>
        <v>2</v>
      </c>
      <c r="BA256" s="20">
        <f t="shared" si="29"/>
        <v>0</v>
      </c>
      <c r="BB256" s="195">
        <f>IFERROR(SUM(DATA[[#This Row],[fs_val_ttf]:[fact_pago_ttf]]),0)</f>
        <v>9</v>
      </c>
      <c r="BC256" s="185">
        <v>45720</v>
      </c>
      <c r="BD256" s="185">
        <v>45733</v>
      </c>
      <c r="BE256" s="185">
        <v>45737</v>
      </c>
      <c r="BF256" s="185">
        <v>45760</v>
      </c>
      <c r="BG256" s="20">
        <f>IFERROR(IF(BC256-DATA[[#This Row],[fecha_fs]]&lt;0,0,BC256-DATA[[#This Row],[fecha_fs]]),0)</f>
        <v>13</v>
      </c>
      <c r="BH256" s="20">
        <f t="shared" si="24"/>
        <v>13</v>
      </c>
      <c r="BI256" s="20">
        <f t="shared" si="25"/>
        <v>4</v>
      </c>
      <c r="BJ256" s="20">
        <f t="shared" si="26"/>
        <v>23</v>
      </c>
      <c r="BK256" s="218">
        <f>IFERROR(SUM(DATA[[#This Row],[fs_fd_ttd]:[fend_fenf_ttd]]),0)</f>
        <v>53</v>
      </c>
      <c r="BL256" s="20" t="str">
        <f>IF(DATA[[#This Row],[fecha_fs]]&gt;0,TEXT(DATA[[#This Row],[fecha_fs]],"YYYY"),0)</f>
        <v>2025</v>
      </c>
      <c r="BM256" s="221" t="b">
        <v>1</v>
      </c>
      <c r="BN256" s="278">
        <f>COUNTIF(DATA[[#This Row],[tiempo_td]], "&lt;=15")</f>
        <v>0</v>
      </c>
      <c r="BO256" s="222"/>
    </row>
    <row r="257" spans="1:67" ht="30" customHeight="1" x14ac:dyDescent="0.25">
      <c r="A257" s="4"/>
      <c r="B257" s="5" t="s">
        <v>0</v>
      </c>
      <c r="C257" s="52"/>
      <c r="D257" s="4"/>
      <c r="E257" s="5" t="s">
        <v>0</v>
      </c>
      <c r="F257" s="24">
        <v>45707</v>
      </c>
      <c r="G257" s="7" t="s">
        <v>113</v>
      </c>
      <c r="H257" s="25">
        <f t="shared" si="27"/>
        <v>1</v>
      </c>
      <c r="I257" s="67">
        <v>4146</v>
      </c>
      <c r="J257" s="8" t="s">
        <v>173</v>
      </c>
      <c r="K257" s="9"/>
      <c r="L257" s="10"/>
      <c r="M257" s="111"/>
      <c r="N257" s="112"/>
      <c r="O257" s="6"/>
      <c r="P257" s="13" t="s">
        <v>114</v>
      </c>
      <c r="Q257" s="14"/>
      <c r="R257" s="15"/>
      <c r="S257" s="15"/>
      <c r="T257" s="43">
        <f>DATA[[#This Row],[C. DF]]+DATA[[#This Row],[C.OPE.]]</f>
        <v>0</v>
      </c>
      <c r="U257" s="73">
        <f>DATA[[#This Row],[SUB TOTAL]]*0.18</f>
        <v>0</v>
      </c>
      <c r="V257" s="45">
        <f>IFERROR(ROUND(DATA[[#This Row],[SUB TOTAL]]+DATA[[#This Row],[IGV]],2),0)</f>
        <v>0</v>
      </c>
      <c r="W257" s="58" t="str">
        <f>IF(DATA[[#This Row],[VALORIZACIÓN ]]="-","NO CORRESPONDE",IF(OR(A257=20558226979,A257=10470707866,A257=20111157058,A257=20100226902),"NO CORRESPONDE",IF(J257="Emitida",IF(P257&gt;0,"EMITIDA","PENDIENTE"),"NO CORRESPONDE")))</f>
        <v>NO CORRESPONDE</v>
      </c>
      <c r="X257" s="46"/>
      <c r="Y257" s="17" t="s">
        <v>128</v>
      </c>
      <c r="Z257" s="48"/>
      <c r="AA257" s="49"/>
      <c r="AB257" s="50"/>
      <c r="AC257" s="51"/>
      <c r="AD257" s="59">
        <f>DATA[[#This Row],[FECHA DE EMISION]]+DATA[[#This Row],[CONDICION DE PAGO]]</f>
        <v>0</v>
      </c>
      <c r="AE257" s="23">
        <f>IF(DATA[[#This Row],[MONEDA]]="USD",VLOOKUP(DATA[[#This Row],[COMBINADA]],#REF!,11,0),1)</f>
        <v>1</v>
      </c>
      <c r="AF257" s="39" t="str">
        <f>IF(DATA[[#This Row],[SERIE2]]="-","NO CORRESPONDE",IF(W257="NO CORRESPONDE","NO CORRESPONDE",IF(Z257&gt;0,"FACTURADO","PENDIENTE")))</f>
        <v>NO CORRESPONDE</v>
      </c>
      <c r="AG257" s="61">
        <f>IFERROR(VLOOKUP(DATA[[#This Row],[COMBINADA]],#REF!,6,0),0)</f>
        <v>0</v>
      </c>
      <c r="AH257" s="62">
        <f>IFERROR(VLOOKUP(DATA[[#This Row],[COMBINADA]],#REF!,9,0),0)/COUNTIFS(DATA[COMBINADA],DATA[[#This Row],[COMBINADA]])</f>
        <v>0</v>
      </c>
      <c r="AI257" s="61">
        <f>IFERROR(VLOOKUP(DATA[[#This Row],[COMBINADA]],#REF!,6,0),0)</f>
        <v>0</v>
      </c>
      <c r="AJ257" s="62">
        <f>IFERROR(VLOOKUP(DATA[[#This Row],[COMBINADA]],#REF!,9,0),0)/COUNTIFS(DATA[COMBINADA],DATA[[#This Row],[COMBINADA]])</f>
        <v>0</v>
      </c>
      <c r="AK257" s="61">
        <f>IFERROR(VLOOKUP(DATA[[#This Row],[COMBINADA]],#REF!,6,0),0)</f>
        <v>0</v>
      </c>
      <c r="AL257" s="62">
        <f>IFERROR(VLOOKUP(DATA[[#This Row],[COMBINADA]],#REF!,9,0),0)/COUNTIFS(DATA[COMBINADA],DATA[[#This Row],[COMBINADA]])</f>
        <v>0</v>
      </c>
      <c r="AM257" s="61">
        <f>IFERROR(VLOOKUP(DATA[[#This Row],[COMBINADA]],#REF!,6,0),0)</f>
        <v>0</v>
      </c>
      <c r="AN257" s="62">
        <f>IFERROR(VLOOKUP(DATA[[#This Row],[COMBINADA]],#REF!,9,0),0)/COUNTIFS(DATA[COMBINADA],DATA[[#This Row],[COMBINADA]])</f>
        <v>0</v>
      </c>
      <c r="AO257" s="61">
        <f>IFERROR(VLOOKUP(DATA[[#This Row],[COMBINADA]],#REF!,6,0),0)</f>
        <v>0</v>
      </c>
      <c r="AP257" s="62">
        <f>IFERROR(VLOOKUP(DATA[[#This Row],[COMBINADA]],#REF!,9,0),0)/COUNTIFS(DATA[COMBINADA],DATA[[#This Row],[COMBINADA]])</f>
        <v>0</v>
      </c>
      <c r="AQ257"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257" s="22" t="str">
        <f>IFERROR(IF(DATA[[#This Row],[estado_fact]]="FACTURADO",VLOOKUP(DATA[[#This Row],[SERIE2]]&amp;"-"&amp;DATA[[#This Row],[NUMERO]],#REF!,34,0),"NO CORRESPONDE"),"NO CORRESPONDE")</f>
        <v>NO CORRESPONDE</v>
      </c>
      <c r="AS257" s="198" t="str">
        <f>IF(DATA[[#This Row],[fecha_fs]]&gt;0,TEXT(DATA[[#This Row],[fecha_fs]],"Mmmm"),0)</f>
        <v>Febrero</v>
      </c>
      <c r="AT257" s="199" t="str">
        <f>DATA[[#This Row],[SERIE2]]&amp;"-"&amp;DATA[[#This Row],[NUMERO]]</f>
        <v>-</v>
      </c>
      <c r="AU257" s="198">
        <f>DATA[[#This Row],[TOTAL]]*DATA[[#This Row],[T.C.]]</f>
        <v>0</v>
      </c>
      <c r="AV257" s="40">
        <f>DATA[[#This Row],[FECHA DE VAL.]]</f>
        <v>0</v>
      </c>
      <c r="AW257" s="40">
        <f>DATA[[#This Row],[FECHA DE EMISION]]</f>
        <v>0</v>
      </c>
      <c r="AX257" s="40">
        <f>DATA[[#This Row],[F1]]</f>
        <v>0</v>
      </c>
      <c r="AY257" s="49">
        <f>IF(AV257-DATA[[#This Row],[fecha_fs]]&lt;0,0,AV257-DATA[[#This Row],[fecha_fs]])</f>
        <v>0</v>
      </c>
      <c r="AZ257" s="49">
        <f t="shared" si="28"/>
        <v>0</v>
      </c>
      <c r="BA257" s="49">
        <f t="shared" si="29"/>
        <v>0</v>
      </c>
      <c r="BB257" s="195">
        <f>IFERROR(SUM(DATA[[#This Row],[fs_val_ttf]:[fact_pago_ttf]]),0)</f>
        <v>0</v>
      </c>
      <c r="BC257" s="201"/>
      <c r="BD257" s="201"/>
      <c r="BE257" s="201"/>
      <c r="BF257" s="201"/>
      <c r="BG257" s="49">
        <f>IFERROR(IF(BC257-DATA[[#This Row],[fecha_fs]]&lt;0,0,BC257-DATA[[#This Row],[fecha_fs]]),0)</f>
        <v>0</v>
      </c>
      <c r="BH257" s="49">
        <f t="shared" si="24"/>
        <v>0</v>
      </c>
      <c r="BI257" s="49">
        <f t="shared" si="25"/>
        <v>0</v>
      </c>
      <c r="BJ257" s="49">
        <f t="shared" si="26"/>
        <v>0</v>
      </c>
      <c r="BK257" s="218">
        <f>IFERROR(SUM(DATA[[#This Row],[fs_fd_ttd]:[fend_fenf_ttd]]),0)</f>
        <v>0</v>
      </c>
      <c r="BL257" s="20" t="str">
        <f>IF(DATA[[#This Row],[fecha_fs]]&gt;0,TEXT(DATA[[#This Row],[fecha_fs]],"YYYY"),0)</f>
        <v>2025</v>
      </c>
      <c r="BM257" s="221" t="b">
        <v>0</v>
      </c>
      <c r="BN257" s="278"/>
      <c r="BO257" s="222"/>
    </row>
    <row r="258" spans="1:67" ht="30.6" customHeight="1" x14ac:dyDescent="0.25">
      <c r="A258" s="4">
        <v>20100192064</v>
      </c>
      <c r="B258" s="5" t="s">
        <v>60</v>
      </c>
      <c r="C258" s="52" t="s">
        <v>65</v>
      </c>
      <c r="D258" s="4" t="s">
        <v>152</v>
      </c>
      <c r="E258" s="5" t="s">
        <v>10</v>
      </c>
      <c r="F258" s="24">
        <v>45707</v>
      </c>
      <c r="G258" s="7" t="s">
        <v>142</v>
      </c>
      <c r="H258" s="25">
        <f t="shared" si="27"/>
        <v>2</v>
      </c>
      <c r="I258" s="67">
        <v>1050</v>
      </c>
      <c r="J258" s="8" t="s">
        <v>115</v>
      </c>
      <c r="K258" s="9" t="s">
        <v>153</v>
      </c>
      <c r="L258" s="10" t="s">
        <v>117</v>
      </c>
      <c r="M258" s="11">
        <v>2640</v>
      </c>
      <c r="N258" s="12" t="s">
        <v>143</v>
      </c>
      <c r="O258" s="6"/>
      <c r="P258" s="71" t="s">
        <v>114</v>
      </c>
      <c r="Q258" s="14"/>
      <c r="R258" s="15"/>
      <c r="S258" s="15"/>
      <c r="T258" s="15">
        <f>DATA[[#This Row],[C. DF]]+DATA[[#This Row],[C.OPE.]]</f>
        <v>0</v>
      </c>
      <c r="U258" s="15">
        <f>DATA[[#This Row],[SUB TOTAL]]*0.18</f>
        <v>0</v>
      </c>
      <c r="V258" s="15">
        <f>IFERROR(ROUND(DATA[[#This Row],[SUB TOTAL]]+DATA[[#This Row],[IGV]],2),0)</f>
        <v>0</v>
      </c>
      <c r="W258" s="16" t="str">
        <f>IF(DATA[[#This Row],[VALORIZACIÓN ]]="-","NO CORRESPONDE",IF(OR(A258=20558226979,A258=10470707866,A258=20111157058,A258=20100226902),"NO CORRESPONDE",IF(J258="Emitida",IF(P258&gt;0,"EMITIDA","PENDIENTE"),"NO CORRESPONDE")))</f>
        <v>NO CORRESPONDE</v>
      </c>
      <c r="X258" s="29"/>
      <c r="Y258" s="17" t="s">
        <v>128</v>
      </c>
      <c r="Z258" s="30"/>
      <c r="AA258" s="10"/>
      <c r="AB258" s="19"/>
      <c r="AC258" s="20"/>
      <c r="AD258" s="18">
        <f>DATA[[#This Row],[FECHA DE EMISION]]+DATA[[#This Row],[CONDICION DE PAGO]]</f>
        <v>0</v>
      </c>
      <c r="AE258" s="23">
        <f>IF(DATA[[#This Row],[MONEDA]]="USD",VLOOKUP(DATA[[#This Row],[COMBINADA]],#REF!,11,0),1)</f>
        <v>1</v>
      </c>
      <c r="AF258" s="39" t="str">
        <f>IF(DATA[[#This Row],[SERIE2]]="-","NO CORRESPONDE",IF(W258="NO CORRESPONDE","NO CORRESPONDE",IF(Z258&gt;0,"FACTURADO","PENDIENTE")))</f>
        <v>NO CORRESPONDE</v>
      </c>
      <c r="AG258" s="27">
        <f>IFERROR(VLOOKUP(DATA[[#This Row],[COMBINADA]],#REF!,6,0),0)</f>
        <v>0</v>
      </c>
      <c r="AH258" s="125">
        <f>IFERROR(VLOOKUP(DATA[[#This Row],[COMBINADA]],#REF!,9,0),0)/COUNTIFS(DATA[COMBINADA],DATA[[#This Row],[COMBINADA]])</f>
        <v>0</v>
      </c>
      <c r="AI258" s="27">
        <f>IFERROR(VLOOKUP(DATA[[#This Row],[COMBINADA]],#REF!,6,0),0)</f>
        <v>0</v>
      </c>
      <c r="AJ258" s="125">
        <f>IFERROR(VLOOKUP(DATA[[#This Row],[COMBINADA]],#REF!,9,0),0)/COUNTIFS(DATA[COMBINADA],DATA[[#This Row],[COMBINADA]])</f>
        <v>0</v>
      </c>
      <c r="AK258" s="27">
        <f>IFERROR(VLOOKUP(DATA[[#This Row],[COMBINADA]],#REF!,6,0),0)</f>
        <v>0</v>
      </c>
      <c r="AL258" s="125">
        <f>IFERROR(VLOOKUP(DATA[[#This Row],[COMBINADA]],#REF!,9,0),0)/COUNTIFS(DATA[COMBINADA],DATA[[#This Row],[COMBINADA]])</f>
        <v>0</v>
      </c>
      <c r="AM258" s="27">
        <f>IFERROR(VLOOKUP(DATA[[#This Row],[COMBINADA]],#REF!,6,0),0)</f>
        <v>0</v>
      </c>
      <c r="AN258" s="125">
        <f>IFERROR(VLOOKUP(DATA[[#This Row],[COMBINADA]],#REF!,9,0),0)/COUNTIFS(DATA[COMBINADA],DATA[[#This Row],[COMBINADA]])</f>
        <v>0</v>
      </c>
      <c r="AO258" s="27">
        <f>IFERROR(VLOOKUP(DATA[[#This Row],[COMBINADA]],#REF!,6,0),0)</f>
        <v>0</v>
      </c>
      <c r="AP258" s="125">
        <f>IFERROR(VLOOKUP(DATA[[#This Row],[COMBINADA]],#REF!,9,0),0)/COUNTIFS(DATA[COMBINADA],DATA[[#This Row],[COMBINADA]])</f>
        <v>0</v>
      </c>
      <c r="AQ25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258" s="26" t="str">
        <f>IFERROR(IF(DATA[[#This Row],[estado_fact]]="FACTURADO",VLOOKUP(DATA[[#This Row],[SERIE2]]&amp;"-"&amp;DATA[[#This Row],[NUMERO]],#REF!,34,0),"NO CORRESPONDE"),"NO CORRESPONDE")</f>
        <v>NO CORRESPONDE</v>
      </c>
      <c r="AS258" s="22" t="str">
        <f>IF(DATA[[#This Row],[fecha_fs]]&gt;0,TEXT(DATA[[#This Row],[fecha_fs]],"Mmmm"),0)</f>
        <v>Febrero</v>
      </c>
      <c r="AT258" s="22" t="str">
        <f>DATA[[#This Row],[SERIE2]]&amp;"-"&amp;DATA[[#This Row],[NUMERO]]</f>
        <v>-</v>
      </c>
      <c r="AU258" s="28">
        <f>DATA[[#This Row],[TOTAL]]*DATA[[#This Row],[T.C.]]</f>
        <v>0</v>
      </c>
      <c r="AV258" s="6">
        <f>DATA[[#This Row],[FECHA DE VAL.]]</f>
        <v>0</v>
      </c>
      <c r="AW258" s="6">
        <f>DATA[[#This Row],[FECHA DE EMISION]]</f>
        <v>0</v>
      </c>
      <c r="AX258" s="6">
        <f>DATA[[#This Row],[F1]]</f>
        <v>0</v>
      </c>
      <c r="AY258" s="20">
        <f>IF(AV258-DATA[[#This Row],[fecha_fs]]&lt;0,0,AV258-DATA[[#This Row],[fecha_fs]])</f>
        <v>0</v>
      </c>
      <c r="AZ258" s="20">
        <f t="shared" si="28"/>
        <v>0</v>
      </c>
      <c r="BA258" s="20">
        <f t="shared" si="29"/>
        <v>0</v>
      </c>
      <c r="BB258" s="195">
        <f>IFERROR(SUM(DATA[[#This Row],[fs_val_ttf]:[fact_pago_ttf]]),0)</f>
        <v>0</v>
      </c>
      <c r="BC258" s="185">
        <v>45730</v>
      </c>
      <c r="BD258" s="185">
        <v>45735</v>
      </c>
      <c r="BE258" s="185">
        <v>45737</v>
      </c>
      <c r="BF258" s="185">
        <v>45760</v>
      </c>
      <c r="BG258" s="20">
        <f>IFERROR(IF(BC258-DATA[[#This Row],[fecha_fs]]&lt;0,0,BC258-DATA[[#This Row],[fecha_fs]]),0)</f>
        <v>23</v>
      </c>
      <c r="BH258" s="20">
        <f t="shared" si="24"/>
        <v>5</v>
      </c>
      <c r="BI258" s="20">
        <f t="shared" si="25"/>
        <v>2</v>
      </c>
      <c r="BJ258" s="20">
        <f t="shared" si="26"/>
        <v>23</v>
      </c>
      <c r="BK258" s="218">
        <f>IFERROR(SUM(DATA[[#This Row],[fs_fd_ttd]:[fend_fenf_ttd]]),0)</f>
        <v>53</v>
      </c>
      <c r="BL258" s="20" t="str">
        <f>IF(DATA[[#This Row],[fecha_fs]]&gt;0,TEXT(DATA[[#This Row],[fecha_fs]],"YYYY"),0)</f>
        <v>2025</v>
      </c>
      <c r="BM258" s="221" t="b">
        <v>1</v>
      </c>
      <c r="BN258" s="278">
        <f>COUNTIF(DATA[[#This Row],[tiempo_td]], "&lt;=15")</f>
        <v>0</v>
      </c>
      <c r="BO258" s="222"/>
    </row>
    <row r="259" spans="1:67" ht="30.6" customHeight="1" x14ac:dyDescent="0.25">
      <c r="A259" s="4">
        <v>20100192064</v>
      </c>
      <c r="B259" s="5" t="s">
        <v>60</v>
      </c>
      <c r="C259" s="52" t="s">
        <v>65</v>
      </c>
      <c r="D259" s="4" t="s">
        <v>120</v>
      </c>
      <c r="E259" s="5" t="s">
        <v>3</v>
      </c>
      <c r="F259" s="24">
        <v>45706</v>
      </c>
      <c r="G259" s="7" t="s">
        <v>142</v>
      </c>
      <c r="H259" s="25">
        <f t="shared" si="27"/>
        <v>2</v>
      </c>
      <c r="I259" s="67">
        <v>1051</v>
      </c>
      <c r="J259" s="8" t="s">
        <v>115</v>
      </c>
      <c r="K259" s="9" t="s">
        <v>121</v>
      </c>
      <c r="L259" s="10" t="s">
        <v>117</v>
      </c>
      <c r="M259" s="11">
        <f>660-39.6</f>
        <v>620.4</v>
      </c>
      <c r="N259" s="12" t="s">
        <v>196</v>
      </c>
      <c r="O259" s="6">
        <v>45714</v>
      </c>
      <c r="P259" s="71">
        <v>3320</v>
      </c>
      <c r="Q259" s="14" t="s">
        <v>123</v>
      </c>
      <c r="R259" s="15">
        <f>(DATA[[#This Row],[cantidad_fs]]/1000)*(37+81.01)</f>
        <v>73.213403999999997</v>
      </c>
      <c r="S259" s="15">
        <v>103.6</v>
      </c>
      <c r="T259" s="15">
        <f>DATA[[#This Row],[C. DF]]+DATA[[#This Row],[C.OPE.]]</f>
        <v>176.81340399999999</v>
      </c>
      <c r="U259" s="15">
        <f>DATA[[#This Row],[SUB TOTAL]]*0.18</f>
        <v>31.826412719999997</v>
      </c>
      <c r="V259" s="15">
        <f>IFERROR(ROUND(DATA[[#This Row],[SUB TOTAL]]+DATA[[#This Row],[IGV]],2),0)</f>
        <v>208.64</v>
      </c>
      <c r="W259" s="16" t="str">
        <f>IF(DATA[[#This Row],[VALORIZACIÓN ]]="-","NO CORRESPONDE",IF(OR(A259=20558226979,A259=10470707866,A259=20111157058,A259=20100226902),"NO CORRESPONDE",IF(J259="Emitida",IF(P259&gt;0,"EMITIDA","PENDIENTE"),"NO CORRESPONDE")))</f>
        <v>EMITIDA</v>
      </c>
      <c r="X259" s="29"/>
      <c r="Y259" s="17" t="s">
        <v>118</v>
      </c>
      <c r="Z259" s="30">
        <v>45716</v>
      </c>
      <c r="AA259" s="10" t="s">
        <v>124</v>
      </c>
      <c r="AB259" s="19">
        <v>583</v>
      </c>
      <c r="AC259" s="20">
        <v>15</v>
      </c>
      <c r="AD259" s="18">
        <f>DATA[[#This Row],[FECHA DE EMISION]]+DATA[[#This Row],[CONDICION DE PAGO]]</f>
        <v>45731</v>
      </c>
      <c r="AE259" s="23" t="e">
        <f>IF(DATA[[#This Row],[MONEDA]]="USD",VLOOKUP(DATA[[#This Row],[COMBINADA]],#REF!,11,0),1)</f>
        <v>#REF!</v>
      </c>
      <c r="AF259" s="39" t="str">
        <f>IF(DATA[[#This Row],[SERIE2]]="-","NO CORRESPONDE",IF(W259="NO CORRESPONDE","NO CORRESPONDE",IF(Z259&gt;0,"FACTURADO","PENDIENTE")))</f>
        <v>FACTURADO</v>
      </c>
      <c r="AG259" s="27">
        <f>IFERROR(VLOOKUP(DATA[[#This Row],[COMBINADA]],#REF!,6,0),0)</f>
        <v>0</v>
      </c>
      <c r="AH259" s="125">
        <f>IFERROR(VLOOKUP(DATA[[#This Row],[COMBINADA]],#REF!,9,0),0)/COUNTIFS(DATA[COMBINADA],DATA[[#This Row],[COMBINADA]])</f>
        <v>0</v>
      </c>
      <c r="AI259" s="27">
        <f>IFERROR(VLOOKUP(DATA[[#This Row],[COMBINADA]],#REF!,6,0),0)</f>
        <v>0</v>
      </c>
      <c r="AJ259" s="125">
        <f>IFERROR(VLOOKUP(DATA[[#This Row],[COMBINADA]],#REF!,9,0),0)/COUNTIFS(DATA[COMBINADA],DATA[[#This Row],[COMBINADA]])</f>
        <v>0</v>
      </c>
      <c r="AK259" s="27">
        <f>IFERROR(VLOOKUP(DATA[[#This Row],[COMBINADA]],#REF!,6,0),0)</f>
        <v>0</v>
      </c>
      <c r="AL259" s="125">
        <f>IFERROR(VLOOKUP(DATA[[#This Row],[COMBINADA]],#REF!,9,0),0)/COUNTIFS(DATA[COMBINADA],DATA[[#This Row],[COMBINADA]])</f>
        <v>0</v>
      </c>
      <c r="AM259" s="27">
        <f>IFERROR(VLOOKUP(DATA[[#This Row],[COMBINADA]],#REF!,6,0),0)</f>
        <v>0</v>
      </c>
      <c r="AN259" s="125">
        <f>IFERROR(VLOOKUP(DATA[[#This Row],[COMBINADA]],#REF!,9,0),0)/COUNTIFS(DATA[COMBINADA],DATA[[#This Row],[COMBINADA]])</f>
        <v>0</v>
      </c>
      <c r="AO259" s="27">
        <f>IFERROR(VLOOKUP(DATA[[#This Row],[COMBINADA]],#REF!,6,0),0)</f>
        <v>0</v>
      </c>
      <c r="AP259" s="125">
        <f>IFERROR(VLOOKUP(DATA[[#This Row],[COMBINADA]],#REF!,9,0),0)/COUNTIFS(DATA[COMBINADA],DATA[[#This Row],[COMBINADA]])</f>
        <v>0</v>
      </c>
      <c r="AQ25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677.24384615384611</v>
      </c>
      <c r="AR259" s="26" t="str">
        <f>IFERROR(IF(DATA[[#This Row],[estado_fact]]="FACTURADO",VLOOKUP(DATA[[#This Row],[SERIE2]]&amp;"-"&amp;DATA[[#This Row],[NUMERO]],#REF!,34,0),"NO CORRESPONDE"),"NO CORRESPONDE")</f>
        <v>NO CORRESPONDE</v>
      </c>
      <c r="AS259" s="22" t="str">
        <f>IF(DATA[[#This Row],[fecha_fs]]&gt;0,TEXT(DATA[[#This Row],[fecha_fs]],"Mmmm"),0)</f>
        <v>Febrero</v>
      </c>
      <c r="AT259" s="22" t="str">
        <f>DATA[[#This Row],[SERIE2]]&amp;"-"&amp;DATA[[#This Row],[NUMERO]]</f>
        <v>FE01-583</v>
      </c>
      <c r="AU259" s="28" t="e">
        <f>DATA[[#This Row],[TOTAL]]*DATA[[#This Row],[T.C.]]</f>
        <v>#REF!</v>
      </c>
      <c r="AV259" s="6">
        <f>DATA[[#This Row],[FECHA DE VAL.]]</f>
        <v>45714</v>
      </c>
      <c r="AW259" s="6">
        <f>DATA[[#This Row],[FECHA DE EMISION]]</f>
        <v>45716</v>
      </c>
      <c r="AX259" s="6">
        <f>DATA[[#This Row],[F1]]</f>
        <v>0</v>
      </c>
      <c r="AY259" s="20">
        <f>IF(AV259-DATA[[#This Row],[fecha_fs]]&lt;0,0,AV259-DATA[[#This Row],[fecha_fs]])</f>
        <v>8</v>
      </c>
      <c r="AZ259" s="20">
        <f t="shared" si="28"/>
        <v>2</v>
      </c>
      <c r="BA259" s="20">
        <f t="shared" si="29"/>
        <v>0</v>
      </c>
      <c r="BB259" s="195">
        <f>IFERROR(SUM(DATA[[#This Row],[fs_val_ttf]:[fact_pago_ttf]]),0)</f>
        <v>10</v>
      </c>
      <c r="BC259" s="185">
        <v>45714</v>
      </c>
      <c r="BD259" s="185">
        <v>45735</v>
      </c>
      <c r="BE259" s="185">
        <v>45737</v>
      </c>
      <c r="BF259" s="185">
        <v>45760</v>
      </c>
      <c r="BG259" s="20">
        <f>IFERROR(IF(BC259-DATA[[#This Row],[fecha_fs]]&lt;0,0,BC259-DATA[[#This Row],[fecha_fs]]),0)</f>
        <v>8</v>
      </c>
      <c r="BH259" s="20">
        <f t="shared" si="24"/>
        <v>21</v>
      </c>
      <c r="BI259" s="20">
        <f t="shared" si="25"/>
        <v>2</v>
      </c>
      <c r="BJ259" s="20">
        <f t="shared" si="26"/>
        <v>23</v>
      </c>
      <c r="BK259" s="218">
        <f>IFERROR(SUM(DATA[[#This Row],[fs_fd_ttd]:[fend_fenf_ttd]]),0)</f>
        <v>54</v>
      </c>
      <c r="BL259" s="20" t="str">
        <f>IF(DATA[[#This Row],[fecha_fs]]&gt;0,TEXT(DATA[[#This Row],[fecha_fs]],"YYYY"),0)</f>
        <v>2025</v>
      </c>
      <c r="BM259" s="221" t="b">
        <v>1</v>
      </c>
      <c r="BN259" s="278">
        <f>COUNTIF(DATA[[#This Row],[tiempo_td]], "&lt;=15")</f>
        <v>0</v>
      </c>
      <c r="BO259" s="222"/>
    </row>
    <row r="260" spans="1:67" ht="30.6" customHeight="1" x14ac:dyDescent="0.25">
      <c r="A260" s="4">
        <v>20100055237</v>
      </c>
      <c r="B260" s="5" t="s">
        <v>21</v>
      </c>
      <c r="C260" s="52" t="s">
        <v>138</v>
      </c>
      <c r="D260" s="4" t="s">
        <v>139</v>
      </c>
      <c r="E260" s="5" t="s">
        <v>23</v>
      </c>
      <c r="F260" s="24">
        <v>45708</v>
      </c>
      <c r="G260" s="7" t="s">
        <v>113</v>
      </c>
      <c r="H260" s="25">
        <f t="shared" si="27"/>
        <v>1</v>
      </c>
      <c r="I260" s="67">
        <v>4147</v>
      </c>
      <c r="J260" s="8" t="s">
        <v>115</v>
      </c>
      <c r="K260" s="9" t="s">
        <v>121</v>
      </c>
      <c r="L260" s="10" t="s">
        <v>117</v>
      </c>
      <c r="M260" s="11">
        <v>70</v>
      </c>
      <c r="N260" s="12" t="s">
        <v>141</v>
      </c>
      <c r="O260" s="6">
        <v>45716</v>
      </c>
      <c r="P260" s="54">
        <v>3330</v>
      </c>
      <c r="Q260" s="14" t="s">
        <v>85</v>
      </c>
      <c r="R260" s="15"/>
      <c r="S260" s="15">
        <v>297.92</v>
      </c>
      <c r="T260" s="15">
        <f>DATA[[#This Row],[C. DF]]+DATA[[#This Row],[C.OPE.]]</f>
        <v>297.92</v>
      </c>
      <c r="U260" s="15">
        <f>DATA[[#This Row],[SUB TOTAL]]*0.18</f>
        <v>53.625599999999999</v>
      </c>
      <c r="V260" s="15">
        <f>IFERROR(ROUND(DATA[[#This Row],[SUB TOTAL]]+DATA[[#This Row],[IGV]],2),0)</f>
        <v>351.55</v>
      </c>
      <c r="W260" s="16" t="str">
        <f>IF(DATA[[#This Row],[VALORIZACIÓN ]]="-","NO CORRESPONDE",IF(OR(A260=20558226979,A260=10470707866,A260=20111157058,A260=20100226902),"NO CORRESPONDE",IF(J260="Emitida",IF(P260&gt;0,"EMITIDA","PENDIENTE"),"NO CORRESPONDE")))</f>
        <v>EMITIDA</v>
      </c>
      <c r="X260" s="29"/>
      <c r="Y260" s="17" t="s">
        <v>118</v>
      </c>
      <c r="Z260" s="30">
        <v>45722</v>
      </c>
      <c r="AA260" s="10" t="s">
        <v>124</v>
      </c>
      <c r="AB260" s="19">
        <v>591</v>
      </c>
      <c r="AC260" s="20">
        <v>30</v>
      </c>
      <c r="AD260" s="18">
        <f>DATA[[#This Row],[FECHA DE EMISION]]+DATA[[#This Row],[CONDICION DE PAGO]]</f>
        <v>45752</v>
      </c>
      <c r="AE260" s="23">
        <f>IF(DATA[[#This Row],[MONEDA]]="USD",VLOOKUP(DATA[[#This Row],[COMBINADA]],#REF!,11,0),1)</f>
        <v>1</v>
      </c>
      <c r="AF260" s="39" t="str">
        <f>IF(DATA[[#This Row],[SERIE2]]="-","NO CORRESPONDE",IF(W260="NO CORRESPONDE","NO CORRESPONDE",IF(Z260&gt;0,"FACTURADO","PENDIENTE")))</f>
        <v>FACTURADO</v>
      </c>
      <c r="AG260" s="27">
        <f>IFERROR(VLOOKUP(DATA[[#This Row],[COMBINADA]],#REF!,6,0),0)</f>
        <v>0</v>
      </c>
      <c r="AH260" s="125">
        <f>IFERROR(VLOOKUP(DATA[[#This Row],[COMBINADA]],#REF!,9,0),0)/COUNTIFS(DATA[COMBINADA],DATA[[#This Row],[COMBINADA]])</f>
        <v>0</v>
      </c>
      <c r="AI260" s="27">
        <f>IFERROR(VLOOKUP(DATA[[#This Row],[COMBINADA]],#REF!,6,0),0)</f>
        <v>0</v>
      </c>
      <c r="AJ260" s="125">
        <f>IFERROR(VLOOKUP(DATA[[#This Row],[COMBINADA]],#REF!,9,0),0)/COUNTIFS(DATA[COMBINADA],DATA[[#This Row],[COMBINADA]])</f>
        <v>0</v>
      </c>
      <c r="AK260" s="27">
        <f>IFERROR(VLOOKUP(DATA[[#This Row],[COMBINADA]],#REF!,6,0),0)</f>
        <v>0</v>
      </c>
      <c r="AL260" s="125">
        <f>IFERROR(VLOOKUP(DATA[[#This Row],[COMBINADA]],#REF!,9,0),0)/COUNTIFS(DATA[COMBINADA],DATA[[#This Row],[COMBINADA]])</f>
        <v>0</v>
      </c>
      <c r="AM260" s="27">
        <f>IFERROR(VLOOKUP(DATA[[#This Row],[COMBINADA]],#REF!,6,0),0)</f>
        <v>0</v>
      </c>
      <c r="AN260" s="125">
        <f>IFERROR(VLOOKUP(DATA[[#This Row],[COMBINADA]],#REF!,9,0),0)/COUNTIFS(DATA[COMBINADA],DATA[[#This Row],[COMBINADA]])</f>
        <v>0</v>
      </c>
      <c r="AO260" s="27">
        <f>IFERROR(VLOOKUP(DATA[[#This Row],[COMBINADA]],#REF!,6,0),0)</f>
        <v>0</v>
      </c>
      <c r="AP260" s="125">
        <f>IFERROR(VLOOKUP(DATA[[#This Row],[COMBINADA]],#REF!,9,0),0)/COUNTIFS(DATA[COMBINADA],DATA[[#This Row],[COMBINADA]])</f>
        <v>0</v>
      </c>
      <c r="AQ26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260" s="26" t="str">
        <f>IFERROR(IF(DATA[[#This Row],[estado_fact]]="FACTURADO",VLOOKUP(DATA[[#This Row],[SERIE2]]&amp;"-"&amp;DATA[[#This Row],[NUMERO]],#REF!,34,0),"NO CORRESPONDE"),"NO CORRESPONDE")</f>
        <v>NO CORRESPONDE</v>
      </c>
      <c r="AS260" s="22" t="str">
        <f>IF(DATA[[#This Row],[fecha_fs]]&gt;0,TEXT(DATA[[#This Row],[fecha_fs]],"Mmmm"),0)</f>
        <v>Febrero</v>
      </c>
      <c r="AT260" s="22" t="str">
        <f>DATA[[#This Row],[SERIE2]]&amp;"-"&amp;DATA[[#This Row],[NUMERO]]</f>
        <v>FE01-591</v>
      </c>
      <c r="AU260" s="28">
        <f>DATA[[#This Row],[TOTAL]]*DATA[[#This Row],[T.C.]]</f>
        <v>351.55</v>
      </c>
      <c r="AV260" s="6">
        <f>DATA[[#This Row],[FECHA DE VAL.]]</f>
        <v>45716</v>
      </c>
      <c r="AW260" s="6">
        <f>DATA[[#This Row],[FECHA DE EMISION]]</f>
        <v>45722</v>
      </c>
      <c r="AX260" s="6">
        <f>DATA[[#This Row],[F1]]</f>
        <v>0</v>
      </c>
      <c r="AY260" s="20">
        <f>IF(AV260-DATA[[#This Row],[fecha_fs]]&lt;0,0,AV260-DATA[[#This Row],[fecha_fs]])</f>
        <v>8</v>
      </c>
      <c r="AZ260" s="20">
        <f t="shared" si="28"/>
        <v>6</v>
      </c>
      <c r="BA260" s="20">
        <f t="shared" si="29"/>
        <v>0</v>
      </c>
      <c r="BB260" s="195">
        <f>IFERROR(SUM(DATA[[#This Row],[fs_val_ttf]:[fact_pago_ttf]]),0)</f>
        <v>14</v>
      </c>
      <c r="BC260" s="184">
        <v>45708</v>
      </c>
      <c r="BD260" s="184">
        <v>45708</v>
      </c>
      <c r="BE260" s="184">
        <v>45719</v>
      </c>
      <c r="BF260" s="184">
        <v>45719</v>
      </c>
      <c r="BG260" s="20">
        <f>IFERROR(IF(BC260-DATA[[#This Row],[fecha_fs]]&lt;0,0,BC260-DATA[[#This Row],[fecha_fs]]),0)</f>
        <v>0</v>
      </c>
      <c r="BH260" s="20">
        <f t="shared" si="24"/>
        <v>0</v>
      </c>
      <c r="BI260" s="20">
        <f t="shared" si="25"/>
        <v>11</v>
      </c>
      <c r="BJ260" s="20">
        <f t="shared" si="26"/>
        <v>0</v>
      </c>
      <c r="BK260" s="218">
        <f>IFERROR(SUM(DATA[[#This Row],[fs_fd_ttd]:[fend_fenf_ttd]]),0)</f>
        <v>11</v>
      </c>
      <c r="BL260" s="20" t="str">
        <f>IF(DATA[[#This Row],[fecha_fs]]&gt;0,TEXT(DATA[[#This Row],[fecha_fs]],"YYYY"),0)</f>
        <v>2025</v>
      </c>
      <c r="BM260" s="221" t="b">
        <v>1</v>
      </c>
      <c r="BN260" s="278">
        <f>COUNTIF(DATA[[#This Row],[tiempo_td]], "&lt;=15")</f>
        <v>1</v>
      </c>
      <c r="BO260" s="222"/>
    </row>
    <row r="261" spans="1:67" ht="30.6" customHeight="1" x14ac:dyDescent="0.25">
      <c r="A261" s="4">
        <v>20496535066</v>
      </c>
      <c r="B261" s="5" t="s">
        <v>36</v>
      </c>
      <c r="C261" s="52" t="s">
        <v>205</v>
      </c>
      <c r="D261" s="4" t="s">
        <v>120</v>
      </c>
      <c r="E261" s="5" t="s">
        <v>3</v>
      </c>
      <c r="F261" s="24">
        <v>45708</v>
      </c>
      <c r="G261" s="7" t="s">
        <v>113</v>
      </c>
      <c r="H261" s="25">
        <f t="shared" si="27"/>
        <v>1</v>
      </c>
      <c r="I261" s="67">
        <v>4148</v>
      </c>
      <c r="J261" s="8" t="s">
        <v>115</v>
      </c>
      <c r="K261" s="9" t="s">
        <v>121</v>
      </c>
      <c r="L261" s="10" t="s">
        <v>117</v>
      </c>
      <c r="M261" s="11">
        <v>1500</v>
      </c>
      <c r="N261" s="12" t="s">
        <v>125</v>
      </c>
      <c r="O261" s="6">
        <v>45709</v>
      </c>
      <c r="P261" s="13">
        <v>3303</v>
      </c>
      <c r="Q261" s="14" t="s">
        <v>85</v>
      </c>
      <c r="R261" s="15">
        <f>DATA[[#This Row],[cantidad_fs]]*0.08</f>
        <v>120</v>
      </c>
      <c r="S261" s="15">
        <f>2945/3</f>
        <v>981.66666666666663</v>
      </c>
      <c r="T261" s="15">
        <f>DATA[[#This Row],[C. DF]]+DATA[[#This Row],[C.OPE.]]</f>
        <v>1101.6666666666665</v>
      </c>
      <c r="U261" s="15">
        <f>DATA[[#This Row],[SUB TOTAL]]*0.18</f>
        <v>198.29999999999995</v>
      </c>
      <c r="V261" s="15">
        <f>IFERROR(ROUND(DATA[[#This Row],[SUB TOTAL]]+DATA[[#This Row],[IGV]],2),0)</f>
        <v>1299.97</v>
      </c>
      <c r="W261" s="16" t="str">
        <f>IF(DATA[[#This Row],[VALORIZACIÓN ]]="-","NO CORRESPONDE",IF(OR(A261=20558226979,A261=10470707866,A261=20111157058,A261=20100226902),"NO CORRESPONDE",IF(J261="Emitida",IF(P261&gt;0,"EMITIDA","PENDIENTE"),"NO CORRESPONDE")))</f>
        <v>EMITIDA</v>
      </c>
      <c r="X261" s="29"/>
      <c r="Y261" s="17" t="s">
        <v>118</v>
      </c>
      <c r="Z261" s="30">
        <v>45734</v>
      </c>
      <c r="AA261" s="10" t="s">
        <v>119</v>
      </c>
      <c r="AB261" s="19">
        <v>31</v>
      </c>
      <c r="AC261" s="20">
        <v>15</v>
      </c>
      <c r="AD261" s="18">
        <f>DATA[[#This Row],[FECHA DE EMISION]]+DATA[[#This Row],[CONDICION DE PAGO]]</f>
        <v>45749</v>
      </c>
      <c r="AE261" s="23">
        <f>IF(DATA[[#This Row],[MONEDA]]="USD",VLOOKUP(DATA[[#This Row],[COMBINADA]],#REF!,11,0),1)</f>
        <v>1</v>
      </c>
      <c r="AF261" s="39" t="str">
        <f>IF(DATA[[#This Row],[SERIE2]]="-","NO CORRESPONDE",IF(W261="NO CORRESPONDE","NO CORRESPONDE",IF(Z261&gt;0,"FACTURADO","PENDIENTE")))</f>
        <v>FACTURADO</v>
      </c>
      <c r="AG261" s="27">
        <f>IFERROR(VLOOKUP(DATA[[#This Row],[COMBINADA]],#REF!,6,0),0)</f>
        <v>0</v>
      </c>
      <c r="AH261" s="125">
        <f>IFERROR(VLOOKUP(DATA[[#This Row],[COMBINADA]],#REF!,9,0),0)/COUNTIFS(DATA[COMBINADA],DATA[[#This Row],[COMBINADA]])</f>
        <v>0</v>
      </c>
      <c r="AI261" s="27">
        <f>IFERROR(VLOOKUP(DATA[[#This Row],[COMBINADA]],#REF!,6,0),0)</f>
        <v>0</v>
      </c>
      <c r="AJ261" s="125">
        <f>IFERROR(VLOOKUP(DATA[[#This Row],[COMBINADA]],#REF!,9,0),0)/COUNTIFS(DATA[COMBINADA],DATA[[#This Row],[COMBINADA]])</f>
        <v>0</v>
      </c>
      <c r="AK261" s="27">
        <f>IFERROR(VLOOKUP(DATA[[#This Row],[COMBINADA]],#REF!,6,0),0)</f>
        <v>0</v>
      </c>
      <c r="AL261" s="125">
        <f>IFERROR(VLOOKUP(DATA[[#This Row],[COMBINADA]],#REF!,9,0),0)/COUNTIFS(DATA[COMBINADA],DATA[[#This Row],[COMBINADA]])</f>
        <v>0</v>
      </c>
      <c r="AM261" s="27">
        <f>IFERROR(VLOOKUP(DATA[[#This Row],[COMBINADA]],#REF!,6,0),0)</f>
        <v>0</v>
      </c>
      <c r="AN261" s="125">
        <f>IFERROR(VLOOKUP(DATA[[#This Row],[COMBINADA]],#REF!,9,0),0)/COUNTIFS(DATA[COMBINADA],DATA[[#This Row],[COMBINADA]])</f>
        <v>0</v>
      </c>
      <c r="AO261" s="27">
        <f>IFERROR(VLOOKUP(DATA[[#This Row],[COMBINADA]],#REF!,6,0),0)</f>
        <v>0</v>
      </c>
      <c r="AP261" s="125">
        <f>IFERROR(VLOOKUP(DATA[[#This Row],[COMBINADA]],#REF!,9,0),0)/COUNTIFS(DATA[COMBINADA],DATA[[#This Row],[COMBINADA]])</f>
        <v>0</v>
      </c>
      <c r="AQ26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1583.7966666666664</v>
      </c>
      <c r="AR261" s="26" t="str">
        <f>IFERROR(IF(DATA[[#This Row],[estado_fact]]="FACTURADO",VLOOKUP(DATA[[#This Row],[SERIE2]]&amp;"-"&amp;DATA[[#This Row],[NUMERO]],#REF!,34,0),"NO CORRESPONDE"),"NO CORRESPONDE")</f>
        <v>NO CORRESPONDE</v>
      </c>
      <c r="AS261" s="22" t="str">
        <f>IF(DATA[[#This Row],[fecha_fs]]&gt;0,TEXT(DATA[[#This Row],[fecha_fs]],"Mmmm"),0)</f>
        <v>Febrero</v>
      </c>
      <c r="AT261" s="22" t="str">
        <f>DATA[[#This Row],[SERIE2]]&amp;"-"&amp;DATA[[#This Row],[NUMERO]]</f>
        <v>E001-31</v>
      </c>
      <c r="AU261" s="28">
        <f>DATA[[#This Row],[TOTAL]]*DATA[[#This Row],[T.C.]]</f>
        <v>1299.97</v>
      </c>
      <c r="AV261" s="6">
        <f>DATA[[#This Row],[FECHA DE VAL.]]</f>
        <v>45709</v>
      </c>
      <c r="AW261" s="6">
        <f>DATA[[#This Row],[FECHA DE EMISION]]</f>
        <v>45734</v>
      </c>
      <c r="AX261" s="6">
        <f>DATA[[#This Row],[F1]]</f>
        <v>0</v>
      </c>
      <c r="AY261" s="20">
        <f>IF(AV261-DATA[[#This Row],[fecha_fs]]&lt;0,0,AV261-DATA[[#This Row],[fecha_fs]])</f>
        <v>1</v>
      </c>
      <c r="AZ261" s="20">
        <f t="shared" si="28"/>
        <v>25</v>
      </c>
      <c r="BA261" s="20">
        <f t="shared" si="29"/>
        <v>0</v>
      </c>
      <c r="BB261" s="195">
        <f>IFERROR(SUM(DATA[[#This Row],[fs_val_ttf]:[fact_pago_ttf]]),0)</f>
        <v>26</v>
      </c>
      <c r="BC261" s="185">
        <v>45721</v>
      </c>
      <c r="BD261" s="185">
        <v>45728</v>
      </c>
      <c r="BE261" s="185">
        <v>45728</v>
      </c>
      <c r="BF261" s="185">
        <v>45758</v>
      </c>
      <c r="BG261" s="20">
        <f>IFERROR(IF(BC261-DATA[[#This Row],[fecha_fs]]&lt;0,0,BC261-DATA[[#This Row],[fecha_fs]]),0)</f>
        <v>13</v>
      </c>
      <c r="BH261" s="20">
        <f t="shared" si="24"/>
        <v>7</v>
      </c>
      <c r="BI261" s="20">
        <f t="shared" si="25"/>
        <v>0</v>
      </c>
      <c r="BJ261" s="20">
        <f t="shared" si="26"/>
        <v>30</v>
      </c>
      <c r="BK261" s="218">
        <f>IFERROR(SUM(DATA[[#This Row],[fs_fd_ttd]:[fend_fenf_ttd]]),0)</f>
        <v>50</v>
      </c>
      <c r="BL261" s="20" t="str">
        <f>IF(DATA[[#This Row],[fecha_fs]]&gt;0,TEXT(DATA[[#This Row],[fecha_fs]],"YYYY"),0)</f>
        <v>2025</v>
      </c>
      <c r="BM261" s="221" t="b">
        <v>1</v>
      </c>
      <c r="BN261" s="278">
        <f>COUNTIF(DATA[[#This Row],[tiempo_td]], "&lt;=15")</f>
        <v>0</v>
      </c>
      <c r="BO261" s="222"/>
    </row>
    <row r="262" spans="1:67" ht="30.6" customHeight="1" x14ac:dyDescent="0.25">
      <c r="A262" s="4">
        <v>20601045835</v>
      </c>
      <c r="B262" s="5" t="s">
        <v>282</v>
      </c>
      <c r="C262" s="52" t="s">
        <v>206</v>
      </c>
      <c r="D262" s="4" t="s">
        <v>112</v>
      </c>
      <c r="E262" s="5" t="s">
        <v>1</v>
      </c>
      <c r="F262" s="24">
        <v>45708</v>
      </c>
      <c r="G262" s="7" t="s">
        <v>113</v>
      </c>
      <c r="H262" s="25">
        <f t="shared" si="27"/>
        <v>1</v>
      </c>
      <c r="I262" s="67">
        <v>4149</v>
      </c>
      <c r="J262" s="8" t="s">
        <v>115</v>
      </c>
      <c r="K262" s="9" t="s">
        <v>116</v>
      </c>
      <c r="L262" s="10" t="s">
        <v>117</v>
      </c>
      <c r="M262" s="11">
        <v>150</v>
      </c>
      <c r="N262" s="12" t="s">
        <v>129</v>
      </c>
      <c r="O262" s="6">
        <v>45708</v>
      </c>
      <c r="P262" s="13">
        <v>3301</v>
      </c>
      <c r="Q262" s="14" t="s">
        <v>85</v>
      </c>
      <c r="R262" s="15"/>
      <c r="S262" s="15">
        <v>1272.93</v>
      </c>
      <c r="T262" s="15">
        <f>DATA[[#This Row],[C. DF]]+DATA[[#This Row],[C.OPE.]]</f>
        <v>1272.93</v>
      </c>
      <c r="U262" s="15">
        <f>DATA[[#This Row],[SUB TOTAL]]*0.18</f>
        <v>229.12739999999999</v>
      </c>
      <c r="V262" s="15">
        <f>IFERROR(ROUND(DATA[[#This Row],[SUB TOTAL]]+DATA[[#This Row],[IGV]],2),0)</f>
        <v>1502.06</v>
      </c>
      <c r="W262" s="16" t="str">
        <f>IF(DATA[[#This Row],[VALORIZACIÓN ]]="-","NO CORRESPONDE",IF(OR(A262=20558226979,A262=10470707866,A262=20111157058,A262=20100226902),"NO CORRESPONDE",IF(J262="Emitida",IF(P262&gt;0,"EMITIDA","PENDIENTE"),"NO CORRESPONDE")))</f>
        <v>EMITIDA</v>
      </c>
      <c r="X262" s="29"/>
      <c r="Y262" s="17" t="s">
        <v>118</v>
      </c>
      <c r="Z262" s="30">
        <v>45709</v>
      </c>
      <c r="AA262" s="10" t="s">
        <v>124</v>
      </c>
      <c r="AB262" s="19">
        <v>575</v>
      </c>
      <c r="AC262" s="20">
        <v>5</v>
      </c>
      <c r="AD262" s="18">
        <f>DATA[[#This Row],[FECHA DE EMISION]]+DATA[[#This Row],[CONDICION DE PAGO]]</f>
        <v>45714</v>
      </c>
      <c r="AE262" s="23">
        <f>IF(DATA[[#This Row],[MONEDA]]="USD",VLOOKUP(DATA[[#This Row],[COMBINADA]],#REF!,11,0),1)</f>
        <v>1</v>
      </c>
      <c r="AF262" s="39" t="str">
        <f>IF(DATA[[#This Row],[SERIE2]]="-","NO CORRESPONDE",IF(W262="NO CORRESPONDE","NO CORRESPONDE",IF(Z262&gt;0,"FACTURADO","PENDIENTE")))</f>
        <v>FACTURADO</v>
      </c>
      <c r="AG262" s="27">
        <f>IFERROR(VLOOKUP(DATA[[#This Row],[COMBINADA]],#REF!,6,0),0)</f>
        <v>0</v>
      </c>
      <c r="AH262" s="125">
        <f>IFERROR(VLOOKUP(DATA[[#This Row],[COMBINADA]],#REF!,9,0),0)/COUNTIFS(DATA[COMBINADA],DATA[[#This Row],[COMBINADA]])</f>
        <v>0</v>
      </c>
      <c r="AI262" s="27">
        <f>IFERROR(VLOOKUP(DATA[[#This Row],[COMBINADA]],#REF!,6,0),0)</f>
        <v>0</v>
      </c>
      <c r="AJ262" s="125">
        <f>IFERROR(VLOOKUP(DATA[[#This Row],[COMBINADA]],#REF!,9,0),0)/COUNTIFS(DATA[COMBINADA],DATA[[#This Row],[COMBINADA]])</f>
        <v>0</v>
      </c>
      <c r="AK262" s="27">
        <f>IFERROR(VLOOKUP(DATA[[#This Row],[COMBINADA]],#REF!,6,0),0)</f>
        <v>0</v>
      </c>
      <c r="AL262" s="125">
        <f>IFERROR(VLOOKUP(DATA[[#This Row],[COMBINADA]],#REF!,9,0),0)/COUNTIFS(DATA[COMBINADA],DATA[[#This Row],[COMBINADA]])</f>
        <v>0</v>
      </c>
      <c r="AM262" s="27">
        <f>IFERROR(VLOOKUP(DATA[[#This Row],[COMBINADA]],#REF!,6,0),0)</f>
        <v>0</v>
      </c>
      <c r="AN262" s="125">
        <f>IFERROR(VLOOKUP(DATA[[#This Row],[COMBINADA]],#REF!,9,0),0)/COUNTIFS(DATA[COMBINADA],DATA[[#This Row],[COMBINADA]])</f>
        <v>0</v>
      </c>
      <c r="AO262" s="27">
        <f>IFERROR(VLOOKUP(DATA[[#This Row],[COMBINADA]],#REF!,6,0),0)</f>
        <v>0</v>
      </c>
      <c r="AP262" s="125">
        <f>IFERROR(VLOOKUP(DATA[[#This Row],[COMBINADA]],#REF!,9,0),0)/COUNTIFS(DATA[COMBINADA],DATA[[#This Row],[COMBINADA]])</f>
        <v>0</v>
      </c>
      <c r="AQ26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751.03</v>
      </c>
      <c r="AR262" s="26" t="str">
        <f>IFERROR(IF(DATA[[#This Row],[estado_fact]]="FACTURADO",VLOOKUP(DATA[[#This Row],[SERIE2]]&amp;"-"&amp;DATA[[#This Row],[NUMERO]],#REF!,34,0),"NO CORRESPONDE"),"NO CORRESPONDE")</f>
        <v>NO CORRESPONDE</v>
      </c>
      <c r="AS262" s="22" t="str">
        <f>IF(DATA[[#This Row],[fecha_fs]]&gt;0,TEXT(DATA[[#This Row],[fecha_fs]],"Mmmm"),0)</f>
        <v>Febrero</v>
      </c>
      <c r="AT262" s="22" t="str">
        <f>DATA[[#This Row],[SERIE2]]&amp;"-"&amp;DATA[[#This Row],[NUMERO]]</f>
        <v>FE01-575</v>
      </c>
      <c r="AU262" s="28">
        <f>DATA[[#This Row],[TOTAL]]*DATA[[#This Row],[T.C.]]</f>
        <v>1502.06</v>
      </c>
      <c r="AV262" s="6">
        <f>DATA[[#This Row],[FECHA DE VAL.]]</f>
        <v>45708</v>
      </c>
      <c r="AW262" s="6">
        <f>DATA[[#This Row],[FECHA DE EMISION]]</f>
        <v>45709</v>
      </c>
      <c r="AX262" s="6">
        <f>DATA[[#This Row],[F1]]</f>
        <v>0</v>
      </c>
      <c r="AY262" s="20">
        <f>IF(AV262-DATA[[#This Row],[fecha_fs]]&lt;0,0,AV262-DATA[[#This Row],[fecha_fs]])</f>
        <v>0</v>
      </c>
      <c r="AZ262" s="20">
        <f t="shared" si="28"/>
        <v>1</v>
      </c>
      <c r="BA262" s="20">
        <f t="shared" si="29"/>
        <v>0</v>
      </c>
      <c r="BB262" s="195">
        <f>IFERROR(SUM(DATA[[#This Row],[fs_val_ttf]:[fact_pago_ttf]]),0)</f>
        <v>1</v>
      </c>
      <c r="BC262" s="185">
        <v>45721</v>
      </c>
      <c r="BD262" s="185">
        <v>45728</v>
      </c>
      <c r="BE262" s="185">
        <v>45733</v>
      </c>
      <c r="BF262" s="185">
        <v>45760</v>
      </c>
      <c r="BG262" s="20">
        <f>IFERROR(IF(BC262-DATA[[#This Row],[fecha_fs]]&lt;0,0,BC262-DATA[[#This Row],[fecha_fs]]),0)</f>
        <v>13</v>
      </c>
      <c r="BH262" s="20">
        <f t="shared" ref="BH262:BH281" si="30">IFERROR(IF(BD262-BC262&lt;0,0,BD262-BC262),0)</f>
        <v>7</v>
      </c>
      <c r="BI262" s="20">
        <f t="shared" ref="BI262:BI281" si="31">IFERROR(IF(BE262-BD262&lt;0,0,BE262-BD262),0)</f>
        <v>5</v>
      </c>
      <c r="BJ262" s="20">
        <f t="shared" ref="BJ262:BJ281" si="32">IFERROR(IF(BF262-BE262&lt;0,0,BF262-BE262),0)</f>
        <v>27</v>
      </c>
      <c r="BK262" s="218">
        <f>IFERROR(SUM(DATA[[#This Row],[fs_fd_ttd]:[fend_fenf_ttd]]),0)</f>
        <v>52</v>
      </c>
      <c r="BL262" s="20" t="str">
        <f>IF(DATA[[#This Row],[fecha_fs]]&gt;0,TEXT(DATA[[#This Row],[fecha_fs]],"YYYY"),0)</f>
        <v>2025</v>
      </c>
      <c r="BM262" s="221" t="b">
        <v>1</v>
      </c>
      <c r="BN262" s="278">
        <f>COUNTIF(DATA[[#This Row],[tiempo_td]], "&lt;=15")</f>
        <v>0</v>
      </c>
      <c r="BO262" s="222"/>
    </row>
    <row r="263" spans="1:67" ht="30.6" customHeight="1" x14ac:dyDescent="0.25">
      <c r="A263" s="4">
        <v>20496535066</v>
      </c>
      <c r="B263" s="5" t="s">
        <v>36</v>
      </c>
      <c r="C263" s="52" t="s">
        <v>205</v>
      </c>
      <c r="D263" s="4" t="s">
        <v>120</v>
      </c>
      <c r="E263" s="5" t="s">
        <v>3</v>
      </c>
      <c r="F263" s="24">
        <v>45708</v>
      </c>
      <c r="G263" s="7" t="s">
        <v>113</v>
      </c>
      <c r="H263" s="25">
        <f t="shared" si="27"/>
        <v>1</v>
      </c>
      <c r="I263" s="67">
        <v>4150</v>
      </c>
      <c r="J263" s="8" t="s">
        <v>115</v>
      </c>
      <c r="K263" s="9" t="s">
        <v>121</v>
      </c>
      <c r="L263" s="10" t="s">
        <v>117</v>
      </c>
      <c r="M263" s="11">
        <v>9660</v>
      </c>
      <c r="N263" s="12" t="s">
        <v>207</v>
      </c>
      <c r="O263" s="6">
        <v>45709</v>
      </c>
      <c r="P263" s="13">
        <v>3303</v>
      </c>
      <c r="Q263" s="14" t="s">
        <v>85</v>
      </c>
      <c r="R263" s="15">
        <f>DATA[[#This Row],[cantidad_fs]]*0.08</f>
        <v>772.80000000000007</v>
      </c>
      <c r="S263" s="15">
        <f>2945/3</f>
        <v>981.66666666666663</v>
      </c>
      <c r="T263" s="15">
        <f>DATA[[#This Row],[C. DF]]+DATA[[#This Row],[C.OPE.]]</f>
        <v>1754.4666666666667</v>
      </c>
      <c r="U263" s="15">
        <f>DATA[[#This Row],[SUB TOTAL]]*0.18</f>
        <v>315.80399999999997</v>
      </c>
      <c r="V263" s="15">
        <f>IFERROR(ROUND(DATA[[#This Row],[SUB TOTAL]]+DATA[[#This Row],[IGV]],2),0)</f>
        <v>2070.27</v>
      </c>
      <c r="W263" s="16" t="str">
        <f>IF(DATA[[#This Row],[VALORIZACIÓN ]]="-","NO CORRESPONDE",IF(OR(A263=20558226979,A263=10470707866,A263=20111157058,A263=20100226902),"NO CORRESPONDE",IF(J263="Emitida",IF(P263&gt;0,"EMITIDA","PENDIENTE"),"NO CORRESPONDE")))</f>
        <v>EMITIDA</v>
      </c>
      <c r="X263" s="29"/>
      <c r="Y263" s="17" t="s">
        <v>118</v>
      </c>
      <c r="Z263" s="30">
        <v>45734</v>
      </c>
      <c r="AA263" s="10" t="s">
        <v>119</v>
      </c>
      <c r="AB263" s="19">
        <v>31</v>
      </c>
      <c r="AC263" s="20">
        <v>15</v>
      </c>
      <c r="AD263" s="18">
        <f>DATA[[#This Row],[FECHA DE EMISION]]+DATA[[#This Row],[CONDICION DE PAGO]]</f>
        <v>45749</v>
      </c>
      <c r="AE263" s="23">
        <f>IF(DATA[[#This Row],[MONEDA]]="USD",VLOOKUP(DATA[[#This Row],[COMBINADA]],#REF!,11,0),1)</f>
        <v>1</v>
      </c>
      <c r="AF263" s="39" t="str">
        <f>IF(DATA[[#This Row],[SERIE2]]="-","NO CORRESPONDE",IF(W263="NO CORRESPONDE","NO CORRESPONDE",IF(Z263&gt;0,"FACTURADO","PENDIENTE")))</f>
        <v>FACTURADO</v>
      </c>
      <c r="AG263" s="27">
        <f>IFERROR(VLOOKUP(DATA[[#This Row],[COMBINADA]],#REF!,6,0),0)</f>
        <v>0</v>
      </c>
      <c r="AH263" s="125">
        <f>IFERROR(VLOOKUP(DATA[[#This Row],[COMBINADA]],#REF!,9,0),0)/COUNTIFS(DATA[COMBINADA],DATA[[#This Row],[COMBINADA]])</f>
        <v>0</v>
      </c>
      <c r="AI263" s="27">
        <f>IFERROR(VLOOKUP(DATA[[#This Row],[COMBINADA]],#REF!,6,0),0)</f>
        <v>0</v>
      </c>
      <c r="AJ263" s="125">
        <f>IFERROR(VLOOKUP(DATA[[#This Row],[COMBINADA]],#REF!,9,0),0)/COUNTIFS(DATA[COMBINADA],DATA[[#This Row],[COMBINADA]])</f>
        <v>0</v>
      </c>
      <c r="AK263" s="27">
        <f>IFERROR(VLOOKUP(DATA[[#This Row],[COMBINADA]],#REF!,6,0),0)</f>
        <v>0</v>
      </c>
      <c r="AL263" s="125">
        <f>IFERROR(VLOOKUP(DATA[[#This Row],[COMBINADA]],#REF!,9,0),0)/COUNTIFS(DATA[COMBINADA],DATA[[#This Row],[COMBINADA]])</f>
        <v>0</v>
      </c>
      <c r="AM263" s="27">
        <f>IFERROR(VLOOKUP(DATA[[#This Row],[COMBINADA]],#REF!,6,0),0)</f>
        <v>0</v>
      </c>
      <c r="AN263" s="125">
        <f>IFERROR(VLOOKUP(DATA[[#This Row],[COMBINADA]],#REF!,9,0),0)/COUNTIFS(DATA[COMBINADA],DATA[[#This Row],[COMBINADA]])</f>
        <v>0</v>
      </c>
      <c r="AO263" s="27">
        <f>IFERROR(VLOOKUP(DATA[[#This Row],[COMBINADA]],#REF!,6,0),0)</f>
        <v>0</v>
      </c>
      <c r="AP263" s="125">
        <f>IFERROR(VLOOKUP(DATA[[#This Row],[COMBINADA]],#REF!,9,0),0)/COUNTIFS(DATA[COMBINADA],DATA[[#This Row],[COMBINADA]])</f>
        <v>0</v>
      </c>
      <c r="AQ26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1583.7966666666664</v>
      </c>
      <c r="AR263" s="26" t="str">
        <f>IFERROR(IF(DATA[[#This Row],[estado_fact]]="FACTURADO",VLOOKUP(DATA[[#This Row],[SERIE2]]&amp;"-"&amp;DATA[[#This Row],[NUMERO]],#REF!,34,0),"NO CORRESPONDE"),"NO CORRESPONDE")</f>
        <v>NO CORRESPONDE</v>
      </c>
      <c r="AS263" s="22" t="str">
        <f>IF(DATA[[#This Row],[fecha_fs]]&gt;0,TEXT(DATA[[#This Row],[fecha_fs]],"Mmmm"),0)</f>
        <v>Febrero</v>
      </c>
      <c r="AT263" s="22" t="str">
        <f>DATA[[#This Row],[SERIE2]]&amp;"-"&amp;DATA[[#This Row],[NUMERO]]</f>
        <v>E001-31</v>
      </c>
      <c r="AU263" s="28">
        <f>DATA[[#This Row],[TOTAL]]*DATA[[#This Row],[T.C.]]</f>
        <v>2070.27</v>
      </c>
      <c r="AV263" s="6">
        <f>DATA[[#This Row],[FECHA DE VAL.]]</f>
        <v>45709</v>
      </c>
      <c r="AW263" s="6">
        <f>DATA[[#This Row],[FECHA DE EMISION]]</f>
        <v>45734</v>
      </c>
      <c r="AX263" s="6">
        <f>DATA[[#This Row],[F1]]</f>
        <v>0</v>
      </c>
      <c r="AY263" s="20">
        <f>IF(AV263-DATA[[#This Row],[fecha_fs]]&lt;0,0,AV263-DATA[[#This Row],[fecha_fs]])</f>
        <v>1</v>
      </c>
      <c r="AZ263" s="20">
        <f t="shared" si="28"/>
        <v>25</v>
      </c>
      <c r="BA263" s="20">
        <f t="shared" si="29"/>
        <v>0</v>
      </c>
      <c r="BB263" s="195">
        <f>IFERROR(SUM(DATA[[#This Row],[fs_val_ttf]:[fact_pago_ttf]]),0)</f>
        <v>26</v>
      </c>
      <c r="BC263" s="185">
        <v>45721</v>
      </c>
      <c r="BD263" s="185">
        <v>45728</v>
      </c>
      <c r="BE263" s="185">
        <v>45728</v>
      </c>
      <c r="BF263" s="185">
        <v>45758</v>
      </c>
      <c r="BG263" s="20">
        <f>IFERROR(IF(BC263-DATA[[#This Row],[fecha_fs]]&lt;0,0,BC263-DATA[[#This Row],[fecha_fs]]),0)</f>
        <v>13</v>
      </c>
      <c r="BH263" s="20">
        <f t="shared" si="30"/>
        <v>7</v>
      </c>
      <c r="BI263" s="20">
        <f t="shared" si="31"/>
        <v>0</v>
      </c>
      <c r="BJ263" s="20">
        <f t="shared" si="32"/>
        <v>30</v>
      </c>
      <c r="BK263" s="218">
        <f>IFERROR(SUM(DATA[[#This Row],[fs_fd_ttd]:[fend_fenf_ttd]]),0)</f>
        <v>50</v>
      </c>
      <c r="BL263" s="20" t="str">
        <f>IF(DATA[[#This Row],[fecha_fs]]&gt;0,TEXT(DATA[[#This Row],[fecha_fs]],"YYYY"),0)</f>
        <v>2025</v>
      </c>
      <c r="BM263" s="221" t="b">
        <v>1</v>
      </c>
      <c r="BN263" s="278">
        <f>COUNTIF(DATA[[#This Row],[tiempo_td]], "&lt;=15")</f>
        <v>0</v>
      </c>
      <c r="BO263" s="222"/>
    </row>
    <row r="264" spans="1:67" ht="30.6" customHeight="1" x14ac:dyDescent="0.25">
      <c r="A264" s="4">
        <v>20100192064</v>
      </c>
      <c r="B264" s="5" t="s">
        <v>60</v>
      </c>
      <c r="C264" s="52" t="s">
        <v>43</v>
      </c>
      <c r="D264" s="4" t="s">
        <v>120</v>
      </c>
      <c r="E264" s="5" t="s">
        <v>3</v>
      </c>
      <c r="F264" s="24">
        <v>45709</v>
      </c>
      <c r="G264" s="7" t="s">
        <v>113</v>
      </c>
      <c r="H264" s="25">
        <f t="shared" si="27"/>
        <v>1</v>
      </c>
      <c r="I264" s="67">
        <v>4151</v>
      </c>
      <c r="J264" s="8" t="s">
        <v>115</v>
      </c>
      <c r="K264" s="9" t="s">
        <v>121</v>
      </c>
      <c r="L264" s="10" t="s">
        <v>117</v>
      </c>
      <c r="M264" s="11">
        <v>610</v>
      </c>
      <c r="N264" s="12" t="s">
        <v>129</v>
      </c>
      <c r="O264" s="6">
        <v>45714</v>
      </c>
      <c r="P264" s="71">
        <v>3314</v>
      </c>
      <c r="Q264" s="14" t="s">
        <v>123</v>
      </c>
      <c r="R264" s="56">
        <f>(DATA[[#This Row],[cantidad_fs]]/1000)*(47+174.34)</f>
        <v>135.01740000000001</v>
      </c>
      <c r="S264" s="56">
        <v>137</v>
      </c>
      <c r="T264" s="15">
        <f>DATA[[#This Row],[C. DF]]+DATA[[#This Row],[C.OPE.]]</f>
        <v>272.01740000000001</v>
      </c>
      <c r="U264" s="15">
        <f>DATA[[#This Row],[SUB TOTAL]]*0.18</f>
        <v>48.963132000000002</v>
      </c>
      <c r="V264" s="15">
        <f>IFERROR(ROUND(DATA[[#This Row],[SUB TOTAL]]+DATA[[#This Row],[IGV]],2),0)</f>
        <v>320.98</v>
      </c>
      <c r="W264" s="16" t="str">
        <f>IF(DATA[[#This Row],[VALORIZACIÓN ]]="-","NO CORRESPONDE",IF(OR(A264=20558226979,A264=10470707866,A264=20111157058,A264=20100226902),"NO CORRESPONDE",IF(J264="Emitida",IF(P264&gt;0,"EMITIDA","PENDIENTE"),"NO CORRESPONDE")))</f>
        <v>EMITIDA</v>
      </c>
      <c r="X264" s="29"/>
      <c r="Y264" s="17" t="s">
        <v>118</v>
      </c>
      <c r="Z264" s="30">
        <v>45716</v>
      </c>
      <c r="AA264" s="10" t="s">
        <v>124</v>
      </c>
      <c r="AB264" s="19">
        <v>579</v>
      </c>
      <c r="AC264" s="20">
        <v>30</v>
      </c>
      <c r="AD264" s="18">
        <f>DATA[[#This Row],[FECHA DE EMISION]]+DATA[[#This Row],[CONDICION DE PAGO]]</f>
        <v>45746</v>
      </c>
      <c r="AE264" s="23" t="e">
        <f>IF(DATA[[#This Row],[MONEDA]]="USD",VLOOKUP(DATA[[#This Row],[COMBINADA]],#REF!,11,0),1)</f>
        <v>#REF!</v>
      </c>
      <c r="AF264" s="39" t="str">
        <f>IF(DATA[[#This Row],[SERIE2]]="-","NO CORRESPONDE",IF(W264="NO CORRESPONDE","NO CORRESPONDE",IF(Z264&gt;0,"FACTURADO","PENDIENTE")))</f>
        <v>FACTURADO</v>
      </c>
      <c r="AG264" s="27">
        <f>IFERROR(VLOOKUP(DATA[[#This Row],[COMBINADA]],#REF!,6,0),0)</f>
        <v>0</v>
      </c>
      <c r="AH264" s="125">
        <f>IFERROR(VLOOKUP(DATA[[#This Row],[COMBINADA]],#REF!,9,0),0)/COUNTIFS(DATA[COMBINADA],DATA[[#This Row],[COMBINADA]])</f>
        <v>0</v>
      </c>
      <c r="AI264" s="27">
        <f>IFERROR(VLOOKUP(DATA[[#This Row],[COMBINADA]],#REF!,6,0),0)</f>
        <v>0</v>
      </c>
      <c r="AJ264" s="125">
        <f>IFERROR(VLOOKUP(DATA[[#This Row],[COMBINADA]],#REF!,9,0),0)/COUNTIFS(DATA[COMBINADA],DATA[[#This Row],[COMBINADA]])</f>
        <v>0</v>
      </c>
      <c r="AK264" s="27">
        <f>IFERROR(VLOOKUP(DATA[[#This Row],[COMBINADA]],#REF!,6,0),0)</f>
        <v>0</v>
      </c>
      <c r="AL264" s="125">
        <f>IFERROR(VLOOKUP(DATA[[#This Row],[COMBINADA]],#REF!,9,0),0)/COUNTIFS(DATA[COMBINADA],DATA[[#This Row],[COMBINADA]])</f>
        <v>0</v>
      </c>
      <c r="AM264" s="27">
        <f>IFERROR(VLOOKUP(DATA[[#This Row],[COMBINADA]],#REF!,6,0),0)</f>
        <v>0</v>
      </c>
      <c r="AN264" s="125">
        <f>IFERROR(VLOOKUP(DATA[[#This Row],[COMBINADA]],#REF!,9,0),0)/COUNTIFS(DATA[COMBINADA],DATA[[#This Row],[COMBINADA]])</f>
        <v>0</v>
      </c>
      <c r="AO264" s="27">
        <f>IFERROR(VLOOKUP(DATA[[#This Row],[COMBINADA]],#REF!,6,0),0)</f>
        <v>0</v>
      </c>
      <c r="AP264" s="125">
        <f>IFERROR(VLOOKUP(DATA[[#This Row],[COMBINADA]],#REF!,9,0),0)/COUNTIFS(DATA[COMBINADA],DATA[[#This Row],[COMBINADA]])</f>
        <v>0</v>
      </c>
      <c r="AQ26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603.34285714285716</v>
      </c>
      <c r="AR264" s="26" t="str">
        <f>IFERROR(IF(DATA[[#This Row],[estado_fact]]="FACTURADO",VLOOKUP(DATA[[#This Row],[SERIE2]]&amp;"-"&amp;DATA[[#This Row],[NUMERO]],#REF!,34,0),"NO CORRESPONDE"),"NO CORRESPONDE")</f>
        <v>NO CORRESPONDE</v>
      </c>
      <c r="AS264" s="22" t="str">
        <f>IF(DATA[[#This Row],[fecha_fs]]&gt;0,TEXT(DATA[[#This Row],[fecha_fs]],"Mmmm"),0)</f>
        <v>Febrero</v>
      </c>
      <c r="AT264" s="22" t="str">
        <f>DATA[[#This Row],[SERIE2]]&amp;"-"&amp;DATA[[#This Row],[NUMERO]]</f>
        <v>FE01-579</v>
      </c>
      <c r="AU264" s="28" t="e">
        <f>DATA[[#This Row],[TOTAL]]*DATA[[#This Row],[T.C.]]</f>
        <v>#REF!</v>
      </c>
      <c r="AV264" s="6">
        <f>DATA[[#This Row],[FECHA DE VAL.]]</f>
        <v>45714</v>
      </c>
      <c r="AW264" s="6">
        <f>DATA[[#This Row],[FECHA DE EMISION]]</f>
        <v>45716</v>
      </c>
      <c r="AX264" s="6">
        <f>DATA[[#This Row],[F1]]</f>
        <v>0</v>
      </c>
      <c r="AY264" s="20">
        <f>IF(AV264-DATA[[#This Row],[fecha_fs]]&lt;0,0,AV264-DATA[[#This Row],[fecha_fs]])</f>
        <v>5</v>
      </c>
      <c r="AZ264" s="20">
        <f t="shared" si="28"/>
        <v>2</v>
      </c>
      <c r="BA264" s="20">
        <f t="shared" si="29"/>
        <v>0</v>
      </c>
      <c r="BB264" s="195">
        <f>IFERROR(SUM(DATA[[#This Row],[fs_val_ttf]:[fact_pago_ttf]]),0)</f>
        <v>7</v>
      </c>
      <c r="BC264" s="185">
        <v>45733</v>
      </c>
      <c r="BD264" s="185">
        <v>45737</v>
      </c>
      <c r="BE264" s="185">
        <v>45737</v>
      </c>
      <c r="BF264" s="185">
        <v>45760</v>
      </c>
      <c r="BG264" s="20">
        <f>IFERROR(IF(BC264-DATA[[#This Row],[fecha_fs]]&lt;0,0,BC264-DATA[[#This Row],[fecha_fs]]),0)</f>
        <v>24</v>
      </c>
      <c r="BH264" s="20">
        <f t="shared" si="30"/>
        <v>4</v>
      </c>
      <c r="BI264" s="20">
        <f t="shared" si="31"/>
        <v>0</v>
      </c>
      <c r="BJ264" s="20">
        <f t="shared" si="32"/>
        <v>23</v>
      </c>
      <c r="BK264" s="218">
        <f>IFERROR(SUM(DATA[[#This Row],[fs_fd_ttd]:[fend_fenf_ttd]]),0)</f>
        <v>51</v>
      </c>
      <c r="BL264" s="20" t="str">
        <f>IF(DATA[[#This Row],[fecha_fs]]&gt;0,TEXT(DATA[[#This Row],[fecha_fs]],"YYYY"),0)</f>
        <v>2025</v>
      </c>
      <c r="BM264" s="221" t="b">
        <v>1</v>
      </c>
      <c r="BN264" s="278">
        <f>COUNTIF(DATA[[#This Row],[tiempo_td]], "&lt;=15")</f>
        <v>0</v>
      </c>
      <c r="BO264" s="222"/>
    </row>
    <row r="265" spans="1:67" ht="30.6" customHeight="1" x14ac:dyDescent="0.25">
      <c r="A265" s="4">
        <v>20100211115</v>
      </c>
      <c r="B265" s="5" t="s">
        <v>41</v>
      </c>
      <c r="C265" s="52" t="s">
        <v>18</v>
      </c>
      <c r="D265" s="4" t="s">
        <v>120</v>
      </c>
      <c r="E265" s="5" t="s">
        <v>3</v>
      </c>
      <c r="F265" s="24">
        <v>45709</v>
      </c>
      <c r="G265" s="7" t="s">
        <v>113</v>
      </c>
      <c r="H265" s="25">
        <f t="shared" si="27"/>
        <v>1</v>
      </c>
      <c r="I265" s="67">
        <v>4152</v>
      </c>
      <c r="J265" s="8" t="s">
        <v>115</v>
      </c>
      <c r="K265" s="9" t="s">
        <v>121</v>
      </c>
      <c r="L265" s="10" t="s">
        <v>117</v>
      </c>
      <c r="M265" s="11">
        <v>90</v>
      </c>
      <c r="N265" s="12" t="s">
        <v>141</v>
      </c>
      <c r="O265" s="6">
        <v>45716</v>
      </c>
      <c r="P265" s="115">
        <v>3326</v>
      </c>
      <c r="Q265" s="14" t="s">
        <v>85</v>
      </c>
      <c r="R265" s="15"/>
      <c r="S265" s="56">
        <f>(DATA[[#This Row],[cantidad_fs]]*4.37)</f>
        <v>393.3</v>
      </c>
      <c r="T265" s="15">
        <f>DATA[[#This Row],[C. DF]]+DATA[[#This Row],[C.OPE.]]</f>
        <v>393.3</v>
      </c>
      <c r="U265" s="15">
        <f>DATA[[#This Row],[SUB TOTAL]]*0.18</f>
        <v>70.793999999999997</v>
      </c>
      <c r="V265" s="15">
        <f>IFERROR(ROUND(DATA[[#This Row],[SUB TOTAL]]+DATA[[#This Row],[IGV]],2),0)</f>
        <v>464.09</v>
      </c>
      <c r="W265" s="16" t="str">
        <f>IF(DATA[[#This Row],[VALORIZACIÓN ]]="-","NO CORRESPONDE",IF(OR(A265=20558226979,A265=10470707866,A265=20111157058,A265=20100226902),"NO CORRESPONDE",IF(J265="Emitida",IF(P265&gt;0,"EMITIDA","PENDIENTE"),"NO CORRESPONDE")))</f>
        <v>EMITIDA</v>
      </c>
      <c r="X265" s="29"/>
      <c r="Y265" s="17" t="s">
        <v>118</v>
      </c>
      <c r="Z265" s="30">
        <v>45722</v>
      </c>
      <c r="AA265" s="10" t="s">
        <v>124</v>
      </c>
      <c r="AB265" s="19">
        <v>588</v>
      </c>
      <c r="AC265" s="20">
        <v>30</v>
      </c>
      <c r="AD265" s="18">
        <f>DATA[[#This Row],[FECHA DE EMISION]]+DATA[[#This Row],[CONDICION DE PAGO]]</f>
        <v>45752</v>
      </c>
      <c r="AE265" s="23">
        <f>IF(DATA[[#This Row],[MONEDA]]="USD",VLOOKUP(DATA[[#This Row],[COMBINADA]],#REF!,11,0),1)</f>
        <v>1</v>
      </c>
      <c r="AF265" s="39" t="str">
        <f>IF(DATA[[#This Row],[SERIE2]]="-","NO CORRESPONDE",IF(W265="NO CORRESPONDE","NO CORRESPONDE",IF(Z265&gt;0,"FACTURADO","PENDIENTE")))</f>
        <v>FACTURADO</v>
      </c>
      <c r="AG265" s="27">
        <f>IFERROR(VLOOKUP(DATA[[#This Row],[COMBINADA]],#REF!,6,0),0)</f>
        <v>0</v>
      </c>
      <c r="AH265" s="125">
        <f>IFERROR(VLOOKUP(DATA[[#This Row],[COMBINADA]],#REF!,9,0),0)/COUNTIFS(DATA[COMBINADA],DATA[[#This Row],[COMBINADA]])</f>
        <v>0</v>
      </c>
      <c r="AI265" s="27">
        <f>IFERROR(VLOOKUP(DATA[[#This Row],[COMBINADA]],#REF!,6,0),0)</f>
        <v>0</v>
      </c>
      <c r="AJ265" s="125">
        <f>IFERROR(VLOOKUP(DATA[[#This Row],[COMBINADA]],#REF!,9,0),0)/COUNTIFS(DATA[COMBINADA],DATA[[#This Row],[COMBINADA]])</f>
        <v>0</v>
      </c>
      <c r="AK265" s="27">
        <f>IFERROR(VLOOKUP(DATA[[#This Row],[COMBINADA]],#REF!,6,0),0)</f>
        <v>0</v>
      </c>
      <c r="AL265" s="125">
        <f>IFERROR(VLOOKUP(DATA[[#This Row],[COMBINADA]],#REF!,9,0),0)/COUNTIFS(DATA[COMBINADA],DATA[[#This Row],[COMBINADA]])</f>
        <v>0</v>
      </c>
      <c r="AM265" s="27">
        <f>IFERROR(VLOOKUP(DATA[[#This Row],[COMBINADA]],#REF!,6,0),0)</f>
        <v>0</v>
      </c>
      <c r="AN265" s="125">
        <f>IFERROR(VLOOKUP(DATA[[#This Row],[COMBINADA]],#REF!,9,0),0)/COUNTIFS(DATA[COMBINADA],DATA[[#This Row],[COMBINADA]])</f>
        <v>0</v>
      </c>
      <c r="AO265" s="27">
        <f>IFERROR(VLOOKUP(DATA[[#This Row],[COMBINADA]],#REF!,6,0),0)</f>
        <v>0</v>
      </c>
      <c r="AP265" s="125">
        <f>IFERROR(VLOOKUP(DATA[[#This Row],[COMBINADA]],#REF!,9,0),0)/COUNTIFS(DATA[COMBINADA],DATA[[#This Row],[COMBINADA]])</f>
        <v>0</v>
      </c>
      <c r="AQ26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265" s="26" t="str">
        <f>IFERROR(IF(DATA[[#This Row],[estado_fact]]="FACTURADO",VLOOKUP(DATA[[#This Row],[SERIE2]]&amp;"-"&amp;DATA[[#This Row],[NUMERO]],#REF!,34,0),"NO CORRESPONDE"),"NO CORRESPONDE")</f>
        <v>NO CORRESPONDE</v>
      </c>
      <c r="AS265" s="22" t="str">
        <f>IF(DATA[[#This Row],[fecha_fs]]&gt;0,TEXT(DATA[[#This Row],[fecha_fs]],"Mmmm"),0)</f>
        <v>Febrero</v>
      </c>
      <c r="AT265" s="22" t="str">
        <f>DATA[[#This Row],[SERIE2]]&amp;"-"&amp;DATA[[#This Row],[NUMERO]]</f>
        <v>FE01-588</v>
      </c>
      <c r="AU265" s="28">
        <f>DATA[[#This Row],[TOTAL]]*DATA[[#This Row],[T.C.]]</f>
        <v>464.09</v>
      </c>
      <c r="AV265" s="6">
        <f>DATA[[#This Row],[FECHA DE VAL.]]</f>
        <v>45716</v>
      </c>
      <c r="AW265" s="6">
        <f>DATA[[#This Row],[FECHA DE EMISION]]</f>
        <v>45722</v>
      </c>
      <c r="AX265" s="6">
        <f>DATA[[#This Row],[F1]]</f>
        <v>0</v>
      </c>
      <c r="AY265" s="20">
        <f>IF(AV265-DATA[[#This Row],[fecha_fs]]&lt;0,0,AV265-DATA[[#This Row],[fecha_fs]])</f>
        <v>7</v>
      </c>
      <c r="AZ265" s="20">
        <f t="shared" si="28"/>
        <v>6</v>
      </c>
      <c r="BA265" s="20">
        <f t="shared" si="29"/>
        <v>0</v>
      </c>
      <c r="BB265" s="195">
        <f>IFERROR(SUM(DATA[[#This Row],[fs_val_ttf]:[fact_pago_ttf]]),0)</f>
        <v>13</v>
      </c>
      <c r="BC265" s="185">
        <v>45729</v>
      </c>
      <c r="BD265" s="185">
        <v>45735</v>
      </c>
      <c r="BE265" s="185">
        <v>45740</v>
      </c>
      <c r="BF265" s="185">
        <v>45749</v>
      </c>
      <c r="BG265" s="20">
        <f>IFERROR(IF(BC265-DATA[[#This Row],[fecha_fs]]&lt;0,0,BC265-DATA[[#This Row],[fecha_fs]]),0)</f>
        <v>20</v>
      </c>
      <c r="BH265" s="20">
        <f t="shared" si="30"/>
        <v>6</v>
      </c>
      <c r="BI265" s="20">
        <f t="shared" si="31"/>
        <v>5</v>
      </c>
      <c r="BJ265" s="20">
        <f t="shared" si="32"/>
        <v>9</v>
      </c>
      <c r="BK265" s="218">
        <f>IFERROR(SUM(DATA[[#This Row],[fs_fd_ttd]:[fend_fenf_ttd]]),0)</f>
        <v>40</v>
      </c>
      <c r="BL265" s="20" t="str">
        <f>IF(DATA[[#This Row],[fecha_fs]]&gt;0,TEXT(DATA[[#This Row],[fecha_fs]],"YYYY"),0)</f>
        <v>2025</v>
      </c>
      <c r="BM265" s="221" t="b">
        <v>1</v>
      </c>
      <c r="BN265" s="278">
        <f>COUNTIF(DATA[[#This Row],[tiempo_td]], "&lt;=15")</f>
        <v>0</v>
      </c>
      <c r="BO265" s="222"/>
    </row>
    <row r="266" spans="1:67" ht="30.6" customHeight="1" x14ac:dyDescent="0.25">
      <c r="A266" s="4">
        <v>20100211115</v>
      </c>
      <c r="B266" s="5" t="s">
        <v>41</v>
      </c>
      <c r="C266" s="52" t="s">
        <v>18</v>
      </c>
      <c r="D266" s="4" t="s">
        <v>112</v>
      </c>
      <c r="E266" s="5" t="s">
        <v>1</v>
      </c>
      <c r="F266" s="24">
        <v>45709</v>
      </c>
      <c r="G266" s="7" t="s">
        <v>113</v>
      </c>
      <c r="H266" s="25">
        <f t="shared" si="27"/>
        <v>1</v>
      </c>
      <c r="I266" s="67">
        <v>4153</v>
      </c>
      <c r="J266" s="8" t="s">
        <v>115</v>
      </c>
      <c r="K266" s="9" t="s">
        <v>116</v>
      </c>
      <c r="L266" s="10" t="s">
        <v>117</v>
      </c>
      <c r="M266" s="11">
        <v>5</v>
      </c>
      <c r="N266" s="12" t="s">
        <v>132</v>
      </c>
      <c r="O266" s="6">
        <v>45716</v>
      </c>
      <c r="P266" s="115">
        <v>3327</v>
      </c>
      <c r="Q266" s="14" t="s">
        <v>85</v>
      </c>
      <c r="R266" s="15"/>
      <c r="S266" s="15">
        <f>(DATA[[#This Row],[cantidad_fs]]*4.57)</f>
        <v>22.85</v>
      </c>
      <c r="T266" s="15">
        <f>DATA[[#This Row],[C. DF]]+DATA[[#This Row],[C.OPE.]]</f>
        <v>22.85</v>
      </c>
      <c r="U266" s="15">
        <f>DATA[[#This Row],[SUB TOTAL]]*0.18</f>
        <v>4.1130000000000004</v>
      </c>
      <c r="V266" s="15">
        <f>IFERROR(ROUND(DATA[[#This Row],[SUB TOTAL]]+DATA[[#This Row],[IGV]],2),0)</f>
        <v>26.96</v>
      </c>
      <c r="W266" s="16" t="str">
        <f>IF(DATA[[#This Row],[VALORIZACIÓN ]]="-","NO CORRESPONDE",IF(OR(A266=20558226979,A266=10470707866,A266=20111157058,A266=20100226902),"NO CORRESPONDE",IF(J266="Emitida",IF(P266&gt;0,"EMITIDA","PENDIENTE"),"NO CORRESPONDE")))</f>
        <v>EMITIDA</v>
      </c>
      <c r="X266" s="29"/>
      <c r="Y266" s="17" t="s">
        <v>118</v>
      </c>
      <c r="Z266" s="30">
        <v>45722</v>
      </c>
      <c r="AA266" s="10" t="s">
        <v>124</v>
      </c>
      <c r="AB266" s="19">
        <v>590</v>
      </c>
      <c r="AC266" s="20">
        <v>30</v>
      </c>
      <c r="AD266" s="18">
        <f>DATA[[#This Row],[FECHA DE EMISION]]+DATA[[#This Row],[CONDICION DE PAGO]]</f>
        <v>45752</v>
      </c>
      <c r="AE266" s="23">
        <f>IF(DATA[[#This Row],[MONEDA]]="USD",VLOOKUP(DATA[[#This Row],[COMBINADA]],#REF!,11,0),1)</f>
        <v>1</v>
      </c>
      <c r="AF266" s="39" t="str">
        <f>IF(DATA[[#This Row],[SERIE2]]="-","NO CORRESPONDE",IF(W266="NO CORRESPONDE","NO CORRESPONDE",IF(Z266&gt;0,"FACTURADO","PENDIENTE")))</f>
        <v>FACTURADO</v>
      </c>
      <c r="AG266" s="27">
        <f>IFERROR(VLOOKUP(DATA[[#This Row],[COMBINADA]],#REF!,6,0),0)</f>
        <v>0</v>
      </c>
      <c r="AH266" s="125">
        <f>IFERROR(VLOOKUP(DATA[[#This Row],[COMBINADA]],#REF!,9,0),0)/COUNTIFS(DATA[COMBINADA],DATA[[#This Row],[COMBINADA]])</f>
        <v>0</v>
      </c>
      <c r="AI266" s="27">
        <f>IFERROR(VLOOKUP(DATA[[#This Row],[COMBINADA]],#REF!,6,0),0)</f>
        <v>0</v>
      </c>
      <c r="AJ266" s="125">
        <f>IFERROR(VLOOKUP(DATA[[#This Row],[COMBINADA]],#REF!,9,0),0)/COUNTIFS(DATA[COMBINADA],DATA[[#This Row],[COMBINADA]])</f>
        <v>0</v>
      </c>
      <c r="AK266" s="27">
        <f>IFERROR(VLOOKUP(DATA[[#This Row],[COMBINADA]],#REF!,6,0),0)</f>
        <v>0</v>
      </c>
      <c r="AL266" s="125">
        <f>IFERROR(VLOOKUP(DATA[[#This Row],[COMBINADA]],#REF!,9,0),0)/COUNTIFS(DATA[COMBINADA],DATA[[#This Row],[COMBINADA]])</f>
        <v>0</v>
      </c>
      <c r="AM266" s="27">
        <f>IFERROR(VLOOKUP(DATA[[#This Row],[COMBINADA]],#REF!,6,0),0)</f>
        <v>0</v>
      </c>
      <c r="AN266" s="125">
        <f>IFERROR(VLOOKUP(DATA[[#This Row],[COMBINADA]],#REF!,9,0),0)/COUNTIFS(DATA[COMBINADA],DATA[[#This Row],[COMBINADA]])</f>
        <v>0</v>
      </c>
      <c r="AO266" s="27">
        <f>IFERROR(VLOOKUP(DATA[[#This Row],[COMBINADA]],#REF!,6,0),0)</f>
        <v>0</v>
      </c>
      <c r="AP266" s="125">
        <f>IFERROR(VLOOKUP(DATA[[#This Row],[COMBINADA]],#REF!,9,0),0)/COUNTIFS(DATA[COMBINADA],DATA[[#This Row],[COMBINADA]])</f>
        <v>0</v>
      </c>
      <c r="AQ26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75.496666666666655</v>
      </c>
      <c r="AR266" s="26" t="str">
        <f>IFERROR(IF(DATA[[#This Row],[estado_fact]]="FACTURADO",VLOOKUP(DATA[[#This Row],[SERIE2]]&amp;"-"&amp;DATA[[#This Row],[NUMERO]],#REF!,34,0),"NO CORRESPONDE"),"NO CORRESPONDE")</f>
        <v>NO CORRESPONDE</v>
      </c>
      <c r="AS266" s="22" t="str">
        <f>IF(DATA[[#This Row],[fecha_fs]]&gt;0,TEXT(DATA[[#This Row],[fecha_fs]],"Mmmm"),0)</f>
        <v>Febrero</v>
      </c>
      <c r="AT266" s="22" t="str">
        <f>DATA[[#This Row],[SERIE2]]&amp;"-"&amp;DATA[[#This Row],[NUMERO]]</f>
        <v>FE01-590</v>
      </c>
      <c r="AU266" s="28">
        <f>DATA[[#This Row],[TOTAL]]*DATA[[#This Row],[T.C.]]</f>
        <v>26.96</v>
      </c>
      <c r="AV266" s="6">
        <f>DATA[[#This Row],[FECHA DE VAL.]]</f>
        <v>45716</v>
      </c>
      <c r="AW266" s="6">
        <f>DATA[[#This Row],[FECHA DE EMISION]]</f>
        <v>45722</v>
      </c>
      <c r="AX266" s="6">
        <f>DATA[[#This Row],[F1]]</f>
        <v>0</v>
      </c>
      <c r="AY266" s="20">
        <f>IF(AV266-DATA[[#This Row],[fecha_fs]]&lt;0,0,AV266-DATA[[#This Row],[fecha_fs]])</f>
        <v>7</v>
      </c>
      <c r="AZ266" s="20">
        <f t="shared" si="28"/>
        <v>6</v>
      </c>
      <c r="BA266" s="20">
        <f t="shared" si="29"/>
        <v>0</v>
      </c>
      <c r="BB266" s="195">
        <f>IFERROR(SUM(DATA[[#This Row],[fs_val_ttf]:[fact_pago_ttf]]),0)</f>
        <v>13</v>
      </c>
      <c r="BC266" s="185">
        <v>45730</v>
      </c>
      <c r="BD266" s="185">
        <v>45743</v>
      </c>
      <c r="BE266" s="185">
        <v>45740</v>
      </c>
      <c r="BF266" s="185">
        <v>45749</v>
      </c>
      <c r="BG266" s="20">
        <f>IFERROR(IF(BC266-DATA[[#This Row],[fecha_fs]]&lt;0,0,BC266-DATA[[#This Row],[fecha_fs]]),0)</f>
        <v>21</v>
      </c>
      <c r="BH266" s="20">
        <f t="shared" si="30"/>
        <v>13</v>
      </c>
      <c r="BI266" s="20">
        <f t="shared" si="31"/>
        <v>0</v>
      </c>
      <c r="BJ266" s="20">
        <f t="shared" si="32"/>
        <v>9</v>
      </c>
      <c r="BK266" s="218">
        <f>IFERROR(SUM(DATA[[#This Row],[fs_fd_ttd]:[fend_fenf_ttd]]),0)</f>
        <v>43</v>
      </c>
      <c r="BL266" s="20" t="str">
        <f>IF(DATA[[#This Row],[fecha_fs]]&gt;0,TEXT(DATA[[#This Row],[fecha_fs]],"YYYY"),0)</f>
        <v>2025</v>
      </c>
      <c r="BM266" s="221" t="b">
        <v>1</v>
      </c>
      <c r="BN266" s="278">
        <f>COUNTIF(DATA[[#This Row],[tiempo_td]], "&lt;=15")</f>
        <v>0</v>
      </c>
      <c r="BO266" s="222"/>
    </row>
    <row r="267" spans="1:67" ht="30.6" customHeight="1" x14ac:dyDescent="0.25">
      <c r="A267" s="4">
        <v>20505675836</v>
      </c>
      <c r="B267" s="5" t="s">
        <v>42</v>
      </c>
      <c r="C267" s="52" t="s">
        <v>20</v>
      </c>
      <c r="D267" s="4" t="s">
        <v>112</v>
      </c>
      <c r="E267" s="5" t="s">
        <v>1</v>
      </c>
      <c r="F267" s="24">
        <v>45709</v>
      </c>
      <c r="G267" s="7" t="s">
        <v>113</v>
      </c>
      <c r="H267" s="25">
        <f t="shared" si="27"/>
        <v>1</v>
      </c>
      <c r="I267" s="67">
        <v>4154</v>
      </c>
      <c r="J267" s="8" t="s">
        <v>115</v>
      </c>
      <c r="K267" s="9" t="s">
        <v>116</v>
      </c>
      <c r="L267" s="10" t="s">
        <v>117</v>
      </c>
      <c r="M267" s="11">
        <v>550</v>
      </c>
      <c r="N267" s="12" t="s">
        <v>125</v>
      </c>
      <c r="O267" s="6">
        <v>45713</v>
      </c>
      <c r="P267" s="71">
        <v>3313</v>
      </c>
      <c r="Q267" s="14" t="s">
        <v>85</v>
      </c>
      <c r="R267" s="75"/>
      <c r="S267" s="15">
        <v>1988.35</v>
      </c>
      <c r="T267" s="15">
        <f>DATA[[#This Row],[C. DF]]+DATA[[#This Row],[C.OPE.]]</f>
        <v>1988.35</v>
      </c>
      <c r="U267" s="15">
        <f>DATA[[#This Row],[SUB TOTAL]]*0.18</f>
        <v>357.90299999999996</v>
      </c>
      <c r="V267" s="15">
        <f>IFERROR(ROUND(DATA[[#This Row],[SUB TOTAL]]+DATA[[#This Row],[IGV]],2),0)</f>
        <v>2346.25</v>
      </c>
      <c r="W267" s="16" t="str">
        <f>IF(DATA[[#This Row],[VALORIZACIÓN ]]="-","NO CORRESPONDE",IF(OR(A267=20558226979,A267=10470707866,A267=20111157058,A267=20100226902),"NO CORRESPONDE",IF(J267="Emitida",IF(P267&gt;0,"EMITIDA","PENDIENTE"),"NO CORRESPONDE")))</f>
        <v>EMITIDA</v>
      </c>
      <c r="X267" s="29"/>
      <c r="Y267" s="17" t="s">
        <v>118</v>
      </c>
      <c r="Z267" s="30">
        <v>45740</v>
      </c>
      <c r="AA267" s="49" t="s">
        <v>119</v>
      </c>
      <c r="AB267" s="19">
        <v>38</v>
      </c>
      <c r="AC267" s="20">
        <v>30</v>
      </c>
      <c r="AD267" s="18">
        <f>DATA[[#This Row],[FECHA DE EMISION]]+DATA[[#This Row],[CONDICION DE PAGO]]</f>
        <v>45770</v>
      </c>
      <c r="AE267" s="23">
        <f>IF(DATA[[#This Row],[MONEDA]]="USD",VLOOKUP(DATA[[#This Row],[COMBINADA]],#REF!,11,0),1)</f>
        <v>1</v>
      </c>
      <c r="AF267" s="39" t="str">
        <f>IF(DATA[[#This Row],[SERIE2]]="-","NO CORRESPONDE",IF(W267="NO CORRESPONDE","NO CORRESPONDE",IF(Z267&gt;0,"FACTURADO","PENDIENTE")))</f>
        <v>FACTURADO</v>
      </c>
      <c r="AG267" s="27">
        <f>IFERROR(VLOOKUP(DATA[[#This Row],[COMBINADA]],#REF!,6,0),0)</f>
        <v>0</v>
      </c>
      <c r="AH267" s="125">
        <f>IFERROR(VLOOKUP(DATA[[#This Row],[COMBINADA]],#REF!,9,0),0)/COUNTIFS(DATA[COMBINADA],DATA[[#This Row],[COMBINADA]])</f>
        <v>0</v>
      </c>
      <c r="AI267" s="27">
        <f>IFERROR(VLOOKUP(DATA[[#This Row],[COMBINADA]],#REF!,6,0),0)</f>
        <v>0</v>
      </c>
      <c r="AJ267" s="125">
        <f>IFERROR(VLOOKUP(DATA[[#This Row],[COMBINADA]],#REF!,9,0),0)/COUNTIFS(DATA[COMBINADA],DATA[[#This Row],[COMBINADA]])</f>
        <v>0</v>
      </c>
      <c r="AK267" s="27">
        <f>IFERROR(VLOOKUP(DATA[[#This Row],[COMBINADA]],#REF!,6,0),0)</f>
        <v>0</v>
      </c>
      <c r="AL267" s="125">
        <f>IFERROR(VLOOKUP(DATA[[#This Row],[COMBINADA]],#REF!,9,0),0)/COUNTIFS(DATA[COMBINADA],DATA[[#This Row],[COMBINADA]])</f>
        <v>0</v>
      </c>
      <c r="AM267" s="27">
        <f>IFERROR(VLOOKUP(DATA[[#This Row],[COMBINADA]],#REF!,6,0),0)</f>
        <v>0</v>
      </c>
      <c r="AN267" s="125">
        <f>IFERROR(VLOOKUP(DATA[[#This Row],[COMBINADA]],#REF!,9,0),0)/COUNTIFS(DATA[COMBINADA],DATA[[#This Row],[COMBINADA]])</f>
        <v>0</v>
      </c>
      <c r="AO267" s="27">
        <f>IFERROR(VLOOKUP(DATA[[#This Row],[COMBINADA]],#REF!,6,0),0)</f>
        <v>0</v>
      </c>
      <c r="AP267" s="125">
        <f>IFERROR(VLOOKUP(DATA[[#This Row],[COMBINADA]],#REF!,9,0),0)/COUNTIFS(DATA[COMBINADA],DATA[[#This Row],[COMBINADA]])</f>
        <v>0</v>
      </c>
      <c r="AQ26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2477.54</v>
      </c>
      <c r="AR267" s="26" t="str">
        <f>IFERROR(IF(DATA[[#This Row],[estado_fact]]="FACTURADO",VLOOKUP(DATA[[#This Row],[SERIE2]]&amp;"-"&amp;DATA[[#This Row],[NUMERO]],#REF!,34,0),"NO CORRESPONDE"),"NO CORRESPONDE")</f>
        <v>NO CORRESPONDE</v>
      </c>
      <c r="AS267" s="22" t="str">
        <f>IF(DATA[[#This Row],[fecha_fs]]&gt;0,TEXT(DATA[[#This Row],[fecha_fs]],"Mmmm"),0)</f>
        <v>Febrero</v>
      </c>
      <c r="AT267" s="22" t="str">
        <f>DATA[[#This Row],[SERIE2]]&amp;"-"&amp;DATA[[#This Row],[NUMERO]]</f>
        <v>E001-38</v>
      </c>
      <c r="AU267" s="28">
        <f>DATA[[#This Row],[TOTAL]]*DATA[[#This Row],[T.C.]]</f>
        <v>2346.25</v>
      </c>
      <c r="AV267" s="6">
        <f>DATA[[#This Row],[FECHA DE VAL.]]</f>
        <v>45713</v>
      </c>
      <c r="AW267" s="6">
        <f>DATA[[#This Row],[FECHA DE EMISION]]</f>
        <v>45740</v>
      </c>
      <c r="AX267" s="6">
        <f>DATA[[#This Row],[F1]]</f>
        <v>0</v>
      </c>
      <c r="AY267" s="20">
        <f>IF(AV267-DATA[[#This Row],[fecha_fs]]&lt;0,0,AV267-DATA[[#This Row],[fecha_fs]])</f>
        <v>4</v>
      </c>
      <c r="AZ267" s="20">
        <f t="shared" si="28"/>
        <v>27</v>
      </c>
      <c r="BA267" s="20">
        <f t="shared" si="29"/>
        <v>0</v>
      </c>
      <c r="BB267" s="195">
        <f>IFERROR(SUM(DATA[[#This Row],[fs_val_ttf]:[fact_pago_ttf]]),0)</f>
        <v>31</v>
      </c>
      <c r="BC267" s="185">
        <v>45716</v>
      </c>
      <c r="BD267" s="185">
        <v>45729</v>
      </c>
      <c r="BE267" s="185">
        <v>45735</v>
      </c>
      <c r="BF267" s="185">
        <v>45761</v>
      </c>
      <c r="BG267" s="20">
        <f>IFERROR(IF(BC267-DATA[[#This Row],[fecha_fs]]&lt;0,0,BC267-DATA[[#This Row],[fecha_fs]]),0)</f>
        <v>7</v>
      </c>
      <c r="BH267" s="20">
        <f t="shared" si="30"/>
        <v>13</v>
      </c>
      <c r="BI267" s="20">
        <f t="shared" si="31"/>
        <v>6</v>
      </c>
      <c r="BJ267" s="20">
        <f t="shared" si="32"/>
        <v>26</v>
      </c>
      <c r="BK267" s="218">
        <f>IFERROR(SUM(DATA[[#This Row],[fs_fd_ttd]:[fend_fenf_ttd]]),0)</f>
        <v>52</v>
      </c>
      <c r="BL267" s="20" t="str">
        <f>IF(DATA[[#This Row],[fecha_fs]]&gt;0,TEXT(DATA[[#This Row],[fecha_fs]],"YYYY"),0)</f>
        <v>2025</v>
      </c>
      <c r="BM267" s="221" t="b">
        <v>1</v>
      </c>
      <c r="BN267" s="278">
        <f>COUNTIF(DATA[[#This Row],[tiempo_td]], "&lt;=15")</f>
        <v>0</v>
      </c>
      <c r="BO267" s="222"/>
    </row>
    <row r="268" spans="1:67" ht="30.6" customHeight="1" x14ac:dyDescent="0.25">
      <c r="A268" s="4">
        <v>20601045835</v>
      </c>
      <c r="B268" s="5" t="s">
        <v>282</v>
      </c>
      <c r="C268" s="52" t="s">
        <v>206</v>
      </c>
      <c r="D268" s="4" t="s">
        <v>120</v>
      </c>
      <c r="E268" s="5" t="s">
        <v>3</v>
      </c>
      <c r="F268" s="24">
        <v>45708</v>
      </c>
      <c r="G268" s="7" t="s">
        <v>113</v>
      </c>
      <c r="H268" s="25">
        <f t="shared" si="27"/>
        <v>1</v>
      </c>
      <c r="I268" s="67">
        <v>4155</v>
      </c>
      <c r="J268" s="8" t="s">
        <v>115</v>
      </c>
      <c r="K268" s="9" t="s">
        <v>121</v>
      </c>
      <c r="L268" s="10" t="s">
        <v>117</v>
      </c>
      <c r="M268" s="11">
        <v>41</v>
      </c>
      <c r="N268" s="12" t="s">
        <v>129</v>
      </c>
      <c r="O268" s="6">
        <v>45708</v>
      </c>
      <c r="P268" s="13">
        <v>3301</v>
      </c>
      <c r="Q268" s="14" t="s">
        <v>85</v>
      </c>
      <c r="R268" s="75"/>
      <c r="S268" s="74"/>
      <c r="T268" s="15">
        <f>DATA[[#This Row],[C. DF]]+DATA[[#This Row],[C.OPE.]]</f>
        <v>0</v>
      </c>
      <c r="U268" s="15">
        <f>DATA[[#This Row],[SUB TOTAL]]*0.18</f>
        <v>0</v>
      </c>
      <c r="V268" s="15">
        <f>IFERROR(ROUND(DATA[[#This Row],[SUB TOTAL]]+DATA[[#This Row],[IGV]],2),0)</f>
        <v>0</v>
      </c>
      <c r="W268" s="16" t="str">
        <f>IF(DATA[[#This Row],[VALORIZACIÓN ]]="-","NO CORRESPONDE",IF(OR(A268=20558226979,A268=10470707866,A268=20111157058,A268=20100226902),"NO CORRESPONDE",IF(J268="Emitida",IF(P268&gt;0,"EMITIDA","PENDIENTE"),"NO CORRESPONDE")))</f>
        <v>EMITIDA</v>
      </c>
      <c r="X268" s="29"/>
      <c r="Y268" s="17" t="s">
        <v>118</v>
      </c>
      <c r="Z268" s="30">
        <v>45709</v>
      </c>
      <c r="AA268" s="10" t="s">
        <v>124</v>
      </c>
      <c r="AB268" s="19">
        <v>575</v>
      </c>
      <c r="AC268" s="20">
        <v>5</v>
      </c>
      <c r="AD268" s="18">
        <f>DATA[[#This Row],[FECHA DE EMISION]]+DATA[[#This Row],[CONDICION DE PAGO]]</f>
        <v>45714</v>
      </c>
      <c r="AE268" s="23">
        <f>IF(DATA[[#This Row],[MONEDA]]="USD",VLOOKUP(DATA[[#This Row],[COMBINADA]],#REF!,11,0),1)</f>
        <v>1</v>
      </c>
      <c r="AF268" s="39" t="str">
        <f>IF(DATA[[#This Row],[SERIE2]]="-","NO CORRESPONDE",IF(W268="NO CORRESPONDE","NO CORRESPONDE",IF(Z268&gt;0,"FACTURADO","PENDIENTE")))</f>
        <v>FACTURADO</v>
      </c>
      <c r="AG268" s="27">
        <f>IFERROR(VLOOKUP(DATA[[#This Row],[COMBINADA]],#REF!,6,0),0)</f>
        <v>0</v>
      </c>
      <c r="AH268" s="125">
        <f>IFERROR(VLOOKUP(DATA[[#This Row],[COMBINADA]],#REF!,9,0),0)/COUNTIFS(DATA[COMBINADA],DATA[[#This Row],[COMBINADA]])</f>
        <v>0</v>
      </c>
      <c r="AI268" s="27">
        <f>IFERROR(VLOOKUP(DATA[[#This Row],[COMBINADA]],#REF!,6,0),0)</f>
        <v>0</v>
      </c>
      <c r="AJ268" s="125">
        <f>IFERROR(VLOOKUP(DATA[[#This Row],[COMBINADA]],#REF!,9,0),0)/COUNTIFS(DATA[COMBINADA],DATA[[#This Row],[COMBINADA]])</f>
        <v>0</v>
      </c>
      <c r="AK268" s="27">
        <f>IFERROR(VLOOKUP(DATA[[#This Row],[COMBINADA]],#REF!,6,0),0)</f>
        <v>0</v>
      </c>
      <c r="AL268" s="125">
        <f>IFERROR(VLOOKUP(DATA[[#This Row],[COMBINADA]],#REF!,9,0),0)/COUNTIFS(DATA[COMBINADA],DATA[[#This Row],[COMBINADA]])</f>
        <v>0</v>
      </c>
      <c r="AM268" s="27">
        <f>IFERROR(VLOOKUP(DATA[[#This Row],[COMBINADA]],#REF!,6,0),0)</f>
        <v>0</v>
      </c>
      <c r="AN268" s="125">
        <f>IFERROR(VLOOKUP(DATA[[#This Row],[COMBINADA]],#REF!,9,0),0)/COUNTIFS(DATA[COMBINADA],DATA[[#This Row],[COMBINADA]])</f>
        <v>0</v>
      </c>
      <c r="AO268" s="27">
        <f>IFERROR(VLOOKUP(DATA[[#This Row],[COMBINADA]],#REF!,6,0),0)</f>
        <v>0</v>
      </c>
      <c r="AP268" s="125">
        <f>IFERROR(VLOOKUP(DATA[[#This Row],[COMBINADA]],#REF!,9,0),0)/COUNTIFS(DATA[COMBINADA],DATA[[#This Row],[COMBINADA]])</f>
        <v>0</v>
      </c>
      <c r="AQ26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751.03</v>
      </c>
      <c r="AR268" s="26" t="str">
        <f>IFERROR(IF(DATA[[#This Row],[estado_fact]]="FACTURADO",VLOOKUP(DATA[[#This Row],[SERIE2]]&amp;"-"&amp;DATA[[#This Row],[NUMERO]],#REF!,34,0),"NO CORRESPONDE"),"NO CORRESPONDE")</f>
        <v>NO CORRESPONDE</v>
      </c>
      <c r="AS268" s="22" t="str">
        <f>IF(DATA[[#This Row],[fecha_fs]]&gt;0,TEXT(DATA[[#This Row],[fecha_fs]],"Mmmm"),0)</f>
        <v>Febrero</v>
      </c>
      <c r="AT268" s="22" t="str">
        <f>DATA[[#This Row],[SERIE2]]&amp;"-"&amp;DATA[[#This Row],[NUMERO]]</f>
        <v>FE01-575</v>
      </c>
      <c r="AU268" s="28">
        <f>DATA[[#This Row],[TOTAL]]*DATA[[#This Row],[T.C.]]</f>
        <v>0</v>
      </c>
      <c r="AV268" s="6">
        <f>DATA[[#This Row],[FECHA DE VAL.]]</f>
        <v>45708</v>
      </c>
      <c r="AW268" s="6">
        <f>DATA[[#This Row],[FECHA DE EMISION]]</f>
        <v>45709</v>
      </c>
      <c r="AX268" s="6">
        <f>DATA[[#This Row],[F1]]</f>
        <v>0</v>
      </c>
      <c r="AY268" s="20">
        <f>IF(AV268-DATA[[#This Row],[fecha_fs]]&lt;0,0,AV268-DATA[[#This Row],[fecha_fs]])</f>
        <v>0</v>
      </c>
      <c r="AZ268" s="20">
        <f t="shared" si="28"/>
        <v>1</v>
      </c>
      <c r="BA268" s="20">
        <f t="shared" si="29"/>
        <v>0</v>
      </c>
      <c r="BB268" s="195">
        <f>IFERROR(SUM(DATA[[#This Row],[fs_val_ttf]:[fact_pago_ttf]]),0)</f>
        <v>1</v>
      </c>
      <c r="BC268" s="185">
        <v>45734</v>
      </c>
      <c r="BD268" s="185">
        <v>45744</v>
      </c>
      <c r="BE268" s="185">
        <v>45741</v>
      </c>
      <c r="BF268" s="185">
        <v>45760</v>
      </c>
      <c r="BG268" s="20">
        <f>IFERROR(IF(BC268-DATA[[#This Row],[fecha_fs]]&lt;0,0,BC268-DATA[[#This Row],[fecha_fs]]),0)</f>
        <v>26</v>
      </c>
      <c r="BH268" s="20">
        <f t="shared" si="30"/>
        <v>10</v>
      </c>
      <c r="BI268" s="20">
        <f t="shared" si="31"/>
        <v>0</v>
      </c>
      <c r="BJ268" s="20">
        <f t="shared" si="32"/>
        <v>19</v>
      </c>
      <c r="BK268" s="218">
        <f>IFERROR(SUM(DATA[[#This Row],[fs_fd_ttd]:[fend_fenf_ttd]]),0)</f>
        <v>55</v>
      </c>
      <c r="BL268" s="20" t="str">
        <f>IF(DATA[[#This Row],[fecha_fs]]&gt;0,TEXT(DATA[[#This Row],[fecha_fs]],"YYYY"),0)</f>
        <v>2025</v>
      </c>
      <c r="BM268" s="221" t="b">
        <v>1</v>
      </c>
      <c r="BN268" s="278">
        <f>COUNTIF(DATA[[#This Row],[tiempo_td]], "&lt;=15")</f>
        <v>0</v>
      </c>
      <c r="BO268" s="222"/>
    </row>
    <row r="269" spans="1:67" ht="30.6" customHeight="1" x14ac:dyDescent="0.25">
      <c r="A269" s="4">
        <v>20553956324</v>
      </c>
      <c r="B269" s="5" t="s">
        <v>281</v>
      </c>
      <c r="C269" s="52" t="s">
        <v>175</v>
      </c>
      <c r="D269" s="4" t="s">
        <v>120</v>
      </c>
      <c r="E269" s="5" t="s">
        <v>3</v>
      </c>
      <c r="F269" s="24">
        <v>45709</v>
      </c>
      <c r="G269" s="7" t="s">
        <v>113</v>
      </c>
      <c r="H269" s="25">
        <f t="shared" si="27"/>
        <v>1</v>
      </c>
      <c r="I269" s="67">
        <v>4156</v>
      </c>
      <c r="J269" s="8" t="s">
        <v>115</v>
      </c>
      <c r="K269" s="9" t="s">
        <v>121</v>
      </c>
      <c r="L269" s="10" t="s">
        <v>117</v>
      </c>
      <c r="M269" s="11">
        <v>50</v>
      </c>
      <c r="N269" s="12" t="s">
        <v>132</v>
      </c>
      <c r="O269" s="6">
        <v>45716</v>
      </c>
      <c r="P269" s="109">
        <v>3328</v>
      </c>
      <c r="Q269" s="14" t="s">
        <v>85</v>
      </c>
      <c r="R269" s="15">
        <f>80/8</f>
        <v>10</v>
      </c>
      <c r="S269" s="56">
        <f>3160.8/11</f>
        <v>287.34545454545457</v>
      </c>
      <c r="T269" s="15">
        <f>DATA[[#This Row],[C. DF]]+DATA[[#This Row],[C.OPE.]]</f>
        <v>297.34545454545457</v>
      </c>
      <c r="U269" s="15">
        <f>DATA[[#This Row],[SUB TOTAL]]*0.18</f>
        <v>53.522181818181821</v>
      </c>
      <c r="V269" s="15">
        <f>IFERROR(ROUND(DATA[[#This Row],[SUB TOTAL]]+DATA[[#This Row],[IGV]],2),0)</f>
        <v>350.87</v>
      </c>
      <c r="W269" s="16" t="str">
        <f>IF(DATA[[#This Row],[VALORIZACIÓN ]]="-","NO CORRESPONDE",IF(OR(A269=20558226979,A269=10470707866,A269=20111157058,A269=20100226902),"NO CORRESPONDE",IF(J269="Emitida",IF(P269&gt;0,"EMITIDA","PENDIENTE"),"NO CORRESPONDE")))</f>
        <v>EMITIDA</v>
      </c>
      <c r="X269" s="29"/>
      <c r="Y269" s="17" t="s">
        <v>118</v>
      </c>
      <c r="Z269" s="30">
        <v>45730</v>
      </c>
      <c r="AA269" s="20" t="s">
        <v>119</v>
      </c>
      <c r="AB269" s="19">
        <v>24</v>
      </c>
      <c r="AC269" s="20">
        <v>0</v>
      </c>
      <c r="AD269" s="18">
        <f>DATA[[#This Row],[FECHA DE EMISION]]+DATA[[#This Row],[CONDICION DE PAGO]]</f>
        <v>45730</v>
      </c>
      <c r="AE269" s="23">
        <f>IF(DATA[[#This Row],[MONEDA]]="USD",VLOOKUP(DATA[[#This Row],[COMBINADA]],#REF!,11,0),1)</f>
        <v>1</v>
      </c>
      <c r="AF269" s="39" t="str">
        <f>IF(DATA[[#This Row],[SERIE2]]="-","NO CORRESPONDE",IF(W269="NO CORRESPONDE","NO CORRESPONDE",IF(Z269&gt;0,"FACTURADO","PENDIENTE")))</f>
        <v>FACTURADO</v>
      </c>
      <c r="AG269" s="27">
        <f>IFERROR(VLOOKUP(DATA[[#This Row],[COMBINADA]],#REF!,6,0),0)</f>
        <v>0</v>
      </c>
      <c r="AH269" s="125">
        <f>IFERROR(VLOOKUP(DATA[[#This Row],[COMBINADA]],#REF!,9,0),0)/COUNTIFS(DATA[COMBINADA],DATA[[#This Row],[COMBINADA]])</f>
        <v>0</v>
      </c>
      <c r="AI269" s="27">
        <f>IFERROR(VLOOKUP(DATA[[#This Row],[COMBINADA]],#REF!,6,0),0)</f>
        <v>0</v>
      </c>
      <c r="AJ269" s="125">
        <f>IFERROR(VLOOKUP(DATA[[#This Row],[COMBINADA]],#REF!,9,0),0)/COUNTIFS(DATA[COMBINADA],DATA[[#This Row],[COMBINADA]])</f>
        <v>0</v>
      </c>
      <c r="AK269" s="27">
        <f>IFERROR(VLOOKUP(DATA[[#This Row],[COMBINADA]],#REF!,6,0),0)</f>
        <v>0</v>
      </c>
      <c r="AL269" s="125">
        <f>IFERROR(VLOOKUP(DATA[[#This Row],[COMBINADA]],#REF!,9,0),0)/COUNTIFS(DATA[COMBINADA],DATA[[#This Row],[COMBINADA]])</f>
        <v>0</v>
      </c>
      <c r="AM269" s="27">
        <f>IFERROR(VLOOKUP(DATA[[#This Row],[COMBINADA]],#REF!,6,0),0)</f>
        <v>0</v>
      </c>
      <c r="AN269" s="125">
        <f>IFERROR(VLOOKUP(DATA[[#This Row],[COMBINADA]],#REF!,9,0),0)/COUNTIFS(DATA[COMBINADA],DATA[[#This Row],[COMBINADA]])</f>
        <v>0</v>
      </c>
      <c r="AO269" s="27">
        <f>IFERROR(VLOOKUP(DATA[[#This Row],[COMBINADA]],#REF!,6,0),0)</f>
        <v>0</v>
      </c>
      <c r="AP269" s="125">
        <f>IFERROR(VLOOKUP(DATA[[#This Row],[COMBINADA]],#REF!,9,0),0)/COUNTIFS(DATA[COMBINADA],DATA[[#This Row],[COMBINADA]])</f>
        <v>0</v>
      </c>
      <c r="AQ26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395.92454545454547</v>
      </c>
      <c r="AR269" s="26" t="str">
        <f>IFERROR(IF(DATA[[#This Row],[estado_fact]]="FACTURADO",VLOOKUP(DATA[[#This Row],[SERIE2]]&amp;"-"&amp;DATA[[#This Row],[NUMERO]],#REF!,34,0),"NO CORRESPONDE"),"NO CORRESPONDE")</f>
        <v>NO CORRESPONDE</v>
      </c>
      <c r="AS269" s="22" t="str">
        <f>IF(DATA[[#This Row],[fecha_fs]]&gt;0,TEXT(DATA[[#This Row],[fecha_fs]],"Mmmm"),0)</f>
        <v>Febrero</v>
      </c>
      <c r="AT269" s="22" t="str">
        <f>DATA[[#This Row],[SERIE2]]&amp;"-"&amp;DATA[[#This Row],[NUMERO]]</f>
        <v>E001-24</v>
      </c>
      <c r="AU269" s="28">
        <f>DATA[[#This Row],[TOTAL]]*DATA[[#This Row],[T.C.]]</f>
        <v>350.87</v>
      </c>
      <c r="AV269" s="6">
        <f>DATA[[#This Row],[FECHA DE VAL.]]</f>
        <v>45716</v>
      </c>
      <c r="AW269" s="6">
        <f>DATA[[#This Row],[FECHA DE EMISION]]</f>
        <v>45730</v>
      </c>
      <c r="AX269" s="6">
        <f>DATA[[#This Row],[F1]]</f>
        <v>0</v>
      </c>
      <c r="AY269" s="20">
        <f>IF(AV269-DATA[[#This Row],[fecha_fs]]&lt;0,0,AV269-DATA[[#This Row],[fecha_fs]])</f>
        <v>7</v>
      </c>
      <c r="AZ269" s="20">
        <f t="shared" si="28"/>
        <v>14</v>
      </c>
      <c r="BA269" s="20">
        <f t="shared" si="29"/>
        <v>0</v>
      </c>
      <c r="BB269" s="195">
        <f>IFERROR(SUM(DATA[[#This Row],[fs_val_ttf]:[fact_pago_ttf]]),0)</f>
        <v>21</v>
      </c>
      <c r="BC269" s="185">
        <v>45729</v>
      </c>
      <c r="BD269" s="185">
        <v>45735</v>
      </c>
      <c r="BE269" s="185">
        <v>45740</v>
      </c>
      <c r="BF269" s="185">
        <v>45759</v>
      </c>
      <c r="BG269" s="20">
        <f>IFERROR(IF(BC269-DATA[[#This Row],[fecha_fs]]&lt;0,0,BC269-DATA[[#This Row],[fecha_fs]]),0)</f>
        <v>20</v>
      </c>
      <c r="BH269" s="20">
        <f t="shared" si="30"/>
        <v>6</v>
      </c>
      <c r="BI269" s="20">
        <f t="shared" si="31"/>
        <v>5</v>
      </c>
      <c r="BJ269" s="20">
        <f t="shared" si="32"/>
        <v>19</v>
      </c>
      <c r="BK269" s="218">
        <f>IFERROR(SUM(DATA[[#This Row],[fs_fd_ttd]:[fend_fenf_ttd]]),0)</f>
        <v>50</v>
      </c>
      <c r="BL269" s="20" t="str">
        <f>IF(DATA[[#This Row],[fecha_fs]]&gt;0,TEXT(DATA[[#This Row],[fecha_fs]],"YYYY"),0)</f>
        <v>2025</v>
      </c>
      <c r="BM269" s="221" t="b">
        <v>0</v>
      </c>
      <c r="BN269" s="278">
        <f>COUNTIF(DATA[[#This Row],[tiempo_td]], "&lt;=15")</f>
        <v>0</v>
      </c>
      <c r="BO269" s="222"/>
    </row>
    <row r="270" spans="1:67" ht="30.6" customHeight="1" x14ac:dyDescent="0.25">
      <c r="A270" s="4">
        <v>20454186002</v>
      </c>
      <c r="B270" s="5" t="s">
        <v>25</v>
      </c>
      <c r="C270" s="52" t="s">
        <v>18</v>
      </c>
      <c r="D270" s="4" t="s">
        <v>290</v>
      </c>
      <c r="E270" s="5" t="s">
        <v>294</v>
      </c>
      <c r="F270" s="24">
        <v>45711</v>
      </c>
      <c r="G270" s="7" t="s">
        <v>113</v>
      </c>
      <c r="H270" s="25">
        <f t="shared" si="27"/>
        <v>1</v>
      </c>
      <c r="I270" s="67">
        <v>4157</v>
      </c>
      <c r="J270" s="8" t="s">
        <v>115</v>
      </c>
      <c r="K270" s="9" t="s">
        <v>195</v>
      </c>
      <c r="L270" s="10" t="s">
        <v>117</v>
      </c>
      <c r="M270" s="11">
        <v>30050</v>
      </c>
      <c r="N270" s="12" t="s">
        <v>208</v>
      </c>
      <c r="O270" s="6">
        <v>45712</v>
      </c>
      <c r="P270" s="13">
        <v>3304</v>
      </c>
      <c r="Q270" s="14" t="s">
        <v>85</v>
      </c>
      <c r="R270" s="15">
        <f>DATA[[#This Row],[cantidad_fs]]*0.08</f>
        <v>2404</v>
      </c>
      <c r="S270" s="15">
        <v>3303.24</v>
      </c>
      <c r="T270" s="15">
        <f>DATA[[#This Row],[C. DF]]+DATA[[#This Row],[C.OPE.]]</f>
        <v>5707.24</v>
      </c>
      <c r="U270" s="15">
        <f>DATA[[#This Row],[SUB TOTAL]]*0.18</f>
        <v>1027.3031999999998</v>
      </c>
      <c r="V270" s="15">
        <f>IFERROR(ROUND(DATA[[#This Row],[SUB TOTAL]]+DATA[[#This Row],[IGV]],2),0)</f>
        <v>6734.54</v>
      </c>
      <c r="W270" s="16" t="str">
        <f>IF(DATA[[#This Row],[VALORIZACIÓN ]]="-","NO CORRESPONDE",IF(OR(A270=20558226979,A270=10470707866,A270=20111157058,A270=20100226902),"NO CORRESPONDE",IF(J270="Emitida",IF(P270&gt;0,"EMITIDA","PENDIENTE"),"NO CORRESPONDE")))</f>
        <v>EMITIDA</v>
      </c>
      <c r="X270" s="29"/>
      <c r="Y270" s="17" t="s">
        <v>118</v>
      </c>
      <c r="Z270" s="30">
        <v>45716</v>
      </c>
      <c r="AA270" s="10" t="s">
        <v>124</v>
      </c>
      <c r="AB270" s="19">
        <v>580</v>
      </c>
      <c r="AC270" s="20">
        <v>7</v>
      </c>
      <c r="AD270" s="18">
        <f>DATA[[#This Row],[FECHA DE EMISION]]+DATA[[#This Row],[CONDICION DE PAGO]]</f>
        <v>45723</v>
      </c>
      <c r="AE270" s="23">
        <f>IF(DATA[[#This Row],[MONEDA]]="USD",VLOOKUP(DATA[[#This Row],[COMBINADA]],#REF!,11,0),1)</f>
        <v>1</v>
      </c>
      <c r="AF270" s="39" t="str">
        <f>IF(DATA[[#This Row],[SERIE2]]="-","NO CORRESPONDE",IF(W270="NO CORRESPONDE","NO CORRESPONDE",IF(Z270&gt;0,"FACTURADO","PENDIENTE")))</f>
        <v>FACTURADO</v>
      </c>
      <c r="AG270" s="27">
        <f>IFERROR(VLOOKUP(DATA[[#This Row],[COMBINADA]],#REF!,6,0),0)</f>
        <v>0</v>
      </c>
      <c r="AH270" s="125">
        <f>IFERROR(VLOOKUP(DATA[[#This Row],[COMBINADA]],#REF!,9,0),0)/COUNTIFS(DATA[COMBINADA],DATA[[#This Row],[COMBINADA]])</f>
        <v>0</v>
      </c>
      <c r="AI270" s="27">
        <f>IFERROR(VLOOKUP(DATA[[#This Row],[COMBINADA]],#REF!,6,0),0)</f>
        <v>0</v>
      </c>
      <c r="AJ270" s="125">
        <f>IFERROR(VLOOKUP(DATA[[#This Row],[COMBINADA]],#REF!,9,0),0)/COUNTIFS(DATA[COMBINADA],DATA[[#This Row],[COMBINADA]])</f>
        <v>0</v>
      </c>
      <c r="AK270" s="27">
        <f>IFERROR(VLOOKUP(DATA[[#This Row],[COMBINADA]],#REF!,6,0),0)</f>
        <v>0</v>
      </c>
      <c r="AL270" s="125">
        <f>IFERROR(VLOOKUP(DATA[[#This Row],[COMBINADA]],#REF!,9,0),0)/COUNTIFS(DATA[COMBINADA],DATA[[#This Row],[COMBINADA]])</f>
        <v>0</v>
      </c>
      <c r="AM270" s="27">
        <f>IFERROR(VLOOKUP(DATA[[#This Row],[COMBINADA]],#REF!,6,0),0)</f>
        <v>0</v>
      </c>
      <c r="AN270" s="125">
        <f>IFERROR(VLOOKUP(DATA[[#This Row],[COMBINADA]],#REF!,9,0),0)/COUNTIFS(DATA[COMBINADA],DATA[[#This Row],[COMBINADA]])</f>
        <v>0</v>
      </c>
      <c r="AO270" s="27">
        <f>IFERROR(VLOOKUP(DATA[[#This Row],[COMBINADA]],#REF!,6,0),0)</f>
        <v>0</v>
      </c>
      <c r="AP270" s="125">
        <f>IFERROR(VLOOKUP(DATA[[#This Row],[COMBINADA]],#REF!,9,0),0)/COUNTIFS(DATA[COMBINADA],DATA[[#This Row],[COMBINADA]])</f>
        <v>0</v>
      </c>
      <c r="AQ27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6734.54</v>
      </c>
      <c r="AR270" s="26" t="str">
        <f>IFERROR(IF(DATA[[#This Row],[estado_fact]]="FACTURADO",VLOOKUP(DATA[[#This Row],[SERIE2]]&amp;"-"&amp;DATA[[#This Row],[NUMERO]],#REF!,34,0),"NO CORRESPONDE"),"NO CORRESPONDE")</f>
        <v>NO CORRESPONDE</v>
      </c>
      <c r="AS270" s="22" t="str">
        <f>IF(DATA[[#This Row],[fecha_fs]]&gt;0,TEXT(DATA[[#This Row],[fecha_fs]],"Mmmm"),0)</f>
        <v>Febrero</v>
      </c>
      <c r="AT270" s="22" t="str">
        <f>DATA[[#This Row],[SERIE2]]&amp;"-"&amp;DATA[[#This Row],[NUMERO]]</f>
        <v>FE01-580</v>
      </c>
      <c r="AU270" s="28">
        <f>DATA[[#This Row],[TOTAL]]*DATA[[#This Row],[T.C.]]</f>
        <v>6734.54</v>
      </c>
      <c r="AV270" s="6">
        <f>DATA[[#This Row],[FECHA DE VAL.]]</f>
        <v>45712</v>
      </c>
      <c r="AW270" s="6">
        <f>DATA[[#This Row],[FECHA DE EMISION]]</f>
        <v>45716</v>
      </c>
      <c r="AX270" s="6">
        <f>DATA[[#This Row],[F1]]</f>
        <v>0</v>
      </c>
      <c r="AY270" s="20">
        <f>IF(AV270-DATA[[#This Row],[fecha_fs]]&lt;0,0,AV270-DATA[[#This Row],[fecha_fs]])</f>
        <v>1</v>
      </c>
      <c r="AZ270" s="20">
        <f t="shared" si="28"/>
        <v>4</v>
      </c>
      <c r="BA270" s="20">
        <f t="shared" si="29"/>
        <v>0</v>
      </c>
      <c r="BB270" s="195">
        <f>IFERROR(SUM(DATA[[#This Row],[fs_val_ttf]:[fact_pago_ttf]]),0)</f>
        <v>5</v>
      </c>
      <c r="BC270" s="185">
        <v>45712</v>
      </c>
      <c r="BD270" s="185">
        <v>45726</v>
      </c>
      <c r="BE270" s="185">
        <v>45730</v>
      </c>
      <c r="BF270" s="185">
        <v>45734</v>
      </c>
      <c r="BG270" s="20">
        <f>IFERROR(IF(BC270-DATA[[#This Row],[fecha_fs]]&lt;0,0,BC270-DATA[[#This Row],[fecha_fs]]),0)</f>
        <v>1</v>
      </c>
      <c r="BH270" s="20">
        <f t="shared" si="30"/>
        <v>14</v>
      </c>
      <c r="BI270" s="20">
        <f t="shared" si="31"/>
        <v>4</v>
      </c>
      <c r="BJ270" s="20">
        <f t="shared" si="32"/>
        <v>4</v>
      </c>
      <c r="BK270" s="218">
        <f>IFERROR(SUM(DATA[[#This Row],[fs_fd_ttd]:[fend_fenf_ttd]]),0)</f>
        <v>23</v>
      </c>
      <c r="BL270" s="20" t="str">
        <f>IF(DATA[[#This Row],[fecha_fs]]&gt;0,TEXT(DATA[[#This Row],[fecha_fs]],"YYYY"),0)</f>
        <v>2025</v>
      </c>
      <c r="BM270" s="221" t="b">
        <v>0</v>
      </c>
      <c r="BN270" s="278">
        <f>COUNTIF(DATA[[#This Row],[tiempo_td]], "&lt;=15")</f>
        <v>0</v>
      </c>
      <c r="BO270" s="222"/>
    </row>
    <row r="271" spans="1:67" ht="30.6" customHeight="1" x14ac:dyDescent="0.25">
      <c r="A271" s="4">
        <v>20454186002</v>
      </c>
      <c r="B271" s="5" t="s">
        <v>25</v>
      </c>
      <c r="C271" s="52" t="s">
        <v>18</v>
      </c>
      <c r="D271" s="4" t="s">
        <v>120</v>
      </c>
      <c r="E271" s="5" t="s">
        <v>3</v>
      </c>
      <c r="F271" s="24">
        <v>45711</v>
      </c>
      <c r="G271" s="7" t="s">
        <v>113</v>
      </c>
      <c r="H271" s="25">
        <f t="shared" si="27"/>
        <v>1</v>
      </c>
      <c r="I271" s="67">
        <v>4158</v>
      </c>
      <c r="J271" s="8" t="s">
        <v>115</v>
      </c>
      <c r="K271" s="9" t="s">
        <v>121</v>
      </c>
      <c r="L271" s="10" t="s">
        <v>117</v>
      </c>
      <c r="M271" s="11">
        <v>6950</v>
      </c>
      <c r="N271" s="12" t="s">
        <v>209</v>
      </c>
      <c r="O271" s="6">
        <v>45712</v>
      </c>
      <c r="P271" s="13">
        <v>3305</v>
      </c>
      <c r="Q271" s="14" t="s">
        <v>85</v>
      </c>
      <c r="R271" s="70">
        <f>1485.02+((DATA[[#This Row],[cantidad_fs]]-3000)*0.49)</f>
        <v>3420.52</v>
      </c>
      <c r="S271" s="74"/>
      <c r="T271" s="15">
        <f>DATA[[#This Row],[C. DF]]+DATA[[#This Row],[C.OPE.]]</f>
        <v>3420.52</v>
      </c>
      <c r="U271" s="15">
        <f>DATA[[#This Row],[SUB TOTAL]]*0.18</f>
        <v>615.69359999999995</v>
      </c>
      <c r="V271" s="15">
        <f>IFERROR(ROUND(DATA[[#This Row],[SUB TOTAL]]+DATA[[#This Row],[IGV]],2),0)</f>
        <v>4036.21</v>
      </c>
      <c r="W271" s="16" t="str">
        <f>IF(DATA[[#This Row],[VALORIZACIÓN ]]="-","NO CORRESPONDE",IF(OR(A271=20558226979,A271=10470707866,A271=20111157058,A271=20100226902),"NO CORRESPONDE",IF(J271="Emitida",IF(P271&gt;0,"EMITIDA","PENDIENTE"),"NO CORRESPONDE")))</f>
        <v>EMITIDA</v>
      </c>
      <c r="X271" s="29"/>
      <c r="Y271" s="17" t="s">
        <v>118</v>
      </c>
      <c r="Z271" s="30">
        <v>45716</v>
      </c>
      <c r="AA271" s="10" t="s">
        <v>124</v>
      </c>
      <c r="AB271" s="19">
        <v>578</v>
      </c>
      <c r="AC271" s="20">
        <v>7</v>
      </c>
      <c r="AD271" s="18">
        <f>DATA[[#This Row],[FECHA DE EMISION]]+DATA[[#This Row],[CONDICION DE PAGO]]</f>
        <v>45723</v>
      </c>
      <c r="AE271" s="23">
        <f>IF(DATA[[#This Row],[MONEDA]]="USD",VLOOKUP(DATA[[#This Row],[COMBINADA]],#REF!,11,0),1)</f>
        <v>1</v>
      </c>
      <c r="AF271" s="39" t="str">
        <f>IF(DATA[[#This Row],[SERIE2]]="-","NO CORRESPONDE",IF(W271="NO CORRESPONDE","NO CORRESPONDE",IF(Z271&gt;0,"FACTURADO","PENDIENTE")))</f>
        <v>FACTURADO</v>
      </c>
      <c r="AG271" s="27">
        <f>IFERROR(VLOOKUP(DATA[[#This Row],[COMBINADA]],#REF!,6,0),0)</f>
        <v>0</v>
      </c>
      <c r="AH271" s="125">
        <f>IFERROR(VLOOKUP(DATA[[#This Row],[COMBINADA]],#REF!,9,0),0)/COUNTIFS(DATA[COMBINADA],DATA[[#This Row],[COMBINADA]])</f>
        <v>0</v>
      </c>
      <c r="AI271" s="27">
        <f>IFERROR(VLOOKUP(DATA[[#This Row],[COMBINADA]],#REF!,6,0),0)</f>
        <v>0</v>
      </c>
      <c r="AJ271" s="125">
        <f>IFERROR(VLOOKUP(DATA[[#This Row],[COMBINADA]],#REF!,9,0),0)/COUNTIFS(DATA[COMBINADA],DATA[[#This Row],[COMBINADA]])</f>
        <v>0</v>
      </c>
      <c r="AK271" s="27">
        <f>IFERROR(VLOOKUP(DATA[[#This Row],[COMBINADA]],#REF!,6,0),0)</f>
        <v>0</v>
      </c>
      <c r="AL271" s="125">
        <f>IFERROR(VLOOKUP(DATA[[#This Row],[COMBINADA]],#REF!,9,0),0)/COUNTIFS(DATA[COMBINADA],DATA[[#This Row],[COMBINADA]])</f>
        <v>0</v>
      </c>
      <c r="AM271" s="27">
        <f>IFERROR(VLOOKUP(DATA[[#This Row],[COMBINADA]],#REF!,6,0),0)</f>
        <v>0</v>
      </c>
      <c r="AN271" s="125">
        <f>IFERROR(VLOOKUP(DATA[[#This Row],[COMBINADA]],#REF!,9,0),0)/COUNTIFS(DATA[COMBINADA],DATA[[#This Row],[COMBINADA]])</f>
        <v>0</v>
      </c>
      <c r="AO271" s="27">
        <f>IFERROR(VLOOKUP(DATA[[#This Row],[COMBINADA]],#REF!,6,0),0)</f>
        <v>0</v>
      </c>
      <c r="AP271" s="125">
        <f>IFERROR(VLOOKUP(DATA[[#This Row],[COMBINADA]],#REF!,9,0),0)/COUNTIFS(DATA[COMBINADA],DATA[[#This Row],[COMBINADA]])</f>
        <v>0</v>
      </c>
      <c r="AQ27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4036.21</v>
      </c>
      <c r="AR271" s="26" t="str">
        <f>IFERROR(IF(DATA[[#This Row],[estado_fact]]="FACTURADO",VLOOKUP(DATA[[#This Row],[SERIE2]]&amp;"-"&amp;DATA[[#This Row],[NUMERO]],#REF!,34,0),"NO CORRESPONDE"),"NO CORRESPONDE")</f>
        <v>NO CORRESPONDE</v>
      </c>
      <c r="AS271" s="22" t="str">
        <f>IF(DATA[[#This Row],[fecha_fs]]&gt;0,TEXT(DATA[[#This Row],[fecha_fs]],"Mmmm"),0)</f>
        <v>Febrero</v>
      </c>
      <c r="AT271" s="22" t="str">
        <f>DATA[[#This Row],[SERIE2]]&amp;"-"&amp;DATA[[#This Row],[NUMERO]]</f>
        <v>FE01-578</v>
      </c>
      <c r="AU271" s="28">
        <f>DATA[[#This Row],[TOTAL]]*DATA[[#This Row],[T.C.]]</f>
        <v>4036.21</v>
      </c>
      <c r="AV271" s="6">
        <f>DATA[[#This Row],[FECHA DE VAL.]]</f>
        <v>45712</v>
      </c>
      <c r="AW271" s="6">
        <f>DATA[[#This Row],[FECHA DE EMISION]]</f>
        <v>45716</v>
      </c>
      <c r="AX271" s="6">
        <f>DATA[[#This Row],[F1]]</f>
        <v>0</v>
      </c>
      <c r="AY271" s="20">
        <f>IF(AV271-DATA[[#This Row],[fecha_fs]]&lt;0,0,AV271-DATA[[#This Row],[fecha_fs]])</f>
        <v>1</v>
      </c>
      <c r="AZ271" s="20">
        <f t="shared" si="28"/>
        <v>4</v>
      </c>
      <c r="BA271" s="20">
        <f t="shared" si="29"/>
        <v>0</v>
      </c>
      <c r="BB271" s="195">
        <f>IFERROR(SUM(DATA[[#This Row],[fs_val_ttf]:[fact_pago_ttf]]),0)</f>
        <v>5</v>
      </c>
      <c r="BC271" s="185">
        <v>45712</v>
      </c>
      <c r="BD271" s="185">
        <v>45735</v>
      </c>
      <c r="BE271" s="185">
        <v>45730</v>
      </c>
      <c r="BF271" s="185">
        <v>45734</v>
      </c>
      <c r="BG271" s="20">
        <f>IFERROR(IF(BC271-DATA[[#This Row],[fecha_fs]]&lt;0,0,BC271-DATA[[#This Row],[fecha_fs]]),0)</f>
        <v>1</v>
      </c>
      <c r="BH271" s="20">
        <f t="shared" si="30"/>
        <v>23</v>
      </c>
      <c r="BI271" s="20">
        <f t="shared" si="31"/>
        <v>0</v>
      </c>
      <c r="BJ271" s="20">
        <f t="shared" si="32"/>
        <v>4</v>
      </c>
      <c r="BK271" s="218">
        <f>IFERROR(SUM(DATA[[#This Row],[fs_fd_ttd]:[fend_fenf_ttd]]),0)</f>
        <v>28</v>
      </c>
      <c r="BL271" s="20" t="str">
        <f>IF(DATA[[#This Row],[fecha_fs]]&gt;0,TEXT(DATA[[#This Row],[fecha_fs]],"YYYY"),0)</f>
        <v>2025</v>
      </c>
      <c r="BM271" s="221" t="b">
        <v>0</v>
      </c>
      <c r="BN271" s="278">
        <f>COUNTIF(DATA[[#This Row],[tiempo_td]], "&lt;=15")</f>
        <v>0</v>
      </c>
      <c r="BO271" s="222"/>
    </row>
    <row r="272" spans="1:67" ht="30.6" customHeight="1" x14ac:dyDescent="0.25">
      <c r="A272" s="4">
        <v>20100226902</v>
      </c>
      <c r="B272" s="5" t="s">
        <v>24</v>
      </c>
      <c r="C272" s="52" t="s">
        <v>18</v>
      </c>
      <c r="D272" s="4" t="s">
        <v>120</v>
      </c>
      <c r="E272" s="5" t="s">
        <v>3</v>
      </c>
      <c r="F272" s="24">
        <v>45712</v>
      </c>
      <c r="G272" s="7" t="s">
        <v>113</v>
      </c>
      <c r="H272" s="25">
        <f t="shared" si="27"/>
        <v>1</v>
      </c>
      <c r="I272" s="67">
        <v>4159</v>
      </c>
      <c r="J272" s="8" t="s">
        <v>115</v>
      </c>
      <c r="K272" s="9" t="s">
        <v>121</v>
      </c>
      <c r="L272" s="10" t="s">
        <v>117</v>
      </c>
      <c r="M272" s="111">
        <v>430</v>
      </c>
      <c r="N272" s="12" t="s">
        <v>127</v>
      </c>
      <c r="O272" s="40"/>
      <c r="P272" s="41" t="s">
        <v>114</v>
      </c>
      <c r="Q272" s="42"/>
      <c r="R272" s="43"/>
      <c r="S272" s="43"/>
      <c r="T272" s="43">
        <f>DATA[[#This Row],[C. DF]]+DATA[[#This Row],[C.OPE.]]</f>
        <v>0</v>
      </c>
      <c r="U272" s="43">
        <f>DATA[[#This Row],[SUB TOTAL]]*0.18</f>
        <v>0</v>
      </c>
      <c r="V272" s="43">
        <f>IFERROR(ROUND(DATA[[#This Row],[SUB TOTAL]]+DATA[[#This Row],[IGV]],2),0)</f>
        <v>0</v>
      </c>
      <c r="W272" s="58" t="str">
        <f>IF(DATA[[#This Row],[VALORIZACIÓN ]]="-","NO CORRESPONDE",IF(OR(A272=20558226979,A272=10470707866,A272=20111157058,A272=20100226902),"NO CORRESPONDE",IF(J272="Emitida",IF(P272&gt;0,"EMITIDA","PENDIENTE"),"NO CORRESPONDE")))</f>
        <v>NO CORRESPONDE</v>
      </c>
      <c r="X272" s="45"/>
      <c r="Y272" s="58" t="s">
        <v>128</v>
      </c>
      <c r="Z272" s="46"/>
      <c r="AA272" s="47"/>
      <c r="AB272" s="48"/>
      <c r="AC272" s="49"/>
      <c r="AD272" s="50">
        <f>DATA[[#This Row],[FECHA DE EMISION]]+DATA[[#This Row],[CONDICION DE PAGO]]</f>
        <v>0</v>
      </c>
      <c r="AE272" s="23">
        <f>IF(DATA[[#This Row],[MONEDA]]="USD",VLOOKUP(DATA[[#This Row],[COMBINADA]],#REF!,11,0),1)</f>
        <v>1</v>
      </c>
      <c r="AF272" s="39" t="str">
        <f>IF(DATA[[#This Row],[SERIE2]]="-","NO CORRESPONDE",IF(W272="NO CORRESPONDE","NO CORRESPONDE",IF(Z272&gt;0,"FACTURADO","PENDIENTE")))</f>
        <v>NO CORRESPONDE</v>
      </c>
      <c r="AG272" s="60">
        <f>IFERROR(VLOOKUP(DATA[[#This Row],[COMBINADA]],#REF!,6,0),0)</f>
        <v>0</v>
      </c>
      <c r="AH272" s="126">
        <f>IFERROR(VLOOKUP(DATA[[#This Row],[COMBINADA]],#REF!,9,0),0)/COUNTIFS(DATA[COMBINADA],DATA[[#This Row],[COMBINADA]])</f>
        <v>0</v>
      </c>
      <c r="AI272" s="60">
        <f>IFERROR(VLOOKUP(DATA[[#This Row],[COMBINADA]],#REF!,6,0),0)</f>
        <v>0</v>
      </c>
      <c r="AJ272" s="126">
        <f>IFERROR(VLOOKUP(DATA[[#This Row],[COMBINADA]],#REF!,9,0),0)/COUNTIFS(DATA[COMBINADA],DATA[[#This Row],[COMBINADA]])</f>
        <v>0</v>
      </c>
      <c r="AK272" s="60">
        <f>IFERROR(VLOOKUP(DATA[[#This Row],[COMBINADA]],#REF!,6,0),0)</f>
        <v>0</v>
      </c>
      <c r="AL272" s="126">
        <f>IFERROR(VLOOKUP(DATA[[#This Row],[COMBINADA]],#REF!,9,0),0)/COUNTIFS(DATA[COMBINADA],DATA[[#This Row],[COMBINADA]])</f>
        <v>0</v>
      </c>
      <c r="AM272" s="60">
        <f>IFERROR(VLOOKUP(DATA[[#This Row],[COMBINADA]],#REF!,6,0),0)</f>
        <v>0</v>
      </c>
      <c r="AN272" s="126">
        <f>IFERROR(VLOOKUP(DATA[[#This Row],[COMBINADA]],#REF!,9,0),0)/COUNTIFS(DATA[COMBINADA],DATA[[#This Row],[COMBINADA]])</f>
        <v>0</v>
      </c>
      <c r="AO272" s="60">
        <f>IFERROR(VLOOKUP(DATA[[#This Row],[COMBINADA]],#REF!,6,0),0)</f>
        <v>0</v>
      </c>
      <c r="AP272" s="126">
        <f>IFERROR(VLOOKUP(DATA[[#This Row],[COMBINADA]],#REF!,9,0),0)/COUNTIFS(DATA[COMBINADA],DATA[[#This Row],[COMBINADA]])</f>
        <v>0</v>
      </c>
      <c r="AQ272"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272" s="22" t="str">
        <f>IFERROR(IF(DATA[[#This Row],[estado_fact]]="FACTURADO",VLOOKUP(DATA[[#This Row],[SERIE2]]&amp;"-"&amp;DATA[[#This Row],[NUMERO]],#REF!,34,0),"NO CORRESPONDE"),"NO CORRESPONDE")</f>
        <v>NO CORRESPONDE</v>
      </c>
      <c r="AS272" s="65" t="str">
        <f>IF(DATA[[#This Row],[fecha_fs]]&gt;0,TEXT(DATA[[#This Row],[fecha_fs]],"Mmmm"),0)</f>
        <v>Febrero</v>
      </c>
      <c r="AT272" s="22" t="str">
        <f>DATA[[#This Row],[SERIE2]]&amp;"-"&amp;DATA[[#This Row],[NUMERO]]</f>
        <v>-</v>
      </c>
      <c r="AU272" s="65">
        <f>DATA[[#This Row],[TOTAL]]*DATA[[#This Row],[T.C.]]</f>
        <v>0</v>
      </c>
      <c r="AV272" s="6">
        <f>DATA[[#This Row],[FECHA DE VAL.]]</f>
        <v>0</v>
      </c>
      <c r="AW272" s="6">
        <f>DATA[[#This Row],[FECHA DE EMISION]]</f>
        <v>0</v>
      </c>
      <c r="AX272" s="6">
        <f>DATA[[#This Row],[F1]]</f>
        <v>0</v>
      </c>
      <c r="AY272" s="20">
        <f>IF(AV272-DATA[[#This Row],[fecha_fs]]&lt;0,0,AV272-DATA[[#This Row],[fecha_fs]])</f>
        <v>0</v>
      </c>
      <c r="AZ272" s="20">
        <f t="shared" si="28"/>
        <v>0</v>
      </c>
      <c r="BA272" s="20">
        <f t="shared" si="29"/>
        <v>0</v>
      </c>
      <c r="BB272" s="195">
        <f>IFERROR(SUM(DATA[[#This Row],[fs_val_ttf]:[fact_pago_ttf]]),0)</f>
        <v>0</v>
      </c>
      <c r="BC272" s="185">
        <v>45712</v>
      </c>
      <c r="BD272" s="185">
        <v>45712</v>
      </c>
      <c r="BE272" s="185">
        <v>45723</v>
      </c>
      <c r="BF272" s="185">
        <v>45723</v>
      </c>
      <c r="BG272" s="20">
        <f>IFERROR(IF(BC272-DATA[[#This Row],[fecha_fs]]&lt;0,0,BC272-DATA[[#This Row],[fecha_fs]]),0)</f>
        <v>0</v>
      </c>
      <c r="BH272" s="20">
        <f t="shared" si="30"/>
        <v>0</v>
      </c>
      <c r="BI272" s="20">
        <f t="shared" si="31"/>
        <v>11</v>
      </c>
      <c r="BJ272" s="20">
        <f t="shared" si="32"/>
        <v>0</v>
      </c>
      <c r="BK272" s="218">
        <f>IFERROR(SUM(DATA[[#This Row],[fs_fd_ttd]:[fend_fenf_ttd]]),0)</f>
        <v>11</v>
      </c>
      <c r="BL272" s="20" t="str">
        <f>IF(DATA[[#This Row],[fecha_fs]]&gt;0,TEXT(DATA[[#This Row],[fecha_fs]],"YYYY"),0)</f>
        <v>2025</v>
      </c>
      <c r="BM272" s="221" t="b">
        <v>1</v>
      </c>
      <c r="BN272" s="278">
        <f>COUNTIF(DATA[[#This Row],[tiempo_td]], "&lt;=15")</f>
        <v>1</v>
      </c>
      <c r="BO272" s="222"/>
    </row>
    <row r="273" spans="1:67" ht="30.6" customHeight="1" x14ac:dyDescent="0.25">
      <c r="A273" s="4">
        <v>20100211115</v>
      </c>
      <c r="B273" s="5" t="s">
        <v>41</v>
      </c>
      <c r="C273" s="52" t="s">
        <v>18</v>
      </c>
      <c r="D273" s="4" t="s">
        <v>120</v>
      </c>
      <c r="E273" s="5" t="s">
        <v>3</v>
      </c>
      <c r="F273" s="24">
        <v>45712</v>
      </c>
      <c r="G273" s="7" t="s">
        <v>113</v>
      </c>
      <c r="H273" s="25">
        <f t="shared" si="27"/>
        <v>1</v>
      </c>
      <c r="I273" s="67">
        <v>4160</v>
      </c>
      <c r="J273" s="8" t="s">
        <v>115</v>
      </c>
      <c r="K273" s="9" t="s">
        <v>121</v>
      </c>
      <c r="L273" s="10" t="s">
        <v>117</v>
      </c>
      <c r="M273" s="11">
        <v>90</v>
      </c>
      <c r="N273" s="12" t="s">
        <v>200</v>
      </c>
      <c r="O273" s="6">
        <v>45716</v>
      </c>
      <c r="P273" s="115">
        <v>3326</v>
      </c>
      <c r="Q273" s="14" t="s">
        <v>85</v>
      </c>
      <c r="R273" s="75"/>
      <c r="S273" s="56">
        <v>393.3</v>
      </c>
      <c r="T273" s="15">
        <f>DATA[[#This Row],[C. DF]]+DATA[[#This Row],[C.OPE.]]</f>
        <v>393.3</v>
      </c>
      <c r="U273" s="15">
        <f>DATA[[#This Row],[SUB TOTAL]]*0.18</f>
        <v>70.793999999999997</v>
      </c>
      <c r="V273" s="15">
        <f>IFERROR(ROUND(DATA[[#This Row],[SUB TOTAL]]+DATA[[#This Row],[IGV]],2),0)</f>
        <v>464.09</v>
      </c>
      <c r="W273" s="16" t="str">
        <f>IF(DATA[[#This Row],[VALORIZACIÓN ]]="-","NO CORRESPONDE",IF(OR(A273=20558226979,A273=10470707866,A273=20111157058,A273=20100226902),"NO CORRESPONDE",IF(J273="Emitida",IF(P273&gt;0,"EMITIDA","PENDIENTE"),"NO CORRESPONDE")))</f>
        <v>EMITIDA</v>
      </c>
      <c r="X273" s="29"/>
      <c r="Y273" s="17" t="s">
        <v>118</v>
      </c>
      <c r="Z273" s="30">
        <v>45722</v>
      </c>
      <c r="AA273" s="10" t="s">
        <v>124</v>
      </c>
      <c r="AB273" s="19">
        <v>588</v>
      </c>
      <c r="AC273" s="20">
        <v>30</v>
      </c>
      <c r="AD273" s="18">
        <f>DATA[[#This Row],[FECHA DE EMISION]]+DATA[[#This Row],[CONDICION DE PAGO]]</f>
        <v>45752</v>
      </c>
      <c r="AE273" s="23">
        <f>IF(DATA[[#This Row],[MONEDA]]="USD",VLOOKUP(DATA[[#This Row],[COMBINADA]],#REF!,11,0),1)</f>
        <v>1</v>
      </c>
      <c r="AF273" s="39" t="str">
        <f>IF(DATA[[#This Row],[SERIE2]]="-","NO CORRESPONDE",IF(W273="NO CORRESPONDE","NO CORRESPONDE",IF(Z273&gt;0,"FACTURADO","PENDIENTE")))</f>
        <v>FACTURADO</v>
      </c>
      <c r="AG273" s="27">
        <f>IFERROR(VLOOKUP(DATA[[#This Row],[COMBINADA]],#REF!,6,0),0)</f>
        <v>0</v>
      </c>
      <c r="AH273" s="125">
        <f>IFERROR(VLOOKUP(DATA[[#This Row],[COMBINADA]],#REF!,9,0),0)/COUNTIFS(DATA[COMBINADA],DATA[[#This Row],[COMBINADA]])</f>
        <v>0</v>
      </c>
      <c r="AI273" s="27">
        <f>IFERROR(VLOOKUP(DATA[[#This Row],[COMBINADA]],#REF!,6,0),0)</f>
        <v>0</v>
      </c>
      <c r="AJ273" s="125">
        <f>IFERROR(VLOOKUP(DATA[[#This Row],[COMBINADA]],#REF!,9,0),0)/COUNTIFS(DATA[COMBINADA],DATA[[#This Row],[COMBINADA]])</f>
        <v>0</v>
      </c>
      <c r="AK273" s="27">
        <f>IFERROR(VLOOKUP(DATA[[#This Row],[COMBINADA]],#REF!,6,0),0)</f>
        <v>0</v>
      </c>
      <c r="AL273" s="125">
        <f>IFERROR(VLOOKUP(DATA[[#This Row],[COMBINADA]],#REF!,9,0),0)/COUNTIFS(DATA[COMBINADA],DATA[[#This Row],[COMBINADA]])</f>
        <v>0</v>
      </c>
      <c r="AM273" s="27">
        <f>IFERROR(VLOOKUP(DATA[[#This Row],[COMBINADA]],#REF!,6,0),0)</f>
        <v>0</v>
      </c>
      <c r="AN273" s="125">
        <f>IFERROR(VLOOKUP(DATA[[#This Row],[COMBINADA]],#REF!,9,0),0)/COUNTIFS(DATA[COMBINADA],DATA[[#This Row],[COMBINADA]])</f>
        <v>0</v>
      </c>
      <c r="AO273" s="27">
        <f>IFERROR(VLOOKUP(DATA[[#This Row],[COMBINADA]],#REF!,6,0),0)</f>
        <v>0</v>
      </c>
      <c r="AP273" s="125">
        <f>IFERROR(VLOOKUP(DATA[[#This Row],[COMBINADA]],#REF!,9,0),0)/COUNTIFS(DATA[COMBINADA],DATA[[#This Row],[COMBINADA]])</f>
        <v>0</v>
      </c>
      <c r="AQ27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273" s="26" t="str">
        <f>IFERROR(IF(DATA[[#This Row],[estado_fact]]="FACTURADO",VLOOKUP(DATA[[#This Row],[SERIE2]]&amp;"-"&amp;DATA[[#This Row],[NUMERO]],#REF!,34,0),"NO CORRESPONDE"),"NO CORRESPONDE")</f>
        <v>NO CORRESPONDE</v>
      </c>
      <c r="AS273" s="22" t="str">
        <f>IF(DATA[[#This Row],[fecha_fs]]&gt;0,TEXT(DATA[[#This Row],[fecha_fs]],"Mmmm"),0)</f>
        <v>Febrero</v>
      </c>
      <c r="AT273" s="22" t="str">
        <f>DATA[[#This Row],[SERIE2]]&amp;"-"&amp;DATA[[#This Row],[NUMERO]]</f>
        <v>FE01-588</v>
      </c>
      <c r="AU273" s="28">
        <f>DATA[[#This Row],[TOTAL]]*DATA[[#This Row],[T.C.]]</f>
        <v>464.09</v>
      </c>
      <c r="AV273" s="6">
        <f>DATA[[#This Row],[FECHA DE VAL.]]</f>
        <v>45716</v>
      </c>
      <c r="AW273" s="6">
        <f>DATA[[#This Row],[FECHA DE EMISION]]</f>
        <v>45722</v>
      </c>
      <c r="AX273" s="6">
        <f>DATA[[#This Row],[F1]]</f>
        <v>0</v>
      </c>
      <c r="AY273" s="20">
        <f>IF(AV273-DATA[[#This Row],[fecha_fs]]&lt;0,0,AV273-DATA[[#This Row],[fecha_fs]])</f>
        <v>4</v>
      </c>
      <c r="AZ273" s="20">
        <f t="shared" si="28"/>
        <v>6</v>
      </c>
      <c r="BA273" s="20">
        <f t="shared" si="29"/>
        <v>0</v>
      </c>
      <c r="BB273" s="195">
        <f>IFERROR(SUM(DATA[[#This Row],[fs_val_ttf]:[fact_pago_ttf]]),0)</f>
        <v>10</v>
      </c>
      <c r="BC273" s="185">
        <v>45729</v>
      </c>
      <c r="BD273" s="185">
        <v>45735</v>
      </c>
      <c r="BE273" s="185">
        <v>45740</v>
      </c>
      <c r="BF273" s="185">
        <v>45749</v>
      </c>
      <c r="BG273" s="20">
        <f>IFERROR(IF(BC273-DATA[[#This Row],[fecha_fs]]&lt;0,0,BC273-DATA[[#This Row],[fecha_fs]]),0)</f>
        <v>17</v>
      </c>
      <c r="BH273" s="20">
        <f t="shared" si="30"/>
        <v>6</v>
      </c>
      <c r="BI273" s="20">
        <f t="shared" si="31"/>
        <v>5</v>
      </c>
      <c r="BJ273" s="20">
        <f t="shared" si="32"/>
        <v>9</v>
      </c>
      <c r="BK273" s="218">
        <f>IFERROR(SUM(DATA[[#This Row],[fs_fd_ttd]:[fend_fenf_ttd]]),0)</f>
        <v>37</v>
      </c>
      <c r="BL273" s="20" t="str">
        <f>IF(DATA[[#This Row],[fecha_fs]]&gt;0,TEXT(DATA[[#This Row],[fecha_fs]],"YYYY"),0)</f>
        <v>2025</v>
      </c>
      <c r="BM273" s="221" t="b">
        <v>1</v>
      </c>
      <c r="BN273" s="278">
        <f>COUNTIF(DATA[[#This Row],[tiempo_td]], "&lt;=15")</f>
        <v>0</v>
      </c>
      <c r="BO273" s="222"/>
    </row>
    <row r="274" spans="1:67" ht="30.6" customHeight="1" x14ac:dyDescent="0.25">
      <c r="A274" s="4">
        <v>20419158462</v>
      </c>
      <c r="B274" s="5" t="s">
        <v>2</v>
      </c>
      <c r="C274" s="52" t="s">
        <v>210</v>
      </c>
      <c r="D274" s="4" t="s">
        <v>112</v>
      </c>
      <c r="E274" s="5" t="s">
        <v>1</v>
      </c>
      <c r="F274" s="24">
        <v>45712</v>
      </c>
      <c r="G274" s="7" t="s">
        <v>113</v>
      </c>
      <c r="H274" s="25">
        <f t="shared" si="27"/>
        <v>1</v>
      </c>
      <c r="I274" s="67">
        <v>4161</v>
      </c>
      <c r="J274" s="8" t="s">
        <v>115</v>
      </c>
      <c r="K274" s="9" t="s">
        <v>116</v>
      </c>
      <c r="L274" s="10" t="s">
        <v>117</v>
      </c>
      <c r="M274" s="11">
        <v>386</v>
      </c>
      <c r="N274" s="12" t="s">
        <v>125</v>
      </c>
      <c r="O274" s="6">
        <v>45713</v>
      </c>
      <c r="P274" s="13">
        <v>3308</v>
      </c>
      <c r="Q274" s="14" t="s">
        <v>85</v>
      </c>
      <c r="R274" s="15">
        <f>DATA[[#This Row],[cantidad_fs]]*0.97</f>
        <v>374.42</v>
      </c>
      <c r="S274" s="56">
        <v>845.2</v>
      </c>
      <c r="T274" s="15">
        <f>DATA[[#This Row],[C. DF]]+DATA[[#This Row],[C.OPE.]]</f>
        <v>1219.6200000000001</v>
      </c>
      <c r="U274" s="15">
        <f>DATA[[#This Row],[SUB TOTAL]]*0.18</f>
        <v>219.53160000000003</v>
      </c>
      <c r="V274" s="15">
        <f>IFERROR(ROUND(DATA[[#This Row],[SUB TOTAL]]+DATA[[#This Row],[IGV]],2),0)</f>
        <v>1439.15</v>
      </c>
      <c r="W274" s="16" t="str">
        <f>IF(DATA[[#This Row],[VALORIZACIÓN ]]="-","NO CORRESPONDE",IF(OR(A274=20558226979,A274=10470707866,A274=20111157058,A274=20100226902),"NO CORRESPONDE",IF(J274="Emitida",IF(P274&gt;0,"EMITIDA","PENDIENTE"),"NO CORRESPONDE")))</f>
        <v>EMITIDA</v>
      </c>
      <c r="X274" s="29"/>
      <c r="Y274" s="17" t="s">
        <v>118</v>
      </c>
      <c r="Z274" s="30">
        <v>45777</v>
      </c>
      <c r="AA274" s="10" t="s">
        <v>150</v>
      </c>
      <c r="AB274" s="19">
        <v>57</v>
      </c>
      <c r="AC274" s="20">
        <v>15</v>
      </c>
      <c r="AD274" s="18">
        <f>DATA[[#This Row],[FECHA DE EMISION]]+DATA[[#This Row],[CONDICION DE PAGO]]</f>
        <v>45792</v>
      </c>
      <c r="AE274" s="23">
        <f>IF(DATA[[#This Row],[MONEDA]]="USD",VLOOKUP(DATA[[#This Row],[COMBINADA]],#REF!,11,0),1)</f>
        <v>1</v>
      </c>
      <c r="AF274" s="39" t="str">
        <f>IF(DATA[[#This Row],[SERIE2]]="-","NO CORRESPONDE",IF(W274="NO CORRESPONDE","NO CORRESPONDE",IF(Z274&gt;0,"FACTURADO","PENDIENTE")))</f>
        <v>FACTURADO</v>
      </c>
      <c r="AG274" s="27">
        <f>IFERROR(VLOOKUP(DATA[[#This Row],[COMBINADA]],#REF!,6,0),0)</f>
        <v>0</v>
      </c>
      <c r="AH274" s="125">
        <f>IFERROR(VLOOKUP(DATA[[#This Row],[COMBINADA]],#REF!,9,0),0)/COUNTIFS(DATA[COMBINADA],DATA[[#This Row],[COMBINADA]])</f>
        <v>0</v>
      </c>
      <c r="AI274" s="27">
        <f>IFERROR(VLOOKUP(DATA[[#This Row],[COMBINADA]],#REF!,6,0),0)</f>
        <v>0</v>
      </c>
      <c r="AJ274" s="125">
        <f>IFERROR(VLOOKUP(DATA[[#This Row],[COMBINADA]],#REF!,9,0),0)/COUNTIFS(DATA[COMBINADA],DATA[[#This Row],[COMBINADA]])</f>
        <v>0</v>
      </c>
      <c r="AK274" s="27">
        <f>IFERROR(VLOOKUP(DATA[[#This Row],[COMBINADA]],#REF!,6,0),0)</f>
        <v>0</v>
      </c>
      <c r="AL274" s="125">
        <f>IFERROR(VLOOKUP(DATA[[#This Row],[COMBINADA]],#REF!,9,0),0)/COUNTIFS(DATA[COMBINADA],DATA[[#This Row],[COMBINADA]])</f>
        <v>0</v>
      </c>
      <c r="AM274" s="27">
        <f>IFERROR(VLOOKUP(DATA[[#This Row],[COMBINADA]],#REF!,6,0),0)</f>
        <v>0</v>
      </c>
      <c r="AN274" s="125">
        <f>IFERROR(VLOOKUP(DATA[[#This Row],[COMBINADA]],#REF!,9,0),0)/COUNTIFS(DATA[COMBINADA],DATA[[#This Row],[COMBINADA]])</f>
        <v>0</v>
      </c>
      <c r="AO274" s="27">
        <f>IFERROR(VLOOKUP(DATA[[#This Row],[COMBINADA]],#REF!,6,0),0)</f>
        <v>0</v>
      </c>
      <c r="AP274" s="125">
        <f>IFERROR(VLOOKUP(DATA[[#This Row],[COMBINADA]],#REF!,9,0),0)/COUNTIFS(DATA[COMBINADA],DATA[[#This Row],[COMBINADA]])</f>
        <v>0</v>
      </c>
      <c r="AQ27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1439.15</v>
      </c>
      <c r="AR274" s="26" t="str">
        <f>IFERROR(IF(DATA[[#This Row],[estado_fact]]="FACTURADO",VLOOKUP(DATA[[#This Row],[SERIE2]]&amp;"-"&amp;DATA[[#This Row],[NUMERO]],#REF!,34,0),"NO CORRESPONDE"),"NO CORRESPONDE")</f>
        <v>NO CORRESPONDE</v>
      </c>
      <c r="AS274" s="22" t="str">
        <f>IF(DATA[[#This Row],[fecha_fs]]&gt;0,TEXT(DATA[[#This Row],[fecha_fs]],"Mmmm"),0)</f>
        <v>Febrero</v>
      </c>
      <c r="AT274" s="22" t="str">
        <f>DATA[[#This Row],[SERIE2]]&amp;"-"&amp;DATA[[#This Row],[NUMERO]]</f>
        <v>FF01-57</v>
      </c>
      <c r="AU274" s="28">
        <f>DATA[[#This Row],[TOTAL]]*DATA[[#This Row],[T.C.]]</f>
        <v>1439.15</v>
      </c>
      <c r="AV274" s="6">
        <f>DATA[[#This Row],[FECHA DE VAL.]]</f>
        <v>45713</v>
      </c>
      <c r="AW274" s="6">
        <f>DATA[[#This Row],[FECHA DE EMISION]]</f>
        <v>45777</v>
      </c>
      <c r="AX274" s="6">
        <f>DATA[[#This Row],[F1]]</f>
        <v>0</v>
      </c>
      <c r="AY274" s="20">
        <f>IF(AV274-DATA[[#This Row],[fecha_fs]]&lt;0,0,AV274-DATA[[#This Row],[fecha_fs]])</f>
        <v>1</v>
      </c>
      <c r="AZ274" s="20">
        <f t="shared" si="28"/>
        <v>64</v>
      </c>
      <c r="BA274" s="20">
        <f t="shared" si="29"/>
        <v>0</v>
      </c>
      <c r="BB274" s="195">
        <f>IFERROR(SUM(DATA[[#This Row],[fs_val_ttf]:[fact_pago_ttf]]),0)</f>
        <v>65</v>
      </c>
      <c r="BC274" s="185">
        <v>45716</v>
      </c>
      <c r="BD274" s="185">
        <v>45729</v>
      </c>
      <c r="BE274" s="185">
        <v>45740</v>
      </c>
      <c r="BF274" s="185">
        <v>45754</v>
      </c>
      <c r="BG274" s="20">
        <f>IFERROR(IF(BC274-DATA[[#This Row],[fecha_fs]]&lt;0,0,BC274-DATA[[#This Row],[fecha_fs]]),0)</f>
        <v>4</v>
      </c>
      <c r="BH274" s="20">
        <f t="shared" si="30"/>
        <v>13</v>
      </c>
      <c r="BI274" s="20">
        <f t="shared" si="31"/>
        <v>11</v>
      </c>
      <c r="BJ274" s="20">
        <f t="shared" si="32"/>
        <v>14</v>
      </c>
      <c r="BK274" s="218">
        <f>IFERROR(SUM(DATA[[#This Row],[fs_fd_ttd]:[fend_fenf_ttd]]),0)</f>
        <v>42</v>
      </c>
      <c r="BL274" s="20" t="str">
        <f>IF(DATA[[#This Row],[fecha_fs]]&gt;0,TEXT(DATA[[#This Row],[fecha_fs]],"YYYY"),0)</f>
        <v>2025</v>
      </c>
      <c r="BM274" s="221" t="b">
        <v>1</v>
      </c>
      <c r="BN274" s="278">
        <f>COUNTIF(DATA[[#This Row],[tiempo_td]], "&lt;=15")</f>
        <v>0</v>
      </c>
      <c r="BO274" s="222"/>
    </row>
    <row r="275" spans="1:67" ht="30.6" customHeight="1" x14ac:dyDescent="0.25">
      <c r="A275" s="4">
        <v>20419158462</v>
      </c>
      <c r="B275" s="5" t="s">
        <v>2</v>
      </c>
      <c r="C275" s="52" t="s">
        <v>210</v>
      </c>
      <c r="D275" s="4" t="s">
        <v>120</v>
      </c>
      <c r="E275" s="5" t="s">
        <v>3</v>
      </c>
      <c r="F275" s="24">
        <v>45712</v>
      </c>
      <c r="G275" s="7" t="s">
        <v>113</v>
      </c>
      <c r="H275" s="25">
        <f t="shared" si="27"/>
        <v>1</v>
      </c>
      <c r="I275" s="67">
        <v>4162</v>
      </c>
      <c r="J275" s="8" t="s">
        <v>115</v>
      </c>
      <c r="K275" s="9" t="s">
        <v>121</v>
      </c>
      <c r="L275" s="10" t="s">
        <v>117</v>
      </c>
      <c r="M275" s="11">
        <v>694</v>
      </c>
      <c r="N275" s="12" t="s">
        <v>125</v>
      </c>
      <c r="O275" s="6">
        <v>45713</v>
      </c>
      <c r="P275" s="13">
        <v>3307</v>
      </c>
      <c r="Q275" s="14" t="s">
        <v>85</v>
      </c>
      <c r="R275" s="15">
        <f>DATA[[#This Row],[cantidad_fs]]*0.67</f>
        <v>464.98</v>
      </c>
      <c r="S275" s="56">
        <v>839.7</v>
      </c>
      <c r="T275" s="15">
        <f>DATA[[#This Row],[C. DF]]+DATA[[#This Row],[C.OPE.]]</f>
        <v>1304.68</v>
      </c>
      <c r="U275" s="15">
        <f>DATA[[#This Row],[SUB TOTAL]]*0.18</f>
        <v>234.8424</v>
      </c>
      <c r="V275" s="15">
        <f>IFERROR(ROUND(DATA[[#This Row],[SUB TOTAL]]+DATA[[#This Row],[IGV]],2),0)</f>
        <v>1539.52</v>
      </c>
      <c r="W275" s="16" t="str">
        <f>IF(DATA[[#This Row],[VALORIZACIÓN ]]="-","NO CORRESPONDE",IF(OR(A275=20558226979,A275=10470707866,A275=20111157058,A275=20100226902),"NO CORRESPONDE",IF(J275="Emitida",IF(P275&gt;0,"EMITIDA","PENDIENTE"),"NO CORRESPONDE")))</f>
        <v>EMITIDA</v>
      </c>
      <c r="X275" s="29"/>
      <c r="Y275" s="17" t="s">
        <v>118</v>
      </c>
      <c r="Z275" s="30">
        <v>45777</v>
      </c>
      <c r="AA275" s="10" t="s">
        <v>150</v>
      </c>
      <c r="AB275" s="19">
        <v>58</v>
      </c>
      <c r="AC275" s="20">
        <v>15</v>
      </c>
      <c r="AD275" s="18">
        <f>DATA[[#This Row],[FECHA DE EMISION]]+DATA[[#This Row],[CONDICION DE PAGO]]</f>
        <v>45792</v>
      </c>
      <c r="AE275" s="23">
        <f>IF(DATA[[#This Row],[MONEDA]]="USD",VLOOKUP(DATA[[#This Row],[COMBINADA]],#REF!,11,0),1)</f>
        <v>1</v>
      </c>
      <c r="AF275" s="39" t="str">
        <f>IF(DATA[[#This Row],[SERIE2]]="-","NO CORRESPONDE",IF(W275="NO CORRESPONDE","NO CORRESPONDE",IF(Z275&gt;0,"FACTURADO","PENDIENTE")))</f>
        <v>FACTURADO</v>
      </c>
      <c r="AG275" s="27">
        <f>IFERROR(VLOOKUP(DATA[[#This Row],[COMBINADA]],#REF!,6,0),0)</f>
        <v>0</v>
      </c>
      <c r="AH275" s="125">
        <f>IFERROR(VLOOKUP(DATA[[#This Row],[COMBINADA]],#REF!,9,0),0)/COUNTIFS(DATA[COMBINADA],DATA[[#This Row],[COMBINADA]])</f>
        <v>0</v>
      </c>
      <c r="AI275" s="27">
        <f>IFERROR(VLOOKUP(DATA[[#This Row],[COMBINADA]],#REF!,6,0),0)</f>
        <v>0</v>
      </c>
      <c r="AJ275" s="125">
        <f>IFERROR(VLOOKUP(DATA[[#This Row],[COMBINADA]],#REF!,9,0),0)/COUNTIFS(DATA[COMBINADA],DATA[[#This Row],[COMBINADA]])</f>
        <v>0</v>
      </c>
      <c r="AK275" s="27">
        <f>IFERROR(VLOOKUP(DATA[[#This Row],[COMBINADA]],#REF!,6,0),0)</f>
        <v>0</v>
      </c>
      <c r="AL275" s="125">
        <f>IFERROR(VLOOKUP(DATA[[#This Row],[COMBINADA]],#REF!,9,0),0)/COUNTIFS(DATA[COMBINADA],DATA[[#This Row],[COMBINADA]])</f>
        <v>0</v>
      </c>
      <c r="AM275" s="27">
        <f>IFERROR(VLOOKUP(DATA[[#This Row],[COMBINADA]],#REF!,6,0),0)</f>
        <v>0</v>
      </c>
      <c r="AN275" s="125">
        <f>IFERROR(VLOOKUP(DATA[[#This Row],[COMBINADA]],#REF!,9,0),0)/COUNTIFS(DATA[COMBINADA],DATA[[#This Row],[COMBINADA]])</f>
        <v>0</v>
      </c>
      <c r="AO275" s="27">
        <f>IFERROR(VLOOKUP(DATA[[#This Row],[COMBINADA]],#REF!,6,0),0)</f>
        <v>0</v>
      </c>
      <c r="AP275" s="125">
        <f>IFERROR(VLOOKUP(DATA[[#This Row],[COMBINADA]],#REF!,9,0),0)/COUNTIFS(DATA[COMBINADA],DATA[[#This Row],[COMBINADA]])</f>
        <v>0</v>
      </c>
      <c r="AQ27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1539.52</v>
      </c>
      <c r="AR275" s="26" t="str">
        <f>IFERROR(IF(DATA[[#This Row],[estado_fact]]="FACTURADO",VLOOKUP(DATA[[#This Row],[SERIE2]]&amp;"-"&amp;DATA[[#This Row],[NUMERO]],#REF!,34,0),"NO CORRESPONDE"),"NO CORRESPONDE")</f>
        <v>NO CORRESPONDE</v>
      </c>
      <c r="AS275" s="22" t="str">
        <f>IF(DATA[[#This Row],[fecha_fs]]&gt;0,TEXT(DATA[[#This Row],[fecha_fs]],"Mmmm"),0)</f>
        <v>Febrero</v>
      </c>
      <c r="AT275" s="22" t="str">
        <f>DATA[[#This Row],[SERIE2]]&amp;"-"&amp;DATA[[#This Row],[NUMERO]]</f>
        <v>FF01-58</v>
      </c>
      <c r="AU275" s="28">
        <f>DATA[[#This Row],[TOTAL]]*DATA[[#This Row],[T.C.]]</f>
        <v>1539.52</v>
      </c>
      <c r="AV275" s="6">
        <f>DATA[[#This Row],[FECHA DE VAL.]]</f>
        <v>45713</v>
      </c>
      <c r="AW275" s="6">
        <f>DATA[[#This Row],[FECHA DE EMISION]]</f>
        <v>45777</v>
      </c>
      <c r="AX275" s="6">
        <f>DATA[[#This Row],[F1]]</f>
        <v>0</v>
      </c>
      <c r="AY275" s="20">
        <f>IF(AV275-DATA[[#This Row],[fecha_fs]]&lt;0,0,AV275-DATA[[#This Row],[fecha_fs]])</f>
        <v>1</v>
      </c>
      <c r="AZ275" s="20">
        <f t="shared" si="28"/>
        <v>64</v>
      </c>
      <c r="BA275" s="20">
        <f t="shared" si="29"/>
        <v>0</v>
      </c>
      <c r="BB275" s="195">
        <f>IFERROR(SUM(DATA[[#This Row],[fs_val_ttf]:[fact_pago_ttf]]),0)</f>
        <v>65</v>
      </c>
      <c r="BC275" s="185">
        <v>45728</v>
      </c>
      <c r="BD275" s="185">
        <v>45730</v>
      </c>
      <c r="BE275" s="185">
        <v>45740</v>
      </c>
      <c r="BF275" s="185">
        <v>45754</v>
      </c>
      <c r="BG275" s="20">
        <f>IFERROR(IF(BC275-DATA[[#This Row],[fecha_fs]]&lt;0,0,BC275-DATA[[#This Row],[fecha_fs]]),0)</f>
        <v>16</v>
      </c>
      <c r="BH275" s="20">
        <f t="shared" si="30"/>
        <v>2</v>
      </c>
      <c r="BI275" s="20">
        <f t="shared" si="31"/>
        <v>10</v>
      </c>
      <c r="BJ275" s="20">
        <f t="shared" si="32"/>
        <v>14</v>
      </c>
      <c r="BK275" s="218">
        <f>IFERROR(SUM(DATA[[#This Row],[fs_fd_ttd]:[fend_fenf_ttd]]),0)</f>
        <v>42</v>
      </c>
      <c r="BL275" s="20" t="str">
        <f>IF(DATA[[#This Row],[fecha_fs]]&gt;0,TEXT(DATA[[#This Row],[fecha_fs]],"YYYY"),0)</f>
        <v>2025</v>
      </c>
      <c r="BM275" s="221" t="b">
        <v>1</v>
      </c>
      <c r="BN275" s="278">
        <f>COUNTIF(DATA[[#This Row],[tiempo_td]], "&lt;=15")</f>
        <v>0</v>
      </c>
      <c r="BO275" s="222"/>
    </row>
    <row r="276" spans="1:67" ht="30.6" customHeight="1" x14ac:dyDescent="0.25">
      <c r="A276" s="4">
        <v>20454186002</v>
      </c>
      <c r="B276" s="5" t="s">
        <v>25</v>
      </c>
      <c r="C276" s="52" t="s">
        <v>18</v>
      </c>
      <c r="D276" s="4" t="s">
        <v>290</v>
      </c>
      <c r="E276" s="5" t="s">
        <v>294</v>
      </c>
      <c r="F276" s="24">
        <v>45712</v>
      </c>
      <c r="G276" s="7" t="s">
        <v>113</v>
      </c>
      <c r="H276" s="25">
        <f t="shared" si="27"/>
        <v>1</v>
      </c>
      <c r="I276" s="67">
        <v>4163</v>
      </c>
      <c r="J276" s="8" t="s">
        <v>115</v>
      </c>
      <c r="K276" s="9" t="s">
        <v>195</v>
      </c>
      <c r="L276" s="10" t="s">
        <v>117</v>
      </c>
      <c r="M276" s="11">
        <v>11110</v>
      </c>
      <c r="N276" s="12" t="s">
        <v>211</v>
      </c>
      <c r="O276" s="6">
        <v>45713</v>
      </c>
      <c r="P276" s="13">
        <v>3306</v>
      </c>
      <c r="Q276" s="14" t="s">
        <v>85</v>
      </c>
      <c r="R276" s="15">
        <f>DATA[[#This Row],[cantidad_fs]]*0.08</f>
        <v>888.80000000000007</v>
      </c>
      <c r="S276" s="56">
        <v>1900</v>
      </c>
      <c r="T276" s="15">
        <f>DATA[[#This Row],[C. DF]]+DATA[[#This Row],[C.OPE.]]</f>
        <v>2788.8</v>
      </c>
      <c r="U276" s="15">
        <f>DATA[[#This Row],[SUB TOTAL]]*0.18</f>
        <v>501.98400000000004</v>
      </c>
      <c r="V276" s="15">
        <f>IFERROR(ROUND(DATA[[#This Row],[SUB TOTAL]]+DATA[[#This Row],[IGV]],2),0)</f>
        <v>3290.78</v>
      </c>
      <c r="W276" s="16" t="str">
        <f>IF(DATA[[#This Row],[VALORIZACIÓN ]]="-","NO CORRESPONDE",IF(OR(A276=20558226979,A276=10470707866,A276=20111157058,A276=20100226902),"NO CORRESPONDE",IF(J276="Emitida",IF(P276&gt;0,"EMITIDA","PENDIENTE"),"NO CORRESPONDE")))</f>
        <v>EMITIDA</v>
      </c>
      <c r="X276" s="29"/>
      <c r="Y276" s="17" t="s">
        <v>118</v>
      </c>
      <c r="Z276" s="30">
        <v>45716</v>
      </c>
      <c r="AA276" s="10" t="s">
        <v>124</v>
      </c>
      <c r="AB276" s="19">
        <v>581</v>
      </c>
      <c r="AC276" s="20">
        <v>7</v>
      </c>
      <c r="AD276" s="18">
        <f>DATA[[#This Row],[FECHA DE EMISION]]+DATA[[#This Row],[CONDICION DE PAGO]]</f>
        <v>45723</v>
      </c>
      <c r="AE276" s="23">
        <f>IF(DATA[[#This Row],[MONEDA]]="USD",VLOOKUP(DATA[[#This Row],[COMBINADA]],#REF!,11,0),1)</f>
        <v>1</v>
      </c>
      <c r="AF276" s="39" t="str">
        <f>IF(DATA[[#This Row],[SERIE2]]="-","NO CORRESPONDE",IF(W276="NO CORRESPONDE","NO CORRESPONDE",IF(Z276&gt;0,"FACTURADO","PENDIENTE")))</f>
        <v>FACTURADO</v>
      </c>
      <c r="AG276" s="27">
        <f>IFERROR(VLOOKUP(DATA[[#This Row],[COMBINADA]],#REF!,6,0),0)</f>
        <v>0</v>
      </c>
      <c r="AH276" s="125">
        <f>IFERROR(VLOOKUP(DATA[[#This Row],[COMBINADA]],#REF!,9,0),0)/COUNTIFS(DATA[COMBINADA],DATA[[#This Row],[COMBINADA]])</f>
        <v>0</v>
      </c>
      <c r="AI276" s="27">
        <f>IFERROR(VLOOKUP(DATA[[#This Row],[COMBINADA]],#REF!,6,0),0)</f>
        <v>0</v>
      </c>
      <c r="AJ276" s="125">
        <f>IFERROR(VLOOKUP(DATA[[#This Row],[COMBINADA]],#REF!,9,0),0)/COUNTIFS(DATA[COMBINADA],DATA[[#This Row],[COMBINADA]])</f>
        <v>0</v>
      </c>
      <c r="AK276" s="27">
        <f>IFERROR(VLOOKUP(DATA[[#This Row],[COMBINADA]],#REF!,6,0),0)</f>
        <v>0</v>
      </c>
      <c r="AL276" s="125">
        <f>IFERROR(VLOOKUP(DATA[[#This Row],[COMBINADA]],#REF!,9,0),0)/COUNTIFS(DATA[COMBINADA],DATA[[#This Row],[COMBINADA]])</f>
        <v>0</v>
      </c>
      <c r="AM276" s="27">
        <f>IFERROR(VLOOKUP(DATA[[#This Row],[COMBINADA]],#REF!,6,0),0)</f>
        <v>0</v>
      </c>
      <c r="AN276" s="125">
        <f>IFERROR(VLOOKUP(DATA[[#This Row],[COMBINADA]],#REF!,9,0),0)/COUNTIFS(DATA[COMBINADA],DATA[[#This Row],[COMBINADA]])</f>
        <v>0</v>
      </c>
      <c r="AO276" s="27">
        <f>IFERROR(VLOOKUP(DATA[[#This Row],[COMBINADA]],#REF!,6,0),0)</f>
        <v>0</v>
      </c>
      <c r="AP276" s="125">
        <f>IFERROR(VLOOKUP(DATA[[#This Row],[COMBINADA]],#REF!,9,0),0)/COUNTIFS(DATA[COMBINADA],DATA[[#This Row],[COMBINADA]])</f>
        <v>0</v>
      </c>
      <c r="AQ27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3290.78</v>
      </c>
      <c r="AR276" s="26" t="str">
        <f>IFERROR(IF(DATA[[#This Row],[estado_fact]]="FACTURADO",VLOOKUP(DATA[[#This Row],[SERIE2]]&amp;"-"&amp;DATA[[#This Row],[NUMERO]],#REF!,34,0),"NO CORRESPONDE"),"NO CORRESPONDE")</f>
        <v>NO CORRESPONDE</v>
      </c>
      <c r="AS276" s="22" t="str">
        <f>IF(DATA[[#This Row],[fecha_fs]]&gt;0,TEXT(DATA[[#This Row],[fecha_fs]],"Mmmm"),0)</f>
        <v>Febrero</v>
      </c>
      <c r="AT276" s="22" t="str">
        <f>DATA[[#This Row],[SERIE2]]&amp;"-"&amp;DATA[[#This Row],[NUMERO]]</f>
        <v>FE01-581</v>
      </c>
      <c r="AU276" s="28">
        <f>DATA[[#This Row],[TOTAL]]*DATA[[#This Row],[T.C.]]</f>
        <v>3290.78</v>
      </c>
      <c r="AV276" s="6">
        <f>DATA[[#This Row],[FECHA DE VAL.]]</f>
        <v>45713</v>
      </c>
      <c r="AW276" s="6">
        <f>DATA[[#This Row],[FECHA DE EMISION]]</f>
        <v>45716</v>
      </c>
      <c r="AX276" s="6">
        <f>DATA[[#This Row],[F1]]</f>
        <v>0</v>
      </c>
      <c r="AY276" s="20">
        <f>IF(AV276-DATA[[#This Row],[fecha_fs]]&lt;0,0,AV276-DATA[[#This Row],[fecha_fs]])</f>
        <v>1</v>
      </c>
      <c r="AZ276" s="20">
        <f t="shared" si="28"/>
        <v>3</v>
      </c>
      <c r="BA276" s="20">
        <f t="shared" si="29"/>
        <v>0</v>
      </c>
      <c r="BB276" s="195">
        <f>IFERROR(SUM(DATA[[#This Row],[fs_val_ttf]:[fact_pago_ttf]]),0)</f>
        <v>4</v>
      </c>
      <c r="BC276" s="185">
        <v>45712</v>
      </c>
      <c r="BD276" s="185">
        <v>45726</v>
      </c>
      <c r="BE276" s="185">
        <v>45730</v>
      </c>
      <c r="BF276" s="185">
        <v>45734</v>
      </c>
      <c r="BG276" s="20">
        <f>IFERROR(IF(BC276-DATA[[#This Row],[fecha_fs]]&lt;0,0,BC276-DATA[[#This Row],[fecha_fs]]),0)</f>
        <v>0</v>
      </c>
      <c r="BH276" s="20">
        <f t="shared" si="30"/>
        <v>14</v>
      </c>
      <c r="BI276" s="20">
        <f t="shared" si="31"/>
        <v>4</v>
      </c>
      <c r="BJ276" s="20">
        <f t="shared" si="32"/>
        <v>4</v>
      </c>
      <c r="BK276" s="218">
        <f>IFERROR(SUM(DATA[[#This Row],[fs_fd_ttd]:[fend_fenf_ttd]]),0)</f>
        <v>22</v>
      </c>
      <c r="BL276" s="20" t="str">
        <f>IF(DATA[[#This Row],[fecha_fs]]&gt;0,TEXT(DATA[[#This Row],[fecha_fs]],"YYYY"),0)</f>
        <v>2025</v>
      </c>
      <c r="BM276" s="221" t="b">
        <v>0</v>
      </c>
      <c r="BN276" s="278">
        <f>COUNTIF(DATA[[#This Row],[tiempo_td]], "&lt;=15")</f>
        <v>0</v>
      </c>
      <c r="BO276" s="222"/>
    </row>
    <row r="277" spans="1:67" ht="30.6" customHeight="1" x14ac:dyDescent="0.25">
      <c r="A277" s="4">
        <v>20100055237</v>
      </c>
      <c r="B277" s="5" t="s">
        <v>21</v>
      </c>
      <c r="C277" s="52" t="s">
        <v>138</v>
      </c>
      <c r="D277" s="4" t="s">
        <v>139</v>
      </c>
      <c r="E277" s="5" t="s">
        <v>23</v>
      </c>
      <c r="F277" s="24">
        <v>45713</v>
      </c>
      <c r="G277" s="7" t="s">
        <v>113</v>
      </c>
      <c r="H277" s="25">
        <f t="shared" si="27"/>
        <v>1</v>
      </c>
      <c r="I277" s="67">
        <v>4164</v>
      </c>
      <c r="J277" s="8" t="s">
        <v>115</v>
      </c>
      <c r="K277" s="9" t="s">
        <v>121</v>
      </c>
      <c r="L277" s="10" t="s">
        <v>117</v>
      </c>
      <c r="M277" s="11">
        <v>210</v>
      </c>
      <c r="N277" s="12" t="s">
        <v>186</v>
      </c>
      <c r="O277" s="6">
        <v>45716</v>
      </c>
      <c r="P277" s="54">
        <v>3330</v>
      </c>
      <c r="Q277" s="14" t="s">
        <v>85</v>
      </c>
      <c r="R277" s="75"/>
      <c r="S277" s="56">
        <v>297.92</v>
      </c>
      <c r="T277" s="15">
        <f>DATA[[#This Row],[C. DF]]+DATA[[#This Row],[C.OPE.]]</f>
        <v>297.92</v>
      </c>
      <c r="U277" s="15">
        <f>DATA[[#This Row],[SUB TOTAL]]*0.18</f>
        <v>53.625599999999999</v>
      </c>
      <c r="V277" s="15">
        <f>IFERROR(ROUND(DATA[[#This Row],[SUB TOTAL]]+DATA[[#This Row],[IGV]],2),0)</f>
        <v>351.55</v>
      </c>
      <c r="W277" s="16" t="str">
        <f>IF(DATA[[#This Row],[VALORIZACIÓN ]]="-","NO CORRESPONDE",IF(OR(A277=20558226979,A277=10470707866,A277=20111157058,A277=20100226902),"NO CORRESPONDE",IF(J277="Emitida",IF(P277&gt;0,"EMITIDA","PENDIENTE"),"NO CORRESPONDE")))</f>
        <v>EMITIDA</v>
      </c>
      <c r="X277" s="29"/>
      <c r="Y277" s="17" t="s">
        <v>118</v>
      </c>
      <c r="Z277" s="30">
        <v>45722</v>
      </c>
      <c r="AA277" s="10" t="s">
        <v>124</v>
      </c>
      <c r="AB277" s="19">
        <v>591</v>
      </c>
      <c r="AC277" s="20">
        <v>30</v>
      </c>
      <c r="AD277" s="18">
        <f>DATA[[#This Row],[FECHA DE EMISION]]+DATA[[#This Row],[CONDICION DE PAGO]]</f>
        <v>45752</v>
      </c>
      <c r="AE277" s="23">
        <f>IF(DATA[[#This Row],[MONEDA]]="USD",VLOOKUP(DATA[[#This Row],[COMBINADA]],#REF!,11,0),1)</f>
        <v>1</v>
      </c>
      <c r="AF277" s="39" t="str">
        <f>IF(DATA[[#This Row],[SERIE2]]="-","NO CORRESPONDE",IF(W277="NO CORRESPONDE","NO CORRESPONDE",IF(Z277&gt;0,"FACTURADO","PENDIENTE")))</f>
        <v>FACTURADO</v>
      </c>
      <c r="AG277" s="27">
        <f>IFERROR(VLOOKUP(DATA[[#This Row],[COMBINADA]],#REF!,6,0),0)</f>
        <v>0</v>
      </c>
      <c r="AH277" s="125">
        <f>IFERROR(VLOOKUP(DATA[[#This Row],[COMBINADA]],#REF!,9,0),0)/COUNTIFS(DATA[COMBINADA],DATA[[#This Row],[COMBINADA]])</f>
        <v>0</v>
      </c>
      <c r="AI277" s="27">
        <f>IFERROR(VLOOKUP(DATA[[#This Row],[COMBINADA]],#REF!,6,0),0)</f>
        <v>0</v>
      </c>
      <c r="AJ277" s="125">
        <f>IFERROR(VLOOKUP(DATA[[#This Row],[COMBINADA]],#REF!,9,0),0)/COUNTIFS(DATA[COMBINADA],DATA[[#This Row],[COMBINADA]])</f>
        <v>0</v>
      </c>
      <c r="AK277" s="27">
        <f>IFERROR(VLOOKUP(DATA[[#This Row],[COMBINADA]],#REF!,6,0),0)</f>
        <v>0</v>
      </c>
      <c r="AL277" s="125">
        <f>IFERROR(VLOOKUP(DATA[[#This Row],[COMBINADA]],#REF!,9,0),0)/COUNTIFS(DATA[COMBINADA],DATA[[#This Row],[COMBINADA]])</f>
        <v>0</v>
      </c>
      <c r="AM277" s="27">
        <f>IFERROR(VLOOKUP(DATA[[#This Row],[COMBINADA]],#REF!,6,0),0)</f>
        <v>0</v>
      </c>
      <c r="AN277" s="125">
        <f>IFERROR(VLOOKUP(DATA[[#This Row],[COMBINADA]],#REF!,9,0),0)/COUNTIFS(DATA[COMBINADA],DATA[[#This Row],[COMBINADA]])</f>
        <v>0</v>
      </c>
      <c r="AO277" s="27">
        <f>IFERROR(VLOOKUP(DATA[[#This Row],[COMBINADA]],#REF!,6,0),0)</f>
        <v>0</v>
      </c>
      <c r="AP277" s="125">
        <f>IFERROR(VLOOKUP(DATA[[#This Row],[COMBINADA]],#REF!,9,0),0)/COUNTIFS(DATA[COMBINADA],DATA[[#This Row],[COMBINADA]])</f>
        <v>0</v>
      </c>
      <c r="AQ27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277" s="26" t="str">
        <f>IFERROR(IF(DATA[[#This Row],[estado_fact]]="FACTURADO",VLOOKUP(DATA[[#This Row],[SERIE2]]&amp;"-"&amp;DATA[[#This Row],[NUMERO]],#REF!,34,0),"NO CORRESPONDE"),"NO CORRESPONDE")</f>
        <v>NO CORRESPONDE</v>
      </c>
      <c r="AS277" s="22" t="str">
        <f>IF(DATA[[#This Row],[fecha_fs]]&gt;0,TEXT(DATA[[#This Row],[fecha_fs]],"Mmmm"),0)</f>
        <v>Febrero</v>
      </c>
      <c r="AT277" s="22" t="str">
        <f>DATA[[#This Row],[SERIE2]]&amp;"-"&amp;DATA[[#This Row],[NUMERO]]</f>
        <v>FE01-591</v>
      </c>
      <c r="AU277" s="28">
        <f>DATA[[#This Row],[TOTAL]]*DATA[[#This Row],[T.C.]]</f>
        <v>351.55</v>
      </c>
      <c r="AV277" s="6">
        <f>DATA[[#This Row],[FECHA DE VAL.]]</f>
        <v>45716</v>
      </c>
      <c r="AW277" s="6">
        <f>DATA[[#This Row],[FECHA DE EMISION]]</f>
        <v>45722</v>
      </c>
      <c r="AX277" s="6">
        <f>DATA[[#This Row],[F1]]</f>
        <v>0</v>
      </c>
      <c r="AY277" s="20">
        <f>IF(AV277-DATA[[#This Row],[fecha_fs]]&lt;0,0,AV277-DATA[[#This Row],[fecha_fs]])</f>
        <v>3</v>
      </c>
      <c r="AZ277" s="20">
        <f t="shared" si="28"/>
        <v>6</v>
      </c>
      <c r="BA277" s="20">
        <f t="shared" si="29"/>
        <v>0</v>
      </c>
      <c r="BB277" s="195">
        <f>IFERROR(SUM(DATA[[#This Row],[fs_val_ttf]:[fact_pago_ttf]]),0)</f>
        <v>9</v>
      </c>
      <c r="BC277" s="185">
        <v>45713</v>
      </c>
      <c r="BD277" s="185">
        <v>45713</v>
      </c>
      <c r="BE277" s="185">
        <v>45719</v>
      </c>
      <c r="BF277" s="185">
        <v>45719</v>
      </c>
      <c r="BG277" s="20">
        <f>IFERROR(IF(BC277-DATA[[#This Row],[fecha_fs]]&lt;0,0,BC277-DATA[[#This Row],[fecha_fs]]),0)</f>
        <v>0</v>
      </c>
      <c r="BH277" s="20">
        <f t="shared" si="30"/>
        <v>0</v>
      </c>
      <c r="BI277" s="20">
        <f t="shared" si="31"/>
        <v>6</v>
      </c>
      <c r="BJ277" s="20">
        <f t="shared" si="32"/>
        <v>0</v>
      </c>
      <c r="BK277" s="218">
        <f>IFERROR(SUM(DATA[[#This Row],[fs_fd_ttd]:[fend_fenf_ttd]]),0)</f>
        <v>6</v>
      </c>
      <c r="BL277" s="20" t="str">
        <f>IF(DATA[[#This Row],[fecha_fs]]&gt;0,TEXT(DATA[[#This Row],[fecha_fs]],"YYYY"),0)</f>
        <v>2025</v>
      </c>
      <c r="BM277" s="221" t="b">
        <v>1</v>
      </c>
      <c r="BN277" s="278">
        <f>COUNTIF(DATA[[#This Row],[tiempo_td]], "&lt;=15")</f>
        <v>1</v>
      </c>
      <c r="BO277" s="222"/>
    </row>
    <row r="278" spans="1:67" ht="30.6" customHeight="1" x14ac:dyDescent="0.25">
      <c r="A278" s="4">
        <v>20553956324</v>
      </c>
      <c r="B278" s="5" t="s">
        <v>281</v>
      </c>
      <c r="C278" s="52" t="s">
        <v>175</v>
      </c>
      <c r="D278" s="4" t="s">
        <v>120</v>
      </c>
      <c r="E278" s="5" t="s">
        <v>3</v>
      </c>
      <c r="F278" s="24">
        <v>45713</v>
      </c>
      <c r="G278" s="7" t="s">
        <v>113</v>
      </c>
      <c r="H278" s="25">
        <f t="shared" si="27"/>
        <v>1</v>
      </c>
      <c r="I278" s="67">
        <v>4165</v>
      </c>
      <c r="J278" s="8" t="s">
        <v>115</v>
      </c>
      <c r="K278" s="9" t="s">
        <v>121</v>
      </c>
      <c r="L278" s="10" t="s">
        <v>117</v>
      </c>
      <c r="M278" s="11">
        <v>60</v>
      </c>
      <c r="N278" s="12" t="s">
        <v>186</v>
      </c>
      <c r="O278" s="6">
        <v>45716</v>
      </c>
      <c r="P278" s="109">
        <v>3328</v>
      </c>
      <c r="Q278" s="14" t="s">
        <v>85</v>
      </c>
      <c r="R278" s="15">
        <f>80/8</f>
        <v>10</v>
      </c>
      <c r="S278" s="56">
        <f>3160.8/11</f>
        <v>287.34545454545457</v>
      </c>
      <c r="T278" s="15">
        <f>DATA[[#This Row],[C. DF]]+DATA[[#This Row],[C.OPE.]]</f>
        <v>297.34545454545457</v>
      </c>
      <c r="U278" s="15">
        <f>DATA[[#This Row],[SUB TOTAL]]*0.18</f>
        <v>53.522181818181821</v>
      </c>
      <c r="V278" s="15">
        <f>IFERROR(ROUND(DATA[[#This Row],[SUB TOTAL]]+DATA[[#This Row],[IGV]],2),0)</f>
        <v>350.87</v>
      </c>
      <c r="W278" s="16" t="str">
        <f>IF(DATA[[#This Row],[VALORIZACIÓN ]]="-","NO CORRESPONDE",IF(OR(A278=20558226979,A278=10470707866,A278=20111157058,A278=20100226902),"NO CORRESPONDE",IF(J278="Emitida",IF(P278&gt;0,"EMITIDA","PENDIENTE"),"NO CORRESPONDE")))</f>
        <v>EMITIDA</v>
      </c>
      <c r="X278" s="29"/>
      <c r="Y278" s="17" t="s">
        <v>118</v>
      </c>
      <c r="Z278" s="30">
        <v>45730</v>
      </c>
      <c r="AA278" s="20" t="s">
        <v>119</v>
      </c>
      <c r="AB278" s="19">
        <v>24</v>
      </c>
      <c r="AC278" s="20">
        <v>0</v>
      </c>
      <c r="AD278" s="18">
        <f>DATA[[#This Row],[FECHA DE EMISION]]+DATA[[#This Row],[CONDICION DE PAGO]]</f>
        <v>45730</v>
      </c>
      <c r="AE278" s="23">
        <f>IF(DATA[[#This Row],[MONEDA]]="USD",VLOOKUP(DATA[[#This Row],[COMBINADA]],#REF!,11,0),1)</f>
        <v>1</v>
      </c>
      <c r="AF278" s="39" t="str">
        <f>IF(DATA[[#This Row],[SERIE2]]="-","NO CORRESPONDE",IF(W278="NO CORRESPONDE","NO CORRESPONDE",IF(Z278&gt;0,"FACTURADO","PENDIENTE")))</f>
        <v>FACTURADO</v>
      </c>
      <c r="AG278" s="27">
        <f>IFERROR(VLOOKUP(DATA[[#This Row],[COMBINADA]],#REF!,6,0),0)</f>
        <v>0</v>
      </c>
      <c r="AH278" s="125">
        <f>IFERROR(VLOOKUP(DATA[[#This Row],[COMBINADA]],#REF!,9,0),0)/COUNTIFS(DATA[COMBINADA],DATA[[#This Row],[COMBINADA]])</f>
        <v>0</v>
      </c>
      <c r="AI278" s="27">
        <f>IFERROR(VLOOKUP(DATA[[#This Row],[COMBINADA]],#REF!,6,0),0)</f>
        <v>0</v>
      </c>
      <c r="AJ278" s="125">
        <f>IFERROR(VLOOKUP(DATA[[#This Row],[COMBINADA]],#REF!,9,0),0)/COUNTIFS(DATA[COMBINADA],DATA[[#This Row],[COMBINADA]])</f>
        <v>0</v>
      </c>
      <c r="AK278" s="27">
        <f>IFERROR(VLOOKUP(DATA[[#This Row],[COMBINADA]],#REF!,6,0),0)</f>
        <v>0</v>
      </c>
      <c r="AL278" s="125">
        <f>IFERROR(VLOOKUP(DATA[[#This Row],[COMBINADA]],#REF!,9,0),0)/COUNTIFS(DATA[COMBINADA],DATA[[#This Row],[COMBINADA]])</f>
        <v>0</v>
      </c>
      <c r="AM278" s="27">
        <f>IFERROR(VLOOKUP(DATA[[#This Row],[COMBINADA]],#REF!,6,0),0)</f>
        <v>0</v>
      </c>
      <c r="AN278" s="125">
        <f>IFERROR(VLOOKUP(DATA[[#This Row],[COMBINADA]],#REF!,9,0),0)/COUNTIFS(DATA[COMBINADA],DATA[[#This Row],[COMBINADA]])</f>
        <v>0</v>
      </c>
      <c r="AO278" s="27">
        <f>IFERROR(VLOOKUP(DATA[[#This Row],[COMBINADA]],#REF!,6,0),0)</f>
        <v>0</v>
      </c>
      <c r="AP278" s="125">
        <f>IFERROR(VLOOKUP(DATA[[#This Row],[COMBINADA]],#REF!,9,0),0)/COUNTIFS(DATA[COMBINADA],DATA[[#This Row],[COMBINADA]])</f>
        <v>0</v>
      </c>
      <c r="AQ27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395.92454545454547</v>
      </c>
      <c r="AR278" s="26" t="str">
        <f>IFERROR(IF(DATA[[#This Row],[estado_fact]]="FACTURADO",VLOOKUP(DATA[[#This Row],[SERIE2]]&amp;"-"&amp;DATA[[#This Row],[NUMERO]],#REF!,34,0),"NO CORRESPONDE"),"NO CORRESPONDE")</f>
        <v>NO CORRESPONDE</v>
      </c>
      <c r="AS278" s="22" t="str">
        <f>IF(DATA[[#This Row],[fecha_fs]]&gt;0,TEXT(DATA[[#This Row],[fecha_fs]],"Mmmm"),0)</f>
        <v>Febrero</v>
      </c>
      <c r="AT278" s="22" t="str">
        <f>DATA[[#This Row],[SERIE2]]&amp;"-"&amp;DATA[[#This Row],[NUMERO]]</f>
        <v>E001-24</v>
      </c>
      <c r="AU278" s="28">
        <f>DATA[[#This Row],[TOTAL]]*DATA[[#This Row],[T.C.]]</f>
        <v>350.87</v>
      </c>
      <c r="AV278" s="6">
        <f>DATA[[#This Row],[FECHA DE VAL.]]</f>
        <v>45716</v>
      </c>
      <c r="AW278" s="6">
        <f>DATA[[#This Row],[FECHA DE EMISION]]</f>
        <v>45730</v>
      </c>
      <c r="AX278" s="6">
        <f>DATA[[#This Row],[F1]]</f>
        <v>0</v>
      </c>
      <c r="AY278" s="20">
        <f>IF(AV278-DATA[[#This Row],[fecha_fs]]&lt;0,0,AV278-DATA[[#This Row],[fecha_fs]])</f>
        <v>3</v>
      </c>
      <c r="AZ278" s="20">
        <f t="shared" si="28"/>
        <v>14</v>
      </c>
      <c r="BA278" s="20">
        <f t="shared" si="29"/>
        <v>0</v>
      </c>
      <c r="BB278" s="195">
        <f>IFERROR(SUM(DATA[[#This Row],[fs_val_ttf]:[fact_pago_ttf]]),0)</f>
        <v>17</v>
      </c>
      <c r="BC278" s="185">
        <v>45729</v>
      </c>
      <c r="BD278" s="185">
        <v>45735</v>
      </c>
      <c r="BE278" s="185">
        <v>45740</v>
      </c>
      <c r="BF278" s="185">
        <v>45759</v>
      </c>
      <c r="BG278" s="20">
        <f>IFERROR(IF(BC278-DATA[[#This Row],[fecha_fs]]&lt;0,0,BC278-DATA[[#This Row],[fecha_fs]]),0)</f>
        <v>16</v>
      </c>
      <c r="BH278" s="20">
        <f t="shared" si="30"/>
        <v>6</v>
      </c>
      <c r="BI278" s="20">
        <f t="shared" si="31"/>
        <v>5</v>
      </c>
      <c r="BJ278" s="20">
        <f t="shared" si="32"/>
        <v>19</v>
      </c>
      <c r="BK278" s="218">
        <f>IFERROR(SUM(DATA[[#This Row],[fs_fd_ttd]:[fend_fenf_ttd]]),0)</f>
        <v>46</v>
      </c>
      <c r="BL278" s="20" t="str">
        <f>IF(DATA[[#This Row],[fecha_fs]]&gt;0,TEXT(DATA[[#This Row],[fecha_fs]],"YYYY"),0)</f>
        <v>2025</v>
      </c>
      <c r="BM278" s="221" t="b">
        <v>0</v>
      </c>
      <c r="BN278" s="278">
        <f>COUNTIF(DATA[[#This Row],[tiempo_td]], "&lt;=15")</f>
        <v>0</v>
      </c>
      <c r="BO278" s="222"/>
    </row>
    <row r="279" spans="1:67" ht="30.6" customHeight="1" x14ac:dyDescent="0.25">
      <c r="A279" s="4">
        <v>20100226902</v>
      </c>
      <c r="B279" s="5" t="s">
        <v>24</v>
      </c>
      <c r="C279" s="52" t="s">
        <v>18</v>
      </c>
      <c r="D279" s="4" t="s">
        <v>120</v>
      </c>
      <c r="E279" s="5" t="s">
        <v>3</v>
      </c>
      <c r="F279" s="24">
        <v>45714</v>
      </c>
      <c r="G279" s="7" t="s">
        <v>113</v>
      </c>
      <c r="H279" s="25">
        <f t="shared" si="27"/>
        <v>1</v>
      </c>
      <c r="I279" s="67">
        <v>4166</v>
      </c>
      <c r="J279" s="8" t="s">
        <v>115</v>
      </c>
      <c r="K279" s="9" t="s">
        <v>121</v>
      </c>
      <c r="L279" s="10" t="s">
        <v>117</v>
      </c>
      <c r="M279" s="11">
        <v>490</v>
      </c>
      <c r="N279" s="12" t="s">
        <v>127</v>
      </c>
      <c r="O279" s="40"/>
      <c r="P279" s="41" t="s">
        <v>114</v>
      </c>
      <c r="Q279" s="42"/>
      <c r="R279" s="43"/>
      <c r="S279" s="43"/>
      <c r="T279" s="43">
        <f>DATA[[#This Row],[C. DF]]+DATA[[#This Row],[C.OPE.]]</f>
        <v>0</v>
      </c>
      <c r="U279" s="43">
        <f>DATA[[#This Row],[SUB TOTAL]]*0.18</f>
        <v>0</v>
      </c>
      <c r="V279" s="43">
        <f>IFERROR(ROUND(DATA[[#This Row],[SUB TOTAL]]+DATA[[#This Row],[IGV]],2),0)</f>
        <v>0</v>
      </c>
      <c r="W279" s="58" t="str">
        <f>IF(DATA[[#This Row],[VALORIZACIÓN ]]="-","NO CORRESPONDE",IF(OR(A279=20558226979,A279=10470707866,A279=20111157058,A279=20100226902),"NO CORRESPONDE",IF(J279="Emitida",IF(P279&gt;0,"EMITIDA","PENDIENTE"),"NO CORRESPONDE")))</f>
        <v>NO CORRESPONDE</v>
      </c>
      <c r="X279" s="45"/>
      <c r="Y279" s="58" t="s">
        <v>128</v>
      </c>
      <c r="Z279" s="46"/>
      <c r="AA279" s="47"/>
      <c r="AB279" s="48"/>
      <c r="AC279" s="49"/>
      <c r="AD279" s="50">
        <f>DATA[[#This Row],[FECHA DE EMISION]]+DATA[[#This Row],[CONDICION DE PAGO]]</f>
        <v>0</v>
      </c>
      <c r="AE279" s="23">
        <f>IF(DATA[[#This Row],[MONEDA]]="USD",VLOOKUP(DATA[[#This Row],[COMBINADA]],#REF!,11,0),1)</f>
        <v>1</v>
      </c>
      <c r="AF279" s="39" t="str">
        <f>IF(DATA[[#This Row],[SERIE2]]="-","NO CORRESPONDE",IF(W279="NO CORRESPONDE","NO CORRESPONDE",IF(Z279&gt;0,"FACTURADO","PENDIENTE")))</f>
        <v>NO CORRESPONDE</v>
      </c>
      <c r="AG279" s="60">
        <f>IFERROR(VLOOKUP(DATA[[#This Row],[COMBINADA]],#REF!,6,0),0)</f>
        <v>0</v>
      </c>
      <c r="AH279" s="126">
        <f>IFERROR(VLOOKUP(DATA[[#This Row],[COMBINADA]],#REF!,9,0),0)/COUNTIFS(DATA[COMBINADA],DATA[[#This Row],[COMBINADA]])</f>
        <v>0</v>
      </c>
      <c r="AI279" s="60">
        <f>IFERROR(VLOOKUP(DATA[[#This Row],[COMBINADA]],#REF!,6,0),0)</f>
        <v>0</v>
      </c>
      <c r="AJ279" s="126">
        <f>IFERROR(VLOOKUP(DATA[[#This Row],[COMBINADA]],#REF!,9,0),0)/COUNTIFS(DATA[COMBINADA],DATA[[#This Row],[COMBINADA]])</f>
        <v>0</v>
      </c>
      <c r="AK279" s="60">
        <f>IFERROR(VLOOKUP(DATA[[#This Row],[COMBINADA]],#REF!,6,0),0)</f>
        <v>0</v>
      </c>
      <c r="AL279" s="126">
        <f>IFERROR(VLOOKUP(DATA[[#This Row],[COMBINADA]],#REF!,9,0),0)/COUNTIFS(DATA[COMBINADA],DATA[[#This Row],[COMBINADA]])</f>
        <v>0</v>
      </c>
      <c r="AM279" s="60">
        <f>IFERROR(VLOOKUP(DATA[[#This Row],[COMBINADA]],#REF!,6,0),0)</f>
        <v>0</v>
      </c>
      <c r="AN279" s="126">
        <f>IFERROR(VLOOKUP(DATA[[#This Row],[COMBINADA]],#REF!,9,0),0)/COUNTIFS(DATA[COMBINADA],DATA[[#This Row],[COMBINADA]])</f>
        <v>0</v>
      </c>
      <c r="AO279" s="60">
        <f>IFERROR(VLOOKUP(DATA[[#This Row],[COMBINADA]],#REF!,6,0),0)</f>
        <v>0</v>
      </c>
      <c r="AP279" s="126">
        <f>IFERROR(VLOOKUP(DATA[[#This Row],[COMBINADA]],#REF!,9,0),0)/COUNTIFS(DATA[COMBINADA],DATA[[#This Row],[COMBINADA]])</f>
        <v>0</v>
      </c>
      <c r="AQ279"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279" s="22" t="str">
        <f>IFERROR(IF(DATA[[#This Row],[estado_fact]]="FACTURADO",VLOOKUP(DATA[[#This Row],[SERIE2]]&amp;"-"&amp;DATA[[#This Row],[NUMERO]],#REF!,34,0),"NO CORRESPONDE"),"NO CORRESPONDE")</f>
        <v>NO CORRESPONDE</v>
      </c>
      <c r="AS279" s="22" t="str">
        <f>IF(DATA[[#This Row],[fecha_fs]]&gt;0,TEXT(DATA[[#This Row],[fecha_fs]],"Mmmm"),0)</f>
        <v>Febrero</v>
      </c>
      <c r="AT279" s="22" t="str">
        <f>DATA[[#This Row],[SERIE2]]&amp;"-"&amp;DATA[[#This Row],[NUMERO]]</f>
        <v>-</v>
      </c>
      <c r="AU279" s="28">
        <f>DATA[[#This Row],[TOTAL]]*DATA[[#This Row],[T.C.]]</f>
        <v>0</v>
      </c>
      <c r="AV279" s="6">
        <f>DATA[[#This Row],[FECHA DE VAL.]]</f>
        <v>0</v>
      </c>
      <c r="AW279" s="6">
        <f>DATA[[#This Row],[FECHA DE EMISION]]</f>
        <v>0</v>
      </c>
      <c r="AX279" s="6">
        <f>DATA[[#This Row],[F1]]</f>
        <v>0</v>
      </c>
      <c r="AY279" s="20">
        <f>IF(AV279-DATA[[#This Row],[fecha_fs]]&lt;0,0,AV279-DATA[[#This Row],[fecha_fs]])</f>
        <v>0</v>
      </c>
      <c r="AZ279" s="20">
        <f t="shared" si="28"/>
        <v>0</v>
      </c>
      <c r="BA279" s="20">
        <f t="shared" si="29"/>
        <v>0</v>
      </c>
      <c r="BB279" s="195">
        <f>IFERROR(SUM(DATA[[#This Row],[fs_val_ttf]:[fact_pago_ttf]]),0)</f>
        <v>0</v>
      </c>
      <c r="BC279" s="185">
        <v>45714</v>
      </c>
      <c r="BD279" s="185">
        <v>45714</v>
      </c>
      <c r="BE279" s="185">
        <v>45723</v>
      </c>
      <c r="BF279" s="185">
        <v>45723</v>
      </c>
      <c r="BG279" s="20">
        <f>IFERROR(IF(BC279-DATA[[#This Row],[fecha_fs]]&lt;0,0,BC279-DATA[[#This Row],[fecha_fs]]),0)</f>
        <v>0</v>
      </c>
      <c r="BH279" s="20">
        <f t="shared" si="30"/>
        <v>0</v>
      </c>
      <c r="BI279" s="20">
        <f t="shared" si="31"/>
        <v>9</v>
      </c>
      <c r="BJ279" s="20">
        <f t="shared" si="32"/>
        <v>0</v>
      </c>
      <c r="BK279" s="218">
        <f>IFERROR(SUM(DATA[[#This Row],[fs_fd_ttd]:[fend_fenf_ttd]]),0)</f>
        <v>9</v>
      </c>
      <c r="BL279" s="20" t="str">
        <f>IF(DATA[[#This Row],[fecha_fs]]&gt;0,TEXT(DATA[[#This Row],[fecha_fs]],"YYYY"),0)</f>
        <v>2025</v>
      </c>
      <c r="BM279" s="221" t="b">
        <v>1</v>
      </c>
      <c r="BN279" s="278">
        <f>COUNTIF(DATA[[#This Row],[tiempo_td]], "&lt;=15")</f>
        <v>1</v>
      </c>
      <c r="BO279" s="222"/>
    </row>
    <row r="280" spans="1:67" ht="30" customHeight="1" x14ac:dyDescent="0.25">
      <c r="A280" s="4"/>
      <c r="B280" s="5" t="s">
        <v>0</v>
      </c>
      <c r="C280" s="52"/>
      <c r="D280" s="4"/>
      <c r="E280" s="5" t="s">
        <v>0</v>
      </c>
      <c r="F280" s="24">
        <v>45712</v>
      </c>
      <c r="G280" s="7" t="s">
        <v>113</v>
      </c>
      <c r="H280" s="25">
        <f t="shared" si="27"/>
        <v>1</v>
      </c>
      <c r="I280" s="67">
        <v>4167</v>
      </c>
      <c r="J280" s="8" t="s">
        <v>173</v>
      </c>
      <c r="K280" s="9"/>
      <c r="L280" s="10"/>
      <c r="M280" s="111"/>
      <c r="N280" s="112"/>
      <c r="O280" s="6"/>
      <c r="P280" s="13" t="s">
        <v>114</v>
      </c>
      <c r="Q280" s="14"/>
      <c r="R280" s="43"/>
      <c r="S280" s="43"/>
      <c r="T280" s="43">
        <f>DATA[[#This Row],[C. DF]]+DATA[[#This Row],[C.OPE.]]</f>
        <v>0</v>
      </c>
      <c r="U280" s="73">
        <f>DATA[[#This Row],[SUB TOTAL]]*0.18</f>
        <v>0</v>
      </c>
      <c r="V280" s="45">
        <f>IFERROR(ROUND(DATA[[#This Row],[SUB TOTAL]]+DATA[[#This Row],[IGV]],2),0)</f>
        <v>0</v>
      </c>
      <c r="W280" s="58" t="str">
        <f>IF(DATA[[#This Row],[VALORIZACIÓN ]]="-","NO CORRESPONDE",IF(OR(A280=20558226979,A280=10470707866,A280=20111157058,A280=20100226902),"NO CORRESPONDE",IF(J280="Emitida",IF(P280&gt;0,"EMITIDA","PENDIENTE"),"NO CORRESPONDE")))</f>
        <v>NO CORRESPONDE</v>
      </c>
      <c r="X280" s="46"/>
      <c r="Y280" s="17" t="s">
        <v>128</v>
      </c>
      <c r="Z280" s="48"/>
      <c r="AA280" s="49"/>
      <c r="AB280" s="50"/>
      <c r="AC280" s="51"/>
      <c r="AD280" s="59">
        <f>DATA[[#This Row],[FECHA DE EMISION]]+DATA[[#This Row],[CONDICION DE PAGO]]</f>
        <v>0</v>
      </c>
      <c r="AE280" s="23">
        <f>IF(DATA[[#This Row],[MONEDA]]="USD",VLOOKUP(DATA[[#This Row],[COMBINADA]],#REF!,11,0),1)</f>
        <v>1</v>
      </c>
      <c r="AF280" s="39" t="str">
        <f>IF(DATA[[#This Row],[SERIE2]]="-","NO CORRESPONDE",IF(W280="NO CORRESPONDE","NO CORRESPONDE",IF(Z280&gt;0,"FACTURADO","PENDIENTE")))</f>
        <v>NO CORRESPONDE</v>
      </c>
      <c r="AG280" s="61">
        <f>IFERROR(VLOOKUP(DATA[[#This Row],[COMBINADA]],#REF!,6,0),0)</f>
        <v>0</v>
      </c>
      <c r="AH280" s="62">
        <f>IFERROR(VLOOKUP(DATA[[#This Row],[COMBINADA]],#REF!,9,0),0)/COUNTIFS(DATA[COMBINADA],DATA[[#This Row],[COMBINADA]])</f>
        <v>0</v>
      </c>
      <c r="AI280" s="61">
        <f>IFERROR(VLOOKUP(DATA[[#This Row],[COMBINADA]],#REF!,6,0),0)</f>
        <v>0</v>
      </c>
      <c r="AJ280" s="62">
        <f>IFERROR(VLOOKUP(DATA[[#This Row],[COMBINADA]],#REF!,9,0),0)/COUNTIFS(DATA[COMBINADA],DATA[[#This Row],[COMBINADA]])</f>
        <v>0</v>
      </c>
      <c r="AK280" s="61">
        <f>IFERROR(VLOOKUP(DATA[[#This Row],[COMBINADA]],#REF!,6,0),0)</f>
        <v>0</v>
      </c>
      <c r="AL280" s="62">
        <f>IFERROR(VLOOKUP(DATA[[#This Row],[COMBINADA]],#REF!,9,0),0)/COUNTIFS(DATA[COMBINADA],DATA[[#This Row],[COMBINADA]])</f>
        <v>0</v>
      </c>
      <c r="AM280" s="61">
        <f>IFERROR(VLOOKUP(DATA[[#This Row],[COMBINADA]],#REF!,6,0),0)</f>
        <v>0</v>
      </c>
      <c r="AN280" s="62">
        <f>IFERROR(VLOOKUP(DATA[[#This Row],[COMBINADA]],#REF!,9,0),0)/COUNTIFS(DATA[COMBINADA],DATA[[#This Row],[COMBINADA]])</f>
        <v>0</v>
      </c>
      <c r="AO280" s="61">
        <f>IFERROR(VLOOKUP(DATA[[#This Row],[COMBINADA]],#REF!,6,0),0)</f>
        <v>0</v>
      </c>
      <c r="AP280" s="62">
        <f>IFERROR(VLOOKUP(DATA[[#This Row],[COMBINADA]],#REF!,9,0),0)/COUNTIFS(DATA[COMBINADA],DATA[[#This Row],[COMBINADA]])</f>
        <v>0</v>
      </c>
      <c r="AQ280"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280" s="22" t="str">
        <f>IFERROR(IF(DATA[[#This Row],[estado_fact]]="FACTURADO",VLOOKUP(DATA[[#This Row],[SERIE2]]&amp;"-"&amp;DATA[[#This Row],[NUMERO]],#REF!,34,0),"NO CORRESPONDE"),"NO CORRESPONDE")</f>
        <v>NO CORRESPONDE</v>
      </c>
      <c r="AS280" s="198" t="str">
        <f>IF(DATA[[#This Row],[fecha_fs]]&gt;0,TEXT(DATA[[#This Row],[fecha_fs]],"Mmmm"),0)</f>
        <v>Febrero</v>
      </c>
      <c r="AT280" s="199" t="str">
        <f>DATA[[#This Row],[SERIE2]]&amp;"-"&amp;DATA[[#This Row],[NUMERO]]</f>
        <v>-</v>
      </c>
      <c r="AU280" s="198">
        <f>DATA[[#This Row],[TOTAL]]*DATA[[#This Row],[T.C.]]</f>
        <v>0</v>
      </c>
      <c r="AV280" s="40">
        <f>DATA[[#This Row],[FECHA DE VAL.]]</f>
        <v>0</v>
      </c>
      <c r="AW280" s="40">
        <f>DATA[[#This Row],[FECHA DE EMISION]]</f>
        <v>0</v>
      </c>
      <c r="AX280" s="40">
        <f>DATA[[#This Row],[F1]]</f>
        <v>0</v>
      </c>
      <c r="AY280" s="49">
        <f>IF(AV280-DATA[[#This Row],[fecha_fs]]&lt;0,0,AV280-DATA[[#This Row],[fecha_fs]])</f>
        <v>0</v>
      </c>
      <c r="AZ280" s="49">
        <f t="shared" si="28"/>
        <v>0</v>
      </c>
      <c r="BA280" s="49">
        <f t="shared" si="29"/>
        <v>0</v>
      </c>
      <c r="BB280" s="195">
        <f>IFERROR(SUM(DATA[[#This Row],[fs_val_ttf]:[fact_pago_ttf]]),0)</f>
        <v>0</v>
      </c>
      <c r="BC280" s="200"/>
      <c r="BD280" s="200"/>
      <c r="BE280" s="200"/>
      <c r="BF280" s="200"/>
      <c r="BG280" s="49">
        <f>IFERROR(IF(BC280-DATA[[#This Row],[fecha_fs]]&lt;0,0,BC280-DATA[[#This Row],[fecha_fs]]),0)</f>
        <v>0</v>
      </c>
      <c r="BH280" s="49">
        <f t="shared" si="30"/>
        <v>0</v>
      </c>
      <c r="BI280" s="49">
        <f t="shared" si="31"/>
        <v>0</v>
      </c>
      <c r="BJ280" s="49">
        <f t="shared" si="32"/>
        <v>0</v>
      </c>
      <c r="BK280" s="218">
        <f>IFERROR(SUM(DATA[[#This Row],[fs_fd_ttd]:[fend_fenf_ttd]]),0)</f>
        <v>0</v>
      </c>
      <c r="BL280" s="20" t="str">
        <f>IF(DATA[[#This Row],[fecha_fs]]&gt;0,TEXT(DATA[[#This Row],[fecha_fs]],"YYYY"),0)</f>
        <v>2025</v>
      </c>
      <c r="BM280" s="221" t="b">
        <v>0</v>
      </c>
      <c r="BN280" s="278"/>
      <c r="BO280" s="222"/>
    </row>
    <row r="281" spans="1:67" ht="30.6" customHeight="1" x14ac:dyDescent="0.25">
      <c r="A281" s="4">
        <v>20141637941</v>
      </c>
      <c r="B281" s="5" t="s">
        <v>79</v>
      </c>
      <c r="C281" s="52" t="s">
        <v>18</v>
      </c>
      <c r="D281" s="4" t="s">
        <v>120</v>
      </c>
      <c r="E281" s="5" t="s">
        <v>3</v>
      </c>
      <c r="F281" s="24">
        <v>45713</v>
      </c>
      <c r="G281" s="7" t="s">
        <v>113</v>
      </c>
      <c r="H281" s="25">
        <f t="shared" si="27"/>
        <v>1</v>
      </c>
      <c r="I281" s="67">
        <v>4168</v>
      </c>
      <c r="J281" s="8" t="s">
        <v>115</v>
      </c>
      <c r="K281" s="9" t="s">
        <v>121</v>
      </c>
      <c r="L281" s="10" t="s">
        <v>117</v>
      </c>
      <c r="M281" s="11">
        <v>1450</v>
      </c>
      <c r="N281" s="12" t="s">
        <v>125</v>
      </c>
      <c r="O281" s="6">
        <v>45716</v>
      </c>
      <c r="P281" s="110">
        <v>3331</v>
      </c>
      <c r="Q281" s="14" t="s">
        <v>85</v>
      </c>
      <c r="R281" s="15">
        <f>70+(DATA[[#This Row],[cantidad_fs]]-1000)*0.1</f>
        <v>115</v>
      </c>
      <c r="S281" s="56">
        <v>517</v>
      </c>
      <c r="T281" s="15">
        <f>DATA[[#This Row],[C. DF]]+DATA[[#This Row],[C.OPE.]]</f>
        <v>632</v>
      </c>
      <c r="U281" s="15">
        <f>DATA[[#This Row],[SUB TOTAL]]*0.18</f>
        <v>113.75999999999999</v>
      </c>
      <c r="V281" s="15">
        <f>IFERROR(ROUND(DATA[[#This Row],[SUB TOTAL]]+DATA[[#This Row],[IGV]],2),0)</f>
        <v>745.76</v>
      </c>
      <c r="W281" s="16" t="str">
        <f>IF(DATA[[#This Row],[VALORIZACIÓN ]]="-","NO CORRESPONDE",IF(OR(A281=20558226979,A281=10470707866,A281=20111157058,A281=20100226902),"NO CORRESPONDE",IF(J281="Emitida",IF(P281&gt;0,"EMITIDA","PENDIENTE"),"NO CORRESPONDE")))</f>
        <v>EMITIDA</v>
      </c>
      <c r="X281" s="29"/>
      <c r="Y281" s="17" t="s">
        <v>118</v>
      </c>
      <c r="Z281" s="30">
        <v>45719</v>
      </c>
      <c r="AA281" s="10" t="s">
        <v>124</v>
      </c>
      <c r="AB281" s="19">
        <v>587</v>
      </c>
      <c r="AC281" s="20">
        <v>30</v>
      </c>
      <c r="AD281" s="18">
        <f>DATA[[#This Row],[FECHA DE EMISION]]+DATA[[#This Row],[CONDICION DE PAGO]]</f>
        <v>45749</v>
      </c>
      <c r="AE281" s="23">
        <f>IF(DATA[[#This Row],[MONEDA]]="USD",VLOOKUP(DATA[[#This Row],[COMBINADA]],#REF!,11,0),1)</f>
        <v>1</v>
      </c>
      <c r="AF281" s="39" t="str">
        <f>IF(DATA[[#This Row],[SERIE2]]="-","NO CORRESPONDE",IF(W281="NO CORRESPONDE","NO CORRESPONDE",IF(Z281&gt;0,"FACTURADO","PENDIENTE")))</f>
        <v>FACTURADO</v>
      </c>
      <c r="AG281" s="27">
        <f>IFERROR(VLOOKUP(DATA[[#This Row],[COMBINADA]],#REF!,6,0),0)</f>
        <v>0</v>
      </c>
      <c r="AH281" s="125">
        <f>IFERROR(VLOOKUP(DATA[[#This Row],[COMBINADA]],#REF!,9,0),0)/COUNTIFS(DATA[COMBINADA],DATA[[#This Row],[COMBINADA]])</f>
        <v>0</v>
      </c>
      <c r="AI281" s="27">
        <f>IFERROR(VLOOKUP(DATA[[#This Row],[COMBINADA]],#REF!,6,0),0)</f>
        <v>0</v>
      </c>
      <c r="AJ281" s="125">
        <f>IFERROR(VLOOKUP(DATA[[#This Row],[COMBINADA]],#REF!,9,0),0)/COUNTIFS(DATA[COMBINADA],DATA[[#This Row],[COMBINADA]])</f>
        <v>0</v>
      </c>
      <c r="AK281" s="27">
        <f>IFERROR(VLOOKUP(DATA[[#This Row],[COMBINADA]],#REF!,6,0),0)</f>
        <v>0</v>
      </c>
      <c r="AL281" s="125">
        <f>IFERROR(VLOOKUP(DATA[[#This Row],[COMBINADA]],#REF!,9,0),0)/COUNTIFS(DATA[COMBINADA],DATA[[#This Row],[COMBINADA]])</f>
        <v>0</v>
      </c>
      <c r="AM281" s="27">
        <f>IFERROR(VLOOKUP(DATA[[#This Row],[COMBINADA]],#REF!,6,0),0)</f>
        <v>0</v>
      </c>
      <c r="AN281" s="125">
        <f>IFERROR(VLOOKUP(DATA[[#This Row],[COMBINADA]],#REF!,9,0),0)/COUNTIFS(DATA[COMBINADA],DATA[[#This Row],[COMBINADA]])</f>
        <v>0</v>
      </c>
      <c r="AO281" s="27">
        <f>IFERROR(VLOOKUP(DATA[[#This Row],[COMBINADA]],#REF!,6,0),0)</f>
        <v>0</v>
      </c>
      <c r="AP281" s="125">
        <f>IFERROR(VLOOKUP(DATA[[#This Row],[COMBINADA]],#REF!,9,0),0)/COUNTIFS(DATA[COMBINADA],DATA[[#This Row],[COMBINADA]])</f>
        <v>0</v>
      </c>
      <c r="AQ28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759.32999999999993</v>
      </c>
      <c r="AR281" s="26" t="str">
        <f>IFERROR(IF(DATA[[#This Row],[estado_fact]]="FACTURADO",VLOOKUP(DATA[[#This Row],[SERIE2]]&amp;"-"&amp;DATA[[#This Row],[NUMERO]],#REF!,34,0),"NO CORRESPONDE"),"NO CORRESPONDE")</f>
        <v>NO CORRESPONDE</v>
      </c>
      <c r="AS281" s="22" t="str">
        <f>IF(DATA[[#This Row],[fecha_fs]]&gt;0,TEXT(DATA[[#This Row],[fecha_fs]],"Mmmm"),0)</f>
        <v>Febrero</v>
      </c>
      <c r="AT281" s="22" t="str">
        <f>DATA[[#This Row],[SERIE2]]&amp;"-"&amp;DATA[[#This Row],[NUMERO]]</f>
        <v>FE01-587</v>
      </c>
      <c r="AU281" s="28">
        <f>DATA[[#This Row],[TOTAL]]*DATA[[#This Row],[T.C.]]</f>
        <v>745.76</v>
      </c>
      <c r="AV281" s="6">
        <f>DATA[[#This Row],[FECHA DE VAL.]]</f>
        <v>45716</v>
      </c>
      <c r="AW281" s="6">
        <f>DATA[[#This Row],[FECHA DE EMISION]]</f>
        <v>45719</v>
      </c>
      <c r="AX281" s="6">
        <f>DATA[[#This Row],[F1]]</f>
        <v>0</v>
      </c>
      <c r="AY281" s="20">
        <f>IF(AV281-DATA[[#This Row],[fecha_fs]]&lt;0,0,AV281-DATA[[#This Row],[fecha_fs]])</f>
        <v>3</v>
      </c>
      <c r="AZ281" s="20">
        <f t="shared" si="28"/>
        <v>3</v>
      </c>
      <c r="BA281" s="20">
        <f t="shared" si="29"/>
        <v>0</v>
      </c>
      <c r="BB281" s="195">
        <f>IFERROR(SUM(DATA[[#This Row],[fs_val_ttf]:[fact_pago_ttf]]),0)</f>
        <v>6</v>
      </c>
      <c r="BC281" s="187">
        <v>45713</v>
      </c>
      <c r="BD281" s="187">
        <v>45713</v>
      </c>
      <c r="BE281" s="187">
        <v>45719</v>
      </c>
      <c r="BF281" s="187">
        <v>45719</v>
      </c>
      <c r="BG281" s="20">
        <f>IFERROR(IF(BC281-DATA[[#This Row],[fecha_fs]]&lt;0,0,BC281-DATA[[#This Row],[fecha_fs]]),0)</f>
        <v>0</v>
      </c>
      <c r="BH281" s="20">
        <f t="shared" si="30"/>
        <v>0</v>
      </c>
      <c r="BI281" s="20">
        <f t="shared" si="31"/>
        <v>6</v>
      </c>
      <c r="BJ281" s="20">
        <f t="shared" si="32"/>
        <v>0</v>
      </c>
      <c r="BK281" s="218">
        <f>IFERROR(SUM(DATA[[#This Row],[fs_fd_ttd]:[fend_fenf_ttd]]),0)</f>
        <v>6</v>
      </c>
      <c r="BL281" s="20" t="str">
        <f>IF(DATA[[#This Row],[fecha_fs]]&gt;0,TEXT(DATA[[#This Row],[fecha_fs]],"YYYY"),0)</f>
        <v>2025</v>
      </c>
      <c r="BM281" s="221" t="b">
        <v>1</v>
      </c>
      <c r="BN281" s="278">
        <f>COUNTIF(DATA[[#This Row],[tiempo_td]], "&lt;=15")</f>
        <v>1</v>
      </c>
      <c r="BO281" s="222"/>
    </row>
    <row r="282" spans="1:67" ht="30.6" customHeight="1" x14ac:dyDescent="0.25">
      <c r="A282" s="4">
        <v>20558353814</v>
      </c>
      <c r="B282" s="5" t="s">
        <v>275</v>
      </c>
      <c r="C282" s="52" t="s">
        <v>194</v>
      </c>
      <c r="D282" s="4" t="s">
        <v>290</v>
      </c>
      <c r="E282" s="5" t="s">
        <v>294</v>
      </c>
      <c r="F282" s="24">
        <v>45713</v>
      </c>
      <c r="G282" s="7" t="s">
        <v>142</v>
      </c>
      <c r="H282" s="25">
        <f t="shared" si="27"/>
        <v>2</v>
      </c>
      <c r="I282" s="67">
        <v>1052</v>
      </c>
      <c r="J282" s="8" t="s">
        <v>115</v>
      </c>
      <c r="K282" s="9" t="s">
        <v>195</v>
      </c>
      <c r="L282" s="10" t="s">
        <v>117</v>
      </c>
      <c r="M282" s="11">
        <v>1310</v>
      </c>
      <c r="N282" s="12" t="s">
        <v>143</v>
      </c>
      <c r="O282" s="6">
        <v>45714</v>
      </c>
      <c r="P282" s="13">
        <v>3329</v>
      </c>
      <c r="Q282" s="14" t="s">
        <v>85</v>
      </c>
      <c r="R282" s="15">
        <v>350</v>
      </c>
      <c r="S282" s="56">
        <v>1690</v>
      </c>
      <c r="T282" s="15">
        <f>DATA[[#This Row],[C. DF]]+DATA[[#This Row],[C.OPE.]]</f>
        <v>2040</v>
      </c>
      <c r="U282" s="15">
        <f>DATA[[#This Row],[SUB TOTAL]]*0.18</f>
        <v>367.2</v>
      </c>
      <c r="V282" s="15">
        <f>IFERROR(ROUND(DATA[[#This Row],[SUB TOTAL]]+DATA[[#This Row],[IGV]],2),0)</f>
        <v>2407.1999999999998</v>
      </c>
      <c r="W282" s="16" t="str">
        <f>IF(DATA[[#This Row],[VALORIZACIÓN ]]="-","NO CORRESPONDE",IF(OR(A282=20558226979,A282=10470707866,A282=20111157058,A282=20100226902),"NO CORRESPONDE",IF(J282="Emitida",IF(P282&gt;0,"EMITIDA","PENDIENTE"),"NO CORRESPONDE")))</f>
        <v>EMITIDA</v>
      </c>
      <c r="X282" s="29"/>
      <c r="Y282" s="17" t="s">
        <v>118</v>
      </c>
      <c r="Z282" s="30">
        <v>45730</v>
      </c>
      <c r="AA282" s="10" t="s">
        <v>119</v>
      </c>
      <c r="AB282" s="19">
        <v>25</v>
      </c>
      <c r="AC282" s="20">
        <v>5</v>
      </c>
      <c r="AD282" s="18">
        <f>DATA[[#This Row],[FECHA DE EMISION]]+DATA[[#This Row],[CONDICION DE PAGO]]</f>
        <v>45735</v>
      </c>
      <c r="AE282" s="23">
        <f>IF(DATA[[#This Row],[MONEDA]]="USD",VLOOKUP(DATA[[#This Row],[COMBINADA]],#REF!,11,0),1)</f>
        <v>1</v>
      </c>
      <c r="AF282" s="39" t="str">
        <f>IF(DATA[[#This Row],[SERIE2]]="-","NO CORRESPONDE",IF(W282="NO CORRESPONDE","NO CORRESPONDE",IF(Z282&gt;0,"FACTURADO","PENDIENTE")))</f>
        <v>FACTURADO</v>
      </c>
      <c r="AG282" s="27">
        <f>IFERROR(VLOOKUP(DATA[[#This Row],[COMBINADA]],#REF!,6,0),0)</f>
        <v>0</v>
      </c>
      <c r="AH282" s="125">
        <f>IFERROR(VLOOKUP(DATA[[#This Row],[COMBINADA]],#REF!,9,0),0)/COUNTIFS(DATA[COMBINADA],DATA[[#This Row],[COMBINADA]])</f>
        <v>0</v>
      </c>
      <c r="AI282" s="27">
        <f>IFERROR(VLOOKUP(DATA[[#This Row],[COMBINADA]],#REF!,6,0),0)</f>
        <v>0</v>
      </c>
      <c r="AJ282" s="125">
        <f>IFERROR(VLOOKUP(DATA[[#This Row],[COMBINADA]],#REF!,9,0),0)/COUNTIFS(DATA[COMBINADA],DATA[[#This Row],[COMBINADA]])</f>
        <v>0</v>
      </c>
      <c r="AK282" s="27">
        <f>IFERROR(VLOOKUP(DATA[[#This Row],[COMBINADA]],#REF!,6,0),0)</f>
        <v>0</v>
      </c>
      <c r="AL282" s="125">
        <f>IFERROR(VLOOKUP(DATA[[#This Row],[COMBINADA]],#REF!,9,0),0)/COUNTIFS(DATA[COMBINADA],DATA[[#This Row],[COMBINADA]])</f>
        <v>0</v>
      </c>
      <c r="AM282" s="27">
        <f>IFERROR(VLOOKUP(DATA[[#This Row],[COMBINADA]],#REF!,6,0),0)</f>
        <v>0</v>
      </c>
      <c r="AN282" s="125">
        <f>IFERROR(VLOOKUP(DATA[[#This Row],[COMBINADA]],#REF!,9,0),0)/COUNTIFS(DATA[COMBINADA],DATA[[#This Row],[COMBINADA]])</f>
        <v>0</v>
      </c>
      <c r="AO282" s="27">
        <f>IFERROR(VLOOKUP(DATA[[#This Row],[COMBINADA]],#REF!,6,0),0)</f>
        <v>0</v>
      </c>
      <c r="AP282" s="125">
        <f>IFERROR(VLOOKUP(DATA[[#This Row],[COMBINADA]],#REF!,9,0),0)/COUNTIFS(DATA[COMBINADA],DATA[[#This Row],[COMBINADA]])</f>
        <v>0</v>
      </c>
      <c r="AQ28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2407.1999999999998</v>
      </c>
      <c r="AR282" s="26" t="str">
        <f>IFERROR(IF(DATA[[#This Row],[estado_fact]]="FACTURADO",VLOOKUP(DATA[[#This Row],[SERIE2]]&amp;"-"&amp;DATA[[#This Row],[NUMERO]],#REF!,34,0),"NO CORRESPONDE"),"NO CORRESPONDE")</f>
        <v>NO CORRESPONDE</v>
      </c>
      <c r="AS282" s="22" t="str">
        <f>IF(DATA[[#This Row],[fecha_fs]]&gt;0,TEXT(DATA[[#This Row],[fecha_fs]],"Mmmm"),0)</f>
        <v>Febrero</v>
      </c>
      <c r="AT282" s="22" t="str">
        <f>DATA[[#This Row],[SERIE2]]&amp;"-"&amp;DATA[[#This Row],[NUMERO]]</f>
        <v>E001-25</v>
      </c>
      <c r="AU282" s="28">
        <f>DATA[[#This Row],[TOTAL]]*DATA[[#This Row],[T.C.]]</f>
        <v>2407.1999999999998</v>
      </c>
      <c r="AV282" s="6">
        <f>DATA[[#This Row],[FECHA DE VAL.]]</f>
        <v>45714</v>
      </c>
      <c r="AW282" s="6">
        <f>DATA[[#This Row],[FECHA DE EMISION]]</f>
        <v>45730</v>
      </c>
      <c r="AX282" s="6">
        <f>DATA[[#This Row],[F1]]</f>
        <v>0</v>
      </c>
      <c r="AY282" s="20">
        <f>IF(AV282-DATA[[#This Row],[fecha_fs]]&lt;0,0,AV282-DATA[[#This Row],[fecha_fs]])</f>
        <v>1</v>
      </c>
      <c r="AZ282" s="20">
        <f t="shared" si="28"/>
        <v>16</v>
      </c>
      <c r="BA282" s="20">
        <f t="shared" si="29"/>
        <v>0</v>
      </c>
      <c r="BB282" s="195">
        <f>IFERROR(SUM(DATA[[#This Row],[fs_val_ttf]:[fact_pago_ttf]]),0)</f>
        <v>17</v>
      </c>
      <c r="BC282" s="185">
        <v>45726</v>
      </c>
      <c r="BD282" s="185">
        <v>45741</v>
      </c>
      <c r="BE282" s="185">
        <v>45727</v>
      </c>
      <c r="BF282" s="185">
        <v>45761</v>
      </c>
      <c r="BG282" s="20">
        <f>IFERROR(IF(BC282-DATA[[#This Row],[fecha_fs]]&lt;0,0,BC282-DATA[[#This Row],[fecha_fs]]),0)</f>
        <v>13</v>
      </c>
      <c r="BH282" s="20">
        <f t="shared" ref="BH282:BH327" si="33">IFERROR(IF(BD282-BC282&lt;0,0,BD282-BC282),0)</f>
        <v>15</v>
      </c>
      <c r="BI282" s="20">
        <f t="shared" ref="BI282:BI327" si="34">IFERROR(IF(BE282-BD282&lt;0,0,BE282-BD282),0)</f>
        <v>0</v>
      </c>
      <c r="BJ282" s="20">
        <f t="shared" ref="BJ282:BJ327" si="35">IFERROR(IF(BF282-BE282&lt;0,0,BF282-BE282),0)</f>
        <v>34</v>
      </c>
      <c r="BK282" s="218">
        <f>IFERROR(SUM(DATA[[#This Row],[fs_fd_ttd]:[fend_fenf_ttd]]),0)</f>
        <v>62</v>
      </c>
      <c r="BL282" s="20" t="str">
        <f>IF(DATA[[#This Row],[fecha_fs]]&gt;0,TEXT(DATA[[#This Row],[fecha_fs]],"YYYY"),0)</f>
        <v>2025</v>
      </c>
      <c r="BM282" s="221" t="b">
        <v>1</v>
      </c>
      <c r="BN282" s="278">
        <f>COUNTIF(DATA[[#This Row],[tiempo_td]], "&lt;=15")</f>
        <v>0</v>
      </c>
      <c r="BO282" s="222"/>
    </row>
    <row r="283" spans="1:67" ht="30" customHeight="1" x14ac:dyDescent="0.25">
      <c r="A283" s="4"/>
      <c r="B283" s="5" t="s">
        <v>0</v>
      </c>
      <c r="C283" s="52"/>
      <c r="D283" s="4"/>
      <c r="E283" s="5" t="s">
        <v>0</v>
      </c>
      <c r="F283" s="24">
        <v>45714</v>
      </c>
      <c r="G283" s="7" t="s">
        <v>142</v>
      </c>
      <c r="H283" s="25">
        <f t="shared" si="27"/>
        <v>2</v>
      </c>
      <c r="I283" s="67">
        <v>1053</v>
      </c>
      <c r="J283" s="8" t="s">
        <v>151</v>
      </c>
      <c r="K283" s="9"/>
      <c r="L283" s="10"/>
      <c r="M283" s="111"/>
      <c r="N283" s="112"/>
      <c r="O283" s="6"/>
      <c r="P283" s="13" t="s">
        <v>114</v>
      </c>
      <c r="Q283" s="14"/>
      <c r="R283" s="43"/>
      <c r="S283" s="43"/>
      <c r="T283" s="43">
        <f>DATA[[#This Row],[C. DF]]+DATA[[#This Row],[C.OPE.]]</f>
        <v>0</v>
      </c>
      <c r="U283" s="73">
        <f>DATA[[#This Row],[SUB TOTAL]]*0.18</f>
        <v>0</v>
      </c>
      <c r="V283" s="45">
        <f>IFERROR(ROUND(DATA[[#This Row],[SUB TOTAL]]+DATA[[#This Row],[IGV]],2),0)</f>
        <v>0</v>
      </c>
      <c r="W283" s="58" t="str">
        <f>IF(DATA[[#This Row],[VALORIZACIÓN ]]="-","NO CORRESPONDE",IF(OR(A283=20558226979,A283=10470707866,A283=20111157058,A283=20100226902),"NO CORRESPONDE",IF(J283="Emitida",IF(P283&gt;0,"EMITIDA","PENDIENTE"),"NO CORRESPONDE")))</f>
        <v>NO CORRESPONDE</v>
      </c>
      <c r="X283" s="46"/>
      <c r="Y283" s="17" t="s">
        <v>128</v>
      </c>
      <c r="Z283" s="48"/>
      <c r="AA283" s="49"/>
      <c r="AB283" s="50"/>
      <c r="AC283" s="51"/>
      <c r="AD283" s="59">
        <f>DATA[[#This Row],[FECHA DE EMISION]]+DATA[[#This Row],[CONDICION DE PAGO]]</f>
        <v>0</v>
      </c>
      <c r="AE283" s="23">
        <f>IF(DATA[[#This Row],[MONEDA]]="USD",VLOOKUP(DATA[[#This Row],[COMBINADA]],#REF!,11,0),1)</f>
        <v>1</v>
      </c>
      <c r="AF283" s="39" t="str">
        <f>IF(DATA[[#This Row],[SERIE2]]="-","NO CORRESPONDE",IF(W283="NO CORRESPONDE","NO CORRESPONDE",IF(Z283&gt;0,"FACTURADO","PENDIENTE")))</f>
        <v>NO CORRESPONDE</v>
      </c>
      <c r="AG283" s="61">
        <f>IFERROR(VLOOKUP(DATA[[#This Row],[COMBINADA]],#REF!,6,0),0)</f>
        <v>0</v>
      </c>
      <c r="AH283" s="62">
        <f>IFERROR(VLOOKUP(DATA[[#This Row],[COMBINADA]],#REF!,9,0),0)/COUNTIFS(DATA[COMBINADA],DATA[[#This Row],[COMBINADA]])</f>
        <v>0</v>
      </c>
      <c r="AI283" s="61">
        <f>IFERROR(VLOOKUP(DATA[[#This Row],[COMBINADA]],#REF!,6,0),0)</f>
        <v>0</v>
      </c>
      <c r="AJ283" s="62">
        <f>IFERROR(VLOOKUP(DATA[[#This Row],[COMBINADA]],#REF!,9,0),0)/COUNTIFS(DATA[COMBINADA],DATA[[#This Row],[COMBINADA]])</f>
        <v>0</v>
      </c>
      <c r="AK283" s="61">
        <f>IFERROR(VLOOKUP(DATA[[#This Row],[COMBINADA]],#REF!,6,0),0)</f>
        <v>0</v>
      </c>
      <c r="AL283" s="62">
        <f>IFERROR(VLOOKUP(DATA[[#This Row],[COMBINADA]],#REF!,9,0),0)/COUNTIFS(DATA[COMBINADA],DATA[[#This Row],[COMBINADA]])</f>
        <v>0</v>
      </c>
      <c r="AM283" s="61">
        <f>IFERROR(VLOOKUP(DATA[[#This Row],[COMBINADA]],#REF!,6,0),0)</f>
        <v>0</v>
      </c>
      <c r="AN283" s="62">
        <f>IFERROR(VLOOKUP(DATA[[#This Row],[COMBINADA]],#REF!,9,0),0)/COUNTIFS(DATA[COMBINADA],DATA[[#This Row],[COMBINADA]])</f>
        <v>0</v>
      </c>
      <c r="AO283" s="61">
        <f>IFERROR(VLOOKUP(DATA[[#This Row],[COMBINADA]],#REF!,6,0),0)</f>
        <v>0</v>
      </c>
      <c r="AP283" s="62">
        <f>IFERROR(VLOOKUP(DATA[[#This Row],[COMBINADA]],#REF!,9,0),0)/COUNTIFS(DATA[COMBINADA],DATA[[#This Row],[COMBINADA]])</f>
        <v>0</v>
      </c>
      <c r="AQ283"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283" s="22" t="str">
        <f>IFERROR(IF(DATA[[#This Row],[estado_fact]]="FACTURADO",VLOOKUP(DATA[[#This Row],[SERIE2]]&amp;"-"&amp;DATA[[#This Row],[NUMERO]],#REF!,34,0),"NO CORRESPONDE"),"NO CORRESPONDE")</f>
        <v>NO CORRESPONDE</v>
      </c>
      <c r="AS283" s="198" t="str">
        <f>IF(DATA[[#This Row],[fecha_fs]]&gt;0,TEXT(DATA[[#This Row],[fecha_fs]],"Mmmm"),0)</f>
        <v>Febrero</v>
      </c>
      <c r="AT283" s="199" t="str">
        <f>DATA[[#This Row],[SERIE2]]&amp;"-"&amp;DATA[[#This Row],[NUMERO]]</f>
        <v>-</v>
      </c>
      <c r="AU283" s="198">
        <f>DATA[[#This Row],[TOTAL]]*DATA[[#This Row],[T.C.]]</f>
        <v>0</v>
      </c>
      <c r="AV283" s="40">
        <f>DATA[[#This Row],[FECHA DE VAL.]]</f>
        <v>0</v>
      </c>
      <c r="AW283" s="40">
        <f>DATA[[#This Row],[FECHA DE EMISION]]</f>
        <v>0</v>
      </c>
      <c r="AX283" s="40">
        <f>DATA[[#This Row],[F1]]</f>
        <v>0</v>
      </c>
      <c r="AY283" s="49">
        <f>IF(AV283-DATA[[#This Row],[fecha_fs]]&lt;0,0,AV283-DATA[[#This Row],[fecha_fs]])</f>
        <v>0</v>
      </c>
      <c r="AZ283" s="49">
        <f t="shared" si="28"/>
        <v>0</v>
      </c>
      <c r="BA283" s="49">
        <f t="shared" si="29"/>
        <v>0</v>
      </c>
      <c r="BB283" s="195">
        <f>IFERROR(SUM(DATA[[#This Row],[fs_val_ttf]:[fact_pago_ttf]]),0)</f>
        <v>0</v>
      </c>
      <c r="BC283" s="200"/>
      <c r="BD283" s="200"/>
      <c r="BE283" s="200"/>
      <c r="BF283" s="200"/>
      <c r="BG283" s="49">
        <f>IFERROR(IF(BC283-DATA[[#This Row],[fecha_fs]]&lt;0,0,BC283-DATA[[#This Row],[fecha_fs]]),0)</f>
        <v>0</v>
      </c>
      <c r="BH283" s="49">
        <f t="shared" si="33"/>
        <v>0</v>
      </c>
      <c r="BI283" s="49">
        <f t="shared" si="34"/>
        <v>0</v>
      </c>
      <c r="BJ283" s="49">
        <f t="shared" si="35"/>
        <v>0</v>
      </c>
      <c r="BK283" s="218">
        <f>IFERROR(SUM(DATA[[#This Row],[fs_fd_ttd]:[fend_fenf_ttd]]),0)</f>
        <v>0</v>
      </c>
      <c r="BL283" s="20" t="str">
        <f>IF(DATA[[#This Row],[fecha_fs]]&gt;0,TEXT(DATA[[#This Row],[fecha_fs]],"YYYY"),0)</f>
        <v>2025</v>
      </c>
      <c r="BM283" s="221" t="b">
        <v>0</v>
      </c>
      <c r="BN283" s="278"/>
      <c r="BO283" s="222"/>
    </row>
    <row r="284" spans="1:67" ht="30.6" customHeight="1" x14ac:dyDescent="0.25">
      <c r="A284" s="4">
        <v>20100192064</v>
      </c>
      <c r="B284" s="5" t="s">
        <v>60</v>
      </c>
      <c r="C284" s="52" t="s">
        <v>65</v>
      </c>
      <c r="D284" s="4" t="s">
        <v>112</v>
      </c>
      <c r="E284" s="5" t="s">
        <v>1</v>
      </c>
      <c r="F284" s="24">
        <v>45714</v>
      </c>
      <c r="G284" s="7" t="s">
        <v>142</v>
      </c>
      <c r="H284" s="25">
        <f t="shared" si="27"/>
        <v>2</v>
      </c>
      <c r="I284" s="67">
        <v>1054</v>
      </c>
      <c r="J284" s="8" t="s">
        <v>115</v>
      </c>
      <c r="K284" s="9" t="s">
        <v>116</v>
      </c>
      <c r="L284" s="10" t="s">
        <v>117</v>
      </c>
      <c r="M284" s="11">
        <v>5000</v>
      </c>
      <c r="N284" s="12" t="s">
        <v>143</v>
      </c>
      <c r="O284" s="6">
        <v>45714</v>
      </c>
      <c r="P284" s="71">
        <v>3321</v>
      </c>
      <c r="Q284" s="14" t="s">
        <v>123</v>
      </c>
      <c r="R284" s="15">
        <f>(DATA[[#This Row],[cantidad_fs]]/1000)*(147+81.01)</f>
        <v>1140.05</v>
      </c>
      <c r="S284" s="56">
        <v>103.6</v>
      </c>
      <c r="T284" s="15">
        <f>DATA[[#This Row],[C. DF]]+DATA[[#This Row],[C.OPE.]]</f>
        <v>1243.6499999999999</v>
      </c>
      <c r="U284" s="15">
        <f>DATA[[#This Row],[SUB TOTAL]]*0.18</f>
        <v>223.85699999999997</v>
      </c>
      <c r="V284" s="15">
        <f>IFERROR(ROUND(DATA[[#This Row],[SUB TOTAL]]+DATA[[#This Row],[IGV]],2),0)</f>
        <v>1467.51</v>
      </c>
      <c r="W284" s="16" t="str">
        <f>IF(DATA[[#This Row],[VALORIZACIÓN ]]="-","NO CORRESPONDE",IF(OR(A284=20558226979,A284=10470707866,A284=20111157058,A284=20100226902),"NO CORRESPONDE",IF(J284="Emitida",IF(P284&gt;0,"EMITIDA","PENDIENTE"),"NO CORRESPONDE")))</f>
        <v>EMITIDA</v>
      </c>
      <c r="X284" s="29"/>
      <c r="Y284" s="17" t="s">
        <v>118</v>
      </c>
      <c r="Z284" s="30">
        <v>45716</v>
      </c>
      <c r="AA284" s="10" t="s">
        <v>124</v>
      </c>
      <c r="AB284" s="19">
        <v>583</v>
      </c>
      <c r="AC284" s="20">
        <v>15</v>
      </c>
      <c r="AD284" s="18">
        <f>DATA[[#This Row],[FECHA DE EMISION]]+DATA[[#This Row],[CONDICION DE PAGO]]</f>
        <v>45731</v>
      </c>
      <c r="AE284" s="23" t="e">
        <f>IF(DATA[[#This Row],[MONEDA]]="USD",VLOOKUP(DATA[[#This Row],[COMBINADA]],#REF!,11,0),1)</f>
        <v>#REF!</v>
      </c>
      <c r="AF284" s="39" t="str">
        <f>IF(DATA[[#This Row],[SERIE2]]="-","NO CORRESPONDE",IF(W284="NO CORRESPONDE","NO CORRESPONDE",IF(Z284&gt;0,"FACTURADO","PENDIENTE")))</f>
        <v>FACTURADO</v>
      </c>
      <c r="AG284" s="27">
        <f>IFERROR(VLOOKUP(DATA[[#This Row],[COMBINADA]],#REF!,6,0),0)</f>
        <v>0</v>
      </c>
      <c r="AH284" s="125">
        <f>IFERROR(VLOOKUP(DATA[[#This Row],[COMBINADA]],#REF!,9,0),0)/COUNTIFS(DATA[COMBINADA],DATA[[#This Row],[COMBINADA]])</f>
        <v>0</v>
      </c>
      <c r="AI284" s="27">
        <f>IFERROR(VLOOKUP(DATA[[#This Row],[COMBINADA]],#REF!,6,0),0)</f>
        <v>0</v>
      </c>
      <c r="AJ284" s="125">
        <f>IFERROR(VLOOKUP(DATA[[#This Row],[COMBINADA]],#REF!,9,0),0)/COUNTIFS(DATA[COMBINADA],DATA[[#This Row],[COMBINADA]])</f>
        <v>0</v>
      </c>
      <c r="AK284" s="27">
        <f>IFERROR(VLOOKUP(DATA[[#This Row],[COMBINADA]],#REF!,6,0),0)</f>
        <v>0</v>
      </c>
      <c r="AL284" s="125">
        <f>IFERROR(VLOOKUP(DATA[[#This Row],[COMBINADA]],#REF!,9,0),0)/COUNTIFS(DATA[COMBINADA],DATA[[#This Row],[COMBINADA]])</f>
        <v>0</v>
      </c>
      <c r="AM284" s="27">
        <f>IFERROR(VLOOKUP(DATA[[#This Row],[COMBINADA]],#REF!,6,0),0)</f>
        <v>0</v>
      </c>
      <c r="AN284" s="125">
        <f>IFERROR(VLOOKUP(DATA[[#This Row],[COMBINADA]],#REF!,9,0),0)/COUNTIFS(DATA[COMBINADA],DATA[[#This Row],[COMBINADA]])</f>
        <v>0</v>
      </c>
      <c r="AO284" s="27">
        <f>IFERROR(VLOOKUP(DATA[[#This Row],[COMBINADA]],#REF!,6,0),0)</f>
        <v>0</v>
      </c>
      <c r="AP284" s="125">
        <f>IFERROR(VLOOKUP(DATA[[#This Row],[COMBINADA]],#REF!,9,0),0)/COUNTIFS(DATA[COMBINADA],DATA[[#This Row],[COMBINADA]])</f>
        <v>0</v>
      </c>
      <c r="AQ28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677.24384615384611</v>
      </c>
      <c r="AR284" s="26" t="str">
        <f>IFERROR(IF(DATA[[#This Row],[estado_fact]]="FACTURADO",VLOOKUP(DATA[[#This Row],[SERIE2]]&amp;"-"&amp;DATA[[#This Row],[NUMERO]],#REF!,34,0),"NO CORRESPONDE"),"NO CORRESPONDE")</f>
        <v>NO CORRESPONDE</v>
      </c>
      <c r="AS284" s="22" t="str">
        <f>IF(DATA[[#This Row],[fecha_fs]]&gt;0,TEXT(DATA[[#This Row],[fecha_fs]],"Mmmm"),0)</f>
        <v>Febrero</v>
      </c>
      <c r="AT284" s="22" t="str">
        <f>DATA[[#This Row],[SERIE2]]&amp;"-"&amp;DATA[[#This Row],[NUMERO]]</f>
        <v>FE01-583</v>
      </c>
      <c r="AU284" s="28" t="e">
        <f>DATA[[#This Row],[TOTAL]]*DATA[[#This Row],[T.C.]]</f>
        <v>#REF!</v>
      </c>
      <c r="AV284" s="6">
        <f>DATA[[#This Row],[FECHA DE VAL.]]</f>
        <v>45714</v>
      </c>
      <c r="AW284" s="6">
        <f>DATA[[#This Row],[FECHA DE EMISION]]</f>
        <v>45716</v>
      </c>
      <c r="AX284" s="6">
        <f>DATA[[#This Row],[F1]]</f>
        <v>0</v>
      </c>
      <c r="AY284" s="20">
        <f>IF(AV284-DATA[[#This Row],[fecha_fs]]&lt;0,0,AV284-DATA[[#This Row],[fecha_fs]])</f>
        <v>0</v>
      </c>
      <c r="AZ284" s="20">
        <f t="shared" si="28"/>
        <v>2</v>
      </c>
      <c r="BA284" s="20">
        <f t="shared" si="29"/>
        <v>0</v>
      </c>
      <c r="BB284" s="195">
        <f>IFERROR(SUM(DATA[[#This Row],[fs_val_ttf]:[fact_pago_ttf]]),0)</f>
        <v>2</v>
      </c>
      <c r="BC284" s="185">
        <v>45721</v>
      </c>
      <c r="BD284" s="185">
        <v>45729</v>
      </c>
      <c r="BE284" s="185">
        <v>45729</v>
      </c>
      <c r="BF284" s="185">
        <v>45760</v>
      </c>
      <c r="BG284" s="20">
        <f>IFERROR(IF(BC284-DATA[[#This Row],[fecha_fs]]&lt;0,0,BC284-DATA[[#This Row],[fecha_fs]]),0)</f>
        <v>7</v>
      </c>
      <c r="BH284" s="20">
        <f t="shared" si="33"/>
        <v>8</v>
      </c>
      <c r="BI284" s="20">
        <f t="shared" si="34"/>
        <v>0</v>
      </c>
      <c r="BJ284" s="20">
        <f t="shared" si="35"/>
        <v>31</v>
      </c>
      <c r="BK284" s="218">
        <f>IFERROR(SUM(DATA[[#This Row],[fs_fd_ttd]:[fend_fenf_ttd]]),0)</f>
        <v>46</v>
      </c>
      <c r="BL284" s="20" t="str">
        <f>IF(DATA[[#This Row],[fecha_fs]]&gt;0,TEXT(DATA[[#This Row],[fecha_fs]],"YYYY"),0)</f>
        <v>2025</v>
      </c>
      <c r="BM284" s="221" t="b">
        <v>1</v>
      </c>
      <c r="BN284" s="278">
        <f>COUNTIF(DATA[[#This Row],[tiempo_td]], "&lt;=15")</f>
        <v>0</v>
      </c>
      <c r="BO284" s="222"/>
    </row>
    <row r="285" spans="1:67" ht="30.6" customHeight="1" x14ac:dyDescent="0.25">
      <c r="A285" s="4">
        <v>20100192064</v>
      </c>
      <c r="B285" s="5" t="s">
        <v>60</v>
      </c>
      <c r="C285" s="52" t="s">
        <v>65</v>
      </c>
      <c r="D285" s="4" t="s">
        <v>183</v>
      </c>
      <c r="E285" s="5" t="s">
        <v>61</v>
      </c>
      <c r="F285" s="24">
        <v>45714</v>
      </c>
      <c r="G285" s="7" t="s">
        <v>142</v>
      </c>
      <c r="H285" s="25">
        <f t="shared" si="27"/>
        <v>2</v>
      </c>
      <c r="I285" s="67">
        <v>1055</v>
      </c>
      <c r="J285" s="8" t="s">
        <v>115</v>
      </c>
      <c r="K285" s="9" t="s">
        <v>184</v>
      </c>
      <c r="L285" s="10" t="s">
        <v>117</v>
      </c>
      <c r="M285" s="11">
        <v>71750</v>
      </c>
      <c r="N285" s="12" t="s">
        <v>114</v>
      </c>
      <c r="O285" s="6">
        <v>45714</v>
      </c>
      <c r="P285" s="71">
        <v>3325</v>
      </c>
      <c r="Q285" s="14" t="s">
        <v>123</v>
      </c>
      <c r="R285" s="75"/>
      <c r="S285" s="56">
        <f>(DATA[[#This Row],[cantidad_fs]]/1000)*19</f>
        <v>1363.25</v>
      </c>
      <c r="T285" s="15">
        <f>DATA[[#This Row],[C. DF]]+DATA[[#This Row],[C.OPE.]]</f>
        <v>1363.25</v>
      </c>
      <c r="U285" s="15">
        <f>DATA[[#This Row],[SUB TOTAL]]*0.18</f>
        <v>245.38499999999999</v>
      </c>
      <c r="V285" s="15">
        <f>IFERROR(ROUND(DATA[[#This Row],[SUB TOTAL]]+DATA[[#This Row],[IGV]],2),0)</f>
        <v>1608.64</v>
      </c>
      <c r="W285" s="16" t="str">
        <f>IF(DATA[[#This Row],[VALORIZACIÓN ]]="-","NO CORRESPONDE",IF(OR(A285=20558226979,A285=10470707866,A285=20111157058,A285=20100226902),"NO CORRESPONDE",IF(J285="Emitida",IF(P285&gt;0,"EMITIDA","PENDIENTE"),"NO CORRESPONDE")))</f>
        <v>EMITIDA</v>
      </c>
      <c r="X285" s="29"/>
      <c r="Y285" s="17" t="s">
        <v>118</v>
      </c>
      <c r="Z285" s="30">
        <v>45716</v>
      </c>
      <c r="AA285" s="10" t="s">
        <v>124</v>
      </c>
      <c r="AB285" s="19">
        <v>583</v>
      </c>
      <c r="AC285" s="20">
        <v>15</v>
      </c>
      <c r="AD285" s="18">
        <f>DATA[[#This Row],[FECHA DE EMISION]]+DATA[[#This Row],[CONDICION DE PAGO]]</f>
        <v>45731</v>
      </c>
      <c r="AE285" s="23" t="e">
        <f>IF(DATA[[#This Row],[MONEDA]]="USD",VLOOKUP(DATA[[#This Row],[COMBINADA]],#REF!,11,0),1)</f>
        <v>#REF!</v>
      </c>
      <c r="AF285" s="39" t="str">
        <f>IF(DATA[[#This Row],[SERIE2]]="-","NO CORRESPONDE",IF(W285="NO CORRESPONDE","NO CORRESPONDE",IF(Z285&gt;0,"FACTURADO","PENDIENTE")))</f>
        <v>FACTURADO</v>
      </c>
      <c r="AG285" s="27">
        <f>IFERROR(VLOOKUP(DATA[[#This Row],[COMBINADA]],#REF!,6,0),0)</f>
        <v>0</v>
      </c>
      <c r="AH285" s="125">
        <f>IFERROR(VLOOKUP(DATA[[#This Row],[COMBINADA]],#REF!,9,0),0)/COUNTIFS(DATA[COMBINADA],DATA[[#This Row],[COMBINADA]])</f>
        <v>0</v>
      </c>
      <c r="AI285" s="27">
        <f>IFERROR(VLOOKUP(DATA[[#This Row],[COMBINADA]],#REF!,6,0),0)</f>
        <v>0</v>
      </c>
      <c r="AJ285" s="125">
        <f>IFERROR(VLOOKUP(DATA[[#This Row],[COMBINADA]],#REF!,9,0),0)/COUNTIFS(DATA[COMBINADA],DATA[[#This Row],[COMBINADA]])</f>
        <v>0</v>
      </c>
      <c r="AK285" s="27">
        <f>IFERROR(VLOOKUP(DATA[[#This Row],[COMBINADA]],#REF!,6,0),0)</f>
        <v>0</v>
      </c>
      <c r="AL285" s="125">
        <f>IFERROR(VLOOKUP(DATA[[#This Row],[COMBINADA]],#REF!,9,0),0)/COUNTIFS(DATA[COMBINADA],DATA[[#This Row],[COMBINADA]])</f>
        <v>0</v>
      </c>
      <c r="AM285" s="27">
        <f>IFERROR(VLOOKUP(DATA[[#This Row],[COMBINADA]],#REF!,6,0),0)</f>
        <v>0</v>
      </c>
      <c r="AN285" s="125">
        <f>IFERROR(VLOOKUP(DATA[[#This Row],[COMBINADA]],#REF!,9,0),0)/COUNTIFS(DATA[COMBINADA],DATA[[#This Row],[COMBINADA]])</f>
        <v>0</v>
      </c>
      <c r="AO285" s="27">
        <f>IFERROR(VLOOKUP(DATA[[#This Row],[COMBINADA]],#REF!,6,0),0)</f>
        <v>0</v>
      </c>
      <c r="AP285" s="125">
        <f>IFERROR(VLOOKUP(DATA[[#This Row],[COMBINADA]],#REF!,9,0),0)/COUNTIFS(DATA[COMBINADA],DATA[[#This Row],[COMBINADA]])</f>
        <v>0</v>
      </c>
      <c r="AQ28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677.24384615384611</v>
      </c>
      <c r="AR285" s="26" t="str">
        <f>IFERROR(IF(DATA[[#This Row],[estado_fact]]="FACTURADO",VLOOKUP(DATA[[#This Row],[SERIE2]]&amp;"-"&amp;DATA[[#This Row],[NUMERO]],#REF!,34,0),"NO CORRESPONDE"),"NO CORRESPONDE")</f>
        <v>NO CORRESPONDE</v>
      </c>
      <c r="AS285" s="22" t="str">
        <f>IF(DATA[[#This Row],[fecha_fs]]&gt;0,TEXT(DATA[[#This Row],[fecha_fs]],"Mmmm"),0)</f>
        <v>Febrero</v>
      </c>
      <c r="AT285" s="22" t="str">
        <f>DATA[[#This Row],[SERIE2]]&amp;"-"&amp;DATA[[#This Row],[NUMERO]]</f>
        <v>FE01-583</v>
      </c>
      <c r="AU285" s="28" t="e">
        <f>DATA[[#This Row],[TOTAL]]*DATA[[#This Row],[T.C.]]</f>
        <v>#REF!</v>
      </c>
      <c r="AV285" s="6">
        <f>DATA[[#This Row],[FECHA DE VAL.]]</f>
        <v>45714</v>
      </c>
      <c r="AW285" s="6">
        <f>DATA[[#This Row],[FECHA DE EMISION]]</f>
        <v>45716</v>
      </c>
      <c r="AX285" s="6">
        <f>DATA[[#This Row],[F1]]</f>
        <v>0</v>
      </c>
      <c r="AY285" s="20">
        <f>IF(AV285-DATA[[#This Row],[fecha_fs]]&lt;0,0,AV285-DATA[[#This Row],[fecha_fs]])</f>
        <v>0</v>
      </c>
      <c r="AZ285" s="20">
        <f t="shared" si="28"/>
        <v>2</v>
      </c>
      <c r="BA285" s="20">
        <f t="shared" si="29"/>
        <v>0</v>
      </c>
      <c r="BB285" s="195">
        <f>IFERROR(SUM(DATA[[#This Row],[fs_val_ttf]:[fact_pago_ttf]]),0)</f>
        <v>2</v>
      </c>
      <c r="BC285" s="185" t="s">
        <v>292</v>
      </c>
      <c r="BD285" s="185" t="s">
        <v>292</v>
      </c>
      <c r="BE285" s="185" t="s">
        <v>292</v>
      </c>
      <c r="BF285" s="185" t="s">
        <v>292</v>
      </c>
      <c r="BG285" s="20">
        <f>IFERROR(IF(BC285-DATA[[#This Row],[fecha_fs]]&lt;0,0,BC285-DATA[[#This Row],[fecha_fs]]),0)</f>
        <v>0</v>
      </c>
      <c r="BH285" s="20">
        <f t="shared" si="33"/>
        <v>0</v>
      </c>
      <c r="BI285" s="20">
        <f t="shared" si="34"/>
        <v>0</v>
      </c>
      <c r="BJ285" s="20">
        <f t="shared" si="35"/>
        <v>0</v>
      </c>
      <c r="BK285" s="218">
        <f>IFERROR(SUM(DATA[[#This Row],[fs_fd_ttd]:[fend_fenf_ttd]]),0)</f>
        <v>0</v>
      </c>
      <c r="BL285" s="20" t="str">
        <f>IF(DATA[[#This Row],[fecha_fs]]&gt;0,TEXT(DATA[[#This Row],[fecha_fs]],"YYYY"),0)</f>
        <v>2025</v>
      </c>
      <c r="BM285" s="221" t="b">
        <v>1</v>
      </c>
      <c r="BN285" s="278">
        <f>COUNTIF(DATA[[#This Row],[tiempo_td]], "&lt;=15")</f>
        <v>1</v>
      </c>
      <c r="BO285" s="222"/>
    </row>
    <row r="286" spans="1:67" ht="30.6" customHeight="1" x14ac:dyDescent="0.25">
      <c r="A286" s="4">
        <v>20100211115</v>
      </c>
      <c r="B286" s="5" t="s">
        <v>41</v>
      </c>
      <c r="C286" s="52" t="s">
        <v>18</v>
      </c>
      <c r="D286" s="4" t="s">
        <v>120</v>
      </c>
      <c r="E286" s="5" t="s">
        <v>3</v>
      </c>
      <c r="F286" s="24">
        <v>45714</v>
      </c>
      <c r="G286" s="7" t="s">
        <v>113</v>
      </c>
      <c r="H286" s="25">
        <f t="shared" si="27"/>
        <v>1</v>
      </c>
      <c r="I286" s="67">
        <v>4169</v>
      </c>
      <c r="J286" s="8" t="s">
        <v>115</v>
      </c>
      <c r="K286" s="9" t="s">
        <v>121</v>
      </c>
      <c r="L286" s="10" t="s">
        <v>117</v>
      </c>
      <c r="M286" s="11">
        <v>90</v>
      </c>
      <c r="N286" s="12" t="s">
        <v>141</v>
      </c>
      <c r="O286" s="6">
        <v>45716</v>
      </c>
      <c r="P286" s="115">
        <v>3326</v>
      </c>
      <c r="Q286" s="14" t="s">
        <v>85</v>
      </c>
      <c r="R286" s="75"/>
      <c r="S286" s="56">
        <v>393.3</v>
      </c>
      <c r="T286" s="15">
        <f>DATA[[#This Row],[C. DF]]+DATA[[#This Row],[C.OPE.]]</f>
        <v>393.3</v>
      </c>
      <c r="U286" s="15">
        <f>DATA[[#This Row],[SUB TOTAL]]*0.18</f>
        <v>70.793999999999997</v>
      </c>
      <c r="V286" s="15">
        <f>IFERROR(ROUND(DATA[[#This Row],[SUB TOTAL]]+DATA[[#This Row],[IGV]],2),0)</f>
        <v>464.09</v>
      </c>
      <c r="W286" s="16" t="str">
        <f>IF(DATA[[#This Row],[VALORIZACIÓN ]]="-","NO CORRESPONDE",IF(OR(A286=20558226979,A286=10470707866,A286=20111157058,A286=20100226902),"NO CORRESPONDE",IF(J286="Emitida",IF(P286&gt;0,"EMITIDA","PENDIENTE"),"NO CORRESPONDE")))</f>
        <v>EMITIDA</v>
      </c>
      <c r="X286" s="29"/>
      <c r="Y286" s="17" t="s">
        <v>118</v>
      </c>
      <c r="Z286" s="30">
        <v>45722</v>
      </c>
      <c r="AA286" s="10" t="s">
        <v>124</v>
      </c>
      <c r="AB286" s="19">
        <v>588</v>
      </c>
      <c r="AC286" s="20">
        <v>30</v>
      </c>
      <c r="AD286" s="18">
        <f>DATA[[#This Row],[FECHA DE EMISION]]+DATA[[#This Row],[CONDICION DE PAGO]]</f>
        <v>45752</v>
      </c>
      <c r="AE286" s="23">
        <f>IF(DATA[[#This Row],[MONEDA]]="USD",VLOOKUP(DATA[[#This Row],[COMBINADA]],#REF!,11,0),1)</f>
        <v>1</v>
      </c>
      <c r="AF286" s="39" t="str">
        <f>IF(DATA[[#This Row],[SERIE2]]="-","NO CORRESPONDE",IF(W286="NO CORRESPONDE","NO CORRESPONDE",IF(Z286&gt;0,"FACTURADO","PENDIENTE")))</f>
        <v>FACTURADO</v>
      </c>
      <c r="AG286" s="27">
        <f>IFERROR(VLOOKUP(DATA[[#This Row],[COMBINADA]],#REF!,6,0),0)</f>
        <v>0</v>
      </c>
      <c r="AH286" s="125">
        <f>IFERROR(VLOOKUP(DATA[[#This Row],[COMBINADA]],#REF!,9,0),0)/COUNTIFS(DATA[COMBINADA],DATA[[#This Row],[COMBINADA]])</f>
        <v>0</v>
      </c>
      <c r="AI286" s="27">
        <f>IFERROR(VLOOKUP(DATA[[#This Row],[COMBINADA]],#REF!,6,0),0)</f>
        <v>0</v>
      </c>
      <c r="AJ286" s="125">
        <f>IFERROR(VLOOKUP(DATA[[#This Row],[COMBINADA]],#REF!,9,0),0)/COUNTIFS(DATA[COMBINADA],DATA[[#This Row],[COMBINADA]])</f>
        <v>0</v>
      </c>
      <c r="AK286" s="27">
        <f>IFERROR(VLOOKUP(DATA[[#This Row],[COMBINADA]],#REF!,6,0),0)</f>
        <v>0</v>
      </c>
      <c r="AL286" s="125">
        <f>IFERROR(VLOOKUP(DATA[[#This Row],[COMBINADA]],#REF!,9,0),0)/COUNTIFS(DATA[COMBINADA],DATA[[#This Row],[COMBINADA]])</f>
        <v>0</v>
      </c>
      <c r="AM286" s="27">
        <f>IFERROR(VLOOKUP(DATA[[#This Row],[COMBINADA]],#REF!,6,0),0)</f>
        <v>0</v>
      </c>
      <c r="AN286" s="125">
        <f>IFERROR(VLOOKUP(DATA[[#This Row],[COMBINADA]],#REF!,9,0),0)/COUNTIFS(DATA[COMBINADA],DATA[[#This Row],[COMBINADA]])</f>
        <v>0</v>
      </c>
      <c r="AO286" s="27">
        <f>IFERROR(VLOOKUP(DATA[[#This Row],[COMBINADA]],#REF!,6,0),0)</f>
        <v>0</v>
      </c>
      <c r="AP286" s="125">
        <f>IFERROR(VLOOKUP(DATA[[#This Row],[COMBINADA]],#REF!,9,0),0)/COUNTIFS(DATA[COMBINADA],DATA[[#This Row],[COMBINADA]])</f>
        <v>0</v>
      </c>
      <c r="AQ28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286" s="26" t="str">
        <f>IFERROR(IF(DATA[[#This Row],[estado_fact]]="FACTURADO",VLOOKUP(DATA[[#This Row],[SERIE2]]&amp;"-"&amp;DATA[[#This Row],[NUMERO]],#REF!,34,0),"NO CORRESPONDE"),"NO CORRESPONDE")</f>
        <v>NO CORRESPONDE</v>
      </c>
      <c r="AS286" s="22" t="str">
        <f>IF(DATA[[#This Row],[fecha_fs]]&gt;0,TEXT(DATA[[#This Row],[fecha_fs]],"Mmmm"),0)</f>
        <v>Febrero</v>
      </c>
      <c r="AT286" s="22" t="str">
        <f>DATA[[#This Row],[SERIE2]]&amp;"-"&amp;DATA[[#This Row],[NUMERO]]</f>
        <v>FE01-588</v>
      </c>
      <c r="AU286" s="28">
        <f>DATA[[#This Row],[TOTAL]]*DATA[[#This Row],[T.C.]]</f>
        <v>464.09</v>
      </c>
      <c r="AV286" s="6">
        <f>DATA[[#This Row],[FECHA DE VAL.]]</f>
        <v>45716</v>
      </c>
      <c r="AW286" s="6">
        <f>DATA[[#This Row],[FECHA DE EMISION]]</f>
        <v>45722</v>
      </c>
      <c r="AX286" s="6">
        <f>DATA[[#This Row],[F1]]</f>
        <v>0</v>
      </c>
      <c r="AY286" s="20">
        <f>IF(AV286-DATA[[#This Row],[fecha_fs]]&lt;0,0,AV286-DATA[[#This Row],[fecha_fs]])</f>
        <v>2</v>
      </c>
      <c r="AZ286" s="20">
        <f t="shared" si="28"/>
        <v>6</v>
      </c>
      <c r="BA286" s="20">
        <f t="shared" si="29"/>
        <v>0</v>
      </c>
      <c r="BB286" s="195">
        <f>IFERROR(SUM(DATA[[#This Row],[fs_val_ttf]:[fact_pago_ttf]]),0)</f>
        <v>8</v>
      </c>
      <c r="BC286" s="184">
        <v>45729</v>
      </c>
      <c r="BD286" s="184">
        <v>45735</v>
      </c>
      <c r="BE286" s="184">
        <v>45740</v>
      </c>
      <c r="BF286" s="184">
        <v>45749</v>
      </c>
      <c r="BG286" s="20">
        <f>IFERROR(IF(BC286-DATA[[#This Row],[fecha_fs]]&lt;0,0,BC286-DATA[[#This Row],[fecha_fs]]),0)</f>
        <v>15</v>
      </c>
      <c r="BH286" s="20">
        <f t="shared" si="33"/>
        <v>6</v>
      </c>
      <c r="BI286" s="20">
        <f t="shared" si="34"/>
        <v>5</v>
      </c>
      <c r="BJ286" s="20">
        <f t="shared" si="35"/>
        <v>9</v>
      </c>
      <c r="BK286" s="218">
        <f>IFERROR(SUM(DATA[[#This Row],[fs_fd_ttd]:[fend_fenf_ttd]]),0)</f>
        <v>35</v>
      </c>
      <c r="BL286" s="20" t="str">
        <f>IF(DATA[[#This Row],[fecha_fs]]&gt;0,TEXT(DATA[[#This Row],[fecha_fs]],"YYYY"),0)</f>
        <v>2025</v>
      </c>
      <c r="BM286" s="221" t="b">
        <v>1</v>
      </c>
      <c r="BN286" s="278">
        <f>COUNTIF(DATA[[#This Row],[tiempo_td]], "&lt;=15")</f>
        <v>0</v>
      </c>
      <c r="BO286" s="222"/>
    </row>
    <row r="287" spans="1:67" ht="30" customHeight="1" x14ac:dyDescent="0.25">
      <c r="A287" s="4"/>
      <c r="B287" s="5" t="s">
        <v>0</v>
      </c>
      <c r="C287" s="52"/>
      <c r="D287" s="4"/>
      <c r="E287" s="5" t="s">
        <v>0</v>
      </c>
      <c r="F287" s="24">
        <v>45714</v>
      </c>
      <c r="G287" s="7" t="s">
        <v>113</v>
      </c>
      <c r="H287" s="25">
        <f t="shared" si="27"/>
        <v>1</v>
      </c>
      <c r="I287" s="67">
        <v>4170</v>
      </c>
      <c r="J287" s="8" t="s">
        <v>173</v>
      </c>
      <c r="K287" s="9"/>
      <c r="L287" s="10"/>
      <c r="M287" s="111"/>
      <c r="N287" s="112"/>
      <c r="O287" s="6"/>
      <c r="P287" s="13" t="s">
        <v>114</v>
      </c>
      <c r="Q287" s="14"/>
      <c r="R287" s="43"/>
      <c r="S287" s="43"/>
      <c r="T287" s="43">
        <f>DATA[[#This Row],[C. DF]]+DATA[[#This Row],[C.OPE.]]</f>
        <v>0</v>
      </c>
      <c r="U287" s="73">
        <f>DATA[[#This Row],[SUB TOTAL]]*0.18</f>
        <v>0</v>
      </c>
      <c r="V287" s="45">
        <f>IFERROR(ROUND(DATA[[#This Row],[SUB TOTAL]]+DATA[[#This Row],[IGV]],2),0)</f>
        <v>0</v>
      </c>
      <c r="W287" s="58" t="str">
        <f>IF(DATA[[#This Row],[VALORIZACIÓN ]]="-","NO CORRESPONDE",IF(OR(A287=20558226979,A287=10470707866,A287=20111157058,A287=20100226902),"NO CORRESPONDE",IF(J287="Emitida",IF(P287&gt;0,"EMITIDA","PENDIENTE"),"NO CORRESPONDE")))</f>
        <v>NO CORRESPONDE</v>
      </c>
      <c r="X287" s="46"/>
      <c r="Y287" s="17" t="s">
        <v>128</v>
      </c>
      <c r="Z287" s="48"/>
      <c r="AA287" s="49"/>
      <c r="AB287" s="50"/>
      <c r="AC287" s="51"/>
      <c r="AD287" s="59">
        <f>DATA[[#This Row],[FECHA DE EMISION]]+DATA[[#This Row],[CONDICION DE PAGO]]</f>
        <v>0</v>
      </c>
      <c r="AE287" s="23">
        <f>IF(DATA[[#This Row],[MONEDA]]="USD",VLOOKUP(DATA[[#This Row],[COMBINADA]],#REF!,11,0),1)</f>
        <v>1</v>
      </c>
      <c r="AF287" s="39" t="str">
        <f>IF(DATA[[#This Row],[SERIE2]]="-","NO CORRESPONDE",IF(W287="NO CORRESPONDE","NO CORRESPONDE",IF(Z287&gt;0,"FACTURADO","PENDIENTE")))</f>
        <v>NO CORRESPONDE</v>
      </c>
      <c r="AG287" s="61">
        <f>IFERROR(VLOOKUP(DATA[[#This Row],[COMBINADA]],#REF!,6,0),0)</f>
        <v>0</v>
      </c>
      <c r="AH287" s="62">
        <f>IFERROR(VLOOKUP(DATA[[#This Row],[COMBINADA]],#REF!,9,0),0)/COUNTIFS(DATA[COMBINADA],DATA[[#This Row],[COMBINADA]])</f>
        <v>0</v>
      </c>
      <c r="AI287" s="61">
        <f>IFERROR(VLOOKUP(DATA[[#This Row],[COMBINADA]],#REF!,6,0),0)</f>
        <v>0</v>
      </c>
      <c r="AJ287" s="62">
        <f>IFERROR(VLOOKUP(DATA[[#This Row],[COMBINADA]],#REF!,9,0),0)/COUNTIFS(DATA[COMBINADA],DATA[[#This Row],[COMBINADA]])</f>
        <v>0</v>
      </c>
      <c r="AK287" s="61">
        <f>IFERROR(VLOOKUP(DATA[[#This Row],[COMBINADA]],#REF!,6,0),0)</f>
        <v>0</v>
      </c>
      <c r="AL287" s="62">
        <f>IFERROR(VLOOKUP(DATA[[#This Row],[COMBINADA]],#REF!,9,0),0)/COUNTIFS(DATA[COMBINADA],DATA[[#This Row],[COMBINADA]])</f>
        <v>0</v>
      </c>
      <c r="AM287" s="61">
        <f>IFERROR(VLOOKUP(DATA[[#This Row],[COMBINADA]],#REF!,6,0),0)</f>
        <v>0</v>
      </c>
      <c r="AN287" s="62">
        <f>IFERROR(VLOOKUP(DATA[[#This Row],[COMBINADA]],#REF!,9,0),0)/COUNTIFS(DATA[COMBINADA],DATA[[#This Row],[COMBINADA]])</f>
        <v>0</v>
      </c>
      <c r="AO287" s="61">
        <f>IFERROR(VLOOKUP(DATA[[#This Row],[COMBINADA]],#REF!,6,0),0)</f>
        <v>0</v>
      </c>
      <c r="AP287" s="62">
        <f>IFERROR(VLOOKUP(DATA[[#This Row],[COMBINADA]],#REF!,9,0),0)/COUNTIFS(DATA[COMBINADA],DATA[[#This Row],[COMBINADA]])</f>
        <v>0</v>
      </c>
      <c r="AQ287"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287" s="22" t="str">
        <f>IFERROR(IF(DATA[[#This Row],[estado_fact]]="FACTURADO",VLOOKUP(DATA[[#This Row],[SERIE2]]&amp;"-"&amp;DATA[[#This Row],[NUMERO]],#REF!,34,0),"NO CORRESPONDE"),"NO CORRESPONDE")</f>
        <v>NO CORRESPONDE</v>
      </c>
      <c r="AS287" s="198" t="str">
        <f>IF(DATA[[#This Row],[fecha_fs]]&gt;0,TEXT(DATA[[#This Row],[fecha_fs]],"Mmmm"),0)</f>
        <v>Febrero</v>
      </c>
      <c r="AT287" s="199" t="str">
        <f>DATA[[#This Row],[SERIE2]]&amp;"-"&amp;DATA[[#This Row],[NUMERO]]</f>
        <v>-</v>
      </c>
      <c r="AU287" s="198">
        <f>DATA[[#This Row],[TOTAL]]*DATA[[#This Row],[T.C.]]</f>
        <v>0</v>
      </c>
      <c r="AV287" s="40">
        <f>DATA[[#This Row],[FECHA DE VAL.]]</f>
        <v>0</v>
      </c>
      <c r="AW287" s="40">
        <f>DATA[[#This Row],[FECHA DE EMISION]]</f>
        <v>0</v>
      </c>
      <c r="AX287" s="40">
        <f>DATA[[#This Row],[F1]]</f>
        <v>0</v>
      </c>
      <c r="AY287" s="49">
        <f>IF(AV287-DATA[[#This Row],[fecha_fs]]&lt;0,0,AV287-DATA[[#This Row],[fecha_fs]])</f>
        <v>0</v>
      </c>
      <c r="AZ287" s="49">
        <f t="shared" si="28"/>
        <v>0</v>
      </c>
      <c r="BA287" s="49">
        <f t="shared" si="29"/>
        <v>0</v>
      </c>
      <c r="BB287" s="195">
        <f>IFERROR(SUM(DATA[[#This Row],[fs_val_ttf]:[fact_pago_ttf]]),0)</f>
        <v>0</v>
      </c>
      <c r="BC287" s="200"/>
      <c r="BD287" s="200"/>
      <c r="BE287" s="200"/>
      <c r="BF287" s="200"/>
      <c r="BG287" s="49">
        <f>IFERROR(IF(BC287-DATA[[#This Row],[fecha_fs]]&lt;0,0,BC287-DATA[[#This Row],[fecha_fs]]),0)</f>
        <v>0</v>
      </c>
      <c r="BH287" s="49">
        <f t="shared" si="33"/>
        <v>0</v>
      </c>
      <c r="BI287" s="49">
        <f t="shared" si="34"/>
        <v>0</v>
      </c>
      <c r="BJ287" s="49">
        <f t="shared" si="35"/>
        <v>0</v>
      </c>
      <c r="BK287" s="218">
        <f>IFERROR(SUM(DATA[[#This Row],[fs_fd_ttd]:[fend_fenf_ttd]]),0)</f>
        <v>0</v>
      </c>
      <c r="BL287" s="20" t="str">
        <f>IF(DATA[[#This Row],[fecha_fs]]&gt;0,TEXT(DATA[[#This Row],[fecha_fs]],"YYYY"),0)</f>
        <v>2025</v>
      </c>
      <c r="BM287" s="221" t="b">
        <v>0</v>
      </c>
      <c r="BN287" s="278"/>
      <c r="BO287" s="222"/>
    </row>
    <row r="288" spans="1:67" ht="30.6" customHeight="1" x14ac:dyDescent="0.25">
      <c r="A288" s="4">
        <v>20100192064</v>
      </c>
      <c r="B288" s="5" t="s">
        <v>60</v>
      </c>
      <c r="C288" s="52" t="s">
        <v>43</v>
      </c>
      <c r="D288" s="4" t="s">
        <v>120</v>
      </c>
      <c r="E288" s="5" t="s">
        <v>3</v>
      </c>
      <c r="F288" s="24">
        <v>45714</v>
      </c>
      <c r="G288" s="7" t="s">
        <v>113</v>
      </c>
      <c r="H288" s="25">
        <f t="shared" si="27"/>
        <v>1</v>
      </c>
      <c r="I288" s="67">
        <v>4171</v>
      </c>
      <c r="J288" s="8" t="s">
        <v>115</v>
      </c>
      <c r="K288" s="9" t="s">
        <v>121</v>
      </c>
      <c r="L288" s="10" t="s">
        <v>117</v>
      </c>
      <c r="M288" s="11">
        <v>1340</v>
      </c>
      <c r="N288" s="12" t="s">
        <v>132</v>
      </c>
      <c r="O288" s="6">
        <v>45714</v>
      </c>
      <c r="P288" s="71">
        <v>3314</v>
      </c>
      <c r="Q288" s="14" t="s">
        <v>123</v>
      </c>
      <c r="R288" s="56">
        <f>(DATA[[#This Row],[cantidad_fs]]/1000)*(47+174.34)</f>
        <v>296.59560000000005</v>
      </c>
      <c r="S288" s="56">
        <v>137</v>
      </c>
      <c r="T288" s="15">
        <f>DATA[[#This Row],[C. DF]]+DATA[[#This Row],[C.OPE.]]</f>
        <v>433.59560000000005</v>
      </c>
      <c r="U288" s="15">
        <f>DATA[[#This Row],[SUB TOTAL]]*0.18</f>
        <v>78.047208000000012</v>
      </c>
      <c r="V288" s="15">
        <f>IFERROR(ROUND(DATA[[#This Row],[SUB TOTAL]]+DATA[[#This Row],[IGV]],2),0)</f>
        <v>511.64</v>
      </c>
      <c r="W288" s="16" t="str">
        <f>IF(DATA[[#This Row],[VALORIZACIÓN ]]="-","NO CORRESPONDE",IF(OR(A288=20558226979,A288=10470707866,A288=20111157058,A288=20100226902),"NO CORRESPONDE",IF(J288="Emitida",IF(P288&gt;0,"EMITIDA","PENDIENTE"),"NO CORRESPONDE")))</f>
        <v>EMITIDA</v>
      </c>
      <c r="X288" s="29"/>
      <c r="Y288" s="17" t="s">
        <v>118</v>
      </c>
      <c r="Z288" s="30">
        <v>45716</v>
      </c>
      <c r="AA288" s="10" t="s">
        <v>124</v>
      </c>
      <c r="AB288" s="19">
        <v>579</v>
      </c>
      <c r="AC288" s="20">
        <v>30</v>
      </c>
      <c r="AD288" s="18">
        <f>DATA[[#This Row],[FECHA DE EMISION]]+DATA[[#This Row],[CONDICION DE PAGO]]</f>
        <v>45746</v>
      </c>
      <c r="AE288" s="23" t="e">
        <f>IF(DATA[[#This Row],[MONEDA]]="USD",VLOOKUP(DATA[[#This Row],[COMBINADA]],#REF!,11,0),1)</f>
        <v>#REF!</v>
      </c>
      <c r="AF288" s="39" t="str">
        <f>IF(DATA[[#This Row],[SERIE2]]="-","NO CORRESPONDE",IF(W288="NO CORRESPONDE","NO CORRESPONDE",IF(Z288&gt;0,"FACTURADO","PENDIENTE")))</f>
        <v>FACTURADO</v>
      </c>
      <c r="AG288" s="27">
        <f>IFERROR(VLOOKUP(DATA[[#This Row],[COMBINADA]],#REF!,6,0),0)</f>
        <v>0</v>
      </c>
      <c r="AH288" s="125">
        <f>IFERROR(VLOOKUP(DATA[[#This Row],[COMBINADA]],#REF!,9,0),0)/COUNTIFS(DATA[COMBINADA],DATA[[#This Row],[COMBINADA]])</f>
        <v>0</v>
      </c>
      <c r="AI288" s="27">
        <f>IFERROR(VLOOKUP(DATA[[#This Row],[COMBINADA]],#REF!,6,0),0)</f>
        <v>0</v>
      </c>
      <c r="AJ288" s="125">
        <f>IFERROR(VLOOKUP(DATA[[#This Row],[COMBINADA]],#REF!,9,0),0)/COUNTIFS(DATA[COMBINADA],DATA[[#This Row],[COMBINADA]])</f>
        <v>0</v>
      </c>
      <c r="AK288" s="27">
        <f>IFERROR(VLOOKUP(DATA[[#This Row],[COMBINADA]],#REF!,6,0),0)</f>
        <v>0</v>
      </c>
      <c r="AL288" s="125">
        <f>IFERROR(VLOOKUP(DATA[[#This Row],[COMBINADA]],#REF!,9,0),0)/COUNTIFS(DATA[COMBINADA],DATA[[#This Row],[COMBINADA]])</f>
        <v>0</v>
      </c>
      <c r="AM288" s="27">
        <f>IFERROR(VLOOKUP(DATA[[#This Row],[COMBINADA]],#REF!,6,0),0)</f>
        <v>0</v>
      </c>
      <c r="AN288" s="125">
        <f>IFERROR(VLOOKUP(DATA[[#This Row],[COMBINADA]],#REF!,9,0),0)/COUNTIFS(DATA[COMBINADA],DATA[[#This Row],[COMBINADA]])</f>
        <v>0</v>
      </c>
      <c r="AO288" s="27">
        <f>IFERROR(VLOOKUP(DATA[[#This Row],[COMBINADA]],#REF!,6,0),0)</f>
        <v>0</v>
      </c>
      <c r="AP288" s="125">
        <f>IFERROR(VLOOKUP(DATA[[#This Row],[COMBINADA]],#REF!,9,0),0)/COUNTIFS(DATA[COMBINADA],DATA[[#This Row],[COMBINADA]])</f>
        <v>0</v>
      </c>
      <c r="AQ28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603.34285714285716</v>
      </c>
      <c r="AR288" s="26" t="str">
        <f>IFERROR(IF(DATA[[#This Row],[estado_fact]]="FACTURADO",VLOOKUP(DATA[[#This Row],[SERIE2]]&amp;"-"&amp;DATA[[#This Row],[NUMERO]],#REF!,34,0),"NO CORRESPONDE"),"NO CORRESPONDE")</f>
        <v>NO CORRESPONDE</v>
      </c>
      <c r="AS288" s="22" t="str">
        <f>IF(DATA[[#This Row],[fecha_fs]]&gt;0,TEXT(DATA[[#This Row],[fecha_fs]],"Mmmm"),0)</f>
        <v>Febrero</v>
      </c>
      <c r="AT288" s="22" t="str">
        <f>DATA[[#This Row],[SERIE2]]&amp;"-"&amp;DATA[[#This Row],[NUMERO]]</f>
        <v>FE01-579</v>
      </c>
      <c r="AU288" s="28" t="e">
        <f>DATA[[#This Row],[TOTAL]]*DATA[[#This Row],[T.C.]]</f>
        <v>#REF!</v>
      </c>
      <c r="AV288" s="6">
        <f>DATA[[#This Row],[FECHA DE VAL.]]</f>
        <v>45714</v>
      </c>
      <c r="AW288" s="6">
        <f>DATA[[#This Row],[FECHA DE EMISION]]</f>
        <v>45716</v>
      </c>
      <c r="AX288" s="6">
        <f>DATA[[#This Row],[F1]]</f>
        <v>0</v>
      </c>
      <c r="AY288" s="20">
        <f>IF(AV288-DATA[[#This Row],[fecha_fs]]&lt;0,0,AV288-DATA[[#This Row],[fecha_fs]])</f>
        <v>0</v>
      </c>
      <c r="AZ288" s="20">
        <f t="shared" si="28"/>
        <v>2</v>
      </c>
      <c r="BA288" s="20">
        <f t="shared" si="29"/>
        <v>0</v>
      </c>
      <c r="BB288" s="195">
        <f>IFERROR(SUM(DATA[[#This Row],[fs_val_ttf]:[fact_pago_ttf]]),0)</f>
        <v>2</v>
      </c>
      <c r="BC288" s="185">
        <v>45733</v>
      </c>
      <c r="BD288" s="185">
        <v>45737</v>
      </c>
      <c r="BE288" s="185">
        <v>45737</v>
      </c>
      <c r="BF288" s="185">
        <v>45760</v>
      </c>
      <c r="BG288" s="20">
        <f>IFERROR(IF(BC288-DATA[[#This Row],[fecha_fs]]&lt;0,0,BC288-DATA[[#This Row],[fecha_fs]]),0)</f>
        <v>19</v>
      </c>
      <c r="BH288" s="20">
        <f t="shared" si="33"/>
        <v>4</v>
      </c>
      <c r="BI288" s="20">
        <f t="shared" si="34"/>
        <v>0</v>
      </c>
      <c r="BJ288" s="20">
        <f t="shared" si="35"/>
        <v>23</v>
      </c>
      <c r="BK288" s="218">
        <f>IFERROR(SUM(DATA[[#This Row],[fs_fd_ttd]:[fend_fenf_ttd]]),0)</f>
        <v>46</v>
      </c>
      <c r="BL288" s="20" t="str">
        <f>IF(DATA[[#This Row],[fecha_fs]]&gt;0,TEXT(DATA[[#This Row],[fecha_fs]],"YYYY"),0)</f>
        <v>2025</v>
      </c>
      <c r="BM288" s="221" t="b">
        <v>1</v>
      </c>
      <c r="BN288" s="278">
        <f>COUNTIF(DATA[[#This Row],[tiempo_td]], "&lt;=15")</f>
        <v>0</v>
      </c>
      <c r="BO288" s="222"/>
    </row>
    <row r="289" spans="1:67" ht="30" customHeight="1" x14ac:dyDescent="0.25">
      <c r="A289" s="4"/>
      <c r="B289" s="5" t="s">
        <v>0</v>
      </c>
      <c r="C289" s="52"/>
      <c r="D289" s="4"/>
      <c r="E289" s="5" t="s">
        <v>0</v>
      </c>
      <c r="F289" s="24">
        <v>45714</v>
      </c>
      <c r="G289" s="7" t="s">
        <v>113</v>
      </c>
      <c r="H289" s="25">
        <f t="shared" si="27"/>
        <v>1</v>
      </c>
      <c r="I289" s="67">
        <v>4172</v>
      </c>
      <c r="J289" s="8" t="s">
        <v>173</v>
      </c>
      <c r="K289" s="9"/>
      <c r="L289" s="10"/>
      <c r="M289" s="111"/>
      <c r="N289" s="112"/>
      <c r="O289" s="6"/>
      <c r="P289" s="13" t="s">
        <v>114</v>
      </c>
      <c r="Q289" s="14"/>
      <c r="R289" s="43"/>
      <c r="S289" s="43"/>
      <c r="T289" s="43">
        <f>DATA[[#This Row],[C. DF]]+DATA[[#This Row],[C.OPE.]]</f>
        <v>0</v>
      </c>
      <c r="U289" s="73">
        <f>DATA[[#This Row],[SUB TOTAL]]*0.18</f>
        <v>0</v>
      </c>
      <c r="V289" s="45">
        <f>IFERROR(ROUND(DATA[[#This Row],[SUB TOTAL]]+DATA[[#This Row],[IGV]],2),0)</f>
        <v>0</v>
      </c>
      <c r="W289" s="58" t="str">
        <f>IF(DATA[[#This Row],[VALORIZACIÓN ]]="-","NO CORRESPONDE",IF(OR(A289=20558226979,A289=10470707866,A289=20111157058,A289=20100226902),"NO CORRESPONDE",IF(J289="Emitida",IF(P289&gt;0,"EMITIDA","PENDIENTE"),"NO CORRESPONDE")))</f>
        <v>NO CORRESPONDE</v>
      </c>
      <c r="X289" s="46"/>
      <c r="Y289" s="17" t="s">
        <v>128</v>
      </c>
      <c r="Z289" s="48"/>
      <c r="AA289" s="49"/>
      <c r="AB289" s="50"/>
      <c r="AC289" s="51"/>
      <c r="AD289" s="59">
        <f>DATA[[#This Row],[FECHA DE EMISION]]+DATA[[#This Row],[CONDICION DE PAGO]]</f>
        <v>0</v>
      </c>
      <c r="AE289" s="23">
        <f>IF(DATA[[#This Row],[MONEDA]]="USD",VLOOKUP(DATA[[#This Row],[COMBINADA]],#REF!,11,0),1)</f>
        <v>1</v>
      </c>
      <c r="AF289" s="39" t="str">
        <f>IF(DATA[[#This Row],[SERIE2]]="-","NO CORRESPONDE",IF(W289="NO CORRESPONDE","NO CORRESPONDE",IF(Z289&gt;0,"FACTURADO","PENDIENTE")))</f>
        <v>NO CORRESPONDE</v>
      </c>
      <c r="AG289" s="61">
        <f>IFERROR(VLOOKUP(DATA[[#This Row],[COMBINADA]],#REF!,6,0),0)</f>
        <v>0</v>
      </c>
      <c r="AH289" s="62">
        <f>IFERROR(VLOOKUP(DATA[[#This Row],[COMBINADA]],#REF!,9,0),0)/COUNTIFS(DATA[COMBINADA],DATA[[#This Row],[COMBINADA]])</f>
        <v>0</v>
      </c>
      <c r="AI289" s="61">
        <f>IFERROR(VLOOKUP(DATA[[#This Row],[COMBINADA]],#REF!,6,0),0)</f>
        <v>0</v>
      </c>
      <c r="AJ289" s="62">
        <f>IFERROR(VLOOKUP(DATA[[#This Row],[COMBINADA]],#REF!,9,0),0)/COUNTIFS(DATA[COMBINADA],DATA[[#This Row],[COMBINADA]])</f>
        <v>0</v>
      </c>
      <c r="AK289" s="61">
        <f>IFERROR(VLOOKUP(DATA[[#This Row],[COMBINADA]],#REF!,6,0),0)</f>
        <v>0</v>
      </c>
      <c r="AL289" s="62">
        <f>IFERROR(VLOOKUP(DATA[[#This Row],[COMBINADA]],#REF!,9,0),0)/COUNTIFS(DATA[COMBINADA],DATA[[#This Row],[COMBINADA]])</f>
        <v>0</v>
      </c>
      <c r="AM289" s="61">
        <f>IFERROR(VLOOKUP(DATA[[#This Row],[COMBINADA]],#REF!,6,0),0)</f>
        <v>0</v>
      </c>
      <c r="AN289" s="62">
        <f>IFERROR(VLOOKUP(DATA[[#This Row],[COMBINADA]],#REF!,9,0),0)/COUNTIFS(DATA[COMBINADA],DATA[[#This Row],[COMBINADA]])</f>
        <v>0</v>
      </c>
      <c r="AO289" s="61">
        <f>IFERROR(VLOOKUP(DATA[[#This Row],[COMBINADA]],#REF!,6,0),0)</f>
        <v>0</v>
      </c>
      <c r="AP289" s="62">
        <f>IFERROR(VLOOKUP(DATA[[#This Row],[COMBINADA]],#REF!,9,0),0)/COUNTIFS(DATA[COMBINADA],DATA[[#This Row],[COMBINADA]])</f>
        <v>0</v>
      </c>
      <c r="AQ289"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289" s="22" t="str">
        <f>IFERROR(IF(DATA[[#This Row],[estado_fact]]="FACTURADO",VLOOKUP(DATA[[#This Row],[SERIE2]]&amp;"-"&amp;DATA[[#This Row],[NUMERO]],#REF!,34,0),"NO CORRESPONDE"),"NO CORRESPONDE")</f>
        <v>NO CORRESPONDE</v>
      </c>
      <c r="AS289" s="198" t="str">
        <f>IF(DATA[[#This Row],[fecha_fs]]&gt;0,TEXT(DATA[[#This Row],[fecha_fs]],"Mmmm"),0)</f>
        <v>Febrero</v>
      </c>
      <c r="AT289" s="199" t="str">
        <f>DATA[[#This Row],[SERIE2]]&amp;"-"&amp;DATA[[#This Row],[NUMERO]]</f>
        <v>-</v>
      </c>
      <c r="AU289" s="198">
        <f>DATA[[#This Row],[TOTAL]]*DATA[[#This Row],[T.C.]]</f>
        <v>0</v>
      </c>
      <c r="AV289" s="40">
        <f>DATA[[#This Row],[FECHA DE VAL.]]</f>
        <v>0</v>
      </c>
      <c r="AW289" s="40">
        <f>DATA[[#This Row],[FECHA DE EMISION]]</f>
        <v>0</v>
      </c>
      <c r="AX289" s="40">
        <f>DATA[[#This Row],[F1]]</f>
        <v>0</v>
      </c>
      <c r="AY289" s="49">
        <f>IF(AV289-DATA[[#This Row],[fecha_fs]]&lt;0,0,AV289-DATA[[#This Row],[fecha_fs]])</f>
        <v>0</v>
      </c>
      <c r="AZ289" s="49">
        <f t="shared" si="28"/>
        <v>0</v>
      </c>
      <c r="BA289" s="49">
        <f t="shared" si="29"/>
        <v>0</v>
      </c>
      <c r="BB289" s="195">
        <f>IFERROR(SUM(DATA[[#This Row],[fs_val_ttf]:[fact_pago_ttf]]),0)</f>
        <v>0</v>
      </c>
      <c r="BC289" s="200"/>
      <c r="BD289" s="200"/>
      <c r="BE289" s="200"/>
      <c r="BF289" s="200"/>
      <c r="BG289" s="49">
        <f>IFERROR(IF(BC289-DATA[[#This Row],[fecha_fs]]&lt;0,0,BC289-DATA[[#This Row],[fecha_fs]]),0)</f>
        <v>0</v>
      </c>
      <c r="BH289" s="49">
        <f t="shared" si="33"/>
        <v>0</v>
      </c>
      <c r="BI289" s="49">
        <f t="shared" si="34"/>
        <v>0</v>
      </c>
      <c r="BJ289" s="49">
        <f t="shared" si="35"/>
        <v>0</v>
      </c>
      <c r="BK289" s="218">
        <f>IFERROR(SUM(DATA[[#This Row],[fs_fd_ttd]:[fend_fenf_ttd]]),0)</f>
        <v>0</v>
      </c>
      <c r="BL289" s="20" t="str">
        <f>IF(DATA[[#This Row],[fecha_fs]]&gt;0,TEXT(DATA[[#This Row],[fecha_fs]],"YYYY"),0)</f>
        <v>2025</v>
      </c>
      <c r="BM289" s="221" t="b">
        <v>0</v>
      </c>
      <c r="BN289" s="278"/>
      <c r="BO289" s="222"/>
    </row>
    <row r="290" spans="1:67" ht="30.6" customHeight="1" x14ac:dyDescent="0.25">
      <c r="A290" s="4">
        <v>20100055237</v>
      </c>
      <c r="B290" s="5" t="s">
        <v>21</v>
      </c>
      <c r="C290" s="52" t="s">
        <v>138</v>
      </c>
      <c r="D290" s="52" t="s">
        <v>139</v>
      </c>
      <c r="E290" s="5" t="s">
        <v>23</v>
      </c>
      <c r="F290" s="24">
        <v>45715</v>
      </c>
      <c r="G290" s="7" t="s">
        <v>113</v>
      </c>
      <c r="H290" s="25">
        <f t="shared" si="27"/>
        <v>1</v>
      </c>
      <c r="I290" s="67">
        <v>4173</v>
      </c>
      <c r="J290" s="8" t="s">
        <v>115</v>
      </c>
      <c r="K290" s="9" t="s">
        <v>121</v>
      </c>
      <c r="L290" s="10" t="s">
        <v>117</v>
      </c>
      <c r="M290" s="11">
        <v>40</v>
      </c>
      <c r="N290" s="12" t="s">
        <v>125</v>
      </c>
      <c r="O290" s="6">
        <v>45716</v>
      </c>
      <c r="P290" s="54">
        <v>3330</v>
      </c>
      <c r="Q290" s="14" t="s">
        <v>85</v>
      </c>
      <c r="R290" s="75"/>
      <c r="S290" s="56">
        <v>297.92</v>
      </c>
      <c r="T290" s="15">
        <f>DATA[[#This Row],[C. DF]]+DATA[[#This Row],[C.OPE.]]</f>
        <v>297.92</v>
      </c>
      <c r="U290" s="15">
        <f>DATA[[#This Row],[SUB TOTAL]]*0.18</f>
        <v>53.625599999999999</v>
      </c>
      <c r="V290" s="15">
        <f>IFERROR(ROUND(DATA[[#This Row],[SUB TOTAL]]+DATA[[#This Row],[IGV]],2),0)</f>
        <v>351.55</v>
      </c>
      <c r="W290" s="16" t="str">
        <f>IF(DATA[[#This Row],[VALORIZACIÓN ]]="-","NO CORRESPONDE",IF(OR(A290=20558226979,A290=10470707866,A290=20111157058,A290=20100226902),"NO CORRESPONDE",IF(J290="Emitida",IF(P290&gt;0,"EMITIDA","PENDIENTE"),"NO CORRESPONDE")))</f>
        <v>EMITIDA</v>
      </c>
      <c r="X290" s="29"/>
      <c r="Y290" s="17" t="s">
        <v>118</v>
      </c>
      <c r="Z290" s="30">
        <v>45722</v>
      </c>
      <c r="AA290" s="10" t="s">
        <v>124</v>
      </c>
      <c r="AB290" s="19">
        <v>591</v>
      </c>
      <c r="AC290" s="20">
        <v>30</v>
      </c>
      <c r="AD290" s="18">
        <f>DATA[[#This Row],[FECHA DE EMISION]]+DATA[[#This Row],[CONDICION DE PAGO]]</f>
        <v>45752</v>
      </c>
      <c r="AE290" s="23">
        <f>IF(DATA[[#This Row],[MONEDA]]="USD",VLOOKUP(DATA[[#This Row],[COMBINADA]],#REF!,11,0),1)</f>
        <v>1</v>
      </c>
      <c r="AF290" s="39" t="str">
        <f>IF(DATA[[#This Row],[SERIE2]]="-","NO CORRESPONDE",IF(W290="NO CORRESPONDE","NO CORRESPONDE",IF(Z290&gt;0,"FACTURADO","PENDIENTE")))</f>
        <v>FACTURADO</v>
      </c>
      <c r="AG290" s="27">
        <f>IFERROR(VLOOKUP(DATA[[#This Row],[COMBINADA]],#REF!,6,0),0)</f>
        <v>0</v>
      </c>
      <c r="AH290" s="125">
        <f>IFERROR(VLOOKUP(DATA[[#This Row],[COMBINADA]],#REF!,9,0),0)/COUNTIFS(DATA[COMBINADA],DATA[[#This Row],[COMBINADA]])</f>
        <v>0</v>
      </c>
      <c r="AI290" s="27">
        <f>IFERROR(VLOOKUP(DATA[[#This Row],[COMBINADA]],#REF!,6,0),0)</f>
        <v>0</v>
      </c>
      <c r="AJ290" s="125">
        <f>IFERROR(VLOOKUP(DATA[[#This Row],[COMBINADA]],#REF!,9,0),0)/COUNTIFS(DATA[COMBINADA],DATA[[#This Row],[COMBINADA]])</f>
        <v>0</v>
      </c>
      <c r="AK290" s="27">
        <f>IFERROR(VLOOKUP(DATA[[#This Row],[COMBINADA]],#REF!,6,0),0)</f>
        <v>0</v>
      </c>
      <c r="AL290" s="125">
        <f>IFERROR(VLOOKUP(DATA[[#This Row],[COMBINADA]],#REF!,9,0),0)/COUNTIFS(DATA[COMBINADA],DATA[[#This Row],[COMBINADA]])</f>
        <v>0</v>
      </c>
      <c r="AM290" s="27">
        <f>IFERROR(VLOOKUP(DATA[[#This Row],[COMBINADA]],#REF!,6,0),0)</f>
        <v>0</v>
      </c>
      <c r="AN290" s="125">
        <f>IFERROR(VLOOKUP(DATA[[#This Row],[COMBINADA]],#REF!,9,0),0)/COUNTIFS(DATA[COMBINADA],DATA[[#This Row],[COMBINADA]])</f>
        <v>0</v>
      </c>
      <c r="AO290" s="27">
        <f>IFERROR(VLOOKUP(DATA[[#This Row],[COMBINADA]],#REF!,6,0),0)</f>
        <v>0</v>
      </c>
      <c r="AP290" s="125">
        <f>IFERROR(VLOOKUP(DATA[[#This Row],[COMBINADA]],#REF!,9,0),0)/COUNTIFS(DATA[COMBINADA],DATA[[#This Row],[COMBINADA]])</f>
        <v>0</v>
      </c>
      <c r="AQ29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290" s="26" t="str">
        <f>IFERROR(IF(DATA[[#This Row],[estado_fact]]="FACTURADO",VLOOKUP(DATA[[#This Row],[SERIE2]]&amp;"-"&amp;DATA[[#This Row],[NUMERO]],#REF!,34,0),"NO CORRESPONDE"),"NO CORRESPONDE")</f>
        <v>NO CORRESPONDE</v>
      </c>
      <c r="AS290" s="22" t="str">
        <f>IF(DATA[[#This Row],[fecha_fs]]&gt;0,TEXT(DATA[[#This Row],[fecha_fs]],"Mmmm"),0)</f>
        <v>Febrero</v>
      </c>
      <c r="AT290" s="22" t="str">
        <f>DATA[[#This Row],[SERIE2]]&amp;"-"&amp;DATA[[#This Row],[NUMERO]]</f>
        <v>FE01-591</v>
      </c>
      <c r="AU290" s="28">
        <f>DATA[[#This Row],[TOTAL]]*DATA[[#This Row],[T.C.]]</f>
        <v>351.55</v>
      </c>
      <c r="AV290" s="6">
        <f>DATA[[#This Row],[FECHA DE VAL.]]</f>
        <v>45716</v>
      </c>
      <c r="AW290" s="6">
        <f>DATA[[#This Row],[FECHA DE EMISION]]</f>
        <v>45722</v>
      </c>
      <c r="AX290" s="6">
        <f>DATA[[#This Row],[F1]]</f>
        <v>0</v>
      </c>
      <c r="AY290" s="20">
        <f>IF(AV290-DATA[[#This Row],[fecha_fs]]&lt;0,0,AV290-DATA[[#This Row],[fecha_fs]])</f>
        <v>1</v>
      </c>
      <c r="AZ290" s="20">
        <f t="shared" si="28"/>
        <v>6</v>
      </c>
      <c r="BA290" s="20">
        <f t="shared" si="29"/>
        <v>0</v>
      </c>
      <c r="BB290" s="195">
        <f>IFERROR(SUM(DATA[[#This Row],[fs_val_ttf]:[fact_pago_ttf]]),0)</f>
        <v>7</v>
      </c>
      <c r="BC290" s="185">
        <v>45715</v>
      </c>
      <c r="BD290" s="185">
        <v>45715</v>
      </c>
      <c r="BE290" s="185">
        <v>45719</v>
      </c>
      <c r="BF290" s="185" t="s">
        <v>292</v>
      </c>
      <c r="BG290" s="20">
        <f>IFERROR(IF(BC290-DATA[[#This Row],[fecha_fs]]&lt;0,0,BC290-DATA[[#This Row],[fecha_fs]]),0)</f>
        <v>0</v>
      </c>
      <c r="BH290" s="20">
        <f t="shared" si="33"/>
        <v>0</v>
      </c>
      <c r="BI290" s="20">
        <f t="shared" si="34"/>
        <v>4</v>
      </c>
      <c r="BJ290" s="20">
        <f t="shared" si="35"/>
        <v>0</v>
      </c>
      <c r="BK290" s="218">
        <f>IFERROR(SUM(DATA[[#This Row],[fs_fd_ttd]:[fend_fenf_ttd]]),0)</f>
        <v>4</v>
      </c>
      <c r="BL290" s="20" t="str">
        <f>IF(DATA[[#This Row],[fecha_fs]]&gt;0,TEXT(DATA[[#This Row],[fecha_fs]],"YYYY"),0)</f>
        <v>2025</v>
      </c>
      <c r="BM290" s="221" t="b">
        <v>1</v>
      </c>
      <c r="BN290" s="278">
        <f>COUNTIF(DATA[[#This Row],[tiempo_td]], "&lt;=15")</f>
        <v>1</v>
      </c>
      <c r="BO290" s="222"/>
    </row>
    <row r="291" spans="1:67" ht="30.6" customHeight="1" x14ac:dyDescent="0.25">
      <c r="A291" s="4">
        <v>20419158462</v>
      </c>
      <c r="B291" s="5" t="s">
        <v>2</v>
      </c>
      <c r="C291" s="52" t="s">
        <v>5</v>
      </c>
      <c r="D291" s="4" t="s">
        <v>120</v>
      </c>
      <c r="E291" s="5" t="s">
        <v>3</v>
      </c>
      <c r="F291" s="24">
        <v>45715</v>
      </c>
      <c r="G291" s="7" t="s">
        <v>113</v>
      </c>
      <c r="H291" s="25">
        <f t="shared" si="27"/>
        <v>1</v>
      </c>
      <c r="I291" s="67">
        <v>4174</v>
      </c>
      <c r="J291" s="8" t="s">
        <v>115</v>
      </c>
      <c r="K291" s="9" t="s">
        <v>156</v>
      </c>
      <c r="L291" s="10" t="s">
        <v>117</v>
      </c>
      <c r="M291" s="11">
        <v>385</v>
      </c>
      <c r="N291" s="12" t="s">
        <v>125</v>
      </c>
      <c r="O291" s="6">
        <v>45716</v>
      </c>
      <c r="P291" s="13">
        <v>3333</v>
      </c>
      <c r="Q291" s="14" t="s">
        <v>85</v>
      </c>
      <c r="R291" s="75">
        <v>0</v>
      </c>
      <c r="S291" s="56">
        <f>1429.7/2</f>
        <v>714.85</v>
      </c>
      <c r="T291" s="15">
        <f>DATA[[#This Row],[C. DF]]+DATA[[#This Row],[C.OPE.]]</f>
        <v>714.85</v>
      </c>
      <c r="U291" s="15">
        <f>DATA[[#This Row],[SUB TOTAL]]*0.18</f>
        <v>128.673</v>
      </c>
      <c r="V291" s="15">
        <f>IFERROR(ROUND(DATA[[#This Row],[SUB TOTAL]]+DATA[[#This Row],[IGV]],2),0)</f>
        <v>843.52</v>
      </c>
      <c r="W291" s="16" t="str">
        <f>IF(DATA[[#This Row],[VALORIZACIÓN ]]="-","NO CORRESPONDE",IF(OR(A291=20558226979,A291=10470707866,A291=20111157058,A291=20100226902),"NO CORRESPONDE",IF(J291="Emitida",IF(P291&gt;0,"EMITIDA","PENDIENTE"),"NO CORRESPONDE")))</f>
        <v>EMITIDA</v>
      </c>
      <c r="X291" s="29"/>
      <c r="Y291" s="17" t="s">
        <v>118</v>
      </c>
      <c r="Z291" s="30">
        <v>45761</v>
      </c>
      <c r="AA291" s="10" t="s">
        <v>150</v>
      </c>
      <c r="AB291" s="19">
        <v>33</v>
      </c>
      <c r="AC291" s="20">
        <v>15</v>
      </c>
      <c r="AD291" s="18">
        <f>DATA[[#This Row],[FECHA DE EMISION]]+DATA[[#This Row],[CONDICION DE PAGO]]</f>
        <v>45776</v>
      </c>
      <c r="AE291" s="23">
        <f>IF(DATA[[#This Row],[MONEDA]]="USD",VLOOKUP(DATA[[#This Row],[COMBINADA]],#REF!,11,0),1)</f>
        <v>1</v>
      </c>
      <c r="AF291" s="39" t="str">
        <f>IF(DATA[[#This Row],[SERIE2]]="-","NO CORRESPONDE",IF(W291="NO CORRESPONDE","NO CORRESPONDE",IF(Z291&gt;0,"FACTURADO","PENDIENTE")))</f>
        <v>FACTURADO</v>
      </c>
      <c r="AG291" s="27">
        <f>IFERROR(VLOOKUP(DATA[[#This Row],[COMBINADA]],#REF!,6,0),0)</f>
        <v>0</v>
      </c>
      <c r="AH291" s="125">
        <f>IFERROR(VLOOKUP(DATA[[#This Row],[COMBINADA]],#REF!,9,0),0)/COUNTIFS(DATA[COMBINADA],DATA[[#This Row],[COMBINADA]])</f>
        <v>0</v>
      </c>
      <c r="AI291" s="27">
        <f>IFERROR(VLOOKUP(DATA[[#This Row],[COMBINADA]],#REF!,6,0),0)</f>
        <v>0</v>
      </c>
      <c r="AJ291" s="125">
        <f>IFERROR(VLOOKUP(DATA[[#This Row],[COMBINADA]],#REF!,9,0),0)/COUNTIFS(DATA[COMBINADA],DATA[[#This Row],[COMBINADA]])</f>
        <v>0</v>
      </c>
      <c r="AK291" s="27">
        <f>IFERROR(VLOOKUP(DATA[[#This Row],[COMBINADA]],#REF!,6,0),0)</f>
        <v>0</v>
      </c>
      <c r="AL291" s="125">
        <f>IFERROR(VLOOKUP(DATA[[#This Row],[COMBINADA]],#REF!,9,0),0)/COUNTIFS(DATA[COMBINADA],DATA[[#This Row],[COMBINADA]])</f>
        <v>0</v>
      </c>
      <c r="AM291" s="27">
        <f>IFERROR(VLOOKUP(DATA[[#This Row],[COMBINADA]],#REF!,6,0),0)</f>
        <v>0</v>
      </c>
      <c r="AN291" s="125">
        <f>IFERROR(VLOOKUP(DATA[[#This Row],[COMBINADA]],#REF!,9,0),0)/COUNTIFS(DATA[COMBINADA],DATA[[#This Row],[COMBINADA]])</f>
        <v>0</v>
      </c>
      <c r="AO291" s="27">
        <f>IFERROR(VLOOKUP(DATA[[#This Row],[COMBINADA]],#REF!,6,0),0)</f>
        <v>0</v>
      </c>
      <c r="AP291" s="125">
        <f>IFERROR(VLOOKUP(DATA[[#This Row],[COMBINADA]],#REF!,9,0),0)/COUNTIFS(DATA[COMBINADA],DATA[[#This Row],[COMBINADA]])</f>
        <v>0</v>
      </c>
      <c r="AQ29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291" s="26" t="str">
        <f>IFERROR(IF(DATA[[#This Row],[estado_fact]]="FACTURADO",VLOOKUP(DATA[[#This Row],[SERIE2]]&amp;"-"&amp;DATA[[#This Row],[NUMERO]],#REF!,34,0),"NO CORRESPONDE"),"NO CORRESPONDE")</f>
        <v>NO CORRESPONDE</v>
      </c>
      <c r="AS291" s="22" t="str">
        <f>IF(DATA[[#This Row],[fecha_fs]]&gt;0,TEXT(DATA[[#This Row],[fecha_fs]],"Mmmm"),0)</f>
        <v>Febrero</v>
      </c>
      <c r="AT291" s="22" t="str">
        <f>DATA[[#This Row],[SERIE2]]&amp;"-"&amp;DATA[[#This Row],[NUMERO]]</f>
        <v>FF01-33</v>
      </c>
      <c r="AU291" s="28">
        <f>DATA[[#This Row],[TOTAL]]*DATA[[#This Row],[T.C.]]</f>
        <v>843.52</v>
      </c>
      <c r="AV291" s="6">
        <f>DATA[[#This Row],[FECHA DE VAL.]]</f>
        <v>45716</v>
      </c>
      <c r="AW291" s="6">
        <f>DATA[[#This Row],[FECHA DE EMISION]]</f>
        <v>45761</v>
      </c>
      <c r="AX291" s="6">
        <f>DATA[[#This Row],[F1]]</f>
        <v>0</v>
      </c>
      <c r="AY291" s="20">
        <f>IF(AV291-DATA[[#This Row],[fecha_fs]]&lt;0,0,AV291-DATA[[#This Row],[fecha_fs]])</f>
        <v>1</v>
      </c>
      <c r="AZ291" s="20">
        <f t="shared" si="28"/>
        <v>45</v>
      </c>
      <c r="BA291" s="20">
        <f t="shared" si="29"/>
        <v>0</v>
      </c>
      <c r="BB291" s="195">
        <f>IFERROR(SUM(DATA[[#This Row],[fs_val_ttf]:[fact_pago_ttf]]),0)</f>
        <v>46</v>
      </c>
      <c r="BC291" s="185">
        <v>45715</v>
      </c>
      <c r="BD291" s="185">
        <v>45715</v>
      </c>
      <c r="BE291" s="185">
        <v>45720</v>
      </c>
      <c r="BF291" s="185">
        <v>45720</v>
      </c>
      <c r="BG291" s="20">
        <f>IFERROR(IF(BC291-DATA[[#This Row],[fecha_fs]]&lt;0,0,BC291-DATA[[#This Row],[fecha_fs]]),0)</f>
        <v>0</v>
      </c>
      <c r="BH291" s="20">
        <f t="shared" si="33"/>
        <v>0</v>
      </c>
      <c r="BI291" s="20">
        <f t="shared" si="34"/>
        <v>5</v>
      </c>
      <c r="BJ291" s="20">
        <f t="shared" si="35"/>
        <v>0</v>
      </c>
      <c r="BK291" s="218">
        <f>IFERROR(SUM(DATA[[#This Row],[fs_fd_ttd]:[fend_fenf_ttd]]),0)</f>
        <v>5</v>
      </c>
      <c r="BL291" s="20" t="str">
        <f>IF(DATA[[#This Row],[fecha_fs]]&gt;0,TEXT(DATA[[#This Row],[fecha_fs]],"YYYY"),0)</f>
        <v>2025</v>
      </c>
      <c r="BM291" s="221" t="b">
        <v>1</v>
      </c>
      <c r="BN291" s="278">
        <f>COUNTIF(DATA[[#This Row],[tiempo_td]], "&lt;=15")</f>
        <v>1</v>
      </c>
      <c r="BO291" s="222"/>
    </row>
    <row r="292" spans="1:67" ht="30.6" customHeight="1" x14ac:dyDescent="0.25">
      <c r="A292" s="4">
        <v>20419158462</v>
      </c>
      <c r="B292" s="5" t="s">
        <v>2</v>
      </c>
      <c r="C292" s="52" t="s">
        <v>4</v>
      </c>
      <c r="D292" s="4" t="s">
        <v>120</v>
      </c>
      <c r="E292" s="5" t="s">
        <v>3</v>
      </c>
      <c r="F292" s="24">
        <v>45715</v>
      </c>
      <c r="G292" s="7" t="s">
        <v>113</v>
      </c>
      <c r="H292" s="25">
        <f t="shared" si="27"/>
        <v>1</v>
      </c>
      <c r="I292" s="67">
        <v>4175</v>
      </c>
      <c r="J292" s="8" t="s">
        <v>115</v>
      </c>
      <c r="K292" s="9" t="s">
        <v>156</v>
      </c>
      <c r="L292" s="10" t="s">
        <v>117</v>
      </c>
      <c r="M292" s="11">
        <v>750</v>
      </c>
      <c r="N292" s="12" t="s">
        <v>125</v>
      </c>
      <c r="O292" s="6">
        <v>45716</v>
      </c>
      <c r="P292" s="13">
        <v>3333</v>
      </c>
      <c r="Q292" s="14" t="s">
        <v>85</v>
      </c>
      <c r="R292" s="75">
        <v>0</v>
      </c>
      <c r="S292" s="56">
        <f>1429.7/2</f>
        <v>714.85</v>
      </c>
      <c r="T292" s="15">
        <f>DATA[[#This Row],[C. DF]]+DATA[[#This Row],[C.OPE.]]</f>
        <v>714.85</v>
      </c>
      <c r="U292" s="15">
        <f>DATA[[#This Row],[SUB TOTAL]]*0.18</f>
        <v>128.673</v>
      </c>
      <c r="V292" s="15">
        <f>IFERROR(ROUND(DATA[[#This Row],[SUB TOTAL]]+DATA[[#This Row],[IGV]],2),0)</f>
        <v>843.52</v>
      </c>
      <c r="W292" s="16" t="str">
        <f>IF(DATA[[#This Row],[VALORIZACIÓN ]]="-","NO CORRESPONDE",IF(OR(A292=20558226979,A292=10470707866,A292=20111157058,A292=20100226902),"NO CORRESPONDE",IF(J292="Emitida",IF(P292&gt;0,"EMITIDA","PENDIENTE"),"NO CORRESPONDE")))</f>
        <v>EMITIDA</v>
      </c>
      <c r="X292" s="29"/>
      <c r="Y292" s="17" t="s">
        <v>118</v>
      </c>
      <c r="Z292" s="30">
        <v>45761</v>
      </c>
      <c r="AA292" s="10" t="s">
        <v>150</v>
      </c>
      <c r="AB292" s="19">
        <v>33</v>
      </c>
      <c r="AC292" s="20">
        <v>15</v>
      </c>
      <c r="AD292" s="18">
        <f>DATA[[#This Row],[FECHA DE EMISION]]+DATA[[#This Row],[CONDICION DE PAGO]]</f>
        <v>45776</v>
      </c>
      <c r="AE292" s="23">
        <f>IF(DATA[[#This Row],[MONEDA]]="USD",VLOOKUP(DATA[[#This Row],[COMBINADA]],#REF!,11,0),1)</f>
        <v>1</v>
      </c>
      <c r="AF292" s="39" t="str">
        <f>IF(DATA[[#This Row],[SERIE2]]="-","NO CORRESPONDE",IF(W292="NO CORRESPONDE","NO CORRESPONDE",IF(Z292&gt;0,"FACTURADO","PENDIENTE")))</f>
        <v>FACTURADO</v>
      </c>
      <c r="AG292" s="27">
        <f>IFERROR(VLOOKUP(DATA[[#This Row],[COMBINADA]],#REF!,6,0),0)</f>
        <v>0</v>
      </c>
      <c r="AH292" s="125">
        <f>IFERROR(VLOOKUP(DATA[[#This Row],[COMBINADA]],#REF!,9,0),0)/COUNTIFS(DATA[COMBINADA],DATA[[#This Row],[COMBINADA]])</f>
        <v>0</v>
      </c>
      <c r="AI292" s="27">
        <f>IFERROR(VLOOKUP(DATA[[#This Row],[COMBINADA]],#REF!,6,0),0)</f>
        <v>0</v>
      </c>
      <c r="AJ292" s="125">
        <f>IFERROR(VLOOKUP(DATA[[#This Row],[COMBINADA]],#REF!,9,0),0)/COUNTIFS(DATA[COMBINADA],DATA[[#This Row],[COMBINADA]])</f>
        <v>0</v>
      </c>
      <c r="AK292" s="27">
        <f>IFERROR(VLOOKUP(DATA[[#This Row],[COMBINADA]],#REF!,6,0),0)</f>
        <v>0</v>
      </c>
      <c r="AL292" s="125">
        <f>IFERROR(VLOOKUP(DATA[[#This Row],[COMBINADA]],#REF!,9,0),0)/COUNTIFS(DATA[COMBINADA],DATA[[#This Row],[COMBINADA]])</f>
        <v>0</v>
      </c>
      <c r="AM292" s="27">
        <f>IFERROR(VLOOKUP(DATA[[#This Row],[COMBINADA]],#REF!,6,0),0)</f>
        <v>0</v>
      </c>
      <c r="AN292" s="125">
        <f>IFERROR(VLOOKUP(DATA[[#This Row],[COMBINADA]],#REF!,9,0),0)/COUNTIFS(DATA[COMBINADA],DATA[[#This Row],[COMBINADA]])</f>
        <v>0</v>
      </c>
      <c r="AO292" s="27">
        <f>IFERROR(VLOOKUP(DATA[[#This Row],[COMBINADA]],#REF!,6,0),0)</f>
        <v>0</v>
      </c>
      <c r="AP292" s="125">
        <f>IFERROR(VLOOKUP(DATA[[#This Row],[COMBINADA]],#REF!,9,0),0)/COUNTIFS(DATA[COMBINADA],DATA[[#This Row],[COMBINADA]])</f>
        <v>0</v>
      </c>
      <c r="AQ29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292" s="26" t="str">
        <f>IFERROR(IF(DATA[[#This Row],[estado_fact]]="FACTURADO",VLOOKUP(DATA[[#This Row],[SERIE2]]&amp;"-"&amp;DATA[[#This Row],[NUMERO]],#REF!,34,0),"NO CORRESPONDE"),"NO CORRESPONDE")</f>
        <v>NO CORRESPONDE</v>
      </c>
      <c r="AS292" s="22" t="str">
        <f>IF(DATA[[#This Row],[fecha_fs]]&gt;0,TEXT(DATA[[#This Row],[fecha_fs]],"Mmmm"),0)</f>
        <v>Febrero</v>
      </c>
      <c r="AT292" s="22" t="str">
        <f>DATA[[#This Row],[SERIE2]]&amp;"-"&amp;DATA[[#This Row],[NUMERO]]</f>
        <v>FF01-33</v>
      </c>
      <c r="AU292" s="28">
        <f>DATA[[#This Row],[TOTAL]]*DATA[[#This Row],[T.C.]]</f>
        <v>843.52</v>
      </c>
      <c r="AV292" s="6">
        <f>DATA[[#This Row],[FECHA DE VAL.]]</f>
        <v>45716</v>
      </c>
      <c r="AW292" s="6">
        <f>DATA[[#This Row],[FECHA DE EMISION]]</f>
        <v>45761</v>
      </c>
      <c r="AX292" s="6">
        <f>DATA[[#This Row],[F1]]</f>
        <v>0</v>
      </c>
      <c r="AY292" s="20">
        <f>IF(AV292-DATA[[#This Row],[fecha_fs]]&lt;0,0,AV292-DATA[[#This Row],[fecha_fs]])</f>
        <v>1</v>
      </c>
      <c r="AZ292" s="20">
        <f t="shared" si="28"/>
        <v>45</v>
      </c>
      <c r="BA292" s="20">
        <f t="shared" si="29"/>
        <v>0</v>
      </c>
      <c r="BB292" s="195">
        <f>IFERROR(SUM(DATA[[#This Row],[fs_val_ttf]:[fact_pago_ttf]]),0)</f>
        <v>46</v>
      </c>
      <c r="BC292" s="185">
        <v>45715</v>
      </c>
      <c r="BD292" s="185">
        <v>45715</v>
      </c>
      <c r="BE292" s="185">
        <v>45720</v>
      </c>
      <c r="BF292" s="185">
        <v>45720</v>
      </c>
      <c r="BG292" s="20">
        <f>IFERROR(IF(BC292-DATA[[#This Row],[fecha_fs]]&lt;0,0,BC292-DATA[[#This Row],[fecha_fs]]),0)</f>
        <v>0</v>
      </c>
      <c r="BH292" s="20">
        <f t="shared" si="33"/>
        <v>0</v>
      </c>
      <c r="BI292" s="20">
        <f t="shared" si="34"/>
        <v>5</v>
      </c>
      <c r="BJ292" s="20">
        <f t="shared" si="35"/>
        <v>0</v>
      </c>
      <c r="BK292" s="218">
        <f>IFERROR(SUM(DATA[[#This Row],[fs_fd_ttd]:[fend_fenf_ttd]]),0)</f>
        <v>5</v>
      </c>
      <c r="BL292" s="20" t="str">
        <f>IF(DATA[[#This Row],[fecha_fs]]&gt;0,TEXT(DATA[[#This Row],[fecha_fs]],"YYYY"),0)</f>
        <v>2025</v>
      </c>
      <c r="BM292" s="221" t="b">
        <v>1</v>
      </c>
      <c r="BN292" s="278">
        <f>COUNTIF(DATA[[#This Row],[tiempo_td]], "&lt;=15")</f>
        <v>1</v>
      </c>
      <c r="BO292" s="222"/>
    </row>
    <row r="293" spans="1:67" ht="30.6" customHeight="1" x14ac:dyDescent="0.25">
      <c r="A293" s="4">
        <v>20100192064</v>
      </c>
      <c r="B293" s="5" t="s">
        <v>60</v>
      </c>
      <c r="C293" s="52" t="s">
        <v>43</v>
      </c>
      <c r="D293" s="4" t="s">
        <v>183</v>
      </c>
      <c r="E293" s="5" t="s">
        <v>61</v>
      </c>
      <c r="F293" s="24">
        <v>45714</v>
      </c>
      <c r="G293" s="7" t="s">
        <v>113</v>
      </c>
      <c r="H293" s="25">
        <f t="shared" si="27"/>
        <v>1</v>
      </c>
      <c r="I293" s="67">
        <v>4176</v>
      </c>
      <c r="J293" s="8" t="s">
        <v>115</v>
      </c>
      <c r="K293" s="9" t="s">
        <v>184</v>
      </c>
      <c r="L293" s="10" t="s">
        <v>117</v>
      </c>
      <c r="M293" s="11">
        <v>43200</v>
      </c>
      <c r="N293" s="12" t="s">
        <v>114</v>
      </c>
      <c r="O293" s="6">
        <v>45714</v>
      </c>
      <c r="P293" s="71">
        <v>3318</v>
      </c>
      <c r="Q293" s="14" t="s">
        <v>123</v>
      </c>
      <c r="R293" s="75"/>
      <c r="S293" s="56">
        <f>(DATA[[#This Row],[cantidad_fs]]/1000)*22</f>
        <v>950.40000000000009</v>
      </c>
      <c r="T293" s="15">
        <f>DATA[[#This Row],[C. DF]]+DATA[[#This Row],[C.OPE.]]</f>
        <v>950.40000000000009</v>
      </c>
      <c r="U293" s="15">
        <f>DATA[[#This Row],[SUB TOTAL]]*0.18</f>
        <v>171.072</v>
      </c>
      <c r="V293" s="15">
        <f>IFERROR(ROUND(DATA[[#This Row],[SUB TOTAL]]+DATA[[#This Row],[IGV]],2),0)</f>
        <v>1121.47</v>
      </c>
      <c r="W293" s="16" t="str">
        <f>IF(DATA[[#This Row],[VALORIZACIÓN ]]="-","NO CORRESPONDE",IF(OR(A293=20558226979,A293=10470707866,A293=20111157058,A293=20100226902),"NO CORRESPONDE",IF(J293="Emitida",IF(P293&gt;0,"EMITIDA","PENDIENTE"),"NO CORRESPONDE")))</f>
        <v>EMITIDA</v>
      </c>
      <c r="X293" s="29"/>
      <c r="Y293" s="17" t="s">
        <v>118</v>
      </c>
      <c r="Z293" s="30">
        <v>45716</v>
      </c>
      <c r="AA293" s="10" t="s">
        <v>124</v>
      </c>
      <c r="AB293" s="19">
        <v>579</v>
      </c>
      <c r="AC293" s="20">
        <v>30</v>
      </c>
      <c r="AD293" s="18">
        <f>DATA[[#This Row],[FECHA DE EMISION]]+DATA[[#This Row],[CONDICION DE PAGO]]</f>
        <v>45746</v>
      </c>
      <c r="AE293" s="23" t="e">
        <f>IF(DATA[[#This Row],[MONEDA]]="USD",VLOOKUP(DATA[[#This Row],[COMBINADA]],#REF!,11,0),1)</f>
        <v>#REF!</v>
      </c>
      <c r="AF293" s="39" t="str">
        <f>IF(DATA[[#This Row],[SERIE2]]="-","NO CORRESPONDE",IF(W293="NO CORRESPONDE","NO CORRESPONDE",IF(Z293&gt;0,"FACTURADO","PENDIENTE")))</f>
        <v>FACTURADO</v>
      </c>
      <c r="AG293" s="27">
        <f>IFERROR(VLOOKUP(DATA[[#This Row],[COMBINADA]],#REF!,6,0),0)</f>
        <v>0</v>
      </c>
      <c r="AH293" s="125">
        <f>IFERROR(VLOOKUP(DATA[[#This Row],[COMBINADA]],#REF!,9,0),0)/COUNTIFS(DATA[COMBINADA],DATA[[#This Row],[COMBINADA]])</f>
        <v>0</v>
      </c>
      <c r="AI293" s="27">
        <f>IFERROR(VLOOKUP(DATA[[#This Row],[COMBINADA]],#REF!,6,0),0)</f>
        <v>0</v>
      </c>
      <c r="AJ293" s="125">
        <f>IFERROR(VLOOKUP(DATA[[#This Row],[COMBINADA]],#REF!,9,0),0)/COUNTIFS(DATA[COMBINADA],DATA[[#This Row],[COMBINADA]])</f>
        <v>0</v>
      </c>
      <c r="AK293" s="27">
        <f>IFERROR(VLOOKUP(DATA[[#This Row],[COMBINADA]],#REF!,6,0),0)</f>
        <v>0</v>
      </c>
      <c r="AL293" s="125">
        <f>IFERROR(VLOOKUP(DATA[[#This Row],[COMBINADA]],#REF!,9,0),0)/COUNTIFS(DATA[COMBINADA],DATA[[#This Row],[COMBINADA]])</f>
        <v>0</v>
      </c>
      <c r="AM293" s="27">
        <f>IFERROR(VLOOKUP(DATA[[#This Row],[COMBINADA]],#REF!,6,0),0)</f>
        <v>0</v>
      </c>
      <c r="AN293" s="125">
        <f>IFERROR(VLOOKUP(DATA[[#This Row],[COMBINADA]],#REF!,9,0),0)/COUNTIFS(DATA[COMBINADA],DATA[[#This Row],[COMBINADA]])</f>
        <v>0</v>
      </c>
      <c r="AO293" s="27">
        <f>IFERROR(VLOOKUP(DATA[[#This Row],[COMBINADA]],#REF!,6,0),0)</f>
        <v>0</v>
      </c>
      <c r="AP293" s="125">
        <f>IFERROR(VLOOKUP(DATA[[#This Row],[COMBINADA]],#REF!,9,0),0)/COUNTIFS(DATA[COMBINADA],DATA[[#This Row],[COMBINADA]])</f>
        <v>0</v>
      </c>
      <c r="AQ29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603.34285714285716</v>
      </c>
      <c r="AR293" s="26" t="str">
        <f>IFERROR(IF(DATA[[#This Row],[estado_fact]]="FACTURADO",VLOOKUP(DATA[[#This Row],[SERIE2]]&amp;"-"&amp;DATA[[#This Row],[NUMERO]],#REF!,34,0),"NO CORRESPONDE"),"NO CORRESPONDE")</f>
        <v>NO CORRESPONDE</v>
      </c>
      <c r="AS293" s="22" t="str">
        <f>IF(DATA[[#This Row],[fecha_fs]]&gt;0,TEXT(DATA[[#This Row],[fecha_fs]],"Mmmm"),0)</f>
        <v>Febrero</v>
      </c>
      <c r="AT293" s="22" t="str">
        <f>DATA[[#This Row],[SERIE2]]&amp;"-"&amp;DATA[[#This Row],[NUMERO]]</f>
        <v>FE01-579</v>
      </c>
      <c r="AU293" s="28" t="e">
        <f>DATA[[#This Row],[TOTAL]]*DATA[[#This Row],[T.C.]]</f>
        <v>#REF!</v>
      </c>
      <c r="AV293" s="6">
        <f>DATA[[#This Row],[FECHA DE VAL.]]</f>
        <v>45714</v>
      </c>
      <c r="AW293" s="6">
        <f>DATA[[#This Row],[FECHA DE EMISION]]</f>
        <v>45716</v>
      </c>
      <c r="AX293" s="6">
        <f>DATA[[#This Row],[F1]]</f>
        <v>0</v>
      </c>
      <c r="AY293" s="20">
        <f>IF(AV293-DATA[[#This Row],[fecha_fs]]&lt;0,0,AV293-DATA[[#This Row],[fecha_fs]])</f>
        <v>0</v>
      </c>
      <c r="AZ293" s="20">
        <f t="shared" si="28"/>
        <v>2</v>
      </c>
      <c r="BA293" s="20">
        <f t="shared" si="29"/>
        <v>0</v>
      </c>
      <c r="BB293" s="195">
        <f>IFERROR(SUM(DATA[[#This Row],[fs_val_ttf]:[fact_pago_ttf]]),0)</f>
        <v>2</v>
      </c>
      <c r="BC293" s="185" t="s">
        <v>292</v>
      </c>
      <c r="BD293" s="185" t="s">
        <v>292</v>
      </c>
      <c r="BE293" s="185" t="s">
        <v>292</v>
      </c>
      <c r="BF293" s="185" t="s">
        <v>292</v>
      </c>
      <c r="BG293" s="20">
        <f>IFERROR(IF(BC293-DATA[[#This Row],[fecha_fs]]&lt;0,0,BC293-DATA[[#This Row],[fecha_fs]]),0)</f>
        <v>0</v>
      </c>
      <c r="BH293" s="20">
        <f t="shared" si="33"/>
        <v>0</v>
      </c>
      <c r="BI293" s="20">
        <f t="shared" si="34"/>
        <v>0</v>
      </c>
      <c r="BJ293" s="20">
        <f t="shared" si="35"/>
        <v>0</v>
      </c>
      <c r="BK293" s="218">
        <f>IFERROR(SUM(DATA[[#This Row],[fs_fd_ttd]:[fend_fenf_ttd]]),0)</f>
        <v>0</v>
      </c>
      <c r="BL293" s="20" t="str">
        <f>IF(DATA[[#This Row],[fecha_fs]]&gt;0,TEXT(DATA[[#This Row],[fecha_fs]],"YYYY"),0)</f>
        <v>2025</v>
      </c>
      <c r="BM293" s="221" t="b">
        <v>1</v>
      </c>
      <c r="BN293" s="278">
        <f>COUNTIF(DATA[[#This Row],[tiempo_td]], "&lt;=15")</f>
        <v>1</v>
      </c>
      <c r="BO293" s="222"/>
    </row>
    <row r="294" spans="1:67" ht="30.6" customHeight="1" x14ac:dyDescent="0.25">
      <c r="A294" s="4">
        <v>20100192064</v>
      </c>
      <c r="B294" s="5" t="s">
        <v>60</v>
      </c>
      <c r="C294" s="52" t="s">
        <v>43</v>
      </c>
      <c r="D294" s="4" t="s">
        <v>189</v>
      </c>
      <c r="E294" s="5" t="s">
        <v>62</v>
      </c>
      <c r="F294" s="24">
        <v>45714</v>
      </c>
      <c r="G294" s="7" t="s">
        <v>113</v>
      </c>
      <c r="H294" s="25">
        <f t="shared" si="27"/>
        <v>1</v>
      </c>
      <c r="I294" s="67">
        <v>4177</v>
      </c>
      <c r="J294" s="8" t="s">
        <v>115</v>
      </c>
      <c r="K294" s="9" t="s">
        <v>190</v>
      </c>
      <c r="L294" s="10" t="s">
        <v>117</v>
      </c>
      <c r="M294" s="11">
        <v>27000</v>
      </c>
      <c r="N294" s="12" t="s">
        <v>114</v>
      </c>
      <c r="O294" s="6">
        <v>45714</v>
      </c>
      <c r="P294" s="71">
        <v>3319</v>
      </c>
      <c r="Q294" s="14" t="s">
        <v>123</v>
      </c>
      <c r="R294" s="75"/>
      <c r="S294" s="56">
        <f>(DATA[[#This Row],[cantidad_fs]]/1000)*17</f>
        <v>459</v>
      </c>
      <c r="T294" s="15">
        <f>DATA[[#This Row],[C. DF]]+DATA[[#This Row],[C.OPE.]]</f>
        <v>459</v>
      </c>
      <c r="U294" s="15">
        <f>DATA[[#This Row],[SUB TOTAL]]*0.18</f>
        <v>82.61999999999999</v>
      </c>
      <c r="V294" s="15">
        <f>IFERROR(ROUND(DATA[[#This Row],[SUB TOTAL]]+DATA[[#This Row],[IGV]],2),0)</f>
        <v>541.62</v>
      </c>
      <c r="W294" s="16" t="str">
        <f>IF(DATA[[#This Row],[VALORIZACIÓN ]]="-","NO CORRESPONDE",IF(OR(A294=20558226979,A294=10470707866,A294=20111157058,A294=20100226902),"NO CORRESPONDE",IF(J294="Emitida",IF(P294&gt;0,"EMITIDA","PENDIENTE"),"NO CORRESPONDE")))</f>
        <v>EMITIDA</v>
      </c>
      <c r="X294" s="29"/>
      <c r="Y294" s="17" t="s">
        <v>118</v>
      </c>
      <c r="Z294" s="30">
        <v>45716</v>
      </c>
      <c r="AA294" s="10" t="s">
        <v>124</v>
      </c>
      <c r="AB294" s="19">
        <v>579</v>
      </c>
      <c r="AC294" s="20">
        <v>30</v>
      </c>
      <c r="AD294" s="18">
        <f>DATA[[#This Row],[FECHA DE EMISION]]+DATA[[#This Row],[CONDICION DE PAGO]]</f>
        <v>45746</v>
      </c>
      <c r="AE294" s="23" t="e">
        <f>IF(DATA[[#This Row],[MONEDA]]="USD",VLOOKUP(DATA[[#This Row],[COMBINADA]],#REF!,11,0),1)</f>
        <v>#REF!</v>
      </c>
      <c r="AF294" s="39" t="str">
        <f>IF(DATA[[#This Row],[SERIE2]]="-","NO CORRESPONDE",IF(W294="NO CORRESPONDE","NO CORRESPONDE",IF(Z294&gt;0,"FACTURADO","PENDIENTE")))</f>
        <v>FACTURADO</v>
      </c>
      <c r="AG294" s="27">
        <f>IFERROR(VLOOKUP(DATA[[#This Row],[COMBINADA]],#REF!,6,0),0)</f>
        <v>0</v>
      </c>
      <c r="AH294" s="125">
        <f>IFERROR(VLOOKUP(DATA[[#This Row],[COMBINADA]],#REF!,9,0),0)/COUNTIFS(DATA[COMBINADA],DATA[[#This Row],[COMBINADA]])</f>
        <v>0</v>
      </c>
      <c r="AI294" s="27">
        <f>IFERROR(VLOOKUP(DATA[[#This Row],[COMBINADA]],#REF!,6,0),0)</f>
        <v>0</v>
      </c>
      <c r="AJ294" s="125">
        <f>IFERROR(VLOOKUP(DATA[[#This Row],[COMBINADA]],#REF!,9,0),0)/COUNTIFS(DATA[COMBINADA],DATA[[#This Row],[COMBINADA]])</f>
        <v>0</v>
      </c>
      <c r="AK294" s="27">
        <f>IFERROR(VLOOKUP(DATA[[#This Row],[COMBINADA]],#REF!,6,0),0)</f>
        <v>0</v>
      </c>
      <c r="AL294" s="125">
        <f>IFERROR(VLOOKUP(DATA[[#This Row],[COMBINADA]],#REF!,9,0),0)/COUNTIFS(DATA[COMBINADA],DATA[[#This Row],[COMBINADA]])</f>
        <v>0</v>
      </c>
      <c r="AM294" s="27">
        <f>IFERROR(VLOOKUP(DATA[[#This Row],[COMBINADA]],#REF!,6,0),0)</f>
        <v>0</v>
      </c>
      <c r="AN294" s="125">
        <f>IFERROR(VLOOKUP(DATA[[#This Row],[COMBINADA]],#REF!,9,0),0)/COUNTIFS(DATA[COMBINADA],DATA[[#This Row],[COMBINADA]])</f>
        <v>0</v>
      </c>
      <c r="AO294" s="27">
        <f>IFERROR(VLOOKUP(DATA[[#This Row],[COMBINADA]],#REF!,6,0),0)</f>
        <v>0</v>
      </c>
      <c r="AP294" s="125">
        <f>IFERROR(VLOOKUP(DATA[[#This Row],[COMBINADA]],#REF!,9,0),0)/COUNTIFS(DATA[COMBINADA],DATA[[#This Row],[COMBINADA]])</f>
        <v>0</v>
      </c>
      <c r="AQ29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603.34285714285716</v>
      </c>
      <c r="AR294" s="26" t="str">
        <f>IFERROR(IF(DATA[[#This Row],[estado_fact]]="FACTURADO",VLOOKUP(DATA[[#This Row],[SERIE2]]&amp;"-"&amp;DATA[[#This Row],[NUMERO]],#REF!,34,0),"NO CORRESPONDE"),"NO CORRESPONDE")</f>
        <v>NO CORRESPONDE</v>
      </c>
      <c r="AS294" s="22" t="str">
        <f>IF(DATA[[#This Row],[fecha_fs]]&gt;0,TEXT(DATA[[#This Row],[fecha_fs]],"Mmmm"),0)</f>
        <v>Febrero</v>
      </c>
      <c r="AT294" s="22" t="str">
        <f>DATA[[#This Row],[SERIE2]]&amp;"-"&amp;DATA[[#This Row],[NUMERO]]</f>
        <v>FE01-579</v>
      </c>
      <c r="AU294" s="28" t="e">
        <f>DATA[[#This Row],[TOTAL]]*DATA[[#This Row],[T.C.]]</f>
        <v>#REF!</v>
      </c>
      <c r="AV294" s="6">
        <f>DATA[[#This Row],[FECHA DE VAL.]]</f>
        <v>45714</v>
      </c>
      <c r="AW294" s="6">
        <f>DATA[[#This Row],[FECHA DE EMISION]]</f>
        <v>45716</v>
      </c>
      <c r="AX294" s="6">
        <f>DATA[[#This Row],[F1]]</f>
        <v>0</v>
      </c>
      <c r="AY294" s="20">
        <f>IF(AV294-DATA[[#This Row],[fecha_fs]]&lt;0,0,AV294-DATA[[#This Row],[fecha_fs]])</f>
        <v>0</v>
      </c>
      <c r="AZ294" s="20">
        <f t="shared" si="28"/>
        <v>2</v>
      </c>
      <c r="BA294" s="20">
        <f t="shared" si="29"/>
        <v>0</v>
      </c>
      <c r="BB294" s="195">
        <f>IFERROR(SUM(DATA[[#This Row],[fs_val_ttf]:[fact_pago_ttf]]),0)</f>
        <v>2</v>
      </c>
      <c r="BC294" s="185" t="s">
        <v>292</v>
      </c>
      <c r="BD294" s="185" t="s">
        <v>292</v>
      </c>
      <c r="BE294" s="185" t="s">
        <v>292</v>
      </c>
      <c r="BF294" s="185" t="s">
        <v>292</v>
      </c>
      <c r="BG294" s="20">
        <f>IFERROR(IF(BC294-DATA[[#This Row],[fecha_fs]]&lt;0,0,BC294-DATA[[#This Row],[fecha_fs]]),0)</f>
        <v>0</v>
      </c>
      <c r="BH294" s="20">
        <f t="shared" si="33"/>
        <v>0</v>
      </c>
      <c r="BI294" s="20">
        <f t="shared" si="34"/>
        <v>0</v>
      </c>
      <c r="BJ294" s="20">
        <f t="shared" si="35"/>
        <v>0</v>
      </c>
      <c r="BK294" s="218">
        <f>IFERROR(SUM(DATA[[#This Row],[fs_fd_ttd]:[fend_fenf_ttd]]),0)</f>
        <v>0</v>
      </c>
      <c r="BL294" s="20" t="str">
        <f>IF(DATA[[#This Row],[fecha_fs]]&gt;0,TEXT(DATA[[#This Row],[fecha_fs]],"YYYY"),0)</f>
        <v>2025</v>
      </c>
      <c r="BM294" s="221" t="b">
        <v>1</v>
      </c>
      <c r="BN294" s="278">
        <f>COUNTIF(DATA[[#This Row],[tiempo_td]], "&lt;=15")</f>
        <v>1</v>
      </c>
      <c r="BO294" s="222"/>
    </row>
    <row r="295" spans="1:67" ht="30.6" customHeight="1" x14ac:dyDescent="0.25">
      <c r="A295" s="4">
        <v>20100211115</v>
      </c>
      <c r="B295" s="5" t="s">
        <v>41</v>
      </c>
      <c r="C295" s="52" t="s">
        <v>18</v>
      </c>
      <c r="D295" s="4" t="s">
        <v>120</v>
      </c>
      <c r="E295" s="5" t="s">
        <v>3</v>
      </c>
      <c r="F295" s="24">
        <v>45716</v>
      </c>
      <c r="G295" s="7" t="s">
        <v>113</v>
      </c>
      <c r="H295" s="25">
        <f t="shared" si="27"/>
        <v>1</v>
      </c>
      <c r="I295" s="67">
        <v>4178</v>
      </c>
      <c r="J295" s="8" t="s">
        <v>115</v>
      </c>
      <c r="K295" s="9" t="s">
        <v>121</v>
      </c>
      <c r="L295" s="10" t="s">
        <v>117</v>
      </c>
      <c r="M295" s="11">
        <v>90</v>
      </c>
      <c r="N295" s="12" t="s">
        <v>132</v>
      </c>
      <c r="O295" s="6">
        <v>45716</v>
      </c>
      <c r="P295" s="115">
        <v>3326</v>
      </c>
      <c r="Q295" s="14" t="s">
        <v>85</v>
      </c>
      <c r="R295" s="75"/>
      <c r="S295" s="56">
        <v>393.3</v>
      </c>
      <c r="T295" s="15">
        <f>DATA[[#This Row],[C. DF]]+DATA[[#This Row],[C.OPE.]]</f>
        <v>393.3</v>
      </c>
      <c r="U295" s="15">
        <f>DATA[[#This Row],[SUB TOTAL]]*0.18</f>
        <v>70.793999999999997</v>
      </c>
      <c r="V295" s="15">
        <f>IFERROR(ROUND(DATA[[#This Row],[SUB TOTAL]]+DATA[[#This Row],[IGV]],2),0)</f>
        <v>464.09</v>
      </c>
      <c r="W295" s="16" t="str">
        <f>IF(DATA[[#This Row],[VALORIZACIÓN ]]="-","NO CORRESPONDE",IF(OR(A295=20558226979,A295=10470707866,A295=20111157058,A295=20100226902),"NO CORRESPONDE",IF(J295="Emitida",IF(P295&gt;0,"EMITIDA","PENDIENTE"),"NO CORRESPONDE")))</f>
        <v>EMITIDA</v>
      </c>
      <c r="X295" s="29"/>
      <c r="Y295" s="17" t="s">
        <v>118</v>
      </c>
      <c r="Z295" s="30">
        <v>45722</v>
      </c>
      <c r="AA295" s="10" t="s">
        <v>124</v>
      </c>
      <c r="AB295" s="19">
        <v>588</v>
      </c>
      <c r="AC295" s="20">
        <v>30</v>
      </c>
      <c r="AD295" s="18">
        <f>DATA[[#This Row],[FECHA DE EMISION]]+DATA[[#This Row],[CONDICION DE PAGO]]</f>
        <v>45752</v>
      </c>
      <c r="AE295" s="23">
        <f>IF(DATA[[#This Row],[MONEDA]]="USD",VLOOKUP(DATA[[#This Row],[COMBINADA]],#REF!,11,0),1)</f>
        <v>1</v>
      </c>
      <c r="AF295" s="39" t="str">
        <f>IF(DATA[[#This Row],[SERIE2]]="-","NO CORRESPONDE",IF(W295="NO CORRESPONDE","NO CORRESPONDE",IF(Z295&gt;0,"FACTURADO","PENDIENTE")))</f>
        <v>FACTURADO</v>
      </c>
      <c r="AG295" s="27">
        <f>IFERROR(VLOOKUP(DATA[[#This Row],[COMBINADA]],#REF!,6,0),0)</f>
        <v>0</v>
      </c>
      <c r="AH295" s="125">
        <f>IFERROR(VLOOKUP(DATA[[#This Row],[COMBINADA]],#REF!,9,0),0)/COUNTIFS(DATA[COMBINADA],DATA[[#This Row],[COMBINADA]])</f>
        <v>0</v>
      </c>
      <c r="AI295" s="27">
        <f>IFERROR(VLOOKUP(DATA[[#This Row],[COMBINADA]],#REF!,6,0),0)</f>
        <v>0</v>
      </c>
      <c r="AJ295" s="125">
        <f>IFERROR(VLOOKUP(DATA[[#This Row],[COMBINADA]],#REF!,9,0),0)/COUNTIFS(DATA[COMBINADA],DATA[[#This Row],[COMBINADA]])</f>
        <v>0</v>
      </c>
      <c r="AK295" s="27">
        <f>IFERROR(VLOOKUP(DATA[[#This Row],[COMBINADA]],#REF!,6,0),0)</f>
        <v>0</v>
      </c>
      <c r="AL295" s="125">
        <f>IFERROR(VLOOKUP(DATA[[#This Row],[COMBINADA]],#REF!,9,0),0)/COUNTIFS(DATA[COMBINADA],DATA[[#This Row],[COMBINADA]])</f>
        <v>0</v>
      </c>
      <c r="AM295" s="27">
        <f>IFERROR(VLOOKUP(DATA[[#This Row],[COMBINADA]],#REF!,6,0),0)</f>
        <v>0</v>
      </c>
      <c r="AN295" s="125">
        <f>IFERROR(VLOOKUP(DATA[[#This Row],[COMBINADA]],#REF!,9,0),0)/COUNTIFS(DATA[COMBINADA],DATA[[#This Row],[COMBINADA]])</f>
        <v>0</v>
      </c>
      <c r="AO295" s="27">
        <f>IFERROR(VLOOKUP(DATA[[#This Row],[COMBINADA]],#REF!,6,0),0)</f>
        <v>0</v>
      </c>
      <c r="AP295" s="125">
        <f>IFERROR(VLOOKUP(DATA[[#This Row],[COMBINADA]],#REF!,9,0),0)/COUNTIFS(DATA[COMBINADA],DATA[[#This Row],[COMBINADA]])</f>
        <v>0</v>
      </c>
      <c r="AQ29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295" s="26" t="str">
        <f>IFERROR(IF(DATA[[#This Row],[estado_fact]]="FACTURADO",VLOOKUP(DATA[[#This Row],[SERIE2]]&amp;"-"&amp;DATA[[#This Row],[NUMERO]],#REF!,34,0),"NO CORRESPONDE"),"NO CORRESPONDE")</f>
        <v>NO CORRESPONDE</v>
      </c>
      <c r="AS295" s="22" t="str">
        <f>IF(DATA[[#This Row],[fecha_fs]]&gt;0,TEXT(DATA[[#This Row],[fecha_fs]],"Mmmm"),0)</f>
        <v>Febrero</v>
      </c>
      <c r="AT295" s="22" t="str">
        <f>DATA[[#This Row],[SERIE2]]&amp;"-"&amp;DATA[[#This Row],[NUMERO]]</f>
        <v>FE01-588</v>
      </c>
      <c r="AU295" s="28">
        <f>DATA[[#This Row],[TOTAL]]*DATA[[#This Row],[T.C.]]</f>
        <v>464.09</v>
      </c>
      <c r="AV295" s="6">
        <f>DATA[[#This Row],[FECHA DE VAL.]]</f>
        <v>45716</v>
      </c>
      <c r="AW295" s="6">
        <f>DATA[[#This Row],[FECHA DE EMISION]]</f>
        <v>45722</v>
      </c>
      <c r="AX295" s="6">
        <f>DATA[[#This Row],[F1]]</f>
        <v>0</v>
      </c>
      <c r="AY295" s="20">
        <f>IF(AV295-DATA[[#This Row],[fecha_fs]]&lt;0,0,AV295-DATA[[#This Row],[fecha_fs]])</f>
        <v>0</v>
      </c>
      <c r="AZ295" s="20">
        <f t="shared" si="28"/>
        <v>6</v>
      </c>
      <c r="BA295" s="20">
        <f t="shared" si="29"/>
        <v>0</v>
      </c>
      <c r="BB295" s="195">
        <f>IFERROR(SUM(DATA[[#This Row],[fs_val_ttf]:[fact_pago_ttf]]),0)</f>
        <v>6</v>
      </c>
      <c r="BC295" s="185">
        <v>45729</v>
      </c>
      <c r="BD295" s="185">
        <v>45735</v>
      </c>
      <c r="BE295" s="185">
        <v>45740</v>
      </c>
      <c r="BF295" s="185">
        <v>45749</v>
      </c>
      <c r="BG295" s="20">
        <f>IFERROR(IF(BC295-DATA[[#This Row],[fecha_fs]]&lt;0,0,BC295-DATA[[#This Row],[fecha_fs]]),0)</f>
        <v>13</v>
      </c>
      <c r="BH295" s="20">
        <f t="shared" si="33"/>
        <v>6</v>
      </c>
      <c r="BI295" s="20">
        <f t="shared" si="34"/>
        <v>5</v>
      </c>
      <c r="BJ295" s="20">
        <f t="shared" si="35"/>
        <v>9</v>
      </c>
      <c r="BK295" s="218">
        <f>IFERROR(SUM(DATA[[#This Row],[fs_fd_ttd]:[fend_fenf_ttd]]),0)</f>
        <v>33</v>
      </c>
      <c r="BL295" s="20" t="str">
        <f>IF(DATA[[#This Row],[fecha_fs]]&gt;0,TEXT(DATA[[#This Row],[fecha_fs]],"YYYY"),0)</f>
        <v>2025</v>
      </c>
      <c r="BM295" s="221" t="b">
        <v>1</v>
      </c>
      <c r="BN295" s="278">
        <f>COUNTIF(DATA[[#This Row],[tiempo_td]], "&lt;=15")</f>
        <v>0</v>
      </c>
      <c r="BO295" s="222"/>
    </row>
    <row r="296" spans="1:67" ht="30" customHeight="1" x14ac:dyDescent="0.25">
      <c r="A296" s="4"/>
      <c r="B296" s="5" t="s">
        <v>0</v>
      </c>
      <c r="C296" s="52"/>
      <c r="D296" s="4"/>
      <c r="E296" s="5" t="s">
        <v>0</v>
      </c>
      <c r="F296" s="24">
        <v>45715</v>
      </c>
      <c r="G296" s="7" t="s">
        <v>113</v>
      </c>
      <c r="H296" s="25">
        <f t="shared" si="27"/>
        <v>1</v>
      </c>
      <c r="I296" s="67">
        <v>4179</v>
      </c>
      <c r="J296" s="8" t="s">
        <v>173</v>
      </c>
      <c r="K296" s="9"/>
      <c r="L296" s="10"/>
      <c r="M296" s="111"/>
      <c r="N296" s="112"/>
      <c r="O296" s="6"/>
      <c r="P296" s="13" t="s">
        <v>114</v>
      </c>
      <c r="Q296" s="14"/>
      <c r="R296" s="43"/>
      <c r="S296" s="43"/>
      <c r="T296" s="43">
        <f>DATA[[#This Row],[C. DF]]+DATA[[#This Row],[C.OPE.]]</f>
        <v>0</v>
      </c>
      <c r="U296" s="73">
        <f>DATA[[#This Row],[SUB TOTAL]]*0.18</f>
        <v>0</v>
      </c>
      <c r="V296" s="45">
        <f>IFERROR(ROUND(DATA[[#This Row],[SUB TOTAL]]+DATA[[#This Row],[IGV]],2),0)</f>
        <v>0</v>
      </c>
      <c r="W296" s="58" t="str">
        <f>IF(DATA[[#This Row],[VALORIZACIÓN ]]="-","NO CORRESPONDE",IF(OR(A296=20558226979,A296=10470707866,A296=20111157058,A296=20100226902),"NO CORRESPONDE",IF(J296="Emitida",IF(P296&gt;0,"EMITIDA","PENDIENTE"),"NO CORRESPONDE")))</f>
        <v>NO CORRESPONDE</v>
      </c>
      <c r="X296" s="46"/>
      <c r="Y296" s="17" t="s">
        <v>128</v>
      </c>
      <c r="Z296" s="48"/>
      <c r="AA296" s="49"/>
      <c r="AB296" s="50"/>
      <c r="AC296" s="51"/>
      <c r="AD296" s="59">
        <f>DATA[[#This Row],[FECHA DE EMISION]]+DATA[[#This Row],[CONDICION DE PAGO]]</f>
        <v>0</v>
      </c>
      <c r="AE296" s="23">
        <f>IF(DATA[[#This Row],[MONEDA]]="USD",VLOOKUP(DATA[[#This Row],[COMBINADA]],#REF!,11,0),1)</f>
        <v>1</v>
      </c>
      <c r="AF296" s="39" t="str">
        <f>IF(DATA[[#This Row],[SERIE2]]="-","NO CORRESPONDE",IF(W296="NO CORRESPONDE","NO CORRESPONDE",IF(Z296&gt;0,"FACTURADO","PENDIENTE")))</f>
        <v>NO CORRESPONDE</v>
      </c>
      <c r="AG296" s="61">
        <f>IFERROR(VLOOKUP(DATA[[#This Row],[COMBINADA]],#REF!,6,0),0)</f>
        <v>0</v>
      </c>
      <c r="AH296" s="62">
        <f>IFERROR(VLOOKUP(DATA[[#This Row],[COMBINADA]],#REF!,9,0),0)/COUNTIFS(DATA[COMBINADA],DATA[[#This Row],[COMBINADA]])</f>
        <v>0</v>
      </c>
      <c r="AI296" s="61">
        <f>IFERROR(VLOOKUP(DATA[[#This Row],[COMBINADA]],#REF!,6,0),0)</f>
        <v>0</v>
      </c>
      <c r="AJ296" s="62">
        <f>IFERROR(VLOOKUP(DATA[[#This Row],[COMBINADA]],#REF!,9,0),0)/COUNTIFS(DATA[COMBINADA],DATA[[#This Row],[COMBINADA]])</f>
        <v>0</v>
      </c>
      <c r="AK296" s="61">
        <f>IFERROR(VLOOKUP(DATA[[#This Row],[COMBINADA]],#REF!,6,0),0)</f>
        <v>0</v>
      </c>
      <c r="AL296" s="62">
        <f>IFERROR(VLOOKUP(DATA[[#This Row],[COMBINADA]],#REF!,9,0),0)/COUNTIFS(DATA[COMBINADA],DATA[[#This Row],[COMBINADA]])</f>
        <v>0</v>
      </c>
      <c r="AM296" s="61">
        <f>IFERROR(VLOOKUP(DATA[[#This Row],[COMBINADA]],#REF!,6,0),0)</f>
        <v>0</v>
      </c>
      <c r="AN296" s="62">
        <f>IFERROR(VLOOKUP(DATA[[#This Row],[COMBINADA]],#REF!,9,0),0)/COUNTIFS(DATA[COMBINADA],DATA[[#This Row],[COMBINADA]])</f>
        <v>0</v>
      </c>
      <c r="AO296" s="61">
        <f>IFERROR(VLOOKUP(DATA[[#This Row],[COMBINADA]],#REF!,6,0),0)</f>
        <v>0</v>
      </c>
      <c r="AP296" s="62">
        <f>IFERROR(VLOOKUP(DATA[[#This Row],[COMBINADA]],#REF!,9,0),0)/COUNTIFS(DATA[COMBINADA],DATA[[#This Row],[COMBINADA]])</f>
        <v>0</v>
      </c>
      <c r="AQ296"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296" s="22" t="str">
        <f>IFERROR(IF(DATA[[#This Row],[estado_fact]]="FACTURADO",VLOOKUP(DATA[[#This Row],[SERIE2]]&amp;"-"&amp;DATA[[#This Row],[NUMERO]],#REF!,34,0),"NO CORRESPONDE"),"NO CORRESPONDE")</f>
        <v>NO CORRESPONDE</v>
      </c>
      <c r="AS296" s="198" t="str">
        <f>IF(DATA[[#This Row],[fecha_fs]]&gt;0,TEXT(DATA[[#This Row],[fecha_fs]],"Mmmm"),0)</f>
        <v>Febrero</v>
      </c>
      <c r="AT296" s="199" t="str">
        <f>DATA[[#This Row],[SERIE2]]&amp;"-"&amp;DATA[[#This Row],[NUMERO]]</f>
        <v>-</v>
      </c>
      <c r="AU296" s="198">
        <f>DATA[[#This Row],[TOTAL]]*DATA[[#This Row],[T.C.]]</f>
        <v>0</v>
      </c>
      <c r="AV296" s="40">
        <f>DATA[[#This Row],[FECHA DE VAL.]]</f>
        <v>0</v>
      </c>
      <c r="AW296" s="40">
        <f>DATA[[#This Row],[FECHA DE EMISION]]</f>
        <v>0</v>
      </c>
      <c r="AX296" s="40">
        <f>DATA[[#This Row],[F1]]</f>
        <v>0</v>
      </c>
      <c r="AY296" s="49">
        <f>IF(AV296-DATA[[#This Row],[fecha_fs]]&lt;0,0,AV296-DATA[[#This Row],[fecha_fs]])</f>
        <v>0</v>
      </c>
      <c r="AZ296" s="49">
        <f t="shared" si="28"/>
        <v>0</v>
      </c>
      <c r="BA296" s="49">
        <f t="shared" si="29"/>
        <v>0</v>
      </c>
      <c r="BB296" s="195">
        <f>IFERROR(SUM(DATA[[#This Row],[fs_val_ttf]:[fact_pago_ttf]]),0)</f>
        <v>0</v>
      </c>
      <c r="BC296" s="200"/>
      <c r="BD296" s="200"/>
      <c r="BE296" s="200"/>
      <c r="BF296" s="200"/>
      <c r="BG296" s="49">
        <f>IFERROR(IF(BC296-DATA[[#This Row],[fecha_fs]]&lt;0,0,BC296-DATA[[#This Row],[fecha_fs]]),0)</f>
        <v>0</v>
      </c>
      <c r="BH296" s="49">
        <f t="shared" si="33"/>
        <v>0</v>
      </c>
      <c r="BI296" s="49">
        <f t="shared" si="34"/>
        <v>0</v>
      </c>
      <c r="BJ296" s="49">
        <f t="shared" si="35"/>
        <v>0</v>
      </c>
      <c r="BK296" s="218">
        <f>IFERROR(SUM(DATA[[#This Row],[fs_fd_ttd]:[fend_fenf_ttd]]),0)</f>
        <v>0</v>
      </c>
      <c r="BL296" s="20" t="str">
        <f>IF(DATA[[#This Row],[fecha_fs]]&gt;0,TEXT(DATA[[#This Row],[fecha_fs]],"YYYY"),0)</f>
        <v>2025</v>
      </c>
      <c r="BM296" s="221" t="b">
        <v>0</v>
      </c>
      <c r="BN296" s="278"/>
      <c r="BO296" s="222"/>
    </row>
    <row r="297" spans="1:67" ht="30.6" customHeight="1" x14ac:dyDescent="0.25">
      <c r="A297" s="4">
        <v>20100211115</v>
      </c>
      <c r="B297" s="5" t="s">
        <v>41</v>
      </c>
      <c r="C297" s="52" t="s">
        <v>18</v>
      </c>
      <c r="D297" s="4" t="s">
        <v>112</v>
      </c>
      <c r="E297" s="5" t="s">
        <v>1</v>
      </c>
      <c r="F297" s="24">
        <v>45716</v>
      </c>
      <c r="G297" s="7" t="s">
        <v>113</v>
      </c>
      <c r="H297" s="25">
        <f t="shared" si="27"/>
        <v>1</v>
      </c>
      <c r="I297" s="67">
        <v>4180</v>
      </c>
      <c r="J297" s="8" t="s">
        <v>115</v>
      </c>
      <c r="K297" s="9" t="s">
        <v>116</v>
      </c>
      <c r="L297" s="10" t="s">
        <v>117</v>
      </c>
      <c r="M297" s="11">
        <v>11</v>
      </c>
      <c r="N297" s="12" t="s">
        <v>132</v>
      </c>
      <c r="O297" s="6">
        <v>45716</v>
      </c>
      <c r="P297" s="115">
        <v>3327</v>
      </c>
      <c r="Q297" s="14" t="s">
        <v>85</v>
      </c>
      <c r="R297" s="75"/>
      <c r="S297" s="15">
        <f>(DATA[[#This Row],[cantidad_fs]]*4.57)</f>
        <v>50.27</v>
      </c>
      <c r="T297" s="15">
        <f>DATA[[#This Row],[C. DF]]+DATA[[#This Row],[C.OPE.]]</f>
        <v>50.27</v>
      </c>
      <c r="U297" s="15">
        <f>DATA[[#This Row],[SUB TOTAL]]*0.18</f>
        <v>9.0486000000000004</v>
      </c>
      <c r="V297" s="15">
        <f>IFERROR(ROUND(DATA[[#This Row],[SUB TOTAL]]+DATA[[#This Row],[IGV]],2),0)</f>
        <v>59.32</v>
      </c>
      <c r="W297" s="16" t="str">
        <f>IF(DATA[[#This Row],[VALORIZACIÓN ]]="-","NO CORRESPONDE",IF(OR(A297=20558226979,A297=10470707866,A297=20111157058,A297=20100226902),"NO CORRESPONDE",IF(J297="Emitida",IF(P297&gt;0,"EMITIDA","PENDIENTE"),"NO CORRESPONDE")))</f>
        <v>EMITIDA</v>
      </c>
      <c r="X297" s="29"/>
      <c r="Y297" s="17" t="s">
        <v>118</v>
      </c>
      <c r="Z297" s="30">
        <v>45722</v>
      </c>
      <c r="AA297" s="10" t="s">
        <v>124</v>
      </c>
      <c r="AB297" s="19">
        <v>590</v>
      </c>
      <c r="AC297" s="20">
        <v>30</v>
      </c>
      <c r="AD297" s="18">
        <f>DATA[[#This Row],[FECHA DE EMISION]]+DATA[[#This Row],[CONDICION DE PAGO]]</f>
        <v>45752</v>
      </c>
      <c r="AE297" s="23">
        <f>IF(DATA[[#This Row],[MONEDA]]="USD",VLOOKUP(DATA[[#This Row],[COMBINADA]],#REF!,11,0),1)</f>
        <v>1</v>
      </c>
      <c r="AF297" s="39" t="str">
        <f>IF(DATA[[#This Row],[SERIE2]]="-","NO CORRESPONDE",IF(W297="NO CORRESPONDE","NO CORRESPONDE",IF(Z297&gt;0,"FACTURADO","PENDIENTE")))</f>
        <v>FACTURADO</v>
      </c>
      <c r="AG297" s="27">
        <f>IFERROR(VLOOKUP(DATA[[#This Row],[COMBINADA]],#REF!,6,0),0)</f>
        <v>0</v>
      </c>
      <c r="AH297" s="125">
        <f>IFERROR(VLOOKUP(DATA[[#This Row],[COMBINADA]],#REF!,9,0),0)/COUNTIFS(DATA[COMBINADA],DATA[[#This Row],[COMBINADA]])</f>
        <v>0</v>
      </c>
      <c r="AI297" s="27">
        <f>IFERROR(VLOOKUP(DATA[[#This Row],[COMBINADA]],#REF!,6,0),0)</f>
        <v>0</v>
      </c>
      <c r="AJ297" s="125">
        <f>IFERROR(VLOOKUP(DATA[[#This Row],[COMBINADA]],#REF!,9,0),0)/COUNTIFS(DATA[COMBINADA],DATA[[#This Row],[COMBINADA]])</f>
        <v>0</v>
      </c>
      <c r="AK297" s="27">
        <f>IFERROR(VLOOKUP(DATA[[#This Row],[COMBINADA]],#REF!,6,0),0)</f>
        <v>0</v>
      </c>
      <c r="AL297" s="125">
        <f>IFERROR(VLOOKUP(DATA[[#This Row],[COMBINADA]],#REF!,9,0),0)/COUNTIFS(DATA[COMBINADA],DATA[[#This Row],[COMBINADA]])</f>
        <v>0</v>
      </c>
      <c r="AM297" s="27">
        <f>IFERROR(VLOOKUP(DATA[[#This Row],[COMBINADA]],#REF!,6,0),0)</f>
        <v>0</v>
      </c>
      <c r="AN297" s="125">
        <f>IFERROR(VLOOKUP(DATA[[#This Row],[COMBINADA]],#REF!,9,0),0)/COUNTIFS(DATA[COMBINADA],DATA[[#This Row],[COMBINADA]])</f>
        <v>0</v>
      </c>
      <c r="AO297" s="27">
        <f>IFERROR(VLOOKUP(DATA[[#This Row],[COMBINADA]],#REF!,6,0),0)</f>
        <v>0</v>
      </c>
      <c r="AP297" s="125">
        <f>IFERROR(VLOOKUP(DATA[[#This Row],[COMBINADA]],#REF!,9,0),0)/COUNTIFS(DATA[COMBINADA],DATA[[#This Row],[COMBINADA]])</f>
        <v>0</v>
      </c>
      <c r="AQ29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75.496666666666655</v>
      </c>
      <c r="AR297" s="26" t="str">
        <f>IFERROR(IF(DATA[[#This Row],[estado_fact]]="FACTURADO",VLOOKUP(DATA[[#This Row],[SERIE2]]&amp;"-"&amp;DATA[[#This Row],[NUMERO]],#REF!,34,0),"NO CORRESPONDE"),"NO CORRESPONDE")</f>
        <v>NO CORRESPONDE</v>
      </c>
      <c r="AS297" s="22" t="str">
        <f>IF(DATA[[#This Row],[fecha_fs]]&gt;0,TEXT(DATA[[#This Row],[fecha_fs]],"Mmmm"),0)</f>
        <v>Febrero</v>
      </c>
      <c r="AT297" s="22" t="str">
        <f>DATA[[#This Row],[SERIE2]]&amp;"-"&amp;DATA[[#This Row],[NUMERO]]</f>
        <v>FE01-590</v>
      </c>
      <c r="AU297" s="28">
        <f>DATA[[#This Row],[TOTAL]]*DATA[[#This Row],[T.C.]]</f>
        <v>59.32</v>
      </c>
      <c r="AV297" s="6">
        <f>DATA[[#This Row],[FECHA DE VAL.]]</f>
        <v>45716</v>
      </c>
      <c r="AW297" s="6">
        <f>DATA[[#This Row],[FECHA DE EMISION]]</f>
        <v>45722</v>
      </c>
      <c r="AX297" s="6">
        <f>DATA[[#This Row],[F1]]</f>
        <v>0</v>
      </c>
      <c r="AY297" s="20">
        <f>IF(AV297-DATA[[#This Row],[fecha_fs]]&lt;0,0,AV297-DATA[[#This Row],[fecha_fs]])</f>
        <v>0</v>
      </c>
      <c r="AZ297" s="20">
        <f t="shared" si="28"/>
        <v>6</v>
      </c>
      <c r="BA297" s="20">
        <f t="shared" si="29"/>
        <v>0</v>
      </c>
      <c r="BB297" s="195">
        <f>IFERROR(SUM(DATA[[#This Row],[fs_val_ttf]:[fact_pago_ttf]]),0)</f>
        <v>6</v>
      </c>
      <c r="BC297" s="185">
        <v>45730</v>
      </c>
      <c r="BD297" s="185">
        <v>45743</v>
      </c>
      <c r="BE297" s="185">
        <v>45740</v>
      </c>
      <c r="BF297" s="185">
        <v>45749</v>
      </c>
      <c r="BG297" s="20">
        <f>IFERROR(IF(BC297-DATA[[#This Row],[fecha_fs]]&lt;0,0,BC297-DATA[[#This Row],[fecha_fs]]),0)</f>
        <v>14</v>
      </c>
      <c r="BH297" s="20">
        <f t="shared" si="33"/>
        <v>13</v>
      </c>
      <c r="BI297" s="20">
        <f t="shared" si="34"/>
        <v>0</v>
      </c>
      <c r="BJ297" s="20">
        <f t="shared" si="35"/>
        <v>9</v>
      </c>
      <c r="BK297" s="218">
        <f>IFERROR(SUM(DATA[[#This Row],[fs_fd_ttd]:[fend_fenf_ttd]]),0)</f>
        <v>36</v>
      </c>
      <c r="BL297" s="20" t="str">
        <f>IF(DATA[[#This Row],[fecha_fs]]&gt;0,TEXT(DATA[[#This Row],[fecha_fs]],"YYYY"),0)</f>
        <v>2025</v>
      </c>
      <c r="BM297" s="221" t="b">
        <v>1</v>
      </c>
      <c r="BN297" s="278">
        <f>COUNTIF(DATA[[#This Row],[tiempo_td]], "&lt;=15")</f>
        <v>0</v>
      </c>
      <c r="BO297" s="222"/>
    </row>
    <row r="298" spans="1:67" ht="30.6" customHeight="1" x14ac:dyDescent="0.25">
      <c r="A298" s="4">
        <v>20141637941</v>
      </c>
      <c r="B298" s="5" t="s">
        <v>79</v>
      </c>
      <c r="C298" s="52" t="s">
        <v>18</v>
      </c>
      <c r="D298" s="4" t="s">
        <v>120</v>
      </c>
      <c r="E298" s="5" t="s">
        <v>3</v>
      </c>
      <c r="F298" s="24">
        <v>45716</v>
      </c>
      <c r="G298" s="7" t="s">
        <v>113</v>
      </c>
      <c r="H298" s="25">
        <f t="shared" si="27"/>
        <v>1</v>
      </c>
      <c r="I298" s="67">
        <v>4181</v>
      </c>
      <c r="J298" s="8" t="s">
        <v>115</v>
      </c>
      <c r="K298" s="9" t="s">
        <v>121</v>
      </c>
      <c r="L298" s="10" t="s">
        <v>117</v>
      </c>
      <c r="M298" s="11">
        <v>1440</v>
      </c>
      <c r="N298" s="12" t="s">
        <v>125</v>
      </c>
      <c r="O298" s="6">
        <v>45716</v>
      </c>
      <c r="P298" s="110">
        <v>3331</v>
      </c>
      <c r="Q298" s="14" t="s">
        <v>85</v>
      </c>
      <c r="R298" s="56">
        <f>70+(DATA[[#This Row],[cantidad_fs]]-1000)*0.1</f>
        <v>114</v>
      </c>
      <c r="S298" s="56">
        <v>517</v>
      </c>
      <c r="T298" s="15">
        <f>DATA[[#This Row],[C. DF]]+DATA[[#This Row],[C.OPE.]]</f>
        <v>631</v>
      </c>
      <c r="U298" s="15">
        <f>DATA[[#This Row],[SUB TOTAL]]*0.18</f>
        <v>113.58</v>
      </c>
      <c r="V298" s="15">
        <f>IFERROR(ROUND(DATA[[#This Row],[SUB TOTAL]]+DATA[[#This Row],[IGV]],2),0)</f>
        <v>744.58</v>
      </c>
      <c r="W298" s="16" t="str">
        <f>IF(DATA[[#This Row],[VALORIZACIÓN ]]="-","NO CORRESPONDE",IF(OR(A298=20558226979,A298=10470707866,A298=20111157058,A298=20100226902),"NO CORRESPONDE",IF(J298="Emitida",IF(P298&gt;0,"EMITIDA","PENDIENTE"),"NO CORRESPONDE")))</f>
        <v>EMITIDA</v>
      </c>
      <c r="X298" s="29"/>
      <c r="Y298" s="17" t="s">
        <v>118</v>
      </c>
      <c r="Z298" s="30">
        <v>45719</v>
      </c>
      <c r="AA298" s="10" t="s">
        <v>124</v>
      </c>
      <c r="AB298" s="19">
        <v>587</v>
      </c>
      <c r="AC298" s="20">
        <v>30</v>
      </c>
      <c r="AD298" s="18">
        <f>DATA[[#This Row],[FECHA DE EMISION]]+DATA[[#This Row],[CONDICION DE PAGO]]</f>
        <v>45749</v>
      </c>
      <c r="AE298" s="23">
        <f>IF(DATA[[#This Row],[MONEDA]]="USD",VLOOKUP(DATA[[#This Row],[COMBINADA]],#REF!,11,0),1)</f>
        <v>1</v>
      </c>
      <c r="AF298" s="39" t="str">
        <f>IF(DATA[[#This Row],[SERIE2]]="-","NO CORRESPONDE",IF(W298="NO CORRESPONDE","NO CORRESPONDE",IF(Z298&gt;0,"FACTURADO","PENDIENTE")))</f>
        <v>FACTURADO</v>
      </c>
      <c r="AG298" s="27">
        <f>IFERROR(VLOOKUP(DATA[[#This Row],[COMBINADA]],#REF!,6,0),0)</f>
        <v>0</v>
      </c>
      <c r="AH298" s="125">
        <f>IFERROR(VLOOKUP(DATA[[#This Row],[COMBINADA]],#REF!,9,0),0)/COUNTIFS(DATA[COMBINADA],DATA[[#This Row],[COMBINADA]])</f>
        <v>0</v>
      </c>
      <c r="AI298" s="27">
        <f>IFERROR(VLOOKUP(DATA[[#This Row],[COMBINADA]],#REF!,6,0),0)</f>
        <v>0</v>
      </c>
      <c r="AJ298" s="125">
        <f>IFERROR(VLOOKUP(DATA[[#This Row],[COMBINADA]],#REF!,9,0),0)/COUNTIFS(DATA[COMBINADA],DATA[[#This Row],[COMBINADA]])</f>
        <v>0</v>
      </c>
      <c r="AK298" s="27">
        <f>IFERROR(VLOOKUP(DATA[[#This Row],[COMBINADA]],#REF!,6,0),0)</f>
        <v>0</v>
      </c>
      <c r="AL298" s="125">
        <f>IFERROR(VLOOKUP(DATA[[#This Row],[COMBINADA]],#REF!,9,0),0)/COUNTIFS(DATA[COMBINADA],DATA[[#This Row],[COMBINADA]])</f>
        <v>0</v>
      </c>
      <c r="AM298" s="27">
        <f>IFERROR(VLOOKUP(DATA[[#This Row],[COMBINADA]],#REF!,6,0),0)</f>
        <v>0</v>
      </c>
      <c r="AN298" s="125">
        <f>IFERROR(VLOOKUP(DATA[[#This Row],[COMBINADA]],#REF!,9,0),0)/COUNTIFS(DATA[COMBINADA],DATA[[#This Row],[COMBINADA]])</f>
        <v>0</v>
      </c>
      <c r="AO298" s="27">
        <f>IFERROR(VLOOKUP(DATA[[#This Row],[COMBINADA]],#REF!,6,0),0)</f>
        <v>0</v>
      </c>
      <c r="AP298" s="125">
        <f>IFERROR(VLOOKUP(DATA[[#This Row],[COMBINADA]],#REF!,9,0),0)/COUNTIFS(DATA[COMBINADA],DATA[[#This Row],[COMBINADA]])</f>
        <v>0</v>
      </c>
      <c r="AQ29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759.32999999999993</v>
      </c>
      <c r="AR298" s="26" t="str">
        <f>IFERROR(IF(DATA[[#This Row],[estado_fact]]="FACTURADO",VLOOKUP(DATA[[#This Row],[SERIE2]]&amp;"-"&amp;DATA[[#This Row],[NUMERO]],#REF!,34,0),"NO CORRESPONDE"),"NO CORRESPONDE")</f>
        <v>NO CORRESPONDE</v>
      </c>
      <c r="AS298" s="22" t="str">
        <f>IF(DATA[[#This Row],[fecha_fs]]&gt;0,TEXT(DATA[[#This Row],[fecha_fs]],"Mmmm"),0)</f>
        <v>Febrero</v>
      </c>
      <c r="AT298" s="22" t="str">
        <f>DATA[[#This Row],[SERIE2]]&amp;"-"&amp;DATA[[#This Row],[NUMERO]]</f>
        <v>FE01-587</v>
      </c>
      <c r="AU298" s="28">
        <f>DATA[[#This Row],[TOTAL]]*DATA[[#This Row],[T.C.]]</f>
        <v>744.58</v>
      </c>
      <c r="AV298" s="6">
        <f>DATA[[#This Row],[FECHA DE VAL.]]</f>
        <v>45716</v>
      </c>
      <c r="AW298" s="6">
        <f>DATA[[#This Row],[FECHA DE EMISION]]</f>
        <v>45719</v>
      </c>
      <c r="AX298" s="6">
        <f>DATA[[#This Row],[F1]]</f>
        <v>0</v>
      </c>
      <c r="AY298" s="20">
        <f>IF(AV298-DATA[[#This Row],[fecha_fs]]&lt;0,0,AV298-DATA[[#This Row],[fecha_fs]])</f>
        <v>0</v>
      </c>
      <c r="AZ298" s="20">
        <f t="shared" si="28"/>
        <v>3</v>
      </c>
      <c r="BA298" s="20">
        <f t="shared" si="29"/>
        <v>0</v>
      </c>
      <c r="BB298" s="195">
        <f>IFERROR(SUM(DATA[[#This Row],[fs_val_ttf]:[fact_pago_ttf]]),0)</f>
        <v>3</v>
      </c>
      <c r="BC298" s="185">
        <v>45716</v>
      </c>
      <c r="BD298" s="185">
        <v>45716</v>
      </c>
      <c r="BE298" s="185">
        <v>45719</v>
      </c>
      <c r="BF298" s="185">
        <v>45719</v>
      </c>
      <c r="BG298" s="20">
        <f>IFERROR(IF(BC298-DATA[[#This Row],[fecha_fs]]&lt;0,0,BC298-DATA[[#This Row],[fecha_fs]]),0)</f>
        <v>0</v>
      </c>
      <c r="BH298" s="20">
        <f t="shared" si="33"/>
        <v>0</v>
      </c>
      <c r="BI298" s="20">
        <f t="shared" si="34"/>
        <v>3</v>
      </c>
      <c r="BJ298" s="20">
        <f t="shared" si="35"/>
        <v>0</v>
      </c>
      <c r="BK298" s="218">
        <f>IFERROR(SUM(DATA[[#This Row],[fs_fd_ttd]:[fend_fenf_ttd]]),0)</f>
        <v>3</v>
      </c>
      <c r="BL298" s="20" t="str">
        <f>IF(DATA[[#This Row],[fecha_fs]]&gt;0,TEXT(DATA[[#This Row],[fecha_fs]],"YYYY"),0)</f>
        <v>2025</v>
      </c>
      <c r="BM298" s="221" t="b">
        <v>1</v>
      </c>
      <c r="BN298" s="278">
        <f>COUNTIF(DATA[[#This Row],[tiempo_td]], "&lt;=15")</f>
        <v>1</v>
      </c>
      <c r="BO298" s="222"/>
    </row>
    <row r="299" spans="1:67" ht="30.6" customHeight="1" x14ac:dyDescent="0.25">
      <c r="A299" s="4">
        <v>20100226902</v>
      </c>
      <c r="B299" s="5" t="s">
        <v>24</v>
      </c>
      <c r="C299" s="52" t="s">
        <v>18</v>
      </c>
      <c r="D299" s="4" t="s">
        <v>120</v>
      </c>
      <c r="E299" s="5" t="s">
        <v>3</v>
      </c>
      <c r="F299" s="24">
        <v>45716</v>
      </c>
      <c r="G299" s="7" t="s">
        <v>113</v>
      </c>
      <c r="H299" s="25">
        <f t="shared" si="27"/>
        <v>1</v>
      </c>
      <c r="I299" s="67">
        <v>4182</v>
      </c>
      <c r="J299" s="8" t="s">
        <v>115</v>
      </c>
      <c r="K299" s="9" t="s">
        <v>121</v>
      </c>
      <c r="L299" s="10" t="s">
        <v>117</v>
      </c>
      <c r="M299" s="11">
        <v>480</v>
      </c>
      <c r="N299" s="12" t="s">
        <v>127</v>
      </c>
      <c r="O299" s="40"/>
      <c r="P299" s="41" t="s">
        <v>114</v>
      </c>
      <c r="Q299" s="42"/>
      <c r="R299" s="43"/>
      <c r="S299" s="43"/>
      <c r="T299" s="43">
        <f>DATA[[#This Row],[C. DF]]+DATA[[#This Row],[C.OPE.]]</f>
        <v>0</v>
      </c>
      <c r="U299" s="43">
        <f>DATA[[#This Row],[SUB TOTAL]]*0.18</f>
        <v>0</v>
      </c>
      <c r="V299" s="43">
        <f>IFERROR(ROUND(DATA[[#This Row],[SUB TOTAL]]+DATA[[#This Row],[IGV]],2),0)</f>
        <v>0</v>
      </c>
      <c r="W299" s="58" t="str">
        <f>IF(DATA[[#This Row],[VALORIZACIÓN ]]="-","NO CORRESPONDE",IF(OR(A299=20558226979,A299=10470707866,A299=20111157058,A299=20100226902),"NO CORRESPONDE",IF(J299="Emitida",IF(P299&gt;0,"EMITIDA","PENDIENTE"),"NO CORRESPONDE")))</f>
        <v>NO CORRESPONDE</v>
      </c>
      <c r="X299" s="45"/>
      <c r="Y299" s="58" t="s">
        <v>128</v>
      </c>
      <c r="Z299" s="46"/>
      <c r="AA299" s="47"/>
      <c r="AB299" s="48"/>
      <c r="AC299" s="49"/>
      <c r="AD299" s="50">
        <f>DATA[[#This Row],[FECHA DE EMISION]]+DATA[[#This Row],[CONDICION DE PAGO]]</f>
        <v>0</v>
      </c>
      <c r="AE299" s="23">
        <f>IF(DATA[[#This Row],[MONEDA]]="USD",VLOOKUP(DATA[[#This Row],[COMBINADA]],#REF!,11,0),1)</f>
        <v>1</v>
      </c>
      <c r="AF299" s="39" t="str">
        <f>IF(DATA[[#This Row],[SERIE2]]="-","NO CORRESPONDE",IF(W299="NO CORRESPONDE","NO CORRESPONDE",IF(Z299&gt;0,"FACTURADO","PENDIENTE")))</f>
        <v>NO CORRESPONDE</v>
      </c>
      <c r="AG299" s="60">
        <f>IFERROR(VLOOKUP(DATA[[#This Row],[COMBINADA]],#REF!,6,0),0)</f>
        <v>0</v>
      </c>
      <c r="AH299" s="126">
        <f>IFERROR(VLOOKUP(DATA[[#This Row],[COMBINADA]],#REF!,9,0),0)/COUNTIFS(DATA[COMBINADA],DATA[[#This Row],[COMBINADA]])</f>
        <v>0</v>
      </c>
      <c r="AI299" s="60">
        <f>IFERROR(VLOOKUP(DATA[[#This Row],[COMBINADA]],#REF!,6,0),0)</f>
        <v>0</v>
      </c>
      <c r="AJ299" s="126">
        <f>IFERROR(VLOOKUP(DATA[[#This Row],[COMBINADA]],#REF!,9,0),0)/COUNTIFS(DATA[COMBINADA],DATA[[#This Row],[COMBINADA]])</f>
        <v>0</v>
      </c>
      <c r="AK299" s="60">
        <f>IFERROR(VLOOKUP(DATA[[#This Row],[COMBINADA]],#REF!,6,0),0)</f>
        <v>0</v>
      </c>
      <c r="AL299" s="126">
        <f>IFERROR(VLOOKUP(DATA[[#This Row],[COMBINADA]],#REF!,9,0),0)/COUNTIFS(DATA[COMBINADA],DATA[[#This Row],[COMBINADA]])</f>
        <v>0</v>
      </c>
      <c r="AM299" s="60">
        <f>IFERROR(VLOOKUP(DATA[[#This Row],[COMBINADA]],#REF!,6,0),0)</f>
        <v>0</v>
      </c>
      <c r="AN299" s="126">
        <f>IFERROR(VLOOKUP(DATA[[#This Row],[COMBINADA]],#REF!,9,0),0)/COUNTIFS(DATA[COMBINADA],DATA[[#This Row],[COMBINADA]])</f>
        <v>0</v>
      </c>
      <c r="AO299" s="60">
        <f>IFERROR(VLOOKUP(DATA[[#This Row],[COMBINADA]],#REF!,6,0),0)</f>
        <v>0</v>
      </c>
      <c r="AP299" s="126">
        <f>IFERROR(VLOOKUP(DATA[[#This Row],[COMBINADA]],#REF!,9,0),0)/COUNTIFS(DATA[COMBINADA],DATA[[#This Row],[COMBINADA]])</f>
        <v>0</v>
      </c>
      <c r="AQ299"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299" s="22" t="str">
        <f>IFERROR(IF(DATA[[#This Row],[estado_fact]]="FACTURADO",VLOOKUP(DATA[[#This Row],[SERIE2]]&amp;"-"&amp;DATA[[#This Row],[NUMERO]],#REF!,34,0),"NO CORRESPONDE"),"NO CORRESPONDE")</f>
        <v>NO CORRESPONDE</v>
      </c>
      <c r="AS299" s="22" t="str">
        <f>IF(DATA[[#This Row],[fecha_fs]]&gt;0,TEXT(DATA[[#This Row],[fecha_fs]],"Mmmm"),0)</f>
        <v>Febrero</v>
      </c>
      <c r="AT299" s="22" t="str">
        <f>DATA[[#This Row],[SERIE2]]&amp;"-"&amp;DATA[[#This Row],[NUMERO]]</f>
        <v>-</v>
      </c>
      <c r="AU299" s="28">
        <f>DATA[[#This Row],[TOTAL]]*DATA[[#This Row],[T.C.]]</f>
        <v>0</v>
      </c>
      <c r="AV299" s="6">
        <f>DATA[[#This Row],[FECHA DE VAL.]]</f>
        <v>0</v>
      </c>
      <c r="AW299" s="6">
        <f>DATA[[#This Row],[FECHA DE EMISION]]</f>
        <v>0</v>
      </c>
      <c r="AX299" s="6">
        <f>DATA[[#This Row],[F1]]</f>
        <v>0</v>
      </c>
      <c r="AY299" s="20">
        <f>IF(AV299-DATA[[#This Row],[fecha_fs]]&lt;0,0,AV299-DATA[[#This Row],[fecha_fs]])</f>
        <v>0</v>
      </c>
      <c r="AZ299" s="20">
        <f t="shared" si="28"/>
        <v>0</v>
      </c>
      <c r="BA299" s="20">
        <f t="shared" si="29"/>
        <v>0</v>
      </c>
      <c r="BB299" s="195">
        <f>IFERROR(SUM(DATA[[#This Row],[fs_val_ttf]:[fact_pago_ttf]]),0)</f>
        <v>0</v>
      </c>
      <c r="BC299" s="185">
        <v>45716</v>
      </c>
      <c r="BD299" s="185">
        <v>45716</v>
      </c>
      <c r="BE299" s="185">
        <v>45723</v>
      </c>
      <c r="BF299" s="185">
        <v>45723</v>
      </c>
      <c r="BG299" s="20">
        <f>IFERROR(IF(BC299-DATA[[#This Row],[fecha_fs]]&lt;0,0,BC299-DATA[[#This Row],[fecha_fs]]),0)</f>
        <v>0</v>
      </c>
      <c r="BH299" s="20">
        <f t="shared" si="33"/>
        <v>0</v>
      </c>
      <c r="BI299" s="20">
        <f t="shared" si="34"/>
        <v>7</v>
      </c>
      <c r="BJ299" s="20">
        <f t="shared" si="35"/>
        <v>0</v>
      </c>
      <c r="BK299" s="218">
        <f>IFERROR(SUM(DATA[[#This Row],[fs_fd_ttd]:[fend_fenf_ttd]]),0)</f>
        <v>7</v>
      </c>
      <c r="BL299" s="20" t="str">
        <f>IF(DATA[[#This Row],[fecha_fs]]&gt;0,TEXT(DATA[[#This Row],[fecha_fs]],"YYYY"),0)</f>
        <v>2025</v>
      </c>
      <c r="BM299" s="221" t="b">
        <v>1</v>
      </c>
      <c r="BN299" s="278">
        <f>COUNTIF(DATA[[#This Row],[tiempo_td]], "&lt;=15")</f>
        <v>1</v>
      </c>
      <c r="BO299" s="222"/>
    </row>
    <row r="300" spans="1:67" ht="30.6" customHeight="1" x14ac:dyDescent="0.25">
      <c r="A300" s="4">
        <v>20553956324</v>
      </c>
      <c r="B300" s="5" t="s">
        <v>281</v>
      </c>
      <c r="C300" s="52" t="s">
        <v>175</v>
      </c>
      <c r="D300" s="4" t="s">
        <v>120</v>
      </c>
      <c r="E300" s="5" t="s">
        <v>3</v>
      </c>
      <c r="F300" s="24">
        <v>45716</v>
      </c>
      <c r="G300" s="7" t="s">
        <v>113</v>
      </c>
      <c r="H300" s="25">
        <f t="shared" si="27"/>
        <v>1</v>
      </c>
      <c r="I300" s="67">
        <v>4183</v>
      </c>
      <c r="J300" s="8" t="s">
        <v>115</v>
      </c>
      <c r="K300" s="9" t="s">
        <v>121</v>
      </c>
      <c r="L300" s="10" t="s">
        <v>117</v>
      </c>
      <c r="M300" s="11">
        <v>180</v>
      </c>
      <c r="N300" s="12" t="s">
        <v>132</v>
      </c>
      <c r="O300" s="6">
        <v>45716</v>
      </c>
      <c r="P300" s="109">
        <v>3328</v>
      </c>
      <c r="Q300" s="14" t="s">
        <v>85</v>
      </c>
      <c r="R300" s="15">
        <f>80/8</f>
        <v>10</v>
      </c>
      <c r="S300" s="15">
        <f>3160.8/11</f>
        <v>287.34545454545457</v>
      </c>
      <c r="T300" s="15">
        <f>DATA[[#This Row],[C. DF]]+DATA[[#This Row],[C.OPE.]]</f>
        <v>297.34545454545457</v>
      </c>
      <c r="U300" s="15">
        <f>DATA[[#This Row],[SUB TOTAL]]*0.18</f>
        <v>53.522181818181821</v>
      </c>
      <c r="V300" s="15">
        <f>IFERROR(ROUND(DATA[[#This Row],[SUB TOTAL]]+DATA[[#This Row],[IGV]],2),0)</f>
        <v>350.87</v>
      </c>
      <c r="W300" s="16" t="str">
        <f>IF(DATA[[#This Row],[VALORIZACIÓN ]]="-","NO CORRESPONDE",IF(OR(A300=20558226979,A300=10470707866,A300=20111157058,A300=20100226902),"NO CORRESPONDE",IF(J300="Emitida",IF(P300&gt;0,"EMITIDA","PENDIENTE"),"NO CORRESPONDE")))</f>
        <v>EMITIDA</v>
      </c>
      <c r="X300" s="29"/>
      <c r="Y300" s="17" t="s">
        <v>118</v>
      </c>
      <c r="Z300" s="30">
        <v>45730</v>
      </c>
      <c r="AA300" s="20" t="s">
        <v>119</v>
      </c>
      <c r="AB300" s="19">
        <v>24</v>
      </c>
      <c r="AC300" s="20">
        <v>0</v>
      </c>
      <c r="AD300" s="18">
        <f>DATA[[#This Row],[FECHA DE EMISION]]+DATA[[#This Row],[CONDICION DE PAGO]]</f>
        <v>45730</v>
      </c>
      <c r="AE300" s="23">
        <f>IF(DATA[[#This Row],[MONEDA]]="USD",VLOOKUP(DATA[[#This Row],[COMBINADA]],#REF!,11,0),1)</f>
        <v>1</v>
      </c>
      <c r="AF300" s="39" t="str">
        <f>IF(DATA[[#This Row],[SERIE2]]="-","NO CORRESPONDE",IF(W300="NO CORRESPONDE","NO CORRESPONDE",IF(Z300&gt;0,"FACTURADO","PENDIENTE")))</f>
        <v>FACTURADO</v>
      </c>
      <c r="AG300" s="27">
        <f>IFERROR(VLOOKUP(DATA[[#This Row],[COMBINADA]],#REF!,6,0),0)</f>
        <v>0</v>
      </c>
      <c r="AH300" s="125">
        <f>IFERROR(VLOOKUP(DATA[[#This Row],[COMBINADA]],#REF!,9,0),0)/COUNTIFS(DATA[COMBINADA],DATA[[#This Row],[COMBINADA]])</f>
        <v>0</v>
      </c>
      <c r="AI300" s="27">
        <f>IFERROR(VLOOKUP(DATA[[#This Row],[COMBINADA]],#REF!,6,0),0)</f>
        <v>0</v>
      </c>
      <c r="AJ300" s="125">
        <f>IFERROR(VLOOKUP(DATA[[#This Row],[COMBINADA]],#REF!,9,0),0)/COUNTIFS(DATA[COMBINADA],DATA[[#This Row],[COMBINADA]])</f>
        <v>0</v>
      </c>
      <c r="AK300" s="27">
        <f>IFERROR(VLOOKUP(DATA[[#This Row],[COMBINADA]],#REF!,6,0),0)</f>
        <v>0</v>
      </c>
      <c r="AL300" s="125">
        <f>IFERROR(VLOOKUP(DATA[[#This Row],[COMBINADA]],#REF!,9,0),0)/COUNTIFS(DATA[COMBINADA],DATA[[#This Row],[COMBINADA]])</f>
        <v>0</v>
      </c>
      <c r="AM300" s="27">
        <f>IFERROR(VLOOKUP(DATA[[#This Row],[COMBINADA]],#REF!,6,0),0)</f>
        <v>0</v>
      </c>
      <c r="AN300" s="125">
        <f>IFERROR(VLOOKUP(DATA[[#This Row],[COMBINADA]],#REF!,9,0),0)/COUNTIFS(DATA[COMBINADA],DATA[[#This Row],[COMBINADA]])</f>
        <v>0</v>
      </c>
      <c r="AO300" s="27">
        <f>IFERROR(VLOOKUP(DATA[[#This Row],[COMBINADA]],#REF!,6,0),0)</f>
        <v>0</v>
      </c>
      <c r="AP300" s="125">
        <f>IFERROR(VLOOKUP(DATA[[#This Row],[COMBINADA]],#REF!,9,0),0)/COUNTIFS(DATA[COMBINADA],DATA[[#This Row],[COMBINADA]])</f>
        <v>0</v>
      </c>
      <c r="AQ30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395.92454545454547</v>
      </c>
      <c r="AR300" s="26" t="str">
        <f>IFERROR(IF(DATA[[#This Row],[estado_fact]]="FACTURADO",VLOOKUP(DATA[[#This Row],[SERIE2]]&amp;"-"&amp;DATA[[#This Row],[NUMERO]],#REF!,34,0),"NO CORRESPONDE"),"NO CORRESPONDE")</f>
        <v>NO CORRESPONDE</v>
      </c>
      <c r="AS300" s="22" t="str">
        <f>IF(DATA[[#This Row],[fecha_fs]]&gt;0,TEXT(DATA[[#This Row],[fecha_fs]],"Mmmm"),0)</f>
        <v>Febrero</v>
      </c>
      <c r="AT300" s="22" t="str">
        <f>DATA[[#This Row],[SERIE2]]&amp;"-"&amp;DATA[[#This Row],[NUMERO]]</f>
        <v>E001-24</v>
      </c>
      <c r="AU300" s="28">
        <f>DATA[[#This Row],[TOTAL]]*DATA[[#This Row],[T.C.]]</f>
        <v>350.87</v>
      </c>
      <c r="AV300" s="6">
        <f>DATA[[#This Row],[FECHA DE VAL.]]</f>
        <v>45716</v>
      </c>
      <c r="AW300" s="6">
        <f>DATA[[#This Row],[FECHA DE EMISION]]</f>
        <v>45730</v>
      </c>
      <c r="AX300" s="6">
        <f>DATA[[#This Row],[F1]]</f>
        <v>0</v>
      </c>
      <c r="AY300" s="20">
        <f>IF(AV300-DATA[[#This Row],[fecha_fs]]&lt;0,0,AV300-DATA[[#This Row],[fecha_fs]])</f>
        <v>0</v>
      </c>
      <c r="AZ300" s="20">
        <f t="shared" si="28"/>
        <v>14</v>
      </c>
      <c r="BA300" s="20">
        <f t="shared" si="29"/>
        <v>0</v>
      </c>
      <c r="BB300" s="195">
        <f>IFERROR(SUM(DATA[[#This Row],[fs_val_ttf]:[fact_pago_ttf]]),0)</f>
        <v>14</v>
      </c>
      <c r="BC300" s="185">
        <v>45729</v>
      </c>
      <c r="BD300" s="185">
        <v>45735</v>
      </c>
      <c r="BE300" s="185">
        <v>45740</v>
      </c>
      <c r="BF300" s="185">
        <v>45759</v>
      </c>
      <c r="BG300" s="20">
        <f>IFERROR(IF(BC300-DATA[[#This Row],[fecha_fs]]&lt;0,0,BC300-DATA[[#This Row],[fecha_fs]]),0)</f>
        <v>13</v>
      </c>
      <c r="BH300" s="20">
        <f t="shared" si="33"/>
        <v>6</v>
      </c>
      <c r="BI300" s="20">
        <f t="shared" si="34"/>
        <v>5</v>
      </c>
      <c r="BJ300" s="20">
        <f t="shared" si="35"/>
        <v>19</v>
      </c>
      <c r="BK300" s="218">
        <f>IFERROR(SUM(DATA[[#This Row],[fs_fd_ttd]:[fend_fenf_ttd]]),0)</f>
        <v>43</v>
      </c>
      <c r="BL300" s="20" t="str">
        <f>IF(DATA[[#This Row],[fecha_fs]]&gt;0,TEXT(DATA[[#This Row],[fecha_fs]],"YYYY"),0)</f>
        <v>2025</v>
      </c>
      <c r="BM300" s="221" t="b">
        <v>0</v>
      </c>
      <c r="BN300" s="278">
        <f>COUNTIF(DATA[[#This Row],[tiempo_td]], "&lt;=15")</f>
        <v>0</v>
      </c>
      <c r="BO300" s="222"/>
    </row>
    <row r="301" spans="1:67" ht="30.6" customHeight="1" x14ac:dyDescent="0.25">
      <c r="A301" s="4">
        <v>20100192064</v>
      </c>
      <c r="B301" s="5" t="s">
        <v>60</v>
      </c>
      <c r="C301" s="52" t="s">
        <v>43</v>
      </c>
      <c r="D301" s="4" t="s">
        <v>120</v>
      </c>
      <c r="E301" s="5" t="s">
        <v>3</v>
      </c>
      <c r="F301" s="24">
        <v>45719</v>
      </c>
      <c r="G301" s="7" t="s">
        <v>113</v>
      </c>
      <c r="H301" s="25">
        <f t="shared" si="27"/>
        <v>1</v>
      </c>
      <c r="I301" s="67">
        <v>4184</v>
      </c>
      <c r="J301" s="8" t="s">
        <v>115</v>
      </c>
      <c r="K301" s="9" t="s">
        <v>121</v>
      </c>
      <c r="L301" s="10" t="s">
        <v>117</v>
      </c>
      <c r="M301" s="11">
        <v>500</v>
      </c>
      <c r="N301" s="12" t="s">
        <v>125</v>
      </c>
      <c r="O301" s="6">
        <v>45742</v>
      </c>
      <c r="P301" s="71">
        <v>3352</v>
      </c>
      <c r="Q301" s="14" t="s">
        <v>123</v>
      </c>
      <c r="R301" s="15">
        <f>(DATA[[#This Row],[cantidad_fs]]/1000)*(47+174.34)</f>
        <v>110.67</v>
      </c>
      <c r="S301" s="15">
        <v>137</v>
      </c>
      <c r="T301" s="15">
        <f>DATA[[#This Row],[C. DF]]+DATA[[#This Row],[C.OPE.]]</f>
        <v>247.67000000000002</v>
      </c>
      <c r="U301" s="15">
        <f>DATA[[#This Row],[SUB TOTAL]]*0.18</f>
        <v>44.580600000000004</v>
      </c>
      <c r="V301" s="15">
        <f>IFERROR(ROUND(DATA[[#This Row],[SUB TOTAL]]+DATA[[#This Row],[IGV]],2),0)</f>
        <v>292.25</v>
      </c>
      <c r="W301" s="16" t="str">
        <f>IF(DATA[[#This Row],[VALORIZACIÓN ]]="-","NO CORRESPONDE",IF(OR(A301=20558226979,A301=10470707866,A301=20111157058,A301=20100226902),"NO CORRESPONDE",IF(J301="Emitida",IF(P301&gt;0,"EMITIDA","PENDIENTE"),"NO CORRESPONDE")))</f>
        <v>EMITIDA</v>
      </c>
      <c r="X301" s="29" t="s">
        <v>212</v>
      </c>
      <c r="Y301" s="17" t="s">
        <v>118</v>
      </c>
      <c r="Z301" s="30">
        <v>45743</v>
      </c>
      <c r="AA301" s="10" t="s">
        <v>150</v>
      </c>
      <c r="AB301" s="19">
        <v>1</v>
      </c>
      <c r="AC301" s="20">
        <v>30</v>
      </c>
      <c r="AD301" s="18">
        <f>DATA[[#This Row],[FECHA DE EMISION]]+DATA[[#This Row],[CONDICION DE PAGO]]</f>
        <v>45773</v>
      </c>
      <c r="AE301" s="23" t="e">
        <f>IF(DATA[[#This Row],[MONEDA]]="USD",VLOOKUP(DATA[[#This Row],[COMBINADA]],#REF!,11,0),1)</f>
        <v>#REF!</v>
      </c>
      <c r="AF301" s="39" t="str">
        <f>IF(DATA[[#This Row],[SERIE2]]="-","NO CORRESPONDE",IF(W301="NO CORRESPONDE","NO CORRESPONDE",IF(Z301&gt;0,"FACTURADO","PENDIENTE")))</f>
        <v>FACTURADO</v>
      </c>
      <c r="AG301" s="27">
        <f>IFERROR(VLOOKUP(DATA[[#This Row],[COMBINADA]],#REF!,6,0),0)</f>
        <v>0</v>
      </c>
      <c r="AH301" s="125">
        <f>IFERROR(VLOOKUP(DATA[[#This Row],[COMBINADA]],#REF!,9,0),0)/COUNTIFS(DATA[COMBINADA],DATA[[#This Row],[COMBINADA]])</f>
        <v>0</v>
      </c>
      <c r="AI301" s="27">
        <f>IFERROR(VLOOKUP(DATA[[#This Row],[COMBINADA]],#REF!,6,0),0)</f>
        <v>0</v>
      </c>
      <c r="AJ301" s="125">
        <f>IFERROR(VLOOKUP(DATA[[#This Row],[COMBINADA]],#REF!,9,0),0)/COUNTIFS(DATA[COMBINADA],DATA[[#This Row],[COMBINADA]])</f>
        <v>0</v>
      </c>
      <c r="AK301" s="27">
        <f>IFERROR(VLOOKUP(DATA[[#This Row],[COMBINADA]],#REF!,6,0),0)</f>
        <v>0</v>
      </c>
      <c r="AL301" s="125">
        <f>IFERROR(VLOOKUP(DATA[[#This Row],[COMBINADA]],#REF!,9,0),0)/COUNTIFS(DATA[COMBINADA],DATA[[#This Row],[COMBINADA]])</f>
        <v>0</v>
      </c>
      <c r="AM301" s="27">
        <f>IFERROR(VLOOKUP(DATA[[#This Row],[COMBINADA]],#REF!,6,0),0)</f>
        <v>0</v>
      </c>
      <c r="AN301" s="125">
        <f>IFERROR(VLOOKUP(DATA[[#This Row],[COMBINADA]],#REF!,9,0),0)/COUNTIFS(DATA[COMBINADA],DATA[[#This Row],[COMBINADA]])</f>
        <v>0</v>
      </c>
      <c r="AO301" s="27">
        <f>IFERROR(VLOOKUP(DATA[[#This Row],[COMBINADA]],#REF!,6,0),0)</f>
        <v>0</v>
      </c>
      <c r="AP301" s="125">
        <f>IFERROR(VLOOKUP(DATA[[#This Row],[COMBINADA]],#REF!,9,0),0)/COUNTIFS(DATA[COMBINADA],DATA[[#This Row],[COMBINADA]])</f>
        <v>0</v>
      </c>
      <c r="AQ30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604.21249999999986</v>
      </c>
      <c r="AR301" s="26" t="str">
        <f>IFERROR(IF(DATA[[#This Row],[estado_fact]]="FACTURADO",VLOOKUP(DATA[[#This Row],[SERIE2]]&amp;"-"&amp;DATA[[#This Row],[NUMERO]],#REF!,34,0),"NO CORRESPONDE"),"NO CORRESPONDE")</f>
        <v>NO CORRESPONDE</v>
      </c>
      <c r="AS301" s="22" t="str">
        <f>IF(DATA[[#This Row],[fecha_fs]]&gt;0,TEXT(DATA[[#This Row],[fecha_fs]],"Mmmm"),0)</f>
        <v>Marzo</v>
      </c>
      <c r="AT301" s="22" t="str">
        <f>DATA[[#This Row],[SERIE2]]&amp;"-"&amp;DATA[[#This Row],[NUMERO]]</f>
        <v>FF01-1</v>
      </c>
      <c r="AU301" s="28" t="e">
        <f>DATA[[#This Row],[TOTAL]]*DATA[[#This Row],[T.C.]]</f>
        <v>#REF!</v>
      </c>
      <c r="AV301" s="6">
        <f>DATA[[#This Row],[FECHA DE VAL.]]</f>
        <v>45742</v>
      </c>
      <c r="AW301" s="6">
        <f>DATA[[#This Row],[FECHA DE EMISION]]</f>
        <v>45743</v>
      </c>
      <c r="AX301" s="6">
        <f>DATA[[#This Row],[F1]]</f>
        <v>0</v>
      </c>
      <c r="AY301" s="20">
        <f>IF(AV301-DATA[[#This Row],[fecha_fs]]&lt;0,0,AV301-DATA[[#This Row],[fecha_fs]])</f>
        <v>23</v>
      </c>
      <c r="AZ301" s="20">
        <f t="shared" si="28"/>
        <v>1</v>
      </c>
      <c r="BA301" s="20">
        <f t="shared" si="29"/>
        <v>0</v>
      </c>
      <c r="BB301" s="195">
        <f>IFERROR(SUM(DATA[[#This Row],[fs_val_ttf]:[fact_pago_ttf]]),0)</f>
        <v>24</v>
      </c>
      <c r="BC301" s="185">
        <v>45729</v>
      </c>
      <c r="BD301" s="185">
        <v>45741</v>
      </c>
      <c r="BE301" s="185">
        <v>45785</v>
      </c>
      <c r="BF301" s="185">
        <v>45798</v>
      </c>
      <c r="BG301" s="20">
        <f>IFERROR(IF(BC301-DATA[[#This Row],[fecha_fs]]&lt;0,0,BC301-DATA[[#This Row],[fecha_fs]]),0)</f>
        <v>10</v>
      </c>
      <c r="BH301" s="20">
        <f t="shared" si="33"/>
        <v>12</v>
      </c>
      <c r="BI301" s="20">
        <f t="shared" si="34"/>
        <v>44</v>
      </c>
      <c r="BJ301" s="20">
        <f t="shared" si="35"/>
        <v>13</v>
      </c>
      <c r="BK301" s="218">
        <f>IFERROR(SUM(DATA[[#This Row],[fs_fd_ttd]:[fend_fenf_ttd]]),0)</f>
        <v>79</v>
      </c>
      <c r="BL301" s="20" t="str">
        <f>IF(DATA[[#This Row],[fecha_fs]]&gt;0,TEXT(DATA[[#This Row],[fecha_fs]],"YYYY"),0)</f>
        <v>2025</v>
      </c>
      <c r="BM301" s="221" t="b">
        <v>1</v>
      </c>
      <c r="BN301" s="278">
        <f>COUNTIF(DATA[[#This Row],[tiempo_td]], "&lt;=15")</f>
        <v>0</v>
      </c>
      <c r="BO301" s="222"/>
    </row>
    <row r="302" spans="1:67" ht="30.6" customHeight="1" x14ac:dyDescent="0.25">
      <c r="A302" s="4">
        <v>20100192064</v>
      </c>
      <c r="B302" s="5" t="s">
        <v>60</v>
      </c>
      <c r="C302" s="52" t="s">
        <v>43</v>
      </c>
      <c r="D302" s="4" t="s">
        <v>112</v>
      </c>
      <c r="E302" s="5" t="s">
        <v>1</v>
      </c>
      <c r="F302" s="24">
        <v>45719</v>
      </c>
      <c r="G302" s="7" t="s">
        <v>113</v>
      </c>
      <c r="H302" s="25">
        <f t="shared" si="27"/>
        <v>1</v>
      </c>
      <c r="I302" s="67">
        <v>4185</v>
      </c>
      <c r="J302" s="8" t="s">
        <v>115</v>
      </c>
      <c r="K302" s="9" t="s">
        <v>116</v>
      </c>
      <c r="L302" s="10" t="s">
        <v>117</v>
      </c>
      <c r="M302" s="11">
        <v>1100</v>
      </c>
      <c r="N302" s="12" t="s">
        <v>132</v>
      </c>
      <c r="O302" s="6">
        <v>45742</v>
      </c>
      <c r="P302" s="71">
        <v>3353</v>
      </c>
      <c r="Q302" s="14" t="s">
        <v>123</v>
      </c>
      <c r="R302" s="15">
        <f>(DATA[[#This Row],[cantidad_fs]]/1000)*(143+175.34)</f>
        <v>350.17400000000004</v>
      </c>
      <c r="S302" s="15">
        <v>137</v>
      </c>
      <c r="T302" s="15">
        <f>DATA[[#This Row],[C. DF]]+DATA[[#This Row],[C.OPE.]]</f>
        <v>487.17400000000004</v>
      </c>
      <c r="U302" s="15">
        <f>DATA[[#This Row],[SUB TOTAL]]*0.18</f>
        <v>87.691320000000005</v>
      </c>
      <c r="V302" s="15">
        <f>IFERROR(ROUND(DATA[[#This Row],[SUB TOTAL]]+DATA[[#This Row],[IGV]],2),0)</f>
        <v>574.87</v>
      </c>
      <c r="W302" s="16" t="str">
        <f>IF(DATA[[#This Row],[VALORIZACIÓN ]]="-","NO CORRESPONDE",IF(OR(A302=20558226979,A302=10470707866,A302=20111157058,A302=20100226902),"NO CORRESPONDE",IF(J302="Emitida",IF(P302&gt;0,"EMITIDA","PENDIENTE"),"NO CORRESPONDE")))</f>
        <v>EMITIDA</v>
      </c>
      <c r="X302" s="29" t="s">
        <v>212</v>
      </c>
      <c r="Y302" s="17" t="s">
        <v>118</v>
      </c>
      <c r="Z302" s="30">
        <v>45743</v>
      </c>
      <c r="AA302" s="10" t="s">
        <v>150</v>
      </c>
      <c r="AB302" s="19">
        <v>1</v>
      </c>
      <c r="AC302" s="20">
        <v>30</v>
      </c>
      <c r="AD302" s="18">
        <f>DATA[[#This Row],[FECHA DE EMISION]]+DATA[[#This Row],[CONDICION DE PAGO]]</f>
        <v>45773</v>
      </c>
      <c r="AE302" s="23" t="e">
        <f>IF(DATA[[#This Row],[MONEDA]]="USD",VLOOKUP(DATA[[#This Row],[COMBINADA]],#REF!,11,0),1)</f>
        <v>#REF!</v>
      </c>
      <c r="AF302" s="39" t="str">
        <f>IF(DATA[[#This Row],[SERIE2]]="-","NO CORRESPONDE",IF(W302="NO CORRESPONDE","NO CORRESPONDE",IF(Z302&gt;0,"FACTURADO","PENDIENTE")))</f>
        <v>FACTURADO</v>
      </c>
      <c r="AG302" s="27">
        <f>IFERROR(VLOOKUP(DATA[[#This Row],[COMBINADA]],#REF!,6,0),0)</f>
        <v>0</v>
      </c>
      <c r="AH302" s="125">
        <f>IFERROR(VLOOKUP(DATA[[#This Row],[COMBINADA]],#REF!,9,0),0)/COUNTIFS(DATA[COMBINADA],DATA[[#This Row],[COMBINADA]])</f>
        <v>0</v>
      </c>
      <c r="AI302" s="27">
        <f>IFERROR(VLOOKUP(DATA[[#This Row],[COMBINADA]],#REF!,6,0),0)</f>
        <v>0</v>
      </c>
      <c r="AJ302" s="125">
        <f>IFERROR(VLOOKUP(DATA[[#This Row],[COMBINADA]],#REF!,9,0),0)/COUNTIFS(DATA[COMBINADA],DATA[[#This Row],[COMBINADA]])</f>
        <v>0</v>
      </c>
      <c r="AK302" s="27">
        <f>IFERROR(VLOOKUP(DATA[[#This Row],[COMBINADA]],#REF!,6,0),0)</f>
        <v>0</v>
      </c>
      <c r="AL302" s="125">
        <f>IFERROR(VLOOKUP(DATA[[#This Row],[COMBINADA]],#REF!,9,0),0)/COUNTIFS(DATA[COMBINADA],DATA[[#This Row],[COMBINADA]])</f>
        <v>0</v>
      </c>
      <c r="AM302" s="27">
        <f>IFERROR(VLOOKUP(DATA[[#This Row],[COMBINADA]],#REF!,6,0),0)</f>
        <v>0</v>
      </c>
      <c r="AN302" s="125">
        <f>IFERROR(VLOOKUP(DATA[[#This Row],[COMBINADA]],#REF!,9,0),0)/COUNTIFS(DATA[COMBINADA],DATA[[#This Row],[COMBINADA]])</f>
        <v>0</v>
      </c>
      <c r="AO302" s="27">
        <f>IFERROR(VLOOKUP(DATA[[#This Row],[COMBINADA]],#REF!,6,0),0)</f>
        <v>0</v>
      </c>
      <c r="AP302" s="125">
        <f>IFERROR(VLOOKUP(DATA[[#This Row],[COMBINADA]],#REF!,9,0),0)/COUNTIFS(DATA[COMBINADA],DATA[[#This Row],[COMBINADA]])</f>
        <v>0</v>
      </c>
      <c r="AQ30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604.21249999999986</v>
      </c>
      <c r="AR302" s="26" t="str">
        <f>IFERROR(IF(DATA[[#This Row],[estado_fact]]="FACTURADO",VLOOKUP(DATA[[#This Row],[SERIE2]]&amp;"-"&amp;DATA[[#This Row],[NUMERO]],#REF!,34,0),"NO CORRESPONDE"),"NO CORRESPONDE")</f>
        <v>NO CORRESPONDE</v>
      </c>
      <c r="AS302" s="22" t="str">
        <f>IF(DATA[[#This Row],[fecha_fs]]&gt;0,TEXT(DATA[[#This Row],[fecha_fs]],"Mmmm"),0)</f>
        <v>Marzo</v>
      </c>
      <c r="AT302" s="22" t="str">
        <f>DATA[[#This Row],[SERIE2]]&amp;"-"&amp;DATA[[#This Row],[NUMERO]]</f>
        <v>FF01-1</v>
      </c>
      <c r="AU302" s="28" t="e">
        <f>DATA[[#This Row],[TOTAL]]*DATA[[#This Row],[T.C.]]</f>
        <v>#REF!</v>
      </c>
      <c r="AV302" s="6">
        <f>DATA[[#This Row],[FECHA DE VAL.]]</f>
        <v>45742</v>
      </c>
      <c r="AW302" s="6">
        <f>DATA[[#This Row],[FECHA DE EMISION]]</f>
        <v>45743</v>
      </c>
      <c r="AX302" s="6">
        <f>DATA[[#This Row],[F1]]</f>
        <v>0</v>
      </c>
      <c r="AY302" s="20">
        <f>IF(AV302-DATA[[#This Row],[fecha_fs]]&lt;0,0,AV302-DATA[[#This Row],[fecha_fs]])</f>
        <v>23</v>
      </c>
      <c r="AZ302" s="20">
        <f t="shared" si="28"/>
        <v>1</v>
      </c>
      <c r="BA302" s="20">
        <f t="shared" si="29"/>
        <v>0</v>
      </c>
      <c r="BB302" s="195">
        <f>IFERROR(SUM(DATA[[#This Row],[fs_val_ttf]:[fact_pago_ttf]]),0)</f>
        <v>24</v>
      </c>
      <c r="BC302" s="185">
        <v>45730</v>
      </c>
      <c r="BD302" s="185">
        <v>45743</v>
      </c>
      <c r="BE302" s="185">
        <v>45784</v>
      </c>
      <c r="BF302" s="185">
        <v>45798</v>
      </c>
      <c r="BG302" s="20">
        <f>IFERROR(IF(BC302-DATA[[#This Row],[fecha_fs]]&lt;0,0,BC302-DATA[[#This Row],[fecha_fs]]),0)</f>
        <v>11</v>
      </c>
      <c r="BH302" s="20">
        <f t="shared" si="33"/>
        <v>13</v>
      </c>
      <c r="BI302" s="20">
        <f t="shared" si="34"/>
        <v>41</v>
      </c>
      <c r="BJ302" s="20">
        <f t="shared" si="35"/>
        <v>14</v>
      </c>
      <c r="BK302" s="218">
        <f>IFERROR(SUM(DATA[[#This Row],[fs_fd_ttd]:[fend_fenf_ttd]]),0)</f>
        <v>79</v>
      </c>
      <c r="BL302" s="20" t="str">
        <f>IF(DATA[[#This Row],[fecha_fs]]&gt;0,TEXT(DATA[[#This Row],[fecha_fs]],"YYYY"),0)</f>
        <v>2025</v>
      </c>
      <c r="BM302" s="221" t="b">
        <v>1</v>
      </c>
      <c r="BN302" s="278">
        <f>COUNTIF(DATA[[#This Row],[tiempo_td]], "&lt;=15")</f>
        <v>0</v>
      </c>
      <c r="BO302" s="222"/>
    </row>
    <row r="303" spans="1:67" ht="30.6" customHeight="1" x14ac:dyDescent="0.25">
      <c r="A303" s="4">
        <v>20505675836</v>
      </c>
      <c r="B303" s="5" t="s">
        <v>42</v>
      </c>
      <c r="C303" s="52" t="s">
        <v>43</v>
      </c>
      <c r="D303" s="4" t="s">
        <v>120</v>
      </c>
      <c r="E303" s="5" t="s">
        <v>3</v>
      </c>
      <c r="F303" s="24">
        <v>45719</v>
      </c>
      <c r="G303" s="7" t="s">
        <v>113</v>
      </c>
      <c r="H303" s="25">
        <f t="shared" si="27"/>
        <v>1</v>
      </c>
      <c r="I303" s="67">
        <v>4186</v>
      </c>
      <c r="J303" s="8" t="s">
        <v>115</v>
      </c>
      <c r="K303" s="9" t="s">
        <v>121</v>
      </c>
      <c r="L303" s="10" t="s">
        <v>117</v>
      </c>
      <c r="M303" s="11">
        <v>290</v>
      </c>
      <c r="N303" s="12" t="s">
        <v>132</v>
      </c>
      <c r="O303" s="6">
        <v>45741</v>
      </c>
      <c r="P303" s="71">
        <v>3345</v>
      </c>
      <c r="Q303" s="14" t="s">
        <v>85</v>
      </c>
      <c r="R303" s="15">
        <f>(DATA[[#This Row],[cantidad_fs]]-150)*0.67</f>
        <v>93.800000000000011</v>
      </c>
      <c r="S303" s="15">
        <v>817.68</v>
      </c>
      <c r="T303" s="15">
        <f>DATA[[#This Row],[C. DF]]+DATA[[#This Row],[C.OPE.]]</f>
        <v>911.48</v>
      </c>
      <c r="U303" s="15">
        <f>DATA[[#This Row],[SUB TOTAL]]*0.18</f>
        <v>164.06639999999999</v>
      </c>
      <c r="V303" s="15">
        <f>IFERROR(ROUND(DATA[[#This Row],[SUB TOTAL]]+DATA[[#This Row],[IGV]],2),0)</f>
        <v>1075.55</v>
      </c>
      <c r="W303" s="16" t="str">
        <f>IF(DATA[[#This Row],[VALORIZACIÓN ]]="-","NO CORRESPONDE",IF(OR(A303=20558226979,A303=10470707866,A303=20111157058,A303=20100226902),"NO CORRESPONDE",IF(J303="Emitida",IF(P303&gt;0,"EMITIDA","PENDIENTE"),"NO CORRESPONDE")))</f>
        <v>EMITIDA</v>
      </c>
      <c r="X303" s="29" t="s">
        <v>298</v>
      </c>
      <c r="Y303" s="17" t="s">
        <v>118</v>
      </c>
      <c r="Z303" s="30">
        <v>45782</v>
      </c>
      <c r="AA303" s="10" t="s">
        <v>150</v>
      </c>
      <c r="AB303" s="19">
        <v>64</v>
      </c>
      <c r="AC303" s="20">
        <v>30</v>
      </c>
      <c r="AD303" s="18">
        <f>DATA[[#This Row],[FECHA DE EMISION]]+DATA[[#This Row],[CONDICION DE PAGO]]</f>
        <v>45812</v>
      </c>
      <c r="AE303" s="23">
        <f>IF(DATA[[#This Row],[MONEDA]]="USD",VLOOKUP(DATA[[#This Row],[COMBINADA]],#REF!,11,0),1)</f>
        <v>1</v>
      </c>
      <c r="AF303" s="39" t="str">
        <f>IF(DATA[[#This Row],[SERIE2]]="-","NO CORRESPONDE",IF(W303="NO CORRESPONDE","NO CORRESPONDE",IF(Z303&gt;0,"FACTURADO","PENDIENTE")))</f>
        <v>FACTURADO</v>
      </c>
      <c r="AG303" s="27">
        <f>IFERROR(VLOOKUP(DATA[[#This Row],[COMBINADA]],#REF!,6,0),0)</f>
        <v>0</v>
      </c>
      <c r="AH303" s="125">
        <f>IFERROR(VLOOKUP(DATA[[#This Row],[COMBINADA]],#REF!,9,0),0)/COUNTIFS(DATA[COMBINADA],DATA[[#This Row],[COMBINADA]])</f>
        <v>0</v>
      </c>
      <c r="AI303" s="27">
        <f>IFERROR(VLOOKUP(DATA[[#This Row],[COMBINADA]],#REF!,6,0),0)</f>
        <v>0</v>
      </c>
      <c r="AJ303" s="125">
        <f>IFERROR(VLOOKUP(DATA[[#This Row],[COMBINADA]],#REF!,9,0),0)/COUNTIFS(DATA[COMBINADA],DATA[[#This Row],[COMBINADA]])</f>
        <v>0</v>
      </c>
      <c r="AK303" s="27">
        <f>IFERROR(VLOOKUP(DATA[[#This Row],[COMBINADA]],#REF!,6,0),0)</f>
        <v>0</v>
      </c>
      <c r="AL303" s="125">
        <f>IFERROR(VLOOKUP(DATA[[#This Row],[COMBINADA]],#REF!,9,0),0)/COUNTIFS(DATA[COMBINADA],DATA[[#This Row],[COMBINADA]])</f>
        <v>0</v>
      </c>
      <c r="AM303" s="27">
        <f>IFERROR(VLOOKUP(DATA[[#This Row],[COMBINADA]],#REF!,6,0),0)</f>
        <v>0</v>
      </c>
      <c r="AN303" s="125">
        <f>IFERROR(VLOOKUP(DATA[[#This Row],[COMBINADA]],#REF!,9,0),0)/COUNTIFS(DATA[COMBINADA],DATA[[#This Row],[COMBINADA]])</f>
        <v>0</v>
      </c>
      <c r="AO303" s="27">
        <f>IFERROR(VLOOKUP(DATA[[#This Row],[COMBINADA]],#REF!,6,0),0)</f>
        <v>0</v>
      </c>
      <c r="AP303" s="125">
        <f>IFERROR(VLOOKUP(DATA[[#This Row],[COMBINADA]],#REF!,9,0),0)/COUNTIFS(DATA[COMBINADA],DATA[[#This Row],[COMBINADA]])</f>
        <v>0</v>
      </c>
      <c r="AQ30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1394.3533333333332</v>
      </c>
      <c r="AR303" s="26" t="str">
        <f>IFERROR(IF(DATA[[#This Row],[estado_fact]]="FACTURADO",VLOOKUP(DATA[[#This Row],[SERIE2]]&amp;"-"&amp;DATA[[#This Row],[NUMERO]],#REF!,34,0),"NO CORRESPONDE"),"NO CORRESPONDE")</f>
        <v>NO CORRESPONDE</v>
      </c>
      <c r="AS303" s="22" t="str">
        <f>IF(DATA[[#This Row],[fecha_fs]]&gt;0,TEXT(DATA[[#This Row],[fecha_fs]],"Mmmm"),0)</f>
        <v>Marzo</v>
      </c>
      <c r="AT303" s="22" t="str">
        <f>DATA[[#This Row],[SERIE2]]&amp;"-"&amp;DATA[[#This Row],[NUMERO]]</f>
        <v>FF01-64</v>
      </c>
      <c r="AU303" s="28">
        <f>DATA[[#This Row],[TOTAL]]*DATA[[#This Row],[T.C.]]</f>
        <v>1075.55</v>
      </c>
      <c r="AV303" s="6">
        <f>DATA[[#This Row],[FECHA DE VAL.]]</f>
        <v>45741</v>
      </c>
      <c r="AW303" s="6">
        <f>DATA[[#This Row],[FECHA DE EMISION]]</f>
        <v>45782</v>
      </c>
      <c r="AX303" s="6">
        <f>DATA[[#This Row],[F1]]</f>
        <v>0</v>
      </c>
      <c r="AY303" s="20">
        <f>IF(AV303-DATA[[#This Row],[fecha_fs]]&lt;0,0,AV303-DATA[[#This Row],[fecha_fs]])</f>
        <v>22</v>
      </c>
      <c r="AZ303" s="20">
        <f t="shared" si="28"/>
        <v>41</v>
      </c>
      <c r="BA303" s="20">
        <f t="shared" si="29"/>
        <v>0</v>
      </c>
      <c r="BB303" s="195">
        <f>IFERROR(SUM(DATA[[#This Row],[fs_val_ttf]:[fact_pago_ttf]]),0)</f>
        <v>63</v>
      </c>
      <c r="BC303" s="185">
        <v>45733</v>
      </c>
      <c r="BD303" s="185">
        <v>45761</v>
      </c>
      <c r="BE303" s="185">
        <v>45789</v>
      </c>
      <c r="BF303" s="185">
        <v>45814</v>
      </c>
      <c r="BG303" s="20">
        <f>IFERROR(IF(BC303-DATA[[#This Row],[fecha_fs]]&lt;0,0,BC303-DATA[[#This Row],[fecha_fs]]),0)</f>
        <v>14</v>
      </c>
      <c r="BH303" s="20">
        <f t="shared" si="33"/>
        <v>28</v>
      </c>
      <c r="BI303" s="20">
        <f t="shared" si="34"/>
        <v>28</v>
      </c>
      <c r="BJ303" s="20">
        <f t="shared" si="35"/>
        <v>25</v>
      </c>
      <c r="BK303" s="218">
        <f>IFERROR(SUM(DATA[[#This Row],[fs_fd_ttd]:[fend_fenf_ttd]]),0)</f>
        <v>95</v>
      </c>
      <c r="BL303" s="20" t="str">
        <f>IF(DATA[[#This Row],[fecha_fs]]&gt;0,TEXT(DATA[[#This Row],[fecha_fs]],"YYYY"),0)</f>
        <v>2025</v>
      </c>
      <c r="BM303" s="221" t="b">
        <v>1</v>
      </c>
      <c r="BN303" s="278">
        <f>COUNTIF(DATA[[#This Row],[tiempo_td]], "&lt;=15")</f>
        <v>0</v>
      </c>
      <c r="BO303" s="222"/>
    </row>
    <row r="304" spans="1:67" ht="30.6" customHeight="1" x14ac:dyDescent="0.25">
      <c r="A304" s="4">
        <v>20505675836</v>
      </c>
      <c r="B304" s="5" t="s">
        <v>42</v>
      </c>
      <c r="C304" s="52" t="s">
        <v>43</v>
      </c>
      <c r="D304" s="4" t="s">
        <v>112</v>
      </c>
      <c r="E304" s="5" t="s">
        <v>1</v>
      </c>
      <c r="F304" s="24">
        <v>45719</v>
      </c>
      <c r="G304" s="7" t="s">
        <v>113</v>
      </c>
      <c r="H304" s="25">
        <f t="shared" si="27"/>
        <v>1</v>
      </c>
      <c r="I304" s="67">
        <v>4187</v>
      </c>
      <c r="J304" s="8" t="s">
        <v>115</v>
      </c>
      <c r="K304" s="9" t="s">
        <v>116</v>
      </c>
      <c r="L304" s="10" t="s">
        <v>117</v>
      </c>
      <c r="M304" s="11">
        <v>990</v>
      </c>
      <c r="N304" s="12" t="s">
        <v>129</v>
      </c>
      <c r="O304" s="6">
        <v>45741</v>
      </c>
      <c r="P304" s="71">
        <v>3346</v>
      </c>
      <c r="Q304" s="14" t="s">
        <v>85</v>
      </c>
      <c r="R304" s="15">
        <f>(DATA[[#This Row],[cantidad_fs]]-600)*0.97</f>
        <v>378.3</v>
      </c>
      <c r="S304" s="15">
        <v>1427.2</v>
      </c>
      <c r="T304" s="15">
        <f>DATA[[#This Row],[C. DF]]+DATA[[#This Row],[C.OPE.]]</f>
        <v>1805.5</v>
      </c>
      <c r="U304" s="15">
        <f>DATA[[#This Row],[SUB TOTAL]]*0.18</f>
        <v>324.99</v>
      </c>
      <c r="V304" s="15">
        <f>IFERROR(ROUND(DATA[[#This Row],[SUB TOTAL]]+DATA[[#This Row],[IGV]],2),0)</f>
        <v>2130.4899999999998</v>
      </c>
      <c r="W304" s="16" t="str">
        <f>IF(DATA[[#This Row],[VALORIZACIÓN ]]="-","NO CORRESPONDE",IF(OR(A304=20558226979,A304=10470707866,A304=20111157058,A304=20100226902),"NO CORRESPONDE",IF(J304="Emitida",IF(P304&gt;0,"EMITIDA","PENDIENTE"),"NO CORRESPONDE")))</f>
        <v>EMITIDA</v>
      </c>
      <c r="X304" s="29"/>
      <c r="Y304" s="17" t="s">
        <v>118</v>
      </c>
      <c r="Z304" s="30">
        <v>45782</v>
      </c>
      <c r="AA304" s="10" t="s">
        <v>150</v>
      </c>
      <c r="AB304" s="19">
        <v>65</v>
      </c>
      <c r="AC304" s="20">
        <v>30</v>
      </c>
      <c r="AD304" s="18">
        <f>DATA[[#This Row],[FECHA DE EMISION]]+DATA[[#This Row],[CONDICION DE PAGO]]</f>
        <v>45812</v>
      </c>
      <c r="AE304" s="23">
        <f>IF(DATA[[#This Row],[MONEDA]]="USD",VLOOKUP(DATA[[#This Row],[COMBINADA]],#REF!,11,0),1)</f>
        <v>1</v>
      </c>
      <c r="AF304" s="39" t="str">
        <f>IF(DATA[[#This Row],[SERIE2]]="-","NO CORRESPONDE",IF(W304="NO CORRESPONDE","NO CORRESPONDE",IF(Z304&gt;0,"FACTURADO","PENDIENTE")))</f>
        <v>FACTURADO</v>
      </c>
      <c r="AG304" s="27">
        <f>IFERROR(VLOOKUP(DATA[[#This Row],[COMBINADA]],#REF!,6,0),0)</f>
        <v>0</v>
      </c>
      <c r="AH304" s="125">
        <f>IFERROR(VLOOKUP(DATA[[#This Row],[COMBINADA]],#REF!,9,0),0)/COUNTIFS(DATA[COMBINADA],DATA[[#This Row],[COMBINADA]])</f>
        <v>0</v>
      </c>
      <c r="AI304" s="27">
        <f>IFERROR(VLOOKUP(DATA[[#This Row],[COMBINADA]],#REF!,6,0),0)</f>
        <v>0</v>
      </c>
      <c r="AJ304" s="125">
        <f>IFERROR(VLOOKUP(DATA[[#This Row],[COMBINADA]],#REF!,9,0),0)/COUNTIFS(DATA[COMBINADA],DATA[[#This Row],[COMBINADA]])</f>
        <v>0</v>
      </c>
      <c r="AK304" s="27">
        <f>IFERROR(VLOOKUP(DATA[[#This Row],[COMBINADA]],#REF!,6,0),0)</f>
        <v>0</v>
      </c>
      <c r="AL304" s="125">
        <f>IFERROR(VLOOKUP(DATA[[#This Row],[COMBINADA]],#REF!,9,0),0)/COUNTIFS(DATA[COMBINADA],DATA[[#This Row],[COMBINADA]])</f>
        <v>0</v>
      </c>
      <c r="AM304" s="27">
        <f>IFERROR(VLOOKUP(DATA[[#This Row],[COMBINADA]],#REF!,6,0),0)</f>
        <v>0</v>
      </c>
      <c r="AN304" s="125">
        <f>IFERROR(VLOOKUP(DATA[[#This Row],[COMBINADA]],#REF!,9,0),0)/COUNTIFS(DATA[COMBINADA],DATA[[#This Row],[COMBINADA]])</f>
        <v>0</v>
      </c>
      <c r="AO304" s="27">
        <f>IFERROR(VLOOKUP(DATA[[#This Row],[COMBINADA]],#REF!,6,0),0)</f>
        <v>0</v>
      </c>
      <c r="AP304" s="125">
        <f>IFERROR(VLOOKUP(DATA[[#This Row],[COMBINADA]],#REF!,9,0),0)/COUNTIFS(DATA[COMBINADA],DATA[[#This Row],[COMBINADA]])</f>
        <v>0</v>
      </c>
      <c r="AQ30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2130.4899999999998</v>
      </c>
      <c r="AR304" s="26" t="str">
        <f>IFERROR(IF(DATA[[#This Row],[estado_fact]]="FACTURADO",VLOOKUP(DATA[[#This Row],[SERIE2]]&amp;"-"&amp;DATA[[#This Row],[NUMERO]],#REF!,34,0),"NO CORRESPONDE"),"NO CORRESPONDE")</f>
        <v>NO CORRESPONDE</v>
      </c>
      <c r="AS304" s="22" t="str">
        <f>IF(DATA[[#This Row],[fecha_fs]]&gt;0,TEXT(DATA[[#This Row],[fecha_fs]],"Mmmm"),0)</f>
        <v>Marzo</v>
      </c>
      <c r="AT304" s="22" t="str">
        <f>DATA[[#This Row],[SERIE2]]&amp;"-"&amp;DATA[[#This Row],[NUMERO]]</f>
        <v>FF01-65</v>
      </c>
      <c r="AU304" s="28">
        <f>DATA[[#This Row],[TOTAL]]*DATA[[#This Row],[T.C.]]</f>
        <v>2130.4899999999998</v>
      </c>
      <c r="AV304" s="6">
        <f>DATA[[#This Row],[FECHA DE VAL.]]</f>
        <v>45741</v>
      </c>
      <c r="AW304" s="6">
        <f>DATA[[#This Row],[FECHA DE EMISION]]</f>
        <v>45782</v>
      </c>
      <c r="AX304" s="6">
        <f>DATA[[#This Row],[F1]]</f>
        <v>0</v>
      </c>
      <c r="AY304" s="20">
        <f>IF(AV304-DATA[[#This Row],[fecha_fs]]&lt;0,0,AV304-DATA[[#This Row],[fecha_fs]])</f>
        <v>22</v>
      </c>
      <c r="AZ304" s="20">
        <f t="shared" si="28"/>
        <v>41</v>
      </c>
      <c r="BA304" s="20">
        <f t="shared" si="29"/>
        <v>0</v>
      </c>
      <c r="BB304" s="195">
        <f>IFERROR(SUM(DATA[[#This Row],[fs_val_ttf]:[fact_pago_ttf]]),0)</f>
        <v>63</v>
      </c>
      <c r="BC304" s="185">
        <v>45730</v>
      </c>
      <c r="BD304" s="185">
        <v>45749</v>
      </c>
      <c r="BE304" s="185">
        <v>45755</v>
      </c>
      <c r="BF304" s="185">
        <v>45755</v>
      </c>
      <c r="BG304" s="20">
        <f>IFERROR(IF(BC304-DATA[[#This Row],[fecha_fs]]&lt;0,0,BC304-DATA[[#This Row],[fecha_fs]]),0)</f>
        <v>11</v>
      </c>
      <c r="BH304" s="20">
        <f t="shared" si="33"/>
        <v>19</v>
      </c>
      <c r="BI304" s="20">
        <f t="shared" si="34"/>
        <v>6</v>
      </c>
      <c r="BJ304" s="20">
        <f t="shared" si="35"/>
        <v>0</v>
      </c>
      <c r="BK304" s="218">
        <f>IFERROR(SUM(DATA[[#This Row],[fs_fd_ttd]:[fend_fenf_ttd]]),0)</f>
        <v>36</v>
      </c>
      <c r="BL304" s="20" t="str">
        <f>IF(DATA[[#This Row],[fecha_fs]]&gt;0,TEXT(DATA[[#This Row],[fecha_fs]],"YYYY"),0)</f>
        <v>2025</v>
      </c>
      <c r="BM304" s="221" t="b">
        <v>1</v>
      </c>
      <c r="BN304" s="278">
        <f>COUNTIF(DATA[[#This Row],[tiempo_td]], "&lt;=15")</f>
        <v>0</v>
      </c>
      <c r="BO304" s="222"/>
    </row>
    <row r="305" spans="1:67" ht="30.6" customHeight="1" x14ac:dyDescent="0.25">
      <c r="A305" s="4">
        <v>20419158462</v>
      </c>
      <c r="B305" s="5" t="s">
        <v>2</v>
      </c>
      <c r="C305" s="52" t="s">
        <v>147</v>
      </c>
      <c r="D305" s="4" t="s">
        <v>120</v>
      </c>
      <c r="E305" s="5" t="s">
        <v>3</v>
      </c>
      <c r="F305" s="24">
        <v>45720</v>
      </c>
      <c r="G305" s="7" t="s">
        <v>113</v>
      </c>
      <c r="H305" s="25">
        <f t="shared" si="27"/>
        <v>1</v>
      </c>
      <c r="I305" s="67">
        <v>4188</v>
      </c>
      <c r="J305" s="8" t="s">
        <v>115</v>
      </c>
      <c r="K305" s="9" t="s">
        <v>148</v>
      </c>
      <c r="L305" s="10" t="s">
        <v>117</v>
      </c>
      <c r="M305" s="11">
        <v>2400</v>
      </c>
      <c r="N305" s="12" t="s">
        <v>188</v>
      </c>
      <c r="O305" s="6">
        <v>45744</v>
      </c>
      <c r="P305" s="83">
        <v>3369</v>
      </c>
      <c r="Q305" s="14" t="s">
        <v>85</v>
      </c>
      <c r="R305" s="15"/>
      <c r="S305" s="15">
        <v>2597.6999999999998</v>
      </c>
      <c r="T305" s="15">
        <f>DATA[[#This Row],[C. DF]]+DATA[[#This Row],[C.OPE.]]</f>
        <v>2597.6999999999998</v>
      </c>
      <c r="U305" s="15">
        <f>DATA[[#This Row],[SUB TOTAL]]*0.18</f>
        <v>467.58599999999996</v>
      </c>
      <c r="V305" s="15">
        <f>IFERROR(ROUND(DATA[[#This Row],[SUB TOTAL]]+DATA[[#This Row],[IGV]],2),0)</f>
        <v>3065.29</v>
      </c>
      <c r="W305" s="16" t="str">
        <f>IF(DATA[[#This Row],[VALORIZACIÓN ]]="-","NO CORRESPONDE",IF(OR(A305=20558226979,A305=10470707866,A305=20111157058,A305=20100226902),"NO CORRESPONDE",IF(J305="Emitida",IF(P305&gt;0,"EMITIDA","PENDIENTE"),"NO CORRESPONDE")))</f>
        <v>EMITIDA</v>
      </c>
      <c r="X305" s="29"/>
      <c r="Y305" s="17" t="s">
        <v>118</v>
      </c>
      <c r="Z305" s="30">
        <v>45770</v>
      </c>
      <c r="AA305" s="10" t="s">
        <v>150</v>
      </c>
      <c r="AB305" s="19">
        <v>48</v>
      </c>
      <c r="AC305" s="20">
        <v>15</v>
      </c>
      <c r="AD305" s="18">
        <f>DATA[[#This Row],[FECHA DE EMISION]]+DATA[[#This Row],[CONDICION DE PAGO]]</f>
        <v>45785</v>
      </c>
      <c r="AE305" s="23">
        <f>IF(DATA[[#This Row],[MONEDA]]="USD",VLOOKUP(DATA[[#This Row],[COMBINADA]],#REF!,11,0),1)</f>
        <v>1</v>
      </c>
      <c r="AF305" s="39" t="str">
        <f>IF(DATA[[#This Row],[SERIE2]]="-","NO CORRESPONDE",IF(W305="NO CORRESPONDE","NO CORRESPONDE",IF(Z305&gt;0,"FACTURADO","PENDIENTE")))</f>
        <v>FACTURADO</v>
      </c>
      <c r="AG305" s="27">
        <f>IFERROR(VLOOKUP(DATA[[#This Row],[COMBINADA]],#REF!,6,0),0)</f>
        <v>0</v>
      </c>
      <c r="AH305" s="125">
        <f>IFERROR(VLOOKUP(DATA[[#This Row],[COMBINADA]],#REF!,9,0),0)/COUNTIFS(DATA[COMBINADA],DATA[[#This Row],[COMBINADA]])</f>
        <v>0</v>
      </c>
      <c r="AI305" s="27">
        <f>IFERROR(VLOOKUP(DATA[[#This Row],[COMBINADA]],#REF!,6,0),0)</f>
        <v>0</v>
      </c>
      <c r="AJ305" s="125">
        <f>IFERROR(VLOOKUP(DATA[[#This Row],[COMBINADA]],#REF!,9,0),0)/COUNTIFS(DATA[COMBINADA],DATA[[#This Row],[COMBINADA]])</f>
        <v>0</v>
      </c>
      <c r="AK305" s="27">
        <f>IFERROR(VLOOKUP(DATA[[#This Row],[COMBINADA]],#REF!,6,0),0)</f>
        <v>0</v>
      </c>
      <c r="AL305" s="125">
        <f>IFERROR(VLOOKUP(DATA[[#This Row],[COMBINADA]],#REF!,9,0),0)/COUNTIFS(DATA[COMBINADA],DATA[[#This Row],[COMBINADA]])</f>
        <v>0</v>
      </c>
      <c r="AM305" s="27">
        <f>IFERROR(VLOOKUP(DATA[[#This Row],[COMBINADA]],#REF!,6,0),0)</f>
        <v>0</v>
      </c>
      <c r="AN305" s="125">
        <f>IFERROR(VLOOKUP(DATA[[#This Row],[COMBINADA]],#REF!,9,0),0)/COUNTIFS(DATA[COMBINADA],DATA[[#This Row],[COMBINADA]])</f>
        <v>0</v>
      </c>
      <c r="AO305" s="27">
        <f>IFERROR(VLOOKUP(DATA[[#This Row],[COMBINADA]],#REF!,6,0),0)</f>
        <v>0</v>
      </c>
      <c r="AP305" s="125">
        <f>IFERROR(VLOOKUP(DATA[[#This Row],[COMBINADA]],#REF!,9,0),0)/COUNTIFS(DATA[COMBINADA],DATA[[#This Row],[COMBINADA]])</f>
        <v>0</v>
      </c>
      <c r="AQ30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3667.7566666666667</v>
      </c>
      <c r="AR305" s="26" t="str">
        <f>IFERROR(IF(DATA[[#This Row],[estado_fact]]="FACTURADO",VLOOKUP(DATA[[#This Row],[SERIE2]]&amp;"-"&amp;DATA[[#This Row],[NUMERO]],#REF!,34,0),"NO CORRESPONDE"),"NO CORRESPONDE")</f>
        <v>NO CORRESPONDE</v>
      </c>
      <c r="AS305" s="22" t="str">
        <f>IF(DATA[[#This Row],[fecha_fs]]&gt;0,TEXT(DATA[[#This Row],[fecha_fs]],"Mmmm"),0)</f>
        <v>Marzo</v>
      </c>
      <c r="AT305" s="22" t="str">
        <f>DATA[[#This Row],[SERIE2]]&amp;"-"&amp;DATA[[#This Row],[NUMERO]]</f>
        <v>FF01-48</v>
      </c>
      <c r="AU305" s="28">
        <f>DATA[[#This Row],[TOTAL]]*DATA[[#This Row],[T.C.]]</f>
        <v>3065.29</v>
      </c>
      <c r="AV305" s="6">
        <f>DATA[[#This Row],[FECHA DE VAL.]]</f>
        <v>45744</v>
      </c>
      <c r="AW305" s="6">
        <f>DATA[[#This Row],[FECHA DE EMISION]]</f>
        <v>45770</v>
      </c>
      <c r="AX305" s="6">
        <f>DATA[[#This Row],[F1]]</f>
        <v>0</v>
      </c>
      <c r="AY305" s="20">
        <f>IF(AV305-DATA[[#This Row],[fecha_fs]]&lt;0,0,AV305-DATA[[#This Row],[fecha_fs]])</f>
        <v>24</v>
      </c>
      <c r="AZ305" s="20">
        <f t="shared" si="28"/>
        <v>26</v>
      </c>
      <c r="BA305" s="20">
        <f t="shared" si="29"/>
        <v>0</v>
      </c>
      <c r="BB305" s="195">
        <f>IFERROR(SUM(DATA[[#This Row],[fs_val_ttf]:[fact_pago_ttf]]),0)</f>
        <v>50</v>
      </c>
      <c r="BC305" s="185">
        <v>45720</v>
      </c>
      <c r="BD305" s="185">
        <v>45720</v>
      </c>
      <c r="BE305" s="185">
        <v>45751</v>
      </c>
      <c r="BF305" s="185">
        <v>45751</v>
      </c>
      <c r="BG305" s="20">
        <f>IFERROR(IF(BC305-DATA[[#This Row],[fecha_fs]]&lt;0,0,BC305-DATA[[#This Row],[fecha_fs]]),0)</f>
        <v>0</v>
      </c>
      <c r="BH305" s="20">
        <f t="shared" si="33"/>
        <v>0</v>
      </c>
      <c r="BI305" s="20">
        <f t="shared" si="34"/>
        <v>31</v>
      </c>
      <c r="BJ305" s="20">
        <f t="shared" si="35"/>
        <v>0</v>
      </c>
      <c r="BK305" s="218">
        <f>IFERROR(SUM(DATA[[#This Row],[fs_fd_ttd]:[fend_fenf_ttd]]),0)</f>
        <v>31</v>
      </c>
      <c r="BL305" s="20" t="str">
        <f>IF(DATA[[#This Row],[fecha_fs]]&gt;0,TEXT(DATA[[#This Row],[fecha_fs]],"YYYY"),0)</f>
        <v>2025</v>
      </c>
      <c r="BM305" s="221" t="b">
        <v>1</v>
      </c>
      <c r="BN305" s="278">
        <f>COUNTIF(DATA[[#This Row],[tiempo_td]], "&lt;=15")</f>
        <v>0</v>
      </c>
      <c r="BO305" s="222"/>
    </row>
    <row r="306" spans="1:67" ht="30.6" customHeight="1" x14ac:dyDescent="0.25">
      <c r="A306" s="4">
        <v>20100211115</v>
      </c>
      <c r="B306" s="5" t="s">
        <v>41</v>
      </c>
      <c r="C306" s="52" t="s">
        <v>18</v>
      </c>
      <c r="D306" s="4" t="s">
        <v>120</v>
      </c>
      <c r="E306" s="5" t="s">
        <v>3</v>
      </c>
      <c r="F306" s="24">
        <v>45716</v>
      </c>
      <c r="G306" s="7" t="s">
        <v>113</v>
      </c>
      <c r="H306" s="25">
        <f t="shared" si="27"/>
        <v>1</v>
      </c>
      <c r="I306" s="67">
        <v>4189</v>
      </c>
      <c r="J306" s="8" t="s">
        <v>115</v>
      </c>
      <c r="K306" s="9" t="s">
        <v>163</v>
      </c>
      <c r="L306" s="10" t="s">
        <v>117</v>
      </c>
      <c r="M306" s="11">
        <v>678</v>
      </c>
      <c r="N306" s="12" t="s">
        <v>125</v>
      </c>
      <c r="O306" s="6">
        <v>45716</v>
      </c>
      <c r="P306" s="115">
        <v>3332</v>
      </c>
      <c r="Q306" s="14" t="s">
        <v>85</v>
      </c>
      <c r="R306" s="15"/>
      <c r="S306" s="15">
        <f>DATA[[#This Row],[cantidad_fs]]*0.75</f>
        <v>508.5</v>
      </c>
      <c r="T306" s="15">
        <f>DATA[[#This Row],[C. DF]]+DATA[[#This Row],[C.OPE.]]</f>
        <v>508.5</v>
      </c>
      <c r="U306" s="15">
        <f>DATA[[#This Row],[SUB TOTAL]]*0.18</f>
        <v>91.53</v>
      </c>
      <c r="V306" s="15">
        <f>IFERROR(ROUND(DATA[[#This Row],[SUB TOTAL]]+DATA[[#This Row],[IGV]],2),0)</f>
        <v>600.03</v>
      </c>
      <c r="W306" s="16" t="str">
        <f>IF(DATA[[#This Row],[VALORIZACIÓN ]]="-","NO CORRESPONDE",IF(OR(A306=20558226979,A306=10470707866,A306=20111157058,A306=20100226902),"NO CORRESPONDE",IF(J306="Emitida",IF(P306&gt;0,"EMITIDA","PENDIENTE"),"NO CORRESPONDE")))</f>
        <v>EMITIDA</v>
      </c>
      <c r="X306" s="29"/>
      <c r="Y306" s="17" t="s">
        <v>118</v>
      </c>
      <c r="Z306" s="30">
        <v>45722</v>
      </c>
      <c r="AA306" s="10" t="s">
        <v>124</v>
      </c>
      <c r="AB306" s="19">
        <v>589</v>
      </c>
      <c r="AC306" s="20">
        <v>30</v>
      </c>
      <c r="AD306" s="18">
        <f>DATA[[#This Row],[FECHA DE EMISION]]+DATA[[#This Row],[CONDICION DE PAGO]]</f>
        <v>45752</v>
      </c>
      <c r="AE306" s="23">
        <f>IF(DATA[[#This Row],[MONEDA]]="USD",VLOOKUP(DATA[[#This Row],[COMBINADA]],#REF!,11,0),1)</f>
        <v>1</v>
      </c>
      <c r="AF306" s="39" t="str">
        <f>IF(DATA[[#This Row],[SERIE2]]="-","NO CORRESPONDE",IF(W306="NO CORRESPONDE","NO CORRESPONDE",IF(Z306&gt;0,"FACTURADO","PENDIENTE")))</f>
        <v>FACTURADO</v>
      </c>
      <c r="AG306" s="27">
        <f>IFERROR(VLOOKUP(DATA[[#This Row],[COMBINADA]],#REF!,6,0),0)</f>
        <v>0</v>
      </c>
      <c r="AH306" s="125">
        <f>IFERROR(VLOOKUP(DATA[[#This Row],[COMBINADA]],#REF!,9,0),0)/COUNTIFS(DATA[COMBINADA],DATA[[#This Row],[COMBINADA]])</f>
        <v>0</v>
      </c>
      <c r="AI306" s="27">
        <f>IFERROR(VLOOKUP(DATA[[#This Row],[COMBINADA]],#REF!,6,0),0)</f>
        <v>0</v>
      </c>
      <c r="AJ306" s="125">
        <f>IFERROR(VLOOKUP(DATA[[#This Row],[COMBINADA]],#REF!,9,0),0)/COUNTIFS(DATA[COMBINADA],DATA[[#This Row],[COMBINADA]])</f>
        <v>0</v>
      </c>
      <c r="AK306" s="27">
        <f>IFERROR(VLOOKUP(DATA[[#This Row],[COMBINADA]],#REF!,6,0),0)</f>
        <v>0</v>
      </c>
      <c r="AL306" s="125">
        <f>IFERROR(VLOOKUP(DATA[[#This Row],[COMBINADA]],#REF!,9,0),0)/COUNTIFS(DATA[COMBINADA],DATA[[#This Row],[COMBINADA]])</f>
        <v>0</v>
      </c>
      <c r="AM306" s="27">
        <f>IFERROR(VLOOKUP(DATA[[#This Row],[COMBINADA]],#REF!,6,0),0)</f>
        <v>0</v>
      </c>
      <c r="AN306" s="125">
        <f>IFERROR(VLOOKUP(DATA[[#This Row],[COMBINADA]],#REF!,9,0),0)/COUNTIFS(DATA[COMBINADA],DATA[[#This Row],[COMBINADA]])</f>
        <v>0</v>
      </c>
      <c r="AO306" s="27">
        <f>IFERROR(VLOOKUP(DATA[[#This Row],[COMBINADA]],#REF!,6,0),0)</f>
        <v>0</v>
      </c>
      <c r="AP306" s="125">
        <f>IFERROR(VLOOKUP(DATA[[#This Row],[COMBINADA]],#REF!,9,0),0)/COUNTIFS(DATA[COMBINADA],DATA[[#This Row],[COMBINADA]])</f>
        <v>0</v>
      </c>
      <c r="AQ30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785.44</v>
      </c>
      <c r="AR306" s="26" t="str">
        <f>IFERROR(IF(DATA[[#This Row],[estado_fact]]="FACTURADO",VLOOKUP(DATA[[#This Row],[SERIE2]]&amp;"-"&amp;DATA[[#This Row],[NUMERO]],#REF!,34,0),"NO CORRESPONDE"),"NO CORRESPONDE")</f>
        <v>NO CORRESPONDE</v>
      </c>
      <c r="AS306" s="22" t="str">
        <f>IF(DATA[[#This Row],[fecha_fs]]&gt;0,TEXT(DATA[[#This Row],[fecha_fs]],"Mmmm"),0)</f>
        <v>Febrero</v>
      </c>
      <c r="AT306" s="22" t="str">
        <f>DATA[[#This Row],[SERIE2]]&amp;"-"&amp;DATA[[#This Row],[NUMERO]]</f>
        <v>FE01-589</v>
      </c>
      <c r="AU306" s="28">
        <f>DATA[[#This Row],[TOTAL]]*DATA[[#This Row],[T.C.]]</f>
        <v>600.03</v>
      </c>
      <c r="AV306" s="6">
        <f>DATA[[#This Row],[FECHA DE VAL.]]</f>
        <v>45716</v>
      </c>
      <c r="AW306" s="6">
        <f>DATA[[#This Row],[FECHA DE EMISION]]</f>
        <v>45722</v>
      </c>
      <c r="AX306" s="6">
        <f>DATA[[#This Row],[F1]]</f>
        <v>0</v>
      </c>
      <c r="AY306" s="20">
        <f>IF(AV306-DATA[[#This Row],[fecha_fs]]&lt;0,0,AV306-DATA[[#This Row],[fecha_fs]])</f>
        <v>0</v>
      </c>
      <c r="AZ306" s="20">
        <f t="shared" si="28"/>
        <v>6</v>
      </c>
      <c r="BA306" s="20">
        <f t="shared" si="29"/>
        <v>0</v>
      </c>
      <c r="BB306" s="195">
        <f>IFERROR(SUM(DATA[[#This Row],[fs_val_ttf]:[fact_pago_ttf]]),0)</f>
        <v>6</v>
      </c>
      <c r="BC306" s="185">
        <v>45729</v>
      </c>
      <c r="BD306" s="185">
        <v>45735</v>
      </c>
      <c r="BE306" s="185">
        <v>45740</v>
      </c>
      <c r="BF306" s="185">
        <v>45749</v>
      </c>
      <c r="BG306" s="20">
        <f>IFERROR(IF(BC306-DATA[[#This Row],[fecha_fs]]&lt;0,0,BC306-DATA[[#This Row],[fecha_fs]]),0)</f>
        <v>13</v>
      </c>
      <c r="BH306" s="20">
        <f t="shared" si="33"/>
        <v>6</v>
      </c>
      <c r="BI306" s="20">
        <f t="shared" si="34"/>
        <v>5</v>
      </c>
      <c r="BJ306" s="20">
        <f t="shared" si="35"/>
        <v>9</v>
      </c>
      <c r="BK306" s="218">
        <f>IFERROR(SUM(DATA[[#This Row],[fs_fd_ttd]:[fend_fenf_ttd]]),0)</f>
        <v>33</v>
      </c>
      <c r="BL306" s="20" t="str">
        <f>IF(DATA[[#This Row],[fecha_fs]]&gt;0,TEXT(DATA[[#This Row],[fecha_fs]],"YYYY"),0)</f>
        <v>2025</v>
      </c>
      <c r="BM306" s="221" t="b">
        <v>1</v>
      </c>
      <c r="BN306" s="278">
        <f>COUNTIF(DATA[[#This Row],[tiempo_td]], "&lt;=15")</f>
        <v>0</v>
      </c>
      <c r="BO306" s="222"/>
    </row>
    <row r="307" spans="1:67" ht="30.6" customHeight="1" x14ac:dyDescent="0.25">
      <c r="A307" s="4">
        <v>20100211115</v>
      </c>
      <c r="B307" s="5" t="s">
        <v>41</v>
      </c>
      <c r="C307" s="52" t="s">
        <v>18</v>
      </c>
      <c r="D307" s="4" t="s">
        <v>120</v>
      </c>
      <c r="E307" s="5" t="s">
        <v>3</v>
      </c>
      <c r="F307" s="24">
        <v>45719</v>
      </c>
      <c r="G307" s="7" t="s">
        <v>113</v>
      </c>
      <c r="H307" s="25">
        <f t="shared" si="27"/>
        <v>1</v>
      </c>
      <c r="I307" s="67">
        <v>4190</v>
      </c>
      <c r="J307" s="8" t="s">
        <v>115</v>
      </c>
      <c r="K307" s="9" t="s">
        <v>121</v>
      </c>
      <c r="L307" s="10" t="s">
        <v>117</v>
      </c>
      <c r="M307" s="11">
        <v>90</v>
      </c>
      <c r="N307" s="12" t="s">
        <v>125</v>
      </c>
      <c r="O307" s="6">
        <v>45743</v>
      </c>
      <c r="P307" s="115">
        <v>3362</v>
      </c>
      <c r="Q307" s="14" t="s">
        <v>85</v>
      </c>
      <c r="R307" s="15"/>
      <c r="S307" s="15">
        <f>(DATA[[#This Row],[cantidad_fs]]*4.37)</f>
        <v>393.3</v>
      </c>
      <c r="T307" s="15">
        <f>DATA[[#This Row],[C. DF]]+DATA[[#This Row],[C.OPE.]]</f>
        <v>393.3</v>
      </c>
      <c r="U307" s="15">
        <f>DATA[[#This Row],[SUB TOTAL]]*0.18</f>
        <v>70.793999999999997</v>
      </c>
      <c r="V307" s="15">
        <f>IFERROR(ROUND(DATA[[#This Row],[SUB TOTAL]]+DATA[[#This Row],[IGV]],2),0)</f>
        <v>464.09</v>
      </c>
      <c r="W307" s="16" t="str">
        <f>IF(DATA[[#This Row],[VALORIZACIÓN ]]="-","NO CORRESPONDE",IF(OR(A307=20558226979,A307=10470707866,A307=20111157058,A307=20100226902),"NO CORRESPONDE",IF(J307="Emitida",IF(P307&gt;0,"EMITIDA","PENDIENTE"),"NO CORRESPONDE")))</f>
        <v>EMITIDA</v>
      </c>
      <c r="X307" s="29"/>
      <c r="Y307" s="17" t="s">
        <v>118</v>
      </c>
      <c r="Z307" s="30">
        <v>45744</v>
      </c>
      <c r="AA307" s="10" t="s">
        <v>150</v>
      </c>
      <c r="AB307" s="19">
        <v>2</v>
      </c>
      <c r="AC307" s="20">
        <v>30</v>
      </c>
      <c r="AD307" s="18">
        <f>DATA[[#This Row],[FECHA DE EMISION]]+DATA[[#This Row],[CONDICION DE PAGO]]</f>
        <v>45774</v>
      </c>
      <c r="AE307" s="23">
        <f>IF(DATA[[#This Row],[MONEDA]]="USD",VLOOKUP(DATA[[#This Row],[COMBINADA]],#REF!,11,0),1)</f>
        <v>1</v>
      </c>
      <c r="AF307" s="39" t="str">
        <f>IF(DATA[[#This Row],[SERIE2]]="-","NO CORRESPONDE",IF(W307="NO CORRESPONDE","NO CORRESPONDE",IF(Z307&gt;0,"FACTURADO","PENDIENTE")))</f>
        <v>FACTURADO</v>
      </c>
      <c r="AG307" s="27">
        <f>IFERROR(VLOOKUP(DATA[[#This Row],[COMBINADA]],#REF!,6,0),0)</f>
        <v>0</v>
      </c>
      <c r="AH307" s="125">
        <f>IFERROR(VLOOKUP(DATA[[#This Row],[COMBINADA]],#REF!,9,0),0)/COUNTIFS(DATA[COMBINADA],DATA[[#This Row],[COMBINADA]])</f>
        <v>0</v>
      </c>
      <c r="AI307" s="27">
        <f>IFERROR(VLOOKUP(DATA[[#This Row],[COMBINADA]],#REF!,6,0),0)</f>
        <v>0</v>
      </c>
      <c r="AJ307" s="125">
        <f>IFERROR(VLOOKUP(DATA[[#This Row],[COMBINADA]],#REF!,9,0),0)/COUNTIFS(DATA[COMBINADA],DATA[[#This Row],[COMBINADA]])</f>
        <v>0</v>
      </c>
      <c r="AK307" s="27">
        <f>IFERROR(VLOOKUP(DATA[[#This Row],[COMBINADA]],#REF!,6,0),0)</f>
        <v>0</v>
      </c>
      <c r="AL307" s="125">
        <f>IFERROR(VLOOKUP(DATA[[#This Row],[COMBINADA]],#REF!,9,0),0)/COUNTIFS(DATA[COMBINADA],DATA[[#This Row],[COMBINADA]])</f>
        <v>0</v>
      </c>
      <c r="AM307" s="27">
        <f>IFERROR(VLOOKUP(DATA[[#This Row],[COMBINADA]],#REF!,6,0),0)</f>
        <v>0</v>
      </c>
      <c r="AN307" s="125">
        <f>IFERROR(VLOOKUP(DATA[[#This Row],[COMBINADA]],#REF!,9,0),0)/COUNTIFS(DATA[COMBINADA],DATA[[#This Row],[COMBINADA]])</f>
        <v>0</v>
      </c>
      <c r="AO307" s="27">
        <f>IFERROR(VLOOKUP(DATA[[#This Row],[COMBINADA]],#REF!,6,0),0)</f>
        <v>0</v>
      </c>
      <c r="AP307" s="125">
        <f>IFERROR(VLOOKUP(DATA[[#This Row],[COMBINADA]],#REF!,9,0),0)/COUNTIFS(DATA[COMBINADA],DATA[[#This Row],[COMBINADA]])</f>
        <v>0</v>
      </c>
      <c r="AQ30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307" s="26" t="str">
        <f>IFERROR(IF(DATA[[#This Row],[estado_fact]]="FACTURADO",VLOOKUP(DATA[[#This Row],[SERIE2]]&amp;"-"&amp;DATA[[#This Row],[NUMERO]],#REF!,34,0),"NO CORRESPONDE"),"NO CORRESPONDE")</f>
        <v>NO CORRESPONDE</v>
      </c>
      <c r="AS307" s="22" t="str">
        <f>IF(DATA[[#This Row],[fecha_fs]]&gt;0,TEXT(DATA[[#This Row],[fecha_fs]],"Mmmm"),0)</f>
        <v>Marzo</v>
      </c>
      <c r="AT307" s="22" t="str">
        <f>DATA[[#This Row],[SERIE2]]&amp;"-"&amp;DATA[[#This Row],[NUMERO]]</f>
        <v>FF01-2</v>
      </c>
      <c r="AU307" s="28">
        <f>DATA[[#This Row],[TOTAL]]*DATA[[#This Row],[T.C.]]</f>
        <v>464.09</v>
      </c>
      <c r="AV307" s="6">
        <f>DATA[[#This Row],[FECHA DE VAL.]]</f>
        <v>45743</v>
      </c>
      <c r="AW307" s="6">
        <f>DATA[[#This Row],[FECHA DE EMISION]]</f>
        <v>45744</v>
      </c>
      <c r="AX307" s="6">
        <f>DATA[[#This Row],[F1]]</f>
        <v>0</v>
      </c>
      <c r="AY307" s="20">
        <f>IF(AV307-DATA[[#This Row],[fecha_fs]]&lt;0,0,AV307-DATA[[#This Row],[fecha_fs]])</f>
        <v>24</v>
      </c>
      <c r="AZ307" s="20">
        <f t="shared" si="28"/>
        <v>1</v>
      </c>
      <c r="BA307" s="20">
        <f t="shared" si="29"/>
        <v>0</v>
      </c>
      <c r="BB307" s="195">
        <f>IFERROR(SUM(DATA[[#This Row],[fs_val_ttf]:[fact_pago_ttf]]),0)</f>
        <v>25</v>
      </c>
      <c r="BC307" s="185">
        <v>45742</v>
      </c>
      <c r="BD307" s="185">
        <v>45751</v>
      </c>
      <c r="BE307" s="185">
        <v>45757</v>
      </c>
      <c r="BF307" s="185">
        <v>45758</v>
      </c>
      <c r="BG307" s="20">
        <f>IFERROR(IF(BC307-DATA[[#This Row],[fecha_fs]]&lt;0,0,BC307-DATA[[#This Row],[fecha_fs]]),0)</f>
        <v>23</v>
      </c>
      <c r="BH307" s="20">
        <f t="shared" si="33"/>
        <v>9</v>
      </c>
      <c r="BI307" s="20">
        <f t="shared" si="34"/>
        <v>6</v>
      </c>
      <c r="BJ307" s="20">
        <f t="shared" si="35"/>
        <v>1</v>
      </c>
      <c r="BK307" s="218">
        <f>IFERROR(SUM(DATA[[#This Row],[fs_fd_ttd]:[fend_fenf_ttd]]),0)</f>
        <v>39</v>
      </c>
      <c r="BL307" s="20" t="str">
        <f>IF(DATA[[#This Row],[fecha_fs]]&gt;0,TEXT(DATA[[#This Row],[fecha_fs]],"YYYY"),0)</f>
        <v>2025</v>
      </c>
      <c r="BM307" s="221" t="b">
        <v>1</v>
      </c>
      <c r="BN307" s="278">
        <f>COUNTIF(DATA[[#This Row],[tiempo_td]], "&lt;=15")</f>
        <v>0</v>
      </c>
      <c r="BO307" s="222"/>
    </row>
    <row r="308" spans="1:67" ht="30.6" customHeight="1" x14ac:dyDescent="0.25">
      <c r="A308" s="4">
        <v>20505675836</v>
      </c>
      <c r="B308" s="5" t="s">
        <v>42</v>
      </c>
      <c r="C308" s="52" t="s">
        <v>43</v>
      </c>
      <c r="D308" s="4" t="s">
        <v>157</v>
      </c>
      <c r="E308" s="5" t="s">
        <v>44</v>
      </c>
      <c r="F308" s="24">
        <v>45719</v>
      </c>
      <c r="G308" s="7" t="s">
        <v>113</v>
      </c>
      <c r="H308" s="25">
        <f t="shared" si="27"/>
        <v>1</v>
      </c>
      <c r="I308" s="67">
        <v>4191</v>
      </c>
      <c r="J308" s="8" t="s">
        <v>115</v>
      </c>
      <c r="K308" s="9" t="s">
        <v>158</v>
      </c>
      <c r="L308" s="10" t="s">
        <v>137</v>
      </c>
      <c r="M308" s="11">
        <v>1</v>
      </c>
      <c r="N308" s="12" t="s">
        <v>135</v>
      </c>
      <c r="O308" s="6">
        <v>45741</v>
      </c>
      <c r="P308" s="71">
        <v>3347</v>
      </c>
      <c r="Q308" s="14" t="s">
        <v>85</v>
      </c>
      <c r="R308" s="15"/>
      <c r="S308" s="15">
        <v>396.7</v>
      </c>
      <c r="T308" s="15">
        <f>DATA[[#This Row],[C. DF]]+DATA[[#This Row],[C.OPE.]]</f>
        <v>396.7</v>
      </c>
      <c r="U308" s="15">
        <f>DATA[[#This Row],[SUB TOTAL]]*0.18</f>
        <v>71.405999999999992</v>
      </c>
      <c r="V308" s="15">
        <f>IFERROR(ROUND(DATA[[#This Row],[SUB TOTAL]]+DATA[[#This Row],[IGV]],2),0)</f>
        <v>468.11</v>
      </c>
      <c r="W308" s="16" t="str">
        <f>IF(DATA[[#This Row],[VALORIZACIÓN ]]="-","NO CORRESPONDE",IF(OR(A308=20558226979,A308=10470707866,A308=20111157058,A308=20100226902),"NO CORRESPONDE",IF(J308="Emitida",IF(P308&gt;0,"EMITIDA","PENDIENTE"),"NO CORRESPONDE")))</f>
        <v>EMITIDA</v>
      </c>
      <c r="X308" s="29"/>
      <c r="Y308" s="17" t="s">
        <v>118</v>
      </c>
      <c r="Z308" s="30">
        <v>45782</v>
      </c>
      <c r="AA308" s="10" t="s">
        <v>150</v>
      </c>
      <c r="AB308" s="19">
        <v>66</v>
      </c>
      <c r="AC308" s="20">
        <v>30</v>
      </c>
      <c r="AD308" s="18">
        <f>DATA[[#This Row],[FECHA DE EMISION]]+DATA[[#This Row],[CONDICION DE PAGO]]</f>
        <v>45812</v>
      </c>
      <c r="AE308" s="23">
        <f>IF(DATA[[#This Row],[MONEDA]]="USD",VLOOKUP(DATA[[#This Row],[COMBINADA]],#REF!,11,0),1)</f>
        <v>1</v>
      </c>
      <c r="AF308" s="39" t="str">
        <f>IF(DATA[[#This Row],[SERIE2]]="-","NO CORRESPONDE",IF(W308="NO CORRESPONDE","NO CORRESPONDE",IF(Z308&gt;0,"FACTURADO","PENDIENTE")))</f>
        <v>FACTURADO</v>
      </c>
      <c r="AG308" s="27">
        <f>IFERROR(VLOOKUP(DATA[[#This Row],[COMBINADA]],#REF!,6,0),0)</f>
        <v>0</v>
      </c>
      <c r="AH308" s="125">
        <f>IFERROR(VLOOKUP(DATA[[#This Row],[COMBINADA]],#REF!,9,0),0)/COUNTIFS(DATA[COMBINADA],DATA[[#This Row],[COMBINADA]])</f>
        <v>0</v>
      </c>
      <c r="AI308" s="27">
        <f>IFERROR(VLOOKUP(DATA[[#This Row],[COMBINADA]],#REF!,6,0),0)</f>
        <v>0</v>
      </c>
      <c r="AJ308" s="125">
        <f>IFERROR(VLOOKUP(DATA[[#This Row],[COMBINADA]],#REF!,9,0),0)/COUNTIFS(DATA[COMBINADA],DATA[[#This Row],[COMBINADA]])</f>
        <v>0</v>
      </c>
      <c r="AK308" s="27">
        <f>IFERROR(VLOOKUP(DATA[[#This Row],[COMBINADA]],#REF!,6,0),0)</f>
        <v>0</v>
      </c>
      <c r="AL308" s="125">
        <f>IFERROR(VLOOKUP(DATA[[#This Row],[COMBINADA]],#REF!,9,0),0)/COUNTIFS(DATA[COMBINADA],DATA[[#This Row],[COMBINADA]])</f>
        <v>0</v>
      </c>
      <c r="AM308" s="27">
        <f>IFERROR(VLOOKUP(DATA[[#This Row],[COMBINADA]],#REF!,6,0),0)</f>
        <v>0</v>
      </c>
      <c r="AN308" s="125">
        <f>IFERROR(VLOOKUP(DATA[[#This Row],[COMBINADA]],#REF!,9,0),0)/COUNTIFS(DATA[COMBINADA],DATA[[#This Row],[COMBINADA]])</f>
        <v>0</v>
      </c>
      <c r="AO308" s="27">
        <f>IFERROR(VLOOKUP(DATA[[#This Row],[COMBINADA]],#REF!,6,0),0)</f>
        <v>0</v>
      </c>
      <c r="AP308" s="125">
        <f>IFERROR(VLOOKUP(DATA[[#This Row],[COMBINADA]],#REF!,9,0),0)/COUNTIFS(DATA[COMBINADA],DATA[[#This Row],[COMBINADA]])</f>
        <v>0</v>
      </c>
      <c r="AQ30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468.11</v>
      </c>
      <c r="AR308" s="26" t="str">
        <f>IFERROR(IF(DATA[[#This Row],[estado_fact]]="FACTURADO",VLOOKUP(DATA[[#This Row],[SERIE2]]&amp;"-"&amp;DATA[[#This Row],[NUMERO]],#REF!,34,0),"NO CORRESPONDE"),"NO CORRESPONDE")</f>
        <v>NO CORRESPONDE</v>
      </c>
      <c r="AS308" s="22" t="str">
        <f>IF(DATA[[#This Row],[fecha_fs]]&gt;0,TEXT(DATA[[#This Row],[fecha_fs]],"Mmmm"),0)</f>
        <v>Marzo</v>
      </c>
      <c r="AT308" s="22" t="str">
        <f>DATA[[#This Row],[SERIE2]]&amp;"-"&amp;DATA[[#This Row],[NUMERO]]</f>
        <v>FF01-66</v>
      </c>
      <c r="AU308" s="28">
        <f>DATA[[#This Row],[TOTAL]]*DATA[[#This Row],[T.C.]]</f>
        <v>468.11</v>
      </c>
      <c r="AV308" s="6">
        <f>DATA[[#This Row],[FECHA DE VAL.]]</f>
        <v>45741</v>
      </c>
      <c r="AW308" s="6">
        <f>DATA[[#This Row],[FECHA DE EMISION]]</f>
        <v>45782</v>
      </c>
      <c r="AX308" s="6">
        <f>DATA[[#This Row],[F1]]</f>
        <v>0</v>
      </c>
      <c r="AY308" s="20">
        <f>IF(AV308-DATA[[#This Row],[fecha_fs]]&lt;0,0,AV308-DATA[[#This Row],[fecha_fs]])</f>
        <v>22</v>
      </c>
      <c r="AZ308" s="20">
        <f t="shared" si="28"/>
        <v>41</v>
      </c>
      <c r="BA308" s="20">
        <f t="shared" si="29"/>
        <v>0</v>
      </c>
      <c r="BB308" s="195">
        <f>IFERROR(SUM(DATA[[#This Row],[fs_val_ttf]:[fact_pago_ttf]]),0)</f>
        <v>63</v>
      </c>
      <c r="BC308" s="185">
        <v>45719</v>
      </c>
      <c r="BD308" s="185">
        <v>45719</v>
      </c>
      <c r="BE308" s="185">
        <v>45748</v>
      </c>
      <c r="BF308" s="185">
        <v>45748</v>
      </c>
      <c r="BG308" s="20">
        <f>IFERROR(IF(BC308-DATA[[#This Row],[fecha_fs]]&lt;0,0,BC308-DATA[[#This Row],[fecha_fs]]),0)</f>
        <v>0</v>
      </c>
      <c r="BH308" s="20">
        <f t="shared" si="33"/>
        <v>0</v>
      </c>
      <c r="BI308" s="20">
        <f t="shared" si="34"/>
        <v>29</v>
      </c>
      <c r="BJ308" s="20">
        <f t="shared" si="35"/>
        <v>0</v>
      </c>
      <c r="BK308" s="218">
        <f>IFERROR(SUM(DATA[[#This Row],[fs_fd_ttd]:[fend_fenf_ttd]]),0)</f>
        <v>29</v>
      </c>
      <c r="BL308" s="20" t="str">
        <f>IF(DATA[[#This Row],[fecha_fs]]&gt;0,TEXT(DATA[[#This Row],[fecha_fs]],"YYYY"),0)</f>
        <v>2025</v>
      </c>
      <c r="BM308" s="221" t="b">
        <v>1</v>
      </c>
      <c r="BN308" s="278">
        <f>COUNTIF(DATA[[#This Row],[tiempo_td]], "&lt;=15")</f>
        <v>0</v>
      </c>
      <c r="BO308" s="222"/>
    </row>
    <row r="309" spans="1:67" ht="30.6" customHeight="1" x14ac:dyDescent="0.25">
      <c r="A309" s="4">
        <v>20100192064</v>
      </c>
      <c r="B309" s="5" t="s">
        <v>60</v>
      </c>
      <c r="C309" s="52" t="s">
        <v>43</v>
      </c>
      <c r="D309" s="4" t="s">
        <v>112</v>
      </c>
      <c r="E309" s="5" t="s">
        <v>1</v>
      </c>
      <c r="F309" s="24">
        <v>45719</v>
      </c>
      <c r="G309" s="7" t="s">
        <v>113</v>
      </c>
      <c r="H309" s="25">
        <f t="shared" si="27"/>
        <v>1</v>
      </c>
      <c r="I309" s="67">
        <v>4192</v>
      </c>
      <c r="J309" s="8" t="s">
        <v>115</v>
      </c>
      <c r="K309" s="9" t="s">
        <v>116</v>
      </c>
      <c r="L309" s="10" t="s">
        <v>117</v>
      </c>
      <c r="M309" s="11">
        <v>640</v>
      </c>
      <c r="N309" s="12" t="s">
        <v>125</v>
      </c>
      <c r="O309" s="6">
        <v>45742</v>
      </c>
      <c r="P309" s="71">
        <v>3353</v>
      </c>
      <c r="Q309" s="14" t="s">
        <v>123</v>
      </c>
      <c r="R309" s="15">
        <f>(DATA[[#This Row],[cantidad_fs]]/1000)*(143+175.34)</f>
        <v>203.73760000000001</v>
      </c>
      <c r="S309" s="15">
        <v>137</v>
      </c>
      <c r="T309" s="15">
        <f>DATA[[#This Row],[C. DF]]+DATA[[#This Row],[C.OPE.]]</f>
        <v>340.73760000000004</v>
      </c>
      <c r="U309" s="15">
        <f>DATA[[#This Row],[SUB TOTAL]]*0.18</f>
        <v>61.332768000000009</v>
      </c>
      <c r="V309" s="15">
        <f>IFERROR(ROUND(DATA[[#This Row],[SUB TOTAL]]+DATA[[#This Row],[IGV]],2),0)</f>
        <v>402.07</v>
      </c>
      <c r="W309" s="16" t="str">
        <f>IF(DATA[[#This Row],[VALORIZACIÓN ]]="-","NO CORRESPONDE",IF(OR(A309=20558226979,A309=10470707866,A309=20111157058,A309=20100226902),"NO CORRESPONDE",IF(J309="Emitida",IF(P309&gt;0,"EMITIDA","PENDIENTE"),"NO CORRESPONDE")))</f>
        <v>EMITIDA</v>
      </c>
      <c r="X309" s="29" t="s">
        <v>212</v>
      </c>
      <c r="Y309" s="17" t="s">
        <v>118</v>
      </c>
      <c r="Z309" s="30">
        <v>45743</v>
      </c>
      <c r="AA309" s="10" t="s">
        <v>150</v>
      </c>
      <c r="AB309" s="19">
        <v>1</v>
      </c>
      <c r="AC309" s="20">
        <v>30</v>
      </c>
      <c r="AD309" s="18">
        <f>DATA[[#This Row],[FECHA DE EMISION]]+DATA[[#This Row],[CONDICION DE PAGO]]</f>
        <v>45773</v>
      </c>
      <c r="AE309" s="23" t="e">
        <f>IF(DATA[[#This Row],[MONEDA]]="USD",VLOOKUP(DATA[[#This Row],[COMBINADA]],#REF!,11,0),1)</f>
        <v>#REF!</v>
      </c>
      <c r="AF309" s="39" t="str">
        <f>IF(DATA[[#This Row],[SERIE2]]="-","NO CORRESPONDE",IF(W309="NO CORRESPONDE","NO CORRESPONDE",IF(Z309&gt;0,"FACTURADO","PENDIENTE")))</f>
        <v>FACTURADO</v>
      </c>
      <c r="AG309" s="27">
        <f>IFERROR(VLOOKUP(DATA[[#This Row],[COMBINADA]],#REF!,6,0),0)</f>
        <v>0</v>
      </c>
      <c r="AH309" s="125">
        <f>IFERROR(VLOOKUP(DATA[[#This Row],[COMBINADA]],#REF!,9,0),0)/COUNTIFS(DATA[COMBINADA],DATA[[#This Row],[COMBINADA]])</f>
        <v>0</v>
      </c>
      <c r="AI309" s="27">
        <f>IFERROR(VLOOKUP(DATA[[#This Row],[COMBINADA]],#REF!,6,0),0)</f>
        <v>0</v>
      </c>
      <c r="AJ309" s="125">
        <f>IFERROR(VLOOKUP(DATA[[#This Row],[COMBINADA]],#REF!,9,0),0)/COUNTIFS(DATA[COMBINADA],DATA[[#This Row],[COMBINADA]])</f>
        <v>0</v>
      </c>
      <c r="AK309" s="27">
        <f>IFERROR(VLOOKUP(DATA[[#This Row],[COMBINADA]],#REF!,6,0),0)</f>
        <v>0</v>
      </c>
      <c r="AL309" s="125">
        <f>IFERROR(VLOOKUP(DATA[[#This Row],[COMBINADA]],#REF!,9,0),0)/COUNTIFS(DATA[COMBINADA],DATA[[#This Row],[COMBINADA]])</f>
        <v>0</v>
      </c>
      <c r="AM309" s="27">
        <f>IFERROR(VLOOKUP(DATA[[#This Row],[COMBINADA]],#REF!,6,0),0)</f>
        <v>0</v>
      </c>
      <c r="AN309" s="125">
        <f>IFERROR(VLOOKUP(DATA[[#This Row],[COMBINADA]],#REF!,9,0),0)/COUNTIFS(DATA[COMBINADA],DATA[[#This Row],[COMBINADA]])</f>
        <v>0</v>
      </c>
      <c r="AO309" s="27">
        <f>IFERROR(VLOOKUP(DATA[[#This Row],[COMBINADA]],#REF!,6,0),0)</f>
        <v>0</v>
      </c>
      <c r="AP309" s="125">
        <f>IFERROR(VLOOKUP(DATA[[#This Row],[COMBINADA]],#REF!,9,0),0)/COUNTIFS(DATA[COMBINADA],DATA[[#This Row],[COMBINADA]])</f>
        <v>0</v>
      </c>
      <c r="AQ30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604.21249999999986</v>
      </c>
      <c r="AR309" s="26" t="str">
        <f>IFERROR(IF(DATA[[#This Row],[estado_fact]]="FACTURADO",VLOOKUP(DATA[[#This Row],[SERIE2]]&amp;"-"&amp;DATA[[#This Row],[NUMERO]],#REF!,34,0),"NO CORRESPONDE"),"NO CORRESPONDE")</f>
        <v>NO CORRESPONDE</v>
      </c>
      <c r="AS309" s="22" t="str">
        <f>IF(DATA[[#This Row],[fecha_fs]]&gt;0,TEXT(DATA[[#This Row],[fecha_fs]],"Mmmm"),0)</f>
        <v>Marzo</v>
      </c>
      <c r="AT309" s="22" t="str">
        <f>DATA[[#This Row],[SERIE2]]&amp;"-"&amp;DATA[[#This Row],[NUMERO]]</f>
        <v>FF01-1</v>
      </c>
      <c r="AU309" s="28" t="e">
        <f>DATA[[#This Row],[TOTAL]]*DATA[[#This Row],[T.C.]]</f>
        <v>#REF!</v>
      </c>
      <c r="AV309" s="6">
        <f>DATA[[#This Row],[FECHA DE VAL.]]</f>
        <v>45742</v>
      </c>
      <c r="AW309" s="6">
        <f>DATA[[#This Row],[FECHA DE EMISION]]</f>
        <v>45743</v>
      </c>
      <c r="AX309" s="6">
        <f>DATA[[#This Row],[F1]]</f>
        <v>0</v>
      </c>
      <c r="AY309" s="20">
        <f>IF(AV309-DATA[[#This Row],[fecha_fs]]&lt;0,0,AV309-DATA[[#This Row],[fecha_fs]])</f>
        <v>23</v>
      </c>
      <c r="AZ309" s="20">
        <f t="shared" si="28"/>
        <v>1</v>
      </c>
      <c r="BA309" s="20">
        <f t="shared" si="29"/>
        <v>0</v>
      </c>
      <c r="BB309" s="195">
        <f>IFERROR(SUM(DATA[[#This Row],[fs_val_ttf]:[fact_pago_ttf]]),0)</f>
        <v>24</v>
      </c>
      <c r="BC309" s="185">
        <v>45730</v>
      </c>
      <c r="BD309" s="185">
        <v>45743</v>
      </c>
      <c r="BE309" s="185">
        <v>45784</v>
      </c>
      <c r="BF309" s="185">
        <v>45798</v>
      </c>
      <c r="BG309" s="20">
        <f>IFERROR(IF(BC309-DATA[[#This Row],[fecha_fs]]&lt;0,0,BC309-DATA[[#This Row],[fecha_fs]]),0)</f>
        <v>11</v>
      </c>
      <c r="BH309" s="20">
        <f t="shared" si="33"/>
        <v>13</v>
      </c>
      <c r="BI309" s="20">
        <f t="shared" si="34"/>
        <v>41</v>
      </c>
      <c r="BJ309" s="20">
        <f t="shared" si="35"/>
        <v>14</v>
      </c>
      <c r="BK309" s="218">
        <f>IFERROR(SUM(DATA[[#This Row],[fs_fd_ttd]:[fend_fenf_ttd]]),0)</f>
        <v>79</v>
      </c>
      <c r="BL309" s="20" t="str">
        <f>IF(DATA[[#This Row],[fecha_fs]]&gt;0,TEXT(DATA[[#This Row],[fecha_fs]],"YYYY"),0)</f>
        <v>2025</v>
      </c>
      <c r="BM309" s="221" t="b">
        <v>1</v>
      </c>
      <c r="BN309" s="278">
        <f>COUNTIF(DATA[[#This Row],[tiempo_td]], "&lt;=15")</f>
        <v>0</v>
      </c>
      <c r="BO309" s="222"/>
    </row>
    <row r="310" spans="1:67" ht="30" customHeight="1" x14ac:dyDescent="0.25">
      <c r="A310" s="4"/>
      <c r="B310" s="5" t="s">
        <v>0</v>
      </c>
      <c r="C310" s="52"/>
      <c r="D310" s="4"/>
      <c r="E310" s="5" t="s">
        <v>0</v>
      </c>
      <c r="F310" s="24">
        <v>45719</v>
      </c>
      <c r="G310" s="7" t="s">
        <v>113</v>
      </c>
      <c r="H310" s="25">
        <f t="shared" si="27"/>
        <v>1</v>
      </c>
      <c r="I310" s="67">
        <v>4193</v>
      </c>
      <c r="J310" s="8" t="s">
        <v>151</v>
      </c>
      <c r="K310" s="9"/>
      <c r="L310" s="10"/>
      <c r="M310" s="111"/>
      <c r="N310" s="112"/>
      <c r="O310" s="6"/>
      <c r="P310" s="13" t="s">
        <v>114</v>
      </c>
      <c r="Q310" s="14"/>
      <c r="R310" s="15"/>
      <c r="S310" s="15"/>
      <c r="T310" s="43">
        <f>DATA[[#This Row],[C. DF]]+DATA[[#This Row],[C.OPE.]]</f>
        <v>0</v>
      </c>
      <c r="U310" s="73">
        <f>DATA[[#This Row],[SUB TOTAL]]*0.18</f>
        <v>0</v>
      </c>
      <c r="V310" s="45">
        <f>IFERROR(ROUND(DATA[[#This Row],[SUB TOTAL]]+DATA[[#This Row],[IGV]],2),0)</f>
        <v>0</v>
      </c>
      <c r="W310" s="58" t="str">
        <f>IF(DATA[[#This Row],[VALORIZACIÓN ]]="-","NO CORRESPONDE",IF(OR(A310=20558226979,A310=10470707866,A310=20111157058,A310=20100226902),"NO CORRESPONDE",IF(J310="Emitida",IF(P310&gt;0,"EMITIDA","PENDIENTE"),"NO CORRESPONDE")))</f>
        <v>NO CORRESPONDE</v>
      </c>
      <c r="X310" s="46"/>
      <c r="Y310" s="17" t="s">
        <v>128</v>
      </c>
      <c r="Z310" s="48"/>
      <c r="AA310" s="49"/>
      <c r="AB310" s="50"/>
      <c r="AC310" s="51"/>
      <c r="AD310" s="59">
        <f>DATA[[#This Row],[FECHA DE EMISION]]+DATA[[#This Row],[CONDICION DE PAGO]]</f>
        <v>0</v>
      </c>
      <c r="AE310" s="23">
        <f>IF(DATA[[#This Row],[MONEDA]]="USD",VLOOKUP(DATA[[#This Row],[COMBINADA]],#REF!,11,0),1)</f>
        <v>1</v>
      </c>
      <c r="AF310" s="39" t="str">
        <f>IF(DATA[[#This Row],[SERIE2]]="-","NO CORRESPONDE",IF(W310="NO CORRESPONDE","NO CORRESPONDE",IF(Z310&gt;0,"FACTURADO","PENDIENTE")))</f>
        <v>NO CORRESPONDE</v>
      </c>
      <c r="AG310" s="61">
        <f>IFERROR(VLOOKUP(DATA[[#This Row],[COMBINADA]],#REF!,6,0),0)</f>
        <v>0</v>
      </c>
      <c r="AH310" s="62">
        <f>IFERROR(VLOOKUP(DATA[[#This Row],[COMBINADA]],#REF!,9,0),0)/COUNTIFS(DATA[COMBINADA],DATA[[#This Row],[COMBINADA]])</f>
        <v>0</v>
      </c>
      <c r="AI310" s="61">
        <f>IFERROR(VLOOKUP(DATA[[#This Row],[COMBINADA]],#REF!,6,0),0)</f>
        <v>0</v>
      </c>
      <c r="AJ310" s="62">
        <f>IFERROR(VLOOKUP(DATA[[#This Row],[COMBINADA]],#REF!,9,0),0)/COUNTIFS(DATA[COMBINADA],DATA[[#This Row],[COMBINADA]])</f>
        <v>0</v>
      </c>
      <c r="AK310" s="61">
        <f>IFERROR(VLOOKUP(DATA[[#This Row],[COMBINADA]],#REF!,6,0),0)</f>
        <v>0</v>
      </c>
      <c r="AL310" s="62">
        <f>IFERROR(VLOOKUP(DATA[[#This Row],[COMBINADA]],#REF!,9,0),0)/COUNTIFS(DATA[COMBINADA],DATA[[#This Row],[COMBINADA]])</f>
        <v>0</v>
      </c>
      <c r="AM310" s="61">
        <f>IFERROR(VLOOKUP(DATA[[#This Row],[COMBINADA]],#REF!,6,0),0)</f>
        <v>0</v>
      </c>
      <c r="AN310" s="62">
        <f>IFERROR(VLOOKUP(DATA[[#This Row],[COMBINADA]],#REF!,9,0),0)/COUNTIFS(DATA[COMBINADA],DATA[[#This Row],[COMBINADA]])</f>
        <v>0</v>
      </c>
      <c r="AO310" s="61">
        <f>IFERROR(VLOOKUP(DATA[[#This Row],[COMBINADA]],#REF!,6,0),0)</f>
        <v>0</v>
      </c>
      <c r="AP310" s="62">
        <f>IFERROR(VLOOKUP(DATA[[#This Row],[COMBINADA]],#REF!,9,0),0)/COUNTIFS(DATA[COMBINADA],DATA[[#This Row],[COMBINADA]])</f>
        <v>0</v>
      </c>
      <c r="AQ310"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310" s="22" t="str">
        <f>IFERROR(IF(DATA[[#This Row],[estado_fact]]="FACTURADO",VLOOKUP(DATA[[#This Row],[SERIE2]]&amp;"-"&amp;DATA[[#This Row],[NUMERO]],#REF!,34,0),"NO CORRESPONDE"),"NO CORRESPONDE")</f>
        <v>NO CORRESPONDE</v>
      </c>
      <c r="AS310" s="198" t="str">
        <f>IF(DATA[[#This Row],[fecha_fs]]&gt;0,TEXT(DATA[[#This Row],[fecha_fs]],"Mmmm"),0)</f>
        <v>Marzo</v>
      </c>
      <c r="AT310" s="199" t="str">
        <f>DATA[[#This Row],[SERIE2]]&amp;"-"&amp;DATA[[#This Row],[NUMERO]]</f>
        <v>-</v>
      </c>
      <c r="AU310" s="198">
        <f>DATA[[#This Row],[TOTAL]]*DATA[[#This Row],[T.C.]]</f>
        <v>0</v>
      </c>
      <c r="AV310" s="40">
        <f>DATA[[#This Row],[FECHA DE VAL.]]</f>
        <v>0</v>
      </c>
      <c r="AW310" s="40">
        <f>DATA[[#This Row],[FECHA DE EMISION]]</f>
        <v>0</v>
      </c>
      <c r="AX310" s="40">
        <f>DATA[[#This Row],[F1]]</f>
        <v>0</v>
      </c>
      <c r="AY310" s="49">
        <f>IF(AV310-DATA[[#This Row],[fecha_fs]]&lt;0,0,AV310-DATA[[#This Row],[fecha_fs]])</f>
        <v>0</v>
      </c>
      <c r="AZ310" s="49">
        <f t="shared" si="28"/>
        <v>0</v>
      </c>
      <c r="BA310" s="49">
        <f t="shared" si="29"/>
        <v>0</v>
      </c>
      <c r="BB310" s="195">
        <f>IFERROR(SUM(DATA[[#This Row],[fs_val_ttf]:[fact_pago_ttf]]),0)</f>
        <v>0</v>
      </c>
      <c r="BC310" s="200"/>
      <c r="BD310" s="200"/>
      <c r="BE310" s="200"/>
      <c r="BF310" s="200"/>
      <c r="BG310" s="49">
        <f>IFERROR(IF(BC310-DATA[[#This Row],[fecha_fs]]&lt;0,0,BC310-DATA[[#This Row],[fecha_fs]]),0)</f>
        <v>0</v>
      </c>
      <c r="BH310" s="49">
        <f t="shared" si="33"/>
        <v>0</v>
      </c>
      <c r="BI310" s="49">
        <f t="shared" si="34"/>
        <v>0</v>
      </c>
      <c r="BJ310" s="49">
        <f t="shared" si="35"/>
        <v>0</v>
      </c>
      <c r="BK310" s="218">
        <f>IFERROR(SUM(DATA[[#This Row],[fs_fd_ttd]:[fend_fenf_ttd]]),0)</f>
        <v>0</v>
      </c>
      <c r="BL310" s="20" t="str">
        <f>IF(DATA[[#This Row],[fecha_fs]]&gt;0,TEXT(DATA[[#This Row],[fecha_fs]],"YYYY"),0)</f>
        <v>2025</v>
      </c>
      <c r="BM310" s="221" t="b">
        <v>0</v>
      </c>
      <c r="BN310" s="278"/>
      <c r="BO310" s="222"/>
    </row>
    <row r="311" spans="1:67" ht="30.6" customHeight="1" x14ac:dyDescent="0.25">
      <c r="A311" s="4">
        <v>20455825742</v>
      </c>
      <c r="B311" s="5" t="s">
        <v>56</v>
      </c>
      <c r="C311" s="52" t="s">
        <v>18</v>
      </c>
      <c r="D311" s="4" t="s">
        <v>152</v>
      </c>
      <c r="E311" s="5" t="s">
        <v>10</v>
      </c>
      <c r="F311" s="24">
        <v>45719</v>
      </c>
      <c r="G311" s="7" t="s">
        <v>113</v>
      </c>
      <c r="H311" s="25">
        <f t="shared" si="27"/>
        <v>1</v>
      </c>
      <c r="I311" s="67">
        <v>4194</v>
      </c>
      <c r="J311" s="8" t="s">
        <v>115</v>
      </c>
      <c r="K311" s="9" t="s">
        <v>153</v>
      </c>
      <c r="L311" s="10" t="s">
        <v>117</v>
      </c>
      <c r="M311" s="11">
        <v>200</v>
      </c>
      <c r="N311" s="12" t="s">
        <v>167</v>
      </c>
      <c r="O311" s="6">
        <v>45721</v>
      </c>
      <c r="P311" s="13">
        <v>3334</v>
      </c>
      <c r="Q311" s="14" t="s">
        <v>85</v>
      </c>
      <c r="R311" s="15"/>
      <c r="S311" s="15">
        <v>390</v>
      </c>
      <c r="T311" s="15">
        <f>DATA[[#This Row],[C. DF]]+DATA[[#This Row],[C.OPE.]]</f>
        <v>390</v>
      </c>
      <c r="U311" s="15">
        <f>DATA[[#This Row],[SUB TOTAL]]*0.18</f>
        <v>70.2</v>
      </c>
      <c r="V311" s="15">
        <f>IFERROR(ROUND(DATA[[#This Row],[SUB TOTAL]]+DATA[[#This Row],[IGV]],2),0)</f>
        <v>460.2</v>
      </c>
      <c r="W311" s="16" t="str">
        <f>IF(DATA[[#This Row],[VALORIZACIÓN ]]="-","NO CORRESPONDE",IF(OR(A311=20558226979,A311=10470707866,A311=20111157058,A311=20100226902),"NO CORRESPONDE",IF(J311="Emitida",IF(P311&gt;0,"EMITIDA","PENDIENTE"),"NO CORRESPONDE")))</f>
        <v>EMITIDA</v>
      </c>
      <c r="X311" s="29"/>
      <c r="Y311" s="17" t="s">
        <v>118</v>
      </c>
      <c r="Z311" s="30">
        <v>45751</v>
      </c>
      <c r="AA311" s="10" t="s">
        <v>150</v>
      </c>
      <c r="AB311" s="19">
        <v>18</v>
      </c>
      <c r="AC311" s="20">
        <v>30</v>
      </c>
      <c r="AD311" s="18">
        <f>DATA[[#This Row],[FECHA DE EMISION]]+DATA[[#This Row],[CONDICION DE PAGO]]</f>
        <v>45781</v>
      </c>
      <c r="AE311" s="23">
        <f>IF(DATA[[#This Row],[MONEDA]]="USD",VLOOKUP(DATA[[#This Row],[COMBINADA]],#REF!,11,0),1)</f>
        <v>1</v>
      </c>
      <c r="AF311" s="39" t="str">
        <f>IF(DATA[[#This Row],[SERIE2]]="-","NO CORRESPONDE",IF(W311="NO CORRESPONDE","NO CORRESPONDE",IF(Z311&gt;0,"FACTURADO","PENDIENTE")))</f>
        <v>FACTURADO</v>
      </c>
      <c r="AG311" s="27">
        <f>IFERROR(VLOOKUP(DATA[[#This Row],[COMBINADA]],#REF!,6,0),0)</f>
        <v>0</v>
      </c>
      <c r="AH311" s="125">
        <f>IFERROR(VLOOKUP(DATA[[#This Row],[COMBINADA]],#REF!,9,0),0)/COUNTIFS(DATA[COMBINADA],DATA[[#This Row],[COMBINADA]])</f>
        <v>0</v>
      </c>
      <c r="AI311" s="27">
        <f>IFERROR(VLOOKUP(DATA[[#This Row],[COMBINADA]],#REF!,6,0),0)</f>
        <v>0</v>
      </c>
      <c r="AJ311" s="125">
        <f>IFERROR(VLOOKUP(DATA[[#This Row],[COMBINADA]],#REF!,9,0),0)/COUNTIFS(DATA[COMBINADA],DATA[[#This Row],[COMBINADA]])</f>
        <v>0</v>
      </c>
      <c r="AK311" s="27">
        <f>IFERROR(VLOOKUP(DATA[[#This Row],[COMBINADA]],#REF!,6,0),0)</f>
        <v>0</v>
      </c>
      <c r="AL311" s="125">
        <f>IFERROR(VLOOKUP(DATA[[#This Row],[COMBINADA]],#REF!,9,0),0)/COUNTIFS(DATA[COMBINADA],DATA[[#This Row],[COMBINADA]])</f>
        <v>0</v>
      </c>
      <c r="AM311" s="27">
        <f>IFERROR(VLOOKUP(DATA[[#This Row],[COMBINADA]],#REF!,6,0),0)</f>
        <v>0</v>
      </c>
      <c r="AN311" s="125">
        <f>IFERROR(VLOOKUP(DATA[[#This Row],[COMBINADA]],#REF!,9,0),0)/COUNTIFS(DATA[COMBINADA],DATA[[#This Row],[COMBINADA]])</f>
        <v>0</v>
      </c>
      <c r="AO311" s="27">
        <f>IFERROR(VLOOKUP(DATA[[#This Row],[COMBINADA]],#REF!,6,0),0)</f>
        <v>0</v>
      </c>
      <c r="AP311" s="125">
        <f>IFERROR(VLOOKUP(DATA[[#This Row],[COMBINADA]],#REF!,9,0),0)/COUNTIFS(DATA[COMBINADA],DATA[[#This Row],[COMBINADA]])</f>
        <v>0</v>
      </c>
      <c r="AQ31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1569.635</v>
      </c>
      <c r="AR311" s="26" t="str">
        <f>IFERROR(IF(DATA[[#This Row],[estado_fact]]="FACTURADO",VLOOKUP(DATA[[#This Row],[SERIE2]]&amp;"-"&amp;DATA[[#This Row],[NUMERO]],#REF!,34,0),"NO CORRESPONDE"),"NO CORRESPONDE")</f>
        <v>NO CORRESPONDE</v>
      </c>
      <c r="AS311" s="22" t="str">
        <f>IF(DATA[[#This Row],[fecha_fs]]&gt;0,TEXT(DATA[[#This Row],[fecha_fs]],"Mmmm"),0)</f>
        <v>Marzo</v>
      </c>
      <c r="AT311" s="22" t="str">
        <f>DATA[[#This Row],[SERIE2]]&amp;"-"&amp;DATA[[#This Row],[NUMERO]]</f>
        <v>FF01-18</v>
      </c>
      <c r="AU311" s="28">
        <f>DATA[[#This Row],[TOTAL]]*DATA[[#This Row],[T.C.]]</f>
        <v>460.2</v>
      </c>
      <c r="AV311" s="6">
        <f>DATA[[#This Row],[FECHA DE VAL.]]</f>
        <v>45721</v>
      </c>
      <c r="AW311" s="6">
        <f>DATA[[#This Row],[FECHA DE EMISION]]</f>
        <v>45751</v>
      </c>
      <c r="AX311" s="6">
        <f>DATA[[#This Row],[F1]]</f>
        <v>0</v>
      </c>
      <c r="AY311" s="20">
        <f>IF(AV311-DATA[[#This Row],[fecha_fs]]&lt;0,0,AV311-DATA[[#This Row],[fecha_fs]])</f>
        <v>2</v>
      </c>
      <c r="AZ311" s="20">
        <f t="shared" si="28"/>
        <v>30</v>
      </c>
      <c r="BA311" s="20">
        <f t="shared" si="29"/>
        <v>0</v>
      </c>
      <c r="BB311" s="195">
        <f>IFERROR(SUM(DATA[[#This Row],[fs_val_ttf]:[fact_pago_ttf]]),0)</f>
        <v>32</v>
      </c>
      <c r="BC311" s="185">
        <v>45730</v>
      </c>
      <c r="BD311" s="185">
        <v>45733</v>
      </c>
      <c r="BE311" s="185">
        <v>45749</v>
      </c>
      <c r="BF311" s="185">
        <v>45749</v>
      </c>
      <c r="BG311" s="20">
        <f>IFERROR(IF(BC311-DATA[[#This Row],[fecha_fs]]&lt;0,0,BC311-DATA[[#This Row],[fecha_fs]]),0)</f>
        <v>11</v>
      </c>
      <c r="BH311" s="20">
        <f t="shared" si="33"/>
        <v>3</v>
      </c>
      <c r="BI311" s="20">
        <f t="shared" si="34"/>
        <v>16</v>
      </c>
      <c r="BJ311" s="20">
        <f t="shared" si="35"/>
        <v>0</v>
      </c>
      <c r="BK311" s="218">
        <f>IFERROR(SUM(DATA[[#This Row],[fs_fd_ttd]:[fend_fenf_ttd]]),0)</f>
        <v>30</v>
      </c>
      <c r="BL311" s="20" t="str">
        <f>IF(DATA[[#This Row],[fecha_fs]]&gt;0,TEXT(DATA[[#This Row],[fecha_fs]],"YYYY"),0)</f>
        <v>2025</v>
      </c>
      <c r="BM311" s="221" t="b">
        <v>1</v>
      </c>
      <c r="BN311" s="278">
        <f>COUNTIF(DATA[[#This Row],[tiempo_td]], "&lt;=15")</f>
        <v>0</v>
      </c>
      <c r="BO311" s="222"/>
    </row>
    <row r="312" spans="1:67" ht="30.6" customHeight="1" x14ac:dyDescent="0.25">
      <c r="A312" s="4">
        <v>20100055237</v>
      </c>
      <c r="B312" s="5" t="s">
        <v>21</v>
      </c>
      <c r="C312" s="52" t="s">
        <v>138</v>
      </c>
      <c r="D312" s="4" t="s">
        <v>139</v>
      </c>
      <c r="E312" s="5" t="s">
        <v>23</v>
      </c>
      <c r="F312" s="24">
        <v>45720</v>
      </c>
      <c r="G312" s="7" t="s">
        <v>113</v>
      </c>
      <c r="H312" s="25">
        <f t="shared" si="27"/>
        <v>1</v>
      </c>
      <c r="I312" s="67">
        <v>4195</v>
      </c>
      <c r="J312" s="8" t="s">
        <v>115</v>
      </c>
      <c r="K312" s="9" t="s">
        <v>121</v>
      </c>
      <c r="L312" s="10" t="s">
        <v>117</v>
      </c>
      <c r="M312" s="11">
        <v>100</v>
      </c>
      <c r="N312" s="12" t="s">
        <v>125</v>
      </c>
      <c r="O312" s="6">
        <v>45743</v>
      </c>
      <c r="P312" s="54">
        <v>3365</v>
      </c>
      <c r="Q312" s="14" t="s">
        <v>85</v>
      </c>
      <c r="R312" s="15"/>
      <c r="S312" s="15">
        <v>297.92</v>
      </c>
      <c r="T312" s="15">
        <f>DATA[[#This Row],[C. DF]]+DATA[[#This Row],[C.OPE.]]</f>
        <v>297.92</v>
      </c>
      <c r="U312" s="15">
        <f>DATA[[#This Row],[SUB TOTAL]]*0.18</f>
        <v>53.625599999999999</v>
      </c>
      <c r="V312" s="15">
        <f>IFERROR(ROUND(DATA[[#This Row],[SUB TOTAL]]+DATA[[#This Row],[IGV]],2),0)</f>
        <v>351.55</v>
      </c>
      <c r="W312" s="16" t="str">
        <f>IF(DATA[[#This Row],[VALORIZACIÓN ]]="-","NO CORRESPONDE",IF(OR(A312=20558226979,A312=10470707866,A312=20111157058,A312=20100226902),"NO CORRESPONDE",IF(J312="Emitida",IF(P312&gt;0,"EMITIDA","PENDIENTE"),"NO CORRESPONDE")))</f>
        <v>EMITIDA</v>
      </c>
      <c r="X312" s="29"/>
      <c r="Y312" s="17" t="s">
        <v>118</v>
      </c>
      <c r="Z312" s="30">
        <v>45785</v>
      </c>
      <c r="AA312" s="10" t="s">
        <v>150</v>
      </c>
      <c r="AB312" s="19">
        <v>72</v>
      </c>
      <c r="AC312" s="20">
        <v>30</v>
      </c>
      <c r="AD312" s="18">
        <f>DATA[[#This Row],[FECHA DE EMISION]]+DATA[[#This Row],[CONDICION DE PAGO]]</f>
        <v>45815</v>
      </c>
      <c r="AE312" s="23">
        <f>IF(DATA[[#This Row],[MONEDA]]="USD",VLOOKUP(DATA[[#This Row],[COMBINADA]],#REF!,11,0),1)</f>
        <v>1</v>
      </c>
      <c r="AF312" s="39" t="str">
        <f>IF(DATA[[#This Row],[SERIE2]]="-","NO CORRESPONDE",IF(W312="NO CORRESPONDE","NO CORRESPONDE",IF(Z312&gt;0,"FACTURADO","PENDIENTE")))</f>
        <v>FACTURADO</v>
      </c>
      <c r="AG312" s="27">
        <f>IFERROR(VLOOKUP(DATA[[#This Row],[COMBINADA]],#REF!,6,0),0)</f>
        <v>0</v>
      </c>
      <c r="AH312" s="125">
        <f>IFERROR(VLOOKUP(DATA[[#This Row],[COMBINADA]],#REF!,9,0),0)/COUNTIFS(DATA[COMBINADA],DATA[[#This Row],[COMBINADA]])</f>
        <v>0</v>
      </c>
      <c r="AI312" s="27">
        <f>IFERROR(VLOOKUP(DATA[[#This Row],[COMBINADA]],#REF!,6,0),0)</f>
        <v>0</v>
      </c>
      <c r="AJ312" s="125">
        <f>IFERROR(VLOOKUP(DATA[[#This Row],[COMBINADA]],#REF!,9,0),0)/COUNTIFS(DATA[COMBINADA],DATA[[#This Row],[COMBINADA]])</f>
        <v>0</v>
      </c>
      <c r="AK312" s="27">
        <f>IFERROR(VLOOKUP(DATA[[#This Row],[COMBINADA]],#REF!,6,0),0)</f>
        <v>0</v>
      </c>
      <c r="AL312" s="125">
        <f>IFERROR(VLOOKUP(DATA[[#This Row],[COMBINADA]],#REF!,9,0),0)/COUNTIFS(DATA[COMBINADA],DATA[[#This Row],[COMBINADA]])</f>
        <v>0</v>
      </c>
      <c r="AM312" s="27">
        <f>IFERROR(VLOOKUP(DATA[[#This Row],[COMBINADA]],#REF!,6,0),0)</f>
        <v>0</v>
      </c>
      <c r="AN312" s="125">
        <f>IFERROR(VLOOKUP(DATA[[#This Row],[COMBINADA]],#REF!,9,0),0)/COUNTIFS(DATA[COMBINADA],DATA[[#This Row],[COMBINADA]])</f>
        <v>0</v>
      </c>
      <c r="AO312" s="27">
        <f>IFERROR(VLOOKUP(DATA[[#This Row],[COMBINADA]],#REF!,6,0),0)</f>
        <v>0</v>
      </c>
      <c r="AP312" s="125">
        <f>IFERROR(VLOOKUP(DATA[[#This Row],[COMBINADA]],#REF!,9,0),0)/COUNTIFS(DATA[COMBINADA],DATA[[#This Row],[COMBINADA]])</f>
        <v>0</v>
      </c>
      <c r="AQ31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312" s="26" t="str">
        <f>IFERROR(IF(DATA[[#This Row],[estado_fact]]="FACTURADO",VLOOKUP(DATA[[#This Row],[SERIE2]]&amp;"-"&amp;DATA[[#This Row],[NUMERO]],#REF!,34,0),"NO CORRESPONDE"),"NO CORRESPONDE")</f>
        <v>NO CORRESPONDE</v>
      </c>
      <c r="AS312" s="22" t="str">
        <f>IF(DATA[[#This Row],[fecha_fs]]&gt;0,TEXT(DATA[[#This Row],[fecha_fs]],"Mmmm"),0)</f>
        <v>Marzo</v>
      </c>
      <c r="AT312" s="22" t="str">
        <f>DATA[[#This Row],[SERIE2]]&amp;"-"&amp;DATA[[#This Row],[NUMERO]]</f>
        <v>FF01-72</v>
      </c>
      <c r="AU312" s="28">
        <f>DATA[[#This Row],[TOTAL]]*DATA[[#This Row],[T.C.]]</f>
        <v>351.55</v>
      </c>
      <c r="AV312" s="6">
        <f>DATA[[#This Row],[FECHA DE VAL.]]</f>
        <v>45743</v>
      </c>
      <c r="AW312" s="6">
        <f>DATA[[#This Row],[FECHA DE EMISION]]</f>
        <v>45785</v>
      </c>
      <c r="AX312" s="6">
        <f>DATA[[#This Row],[F1]]</f>
        <v>0</v>
      </c>
      <c r="AY312" s="20">
        <f>IF(AV312-DATA[[#This Row],[fecha_fs]]&lt;0,0,AV312-DATA[[#This Row],[fecha_fs]])</f>
        <v>23</v>
      </c>
      <c r="AZ312" s="20">
        <f t="shared" si="28"/>
        <v>42</v>
      </c>
      <c r="BA312" s="20">
        <f t="shared" si="29"/>
        <v>0</v>
      </c>
      <c r="BB312" s="195">
        <f>IFERROR(SUM(DATA[[#This Row],[fs_val_ttf]:[fact_pago_ttf]]),0)</f>
        <v>65</v>
      </c>
      <c r="BC312" s="185">
        <v>45720</v>
      </c>
      <c r="BD312" s="185">
        <v>45720</v>
      </c>
      <c r="BE312" s="185">
        <v>45743</v>
      </c>
      <c r="BF312" s="185">
        <v>45743</v>
      </c>
      <c r="BG312" s="20">
        <f>IFERROR(IF(BC312-DATA[[#This Row],[fecha_fs]]&lt;0,0,BC312-DATA[[#This Row],[fecha_fs]]),0)</f>
        <v>0</v>
      </c>
      <c r="BH312" s="20">
        <f t="shared" si="33"/>
        <v>0</v>
      </c>
      <c r="BI312" s="20">
        <f t="shared" si="34"/>
        <v>23</v>
      </c>
      <c r="BJ312" s="20">
        <f t="shared" si="35"/>
        <v>0</v>
      </c>
      <c r="BK312" s="218">
        <f>IFERROR(SUM(DATA[[#This Row],[fs_fd_ttd]:[fend_fenf_ttd]]),0)</f>
        <v>23</v>
      </c>
      <c r="BL312" s="20" t="str">
        <f>IF(DATA[[#This Row],[fecha_fs]]&gt;0,TEXT(DATA[[#This Row],[fecha_fs]],"YYYY"),0)</f>
        <v>2025</v>
      </c>
      <c r="BM312" s="221" t="b">
        <v>1</v>
      </c>
      <c r="BN312" s="278">
        <f>COUNTIF(DATA[[#This Row],[tiempo_td]], "&lt;=15")</f>
        <v>0</v>
      </c>
      <c r="BO312" s="222"/>
    </row>
    <row r="313" spans="1:67" ht="30.6" customHeight="1" x14ac:dyDescent="0.25">
      <c r="A313" s="4">
        <v>20553956324</v>
      </c>
      <c r="B313" s="5" t="s">
        <v>281</v>
      </c>
      <c r="C313" s="52" t="s">
        <v>175</v>
      </c>
      <c r="D313" s="4" t="s">
        <v>120</v>
      </c>
      <c r="E313" s="5" t="s">
        <v>3</v>
      </c>
      <c r="F313" s="24">
        <v>45720</v>
      </c>
      <c r="G313" s="7" t="s">
        <v>113</v>
      </c>
      <c r="H313" s="25">
        <f t="shared" si="27"/>
        <v>1</v>
      </c>
      <c r="I313" s="67">
        <v>4196</v>
      </c>
      <c r="J313" s="8" t="s">
        <v>115</v>
      </c>
      <c r="K313" s="9" t="s">
        <v>121</v>
      </c>
      <c r="L313" s="10" t="s">
        <v>117</v>
      </c>
      <c r="M313" s="11">
        <v>103</v>
      </c>
      <c r="N313" s="12" t="s">
        <v>125</v>
      </c>
      <c r="O313" s="6">
        <v>45747</v>
      </c>
      <c r="P313" s="109">
        <v>3370</v>
      </c>
      <c r="Q313" s="14" t="s">
        <v>85</v>
      </c>
      <c r="R313" s="15">
        <f>DATA[[#This Row],[cantidad_fs]]*0.08</f>
        <v>8.24</v>
      </c>
      <c r="S313" s="15">
        <v>395.1</v>
      </c>
      <c r="T313" s="15">
        <f>DATA[[#This Row],[C. DF]]+DATA[[#This Row],[C.OPE.]]</f>
        <v>403.34000000000003</v>
      </c>
      <c r="U313" s="15">
        <f>DATA[[#This Row],[SUB TOTAL]]*0.18</f>
        <v>72.601200000000006</v>
      </c>
      <c r="V313" s="15">
        <f>IFERROR(ROUND(DATA[[#This Row],[SUB TOTAL]]+DATA[[#This Row],[IGV]],2),0)</f>
        <v>475.94</v>
      </c>
      <c r="W313" s="16" t="str">
        <f>IF(DATA[[#This Row],[VALORIZACIÓN ]]="-","NO CORRESPONDE",IF(OR(A313=20558226979,A313=10470707866,A313=20111157058,A313=20100226902),"NO CORRESPONDE",IF(J313="Emitida",IF(P313&gt;0,"EMITIDA","PENDIENTE"),"NO CORRESPONDE")))</f>
        <v>EMITIDA</v>
      </c>
      <c r="X313" s="29"/>
      <c r="Y313" s="17" t="s">
        <v>118</v>
      </c>
      <c r="Z313" s="30">
        <v>45790</v>
      </c>
      <c r="AA313" s="10" t="s">
        <v>150</v>
      </c>
      <c r="AB313" s="19">
        <v>75</v>
      </c>
      <c r="AC313" s="20"/>
      <c r="AD313" s="18">
        <f>DATA[[#This Row],[FECHA DE EMISION]]+DATA[[#This Row],[CONDICION DE PAGO]]</f>
        <v>45790</v>
      </c>
      <c r="AE313" s="23">
        <f>IF(DATA[[#This Row],[MONEDA]]="USD",VLOOKUP(DATA[[#This Row],[COMBINADA]],#REF!,11,0),1)</f>
        <v>1</v>
      </c>
      <c r="AF313" s="39" t="str">
        <f>IF(DATA[[#This Row],[SERIE2]]="-","NO CORRESPONDE",IF(W313="NO CORRESPONDE","NO CORRESPONDE",IF(Z313&gt;0,"FACTURADO","PENDIENTE")))</f>
        <v>FACTURADO</v>
      </c>
      <c r="AG313" s="27">
        <f>IFERROR(VLOOKUP(DATA[[#This Row],[COMBINADA]],#REF!,6,0),0)</f>
        <v>0</v>
      </c>
      <c r="AH313" s="125">
        <f>IFERROR(VLOOKUP(DATA[[#This Row],[COMBINADA]],#REF!,9,0),0)/COUNTIFS(DATA[COMBINADA],DATA[[#This Row],[COMBINADA]])</f>
        <v>0</v>
      </c>
      <c r="AI313" s="27">
        <f>IFERROR(VLOOKUP(DATA[[#This Row],[COMBINADA]],#REF!,6,0),0)</f>
        <v>0</v>
      </c>
      <c r="AJ313" s="125">
        <f>IFERROR(VLOOKUP(DATA[[#This Row],[COMBINADA]],#REF!,9,0),0)/COUNTIFS(DATA[COMBINADA],DATA[[#This Row],[COMBINADA]])</f>
        <v>0</v>
      </c>
      <c r="AK313" s="27">
        <f>IFERROR(VLOOKUP(DATA[[#This Row],[COMBINADA]],#REF!,6,0),0)</f>
        <v>0</v>
      </c>
      <c r="AL313" s="125">
        <f>IFERROR(VLOOKUP(DATA[[#This Row],[COMBINADA]],#REF!,9,0),0)/COUNTIFS(DATA[COMBINADA],DATA[[#This Row],[COMBINADA]])</f>
        <v>0</v>
      </c>
      <c r="AM313" s="27">
        <f>IFERROR(VLOOKUP(DATA[[#This Row],[COMBINADA]],#REF!,6,0),0)</f>
        <v>0</v>
      </c>
      <c r="AN313" s="125">
        <f>IFERROR(VLOOKUP(DATA[[#This Row],[COMBINADA]],#REF!,9,0),0)/COUNTIFS(DATA[COMBINADA],DATA[[#This Row],[COMBINADA]])</f>
        <v>0</v>
      </c>
      <c r="AO313" s="27">
        <f>IFERROR(VLOOKUP(DATA[[#This Row],[COMBINADA]],#REF!,6,0),0)</f>
        <v>0</v>
      </c>
      <c r="AP313" s="125">
        <f>IFERROR(VLOOKUP(DATA[[#This Row],[COMBINADA]],#REF!,9,0),0)/COUNTIFS(DATA[COMBINADA],DATA[[#This Row],[COMBINADA]])</f>
        <v>0</v>
      </c>
      <c r="AQ31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490.09299999999996</v>
      </c>
      <c r="AR313" s="26" t="str">
        <f>IFERROR(IF(DATA[[#This Row],[estado_fact]]="FACTURADO",VLOOKUP(DATA[[#This Row],[SERIE2]]&amp;"-"&amp;DATA[[#This Row],[NUMERO]],#REF!,34,0),"NO CORRESPONDE"),"NO CORRESPONDE")</f>
        <v>NO CORRESPONDE</v>
      </c>
      <c r="AS313" s="22" t="str">
        <f>IF(DATA[[#This Row],[fecha_fs]]&gt;0,TEXT(DATA[[#This Row],[fecha_fs]],"Mmmm"),0)</f>
        <v>Marzo</v>
      </c>
      <c r="AT313" s="22" t="str">
        <f>DATA[[#This Row],[SERIE2]]&amp;"-"&amp;DATA[[#This Row],[NUMERO]]</f>
        <v>FF01-75</v>
      </c>
      <c r="AU313" s="28">
        <f>DATA[[#This Row],[TOTAL]]*DATA[[#This Row],[T.C.]]</f>
        <v>475.94</v>
      </c>
      <c r="AV313" s="6">
        <f>DATA[[#This Row],[FECHA DE VAL.]]</f>
        <v>45747</v>
      </c>
      <c r="AW313" s="6">
        <f>DATA[[#This Row],[FECHA DE EMISION]]</f>
        <v>45790</v>
      </c>
      <c r="AX313" s="6">
        <f>DATA[[#This Row],[F1]]</f>
        <v>0</v>
      </c>
      <c r="AY313" s="20">
        <f>IF(AV313-DATA[[#This Row],[fecha_fs]]&lt;0,0,AV313-DATA[[#This Row],[fecha_fs]])</f>
        <v>27</v>
      </c>
      <c r="AZ313" s="20">
        <f t="shared" si="28"/>
        <v>43</v>
      </c>
      <c r="BA313" s="20">
        <f t="shared" si="29"/>
        <v>0</v>
      </c>
      <c r="BB313" s="195">
        <f>IFERROR(SUM(DATA[[#This Row],[fs_val_ttf]:[fact_pago_ttf]]),0)</f>
        <v>70</v>
      </c>
      <c r="BC313" s="185">
        <v>45748</v>
      </c>
      <c r="BD313" s="185">
        <v>45751</v>
      </c>
      <c r="BE313" s="185">
        <v>45756</v>
      </c>
      <c r="BF313" s="185">
        <v>45758</v>
      </c>
      <c r="BG313" s="20">
        <f>IFERROR(IF(BC313-DATA[[#This Row],[fecha_fs]]&lt;0,0,BC313-DATA[[#This Row],[fecha_fs]]),0)</f>
        <v>28</v>
      </c>
      <c r="BH313" s="20">
        <f t="shared" si="33"/>
        <v>3</v>
      </c>
      <c r="BI313" s="20">
        <f t="shared" si="34"/>
        <v>5</v>
      </c>
      <c r="BJ313" s="20">
        <f t="shared" si="35"/>
        <v>2</v>
      </c>
      <c r="BK313" s="218">
        <f>IFERROR(SUM(DATA[[#This Row],[fs_fd_ttd]:[fend_fenf_ttd]]),0)</f>
        <v>38</v>
      </c>
      <c r="BL313" s="20" t="str">
        <f>IF(DATA[[#This Row],[fecha_fs]]&gt;0,TEXT(DATA[[#This Row],[fecha_fs]],"YYYY"),0)</f>
        <v>2025</v>
      </c>
      <c r="BM313" s="221" t="b">
        <v>1</v>
      </c>
      <c r="BN313" s="278">
        <f>COUNTIF(DATA[[#This Row],[tiempo_td]], "&lt;=15")</f>
        <v>0</v>
      </c>
      <c r="BO313" s="222"/>
    </row>
    <row r="314" spans="1:67" ht="30.6" customHeight="1" x14ac:dyDescent="0.25">
      <c r="A314" s="4">
        <v>20455825742</v>
      </c>
      <c r="B314" s="5" t="s">
        <v>56</v>
      </c>
      <c r="C314" s="52" t="s">
        <v>18</v>
      </c>
      <c r="D314" s="4" t="s">
        <v>112</v>
      </c>
      <c r="E314" s="5" t="s">
        <v>1</v>
      </c>
      <c r="F314" s="24">
        <v>45719</v>
      </c>
      <c r="G314" s="7" t="s">
        <v>113</v>
      </c>
      <c r="H314" s="25">
        <f t="shared" si="27"/>
        <v>1</v>
      </c>
      <c r="I314" s="67">
        <v>4197</v>
      </c>
      <c r="J314" s="8" t="s">
        <v>115</v>
      </c>
      <c r="K314" s="9" t="s">
        <v>116</v>
      </c>
      <c r="L314" s="10" t="s">
        <v>117</v>
      </c>
      <c r="M314" s="11">
        <v>1320</v>
      </c>
      <c r="N314" s="12" t="s">
        <v>132</v>
      </c>
      <c r="O314" s="6">
        <v>45721</v>
      </c>
      <c r="P314" s="13">
        <v>3334</v>
      </c>
      <c r="Q314" s="14" t="s">
        <v>85</v>
      </c>
      <c r="R314" s="15">
        <f>DATA[[#This Row],[cantidad_fs]]*0.97</f>
        <v>1280.3999999999999</v>
      </c>
      <c r="S314" s="15">
        <v>990</v>
      </c>
      <c r="T314" s="15">
        <f>DATA[[#This Row],[C. DF]]+DATA[[#This Row],[C.OPE.]]</f>
        <v>2270.3999999999996</v>
      </c>
      <c r="U314" s="15">
        <f>DATA[[#This Row],[SUB TOTAL]]*0.18</f>
        <v>408.67199999999991</v>
      </c>
      <c r="V314" s="15">
        <f>IFERROR(ROUND(DATA[[#This Row],[SUB TOTAL]]+DATA[[#This Row],[IGV]],2),0)</f>
        <v>2679.07</v>
      </c>
      <c r="W314" s="16" t="str">
        <f>IF(DATA[[#This Row],[VALORIZACIÓN ]]="-","NO CORRESPONDE",IF(OR(A314=20558226979,A314=10470707866,A314=20111157058,A314=20100226902),"NO CORRESPONDE",IF(J314="Emitida",IF(P314&gt;0,"EMITIDA","PENDIENTE"),"NO CORRESPONDE")))</f>
        <v>EMITIDA</v>
      </c>
      <c r="X314" s="29"/>
      <c r="Y314" s="17" t="s">
        <v>118</v>
      </c>
      <c r="Z314" s="30">
        <v>45751</v>
      </c>
      <c r="AA314" s="10" t="s">
        <v>150</v>
      </c>
      <c r="AB314" s="19">
        <v>18</v>
      </c>
      <c r="AC314" s="20">
        <v>30</v>
      </c>
      <c r="AD314" s="18">
        <f>DATA[[#This Row],[FECHA DE EMISION]]+DATA[[#This Row],[CONDICION DE PAGO]]</f>
        <v>45781</v>
      </c>
      <c r="AE314" s="23">
        <f>IF(DATA[[#This Row],[MONEDA]]="USD",VLOOKUP(DATA[[#This Row],[COMBINADA]],#REF!,11,0),1)</f>
        <v>1</v>
      </c>
      <c r="AF314" s="39" t="str">
        <f>IF(DATA[[#This Row],[SERIE2]]="-","NO CORRESPONDE",IF(W314="NO CORRESPONDE","NO CORRESPONDE",IF(Z314&gt;0,"FACTURADO","PENDIENTE")))</f>
        <v>FACTURADO</v>
      </c>
      <c r="AG314" s="27">
        <f>IFERROR(VLOOKUP(DATA[[#This Row],[COMBINADA]],#REF!,6,0),0)</f>
        <v>0</v>
      </c>
      <c r="AH314" s="125">
        <f>IFERROR(VLOOKUP(DATA[[#This Row],[COMBINADA]],#REF!,9,0),0)/COUNTIFS(DATA[COMBINADA],DATA[[#This Row],[COMBINADA]])</f>
        <v>0</v>
      </c>
      <c r="AI314" s="27">
        <f>IFERROR(VLOOKUP(DATA[[#This Row],[COMBINADA]],#REF!,6,0),0)</f>
        <v>0</v>
      </c>
      <c r="AJ314" s="125">
        <f>IFERROR(VLOOKUP(DATA[[#This Row],[COMBINADA]],#REF!,9,0),0)/COUNTIFS(DATA[COMBINADA],DATA[[#This Row],[COMBINADA]])</f>
        <v>0</v>
      </c>
      <c r="AK314" s="27">
        <f>IFERROR(VLOOKUP(DATA[[#This Row],[COMBINADA]],#REF!,6,0),0)</f>
        <v>0</v>
      </c>
      <c r="AL314" s="125">
        <f>IFERROR(VLOOKUP(DATA[[#This Row],[COMBINADA]],#REF!,9,0),0)/COUNTIFS(DATA[COMBINADA],DATA[[#This Row],[COMBINADA]])</f>
        <v>0</v>
      </c>
      <c r="AM314" s="27">
        <f>IFERROR(VLOOKUP(DATA[[#This Row],[COMBINADA]],#REF!,6,0),0)</f>
        <v>0</v>
      </c>
      <c r="AN314" s="125">
        <f>IFERROR(VLOOKUP(DATA[[#This Row],[COMBINADA]],#REF!,9,0),0)/COUNTIFS(DATA[COMBINADA],DATA[[#This Row],[COMBINADA]])</f>
        <v>0</v>
      </c>
      <c r="AO314" s="27">
        <f>IFERROR(VLOOKUP(DATA[[#This Row],[COMBINADA]],#REF!,6,0),0)</f>
        <v>0</v>
      </c>
      <c r="AP314" s="125">
        <f>IFERROR(VLOOKUP(DATA[[#This Row],[COMBINADA]],#REF!,9,0),0)/COUNTIFS(DATA[COMBINADA],DATA[[#This Row],[COMBINADA]])</f>
        <v>0</v>
      </c>
      <c r="AQ31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1569.635</v>
      </c>
      <c r="AR314" s="26" t="str">
        <f>IFERROR(IF(DATA[[#This Row],[estado_fact]]="FACTURADO",VLOOKUP(DATA[[#This Row],[SERIE2]]&amp;"-"&amp;DATA[[#This Row],[NUMERO]],#REF!,34,0),"NO CORRESPONDE"),"NO CORRESPONDE")</f>
        <v>NO CORRESPONDE</v>
      </c>
      <c r="AS314" s="22" t="str">
        <f>IF(DATA[[#This Row],[fecha_fs]]&gt;0,TEXT(DATA[[#This Row],[fecha_fs]],"Mmmm"),0)</f>
        <v>Marzo</v>
      </c>
      <c r="AT314" s="22" t="str">
        <f>DATA[[#This Row],[SERIE2]]&amp;"-"&amp;DATA[[#This Row],[NUMERO]]</f>
        <v>FF01-18</v>
      </c>
      <c r="AU314" s="28">
        <f>DATA[[#This Row],[TOTAL]]*DATA[[#This Row],[T.C.]]</f>
        <v>2679.07</v>
      </c>
      <c r="AV314" s="6">
        <f>DATA[[#This Row],[FECHA DE VAL.]]</f>
        <v>45721</v>
      </c>
      <c r="AW314" s="6">
        <f>DATA[[#This Row],[FECHA DE EMISION]]</f>
        <v>45751</v>
      </c>
      <c r="AX314" s="6">
        <f>DATA[[#This Row],[F1]]</f>
        <v>0</v>
      </c>
      <c r="AY314" s="20">
        <f>IF(AV314-DATA[[#This Row],[fecha_fs]]&lt;0,0,AV314-DATA[[#This Row],[fecha_fs]])</f>
        <v>2</v>
      </c>
      <c r="AZ314" s="20">
        <f t="shared" si="28"/>
        <v>30</v>
      </c>
      <c r="BA314" s="20">
        <f t="shared" si="29"/>
        <v>0</v>
      </c>
      <c r="BB314" s="195">
        <f>IFERROR(SUM(DATA[[#This Row],[fs_val_ttf]:[fact_pago_ttf]]),0)</f>
        <v>32</v>
      </c>
      <c r="BC314" s="185">
        <v>45730</v>
      </c>
      <c r="BD314" s="185">
        <v>45743</v>
      </c>
      <c r="BE314" s="185">
        <v>45749</v>
      </c>
      <c r="BF314" s="185">
        <v>45749</v>
      </c>
      <c r="BG314" s="20">
        <f>IFERROR(IF(BC314-DATA[[#This Row],[fecha_fs]]&lt;0,0,BC314-DATA[[#This Row],[fecha_fs]]),0)</f>
        <v>11</v>
      </c>
      <c r="BH314" s="20">
        <f t="shared" si="33"/>
        <v>13</v>
      </c>
      <c r="BI314" s="20">
        <f t="shared" si="34"/>
        <v>6</v>
      </c>
      <c r="BJ314" s="20">
        <f t="shared" si="35"/>
        <v>0</v>
      </c>
      <c r="BK314" s="218">
        <f>IFERROR(SUM(DATA[[#This Row],[fs_fd_ttd]:[fend_fenf_ttd]]),0)</f>
        <v>30</v>
      </c>
      <c r="BL314" s="20" t="str">
        <f>IF(DATA[[#This Row],[fecha_fs]]&gt;0,TEXT(DATA[[#This Row],[fecha_fs]],"YYYY"),0)</f>
        <v>2025</v>
      </c>
      <c r="BM314" s="221" t="b">
        <v>1</v>
      </c>
      <c r="BN314" s="278">
        <f>COUNTIF(DATA[[#This Row],[tiempo_td]], "&lt;=15")</f>
        <v>0</v>
      </c>
      <c r="BO314" s="222"/>
    </row>
    <row r="315" spans="1:67" ht="30.6" customHeight="1" x14ac:dyDescent="0.25">
      <c r="A315" s="4">
        <v>20100192064</v>
      </c>
      <c r="B315" s="5" t="s">
        <v>60</v>
      </c>
      <c r="C315" s="52" t="s">
        <v>59</v>
      </c>
      <c r="D315" s="4" t="s">
        <v>120</v>
      </c>
      <c r="E315" s="5" t="s">
        <v>3</v>
      </c>
      <c r="F315" s="24">
        <v>45720</v>
      </c>
      <c r="G315" s="7" t="s">
        <v>113</v>
      </c>
      <c r="H315" s="25">
        <f t="shared" si="27"/>
        <v>1</v>
      </c>
      <c r="I315" s="67">
        <v>4198</v>
      </c>
      <c r="J315" s="8" t="s">
        <v>115</v>
      </c>
      <c r="K315" s="9" t="s">
        <v>121</v>
      </c>
      <c r="L315" s="10" t="s">
        <v>117</v>
      </c>
      <c r="M315" s="11">
        <v>350</v>
      </c>
      <c r="N315" s="12" t="s">
        <v>132</v>
      </c>
      <c r="O315" s="6">
        <v>45742</v>
      </c>
      <c r="P315" s="71">
        <v>3351</v>
      </c>
      <c r="Q315" s="14" t="s">
        <v>123</v>
      </c>
      <c r="R315" s="15">
        <f>(DATA[[#This Row],[cantidad_fs]]/1000)*(47+169.83)</f>
        <v>75.890500000000003</v>
      </c>
      <c r="S315" s="15">
        <v>67</v>
      </c>
      <c r="T315" s="15">
        <f>DATA[[#This Row],[C. DF]]+DATA[[#This Row],[C.OPE.]]</f>
        <v>142.8905</v>
      </c>
      <c r="U315" s="15">
        <f>DATA[[#This Row],[SUB TOTAL]]*0.18</f>
        <v>25.720289999999999</v>
      </c>
      <c r="V315" s="15">
        <f>IFERROR(ROUND(DATA[[#This Row],[SUB TOTAL]]+DATA[[#This Row],[IGV]],2),0)</f>
        <v>168.61</v>
      </c>
      <c r="W315" s="16" t="str">
        <f>IF(DATA[[#This Row],[VALORIZACIÓN ]]="-","NO CORRESPONDE",IF(OR(A315=20558226979,A315=10470707866,A315=20111157058,A315=20100226902),"NO CORRESPONDE",IF(J315="Emitida",IF(P315&gt;0,"EMITIDA","PENDIENTE"),"NO CORRESPONDE")))</f>
        <v>EMITIDA</v>
      </c>
      <c r="X315" s="29" t="s">
        <v>212</v>
      </c>
      <c r="Y315" s="17" t="s">
        <v>118</v>
      </c>
      <c r="Z315" s="30">
        <v>45743</v>
      </c>
      <c r="AA315" s="10" t="s">
        <v>150</v>
      </c>
      <c r="AB315" s="19">
        <v>1</v>
      </c>
      <c r="AC315" s="20">
        <v>30</v>
      </c>
      <c r="AD315" s="18">
        <f>DATA[[#This Row],[FECHA DE EMISION]]+DATA[[#This Row],[CONDICION DE PAGO]]</f>
        <v>45773</v>
      </c>
      <c r="AE315" s="23" t="e">
        <f>IF(DATA[[#This Row],[MONEDA]]="USD",VLOOKUP(DATA[[#This Row],[COMBINADA]],#REF!,11,0),1)</f>
        <v>#REF!</v>
      </c>
      <c r="AF315" s="39" t="str">
        <f>IF(DATA[[#This Row],[SERIE2]]="-","NO CORRESPONDE",IF(W315="NO CORRESPONDE","NO CORRESPONDE",IF(Z315&gt;0,"FACTURADO","PENDIENTE")))</f>
        <v>FACTURADO</v>
      </c>
      <c r="AG315" s="27">
        <f>IFERROR(VLOOKUP(DATA[[#This Row],[COMBINADA]],#REF!,6,0),0)</f>
        <v>0</v>
      </c>
      <c r="AH315" s="125">
        <f>IFERROR(VLOOKUP(DATA[[#This Row],[COMBINADA]],#REF!,9,0),0)/COUNTIFS(DATA[COMBINADA],DATA[[#This Row],[COMBINADA]])</f>
        <v>0</v>
      </c>
      <c r="AI315" s="27">
        <f>IFERROR(VLOOKUP(DATA[[#This Row],[COMBINADA]],#REF!,6,0),0)</f>
        <v>0</v>
      </c>
      <c r="AJ315" s="125">
        <f>IFERROR(VLOOKUP(DATA[[#This Row],[COMBINADA]],#REF!,9,0),0)/COUNTIFS(DATA[COMBINADA],DATA[[#This Row],[COMBINADA]])</f>
        <v>0</v>
      </c>
      <c r="AK315" s="27">
        <f>IFERROR(VLOOKUP(DATA[[#This Row],[COMBINADA]],#REF!,6,0),0)</f>
        <v>0</v>
      </c>
      <c r="AL315" s="125">
        <f>IFERROR(VLOOKUP(DATA[[#This Row],[COMBINADA]],#REF!,9,0),0)/COUNTIFS(DATA[COMBINADA],DATA[[#This Row],[COMBINADA]])</f>
        <v>0</v>
      </c>
      <c r="AM315" s="27">
        <f>IFERROR(VLOOKUP(DATA[[#This Row],[COMBINADA]],#REF!,6,0),0)</f>
        <v>0</v>
      </c>
      <c r="AN315" s="125">
        <f>IFERROR(VLOOKUP(DATA[[#This Row],[COMBINADA]],#REF!,9,0),0)/COUNTIFS(DATA[COMBINADA],DATA[[#This Row],[COMBINADA]])</f>
        <v>0</v>
      </c>
      <c r="AO315" s="27">
        <f>IFERROR(VLOOKUP(DATA[[#This Row],[COMBINADA]],#REF!,6,0),0)</f>
        <v>0</v>
      </c>
      <c r="AP315" s="125">
        <f>IFERROR(VLOOKUP(DATA[[#This Row],[COMBINADA]],#REF!,9,0),0)/COUNTIFS(DATA[COMBINADA],DATA[[#This Row],[COMBINADA]])</f>
        <v>0</v>
      </c>
      <c r="AQ31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604.21249999999986</v>
      </c>
      <c r="AR315" s="26" t="str">
        <f>IFERROR(IF(DATA[[#This Row],[estado_fact]]="FACTURADO",VLOOKUP(DATA[[#This Row],[SERIE2]]&amp;"-"&amp;DATA[[#This Row],[NUMERO]],#REF!,34,0),"NO CORRESPONDE"),"NO CORRESPONDE")</f>
        <v>NO CORRESPONDE</v>
      </c>
      <c r="AS315" s="22" t="str">
        <f>IF(DATA[[#This Row],[fecha_fs]]&gt;0,TEXT(DATA[[#This Row],[fecha_fs]],"Mmmm"),0)</f>
        <v>Marzo</v>
      </c>
      <c r="AT315" s="22" t="str">
        <f>DATA[[#This Row],[SERIE2]]&amp;"-"&amp;DATA[[#This Row],[NUMERO]]</f>
        <v>FF01-1</v>
      </c>
      <c r="AU315" s="28" t="e">
        <f>DATA[[#This Row],[TOTAL]]*DATA[[#This Row],[T.C.]]</f>
        <v>#REF!</v>
      </c>
      <c r="AV315" s="6">
        <f>DATA[[#This Row],[FECHA DE VAL.]]</f>
        <v>45742</v>
      </c>
      <c r="AW315" s="6">
        <f>DATA[[#This Row],[FECHA DE EMISION]]</f>
        <v>45743</v>
      </c>
      <c r="AX315" s="6">
        <f>DATA[[#This Row],[F1]]</f>
        <v>0</v>
      </c>
      <c r="AY315" s="20">
        <f>IF(AV315-DATA[[#This Row],[fecha_fs]]&lt;0,0,AV315-DATA[[#This Row],[fecha_fs]])</f>
        <v>22</v>
      </c>
      <c r="AZ315" s="20">
        <f t="shared" si="28"/>
        <v>1</v>
      </c>
      <c r="BA315" s="20">
        <f t="shared" si="29"/>
        <v>0</v>
      </c>
      <c r="BB315" s="195">
        <f>IFERROR(SUM(DATA[[#This Row],[fs_val_ttf]:[fact_pago_ttf]]),0)</f>
        <v>23</v>
      </c>
      <c r="BC315" s="185">
        <v>45733</v>
      </c>
      <c r="BD315" s="185">
        <v>45741</v>
      </c>
      <c r="BE315" s="185">
        <v>45785</v>
      </c>
      <c r="BF315" s="185">
        <v>45798</v>
      </c>
      <c r="BG315" s="20">
        <f>IFERROR(IF(BC315-DATA[[#This Row],[fecha_fs]]&lt;0,0,BC315-DATA[[#This Row],[fecha_fs]]),0)</f>
        <v>13</v>
      </c>
      <c r="BH315" s="20">
        <f t="shared" si="33"/>
        <v>8</v>
      </c>
      <c r="BI315" s="20">
        <f t="shared" si="34"/>
        <v>44</v>
      </c>
      <c r="BJ315" s="20">
        <f t="shared" si="35"/>
        <v>13</v>
      </c>
      <c r="BK315" s="218">
        <f>IFERROR(SUM(DATA[[#This Row],[fs_fd_ttd]:[fend_fenf_ttd]]),0)</f>
        <v>78</v>
      </c>
      <c r="BL315" s="20" t="str">
        <f>IF(DATA[[#This Row],[fecha_fs]]&gt;0,TEXT(DATA[[#This Row],[fecha_fs]],"YYYY"),0)</f>
        <v>2025</v>
      </c>
      <c r="BM315" s="221" t="b">
        <v>1</v>
      </c>
      <c r="BN315" s="278">
        <f>COUNTIF(DATA[[#This Row],[tiempo_td]], "&lt;=15")</f>
        <v>0</v>
      </c>
      <c r="BO315" s="222"/>
    </row>
    <row r="316" spans="1:67" ht="30.6" customHeight="1" x14ac:dyDescent="0.25">
      <c r="A316" s="4">
        <v>20100211115</v>
      </c>
      <c r="B316" s="5" t="s">
        <v>41</v>
      </c>
      <c r="C316" s="52" t="s">
        <v>18</v>
      </c>
      <c r="D316" s="4" t="s">
        <v>120</v>
      </c>
      <c r="E316" s="5" t="s">
        <v>3</v>
      </c>
      <c r="F316" s="24">
        <v>45721</v>
      </c>
      <c r="G316" s="7" t="s">
        <v>113</v>
      </c>
      <c r="H316" s="25">
        <f t="shared" si="27"/>
        <v>1</v>
      </c>
      <c r="I316" s="67">
        <v>4199</v>
      </c>
      <c r="J316" s="8" t="s">
        <v>115</v>
      </c>
      <c r="K316" s="9" t="s">
        <v>121</v>
      </c>
      <c r="L316" s="10" t="s">
        <v>117</v>
      </c>
      <c r="M316" s="11">
        <v>90</v>
      </c>
      <c r="N316" s="12" t="s">
        <v>167</v>
      </c>
      <c r="O316" s="6">
        <v>45743</v>
      </c>
      <c r="P316" s="115">
        <v>3362</v>
      </c>
      <c r="Q316" s="14" t="s">
        <v>85</v>
      </c>
      <c r="R316" s="15"/>
      <c r="S316" s="15">
        <f>(DATA[[#This Row],[cantidad_fs]]*4.37)</f>
        <v>393.3</v>
      </c>
      <c r="T316" s="15">
        <f>DATA[[#This Row],[C. DF]]+DATA[[#This Row],[C.OPE.]]</f>
        <v>393.3</v>
      </c>
      <c r="U316" s="15">
        <f>DATA[[#This Row],[SUB TOTAL]]*0.18</f>
        <v>70.793999999999997</v>
      </c>
      <c r="V316" s="15">
        <f>IFERROR(ROUND(DATA[[#This Row],[SUB TOTAL]]+DATA[[#This Row],[IGV]],2),0)</f>
        <v>464.09</v>
      </c>
      <c r="W316" s="16" t="str">
        <f>IF(DATA[[#This Row],[VALORIZACIÓN ]]="-","NO CORRESPONDE",IF(OR(A316=20558226979,A316=10470707866,A316=20111157058,A316=20100226902),"NO CORRESPONDE",IF(J316="Emitida",IF(P316&gt;0,"EMITIDA","PENDIENTE"),"NO CORRESPONDE")))</f>
        <v>EMITIDA</v>
      </c>
      <c r="X316" s="29"/>
      <c r="Y316" s="17" t="s">
        <v>118</v>
      </c>
      <c r="Z316" s="30">
        <v>45744</v>
      </c>
      <c r="AA316" s="10" t="s">
        <v>150</v>
      </c>
      <c r="AB316" s="19">
        <v>2</v>
      </c>
      <c r="AC316" s="20">
        <v>30</v>
      </c>
      <c r="AD316" s="18">
        <f>DATA[[#This Row],[FECHA DE EMISION]]+DATA[[#This Row],[CONDICION DE PAGO]]</f>
        <v>45774</v>
      </c>
      <c r="AE316" s="23">
        <f>IF(DATA[[#This Row],[MONEDA]]="USD",VLOOKUP(DATA[[#This Row],[COMBINADA]],#REF!,11,0),1)</f>
        <v>1</v>
      </c>
      <c r="AF316" s="39" t="str">
        <f>IF(DATA[[#This Row],[SERIE2]]="-","NO CORRESPONDE",IF(W316="NO CORRESPONDE","NO CORRESPONDE",IF(Z316&gt;0,"FACTURADO","PENDIENTE")))</f>
        <v>FACTURADO</v>
      </c>
      <c r="AG316" s="27">
        <f>IFERROR(VLOOKUP(DATA[[#This Row],[COMBINADA]],#REF!,6,0),0)</f>
        <v>0</v>
      </c>
      <c r="AH316" s="125">
        <f>IFERROR(VLOOKUP(DATA[[#This Row],[COMBINADA]],#REF!,9,0),0)/COUNTIFS(DATA[COMBINADA],DATA[[#This Row],[COMBINADA]])</f>
        <v>0</v>
      </c>
      <c r="AI316" s="27">
        <f>IFERROR(VLOOKUP(DATA[[#This Row],[COMBINADA]],#REF!,6,0),0)</f>
        <v>0</v>
      </c>
      <c r="AJ316" s="125">
        <f>IFERROR(VLOOKUP(DATA[[#This Row],[COMBINADA]],#REF!,9,0),0)/COUNTIFS(DATA[COMBINADA],DATA[[#This Row],[COMBINADA]])</f>
        <v>0</v>
      </c>
      <c r="AK316" s="27">
        <f>IFERROR(VLOOKUP(DATA[[#This Row],[COMBINADA]],#REF!,6,0),0)</f>
        <v>0</v>
      </c>
      <c r="AL316" s="125">
        <f>IFERROR(VLOOKUP(DATA[[#This Row],[COMBINADA]],#REF!,9,0),0)/COUNTIFS(DATA[COMBINADA],DATA[[#This Row],[COMBINADA]])</f>
        <v>0</v>
      </c>
      <c r="AM316" s="27">
        <f>IFERROR(VLOOKUP(DATA[[#This Row],[COMBINADA]],#REF!,6,0),0)</f>
        <v>0</v>
      </c>
      <c r="AN316" s="125">
        <f>IFERROR(VLOOKUP(DATA[[#This Row],[COMBINADA]],#REF!,9,0),0)/COUNTIFS(DATA[COMBINADA],DATA[[#This Row],[COMBINADA]])</f>
        <v>0</v>
      </c>
      <c r="AO316" s="27">
        <f>IFERROR(VLOOKUP(DATA[[#This Row],[COMBINADA]],#REF!,6,0),0)</f>
        <v>0</v>
      </c>
      <c r="AP316" s="125">
        <f>IFERROR(VLOOKUP(DATA[[#This Row],[COMBINADA]],#REF!,9,0),0)/COUNTIFS(DATA[COMBINADA],DATA[[#This Row],[COMBINADA]])</f>
        <v>0</v>
      </c>
      <c r="AQ31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316" s="26" t="str">
        <f>IFERROR(IF(DATA[[#This Row],[estado_fact]]="FACTURADO",VLOOKUP(DATA[[#This Row],[SERIE2]]&amp;"-"&amp;DATA[[#This Row],[NUMERO]],#REF!,34,0),"NO CORRESPONDE"),"NO CORRESPONDE")</f>
        <v>NO CORRESPONDE</v>
      </c>
      <c r="AS316" s="22" t="str">
        <f>IF(DATA[[#This Row],[fecha_fs]]&gt;0,TEXT(DATA[[#This Row],[fecha_fs]],"Mmmm"),0)</f>
        <v>Marzo</v>
      </c>
      <c r="AT316" s="22" t="str">
        <f>DATA[[#This Row],[SERIE2]]&amp;"-"&amp;DATA[[#This Row],[NUMERO]]</f>
        <v>FF01-2</v>
      </c>
      <c r="AU316" s="28">
        <f>DATA[[#This Row],[TOTAL]]*DATA[[#This Row],[T.C.]]</f>
        <v>464.09</v>
      </c>
      <c r="AV316" s="6">
        <f>DATA[[#This Row],[FECHA DE VAL.]]</f>
        <v>45743</v>
      </c>
      <c r="AW316" s="6">
        <f>DATA[[#This Row],[FECHA DE EMISION]]</f>
        <v>45744</v>
      </c>
      <c r="AX316" s="6">
        <f>DATA[[#This Row],[F1]]</f>
        <v>0</v>
      </c>
      <c r="AY316" s="20">
        <f>IF(AV316-DATA[[#This Row],[fecha_fs]]&lt;0,0,AV316-DATA[[#This Row],[fecha_fs]])</f>
        <v>22</v>
      </c>
      <c r="AZ316" s="20">
        <f t="shared" si="28"/>
        <v>1</v>
      </c>
      <c r="BA316" s="20">
        <f t="shared" si="29"/>
        <v>0</v>
      </c>
      <c r="BB316" s="195">
        <f>IFERROR(SUM(DATA[[#This Row],[fs_val_ttf]:[fact_pago_ttf]]),0)</f>
        <v>23</v>
      </c>
      <c r="BC316" s="185">
        <v>45742</v>
      </c>
      <c r="BD316" s="185">
        <v>45751</v>
      </c>
      <c r="BE316" s="185">
        <v>45757</v>
      </c>
      <c r="BF316" s="185">
        <v>45758</v>
      </c>
      <c r="BG316" s="20">
        <f>IFERROR(IF(BC316-DATA[[#This Row],[fecha_fs]]&lt;0,0,BC316-DATA[[#This Row],[fecha_fs]]),0)</f>
        <v>21</v>
      </c>
      <c r="BH316" s="20">
        <f t="shared" si="33"/>
        <v>9</v>
      </c>
      <c r="BI316" s="20">
        <f t="shared" si="34"/>
        <v>6</v>
      </c>
      <c r="BJ316" s="20">
        <f t="shared" si="35"/>
        <v>1</v>
      </c>
      <c r="BK316" s="218">
        <f>IFERROR(SUM(DATA[[#This Row],[fs_fd_ttd]:[fend_fenf_ttd]]),0)</f>
        <v>37</v>
      </c>
      <c r="BL316" s="20" t="str">
        <f>IF(DATA[[#This Row],[fecha_fs]]&gt;0,TEXT(DATA[[#This Row],[fecha_fs]],"YYYY"),0)</f>
        <v>2025</v>
      </c>
      <c r="BM316" s="221" t="b">
        <v>1</v>
      </c>
      <c r="BN316" s="278">
        <f>COUNTIF(DATA[[#This Row],[tiempo_td]], "&lt;=15")</f>
        <v>0</v>
      </c>
      <c r="BO316" s="222"/>
    </row>
    <row r="317" spans="1:67" ht="30.6" customHeight="1" x14ac:dyDescent="0.25">
      <c r="A317" s="4">
        <v>20141637941</v>
      </c>
      <c r="B317" s="5" t="s">
        <v>79</v>
      </c>
      <c r="C317" s="52" t="s">
        <v>18</v>
      </c>
      <c r="D317" s="4" t="s">
        <v>120</v>
      </c>
      <c r="E317" s="5" t="s">
        <v>3</v>
      </c>
      <c r="F317" s="24">
        <v>45721</v>
      </c>
      <c r="G317" s="7" t="s">
        <v>113</v>
      </c>
      <c r="H317" s="25">
        <f t="shared" ref="H317:H380" si="36">IF(G317="","",IF(G317="LIM",2,1))</f>
        <v>1</v>
      </c>
      <c r="I317" s="67">
        <v>4200</v>
      </c>
      <c r="J317" s="8" t="s">
        <v>115</v>
      </c>
      <c r="K317" s="9" t="s">
        <v>121</v>
      </c>
      <c r="L317" s="10" t="s">
        <v>117</v>
      </c>
      <c r="M317" s="11">
        <v>1900</v>
      </c>
      <c r="N317" s="12" t="s">
        <v>125</v>
      </c>
      <c r="O317" s="6">
        <v>45730</v>
      </c>
      <c r="P317" s="110">
        <v>3341</v>
      </c>
      <c r="Q317" s="14" t="s">
        <v>85</v>
      </c>
      <c r="R317" s="15">
        <f>70+(DATA[[#This Row],[cantidad_fs]]-1000)*0.1</f>
        <v>160</v>
      </c>
      <c r="S317" s="15">
        <v>517</v>
      </c>
      <c r="T317" s="15">
        <f>DATA[[#This Row],[C. DF]]+DATA[[#This Row],[C.OPE.]]</f>
        <v>677</v>
      </c>
      <c r="U317" s="15">
        <f>DATA[[#This Row],[SUB TOTAL]]*0.18</f>
        <v>121.86</v>
      </c>
      <c r="V317" s="15">
        <f>IFERROR(ROUND(DATA[[#This Row],[SUB TOTAL]]+DATA[[#This Row],[IGV]],2),0)</f>
        <v>798.86</v>
      </c>
      <c r="W317" s="16" t="str">
        <f>IF(DATA[[#This Row],[VALORIZACIÓN ]]="-","NO CORRESPONDE",IF(OR(A317=20558226979,A317=10470707866,A317=20111157058,A317=20100226902),"NO CORRESPONDE",IF(J317="Emitida",IF(P317&gt;0,"EMITIDA","PENDIENTE"),"NO CORRESPONDE")))</f>
        <v>EMITIDA</v>
      </c>
      <c r="X317" s="29"/>
      <c r="Y317" s="17" t="s">
        <v>118</v>
      </c>
      <c r="Z317" s="30">
        <v>45733</v>
      </c>
      <c r="AA317" s="10" t="s">
        <v>119</v>
      </c>
      <c r="AB317" s="19">
        <v>26</v>
      </c>
      <c r="AC317" s="20">
        <v>30</v>
      </c>
      <c r="AD317" s="18">
        <f>DATA[[#This Row],[FECHA DE EMISION]]+DATA[[#This Row],[CONDICION DE PAGO]]</f>
        <v>45763</v>
      </c>
      <c r="AE317" s="23">
        <f>IF(DATA[[#This Row],[MONEDA]]="USD",VLOOKUP(DATA[[#This Row],[COMBINADA]],#REF!,11,0),1)</f>
        <v>1</v>
      </c>
      <c r="AF317" s="39" t="str">
        <f>IF(DATA[[#This Row],[SERIE2]]="-","NO CORRESPONDE",IF(W317="NO CORRESPONDE","NO CORRESPONDE",IF(Z317&gt;0,"FACTURADO","PENDIENTE")))</f>
        <v>FACTURADO</v>
      </c>
      <c r="AG317" s="27">
        <f>IFERROR(VLOOKUP(DATA[[#This Row],[COMBINADA]],#REF!,6,0),0)</f>
        <v>0</v>
      </c>
      <c r="AH317" s="125">
        <f>IFERROR(VLOOKUP(DATA[[#This Row],[COMBINADA]],#REF!,9,0),0)/COUNTIFS(DATA[COMBINADA],DATA[[#This Row],[COMBINADA]])</f>
        <v>0</v>
      </c>
      <c r="AI317" s="27">
        <f>IFERROR(VLOOKUP(DATA[[#This Row],[COMBINADA]],#REF!,6,0),0)</f>
        <v>0</v>
      </c>
      <c r="AJ317" s="125">
        <f>IFERROR(VLOOKUP(DATA[[#This Row],[COMBINADA]],#REF!,9,0),0)/COUNTIFS(DATA[COMBINADA],DATA[[#This Row],[COMBINADA]])</f>
        <v>0</v>
      </c>
      <c r="AK317" s="27">
        <f>IFERROR(VLOOKUP(DATA[[#This Row],[COMBINADA]],#REF!,6,0),0)</f>
        <v>0</v>
      </c>
      <c r="AL317" s="125">
        <f>IFERROR(VLOOKUP(DATA[[#This Row],[COMBINADA]],#REF!,9,0),0)/COUNTIFS(DATA[COMBINADA],DATA[[#This Row],[COMBINADA]])</f>
        <v>0</v>
      </c>
      <c r="AM317" s="27">
        <f>IFERROR(VLOOKUP(DATA[[#This Row],[COMBINADA]],#REF!,6,0),0)</f>
        <v>0</v>
      </c>
      <c r="AN317" s="125">
        <f>IFERROR(VLOOKUP(DATA[[#This Row],[COMBINADA]],#REF!,9,0),0)/COUNTIFS(DATA[COMBINADA],DATA[[#This Row],[COMBINADA]])</f>
        <v>0</v>
      </c>
      <c r="AO317" s="27">
        <f>IFERROR(VLOOKUP(DATA[[#This Row],[COMBINADA]],#REF!,6,0),0)</f>
        <v>0</v>
      </c>
      <c r="AP317" s="125">
        <f>IFERROR(VLOOKUP(DATA[[#This Row],[COMBINADA]],#REF!,9,0),0)/COUNTIFS(DATA[COMBINADA],DATA[[#This Row],[COMBINADA]])</f>
        <v>0</v>
      </c>
      <c r="AQ31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722.16</v>
      </c>
      <c r="AR317" s="26" t="str">
        <f>IFERROR(IF(DATA[[#This Row],[estado_fact]]="FACTURADO",VLOOKUP(DATA[[#This Row],[SERIE2]]&amp;"-"&amp;DATA[[#This Row],[NUMERO]],#REF!,34,0),"NO CORRESPONDE"),"NO CORRESPONDE")</f>
        <v>NO CORRESPONDE</v>
      </c>
      <c r="AS317" s="22" t="str">
        <f>IF(DATA[[#This Row],[fecha_fs]]&gt;0,TEXT(DATA[[#This Row],[fecha_fs]],"Mmmm"),0)</f>
        <v>Marzo</v>
      </c>
      <c r="AT317" s="22" t="str">
        <f>DATA[[#This Row],[SERIE2]]&amp;"-"&amp;DATA[[#This Row],[NUMERO]]</f>
        <v>E001-26</v>
      </c>
      <c r="AU317" s="28">
        <f>DATA[[#This Row],[TOTAL]]*DATA[[#This Row],[T.C.]]</f>
        <v>798.86</v>
      </c>
      <c r="AV317" s="6">
        <f>DATA[[#This Row],[FECHA DE VAL.]]</f>
        <v>45730</v>
      </c>
      <c r="AW317" s="6">
        <f>DATA[[#This Row],[FECHA DE EMISION]]</f>
        <v>45733</v>
      </c>
      <c r="AX317" s="6">
        <f>DATA[[#This Row],[F1]]</f>
        <v>0</v>
      </c>
      <c r="AY317" s="20">
        <f>IF(AV317-DATA[[#This Row],[fecha_fs]]&lt;0,0,AV317-DATA[[#This Row],[fecha_fs]])</f>
        <v>9</v>
      </c>
      <c r="AZ317" s="20">
        <f t="shared" si="28"/>
        <v>3</v>
      </c>
      <c r="BA317" s="20">
        <f t="shared" si="29"/>
        <v>0</v>
      </c>
      <c r="BB317" s="195">
        <f>IFERROR(SUM(DATA[[#This Row],[fs_val_ttf]:[fact_pago_ttf]]),0)</f>
        <v>12</v>
      </c>
      <c r="BC317" s="185">
        <v>45721</v>
      </c>
      <c r="BD317" s="185">
        <v>45721</v>
      </c>
      <c r="BE317" s="185">
        <v>45733</v>
      </c>
      <c r="BF317" s="185">
        <v>45733</v>
      </c>
      <c r="BG317" s="20">
        <f>IFERROR(IF(BC317-DATA[[#This Row],[fecha_fs]]&lt;0,0,BC317-DATA[[#This Row],[fecha_fs]]),0)</f>
        <v>0</v>
      </c>
      <c r="BH317" s="20">
        <f t="shared" si="33"/>
        <v>0</v>
      </c>
      <c r="BI317" s="20">
        <f t="shared" si="34"/>
        <v>12</v>
      </c>
      <c r="BJ317" s="20">
        <f t="shared" si="35"/>
        <v>0</v>
      </c>
      <c r="BK317" s="218">
        <f>IFERROR(SUM(DATA[[#This Row],[fs_fd_ttd]:[fend_fenf_ttd]]),0)</f>
        <v>12</v>
      </c>
      <c r="BL317" s="20" t="str">
        <f>IF(DATA[[#This Row],[fecha_fs]]&gt;0,TEXT(DATA[[#This Row],[fecha_fs]],"YYYY"),0)</f>
        <v>2025</v>
      </c>
      <c r="BM317" s="221" t="b">
        <v>1</v>
      </c>
      <c r="BN317" s="278">
        <f>COUNTIF(DATA[[#This Row],[tiempo_td]], "&lt;=15")</f>
        <v>1</v>
      </c>
      <c r="BO317" s="222"/>
    </row>
    <row r="318" spans="1:67" ht="30.6" customHeight="1" x14ac:dyDescent="0.25">
      <c r="A318" s="4">
        <v>20100192064</v>
      </c>
      <c r="B318" s="5" t="s">
        <v>60</v>
      </c>
      <c r="C318" s="52" t="s">
        <v>64</v>
      </c>
      <c r="D318" s="4" t="s">
        <v>112</v>
      </c>
      <c r="E318" s="5" t="s">
        <v>1</v>
      </c>
      <c r="F318" s="24">
        <v>45721</v>
      </c>
      <c r="G318" s="7" t="s">
        <v>113</v>
      </c>
      <c r="H318" s="25">
        <f t="shared" si="36"/>
        <v>1</v>
      </c>
      <c r="I318" s="67">
        <v>4201</v>
      </c>
      <c r="J318" s="8" t="s">
        <v>115</v>
      </c>
      <c r="K318" s="9" t="s">
        <v>136</v>
      </c>
      <c r="L318" s="10" t="s">
        <v>137</v>
      </c>
      <c r="M318" s="11">
        <v>36</v>
      </c>
      <c r="N318" s="12" t="s">
        <v>213</v>
      </c>
      <c r="O318" s="6">
        <v>45742</v>
      </c>
      <c r="P318" s="71">
        <v>3354</v>
      </c>
      <c r="Q318" s="14" t="s">
        <v>123</v>
      </c>
      <c r="R318" s="15">
        <f>DATA[[#This Row],[cantidad_fs]]*33.34</f>
        <v>1200.2400000000002</v>
      </c>
      <c r="S318" s="15"/>
      <c r="T318" s="15">
        <f>DATA[[#This Row],[C. DF]]+DATA[[#This Row],[C.OPE.]]</f>
        <v>1200.2400000000002</v>
      </c>
      <c r="U318" s="15">
        <f>DATA[[#This Row],[SUB TOTAL]]*0.18</f>
        <v>216.04320000000004</v>
      </c>
      <c r="V318" s="15">
        <f>IFERROR(ROUND(DATA[[#This Row],[SUB TOTAL]]+DATA[[#This Row],[IGV]],2),0)</f>
        <v>1416.28</v>
      </c>
      <c r="W318" s="16" t="str">
        <f>IF(DATA[[#This Row],[VALORIZACIÓN ]]="-","NO CORRESPONDE",IF(OR(A318=20558226979,A318=10470707866,A318=20111157058,A318=20100226902),"NO CORRESPONDE",IF(J318="Emitida",IF(P318&gt;0,"EMITIDA","PENDIENTE"),"NO CORRESPONDE")))</f>
        <v>EMITIDA</v>
      </c>
      <c r="X318" s="29" t="s">
        <v>212</v>
      </c>
      <c r="Y318" s="17" t="s">
        <v>118</v>
      </c>
      <c r="Z318" s="30">
        <v>45743</v>
      </c>
      <c r="AA318" s="10" t="s">
        <v>150</v>
      </c>
      <c r="AB318" s="19">
        <v>1</v>
      </c>
      <c r="AC318" s="20">
        <v>30</v>
      </c>
      <c r="AD318" s="18">
        <f>DATA[[#This Row],[FECHA DE EMISION]]+DATA[[#This Row],[CONDICION DE PAGO]]</f>
        <v>45773</v>
      </c>
      <c r="AE318" s="23" t="e">
        <f>IF(DATA[[#This Row],[MONEDA]]="USD",VLOOKUP(DATA[[#This Row],[COMBINADA]],#REF!,11,0),1)</f>
        <v>#REF!</v>
      </c>
      <c r="AF318" s="39" t="str">
        <f>IF(DATA[[#This Row],[SERIE2]]="-","NO CORRESPONDE",IF(W318="NO CORRESPONDE","NO CORRESPONDE",IF(Z318&gt;0,"FACTURADO","PENDIENTE")))</f>
        <v>FACTURADO</v>
      </c>
      <c r="AG318" s="27">
        <f>IFERROR(VLOOKUP(DATA[[#This Row],[COMBINADA]],#REF!,6,0),0)</f>
        <v>0</v>
      </c>
      <c r="AH318" s="125">
        <f>IFERROR(VLOOKUP(DATA[[#This Row],[COMBINADA]],#REF!,9,0),0)/COUNTIFS(DATA[COMBINADA],DATA[[#This Row],[COMBINADA]])</f>
        <v>0</v>
      </c>
      <c r="AI318" s="27">
        <f>IFERROR(VLOOKUP(DATA[[#This Row],[COMBINADA]],#REF!,6,0),0)</f>
        <v>0</v>
      </c>
      <c r="AJ318" s="125">
        <f>IFERROR(VLOOKUP(DATA[[#This Row],[COMBINADA]],#REF!,9,0),0)/COUNTIFS(DATA[COMBINADA],DATA[[#This Row],[COMBINADA]])</f>
        <v>0</v>
      </c>
      <c r="AK318" s="27">
        <f>IFERROR(VLOOKUP(DATA[[#This Row],[COMBINADA]],#REF!,6,0),0)</f>
        <v>0</v>
      </c>
      <c r="AL318" s="125">
        <f>IFERROR(VLOOKUP(DATA[[#This Row],[COMBINADA]],#REF!,9,0),0)/COUNTIFS(DATA[COMBINADA],DATA[[#This Row],[COMBINADA]])</f>
        <v>0</v>
      </c>
      <c r="AM318" s="27">
        <f>IFERROR(VLOOKUP(DATA[[#This Row],[COMBINADA]],#REF!,6,0),0)</f>
        <v>0</v>
      </c>
      <c r="AN318" s="125">
        <f>IFERROR(VLOOKUP(DATA[[#This Row],[COMBINADA]],#REF!,9,0),0)/COUNTIFS(DATA[COMBINADA],DATA[[#This Row],[COMBINADA]])</f>
        <v>0</v>
      </c>
      <c r="AO318" s="27">
        <f>IFERROR(VLOOKUP(DATA[[#This Row],[COMBINADA]],#REF!,6,0),0)</f>
        <v>0</v>
      </c>
      <c r="AP318" s="125">
        <f>IFERROR(VLOOKUP(DATA[[#This Row],[COMBINADA]],#REF!,9,0),0)/COUNTIFS(DATA[COMBINADA],DATA[[#This Row],[COMBINADA]])</f>
        <v>0</v>
      </c>
      <c r="AQ31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604.21249999999986</v>
      </c>
      <c r="AR318" s="26" t="str">
        <f>IFERROR(IF(DATA[[#This Row],[estado_fact]]="FACTURADO",VLOOKUP(DATA[[#This Row],[SERIE2]]&amp;"-"&amp;DATA[[#This Row],[NUMERO]],#REF!,34,0),"NO CORRESPONDE"),"NO CORRESPONDE")</f>
        <v>NO CORRESPONDE</v>
      </c>
      <c r="AS318" s="22" t="str">
        <f>IF(DATA[[#This Row],[fecha_fs]]&gt;0,TEXT(DATA[[#This Row],[fecha_fs]],"Mmmm"),0)</f>
        <v>Marzo</v>
      </c>
      <c r="AT318" s="22" t="str">
        <f>DATA[[#This Row],[SERIE2]]&amp;"-"&amp;DATA[[#This Row],[NUMERO]]</f>
        <v>FF01-1</v>
      </c>
      <c r="AU318" s="28" t="e">
        <f>DATA[[#This Row],[TOTAL]]*DATA[[#This Row],[T.C.]]</f>
        <v>#REF!</v>
      </c>
      <c r="AV318" s="6">
        <f>DATA[[#This Row],[FECHA DE VAL.]]</f>
        <v>45742</v>
      </c>
      <c r="AW318" s="6">
        <f>DATA[[#This Row],[FECHA DE EMISION]]</f>
        <v>45743</v>
      </c>
      <c r="AX318" s="6">
        <f>DATA[[#This Row],[F1]]</f>
        <v>0</v>
      </c>
      <c r="AY318" s="20">
        <f>IF(AV318-DATA[[#This Row],[fecha_fs]]&lt;0,0,AV318-DATA[[#This Row],[fecha_fs]])</f>
        <v>21</v>
      </c>
      <c r="AZ318" s="20">
        <f t="shared" ref="AZ318:AZ381" si="37">IF(AW318-AV318&lt;0,0,AW318-AV318)</f>
        <v>1</v>
      </c>
      <c r="BA318" s="20">
        <f t="shared" ref="BA318:BA381" si="38">IF(AX318-AW318&lt;0,0,AX318-AW318)</f>
        <v>0</v>
      </c>
      <c r="BB318" s="195">
        <f>IFERROR(SUM(DATA[[#This Row],[fs_val_ttf]:[fact_pago_ttf]]),0)</f>
        <v>22</v>
      </c>
      <c r="BC318" s="185">
        <v>45734</v>
      </c>
      <c r="BD318" s="185">
        <v>45762</v>
      </c>
      <c r="BE318" s="185">
        <v>45784</v>
      </c>
      <c r="BF318" s="185">
        <v>45909</v>
      </c>
      <c r="BG318" s="20">
        <f>IFERROR(IF(BC318-DATA[[#This Row],[fecha_fs]]&lt;0,0,BC318-DATA[[#This Row],[fecha_fs]]),0)</f>
        <v>13</v>
      </c>
      <c r="BH318" s="20">
        <f t="shared" si="33"/>
        <v>28</v>
      </c>
      <c r="BI318" s="20">
        <f t="shared" si="34"/>
        <v>22</v>
      </c>
      <c r="BJ318" s="20">
        <f t="shared" si="35"/>
        <v>125</v>
      </c>
      <c r="BK318" s="218">
        <f>IFERROR(SUM(DATA[[#This Row],[fs_fd_ttd]:[fend_fenf_ttd]]),0)</f>
        <v>188</v>
      </c>
      <c r="BL318" s="20" t="str">
        <f>IF(DATA[[#This Row],[fecha_fs]]&gt;0,TEXT(DATA[[#This Row],[fecha_fs]],"YYYY"),0)</f>
        <v>2025</v>
      </c>
      <c r="BM318" s="221" t="b">
        <v>1</v>
      </c>
      <c r="BN318" s="278">
        <f>COUNTIF(DATA[[#This Row],[tiempo_td]], "&lt;=15")</f>
        <v>0</v>
      </c>
      <c r="BO318" s="222"/>
    </row>
    <row r="319" spans="1:67" ht="30.6" customHeight="1" x14ac:dyDescent="0.25">
      <c r="A319" s="4">
        <v>20100192064</v>
      </c>
      <c r="B319" s="5" t="s">
        <v>60</v>
      </c>
      <c r="C319" s="52" t="s">
        <v>43</v>
      </c>
      <c r="D319" s="4" t="s">
        <v>112</v>
      </c>
      <c r="E319" s="5" t="s">
        <v>1</v>
      </c>
      <c r="F319" s="24">
        <v>45721</v>
      </c>
      <c r="G319" s="7" t="s">
        <v>113</v>
      </c>
      <c r="H319" s="25">
        <f t="shared" si="36"/>
        <v>1</v>
      </c>
      <c r="I319" s="67">
        <v>4202</v>
      </c>
      <c r="J319" s="8" t="s">
        <v>115</v>
      </c>
      <c r="K319" s="9" t="s">
        <v>116</v>
      </c>
      <c r="L319" s="10" t="s">
        <v>117</v>
      </c>
      <c r="M319" s="11">
        <v>690</v>
      </c>
      <c r="N319" s="12" t="s">
        <v>132</v>
      </c>
      <c r="O319" s="6">
        <v>45742</v>
      </c>
      <c r="P319" s="71">
        <v>3353</v>
      </c>
      <c r="Q319" s="14" t="s">
        <v>123</v>
      </c>
      <c r="R319" s="15">
        <f>(DATA[[#This Row],[cantidad_fs]]/1000)*(143+175.34)</f>
        <v>219.65460000000002</v>
      </c>
      <c r="S319" s="15">
        <v>137</v>
      </c>
      <c r="T319" s="15">
        <f>DATA[[#This Row],[C. DF]]+DATA[[#This Row],[C.OPE.]]</f>
        <v>356.65460000000002</v>
      </c>
      <c r="U319" s="15">
        <f>DATA[[#This Row],[SUB TOTAL]]*0.18</f>
        <v>64.197828000000001</v>
      </c>
      <c r="V319" s="15">
        <f>IFERROR(ROUND(DATA[[#This Row],[SUB TOTAL]]+DATA[[#This Row],[IGV]],2),0)</f>
        <v>420.85</v>
      </c>
      <c r="W319" s="16" t="str">
        <f>IF(DATA[[#This Row],[VALORIZACIÓN ]]="-","NO CORRESPONDE",IF(OR(A319=20558226979,A319=10470707866,A319=20111157058,A319=20100226902),"NO CORRESPONDE",IF(J319="Emitida",IF(P319&gt;0,"EMITIDA","PENDIENTE"),"NO CORRESPONDE")))</f>
        <v>EMITIDA</v>
      </c>
      <c r="X319" s="29" t="s">
        <v>212</v>
      </c>
      <c r="Y319" s="17" t="s">
        <v>118</v>
      </c>
      <c r="Z319" s="30">
        <v>45743</v>
      </c>
      <c r="AA319" s="10" t="s">
        <v>150</v>
      </c>
      <c r="AB319" s="19">
        <v>1</v>
      </c>
      <c r="AC319" s="20">
        <v>30</v>
      </c>
      <c r="AD319" s="18">
        <f>DATA[[#This Row],[FECHA DE EMISION]]+DATA[[#This Row],[CONDICION DE PAGO]]</f>
        <v>45773</v>
      </c>
      <c r="AE319" s="23" t="e">
        <f>IF(DATA[[#This Row],[MONEDA]]="USD",VLOOKUP(DATA[[#This Row],[COMBINADA]],#REF!,11,0),1)</f>
        <v>#REF!</v>
      </c>
      <c r="AF319" s="39" t="str">
        <f>IF(DATA[[#This Row],[SERIE2]]="-","NO CORRESPONDE",IF(W319="NO CORRESPONDE","NO CORRESPONDE",IF(Z319&gt;0,"FACTURADO","PENDIENTE")))</f>
        <v>FACTURADO</v>
      </c>
      <c r="AG319" s="27">
        <f>IFERROR(VLOOKUP(DATA[[#This Row],[COMBINADA]],#REF!,6,0),0)</f>
        <v>0</v>
      </c>
      <c r="AH319" s="125">
        <f>IFERROR(VLOOKUP(DATA[[#This Row],[COMBINADA]],#REF!,9,0),0)/COUNTIFS(DATA[COMBINADA],DATA[[#This Row],[COMBINADA]])</f>
        <v>0</v>
      </c>
      <c r="AI319" s="27">
        <f>IFERROR(VLOOKUP(DATA[[#This Row],[COMBINADA]],#REF!,6,0),0)</f>
        <v>0</v>
      </c>
      <c r="AJ319" s="125">
        <f>IFERROR(VLOOKUP(DATA[[#This Row],[COMBINADA]],#REF!,9,0),0)/COUNTIFS(DATA[COMBINADA],DATA[[#This Row],[COMBINADA]])</f>
        <v>0</v>
      </c>
      <c r="AK319" s="27">
        <f>IFERROR(VLOOKUP(DATA[[#This Row],[COMBINADA]],#REF!,6,0),0)</f>
        <v>0</v>
      </c>
      <c r="AL319" s="125">
        <f>IFERROR(VLOOKUP(DATA[[#This Row],[COMBINADA]],#REF!,9,0),0)/COUNTIFS(DATA[COMBINADA],DATA[[#This Row],[COMBINADA]])</f>
        <v>0</v>
      </c>
      <c r="AM319" s="27">
        <f>IFERROR(VLOOKUP(DATA[[#This Row],[COMBINADA]],#REF!,6,0),0)</f>
        <v>0</v>
      </c>
      <c r="AN319" s="125">
        <f>IFERROR(VLOOKUP(DATA[[#This Row],[COMBINADA]],#REF!,9,0),0)/COUNTIFS(DATA[COMBINADA],DATA[[#This Row],[COMBINADA]])</f>
        <v>0</v>
      </c>
      <c r="AO319" s="27">
        <f>IFERROR(VLOOKUP(DATA[[#This Row],[COMBINADA]],#REF!,6,0),0)</f>
        <v>0</v>
      </c>
      <c r="AP319" s="125">
        <f>IFERROR(VLOOKUP(DATA[[#This Row],[COMBINADA]],#REF!,9,0),0)/COUNTIFS(DATA[COMBINADA],DATA[[#This Row],[COMBINADA]])</f>
        <v>0</v>
      </c>
      <c r="AQ31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604.21249999999986</v>
      </c>
      <c r="AR319" s="26" t="str">
        <f>IFERROR(IF(DATA[[#This Row],[estado_fact]]="FACTURADO",VLOOKUP(DATA[[#This Row],[SERIE2]]&amp;"-"&amp;DATA[[#This Row],[NUMERO]],#REF!,34,0),"NO CORRESPONDE"),"NO CORRESPONDE")</f>
        <v>NO CORRESPONDE</v>
      </c>
      <c r="AS319" s="22" t="str">
        <f>IF(DATA[[#This Row],[fecha_fs]]&gt;0,TEXT(DATA[[#This Row],[fecha_fs]],"Mmmm"),0)</f>
        <v>Marzo</v>
      </c>
      <c r="AT319" s="22" t="str">
        <f>DATA[[#This Row],[SERIE2]]&amp;"-"&amp;DATA[[#This Row],[NUMERO]]</f>
        <v>FF01-1</v>
      </c>
      <c r="AU319" s="28" t="e">
        <f>DATA[[#This Row],[TOTAL]]*DATA[[#This Row],[T.C.]]</f>
        <v>#REF!</v>
      </c>
      <c r="AV319" s="6">
        <f>DATA[[#This Row],[FECHA DE VAL.]]</f>
        <v>45742</v>
      </c>
      <c r="AW319" s="6">
        <f>DATA[[#This Row],[FECHA DE EMISION]]</f>
        <v>45743</v>
      </c>
      <c r="AX319" s="6">
        <f>DATA[[#This Row],[F1]]</f>
        <v>0</v>
      </c>
      <c r="AY319" s="20">
        <f>IF(AV319-DATA[[#This Row],[fecha_fs]]&lt;0,0,AV319-DATA[[#This Row],[fecha_fs]])</f>
        <v>21</v>
      </c>
      <c r="AZ319" s="20">
        <f t="shared" si="37"/>
        <v>1</v>
      </c>
      <c r="BA319" s="20">
        <f t="shared" si="38"/>
        <v>0</v>
      </c>
      <c r="BB319" s="195">
        <f>IFERROR(SUM(DATA[[#This Row],[fs_val_ttf]:[fact_pago_ttf]]),0)</f>
        <v>22</v>
      </c>
      <c r="BC319" s="185">
        <v>45730</v>
      </c>
      <c r="BD319" s="185">
        <v>45743</v>
      </c>
      <c r="BE319" s="185">
        <v>45784</v>
      </c>
      <c r="BF319" s="185">
        <v>45798</v>
      </c>
      <c r="BG319" s="20">
        <f>IFERROR(IF(BC319-DATA[[#This Row],[fecha_fs]]&lt;0,0,BC319-DATA[[#This Row],[fecha_fs]]),0)</f>
        <v>9</v>
      </c>
      <c r="BH319" s="20">
        <f t="shared" si="33"/>
        <v>13</v>
      </c>
      <c r="BI319" s="20">
        <f t="shared" si="34"/>
        <v>41</v>
      </c>
      <c r="BJ319" s="20">
        <f t="shared" si="35"/>
        <v>14</v>
      </c>
      <c r="BK319" s="218">
        <f>IFERROR(SUM(DATA[[#This Row],[fs_fd_ttd]:[fend_fenf_ttd]]),0)</f>
        <v>77</v>
      </c>
      <c r="BL319" s="20" t="str">
        <f>IF(DATA[[#This Row],[fecha_fs]]&gt;0,TEXT(DATA[[#This Row],[fecha_fs]],"YYYY"),0)</f>
        <v>2025</v>
      </c>
      <c r="BM319" s="221" t="b">
        <v>1</v>
      </c>
      <c r="BN319" s="278">
        <f>COUNTIF(DATA[[#This Row],[tiempo_td]], "&lt;=15")</f>
        <v>0</v>
      </c>
      <c r="BO319" s="222"/>
    </row>
    <row r="320" spans="1:67" ht="30.6" customHeight="1" x14ac:dyDescent="0.25">
      <c r="A320" s="4">
        <v>20454186002</v>
      </c>
      <c r="B320" s="5" t="s">
        <v>25</v>
      </c>
      <c r="C320" s="52" t="s">
        <v>26</v>
      </c>
      <c r="D320" s="4" t="s">
        <v>120</v>
      </c>
      <c r="E320" s="5" t="s">
        <v>3</v>
      </c>
      <c r="F320" s="24">
        <v>45721</v>
      </c>
      <c r="G320" s="7" t="s">
        <v>113</v>
      </c>
      <c r="H320" s="25">
        <f t="shared" si="36"/>
        <v>1</v>
      </c>
      <c r="I320" s="67">
        <v>4203</v>
      </c>
      <c r="J320" s="8" t="s">
        <v>115</v>
      </c>
      <c r="K320" s="9" t="s">
        <v>121</v>
      </c>
      <c r="L320" s="10" t="s">
        <v>117</v>
      </c>
      <c r="M320" s="11">
        <v>4300</v>
      </c>
      <c r="N320" s="12" t="s">
        <v>214</v>
      </c>
      <c r="O320" s="6">
        <v>45722</v>
      </c>
      <c r="P320" s="13">
        <v>3335</v>
      </c>
      <c r="Q320" s="14" t="s">
        <v>85</v>
      </c>
      <c r="R320" s="15">
        <f>3997.8+(DATA[[#This Row],[cantidad_fs]]-4000)*0.99</f>
        <v>4294.8</v>
      </c>
      <c r="S320" s="15"/>
      <c r="T320" s="15">
        <f>DATA[[#This Row],[C. DF]]+DATA[[#This Row],[C.OPE.]]</f>
        <v>4294.8</v>
      </c>
      <c r="U320" s="15">
        <f>DATA[[#This Row],[SUB TOTAL]]*0.18</f>
        <v>773.06399999999996</v>
      </c>
      <c r="V320" s="15">
        <f>IFERROR(ROUND(DATA[[#This Row],[SUB TOTAL]]+DATA[[#This Row],[IGV]],2),0)</f>
        <v>5067.8599999999997</v>
      </c>
      <c r="W320" s="16" t="str">
        <f>IF(DATA[[#This Row],[VALORIZACIÓN ]]="-","NO CORRESPONDE",IF(OR(A320=20558226979,A320=10470707866,A320=20111157058,A320=20100226902),"NO CORRESPONDE",IF(J320="Emitida",IF(P320&gt;0,"EMITIDA","PENDIENTE"),"NO CORRESPONDE")))</f>
        <v>EMITIDA</v>
      </c>
      <c r="X320" s="29"/>
      <c r="Y320" s="17" t="s">
        <v>118</v>
      </c>
      <c r="Z320" s="30">
        <v>45729</v>
      </c>
      <c r="AA320" s="10" t="s">
        <v>119</v>
      </c>
      <c r="AB320" s="19">
        <v>18</v>
      </c>
      <c r="AC320" s="20">
        <v>5</v>
      </c>
      <c r="AD320" s="18">
        <f>DATA[[#This Row],[FECHA DE EMISION]]+DATA[[#This Row],[CONDICION DE PAGO]]</f>
        <v>45734</v>
      </c>
      <c r="AE320" s="23">
        <f>IF(DATA[[#This Row],[MONEDA]]="USD",VLOOKUP(DATA[[#This Row],[COMBINADA]],#REF!,11,0),1)</f>
        <v>1</v>
      </c>
      <c r="AF320" s="39" t="str">
        <f>IF(DATA[[#This Row],[SERIE2]]="-","NO CORRESPONDE",IF(W320="NO CORRESPONDE","NO CORRESPONDE",IF(Z320&gt;0,"FACTURADO","PENDIENTE")))</f>
        <v>FACTURADO</v>
      </c>
      <c r="AG320" s="27">
        <f>IFERROR(VLOOKUP(DATA[[#This Row],[COMBINADA]],#REF!,6,0),0)</f>
        <v>0</v>
      </c>
      <c r="AH320" s="125">
        <f>IFERROR(VLOOKUP(DATA[[#This Row],[COMBINADA]],#REF!,9,0),0)/COUNTIFS(DATA[COMBINADA],DATA[[#This Row],[COMBINADA]])</f>
        <v>0</v>
      </c>
      <c r="AI320" s="27">
        <f>IFERROR(VLOOKUP(DATA[[#This Row],[COMBINADA]],#REF!,6,0),0)</f>
        <v>0</v>
      </c>
      <c r="AJ320" s="125">
        <f>IFERROR(VLOOKUP(DATA[[#This Row],[COMBINADA]],#REF!,9,0),0)/COUNTIFS(DATA[COMBINADA],DATA[[#This Row],[COMBINADA]])</f>
        <v>0</v>
      </c>
      <c r="AK320" s="27">
        <f>IFERROR(VLOOKUP(DATA[[#This Row],[COMBINADA]],#REF!,6,0),0)</f>
        <v>0</v>
      </c>
      <c r="AL320" s="125">
        <f>IFERROR(VLOOKUP(DATA[[#This Row],[COMBINADA]],#REF!,9,0),0)/COUNTIFS(DATA[COMBINADA],DATA[[#This Row],[COMBINADA]])</f>
        <v>0</v>
      </c>
      <c r="AM320" s="27">
        <f>IFERROR(VLOOKUP(DATA[[#This Row],[COMBINADA]],#REF!,6,0),0)</f>
        <v>0</v>
      </c>
      <c r="AN320" s="125">
        <f>IFERROR(VLOOKUP(DATA[[#This Row],[COMBINADA]],#REF!,9,0),0)/COUNTIFS(DATA[COMBINADA],DATA[[#This Row],[COMBINADA]])</f>
        <v>0</v>
      </c>
      <c r="AO320" s="27">
        <f>IFERROR(VLOOKUP(DATA[[#This Row],[COMBINADA]],#REF!,6,0),0)</f>
        <v>0</v>
      </c>
      <c r="AP320" s="125">
        <f>IFERROR(VLOOKUP(DATA[[#This Row],[COMBINADA]],#REF!,9,0),0)/COUNTIFS(DATA[COMBINADA],DATA[[#This Row],[COMBINADA]])</f>
        <v>0</v>
      </c>
      <c r="AQ32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5067.8599999999997</v>
      </c>
      <c r="AR320" s="26" t="str">
        <f>IFERROR(IF(DATA[[#This Row],[estado_fact]]="FACTURADO",VLOOKUP(DATA[[#This Row],[SERIE2]]&amp;"-"&amp;DATA[[#This Row],[NUMERO]],#REF!,34,0),"NO CORRESPONDE"),"NO CORRESPONDE")</f>
        <v>NO CORRESPONDE</v>
      </c>
      <c r="AS320" s="22" t="str">
        <f>IF(DATA[[#This Row],[fecha_fs]]&gt;0,TEXT(DATA[[#This Row],[fecha_fs]],"Mmmm"),0)</f>
        <v>Marzo</v>
      </c>
      <c r="AT320" s="22" t="str">
        <f>DATA[[#This Row],[SERIE2]]&amp;"-"&amp;DATA[[#This Row],[NUMERO]]</f>
        <v>E001-18</v>
      </c>
      <c r="AU320" s="28">
        <f>DATA[[#This Row],[TOTAL]]*DATA[[#This Row],[T.C.]]</f>
        <v>5067.8599999999997</v>
      </c>
      <c r="AV320" s="6">
        <f>DATA[[#This Row],[FECHA DE VAL.]]</f>
        <v>45722</v>
      </c>
      <c r="AW320" s="6">
        <f>DATA[[#This Row],[FECHA DE EMISION]]</f>
        <v>45729</v>
      </c>
      <c r="AX320" s="6">
        <f>DATA[[#This Row],[F1]]</f>
        <v>0</v>
      </c>
      <c r="AY320" s="20">
        <f>IF(AV320-DATA[[#This Row],[fecha_fs]]&lt;0,0,AV320-DATA[[#This Row],[fecha_fs]])</f>
        <v>1</v>
      </c>
      <c r="AZ320" s="20">
        <f t="shared" si="37"/>
        <v>7</v>
      </c>
      <c r="BA320" s="20">
        <f t="shared" si="38"/>
        <v>0</v>
      </c>
      <c r="BB320" s="195">
        <f>IFERROR(SUM(DATA[[#This Row],[fs_val_ttf]:[fact_pago_ttf]]),0)</f>
        <v>8</v>
      </c>
      <c r="BC320" s="185">
        <v>45724</v>
      </c>
      <c r="BD320" s="185">
        <v>45730</v>
      </c>
      <c r="BE320" s="185">
        <v>45748</v>
      </c>
      <c r="BF320" s="185">
        <v>45754</v>
      </c>
      <c r="BG320" s="20">
        <f>IFERROR(IF(BC320-DATA[[#This Row],[fecha_fs]]&lt;0,0,BC320-DATA[[#This Row],[fecha_fs]]),0)</f>
        <v>3</v>
      </c>
      <c r="BH320" s="20">
        <f t="shared" si="33"/>
        <v>6</v>
      </c>
      <c r="BI320" s="20">
        <f t="shared" si="34"/>
        <v>18</v>
      </c>
      <c r="BJ320" s="20">
        <f t="shared" si="35"/>
        <v>6</v>
      </c>
      <c r="BK320" s="218">
        <f>IFERROR(SUM(DATA[[#This Row],[fs_fd_ttd]:[fend_fenf_ttd]]),0)</f>
        <v>33</v>
      </c>
      <c r="BL320" s="20" t="str">
        <f>IF(DATA[[#This Row],[fecha_fs]]&gt;0,TEXT(DATA[[#This Row],[fecha_fs]],"YYYY"),0)</f>
        <v>2025</v>
      </c>
      <c r="BM320" s="221" t="b">
        <v>1</v>
      </c>
      <c r="BN320" s="278">
        <f>COUNTIF(DATA[[#This Row],[tiempo_td]], "&lt;=15")</f>
        <v>0</v>
      </c>
      <c r="BO320" s="222"/>
    </row>
    <row r="321" spans="1:67" ht="30.6" customHeight="1" x14ac:dyDescent="0.25">
      <c r="A321" s="4">
        <v>20100211115</v>
      </c>
      <c r="B321" s="5" t="s">
        <v>41</v>
      </c>
      <c r="C321" s="52" t="s">
        <v>18</v>
      </c>
      <c r="D321" s="4" t="s">
        <v>120</v>
      </c>
      <c r="E321" s="5" t="s">
        <v>3</v>
      </c>
      <c r="F321" s="24">
        <v>45723</v>
      </c>
      <c r="G321" s="7" t="s">
        <v>113</v>
      </c>
      <c r="H321" s="25">
        <f t="shared" si="36"/>
        <v>1</v>
      </c>
      <c r="I321" s="67">
        <v>4204</v>
      </c>
      <c r="J321" s="8" t="s">
        <v>115</v>
      </c>
      <c r="K321" s="9" t="s">
        <v>121</v>
      </c>
      <c r="L321" s="10" t="s">
        <v>117</v>
      </c>
      <c r="M321" s="11">
        <v>90</v>
      </c>
      <c r="N321" s="12" t="s">
        <v>132</v>
      </c>
      <c r="O321" s="6">
        <v>45743</v>
      </c>
      <c r="P321" s="115">
        <v>3362</v>
      </c>
      <c r="Q321" s="14" t="s">
        <v>85</v>
      </c>
      <c r="R321" s="15"/>
      <c r="S321" s="15">
        <f>(DATA[[#This Row],[cantidad_fs]]*4.37)</f>
        <v>393.3</v>
      </c>
      <c r="T321" s="15">
        <f>DATA[[#This Row],[C. DF]]+DATA[[#This Row],[C.OPE.]]</f>
        <v>393.3</v>
      </c>
      <c r="U321" s="15">
        <f>DATA[[#This Row],[SUB TOTAL]]*0.18</f>
        <v>70.793999999999997</v>
      </c>
      <c r="V321" s="15">
        <f>IFERROR(ROUND(DATA[[#This Row],[SUB TOTAL]]+DATA[[#This Row],[IGV]],2),0)</f>
        <v>464.09</v>
      </c>
      <c r="W321" s="16" t="str">
        <f>IF(DATA[[#This Row],[VALORIZACIÓN ]]="-","NO CORRESPONDE",IF(OR(A321=20558226979,A321=10470707866,A321=20111157058,A321=20100226902),"NO CORRESPONDE",IF(J321="Emitida",IF(P321&gt;0,"EMITIDA","PENDIENTE"),"NO CORRESPONDE")))</f>
        <v>EMITIDA</v>
      </c>
      <c r="X321" s="29"/>
      <c r="Y321" s="17" t="s">
        <v>118</v>
      </c>
      <c r="Z321" s="30">
        <v>45744</v>
      </c>
      <c r="AA321" s="10" t="s">
        <v>150</v>
      </c>
      <c r="AB321" s="19">
        <v>2</v>
      </c>
      <c r="AC321" s="20">
        <v>30</v>
      </c>
      <c r="AD321" s="18">
        <f>DATA[[#This Row],[FECHA DE EMISION]]+DATA[[#This Row],[CONDICION DE PAGO]]</f>
        <v>45774</v>
      </c>
      <c r="AE321" s="23">
        <f>IF(DATA[[#This Row],[MONEDA]]="USD",VLOOKUP(DATA[[#This Row],[COMBINADA]],#REF!,11,0),1)</f>
        <v>1</v>
      </c>
      <c r="AF321" s="39" t="str">
        <f>IF(DATA[[#This Row],[SERIE2]]="-","NO CORRESPONDE",IF(W321="NO CORRESPONDE","NO CORRESPONDE",IF(Z321&gt;0,"FACTURADO","PENDIENTE")))</f>
        <v>FACTURADO</v>
      </c>
      <c r="AG321" s="27">
        <f>IFERROR(VLOOKUP(DATA[[#This Row],[COMBINADA]],#REF!,6,0),0)</f>
        <v>0</v>
      </c>
      <c r="AH321" s="125">
        <f>IFERROR(VLOOKUP(DATA[[#This Row],[COMBINADA]],#REF!,9,0),0)/COUNTIFS(DATA[COMBINADA],DATA[[#This Row],[COMBINADA]])</f>
        <v>0</v>
      </c>
      <c r="AI321" s="27">
        <f>IFERROR(VLOOKUP(DATA[[#This Row],[COMBINADA]],#REF!,6,0),0)</f>
        <v>0</v>
      </c>
      <c r="AJ321" s="125">
        <f>IFERROR(VLOOKUP(DATA[[#This Row],[COMBINADA]],#REF!,9,0),0)/COUNTIFS(DATA[COMBINADA],DATA[[#This Row],[COMBINADA]])</f>
        <v>0</v>
      </c>
      <c r="AK321" s="27">
        <f>IFERROR(VLOOKUP(DATA[[#This Row],[COMBINADA]],#REF!,6,0),0)</f>
        <v>0</v>
      </c>
      <c r="AL321" s="125">
        <f>IFERROR(VLOOKUP(DATA[[#This Row],[COMBINADA]],#REF!,9,0),0)/COUNTIFS(DATA[COMBINADA],DATA[[#This Row],[COMBINADA]])</f>
        <v>0</v>
      </c>
      <c r="AM321" s="27">
        <f>IFERROR(VLOOKUP(DATA[[#This Row],[COMBINADA]],#REF!,6,0),0)</f>
        <v>0</v>
      </c>
      <c r="AN321" s="125">
        <f>IFERROR(VLOOKUP(DATA[[#This Row],[COMBINADA]],#REF!,9,0),0)/COUNTIFS(DATA[COMBINADA],DATA[[#This Row],[COMBINADA]])</f>
        <v>0</v>
      </c>
      <c r="AO321" s="27">
        <f>IFERROR(VLOOKUP(DATA[[#This Row],[COMBINADA]],#REF!,6,0),0)</f>
        <v>0</v>
      </c>
      <c r="AP321" s="125">
        <f>IFERROR(VLOOKUP(DATA[[#This Row],[COMBINADA]],#REF!,9,0),0)/COUNTIFS(DATA[COMBINADA],DATA[[#This Row],[COMBINADA]])</f>
        <v>0</v>
      </c>
      <c r="AQ32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321" s="26" t="str">
        <f>IFERROR(IF(DATA[[#This Row],[estado_fact]]="FACTURADO",VLOOKUP(DATA[[#This Row],[SERIE2]]&amp;"-"&amp;DATA[[#This Row],[NUMERO]],#REF!,34,0),"NO CORRESPONDE"),"NO CORRESPONDE")</f>
        <v>NO CORRESPONDE</v>
      </c>
      <c r="AS321" s="22" t="str">
        <f>IF(DATA[[#This Row],[fecha_fs]]&gt;0,TEXT(DATA[[#This Row],[fecha_fs]],"Mmmm"),0)</f>
        <v>Marzo</v>
      </c>
      <c r="AT321" s="22" t="str">
        <f>DATA[[#This Row],[SERIE2]]&amp;"-"&amp;DATA[[#This Row],[NUMERO]]</f>
        <v>FF01-2</v>
      </c>
      <c r="AU321" s="28">
        <f>DATA[[#This Row],[TOTAL]]*DATA[[#This Row],[T.C.]]</f>
        <v>464.09</v>
      </c>
      <c r="AV321" s="6">
        <f>DATA[[#This Row],[FECHA DE VAL.]]</f>
        <v>45743</v>
      </c>
      <c r="AW321" s="6">
        <f>DATA[[#This Row],[FECHA DE EMISION]]</f>
        <v>45744</v>
      </c>
      <c r="AX321" s="6">
        <f>DATA[[#This Row],[F1]]</f>
        <v>0</v>
      </c>
      <c r="AY321" s="20">
        <f>IF(AV321-DATA[[#This Row],[fecha_fs]]&lt;0,0,AV321-DATA[[#This Row],[fecha_fs]])</f>
        <v>20</v>
      </c>
      <c r="AZ321" s="20">
        <f t="shared" si="37"/>
        <v>1</v>
      </c>
      <c r="BA321" s="20">
        <f t="shared" si="38"/>
        <v>0</v>
      </c>
      <c r="BB321" s="195">
        <f>IFERROR(SUM(DATA[[#This Row],[fs_val_ttf]:[fact_pago_ttf]]),0)</f>
        <v>21</v>
      </c>
      <c r="BC321" s="185">
        <v>45742</v>
      </c>
      <c r="BD321" s="185">
        <v>45751</v>
      </c>
      <c r="BE321" s="185">
        <v>45757</v>
      </c>
      <c r="BF321" s="185">
        <v>45758</v>
      </c>
      <c r="BG321" s="20">
        <f>IFERROR(IF(BC321-DATA[[#This Row],[fecha_fs]]&lt;0,0,BC321-DATA[[#This Row],[fecha_fs]]),0)</f>
        <v>19</v>
      </c>
      <c r="BH321" s="20">
        <f t="shared" si="33"/>
        <v>9</v>
      </c>
      <c r="BI321" s="20">
        <f t="shared" si="34"/>
        <v>6</v>
      </c>
      <c r="BJ321" s="20">
        <f t="shared" si="35"/>
        <v>1</v>
      </c>
      <c r="BK321" s="218">
        <f>IFERROR(SUM(DATA[[#This Row],[fs_fd_ttd]:[fend_fenf_ttd]]),0)</f>
        <v>35</v>
      </c>
      <c r="BL321" s="20" t="str">
        <f>IF(DATA[[#This Row],[fecha_fs]]&gt;0,TEXT(DATA[[#This Row],[fecha_fs]],"YYYY"),0)</f>
        <v>2025</v>
      </c>
      <c r="BM321" s="221" t="b">
        <v>1</v>
      </c>
      <c r="BN321" s="278">
        <f>COUNTIF(DATA[[#This Row],[tiempo_td]], "&lt;=15")</f>
        <v>0</v>
      </c>
      <c r="BO321" s="222"/>
    </row>
    <row r="322" spans="1:67" ht="30.6" customHeight="1" x14ac:dyDescent="0.25">
      <c r="A322" s="4">
        <v>20100226902</v>
      </c>
      <c r="B322" s="5" t="s">
        <v>24</v>
      </c>
      <c r="C322" s="52" t="s">
        <v>18</v>
      </c>
      <c r="D322" s="4" t="s">
        <v>112</v>
      </c>
      <c r="E322" s="5" t="s">
        <v>1</v>
      </c>
      <c r="F322" s="24">
        <v>45721</v>
      </c>
      <c r="G322" s="7" t="s">
        <v>113</v>
      </c>
      <c r="H322" s="25">
        <f t="shared" si="36"/>
        <v>1</v>
      </c>
      <c r="I322" s="67">
        <v>4205</v>
      </c>
      <c r="J322" s="8" t="s">
        <v>115</v>
      </c>
      <c r="K322" s="9" t="s">
        <v>116</v>
      </c>
      <c r="L322" s="10" t="s">
        <v>117</v>
      </c>
      <c r="M322" s="11">
        <v>830</v>
      </c>
      <c r="N322" s="12" t="s">
        <v>125</v>
      </c>
      <c r="O322" s="40"/>
      <c r="P322" s="41" t="s">
        <v>114</v>
      </c>
      <c r="Q322" s="42"/>
      <c r="R322" s="43"/>
      <c r="S322" s="43"/>
      <c r="T322" s="43">
        <f>DATA[[#This Row],[C. DF]]+DATA[[#This Row],[C.OPE.]]</f>
        <v>0</v>
      </c>
      <c r="U322" s="43">
        <f>DATA[[#This Row],[SUB TOTAL]]*0.18</f>
        <v>0</v>
      </c>
      <c r="V322" s="43">
        <f>IFERROR(ROUND(DATA[[#This Row],[SUB TOTAL]]+DATA[[#This Row],[IGV]],2),0)</f>
        <v>0</v>
      </c>
      <c r="W322" s="58" t="str">
        <f>IF(DATA[[#This Row],[VALORIZACIÓN ]]="-","NO CORRESPONDE",IF(OR(A322=20558226979,A322=10470707866,A322=20111157058,A322=20100226902),"NO CORRESPONDE",IF(J322="Emitida",IF(P322&gt;0,"EMITIDA","PENDIENTE"),"NO CORRESPONDE")))</f>
        <v>NO CORRESPONDE</v>
      </c>
      <c r="X322" s="45"/>
      <c r="Y322" s="58" t="s">
        <v>128</v>
      </c>
      <c r="Z322" s="46"/>
      <c r="AA322" s="47"/>
      <c r="AB322" s="48"/>
      <c r="AC322" s="49"/>
      <c r="AD322" s="50">
        <f>DATA[[#This Row],[FECHA DE EMISION]]+DATA[[#This Row],[CONDICION DE PAGO]]</f>
        <v>0</v>
      </c>
      <c r="AE322" s="23">
        <f>IF(DATA[[#This Row],[MONEDA]]="USD",VLOOKUP(DATA[[#This Row],[COMBINADA]],#REF!,11,0),1)</f>
        <v>1</v>
      </c>
      <c r="AF322" s="39" t="str">
        <f>IF(DATA[[#This Row],[SERIE2]]="-","NO CORRESPONDE",IF(W322="NO CORRESPONDE","NO CORRESPONDE",IF(Z322&gt;0,"FACTURADO","PENDIENTE")))</f>
        <v>NO CORRESPONDE</v>
      </c>
      <c r="AG322" s="60">
        <f>IFERROR(VLOOKUP(DATA[[#This Row],[COMBINADA]],#REF!,6,0),0)</f>
        <v>0</v>
      </c>
      <c r="AH322" s="126">
        <f>IFERROR(VLOOKUP(DATA[[#This Row],[COMBINADA]],#REF!,9,0),0)/COUNTIFS(DATA[COMBINADA],DATA[[#This Row],[COMBINADA]])</f>
        <v>0</v>
      </c>
      <c r="AI322" s="60">
        <f>IFERROR(VLOOKUP(DATA[[#This Row],[COMBINADA]],#REF!,6,0),0)</f>
        <v>0</v>
      </c>
      <c r="AJ322" s="126">
        <f>IFERROR(VLOOKUP(DATA[[#This Row],[COMBINADA]],#REF!,9,0),0)/COUNTIFS(DATA[COMBINADA],DATA[[#This Row],[COMBINADA]])</f>
        <v>0</v>
      </c>
      <c r="AK322" s="60">
        <f>IFERROR(VLOOKUP(DATA[[#This Row],[COMBINADA]],#REF!,6,0),0)</f>
        <v>0</v>
      </c>
      <c r="AL322" s="126">
        <f>IFERROR(VLOOKUP(DATA[[#This Row],[COMBINADA]],#REF!,9,0),0)/COUNTIFS(DATA[COMBINADA],DATA[[#This Row],[COMBINADA]])</f>
        <v>0</v>
      </c>
      <c r="AM322" s="60">
        <f>IFERROR(VLOOKUP(DATA[[#This Row],[COMBINADA]],#REF!,6,0),0)</f>
        <v>0</v>
      </c>
      <c r="AN322" s="126">
        <f>IFERROR(VLOOKUP(DATA[[#This Row],[COMBINADA]],#REF!,9,0),0)/COUNTIFS(DATA[COMBINADA],DATA[[#This Row],[COMBINADA]])</f>
        <v>0</v>
      </c>
      <c r="AO322" s="60">
        <f>IFERROR(VLOOKUP(DATA[[#This Row],[COMBINADA]],#REF!,6,0),0)</f>
        <v>0</v>
      </c>
      <c r="AP322" s="126">
        <f>IFERROR(VLOOKUP(DATA[[#This Row],[COMBINADA]],#REF!,9,0),0)/COUNTIFS(DATA[COMBINADA],DATA[[#This Row],[COMBINADA]])</f>
        <v>0</v>
      </c>
      <c r="AQ322"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322" s="22" t="str">
        <f>IFERROR(IF(DATA[[#This Row],[estado_fact]]="FACTURADO",VLOOKUP(DATA[[#This Row],[SERIE2]]&amp;"-"&amp;DATA[[#This Row],[NUMERO]],#REF!,34,0),"NO CORRESPONDE"),"NO CORRESPONDE")</f>
        <v>NO CORRESPONDE</v>
      </c>
      <c r="AS322" s="22" t="str">
        <f>IF(DATA[[#This Row],[fecha_fs]]&gt;0,TEXT(DATA[[#This Row],[fecha_fs]],"Mmmm"),0)</f>
        <v>Marzo</v>
      </c>
      <c r="AT322" s="22" t="str">
        <f>DATA[[#This Row],[SERIE2]]&amp;"-"&amp;DATA[[#This Row],[NUMERO]]</f>
        <v>-</v>
      </c>
      <c r="AU322" s="28">
        <f>DATA[[#This Row],[TOTAL]]*DATA[[#This Row],[T.C.]]</f>
        <v>0</v>
      </c>
      <c r="AV322" s="6">
        <f>DATA[[#This Row],[FECHA DE VAL.]]</f>
        <v>0</v>
      </c>
      <c r="AW322" s="6">
        <f>DATA[[#This Row],[FECHA DE EMISION]]</f>
        <v>0</v>
      </c>
      <c r="AX322" s="6">
        <f>DATA[[#This Row],[F1]]</f>
        <v>0</v>
      </c>
      <c r="AY322" s="20">
        <f>IF(AV322-DATA[[#This Row],[fecha_fs]]&lt;0,0,AV322-DATA[[#This Row],[fecha_fs]])</f>
        <v>0</v>
      </c>
      <c r="AZ322" s="20">
        <f t="shared" si="37"/>
        <v>0</v>
      </c>
      <c r="BA322" s="20">
        <f t="shared" si="38"/>
        <v>0</v>
      </c>
      <c r="BB322" s="195">
        <f>IFERROR(SUM(DATA[[#This Row],[fs_val_ttf]:[fact_pago_ttf]]),0)</f>
        <v>0</v>
      </c>
      <c r="BC322" s="185">
        <v>45742</v>
      </c>
      <c r="BD322" s="185">
        <v>45772</v>
      </c>
      <c r="BE322" s="185">
        <v>45768</v>
      </c>
      <c r="BF322" s="185">
        <v>45772</v>
      </c>
      <c r="BG322" s="20">
        <f>IFERROR(IF(BC322-DATA[[#This Row],[fecha_fs]]&lt;0,0,BC322-DATA[[#This Row],[fecha_fs]]),0)</f>
        <v>21</v>
      </c>
      <c r="BH322" s="20">
        <f t="shared" si="33"/>
        <v>30</v>
      </c>
      <c r="BI322" s="20">
        <f t="shared" si="34"/>
        <v>0</v>
      </c>
      <c r="BJ322" s="20">
        <f t="shared" si="35"/>
        <v>4</v>
      </c>
      <c r="BK322" s="218">
        <f>IFERROR(SUM(DATA[[#This Row],[fs_fd_ttd]:[fend_fenf_ttd]]),0)</f>
        <v>55</v>
      </c>
      <c r="BL322" s="20" t="str">
        <f>IF(DATA[[#This Row],[fecha_fs]]&gt;0,TEXT(DATA[[#This Row],[fecha_fs]],"YYYY"),0)</f>
        <v>2025</v>
      </c>
      <c r="BM322" s="221" t="b">
        <v>1</v>
      </c>
      <c r="BN322" s="278">
        <f>COUNTIF(DATA[[#This Row],[tiempo_td]], "&lt;=15")</f>
        <v>0</v>
      </c>
      <c r="BO322" s="222"/>
    </row>
    <row r="323" spans="1:67" ht="30.6" customHeight="1" x14ac:dyDescent="0.25">
      <c r="A323" s="4">
        <v>20100055237</v>
      </c>
      <c r="B323" s="5" t="s">
        <v>21</v>
      </c>
      <c r="C323" s="52" t="s">
        <v>138</v>
      </c>
      <c r="D323" s="4" t="s">
        <v>139</v>
      </c>
      <c r="E323" s="5" t="s">
        <v>23</v>
      </c>
      <c r="F323" s="24">
        <v>45722</v>
      </c>
      <c r="G323" s="7" t="s">
        <v>113</v>
      </c>
      <c r="H323" s="25">
        <f t="shared" si="36"/>
        <v>1</v>
      </c>
      <c r="I323" s="67">
        <v>4206</v>
      </c>
      <c r="J323" s="8" t="s">
        <v>115</v>
      </c>
      <c r="K323" s="9" t="s">
        <v>121</v>
      </c>
      <c r="L323" s="10" t="s">
        <v>117</v>
      </c>
      <c r="M323" s="11">
        <v>30</v>
      </c>
      <c r="N323" s="12" t="s">
        <v>125</v>
      </c>
      <c r="O323" s="6">
        <v>45743</v>
      </c>
      <c r="P323" s="54">
        <v>3365</v>
      </c>
      <c r="Q323" s="14" t="s">
        <v>85</v>
      </c>
      <c r="R323" s="15"/>
      <c r="S323" s="15">
        <v>297.92</v>
      </c>
      <c r="T323" s="15">
        <f>DATA[[#This Row],[C. DF]]+DATA[[#This Row],[C.OPE.]]</f>
        <v>297.92</v>
      </c>
      <c r="U323" s="15">
        <f>DATA[[#This Row],[SUB TOTAL]]*0.18</f>
        <v>53.625599999999999</v>
      </c>
      <c r="V323" s="15">
        <f>IFERROR(ROUND(DATA[[#This Row],[SUB TOTAL]]+DATA[[#This Row],[IGV]],2),0)</f>
        <v>351.55</v>
      </c>
      <c r="W323" s="16" t="str">
        <f>IF(DATA[[#This Row],[VALORIZACIÓN ]]="-","NO CORRESPONDE",IF(OR(A323=20558226979,A323=10470707866,A323=20111157058,A323=20100226902),"NO CORRESPONDE",IF(J323="Emitida",IF(P323&gt;0,"EMITIDA","PENDIENTE"),"NO CORRESPONDE")))</f>
        <v>EMITIDA</v>
      </c>
      <c r="X323" s="29"/>
      <c r="Y323" s="17" t="s">
        <v>118</v>
      </c>
      <c r="Z323" s="30">
        <v>45785</v>
      </c>
      <c r="AA323" s="10" t="s">
        <v>150</v>
      </c>
      <c r="AB323" s="19">
        <v>72</v>
      </c>
      <c r="AC323" s="20">
        <v>30</v>
      </c>
      <c r="AD323" s="18">
        <f>DATA[[#This Row],[FECHA DE EMISION]]+DATA[[#This Row],[CONDICION DE PAGO]]</f>
        <v>45815</v>
      </c>
      <c r="AE323" s="23">
        <f>IF(DATA[[#This Row],[MONEDA]]="USD",VLOOKUP(DATA[[#This Row],[COMBINADA]],#REF!,11,0),1)</f>
        <v>1</v>
      </c>
      <c r="AF323" s="39" t="str">
        <f>IF(DATA[[#This Row],[SERIE2]]="-","NO CORRESPONDE",IF(W323="NO CORRESPONDE","NO CORRESPONDE",IF(Z323&gt;0,"FACTURADO","PENDIENTE")))</f>
        <v>FACTURADO</v>
      </c>
      <c r="AG323" s="27">
        <f>IFERROR(VLOOKUP(DATA[[#This Row],[COMBINADA]],#REF!,6,0),0)</f>
        <v>0</v>
      </c>
      <c r="AH323" s="125">
        <f>IFERROR(VLOOKUP(DATA[[#This Row],[COMBINADA]],#REF!,9,0),0)/COUNTIFS(DATA[COMBINADA],DATA[[#This Row],[COMBINADA]])</f>
        <v>0</v>
      </c>
      <c r="AI323" s="27">
        <f>IFERROR(VLOOKUP(DATA[[#This Row],[COMBINADA]],#REF!,6,0),0)</f>
        <v>0</v>
      </c>
      <c r="AJ323" s="125">
        <f>IFERROR(VLOOKUP(DATA[[#This Row],[COMBINADA]],#REF!,9,0),0)/COUNTIFS(DATA[COMBINADA],DATA[[#This Row],[COMBINADA]])</f>
        <v>0</v>
      </c>
      <c r="AK323" s="27">
        <f>IFERROR(VLOOKUP(DATA[[#This Row],[COMBINADA]],#REF!,6,0),0)</f>
        <v>0</v>
      </c>
      <c r="AL323" s="125">
        <f>IFERROR(VLOOKUP(DATA[[#This Row],[COMBINADA]],#REF!,9,0),0)/COUNTIFS(DATA[COMBINADA],DATA[[#This Row],[COMBINADA]])</f>
        <v>0</v>
      </c>
      <c r="AM323" s="27">
        <f>IFERROR(VLOOKUP(DATA[[#This Row],[COMBINADA]],#REF!,6,0),0)</f>
        <v>0</v>
      </c>
      <c r="AN323" s="125">
        <f>IFERROR(VLOOKUP(DATA[[#This Row],[COMBINADA]],#REF!,9,0),0)/COUNTIFS(DATA[COMBINADA],DATA[[#This Row],[COMBINADA]])</f>
        <v>0</v>
      </c>
      <c r="AO323" s="27">
        <f>IFERROR(VLOOKUP(DATA[[#This Row],[COMBINADA]],#REF!,6,0),0)</f>
        <v>0</v>
      </c>
      <c r="AP323" s="125">
        <f>IFERROR(VLOOKUP(DATA[[#This Row],[COMBINADA]],#REF!,9,0),0)/COUNTIFS(DATA[COMBINADA],DATA[[#This Row],[COMBINADA]])</f>
        <v>0</v>
      </c>
      <c r="AQ32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323" s="26" t="str">
        <f>IFERROR(IF(DATA[[#This Row],[estado_fact]]="FACTURADO",VLOOKUP(DATA[[#This Row],[SERIE2]]&amp;"-"&amp;DATA[[#This Row],[NUMERO]],#REF!,34,0),"NO CORRESPONDE"),"NO CORRESPONDE")</f>
        <v>NO CORRESPONDE</v>
      </c>
      <c r="AS323" s="22" t="str">
        <f>IF(DATA[[#This Row],[fecha_fs]]&gt;0,TEXT(DATA[[#This Row],[fecha_fs]],"Mmmm"),0)</f>
        <v>Marzo</v>
      </c>
      <c r="AT323" s="22" t="str">
        <f>DATA[[#This Row],[SERIE2]]&amp;"-"&amp;DATA[[#This Row],[NUMERO]]</f>
        <v>FF01-72</v>
      </c>
      <c r="AU323" s="28">
        <f>DATA[[#This Row],[TOTAL]]*DATA[[#This Row],[T.C.]]</f>
        <v>351.55</v>
      </c>
      <c r="AV323" s="6">
        <f>DATA[[#This Row],[FECHA DE VAL.]]</f>
        <v>45743</v>
      </c>
      <c r="AW323" s="6">
        <f>DATA[[#This Row],[FECHA DE EMISION]]</f>
        <v>45785</v>
      </c>
      <c r="AX323" s="6">
        <f>DATA[[#This Row],[F1]]</f>
        <v>0</v>
      </c>
      <c r="AY323" s="20">
        <f>IF(AV323-DATA[[#This Row],[fecha_fs]]&lt;0,0,AV323-DATA[[#This Row],[fecha_fs]])</f>
        <v>21</v>
      </c>
      <c r="AZ323" s="20">
        <f t="shared" si="37"/>
        <v>42</v>
      </c>
      <c r="BA323" s="20">
        <f t="shared" si="38"/>
        <v>0</v>
      </c>
      <c r="BB323" s="195">
        <f>IFERROR(SUM(DATA[[#This Row],[fs_val_ttf]:[fact_pago_ttf]]),0)</f>
        <v>63</v>
      </c>
      <c r="BC323" s="185">
        <v>45722</v>
      </c>
      <c r="BD323" s="185">
        <v>45722</v>
      </c>
      <c r="BE323" s="185">
        <v>45743</v>
      </c>
      <c r="BF323" s="185">
        <v>45743</v>
      </c>
      <c r="BG323" s="20">
        <f>IFERROR(IF(BC323-DATA[[#This Row],[fecha_fs]]&lt;0,0,BC323-DATA[[#This Row],[fecha_fs]]),0)</f>
        <v>0</v>
      </c>
      <c r="BH323" s="20">
        <f t="shared" si="33"/>
        <v>0</v>
      </c>
      <c r="BI323" s="20">
        <f t="shared" si="34"/>
        <v>21</v>
      </c>
      <c r="BJ323" s="20">
        <f t="shared" si="35"/>
        <v>0</v>
      </c>
      <c r="BK323" s="218">
        <f>IFERROR(SUM(DATA[[#This Row],[fs_fd_ttd]:[fend_fenf_ttd]]),0)</f>
        <v>21</v>
      </c>
      <c r="BL323" s="20" t="str">
        <f>IF(DATA[[#This Row],[fecha_fs]]&gt;0,TEXT(DATA[[#This Row],[fecha_fs]],"YYYY"),0)</f>
        <v>2025</v>
      </c>
      <c r="BM323" s="221" t="b">
        <v>1</v>
      </c>
      <c r="BN323" s="278">
        <f>COUNTIF(DATA[[#This Row],[tiempo_td]], "&lt;=15")</f>
        <v>0</v>
      </c>
      <c r="BO323" s="222"/>
    </row>
    <row r="324" spans="1:67" ht="30.6" customHeight="1" x14ac:dyDescent="0.25">
      <c r="A324" s="4">
        <v>20553956324</v>
      </c>
      <c r="B324" s="5" t="s">
        <v>281</v>
      </c>
      <c r="C324" s="52" t="s">
        <v>175</v>
      </c>
      <c r="D324" s="4" t="s">
        <v>120</v>
      </c>
      <c r="E324" s="5" t="s">
        <v>3</v>
      </c>
      <c r="F324" s="24">
        <v>45723</v>
      </c>
      <c r="G324" s="7" t="s">
        <v>113</v>
      </c>
      <c r="H324" s="25">
        <f t="shared" si="36"/>
        <v>1</v>
      </c>
      <c r="I324" s="67">
        <v>4207</v>
      </c>
      <c r="J324" s="8" t="s">
        <v>115</v>
      </c>
      <c r="K324" s="9" t="s">
        <v>121</v>
      </c>
      <c r="L324" s="10" t="s">
        <v>117</v>
      </c>
      <c r="M324" s="11">
        <v>120</v>
      </c>
      <c r="N324" s="12" t="s">
        <v>132</v>
      </c>
      <c r="O324" s="6">
        <v>45747</v>
      </c>
      <c r="P324" s="109">
        <v>3370</v>
      </c>
      <c r="Q324" s="14" t="s">
        <v>85</v>
      </c>
      <c r="R324" s="15">
        <f>DATA[[#This Row],[cantidad_fs]]*0.08</f>
        <v>9.6</v>
      </c>
      <c r="S324" s="15">
        <v>395.1</v>
      </c>
      <c r="T324" s="15">
        <f>DATA[[#This Row],[C. DF]]+DATA[[#This Row],[C.OPE.]]</f>
        <v>404.70000000000005</v>
      </c>
      <c r="U324" s="15">
        <f>DATA[[#This Row],[SUB TOTAL]]*0.18</f>
        <v>72.846000000000004</v>
      </c>
      <c r="V324" s="15">
        <f>IFERROR(ROUND(DATA[[#This Row],[SUB TOTAL]]+DATA[[#This Row],[IGV]],2),0)</f>
        <v>477.55</v>
      </c>
      <c r="W324" s="16" t="str">
        <f>IF(DATA[[#This Row],[VALORIZACIÓN ]]="-","NO CORRESPONDE",IF(OR(A324=20558226979,A324=10470707866,A324=20111157058,A324=20100226902),"NO CORRESPONDE",IF(J324="Emitida",IF(P324&gt;0,"EMITIDA","PENDIENTE"),"NO CORRESPONDE")))</f>
        <v>EMITIDA</v>
      </c>
      <c r="X324" s="29"/>
      <c r="Y324" s="17" t="s">
        <v>118</v>
      </c>
      <c r="Z324" s="30">
        <v>45790</v>
      </c>
      <c r="AA324" s="10" t="s">
        <v>150</v>
      </c>
      <c r="AB324" s="19">
        <v>75</v>
      </c>
      <c r="AC324" s="20"/>
      <c r="AD324" s="18">
        <f>DATA[[#This Row],[FECHA DE EMISION]]+DATA[[#This Row],[CONDICION DE PAGO]]</f>
        <v>45790</v>
      </c>
      <c r="AE324" s="23">
        <f>IF(DATA[[#This Row],[MONEDA]]="USD",VLOOKUP(DATA[[#This Row],[COMBINADA]],#REF!,11,0),1)</f>
        <v>1</v>
      </c>
      <c r="AF324" s="39" t="str">
        <f>IF(DATA[[#This Row],[SERIE2]]="-","NO CORRESPONDE",IF(W324="NO CORRESPONDE","NO CORRESPONDE",IF(Z324&gt;0,"FACTURADO","PENDIENTE")))</f>
        <v>FACTURADO</v>
      </c>
      <c r="AG324" s="27">
        <f>IFERROR(VLOOKUP(DATA[[#This Row],[COMBINADA]],#REF!,6,0),0)</f>
        <v>0</v>
      </c>
      <c r="AH324" s="125">
        <f>IFERROR(VLOOKUP(DATA[[#This Row],[COMBINADA]],#REF!,9,0),0)/COUNTIFS(DATA[COMBINADA],DATA[[#This Row],[COMBINADA]])</f>
        <v>0</v>
      </c>
      <c r="AI324" s="27">
        <f>IFERROR(VLOOKUP(DATA[[#This Row],[COMBINADA]],#REF!,6,0),0)</f>
        <v>0</v>
      </c>
      <c r="AJ324" s="125">
        <f>IFERROR(VLOOKUP(DATA[[#This Row],[COMBINADA]],#REF!,9,0),0)/COUNTIFS(DATA[COMBINADA],DATA[[#This Row],[COMBINADA]])</f>
        <v>0</v>
      </c>
      <c r="AK324" s="27">
        <f>IFERROR(VLOOKUP(DATA[[#This Row],[COMBINADA]],#REF!,6,0),0)</f>
        <v>0</v>
      </c>
      <c r="AL324" s="125">
        <f>IFERROR(VLOOKUP(DATA[[#This Row],[COMBINADA]],#REF!,9,0),0)/COUNTIFS(DATA[COMBINADA],DATA[[#This Row],[COMBINADA]])</f>
        <v>0</v>
      </c>
      <c r="AM324" s="27">
        <f>IFERROR(VLOOKUP(DATA[[#This Row],[COMBINADA]],#REF!,6,0),0)</f>
        <v>0</v>
      </c>
      <c r="AN324" s="125">
        <f>IFERROR(VLOOKUP(DATA[[#This Row],[COMBINADA]],#REF!,9,0),0)/COUNTIFS(DATA[COMBINADA],DATA[[#This Row],[COMBINADA]])</f>
        <v>0</v>
      </c>
      <c r="AO324" s="27">
        <f>IFERROR(VLOOKUP(DATA[[#This Row],[COMBINADA]],#REF!,6,0),0)</f>
        <v>0</v>
      </c>
      <c r="AP324" s="125">
        <f>IFERROR(VLOOKUP(DATA[[#This Row],[COMBINADA]],#REF!,9,0),0)/COUNTIFS(DATA[COMBINADA],DATA[[#This Row],[COMBINADA]])</f>
        <v>0</v>
      </c>
      <c r="AQ32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490.09299999999996</v>
      </c>
      <c r="AR324" s="26" t="str">
        <f>IFERROR(IF(DATA[[#This Row],[estado_fact]]="FACTURADO",VLOOKUP(DATA[[#This Row],[SERIE2]]&amp;"-"&amp;DATA[[#This Row],[NUMERO]],#REF!,34,0),"NO CORRESPONDE"),"NO CORRESPONDE")</f>
        <v>NO CORRESPONDE</v>
      </c>
      <c r="AS324" s="22" t="str">
        <f>IF(DATA[[#This Row],[fecha_fs]]&gt;0,TEXT(DATA[[#This Row],[fecha_fs]],"Mmmm"),0)</f>
        <v>Marzo</v>
      </c>
      <c r="AT324" s="22" t="str">
        <f>DATA[[#This Row],[SERIE2]]&amp;"-"&amp;DATA[[#This Row],[NUMERO]]</f>
        <v>FF01-75</v>
      </c>
      <c r="AU324" s="28">
        <f>DATA[[#This Row],[TOTAL]]*DATA[[#This Row],[T.C.]]</f>
        <v>477.55</v>
      </c>
      <c r="AV324" s="6">
        <f>DATA[[#This Row],[FECHA DE VAL.]]</f>
        <v>45747</v>
      </c>
      <c r="AW324" s="6">
        <f>DATA[[#This Row],[FECHA DE EMISION]]</f>
        <v>45790</v>
      </c>
      <c r="AX324" s="6">
        <f>DATA[[#This Row],[F1]]</f>
        <v>0</v>
      </c>
      <c r="AY324" s="20">
        <f>IF(AV324-DATA[[#This Row],[fecha_fs]]&lt;0,0,AV324-DATA[[#This Row],[fecha_fs]])</f>
        <v>24</v>
      </c>
      <c r="AZ324" s="20">
        <f t="shared" si="37"/>
        <v>43</v>
      </c>
      <c r="BA324" s="20">
        <f t="shared" si="38"/>
        <v>0</v>
      </c>
      <c r="BB324" s="195">
        <f>IFERROR(SUM(DATA[[#This Row],[fs_val_ttf]:[fact_pago_ttf]]),0)</f>
        <v>67</v>
      </c>
      <c r="BC324" s="185">
        <v>45748</v>
      </c>
      <c r="BD324" s="185">
        <v>45751</v>
      </c>
      <c r="BE324" s="185">
        <v>45756</v>
      </c>
      <c r="BF324" s="185">
        <v>45758</v>
      </c>
      <c r="BG324" s="20">
        <f>IFERROR(IF(BC324-DATA[[#This Row],[fecha_fs]]&lt;0,0,BC324-DATA[[#This Row],[fecha_fs]]),0)</f>
        <v>25</v>
      </c>
      <c r="BH324" s="20">
        <f t="shared" si="33"/>
        <v>3</v>
      </c>
      <c r="BI324" s="20">
        <f t="shared" si="34"/>
        <v>5</v>
      </c>
      <c r="BJ324" s="20">
        <f t="shared" si="35"/>
        <v>2</v>
      </c>
      <c r="BK324" s="218">
        <f>IFERROR(SUM(DATA[[#This Row],[fs_fd_ttd]:[fend_fenf_ttd]]),0)</f>
        <v>35</v>
      </c>
      <c r="BL324" s="20" t="str">
        <f>IF(DATA[[#This Row],[fecha_fs]]&gt;0,TEXT(DATA[[#This Row],[fecha_fs]],"YYYY"),0)</f>
        <v>2025</v>
      </c>
      <c r="BM324" s="221" t="b">
        <v>1</v>
      </c>
      <c r="BN324" s="278">
        <f>COUNTIF(DATA[[#This Row],[tiempo_td]], "&lt;=15")</f>
        <v>0</v>
      </c>
      <c r="BO324" s="222"/>
    </row>
    <row r="325" spans="1:67" ht="30.6" customHeight="1" x14ac:dyDescent="0.25">
      <c r="A325" s="4">
        <v>20419158462</v>
      </c>
      <c r="B325" s="5" t="s">
        <v>2</v>
      </c>
      <c r="C325" s="52" t="s">
        <v>155</v>
      </c>
      <c r="D325" s="4" t="s">
        <v>120</v>
      </c>
      <c r="E325" s="5" t="s">
        <v>3</v>
      </c>
      <c r="F325" s="24">
        <v>45723</v>
      </c>
      <c r="G325" s="7" t="s">
        <v>113</v>
      </c>
      <c r="H325" s="25">
        <f t="shared" si="36"/>
        <v>1</v>
      </c>
      <c r="I325" s="67">
        <v>4208</v>
      </c>
      <c r="J325" s="8" t="s">
        <v>115</v>
      </c>
      <c r="K325" s="9" t="s">
        <v>156</v>
      </c>
      <c r="L325" s="10" t="s">
        <v>117</v>
      </c>
      <c r="M325" s="11">
        <v>780</v>
      </c>
      <c r="N325" s="12" t="s">
        <v>125</v>
      </c>
      <c r="O325" s="6">
        <v>45744</v>
      </c>
      <c r="P325" s="83">
        <v>3367</v>
      </c>
      <c r="Q325" s="14" t="s">
        <v>85</v>
      </c>
      <c r="R325" s="15">
        <v>0</v>
      </c>
      <c r="S325" s="15">
        <f>1429.7/2</f>
        <v>714.85</v>
      </c>
      <c r="T325" s="15">
        <f>DATA[[#This Row],[C. DF]]+DATA[[#This Row],[C.OPE.]]</f>
        <v>714.85</v>
      </c>
      <c r="U325" s="15">
        <f>DATA[[#This Row],[SUB TOTAL]]*0.18</f>
        <v>128.673</v>
      </c>
      <c r="V325" s="15">
        <f>IFERROR(ROUND(DATA[[#This Row],[SUB TOTAL]]+DATA[[#This Row],[IGV]],2),0)</f>
        <v>843.52</v>
      </c>
      <c r="W325" s="16" t="str">
        <f>IF(DATA[[#This Row],[VALORIZACIÓN ]]="-","NO CORRESPONDE",IF(OR(A325=20558226979,A325=10470707866,A325=20111157058,A325=20100226902),"NO CORRESPONDE",IF(J325="Emitida",IF(P325&gt;0,"EMITIDA","PENDIENTE"),"NO CORRESPONDE")))</f>
        <v>EMITIDA</v>
      </c>
      <c r="X325" s="29"/>
      <c r="Y325" s="17" t="s">
        <v>118</v>
      </c>
      <c r="Z325" s="30">
        <v>45798</v>
      </c>
      <c r="AA325" s="10" t="s">
        <v>150</v>
      </c>
      <c r="AB325" s="19">
        <v>81</v>
      </c>
      <c r="AC325" s="20">
        <v>15</v>
      </c>
      <c r="AD325" s="18">
        <f>DATA[[#This Row],[FECHA DE EMISION]]+DATA[[#This Row],[CONDICION DE PAGO]]</f>
        <v>45813</v>
      </c>
      <c r="AE325" s="23">
        <f>IF(DATA[[#This Row],[MONEDA]]="USD",VLOOKUP(DATA[[#This Row],[COMBINADA]],#REF!,11,0),1)</f>
        <v>1</v>
      </c>
      <c r="AF325" s="39" t="str">
        <f>IF(DATA[[#This Row],[SERIE2]]="-","NO CORRESPONDE",IF(W325="NO CORRESPONDE","NO CORRESPONDE",IF(Z325&gt;0,"FACTURADO","PENDIENTE")))</f>
        <v>FACTURADO</v>
      </c>
      <c r="AG325" s="27">
        <f>IFERROR(VLOOKUP(DATA[[#This Row],[COMBINADA]],#REF!,6,0),0)</f>
        <v>0</v>
      </c>
      <c r="AH325" s="125">
        <f>IFERROR(VLOOKUP(DATA[[#This Row],[COMBINADA]],#REF!,9,0),0)/COUNTIFS(DATA[COMBINADA],DATA[[#This Row],[COMBINADA]])</f>
        <v>0</v>
      </c>
      <c r="AI325" s="27">
        <f>IFERROR(VLOOKUP(DATA[[#This Row],[COMBINADA]],#REF!,6,0),0)</f>
        <v>0</v>
      </c>
      <c r="AJ325" s="125">
        <f>IFERROR(VLOOKUP(DATA[[#This Row],[COMBINADA]],#REF!,9,0),0)/COUNTIFS(DATA[COMBINADA],DATA[[#This Row],[COMBINADA]])</f>
        <v>0</v>
      </c>
      <c r="AK325" s="27">
        <f>IFERROR(VLOOKUP(DATA[[#This Row],[COMBINADA]],#REF!,6,0),0)</f>
        <v>0</v>
      </c>
      <c r="AL325" s="125">
        <f>IFERROR(VLOOKUP(DATA[[#This Row],[COMBINADA]],#REF!,9,0),0)/COUNTIFS(DATA[COMBINADA],DATA[[#This Row],[COMBINADA]])</f>
        <v>0</v>
      </c>
      <c r="AM325" s="27">
        <f>IFERROR(VLOOKUP(DATA[[#This Row],[COMBINADA]],#REF!,6,0),0)</f>
        <v>0</v>
      </c>
      <c r="AN325" s="125">
        <f>IFERROR(VLOOKUP(DATA[[#This Row],[COMBINADA]],#REF!,9,0),0)/COUNTIFS(DATA[COMBINADA],DATA[[#This Row],[COMBINADA]])</f>
        <v>0</v>
      </c>
      <c r="AO325" s="27">
        <f>IFERROR(VLOOKUP(DATA[[#This Row],[COMBINADA]],#REF!,6,0),0)</f>
        <v>0</v>
      </c>
      <c r="AP325" s="125">
        <f>IFERROR(VLOOKUP(DATA[[#This Row],[COMBINADA]],#REF!,9,0),0)/COUNTIFS(DATA[COMBINADA],DATA[[#This Row],[COMBINADA]])</f>
        <v>0</v>
      </c>
      <c r="AQ32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325" s="26" t="str">
        <f>IFERROR(IF(DATA[[#This Row],[estado_fact]]="FACTURADO",VLOOKUP(DATA[[#This Row],[SERIE2]]&amp;"-"&amp;DATA[[#This Row],[NUMERO]],#REF!,34,0),"NO CORRESPONDE"),"NO CORRESPONDE")</f>
        <v>NO CORRESPONDE</v>
      </c>
      <c r="AS325" s="22" t="str">
        <f>IF(DATA[[#This Row],[fecha_fs]]&gt;0,TEXT(DATA[[#This Row],[fecha_fs]],"Mmmm"),0)</f>
        <v>Marzo</v>
      </c>
      <c r="AT325" s="22" t="str">
        <f>DATA[[#This Row],[SERIE2]]&amp;"-"&amp;DATA[[#This Row],[NUMERO]]</f>
        <v>FF01-81</v>
      </c>
      <c r="AU325" s="28">
        <f>DATA[[#This Row],[TOTAL]]*DATA[[#This Row],[T.C.]]</f>
        <v>843.52</v>
      </c>
      <c r="AV325" s="6">
        <f>DATA[[#This Row],[FECHA DE VAL.]]</f>
        <v>45744</v>
      </c>
      <c r="AW325" s="6">
        <f>DATA[[#This Row],[FECHA DE EMISION]]</f>
        <v>45798</v>
      </c>
      <c r="AX325" s="6">
        <f>DATA[[#This Row],[F1]]</f>
        <v>0</v>
      </c>
      <c r="AY325" s="20">
        <f>IF(AV325-DATA[[#This Row],[fecha_fs]]&lt;0,0,AV325-DATA[[#This Row],[fecha_fs]])</f>
        <v>21</v>
      </c>
      <c r="AZ325" s="20">
        <f t="shared" si="37"/>
        <v>54</v>
      </c>
      <c r="BA325" s="20">
        <f t="shared" si="38"/>
        <v>0</v>
      </c>
      <c r="BB325" s="195">
        <f>IFERROR(SUM(DATA[[#This Row],[fs_val_ttf]:[fact_pago_ttf]]),0)</f>
        <v>75</v>
      </c>
      <c r="BC325" s="185">
        <v>45723</v>
      </c>
      <c r="BD325" s="185">
        <v>45723</v>
      </c>
      <c r="BE325" s="185">
        <v>45751</v>
      </c>
      <c r="BF325" s="185">
        <v>45751</v>
      </c>
      <c r="BG325" s="20">
        <f>IFERROR(IF(BC325-DATA[[#This Row],[fecha_fs]]&lt;0,0,BC325-DATA[[#This Row],[fecha_fs]]),0)</f>
        <v>0</v>
      </c>
      <c r="BH325" s="20">
        <f t="shared" si="33"/>
        <v>0</v>
      </c>
      <c r="BI325" s="20">
        <f t="shared" si="34"/>
        <v>28</v>
      </c>
      <c r="BJ325" s="20">
        <f t="shared" si="35"/>
        <v>0</v>
      </c>
      <c r="BK325" s="218">
        <f>IFERROR(SUM(DATA[[#This Row],[fs_fd_ttd]:[fend_fenf_ttd]]),0)</f>
        <v>28</v>
      </c>
      <c r="BL325" s="20" t="str">
        <f>IF(DATA[[#This Row],[fecha_fs]]&gt;0,TEXT(DATA[[#This Row],[fecha_fs]],"YYYY"),0)</f>
        <v>2025</v>
      </c>
      <c r="BM325" s="221" t="b">
        <v>1</v>
      </c>
      <c r="BN325" s="278">
        <f>COUNTIF(DATA[[#This Row],[tiempo_td]], "&lt;=15")</f>
        <v>0</v>
      </c>
      <c r="BO325" s="222"/>
    </row>
    <row r="326" spans="1:67" ht="30.6" customHeight="1" x14ac:dyDescent="0.25">
      <c r="A326" s="4">
        <v>20419158462</v>
      </c>
      <c r="B326" s="5" t="s">
        <v>2</v>
      </c>
      <c r="C326" s="52" t="s">
        <v>6</v>
      </c>
      <c r="D326" s="4" t="s">
        <v>120</v>
      </c>
      <c r="E326" s="5" t="s">
        <v>3</v>
      </c>
      <c r="F326" s="24">
        <v>45723</v>
      </c>
      <c r="G326" s="7" t="s">
        <v>113</v>
      </c>
      <c r="H326" s="25">
        <f t="shared" si="36"/>
        <v>1</v>
      </c>
      <c r="I326" s="67">
        <v>4209</v>
      </c>
      <c r="J326" s="8" t="s">
        <v>115</v>
      </c>
      <c r="K326" s="9" t="s">
        <v>156</v>
      </c>
      <c r="L326" s="10" t="s">
        <v>117</v>
      </c>
      <c r="M326" s="11">
        <v>790</v>
      </c>
      <c r="N326" s="12" t="s">
        <v>125</v>
      </c>
      <c r="O326" s="6">
        <v>45744</v>
      </c>
      <c r="P326" s="83">
        <v>3367</v>
      </c>
      <c r="Q326" s="14" t="s">
        <v>85</v>
      </c>
      <c r="R326" s="15">
        <v>0</v>
      </c>
      <c r="S326" s="15">
        <f>1429.7/2</f>
        <v>714.85</v>
      </c>
      <c r="T326" s="15">
        <f>DATA[[#This Row],[C. DF]]+DATA[[#This Row],[C.OPE.]]</f>
        <v>714.85</v>
      </c>
      <c r="U326" s="15">
        <f>DATA[[#This Row],[SUB TOTAL]]*0.18</f>
        <v>128.673</v>
      </c>
      <c r="V326" s="15">
        <f>IFERROR(ROUND(DATA[[#This Row],[SUB TOTAL]]+DATA[[#This Row],[IGV]],2),0)</f>
        <v>843.52</v>
      </c>
      <c r="W326" s="16" t="str">
        <f>IF(DATA[[#This Row],[VALORIZACIÓN ]]="-","NO CORRESPONDE",IF(OR(A326=20558226979,A326=10470707866,A326=20111157058,A326=20100226902),"NO CORRESPONDE",IF(J326="Emitida",IF(P326&gt;0,"EMITIDA","PENDIENTE"),"NO CORRESPONDE")))</f>
        <v>EMITIDA</v>
      </c>
      <c r="X326" s="29"/>
      <c r="Y326" s="17" t="s">
        <v>118</v>
      </c>
      <c r="Z326" s="30">
        <v>45798</v>
      </c>
      <c r="AA326" s="10" t="s">
        <v>150</v>
      </c>
      <c r="AB326" s="19">
        <v>81</v>
      </c>
      <c r="AC326" s="20">
        <v>15</v>
      </c>
      <c r="AD326" s="18">
        <f>DATA[[#This Row],[FECHA DE EMISION]]+DATA[[#This Row],[CONDICION DE PAGO]]</f>
        <v>45813</v>
      </c>
      <c r="AE326" s="23">
        <f>IF(DATA[[#This Row],[MONEDA]]="USD",VLOOKUP(DATA[[#This Row],[COMBINADA]],#REF!,11,0),1)</f>
        <v>1</v>
      </c>
      <c r="AF326" s="39" t="str">
        <f>IF(DATA[[#This Row],[SERIE2]]="-","NO CORRESPONDE",IF(W326="NO CORRESPONDE","NO CORRESPONDE",IF(Z326&gt;0,"FACTURADO","PENDIENTE")))</f>
        <v>FACTURADO</v>
      </c>
      <c r="AG326" s="27">
        <f>IFERROR(VLOOKUP(DATA[[#This Row],[COMBINADA]],#REF!,6,0),0)</f>
        <v>0</v>
      </c>
      <c r="AH326" s="125">
        <f>IFERROR(VLOOKUP(DATA[[#This Row],[COMBINADA]],#REF!,9,0),0)/COUNTIFS(DATA[COMBINADA],DATA[[#This Row],[COMBINADA]])</f>
        <v>0</v>
      </c>
      <c r="AI326" s="27">
        <f>IFERROR(VLOOKUP(DATA[[#This Row],[COMBINADA]],#REF!,6,0),0)</f>
        <v>0</v>
      </c>
      <c r="AJ326" s="125">
        <f>IFERROR(VLOOKUP(DATA[[#This Row],[COMBINADA]],#REF!,9,0),0)/COUNTIFS(DATA[COMBINADA],DATA[[#This Row],[COMBINADA]])</f>
        <v>0</v>
      </c>
      <c r="AK326" s="27">
        <f>IFERROR(VLOOKUP(DATA[[#This Row],[COMBINADA]],#REF!,6,0),0)</f>
        <v>0</v>
      </c>
      <c r="AL326" s="125">
        <f>IFERROR(VLOOKUP(DATA[[#This Row],[COMBINADA]],#REF!,9,0),0)/COUNTIFS(DATA[COMBINADA],DATA[[#This Row],[COMBINADA]])</f>
        <v>0</v>
      </c>
      <c r="AM326" s="27">
        <f>IFERROR(VLOOKUP(DATA[[#This Row],[COMBINADA]],#REF!,6,0),0)</f>
        <v>0</v>
      </c>
      <c r="AN326" s="125">
        <f>IFERROR(VLOOKUP(DATA[[#This Row],[COMBINADA]],#REF!,9,0),0)/COUNTIFS(DATA[COMBINADA],DATA[[#This Row],[COMBINADA]])</f>
        <v>0</v>
      </c>
      <c r="AO326" s="27">
        <f>IFERROR(VLOOKUP(DATA[[#This Row],[COMBINADA]],#REF!,6,0),0)</f>
        <v>0</v>
      </c>
      <c r="AP326" s="125">
        <f>IFERROR(VLOOKUP(DATA[[#This Row],[COMBINADA]],#REF!,9,0),0)/COUNTIFS(DATA[COMBINADA],DATA[[#This Row],[COMBINADA]])</f>
        <v>0</v>
      </c>
      <c r="AQ32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326" s="26" t="str">
        <f>IFERROR(IF(DATA[[#This Row],[estado_fact]]="FACTURADO",VLOOKUP(DATA[[#This Row],[SERIE2]]&amp;"-"&amp;DATA[[#This Row],[NUMERO]],#REF!,34,0),"NO CORRESPONDE"),"NO CORRESPONDE")</f>
        <v>NO CORRESPONDE</v>
      </c>
      <c r="AS326" s="22" t="str">
        <f>IF(DATA[[#This Row],[fecha_fs]]&gt;0,TEXT(DATA[[#This Row],[fecha_fs]],"Mmmm"),0)</f>
        <v>Marzo</v>
      </c>
      <c r="AT326" s="22" t="str">
        <f>DATA[[#This Row],[SERIE2]]&amp;"-"&amp;DATA[[#This Row],[NUMERO]]</f>
        <v>FF01-81</v>
      </c>
      <c r="AU326" s="28">
        <f>DATA[[#This Row],[TOTAL]]*DATA[[#This Row],[T.C.]]</f>
        <v>843.52</v>
      </c>
      <c r="AV326" s="6">
        <f>DATA[[#This Row],[FECHA DE VAL.]]</f>
        <v>45744</v>
      </c>
      <c r="AW326" s="6">
        <f>DATA[[#This Row],[FECHA DE EMISION]]</f>
        <v>45798</v>
      </c>
      <c r="AX326" s="6">
        <f>DATA[[#This Row],[F1]]</f>
        <v>0</v>
      </c>
      <c r="AY326" s="20">
        <f>IF(AV326-DATA[[#This Row],[fecha_fs]]&lt;0,0,AV326-DATA[[#This Row],[fecha_fs]])</f>
        <v>21</v>
      </c>
      <c r="AZ326" s="20">
        <f t="shared" si="37"/>
        <v>54</v>
      </c>
      <c r="BA326" s="20">
        <f t="shared" si="38"/>
        <v>0</v>
      </c>
      <c r="BB326" s="195">
        <f>IFERROR(SUM(DATA[[#This Row],[fs_val_ttf]:[fact_pago_ttf]]),0)</f>
        <v>75</v>
      </c>
      <c r="BC326" s="185">
        <v>45723</v>
      </c>
      <c r="BD326" s="185">
        <v>45723</v>
      </c>
      <c r="BE326" s="185">
        <v>45751</v>
      </c>
      <c r="BF326" s="185">
        <v>45751</v>
      </c>
      <c r="BG326" s="20">
        <f>IFERROR(IF(BC326-DATA[[#This Row],[fecha_fs]]&lt;0,0,BC326-DATA[[#This Row],[fecha_fs]]),0)</f>
        <v>0</v>
      </c>
      <c r="BH326" s="20">
        <f t="shared" si="33"/>
        <v>0</v>
      </c>
      <c r="BI326" s="20">
        <f t="shared" si="34"/>
        <v>28</v>
      </c>
      <c r="BJ326" s="20">
        <f t="shared" si="35"/>
        <v>0</v>
      </c>
      <c r="BK326" s="218">
        <f>IFERROR(SUM(DATA[[#This Row],[fs_fd_ttd]:[fend_fenf_ttd]]),0)</f>
        <v>28</v>
      </c>
      <c r="BL326" s="20" t="str">
        <f>IF(DATA[[#This Row],[fecha_fs]]&gt;0,TEXT(DATA[[#This Row],[fecha_fs]],"YYYY"),0)</f>
        <v>2025</v>
      </c>
      <c r="BM326" s="221" t="b">
        <v>1</v>
      </c>
      <c r="BN326" s="278">
        <f>COUNTIF(DATA[[#This Row],[tiempo_td]], "&lt;=15")</f>
        <v>0</v>
      </c>
      <c r="BO326" s="222"/>
    </row>
    <row r="327" spans="1:67" ht="30.6" customHeight="1" x14ac:dyDescent="0.25">
      <c r="A327" s="4">
        <v>20100192064</v>
      </c>
      <c r="B327" s="5" t="s">
        <v>60</v>
      </c>
      <c r="C327" s="52" t="s">
        <v>43</v>
      </c>
      <c r="D327" s="4" t="s">
        <v>120</v>
      </c>
      <c r="E327" s="5" t="s">
        <v>3</v>
      </c>
      <c r="F327" s="24">
        <v>45723</v>
      </c>
      <c r="G327" s="7" t="s">
        <v>113</v>
      </c>
      <c r="H327" s="25">
        <f t="shared" si="36"/>
        <v>1</v>
      </c>
      <c r="I327" s="67">
        <v>4210</v>
      </c>
      <c r="J327" s="8" t="s">
        <v>115</v>
      </c>
      <c r="K327" s="9" t="s">
        <v>121</v>
      </c>
      <c r="L327" s="10" t="s">
        <v>117</v>
      </c>
      <c r="M327" s="11">
        <v>610</v>
      </c>
      <c r="N327" s="12" t="s">
        <v>132</v>
      </c>
      <c r="O327" s="6">
        <v>45742</v>
      </c>
      <c r="P327" s="71">
        <v>3352</v>
      </c>
      <c r="Q327" s="14" t="s">
        <v>123</v>
      </c>
      <c r="R327" s="15">
        <f>(DATA[[#This Row],[cantidad_fs]]/1000)*(47+174.34)</f>
        <v>135.01740000000001</v>
      </c>
      <c r="S327" s="15">
        <v>137</v>
      </c>
      <c r="T327" s="15">
        <f>DATA[[#This Row],[C. DF]]+DATA[[#This Row],[C.OPE.]]</f>
        <v>272.01740000000001</v>
      </c>
      <c r="U327" s="15">
        <f>DATA[[#This Row],[SUB TOTAL]]*0.18</f>
        <v>48.963132000000002</v>
      </c>
      <c r="V327" s="15">
        <f>IFERROR(ROUND(DATA[[#This Row],[SUB TOTAL]]+DATA[[#This Row],[IGV]],2),0)</f>
        <v>320.98</v>
      </c>
      <c r="W327" s="16" t="str">
        <f>IF(DATA[[#This Row],[VALORIZACIÓN ]]="-","NO CORRESPONDE",IF(OR(A327=20558226979,A327=10470707866,A327=20111157058,A327=20100226902),"NO CORRESPONDE",IF(J327="Emitida",IF(P327&gt;0,"EMITIDA","PENDIENTE"),"NO CORRESPONDE")))</f>
        <v>EMITIDA</v>
      </c>
      <c r="X327" s="29" t="s">
        <v>212</v>
      </c>
      <c r="Y327" s="17" t="s">
        <v>118</v>
      </c>
      <c r="Z327" s="30">
        <v>45743</v>
      </c>
      <c r="AA327" s="10" t="s">
        <v>150</v>
      </c>
      <c r="AB327" s="19">
        <v>1</v>
      </c>
      <c r="AC327" s="20">
        <v>30</v>
      </c>
      <c r="AD327" s="18">
        <f>DATA[[#This Row],[FECHA DE EMISION]]+DATA[[#This Row],[CONDICION DE PAGO]]</f>
        <v>45773</v>
      </c>
      <c r="AE327" s="23" t="e">
        <f>IF(DATA[[#This Row],[MONEDA]]="USD",VLOOKUP(DATA[[#This Row],[COMBINADA]],#REF!,11,0),1)</f>
        <v>#REF!</v>
      </c>
      <c r="AF327" s="39" t="str">
        <f>IF(DATA[[#This Row],[SERIE2]]="-","NO CORRESPONDE",IF(W327="NO CORRESPONDE","NO CORRESPONDE",IF(Z327&gt;0,"FACTURADO","PENDIENTE")))</f>
        <v>FACTURADO</v>
      </c>
      <c r="AG327" s="27">
        <f>IFERROR(VLOOKUP(DATA[[#This Row],[COMBINADA]],#REF!,6,0),0)</f>
        <v>0</v>
      </c>
      <c r="AH327" s="125">
        <f>IFERROR(VLOOKUP(DATA[[#This Row],[COMBINADA]],#REF!,9,0),0)/COUNTIFS(DATA[COMBINADA],DATA[[#This Row],[COMBINADA]])</f>
        <v>0</v>
      </c>
      <c r="AI327" s="27">
        <f>IFERROR(VLOOKUP(DATA[[#This Row],[COMBINADA]],#REF!,6,0),0)</f>
        <v>0</v>
      </c>
      <c r="AJ327" s="125">
        <f>IFERROR(VLOOKUP(DATA[[#This Row],[COMBINADA]],#REF!,9,0),0)/COUNTIFS(DATA[COMBINADA],DATA[[#This Row],[COMBINADA]])</f>
        <v>0</v>
      </c>
      <c r="AK327" s="27">
        <f>IFERROR(VLOOKUP(DATA[[#This Row],[COMBINADA]],#REF!,6,0),0)</f>
        <v>0</v>
      </c>
      <c r="AL327" s="125">
        <f>IFERROR(VLOOKUP(DATA[[#This Row],[COMBINADA]],#REF!,9,0),0)/COUNTIFS(DATA[COMBINADA],DATA[[#This Row],[COMBINADA]])</f>
        <v>0</v>
      </c>
      <c r="AM327" s="27">
        <f>IFERROR(VLOOKUP(DATA[[#This Row],[COMBINADA]],#REF!,6,0),0)</f>
        <v>0</v>
      </c>
      <c r="AN327" s="125">
        <f>IFERROR(VLOOKUP(DATA[[#This Row],[COMBINADA]],#REF!,9,0),0)/COUNTIFS(DATA[COMBINADA],DATA[[#This Row],[COMBINADA]])</f>
        <v>0</v>
      </c>
      <c r="AO327" s="27">
        <f>IFERROR(VLOOKUP(DATA[[#This Row],[COMBINADA]],#REF!,6,0),0)</f>
        <v>0</v>
      </c>
      <c r="AP327" s="125">
        <f>IFERROR(VLOOKUP(DATA[[#This Row],[COMBINADA]],#REF!,9,0),0)/COUNTIFS(DATA[COMBINADA],DATA[[#This Row],[COMBINADA]])</f>
        <v>0</v>
      </c>
      <c r="AQ32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604.21249999999986</v>
      </c>
      <c r="AR327" s="26" t="str">
        <f>IFERROR(IF(DATA[[#This Row],[estado_fact]]="FACTURADO",VLOOKUP(DATA[[#This Row],[SERIE2]]&amp;"-"&amp;DATA[[#This Row],[NUMERO]],#REF!,34,0),"NO CORRESPONDE"),"NO CORRESPONDE")</f>
        <v>NO CORRESPONDE</v>
      </c>
      <c r="AS327" s="22" t="str">
        <f>IF(DATA[[#This Row],[fecha_fs]]&gt;0,TEXT(DATA[[#This Row],[fecha_fs]],"Mmmm"),0)</f>
        <v>Marzo</v>
      </c>
      <c r="AT327" s="22" t="str">
        <f>DATA[[#This Row],[SERIE2]]&amp;"-"&amp;DATA[[#This Row],[NUMERO]]</f>
        <v>FF01-1</v>
      </c>
      <c r="AU327" s="28" t="e">
        <f>DATA[[#This Row],[TOTAL]]*DATA[[#This Row],[T.C.]]</f>
        <v>#REF!</v>
      </c>
      <c r="AV327" s="6">
        <f>DATA[[#This Row],[FECHA DE VAL.]]</f>
        <v>45742</v>
      </c>
      <c r="AW327" s="6">
        <f>DATA[[#This Row],[FECHA DE EMISION]]</f>
        <v>45743</v>
      </c>
      <c r="AX327" s="6">
        <f>DATA[[#This Row],[F1]]</f>
        <v>0</v>
      </c>
      <c r="AY327" s="20">
        <f>IF(AV327-DATA[[#This Row],[fecha_fs]]&lt;0,0,AV327-DATA[[#This Row],[fecha_fs]])</f>
        <v>19</v>
      </c>
      <c r="AZ327" s="20">
        <f t="shared" si="37"/>
        <v>1</v>
      </c>
      <c r="BA327" s="20">
        <f t="shared" si="38"/>
        <v>0</v>
      </c>
      <c r="BB327" s="195">
        <f>IFERROR(SUM(DATA[[#This Row],[fs_val_ttf]:[fact_pago_ttf]]),0)</f>
        <v>20</v>
      </c>
      <c r="BC327" s="185">
        <v>45729</v>
      </c>
      <c r="BD327" s="185">
        <v>45750</v>
      </c>
      <c r="BE327" s="185">
        <v>45785</v>
      </c>
      <c r="BF327" s="185">
        <v>45798</v>
      </c>
      <c r="BG327" s="20">
        <f>IFERROR(IF(BC327-DATA[[#This Row],[fecha_fs]]&lt;0,0,BC327-DATA[[#This Row],[fecha_fs]]),0)</f>
        <v>6</v>
      </c>
      <c r="BH327" s="20">
        <f t="shared" si="33"/>
        <v>21</v>
      </c>
      <c r="BI327" s="20">
        <f t="shared" si="34"/>
        <v>35</v>
      </c>
      <c r="BJ327" s="20">
        <f t="shared" si="35"/>
        <v>13</v>
      </c>
      <c r="BK327" s="218">
        <f>IFERROR(SUM(DATA[[#This Row],[fs_fd_ttd]:[fend_fenf_ttd]]),0)</f>
        <v>75</v>
      </c>
      <c r="BL327" s="20" t="str">
        <f>IF(DATA[[#This Row],[fecha_fs]]&gt;0,TEXT(DATA[[#This Row],[fecha_fs]],"YYYY"),0)</f>
        <v>2025</v>
      </c>
      <c r="BM327" s="221" t="b">
        <v>1</v>
      </c>
      <c r="BN327" s="278">
        <f>COUNTIF(DATA[[#This Row],[tiempo_td]], "&lt;=15")</f>
        <v>0</v>
      </c>
      <c r="BO327" s="222"/>
    </row>
    <row r="328" spans="1:67" ht="30" customHeight="1" x14ac:dyDescent="0.25">
      <c r="A328" s="4"/>
      <c r="B328" s="5" t="s">
        <v>0</v>
      </c>
      <c r="C328" s="52"/>
      <c r="D328" s="4"/>
      <c r="E328" s="5" t="s">
        <v>0</v>
      </c>
      <c r="F328" s="24">
        <v>45723</v>
      </c>
      <c r="G328" s="7" t="s">
        <v>113</v>
      </c>
      <c r="H328" s="25">
        <f t="shared" si="36"/>
        <v>1</v>
      </c>
      <c r="I328" s="67">
        <v>4211</v>
      </c>
      <c r="J328" s="8" t="s">
        <v>173</v>
      </c>
      <c r="K328" s="9"/>
      <c r="L328" s="10"/>
      <c r="M328" s="111"/>
      <c r="N328" s="112"/>
      <c r="O328" s="6"/>
      <c r="P328" s="13" t="s">
        <v>114</v>
      </c>
      <c r="Q328" s="14"/>
      <c r="R328" s="15"/>
      <c r="S328" s="15"/>
      <c r="T328" s="15">
        <f>DATA[[#This Row],[C. DF]]+DATA[[#This Row],[C.OPE.]]</f>
        <v>0</v>
      </c>
      <c r="U328" s="73">
        <f>DATA[[#This Row],[SUB TOTAL]]*0.18</f>
        <v>0</v>
      </c>
      <c r="V328" s="45">
        <f>IFERROR(ROUND(DATA[[#This Row],[SUB TOTAL]]+DATA[[#This Row],[IGV]],2),0)</f>
        <v>0</v>
      </c>
      <c r="W328" s="58" t="str">
        <f>IF(DATA[[#This Row],[VALORIZACIÓN ]]="-","NO CORRESPONDE",IF(OR(A328=20558226979,A328=10470707866,A328=20111157058,A328=20100226902),"NO CORRESPONDE",IF(J328="Emitida",IF(P328&gt;0,"EMITIDA","PENDIENTE"),"NO CORRESPONDE")))</f>
        <v>NO CORRESPONDE</v>
      </c>
      <c r="X328" s="46"/>
      <c r="Y328" s="17" t="s">
        <v>128</v>
      </c>
      <c r="Z328" s="48"/>
      <c r="AA328" s="49"/>
      <c r="AB328" s="50"/>
      <c r="AC328" s="51"/>
      <c r="AD328" s="59">
        <f>DATA[[#This Row],[FECHA DE EMISION]]+DATA[[#This Row],[CONDICION DE PAGO]]</f>
        <v>0</v>
      </c>
      <c r="AE328" s="23">
        <f>IF(DATA[[#This Row],[MONEDA]]="USD",VLOOKUP(DATA[[#This Row],[COMBINADA]],#REF!,11,0),1)</f>
        <v>1</v>
      </c>
      <c r="AF328" s="39" t="str">
        <f>IF(DATA[[#This Row],[SERIE2]]="-","NO CORRESPONDE",IF(W328="NO CORRESPONDE","NO CORRESPONDE",IF(Z328&gt;0,"FACTURADO","PENDIENTE")))</f>
        <v>NO CORRESPONDE</v>
      </c>
      <c r="AG328" s="61">
        <f>IFERROR(VLOOKUP(DATA[[#This Row],[COMBINADA]],#REF!,6,0),0)</f>
        <v>0</v>
      </c>
      <c r="AH328" s="62">
        <f>IFERROR(VLOOKUP(DATA[[#This Row],[COMBINADA]],#REF!,9,0),0)/COUNTIFS(DATA[COMBINADA],DATA[[#This Row],[COMBINADA]])</f>
        <v>0</v>
      </c>
      <c r="AI328" s="61">
        <f>IFERROR(VLOOKUP(DATA[[#This Row],[COMBINADA]],#REF!,6,0),0)</f>
        <v>0</v>
      </c>
      <c r="AJ328" s="62">
        <f>IFERROR(VLOOKUP(DATA[[#This Row],[COMBINADA]],#REF!,9,0),0)/COUNTIFS(DATA[COMBINADA],DATA[[#This Row],[COMBINADA]])</f>
        <v>0</v>
      </c>
      <c r="AK328" s="61">
        <f>IFERROR(VLOOKUP(DATA[[#This Row],[COMBINADA]],#REF!,6,0),0)</f>
        <v>0</v>
      </c>
      <c r="AL328" s="62">
        <f>IFERROR(VLOOKUP(DATA[[#This Row],[COMBINADA]],#REF!,9,0),0)/COUNTIFS(DATA[COMBINADA],DATA[[#This Row],[COMBINADA]])</f>
        <v>0</v>
      </c>
      <c r="AM328" s="61">
        <f>IFERROR(VLOOKUP(DATA[[#This Row],[COMBINADA]],#REF!,6,0),0)</f>
        <v>0</v>
      </c>
      <c r="AN328" s="62">
        <f>IFERROR(VLOOKUP(DATA[[#This Row],[COMBINADA]],#REF!,9,0),0)/COUNTIFS(DATA[COMBINADA],DATA[[#This Row],[COMBINADA]])</f>
        <v>0</v>
      </c>
      <c r="AO328" s="61">
        <f>IFERROR(VLOOKUP(DATA[[#This Row],[COMBINADA]],#REF!,6,0),0)</f>
        <v>0</v>
      </c>
      <c r="AP328" s="62">
        <f>IFERROR(VLOOKUP(DATA[[#This Row],[COMBINADA]],#REF!,9,0),0)/COUNTIFS(DATA[COMBINADA],DATA[[#This Row],[COMBINADA]])</f>
        <v>0</v>
      </c>
      <c r="AQ328"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328" s="22" t="str">
        <f>IFERROR(IF(DATA[[#This Row],[estado_fact]]="FACTURADO",VLOOKUP(DATA[[#This Row],[SERIE2]]&amp;"-"&amp;DATA[[#This Row],[NUMERO]],#REF!,34,0),"NO CORRESPONDE"),"NO CORRESPONDE")</f>
        <v>NO CORRESPONDE</v>
      </c>
      <c r="AS328" s="198" t="str">
        <f>IF(DATA[[#This Row],[fecha_fs]]&gt;0,TEXT(DATA[[#This Row],[fecha_fs]],"Mmmm"),0)</f>
        <v>Marzo</v>
      </c>
      <c r="AT328" s="199" t="str">
        <f>DATA[[#This Row],[SERIE2]]&amp;"-"&amp;DATA[[#This Row],[NUMERO]]</f>
        <v>-</v>
      </c>
      <c r="AU328" s="198">
        <f>DATA[[#This Row],[TOTAL]]*DATA[[#This Row],[T.C.]]</f>
        <v>0</v>
      </c>
      <c r="AV328" s="40">
        <f>DATA[[#This Row],[FECHA DE VAL.]]</f>
        <v>0</v>
      </c>
      <c r="AW328" s="40">
        <f>DATA[[#This Row],[FECHA DE EMISION]]</f>
        <v>0</v>
      </c>
      <c r="AX328" s="40">
        <f>DATA[[#This Row],[F1]]</f>
        <v>0</v>
      </c>
      <c r="AY328" s="49">
        <f>IF(AV328-DATA[[#This Row],[fecha_fs]]&lt;0,0,AV328-DATA[[#This Row],[fecha_fs]])</f>
        <v>0</v>
      </c>
      <c r="AZ328" s="49">
        <f t="shared" si="37"/>
        <v>0</v>
      </c>
      <c r="BA328" s="49">
        <f t="shared" si="38"/>
        <v>0</v>
      </c>
      <c r="BB328" s="195">
        <f>IFERROR(SUM(DATA[[#This Row],[fs_val_ttf]:[fact_pago_ttf]]),0)</f>
        <v>0</v>
      </c>
      <c r="BC328" s="200"/>
      <c r="BD328" s="200"/>
      <c r="BE328" s="200"/>
      <c r="BF328" s="200"/>
      <c r="BG328" s="49">
        <f>IFERROR(IF(BC328-DATA[[#This Row],[fecha_fs]]&lt;0,0,BC328-DATA[[#This Row],[fecha_fs]]),0)</f>
        <v>0</v>
      </c>
      <c r="BH328" s="49">
        <f t="shared" ref="BH328:BH389" si="39">IFERROR(IF(BD328-BC328&lt;0,0,BD328-BC328),0)</f>
        <v>0</v>
      </c>
      <c r="BI328" s="49">
        <f t="shared" ref="BI328:BI389" si="40">IFERROR(IF(BE328-BD328&lt;0,0,BE328-BD328),0)</f>
        <v>0</v>
      </c>
      <c r="BJ328" s="49">
        <f t="shared" ref="BJ328:BJ389" si="41">IFERROR(IF(BF328-BE328&lt;0,0,BF328-BE328),0)</f>
        <v>0</v>
      </c>
      <c r="BK328" s="218">
        <f>IFERROR(SUM(DATA[[#This Row],[fs_fd_ttd]:[fend_fenf_ttd]]),0)</f>
        <v>0</v>
      </c>
      <c r="BL328" s="20" t="str">
        <f>IF(DATA[[#This Row],[fecha_fs]]&gt;0,TEXT(DATA[[#This Row],[fecha_fs]],"YYYY"),0)</f>
        <v>2025</v>
      </c>
      <c r="BM328" s="221" t="b">
        <v>0</v>
      </c>
      <c r="BN328" s="278"/>
      <c r="BO328" s="222"/>
    </row>
    <row r="329" spans="1:67" ht="30" customHeight="1" x14ac:dyDescent="0.25">
      <c r="A329" s="4"/>
      <c r="B329" s="5" t="s">
        <v>0</v>
      </c>
      <c r="C329" s="52"/>
      <c r="D329" s="4"/>
      <c r="E329" s="5" t="s">
        <v>0</v>
      </c>
      <c r="F329" s="24">
        <v>45723</v>
      </c>
      <c r="G329" s="7" t="s">
        <v>113</v>
      </c>
      <c r="H329" s="25">
        <f t="shared" si="36"/>
        <v>1</v>
      </c>
      <c r="I329" s="67">
        <v>4212</v>
      </c>
      <c r="J329" s="8" t="s">
        <v>173</v>
      </c>
      <c r="K329" s="9"/>
      <c r="L329" s="10"/>
      <c r="M329" s="111"/>
      <c r="N329" s="112"/>
      <c r="O329" s="6"/>
      <c r="P329" s="13" t="s">
        <v>114</v>
      </c>
      <c r="Q329" s="14"/>
      <c r="R329" s="15"/>
      <c r="S329" s="15"/>
      <c r="T329" s="15">
        <f>DATA[[#This Row],[C. DF]]+DATA[[#This Row],[C.OPE.]]</f>
        <v>0</v>
      </c>
      <c r="U329" s="73">
        <f>DATA[[#This Row],[SUB TOTAL]]*0.18</f>
        <v>0</v>
      </c>
      <c r="V329" s="45">
        <f>IFERROR(ROUND(DATA[[#This Row],[SUB TOTAL]]+DATA[[#This Row],[IGV]],2),0)</f>
        <v>0</v>
      </c>
      <c r="W329" s="58" t="str">
        <f>IF(DATA[[#This Row],[VALORIZACIÓN ]]="-","NO CORRESPONDE",IF(OR(A329=20558226979,A329=10470707866,A329=20111157058,A329=20100226902),"NO CORRESPONDE",IF(J329="Emitida",IF(P329&gt;0,"EMITIDA","PENDIENTE"),"NO CORRESPONDE")))</f>
        <v>NO CORRESPONDE</v>
      </c>
      <c r="X329" s="46"/>
      <c r="Y329" s="17" t="s">
        <v>128</v>
      </c>
      <c r="Z329" s="48"/>
      <c r="AA329" s="49"/>
      <c r="AB329" s="50"/>
      <c r="AC329" s="51"/>
      <c r="AD329" s="59">
        <f>DATA[[#This Row],[FECHA DE EMISION]]+DATA[[#This Row],[CONDICION DE PAGO]]</f>
        <v>0</v>
      </c>
      <c r="AE329" s="23">
        <f>IF(DATA[[#This Row],[MONEDA]]="USD",VLOOKUP(DATA[[#This Row],[COMBINADA]],#REF!,11,0),1)</f>
        <v>1</v>
      </c>
      <c r="AF329" s="39" t="str">
        <f>IF(DATA[[#This Row],[SERIE2]]="-","NO CORRESPONDE",IF(W329="NO CORRESPONDE","NO CORRESPONDE",IF(Z329&gt;0,"FACTURADO","PENDIENTE")))</f>
        <v>NO CORRESPONDE</v>
      </c>
      <c r="AG329" s="61">
        <f>IFERROR(VLOOKUP(DATA[[#This Row],[COMBINADA]],#REF!,6,0),0)</f>
        <v>0</v>
      </c>
      <c r="AH329" s="62">
        <f>IFERROR(VLOOKUP(DATA[[#This Row],[COMBINADA]],#REF!,9,0),0)/COUNTIFS(DATA[COMBINADA],DATA[[#This Row],[COMBINADA]])</f>
        <v>0</v>
      </c>
      <c r="AI329" s="61">
        <f>IFERROR(VLOOKUP(DATA[[#This Row],[COMBINADA]],#REF!,6,0),0)</f>
        <v>0</v>
      </c>
      <c r="AJ329" s="62">
        <f>IFERROR(VLOOKUP(DATA[[#This Row],[COMBINADA]],#REF!,9,0),0)/COUNTIFS(DATA[COMBINADA],DATA[[#This Row],[COMBINADA]])</f>
        <v>0</v>
      </c>
      <c r="AK329" s="61">
        <f>IFERROR(VLOOKUP(DATA[[#This Row],[COMBINADA]],#REF!,6,0),0)</f>
        <v>0</v>
      </c>
      <c r="AL329" s="62">
        <f>IFERROR(VLOOKUP(DATA[[#This Row],[COMBINADA]],#REF!,9,0),0)/COUNTIFS(DATA[COMBINADA],DATA[[#This Row],[COMBINADA]])</f>
        <v>0</v>
      </c>
      <c r="AM329" s="61">
        <f>IFERROR(VLOOKUP(DATA[[#This Row],[COMBINADA]],#REF!,6,0),0)</f>
        <v>0</v>
      </c>
      <c r="AN329" s="62">
        <f>IFERROR(VLOOKUP(DATA[[#This Row],[COMBINADA]],#REF!,9,0),0)/COUNTIFS(DATA[COMBINADA],DATA[[#This Row],[COMBINADA]])</f>
        <v>0</v>
      </c>
      <c r="AO329" s="61">
        <f>IFERROR(VLOOKUP(DATA[[#This Row],[COMBINADA]],#REF!,6,0),0)</f>
        <v>0</v>
      </c>
      <c r="AP329" s="62">
        <f>IFERROR(VLOOKUP(DATA[[#This Row],[COMBINADA]],#REF!,9,0),0)/COUNTIFS(DATA[COMBINADA],DATA[[#This Row],[COMBINADA]])</f>
        <v>0</v>
      </c>
      <c r="AQ329"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329" s="22" t="str">
        <f>IFERROR(IF(DATA[[#This Row],[estado_fact]]="FACTURADO",VLOOKUP(DATA[[#This Row],[SERIE2]]&amp;"-"&amp;DATA[[#This Row],[NUMERO]],#REF!,34,0),"NO CORRESPONDE"),"NO CORRESPONDE")</f>
        <v>NO CORRESPONDE</v>
      </c>
      <c r="AS329" s="198" t="str">
        <f>IF(DATA[[#This Row],[fecha_fs]]&gt;0,TEXT(DATA[[#This Row],[fecha_fs]],"Mmmm"),0)</f>
        <v>Marzo</v>
      </c>
      <c r="AT329" s="199" t="str">
        <f>DATA[[#This Row],[SERIE2]]&amp;"-"&amp;DATA[[#This Row],[NUMERO]]</f>
        <v>-</v>
      </c>
      <c r="AU329" s="198">
        <f>DATA[[#This Row],[TOTAL]]*DATA[[#This Row],[T.C.]]</f>
        <v>0</v>
      </c>
      <c r="AV329" s="40">
        <f>DATA[[#This Row],[FECHA DE VAL.]]</f>
        <v>0</v>
      </c>
      <c r="AW329" s="40">
        <f>DATA[[#This Row],[FECHA DE EMISION]]</f>
        <v>0</v>
      </c>
      <c r="AX329" s="40">
        <f>DATA[[#This Row],[F1]]</f>
        <v>0</v>
      </c>
      <c r="AY329" s="49">
        <f>IF(AV329-DATA[[#This Row],[fecha_fs]]&lt;0,0,AV329-DATA[[#This Row],[fecha_fs]])</f>
        <v>0</v>
      </c>
      <c r="AZ329" s="49">
        <f t="shared" si="37"/>
        <v>0</v>
      </c>
      <c r="BA329" s="49">
        <f t="shared" si="38"/>
        <v>0</v>
      </c>
      <c r="BB329" s="195">
        <f>IFERROR(SUM(DATA[[#This Row],[fs_val_ttf]:[fact_pago_ttf]]),0)</f>
        <v>0</v>
      </c>
      <c r="BC329" s="200"/>
      <c r="BD329" s="200"/>
      <c r="BE329" s="200"/>
      <c r="BF329" s="200"/>
      <c r="BG329" s="49">
        <f>IFERROR(IF(BC329-DATA[[#This Row],[fecha_fs]]&lt;0,0,BC329-DATA[[#This Row],[fecha_fs]]),0)</f>
        <v>0</v>
      </c>
      <c r="BH329" s="49">
        <f t="shared" si="39"/>
        <v>0</v>
      </c>
      <c r="BI329" s="49">
        <f t="shared" si="40"/>
        <v>0</v>
      </c>
      <c r="BJ329" s="49">
        <f t="shared" si="41"/>
        <v>0</v>
      </c>
      <c r="BK329" s="218">
        <f>IFERROR(SUM(DATA[[#This Row],[fs_fd_ttd]:[fend_fenf_ttd]]),0)</f>
        <v>0</v>
      </c>
      <c r="BL329" s="20" t="str">
        <f>IF(DATA[[#This Row],[fecha_fs]]&gt;0,TEXT(DATA[[#This Row],[fecha_fs]],"YYYY"),0)</f>
        <v>2025</v>
      </c>
      <c r="BM329" s="221" t="b">
        <v>0</v>
      </c>
      <c r="BN329" s="278"/>
      <c r="BO329" s="222"/>
    </row>
    <row r="330" spans="1:67" ht="30" customHeight="1" x14ac:dyDescent="0.25">
      <c r="A330" s="4"/>
      <c r="B330" s="5" t="s">
        <v>0</v>
      </c>
      <c r="C330" s="52"/>
      <c r="D330" s="4"/>
      <c r="E330" s="5" t="s">
        <v>0</v>
      </c>
      <c r="F330" s="24">
        <v>45723</v>
      </c>
      <c r="G330" s="7" t="s">
        <v>113</v>
      </c>
      <c r="H330" s="25">
        <f t="shared" si="36"/>
        <v>1</v>
      </c>
      <c r="I330" s="67">
        <v>4213</v>
      </c>
      <c r="J330" s="8" t="s">
        <v>151</v>
      </c>
      <c r="K330" s="9"/>
      <c r="L330" s="10"/>
      <c r="M330" s="111"/>
      <c r="N330" s="112"/>
      <c r="O330" s="6"/>
      <c r="P330" s="13" t="s">
        <v>114</v>
      </c>
      <c r="Q330" s="14"/>
      <c r="R330" s="15"/>
      <c r="S330" s="15"/>
      <c r="T330" s="15">
        <f>DATA[[#This Row],[C. DF]]+DATA[[#This Row],[C.OPE.]]</f>
        <v>0</v>
      </c>
      <c r="U330" s="73">
        <f>DATA[[#This Row],[SUB TOTAL]]*0.18</f>
        <v>0</v>
      </c>
      <c r="V330" s="45">
        <f>IFERROR(ROUND(DATA[[#This Row],[SUB TOTAL]]+DATA[[#This Row],[IGV]],2),0)</f>
        <v>0</v>
      </c>
      <c r="W330" s="58" t="str">
        <f>IF(DATA[[#This Row],[VALORIZACIÓN ]]="-","NO CORRESPONDE",IF(OR(A330=20558226979,A330=10470707866,A330=20111157058,A330=20100226902),"NO CORRESPONDE",IF(J330="Emitida",IF(P330&gt;0,"EMITIDA","PENDIENTE"),"NO CORRESPONDE")))</f>
        <v>NO CORRESPONDE</v>
      </c>
      <c r="X330" s="46"/>
      <c r="Y330" s="17" t="s">
        <v>128</v>
      </c>
      <c r="Z330" s="48"/>
      <c r="AA330" s="49"/>
      <c r="AB330" s="50"/>
      <c r="AC330" s="51"/>
      <c r="AD330" s="59">
        <f>DATA[[#This Row],[FECHA DE EMISION]]+DATA[[#This Row],[CONDICION DE PAGO]]</f>
        <v>0</v>
      </c>
      <c r="AE330" s="23">
        <f>IF(DATA[[#This Row],[MONEDA]]="USD",VLOOKUP(DATA[[#This Row],[COMBINADA]],#REF!,11,0),1)</f>
        <v>1</v>
      </c>
      <c r="AF330" s="39" t="str">
        <f>IF(DATA[[#This Row],[SERIE2]]="-","NO CORRESPONDE",IF(W330="NO CORRESPONDE","NO CORRESPONDE",IF(Z330&gt;0,"FACTURADO","PENDIENTE")))</f>
        <v>NO CORRESPONDE</v>
      </c>
      <c r="AG330" s="61">
        <f>IFERROR(VLOOKUP(DATA[[#This Row],[COMBINADA]],#REF!,6,0),0)</f>
        <v>0</v>
      </c>
      <c r="AH330" s="62">
        <f>IFERROR(VLOOKUP(DATA[[#This Row],[COMBINADA]],#REF!,9,0),0)/COUNTIFS(DATA[COMBINADA],DATA[[#This Row],[COMBINADA]])</f>
        <v>0</v>
      </c>
      <c r="AI330" s="61">
        <f>IFERROR(VLOOKUP(DATA[[#This Row],[COMBINADA]],#REF!,6,0),0)</f>
        <v>0</v>
      </c>
      <c r="AJ330" s="62">
        <f>IFERROR(VLOOKUP(DATA[[#This Row],[COMBINADA]],#REF!,9,0),0)/COUNTIFS(DATA[COMBINADA],DATA[[#This Row],[COMBINADA]])</f>
        <v>0</v>
      </c>
      <c r="AK330" s="61">
        <f>IFERROR(VLOOKUP(DATA[[#This Row],[COMBINADA]],#REF!,6,0),0)</f>
        <v>0</v>
      </c>
      <c r="AL330" s="62">
        <f>IFERROR(VLOOKUP(DATA[[#This Row],[COMBINADA]],#REF!,9,0),0)/COUNTIFS(DATA[COMBINADA],DATA[[#This Row],[COMBINADA]])</f>
        <v>0</v>
      </c>
      <c r="AM330" s="61">
        <f>IFERROR(VLOOKUP(DATA[[#This Row],[COMBINADA]],#REF!,6,0),0)</f>
        <v>0</v>
      </c>
      <c r="AN330" s="62">
        <f>IFERROR(VLOOKUP(DATA[[#This Row],[COMBINADA]],#REF!,9,0),0)/COUNTIFS(DATA[COMBINADA],DATA[[#This Row],[COMBINADA]])</f>
        <v>0</v>
      </c>
      <c r="AO330" s="61">
        <f>IFERROR(VLOOKUP(DATA[[#This Row],[COMBINADA]],#REF!,6,0),0)</f>
        <v>0</v>
      </c>
      <c r="AP330" s="62">
        <f>IFERROR(VLOOKUP(DATA[[#This Row],[COMBINADA]],#REF!,9,0),0)/COUNTIFS(DATA[COMBINADA],DATA[[#This Row],[COMBINADA]])</f>
        <v>0</v>
      </c>
      <c r="AQ330"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330" s="22" t="str">
        <f>IFERROR(IF(DATA[[#This Row],[estado_fact]]="FACTURADO",VLOOKUP(DATA[[#This Row],[SERIE2]]&amp;"-"&amp;DATA[[#This Row],[NUMERO]],#REF!,34,0),"NO CORRESPONDE"),"NO CORRESPONDE")</f>
        <v>NO CORRESPONDE</v>
      </c>
      <c r="AS330" s="198" t="str">
        <f>IF(DATA[[#This Row],[fecha_fs]]&gt;0,TEXT(DATA[[#This Row],[fecha_fs]],"Mmmm"),0)</f>
        <v>Marzo</v>
      </c>
      <c r="AT330" s="199" t="str">
        <f>DATA[[#This Row],[SERIE2]]&amp;"-"&amp;DATA[[#This Row],[NUMERO]]</f>
        <v>-</v>
      </c>
      <c r="AU330" s="198">
        <f>DATA[[#This Row],[TOTAL]]*DATA[[#This Row],[T.C.]]</f>
        <v>0</v>
      </c>
      <c r="AV330" s="40">
        <f>DATA[[#This Row],[FECHA DE VAL.]]</f>
        <v>0</v>
      </c>
      <c r="AW330" s="40">
        <f>DATA[[#This Row],[FECHA DE EMISION]]</f>
        <v>0</v>
      </c>
      <c r="AX330" s="40">
        <f>DATA[[#This Row],[F1]]</f>
        <v>0</v>
      </c>
      <c r="AY330" s="49">
        <f>IF(AV330-DATA[[#This Row],[fecha_fs]]&lt;0,0,AV330-DATA[[#This Row],[fecha_fs]])</f>
        <v>0</v>
      </c>
      <c r="AZ330" s="49">
        <f t="shared" si="37"/>
        <v>0</v>
      </c>
      <c r="BA330" s="49">
        <f t="shared" si="38"/>
        <v>0</v>
      </c>
      <c r="BB330" s="195">
        <f>IFERROR(SUM(DATA[[#This Row],[fs_val_ttf]:[fact_pago_ttf]]),0)</f>
        <v>0</v>
      </c>
      <c r="BC330" s="200"/>
      <c r="BD330" s="200"/>
      <c r="BE330" s="200"/>
      <c r="BF330" s="200"/>
      <c r="BG330" s="49">
        <f>IFERROR(IF(BC330-DATA[[#This Row],[fecha_fs]]&lt;0,0,BC330-DATA[[#This Row],[fecha_fs]]),0)</f>
        <v>0</v>
      </c>
      <c r="BH330" s="49">
        <f t="shared" si="39"/>
        <v>0</v>
      </c>
      <c r="BI330" s="49">
        <f t="shared" si="40"/>
        <v>0</v>
      </c>
      <c r="BJ330" s="49">
        <f t="shared" si="41"/>
        <v>0</v>
      </c>
      <c r="BK330" s="218">
        <f>IFERROR(SUM(DATA[[#This Row],[fs_fd_ttd]:[fend_fenf_ttd]]),0)</f>
        <v>0</v>
      </c>
      <c r="BL330" s="20" t="str">
        <f>IF(DATA[[#This Row],[fecha_fs]]&gt;0,TEXT(DATA[[#This Row],[fecha_fs]],"YYYY"),0)</f>
        <v>2025</v>
      </c>
      <c r="BM330" s="221" t="b">
        <v>0</v>
      </c>
      <c r="BN330" s="278"/>
      <c r="BO330" s="222"/>
    </row>
    <row r="331" spans="1:67" ht="30.6" customHeight="1" x14ac:dyDescent="0.25">
      <c r="A331" s="4">
        <v>20100192064</v>
      </c>
      <c r="B331" s="5" t="s">
        <v>60</v>
      </c>
      <c r="C331" s="52" t="s">
        <v>65</v>
      </c>
      <c r="D331" s="4" t="s">
        <v>120</v>
      </c>
      <c r="E331" s="5" t="s">
        <v>3</v>
      </c>
      <c r="F331" s="24">
        <v>45723</v>
      </c>
      <c r="G331" s="7" t="s">
        <v>142</v>
      </c>
      <c r="H331" s="25">
        <f>IF(G331="","",IF(G331="LIM",2,1))</f>
        <v>2</v>
      </c>
      <c r="I331" s="67">
        <v>1056</v>
      </c>
      <c r="J331" s="8" t="s">
        <v>115</v>
      </c>
      <c r="K331" s="9" t="s">
        <v>121</v>
      </c>
      <c r="L331" s="10" t="s">
        <v>117</v>
      </c>
      <c r="M331" s="11">
        <v>730</v>
      </c>
      <c r="N331" s="12" t="s">
        <v>180</v>
      </c>
      <c r="O331" s="6">
        <v>45742</v>
      </c>
      <c r="P331" s="71">
        <v>3358</v>
      </c>
      <c r="Q331" s="14" t="s">
        <v>123</v>
      </c>
      <c r="R331" s="15">
        <f>(DATA[[#This Row],[cantidad_fs]]/1000)*(37+81.01)</f>
        <v>86.147300000000001</v>
      </c>
      <c r="S331" s="15">
        <v>103.6</v>
      </c>
      <c r="T331" s="15">
        <f>DATA[[#This Row],[C. DF]]+DATA[[#This Row],[C.OPE.]]</f>
        <v>189.7473</v>
      </c>
      <c r="U331" s="15">
        <f>DATA[[#This Row],[SUB TOTAL]]*0.18</f>
        <v>34.154513999999999</v>
      </c>
      <c r="V331" s="15">
        <f>IFERROR(ROUND(DATA[[#This Row],[SUB TOTAL]]+DATA[[#This Row],[IGV]],2),0)</f>
        <v>223.9</v>
      </c>
      <c r="W331" s="16" t="str">
        <f>IF(DATA[[#This Row],[VALORIZACIÓN ]]="-","NO CORRESPONDE",IF(OR(A331=20558226979,A331=10470707866,A331=20111157058,A331=20100226902),"NO CORRESPONDE",IF(J331="Emitida",IF(P331&gt;0,"EMITIDA","PENDIENTE"),"NO CORRESPONDE")))</f>
        <v>EMITIDA</v>
      </c>
      <c r="X331" s="29" t="s">
        <v>212</v>
      </c>
      <c r="Y331" s="17" t="s">
        <v>118</v>
      </c>
      <c r="Z331" s="30">
        <v>45747</v>
      </c>
      <c r="AA331" s="10" t="s">
        <v>150</v>
      </c>
      <c r="AB331" s="19">
        <v>9</v>
      </c>
      <c r="AC331" s="20">
        <v>30</v>
      </c>
      <c r="AD331" s="18">
        <f>DATA[[#This Row],[FECHA DE EMISION]]+DATA[[#This Row],[CONDICION DE PAGO]]</f>
        <v>45777</v>
      </c>
      <c r="AE331" s="23" t="e">
        <f>IF(DATA[[#This Row],[MONEDA]]="USD",VLOOKUP(DATA[[#This Row],[COMBINADA]],#REF!,11,0),1)</f>
        <v>#REF!</v>
      </c>
      <c r="AF331" s="39" t="str">
        <f>IF(DATA[[#This Row],[SERIE2]]="-","NO CORRESPONDE",IF(W331="NO CORRESPONDE","NO CORRESPONDE",IF(Z331&gt;0,"FACTURADO","PENDIENTE")))</f>
        <v>FACTURADO</v>
      </c>
      <c r="AG331" s="27">
        <f>IFERROR(VLOOKUP(DATA[[#This Row],[COMBINADA]],#REF!,6,0),0)</f>
        <v>0</v>
      </c>
      <c r="AH331" s="125">
        <f>IFERROR(VLOOKUP(DATA[[#This Row],[COMBINADA]],#REF!,9,0),0)/COUNTIFS(DATA[COMBINADA],DATA[[#This Row],[COMBINADA]])</f>
        <v>0</v>
      </c>
      <c r="AI331" s="27">
        <f>IFERROR(VLOOKUP(DATA[[#This Row],[COMBINADA]],#REF!,6,0),0)</f>
        <v>0</v>
      </c>
      <c r="AJ331" s="125">
        <f>IFERROR(VLOOKUP(DATA[[#This Row],[COMBINADA]],#REF!,9,0),0)/COUNTIFS(DATA[COMBINADA],DATA[[#This Row],[COMBINADA]])</f>
        <v>0</v>
      </c>
      <c r="AK331" s="27">
        <f>IFERROR(VLOOKUP(DATA[[#This Row],[COMBINADA]],#REF!,6,0),0)</f>
        <v>0</v>
      </c>
      <c r="AL331" s="125">
        <f>IFERROR(VLOOKUP(DATA[[#This Row],[COMBINADA]],#REF!,9,0),0)/COUNTIFS(DATA[COMBINADA],DATA[[#This Row],[COMBINADA]])</f>
        <v>0</v>
      </c>
      <c r="AM331" s="27">
        <f>IFERROR(VLOOKUP(DATA[[#This Row],[COMBINADA]],#REF!,6,0),0)</f>
        <v>0</v>
      </c>
      <c r="AN331" s="125">
        <f>IFERROR(VLOOKUP(DATA[[#This Row],[COMBINADA]],#REF!,9,0),0)/COUNTIFS(DATA[COMBINADA],DATA[[#This Row],[COMBINADA]])</f>
        <v>0</v>
      </c>
      <c r="AO331" s="27">
        <f>IFERROR(VLOOKUP(DATA[[#This Row],[COMBINADA]],#REF!,6,0),0)</f>
        <v>0</v>
      </c>
      <c r="AP331" s="125">
        <f>IFERROR(VLOOKUP(DATA[[#This Row],[COMBINADA]],#REF!,9,0),0)/COUNTIFS(DATA[COMBINADA],DATA[[#This Row],[COMBINADA]])</f>
        <v>0</v>
      </c>
      <c r="AQ33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507.60428571428571</v>
      </c>
      <c r="AR331" s="26" t="str">
        <f>IFERROR(IF(DATA[[#This Row],[estado_fact]]="FACTURADO",VLOOKUP(DATA[[#This Row],[SERIE2]]&amp;"-"&amp;DATA[[#This Row],[NUMERO]],#REF!,34,0),"NO CORRESPONDE"),"NO CORRESPONDE")</f>
        <v>NO CORRESPONDE</v>
      </c>
      <c r="AS331" s="22" t="str">
        <f>IF(DATA[[#This Row],[fecha_fs]]&gt;0,TEXT(DATA[[#This Row],[fecha_fs]],"Mmmm"),0)</f>
        <v>Marzo</v>
      </c>
      <c r="AT331" s="22" t="str">
        <f>DATA[[#This Row],[SERIE2]]&amp;"-"&amp;DATA[[#This Row],[NUMERO]]</f>
        <v>FF01-9</v>
      </c>
      <c r="AU331" s="28" t="e">
        <f>DATA[[#This Row],[TOTAL]]*DATA[[#This Row],[T.C.]]</f>
        <v>#REF!</v>
      </c>
      <c r="AV331" s="6">
        <f>DATA[[#This Row],[FECHA DE VAL.]]</f>
        <v>45742</v>
      </c>
      <c r="AW331" s="6">
        <f>DATA[[#This Row],[FECHA DE EMISION]]</f>
        <v>45747</v>
      </c>
      <c r="AX331" s="6">
        <f>DATA[[#This Row],[F1]]</f>
        <v>0</v>
      </c>
      <c r="AY331" s="20">
        <f>IF(AV331-DATA[[#This Row],[fecha_fs]]&lt;0,0,AV331-DATA[[#This Row],[fecha_fs]])</f>
        <v>19</v>
      </c>
      <c r="AZ331" s="20">
        <f t="shared" ref="AZ331:BA333" si="42">IF(AW331-AV331&lt;0,0,AW331-AV331)</f>
        <v>5</v>
      </c>
      <c r="BA331" s="20">
        <f t="shared" si="42"/>
        <v>0</v>
      </c>
      <c r="BB331" s="195">
        <f>IFERROR(SUM(DATA[[#This Row],[fs_val_ttf]:[fact_pago_ttf]]),0)</f>
        <v>24</v>
      </c>
      <c r="BC331" s="185">
        <v>45729</v>
      </c>
      <c r="BD331" s="185">
        <v>45735</v>
      </c>
      <c r="BE331" s="185">
        <v>45784</v>
      </c>
      <c r="BF331" s="185">
        <v>45798</v>
      </c>
      <c r="BG331" s="20">
        <f>IFERROR(IF(BC331-DATA[[#This Row],[fecha_fs]]&lt;0,0,BC331-DATA[[#This Row],[fecha_fs]]),0)</f>
        <v>6</v>
      </c>
      <c r="BH331" s="20">
        <f t="shared" ref="BH331:BJ333" si="43">IFERROR(IF(BD331-BC331&lt;0,0,BD331-BC331),0)</f>
        <v>6</v>
      </c>
      <c r="BI331" s="20">
        <f t="shared" si="43"/>
        <v>49</v>
      </c>
      <c r="BJ331" s="20">
        <f t="shared" si="43"/>
        <v>14</v>
      </c>
      <c r="BK331" s="218">
        <f>IFERROR(SUM(DATA[[#This Row],[fs_fd_ttd]:[fend_fenf_ttd]]),0)</f>
        <v>75</v>
      </c>
      <c r="BL331" s="20" t="str">
        <f>IF(DATA[[#This Row],[fecha_fs]]&gt;0,TEXT(DATA[[#This Row],[fecha_fs]],"YYYY"),0)</f>
        <v>2025</v>
      </c>
      <c r="BM331" s="221" t="b">
        <v>1</v>
      </c>
      <c r="BN331" s="278">
        <f>COUNTIF(DATA[[#This Row],[tiempo_td]], "&lt;=15")</f>
        <v>0</v>
      </c>
      <c r="BO331" s="222"/>
    </row>
    <row r="332" spans="1:67" ht="30.6" customHeight="1" x14ac:dyDescent="0.25">
      <c r="A332" s="4">
        <v>20100192064</v>
      </c>
      <c r="B332" s="5" t="s">
        <v>60</v>
      </c>
      <c r="C332" s="52" t="s">
        <v>65</v>
      </c>
      <c r="D332" s="4" t="s">
        <v>120</v>
      </c>
      <c r="E332" s="5" t="s">
        <v>3</v>
      </c>
      <c r="F332" s="24">
        <v>45722</v>
      </c>
      <c r="G332" s="7" t="s">
        <v>142</v>
      </c>
      <c r="H332" s="25">
        <f>IF(G332="","",IF(G332="LIM",2,1))</f>
        <v>2</v>
      </c>
      <c r="I332" s="67">
        <v>1057</v>
      </c>
      <c r="J332" s="8" t="s">
        <v>115</v>
      </c>
      <c r="K332" s="9" t="s">
        <v>121</v>
      </c>
      <c r="L332" s="10" t="s">
        <v>117</v>
      </c>
      <c r="M332" s="11">
        <v>600</v>
      </c>
      <c r="N332" s="12" t="s">
        <v>180</v>
      </c>
      <c r="O332" s="6">
        <v>45742</v>
      </c>
      <c r="P332" s="71">
        <v>3358</v>
      </c>
      <c r="Q332" s="14" t="s">
        <v>123</v>
      </c>
      <c r="R332" s="15">
        <f>(DATA[[#This Row],[cantidad_fs]]/1000)*(37+81.01)</f>
        <v>70.805999999999997</v>
      </c>
      <c r="S332" s="15">
        <v>103.6</v>
      </c>
      <c r="T332" s="15">
        <f>DATA[[#This Row],[C. DF]]+DATA[[#This Row],[C.OPE.]]</f>
        <v>174.40600000000001</v>
      </c>
      <c r="U332" s="15">
        <f>DATA[[#This Row],[SUB TOTAL]]*0.18</f>
        <v>31.393080000000001</v>
      </c>
      <c r="V332" s="15">
        <f>IFERROR(ROUND(DATA[[#This Row],[SUB TOTAL]]+DATA[[#This Row],[IGV]],2),0)</f>
        <v>205.8</v>
      </c>
      <c r="W332" s="16" t="str">
        <f>IF(DATA[[#This Row],[VALORIZACIÓN ]]="-","NO CORRESPONDE",IF(OR(A332=20558226979,A332=10470707866,A332=20111157058,A332=20100226902),"NO CORRESPONDE",IF(J332="Emitida",IF(P332&gt;0,"EMITIDA","PENDIENTE"),"NO CORRESPONDE")))</f>
        <v>EMITIDA</v>
      </c>
      <c r="X332" s="29" t="s">
        <v>212</v>
      </c>
      <c r="Y332" s="17" t="s">
        <v>118</v>
      </c>
      <c r="Z332" s="30">
        <v>45747</v>
      </c>
      <c r="AA332" s="10" t="s">
        <v>150</v>
      </c>
      <c r="AB332" s="19">
        <v>9</v>
      </c>
      <c r="AC332" s="20">
        <v>30</v>
      </c>
      <c r="AD332" s="18">
        <f>DATA[[#This Row],[FECHA DE EMISION]]+DATA[[#This Row],[CONDICION DE PAGO]]</f>
        <v>45777</v>
      </c>
      <c r="AE332" s="23" t="e">
        <f>IF(DATA[[#This Row],[MONEDA]]="USD",VLOOKUP(DATA[[#This Row],[COMBINADA]],#REF!,11,0),1)</f>
        <v>#REF!</v>
      </c>
      <c r="AF332" s="39" t="str">
        <f>IF(DATA[[#This Row],[SERIE2]]="-","NO CORRESPONDE",IF(W332="NO CORRESPONDE","NO CORRESPONDE",IF(Z332&gt;0,"FACTURADO","PENDIENTE")))</f>
        <v>FACTURADO</v>
      </c>
      <c r="AG332" s="27">
        <f>IFERROR(VLOOKUP(DATA[[#This Row],[COMBINADA]],#REF!,6,0),0)</f>
        <v>0</v>
      </c>
      <c r="AH332" s="125">
        <f>IFERROR(VLOOKUP(DATA[[#This Row],[COMBINADA]],#REF!,9,0),0)/COUNTIFS(DATA[COMBINADA],DATA[[#This Row],[COMBINADA]])</f>
        <v>0</v>
      </c>
      <c r="AI332" s="27">
        <f>IFERROR(VLOOKUP(DATA[[#This Row],[COMBINADA]],#REF!,6,0),0)</f>
        <v>0</v>
      </c>
      <c r="AJ332" s="125">
        <f>IFERROR(VLOOKUP(DATA[[#This Row],[COMBINADA]],#REF!,9,0),0)/COUNTIFS(DATA[COMBINADA],DATA[[#This Row],[COMBINADA]])</f>
        <v>0</v>
      </c>
      <c r="AK332" s="27">
        <f>IFERROR(VLOOKUP(DATA[[#This Row],[COMBINADA]],#REF!,6,0),0)</f>
        <v>0</v>
      </c>
      <c r="AL332" s="125">
        <f>IFERROR(VLOOKUP(DATA[[#This Row],[COMBINADA]],#REF!,9,0),0)/COUNTIFS(DATA[COMBINADA],DATA[[#This Row],[COMBINADA]])</f>
        <v>0</v>
      </c>
      <c r="AM332" s="27">
        <f>IFERROR(VLOOKUP(DATA[[#This Row],[COMBINADA]],#REF!,6,0),0)</f>
        <v>0</v>
      </c>
      <c r="AN332" s="125">
        <f>IFERROR(VLOOKUP(DATA[[#This Row],[COMBINADA]],#REF!,9,0),0)/COUNTIFS(DATA[COMBINADA],DATA[[#This Row],[COMBINADA]])</f>
        <v>0</v>
      </c>
      <c r="AO332" s="27">
        <f>IFERROR(VLOOKUP(DATA[[#This Row],[COMBINADA]],#REF!,6,0),0)</f>
        <v>0</v>
      </c>
      <c r="AP332" s="125">
        <f>IFERROR(VLOOKUP(DATA[[#This Row],[COMBINADA]],#REF!,9,0),0)/COUNTIFS(DATA[COMBINADA],DATA[[#This Row],[COMBINADA]])</f>
        <v>0</v>
      </c>
      <c r="AQ33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507.60428571428571</v>
      </c>
      <c r="AR332" s="26" t="str">
        <f>IFERROR(IF(DATA[[#This Row],[estado_fact]]="FACTURADO",VLOOKUP(DATA[[#This Row],[SERIE2]]&amp;"-"&amp;DATA[[#This Row],[NUMERO]],#REF!,34,0),"NO CORRESPONDE"),"NO CORRESPONDE")</f>
        <v>NO CORRESPONDE</v>
      </c>
      <c r="AS332" s="22" t="str">
        <f>IF(DATA[[#This Row],[fecha_fs]]&gt;0,TEXT(DATA[[#This Row],[fecha_fs]],"Mmmm"),0)</f>
        <v>Marzo</v>
      </c>
      <c r="AT332" s="22" t="str">
        <f>DATA[[#This Row],[SERIE2]]&amp;"-"&amp;DATA[[#This Row],[NUMERO]]</f>
        <v>FF01-9</v>
      </c>
      <c r="AU332" s="28" t="e">
        <f>DATA[[#This Row],[TOTAL]]*DATA[[#This Row],[T.C.]]</f>
        <v>#REF!</v>
      </c>
      <c r="AV332" s="6">
        <f>DATA[[#This Row],[FECHA DE VAL.]]</f>
        <v>45742</v>
      </c>
      <c r="AW332" s="6">
        <f>DATA[[#This Row],[FECHA DE EMISION]]</f>
        <v>45747</v>
      </c>
      <c r="AX332" s="6">
        <f>DATA[[#This Row],[F1]]</f>
        <v>0</v>
      </c>
      <c r="AY332" s="20">
        <f>IF(AV332-DATA[[#This Row],[fecha_fs]]&lt;0,0,AV332-DATA[[#This Row],[fecha_fs]])</f>
        <v>20</v>
      </c>
      <c r="AZ332" s="20">
        <f t="shared" si="42"/>
        <v>5</v>
      </c>
      <c r="BA332" s="20">
        <f t="shared" si="42"/>
        <v>0</v>
      </c>
      <c r="BB332" s="195">
        <f>IFERROR(SUM(DATA[[#This Row],[fs_val_ttf]:[fact_pago_ttf]]),0)</f>
        <v>25</v>
      </c>
      <c r="BC332" s="185">
        <v>45729</v>
      </c>
      <c r="BD332" s="185">
        <v>45735</v>
      </c>
      <c r="BE332" s="185">
        <v>45784</v>
      </c>
      <c r="BF332" s="185">
        <v>45798</v>
      </c>
      <c r="BG332" s="20">
        <f>IFERROR(IF(BC332-DATA[[#This Row],[fecha_fs]]&lt;0,0,BC332-DATA[[#This Row],[fecha_fs]]),0)</f>
        <v>7</v>
      </c>
      <c r="BH332" s="20">
        <f t="shared" si="43"/>
        <v>6</v>
      </c>
      <c r="BI332" s="20">
        <f t="shared" si="43"/>
        <v>49</v>
      </c>
      <c r="BJ332" s="20">
        <f t="shared" si="43"/>
        <v>14</v>
      </c>
      <c r="BK332" s="218">
        <f>IFERROR(SUM(DATA[[#This Row],[fs_fd_ttd]:[fend_fenf_ttd]]),0)</f>
        <v>76</v>
      </c>
      <c r="BL332" s="20" t="str">
        <f>IF(DATA[[#This Row],[fecha_fs]]&gt;0,TEXT(DATA[[#This Row],[fecha_fs]],"YYYY"),0)</f>
        <v>2025</v>
      </c>
      <c r="BM332" s="221" t="b">
        <v>1</v>
      </c>
      <c r="BN332" s="278">
        <f>COUNTIF(DATA[[#This Row],[tiempo_td]], "&lt;=15")</f>
        <v>0</v>
      </c>
      <c r="BO332" s="222"/>
    </row>
    <row r="333" spans="1:67" ht="30.6" customHeight="1" x14ac:dyDescent="0.25">
      <c r="A333" s="4">
        <v>20558353814</v>
      </c>
      <c r="B333" s="5" t="s">
        <v>275</v>
      </c>
      <c r="C333" s="52" t="s">
        <v>194</v>
      </c>
      <c r="D333" s="4" t="s">
        <v>290</v>
      </c>
      <c r="E333" s="5" t="s">
        <v>294</v>
      </c>
      <c r="F333" s="24">
        <v>45723</v>
      </c>
      <c r="G333" s="7" t="s">
        <v>142</v>
      </c>
      <c r="H333" s="25">
        <f>IF(G333="","",IF(G333="LIM",2,1))</f>
        <v>2</v>
      </c>
      <c r="I333" s="67">
        <v>1058</v>
      </c>
      <c r="J333" s="8" t="s">
        <v>115</v>
      </c>
      <c r="K333" s="9" t="s">
        <v>195</v>
      </c>
      <c r="L333" s="10" t="s">
        <v>117</v>
      </c>
      <c r="M333" s="11">
        <v>6440</v>
      </c>
      <c r="N333" s="12" t="s">
        <v>180</v>
      </c>
      <c r="O333" s="6">
        <v>45724</v>
      </c>
      <c r="P333" s="13">
        <v>3336</v>
      </c>
      <c r="Q333" s="14" t="s">
        <v>85</v>
      </c>
      <c r="R333" s="15">
        <f>350+((DATA[[#This Row],[cantidad_fs]]-5000)*0.07)</f>
        <v>450.8</v>
      </c>
      <c r="S333" s="15">
        <v>1762</v>
      </c>
      <c r="T333" s="15">
        <f>DATA[[#This Row],[C. DF]]+DATA[[#This Row],[C.OPE.]]</f>
        <v>2212.8000000000002</v>
      </c>
      <c r="U333" s="15">
        <f>DATA[[#This Row],[SUB TOTAL]]*0.18</f>
        <v>398.30400000000003</v>
      </c>
      <c r="V333" s="15">
        <f>IFERROR(ROUND(DATA[[#This Row],[SUB TOTAL]]+DATA[[#This Row],[IGV]],2),0)</f>
        <v>2611.1</v>
      </c>
      <c r="W333" s="16" t="str">
        <f>IF(DATA[[#This Row],[VALORIZACIÓN ]]="-","NO CORRESPONDE",IF(OR(A333=20558226979,A333=10470707866,A333=20111157058,A333=20100226902),"NO CORRESPONDE",IF(J333="Emitida",IF(P333&gt;0,"EMITIDA","PENDIENTE"),"NO CORRESPONDE")))</f>
        <v>EMITIDA</v>
      </c>
      <c r="X333" s="29"/>
      <c r="Y333" s="17" t="s">
        <v>118</v>
      </c>
      <c r="Z333" s="30">
        <v>45734</v>
      </c>
      <c r="AA333" s="10" t="s">
        <v>119</v>
      </c>
      <c r="AB333" s="19">
        <v>32</v>
      </c>
      <c r="AC333" s="20">
        <v>5</v>
      </c>
      <c r="AD333" s="18">
        <f>DATA[[#This Row],[FECHA DE EMISION]]+DATA[[#This Row],[CONDICION DE PAGO]]</f>
        <v>45739</v>
      </c>
      <c r="AE333" s="23">
        <f>IF(DATA[[#This Row],[MONEDA]]="USD",VLOOKUP(DATA[[#This Row],[COMBINADA]],#REF!,11,0),1)</f>
        <v>1</v>
      </c>
      <c r="AF333" s="39" t="str">
        <f>IF(DATA[[#This Row],[SERIE2]]="-","NO CORRESPONDE",IF(W333="NO CORRESPONDE","NO CORRESPONDE",IF(Z333&gt;0,"FACTURADO","PENDIENTE")))</f>
        <v>FACTURADO</v>
      </c>
      <c r="AG333" s="27">
        <f>IFERROR(VLOOKUP(DATA[[#This Row],[COMBINADA]],#REF!,6,0),0)</f>
        <v>0</v>
      </c>
      <c r="AH333" s="125">
        <f>IFERROR(VLOOKUP(DATA[[#This Row],[COMBINADA]],#REF!,9,0),0)/COUNTIFS(DATA[COMBINADA],DATA[[#This Row],[COMBINADA]])</f>
        <v>0</v>
      </c>
      <c r="AI333" s="27">
        <f>IFERROR(VLOOKUP(DATA[[#This Row],[COMBINADA]],#REF!,6,0),0)</f>
        <v>0</v>
      </c>
      <c r="AJ333" s="125">
        <f>IFERROR(VLOOKUP(DATA[[#This Row],[COMBINADA]],#REF!,9,0),0)/COUNTIFS(DATA[COMBINADA],DATA[[#This Row],[COMBINADA]])</f>
        <v>0</v>
      </c>
      <c r="AK333" s="27">
        <f>IFERROR(VLOOKUP(DATA[[#This Row],[COMBINADA]],#REF!,6,0),0)</f>
        <v>0</v>
      </c>
      <c r="AL333" s="125">
        <f>IFERROR(VLOOKUP(DATA[[#This Row],[COMBINADA]],#REF!,9,0),0)/COUNTIFS(DATA[COMBINADA],DATA[[#This Row],[COMBINADA]])</f>
        <v>0</v>
      </c>
      <c r="AM333" s="27">
        <f>IFERROR(VLOOKUP(DATA[[#This Row],[COMBINADA]],#REF!,6,0),0)</f>
        <v>0</v>
      </c>
      <c r="AN333" s="125">
        <f>IFERROR(VLOOKUP(DATA[[#This Row],[COMBINADA]],#REF!,9,0),0)/COUNTIFS(DATA[COMBINADA],DATA[[#This Row],[COMBINADA]])</f>
        <v>0</v>
      </c>
      <c r="AO333" s="27">
        <f>IFERROR(VLOOKUP(DATA[[#This Row],[COMBINADA]],#REF!,6,0),0)</f>
        <v>0</v>
      </c>
      <c r="AP333" s="125">
        <f>IFERROR(VLOOKUP(DATA[[#This Row],[COMBINADA]],#REF!,9,0),0)/COUNTIFS(DATA[COMBINADA],DATA[[#This Row],[COMBINADA]])</f>
        <v>0</v>
      </c>
      <c r="AQ33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2611.1</v>
      </c>
      <c r="AR333" s="26" t="str">
        <f>IFERROR(IF(DATA[[#This Row],[estado_fact]]="FACTURADO",VLOOKUP(DATA[[#This Row],[SERIE2]]&amp;"-"&amp;DATA[[#This Row],[NUMERO]],#REF!,34,0),"NO CORRESPONDE"),"NO CORRESPONDE")</f>
        <v>NO CORRESPONDE</v>
      </c>
      <c r="AS333" s="22" t="str">
        <f>IF(DATA[[#This Row],[fecha_fs]]&gt;0,TEXT(DATA[[#This Row],[fecha_fs]],"Mmmm"),0)</f>
        <v>Marzo</v>
      </c>
      <c r="AT333" s="22" t="str">
        <f>DATA[[#This Row],[SERIE2]]&amp;"-"&amp;DATA[[#This Row],[NUMERO]]</f>
        <v>E001-32</v>
      </c>
      <c r="AU333" s="28">
        <f>DATA[[#This Row],[TOTAL]]*DATA[[#This Row],[T.C.]]</f>
        <v>2611.1</v>
      </c>
      <c r="AV333" s="6">
        <f>DATA[[#This Row],[FECHA DE VAL.]]</f>
        <v>45724</v>
      </c>
      <c r="AW333" s="6">
        <f>DATA[[#This Row],[FECHA DE EMISION]]</f>
        <v>45734</v>
      </c>
      <c r="AX333" s="6">
        <f>DATA[[#This Row],[F1]]</f>
        <v>0</v>
      </c>
      <c r="AY333" s="20">
        <f>IF(AV333-DATA[[#This Row],[fecha_fs]]&lt;0,0,AV333-DATA[[#This Row],[fecha_fs]])</f>
        <v>1</v>
      </c>
      <c r="AZ333" s="20">
        <f t="shared" si="42"/>
        <v>10</v>
      </c>
      <c r="BA333" s="20">
        <f t="shared" si="42"/>
        <v>0</v>
      </c>
      <c r="BB333" s="195">
        <f>IFERROR(SUM(DATA[[#This Row],[fs_val_ttf]:[fact_pago_ttf]]),0)</f>
        <v>11</v>
      </c>
      <c r="BC333" s="185">
        <v>45726</v>
      </c>
      <c r="BD333" s="185">
        <v>45741</v>
      </c>
      <c r="BE333" s="185">
        <v>45736</v>
      </c>
      <c r="BF333" s="185">
        <v>45798</v>
      </c>
      <c r="BG333" s="20">
        <f>IFERROR(IF(BC333-DATA[[#This Row],[fecha_fs]]&lt;0,0,BC333-DATA[[#This Row],[fecha_fs]]),0)</f>
        <v>3</v>
      </c>
      <c r="BH333" s="20">
        <f t="shared" si="43"/>
        <v>15</v>
      </c>
      <c r="BI333" s="20">
        <f t="shared" si="43"/>
        <v>0</v>
      </c>
      <c r="BJ333" s="20">
        <f t="shared" si="43"/>
        <v>62</v>
      </c>
      <c r="BK333" s="218">
        <f>IFERROR(SUM(DATA[[#This Row],[fs_fd_ttd]:[fend_fenf_ttd]]),0)</f>
        <v>80</v>
      </c>
      <c r="BL333" s="20" t="str">
        <f>IF(DATA[[#This Row],[fecha_fs]]&gt;0,TEXT(DATA[[#This Row],[fecha_fs]],"YYYY"),0)</f>
        <v>2025</v>
      </c>
      <c r="BM333" s="221" t="b">
        <v>1</v>
      </c>
      <c r="BN333" s="278">
        <f>COUNTIF(DATA[[#This Row],[tiempo_td]], "&lt;=15")</f>
        <v>0</v>
      </c>
      <c r="BO333" s="222"/>
    </row>
    <row r="334" spans="1:67" ht="30.6" customHeight="1" x14ac:dyDescent="0.25">
      <c r="A334" s="4">
        <v>20141637941</v>
      </c>
      <c r="B334" s="5" t="s">
        <v>79</v>
      </c>
      <c r="C334" s="52" t="s">
        <v>18</v>
      </c>
      <c r="D334" s="4" t="s">
        <v>120</v>
      </c>
      <c r="E334" s="5" t="s">
        <v>3</v>
      </c>
      <c r="F334" s="24">
        <v>45726</v>
      </c>
      <c r="G334" s="7" t="s">
        <v>113</v>
      </c>
      <c r="H334" s="25">
        <f t="shared" si="36"/>
        <v>1</v>
      </c>
      <c r="I334" s="67">
        <v>4214</v>
      </c>
      <c r="J334" s="8" t="s">
        <v>115</v>
      </c>
      <c r="K334" s="9" t="s">
        <v>121</v>
      </c>
      <c r="L334" s="10" t="s">
        <v>117</v>
      </c>
      <c r="M334" s="11">
        <v>960</v>
      </c>
      <c r="N334" s="12" t="s">
        <v>125</v>
      </c>
      <c r="O334" s="6">
        <v>45730</v>
      </c>
      <c r="P334" s="110">
        <v>3341</v>
      </c>
      <c r="Q334" s="14" t="s">
        <v>85</v>
      </c>
      <c r="R334" s="15">
        <v>70</v>
      </c>
      <c r="S334" s="15">
        <v>517</v>
      </c>
      <c r="T334" s="15">
        <f>DATA[[#This Row],[C. DF]]+DATA[[#This Row],[C.OPE.]]</f>
        <v>587</v>
      </c>
      <c r="U334" s="15">
        <f>DATA[[#This Row],[SUB TOTAL]]*0.18</f>
        <v>105.66</v>
      </c>
      <c r="V334" s="15">
        <f>IFERROR(ROUND(DATA[[#This Row],[SUB TOTAL]]+DATA[[#This Row],[IGV]],2),0)</f>
        <v>692.66</v>
      </c>
      <c r="W334" s="16" t="str">
        <f>IF(DATA[[#This Row],[VALORIZACIÓN ]]="-","NO CORRESPONDE",IF(OR(A334=20558226979,A334=10470707866,A334=20111157058,A334=20100226902),"NO CORRESPONDE",IF(J334="Emitida",IF(P334&gt;0,"EMITIDA","PENDIENTE"),"NO CORRESPONDE")))</f>
        <v>EMITIDA</v>
      </c>
      <c r="X334" s="29"/>
      <c r="Y334" s="17" t="s">
        <v>118</v>
      </c>
      <c r="Z334" s="30">
        <v>45733</v>
      </c>
      <c r="AA334" s="10" t="s">
        <v>119</v>
      </c>
      <c r="AB334" s="19">
        <v>26</v>
      </c>
      <c r="AC334" s="20">
        <v>30</v>
      </c>
      <c r="AD334" s="18">
        <f>DATA[[#This Row],[FECHA DE EMISION]]+DATA[[#This Row],[CONDICION DE PAGO]]</f>
        <v>45763</v>
      </c>
      <c r="AE334" s="23">
        <f>IF(DATA[[#This Row],[MONEDA]]="USD",VLOOKUP(DATA[[#This Row],[COMBINADA]],#REF!,11,0),1)</f>
        <v>1</v>
      </c>
      <c r="AF334" s="39" t="str">
        <f>IF(DATA[[#This Row],[SERIE2]]="-","NO CORRESPONDE",IF(W334="NO CORRESPONDE","NO CORRESPONDE",IF(Z334&gt;0,"FACTURADO","PENDIENTE")))</f>
        <v>FACTURADO</v>
      </c>
      <c r="AG334" s="27">
        <f>IFERROR(VLOOKUP(DATA[[#This Row],[COMBINADA]],#REF!,6,0),0)</f>
        <v>0</v>
      </c>
      <c r="AH334" s="125">
        <f>IFERROR(VLOOKUP(DATA[[#This Row],[COMBINADA]],#REF!,9,0),0)/COUNTIFS(DATA[COMBINADA],DATA[[#This Row],[COMBINADA]])</f>
        <v>0</v>
      </c>
      <c r="AI334" s="27">
        <f>IFERROR(VLOOKUP(DATA[[#This Row],[COMBINADA]],#REF!,6,0),0)</f>
        <v>0</v>
      </c>
      <c r="AJ334" s="125">
        <f>IFERROR(VLOOKUP(DATA[[#This Row],[COMBINADA]],#REF!,9,0),0)/COUNTIFS(DATA[COMBINADA],DATA[[#This Row],[COMBINADA]])</f>
        <v>0</v>
      </c>
      <c r="AK334" s="27">
        <f>IFERROR(VLOOKUP(DATA[[#This Row],[COMBINADA]],#REF!,6,0),0)</f>
        <v>0</v>
      </c>
      <c r="AL334" s="125">
        <f>IFERROR(VLOOKUP(DATA[[#This Row],[COMBINADA]],#REF!,9,0),0)/COUNTIFS(DATA[COMBINADA],DATA[[#This Row],[COMBINADA]])</f>
        <v>0</v>
      </c>
      <c r="AM334" s="27">
        <f>IFERROR(VLOOKUP(DATA[[#This Row],[COMBINADA]],#REF!,6,0),0)</f>
        <v>0</v>
      </c>
      <c r="AN334" s="125">
        <f>IFERROR(VLOOKUP(DATA[[#This Row],[COMBINADA]],#REF!,9,0),0)/COUNTIFS(DATA[COMBINADA],DATA[[#This Row],[COMBINADA]])</f>
        <v>0</v>
      </c>
      <c r="AO334" s="27">
        <f>IFERROR(VLOOKUP(DATA[[#This Row],[COMBINADA]],#REF!,6,0),0)</f>
        <v>0</v>
      </c>
      <c r="AP334" s="125">
        <f>IFERROR(VLOOKUP(DATA[[#This Row],[COMBINADA]],#REF!,9,0),0)/COUNTIFS(DATA[COMBINADA],DATA[[#This Row],[COMBINADA]])</f>
        <v>0</v>
      </c>
      <c r="AQ33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722.16</v>
      </c>
      <c r="AR334" s="26" t="str">
        <f>IFERROR(IF(DATA[[#This Row],[estado_fact]]="FACTURADO",VLOOKUP(DATA[[#This Row],[SERIE2]]&amp;"-"&amp;DATA[[#This Row],[NUMERO]],#REF!,34,0),"NO CORRESPONDE"),"NO CORRESPONDE")</f>
        <v>NO CORRESPONDE</v>
      </c>
      <c r="AS334" s="22" t="str">
        <f>IF(DATA[[#This Row],[fecha_fs]]&gt;0,TEXT(DATA[[#This Row],[fecha_fs]],"Mmmm"),0)</f>
        <v>Marzo</v>
      </c>
      <c r="AT334" s="22" t="str">
        <f>DATA[[#This Row],[SERIE2]]&amp;"-"&amp;DATA[[#This Row],[NUMERO]]</f>
        <v>E001-26</v>
      </c>
      <c r="AU334" s="28">
        <f>DATA[[#This Row],[TOTAL]]*DATA[[#This Row],[T.C.]]</f>
        <v>692.66</v>
      </c>
      <c r="AV334" s="6">
        <f>DATA[[#This Row],[FECHA DE VAL.]]</f>
        <v>45730</v>
      </c>
      <c r="AW334" s="6">
        <f>DATA[[#This Row],[FECHA DE EMISION]]</f>
        <v>45733</v>
      </c>
      <c r="AX334" s="6">
        <f>DATA[[#This Row],[F1]]</f>
        <v>0</v>
      </c>
      <c r="AY334" s="20">
        <f>IF(AV334-DATA[[#This Row],[fecha_fs]]&lt;0,0,AV334-DATA[[#This Row],[fecha_fs]])</f>
        <v>4</v>
      </c>
      <c r="AZ334" s="20">
        <f t="shared" si="37"/>
        <v>3</v>
      </c>
      <c r="BA334" s="20">
        <f t="shared" si="38"/>
        <v>0</v>
      </c>
      <c r="BB334" s="195">
        <f>IFERROR(SUM(DATA[[#This Row],[fs_val_ttf]:[fact_pago_ttf]]),0)</f>
        <v>7</v>
      </c>
      <c r="BC334" s="185">
        <v>45726</v>
      </c>
      <c r="BD334" s="185">
        <v>45726</v>
      </c>
      <c r="BE334" s="185">
        <v>45733</v>
      </c>
      <c r="BF334" s="185">
        <v>45733</v>
      </c>
      <c r="BG334" s="20">
        <f>IFERROR(IF(BC334-DATA[[#This Row],[fecha_fs]]&lt;0,0,BC334-DATA[[#This Row],[fecha_fs]]),0)</f>
        <v>0</v>
      </c>
      <c r="BH334" s="20">
        <f t="shared" si="39"/>
        <v>0</v>
      </c>
      <c r="BI334" s="20">
        <f t="shared" si="40"/>
        <v>7</v>
      </c>
      <c r="BJ334" s="20">
        <f t="shared" si="41"/>
        <v>0</v>
      </c>
      <c r="BK334" s="218">
        <f>IFERROR(SUM(DATA[[#This Row],[fs_fd_ttd]:[fend_fenf_ttd]]),0)</f>
        <v>7</v>
      </c>
      <c r="BL334" s="20" t="str">
        <f>IF(DATA[[#This Row],[fecha_fs]]&gt;0,TEXT(DATA[[#This Row],[fecha_fs]],"YYYY"),0)</f>
        <v>2025</v>
      </c>
      <c r="BM334" s="221" t="b">
        <v>1</v>
      </c>
      <c r="BN334" s="278">
        <f>COUNTIF(DATA[[#This Row],[tiempo_td]], "&lt;=15")</f>
        <v>1</v>
      </c>
      <c r="BO334" s="222"/>
    </row>
    <row r="335" spans="1:67" ht="30.6" customHeight="1" x14ac:dyDescent="0.25">
      <c r="A335" s="4">
        <v>20100211115</v>
      </c>
      <c r="B335" s="5" t="s">
        <v>41</v>
      </c>
      <c r="C335" s="52" t="s">
        <v>18</v>
      </c>
      <c r="D335" s="4" t="s">
        <v>120</v>
      </c>
      <c r="E335" s="5" t="s">
        <v>3</v>
      </c>
      <c r="F335" s="24">
        <v>45726</v>
      </c>
      <c r="G335" s="7" t="s">
        <v>113</v>
      </c>
      <c r="H335" s="25">
        <f t="shared" si="36"/>
        <v>1</v>
      </c>
      <c r="I335" s="67">
        <v>4215</v>
      </c>
      <c r="J335" s="8" t="s">
        <v>115</v>
      </c>
      <c r="K335" s="9" t="s">
        <v>121</v>
      </c>
      <c r="L335" s="10" t="s">
        <v>117</v>
      </c>
      <c r="M335" s="11">
        <v>90</v>
      </c>
      <c r="N335" s="12" t="s">
        <v>167</v>
      </c>
      <c r="O335" s="6">
        <v>45743</v>
      </c>
      <c r="P335" s="115">
        <v>3362</v>
      </c>
      <c r="Q335" s="14" t="s">
        <v>85</v>
      </c>
      <c r="R335" s="15"/>
      <c r="S335" s="15">
        <f>(DATA[[#This Row],[cantidad_fs]]*4.37)</f>
        <v>393.3</v>
      </c>
      <c r="T335" s="15">
        <f>DATA[[#This Row],[C. DF]]+DATA[[#This Row],[C.OPE.]]</f>
        <v>393.3</v>
      </c>
      <c r="U335" s="15">
        <f>DATA[[#This Row],[SUB TOTAL]]*0.18</f>
        <v>70.793999999999997</v>
      </c>
      <c r="V335" s="15">
        <f>IFERROR(ROUND(DATA[[#This Row],[SUB TOTAL]]+DATA[[#This Row],[IGV]],2),0)</f>
        <v>464.09</v>
      </c>
      <c r="W335" s="16" t="str">
        <f>IF(DATA[[#This Row],[VALORIZACIÓN ]]="-","NO CORRESPONDE",IF(OR(A335=20558226979,A335=10470707866,A335=20111157058,A335=20100226902),"NO CORRESPONDE",IF(J335="Emitida",IF(P335&gt;0,"EMITIDA","PENDIENTE"),"NO CORRESPONDE")))</f>
        <v>EMITIDA</v>
      </c>
      <c r="X335" s="29"/>
      <c r="Y335" s="17" t="s">
        <v>118</v>
      </c>
      <c r="Z335" s="30">
        <v>45744</v>
      </c>
      <c r="AA335" s="10" t="s">
        <v>150</v>
      </c>
      <c r="AB335" s="19">
        <v>2</v>
      </c>
      <c r="AC335" s="20">
        <v>30</v>
      </c>
      <c r="AD335" s="18">
        <f>DATA[[#This Row],[FECHA DE EMISION]]+DATA[[#This Row],[CONDICION DE PAGO]]</f>
        <v>45774</v>
      </c>
      <c r="AE335" s="23">
        <f>IF(DATA[[#This Row],[MONEDA]]="USD",VLOOKUP(DATA[[#This Row],[COMBINADA]],#REF!,11,0),1)</f>
        <v>1</v>
      </c>
      <c r="AF335" s="39" t="str">
        <f>IF(DATA[[#This Row],[SERIE2]]="-","NO CORRESPONDE",IF(W335="NO CORRESPONDE","NO CORRESPONDE",IF(Z335&gt;0,"FACTURADO","PENDIENTE")))</f>
        <v>FACTURADO</v>
      </c>
      <c r="AG335" s="27">
        <f>IFERROR(VLOOKUP(DATA[[#This Row],[COMBINADA]],#REF!,6,0),0)</f>
        <v>0</v>
      </c>
      <c r="AH335" s="125">
        <f>IFERROR(VLOOKUP(DATA[[#This Row],[COMBINADA]],#REF!,9,0),0)/COUNTIFS(DATA[COMBINADA],DATA[[#This Row],[COMBINADA]])</f>
        <v>0</v>
      </c>
      <c r="AI335" s="27">
        <f>IFERROR(VLOOKUP(DATA[[#This Row],[COMBINADA]],#REF!,6,0),0)</f>
        <v>0</v>
      </c>
      <c r="AJ335" s="125">
        <f>IFERROR(VLOOKUP(DATA[[#This Row],[COMBINADA]],#REF!,9,0),0)/COUNTIFS(DATA[COMBINADA],DATA[[#This Row],[COMBINADA]])</f>
        <v>0</v>
      </c>
      <c r="AK335" s="27">
        <f>IFERROR(VLOOKUP(DATA[[#This Row],[COMBINADA]],#REF!,6,0),0)</f>
        <v>0</v>
      </c>
      <c r="AL335" s="125">
        <f>IFERROR(VLOOKUP(DATA[[#This Row],[COMBINADA]],#REF!,9,0),0)/COUNTIFS(DATA[COMBINADA],DATA[[#This Row],[COMBINADA]])</f>
        <v>0</v>
      </c>
      <c r="AM335" s="27">
        <f>IFERROR(VLOOKUP(DATA[[#This Row],[COMBINADA]],#REF!,6,0),0)</f>
        <v>0</v>
      </c>
      <c r="AN335" s="125">
        <f>IFERROR(VLOOKUP(DATA[[#This Row],[COMBINADA]],#REF!,9,0),0)/COUNTIFS(DATA[COMBINADA],DATA[[#This Row],[COMBINADA]])</f>
        <v>0</v>
      </c>
      <c r="AO335" s="27">
        <f>IFERROR(VLOOKUP(DATA[[#This Row],[COMBINADA]],#REF!,6,0),0)</f>
        <v>0</v>
      </c>
      <c r="AP335" s="125">
        <f>IFERROR(VLOOKUP(DATA[[#This Row],[COMBINADA]],#REF!,9,0),0)/COUNTIFS(DATA[COMBINADA],DATA[[#This Row],[COMBINADA]])</f>
        <v>0</v>
      </c>
      <c r="AQ33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335" s="26" t="str">
        <f>IFERROR(IF(DATA[[#This Row],[estado_fact]]="FACTURADO",VLOOKUP(DATA[[#This Row],[SERIE2]]&amp;"-"&amp;DATA[[#This Row],[NUMERO]],#REF!,34,0),"NO CORRESPONDE"),"NO CORRESPONDE")</f>
        <v>NO CORRESPONDE</v>
      </c>
      <c r="AS335" s="22" t="str">
        <f>IF(DATA[[#This Row],[fecha_fs]]&gt;0,TEXT(DATA[[#This Row],[fecha_fs]],"Mmmm"),0)</f>
        <v>Marzo</v>
      </c>
      <c r="AT335" s="22" t="str">
        <f>DATA[[#This Row],[SERIE2]]&amp;"-"&amp;DATA[[#This Row],[NUMERO]]</f>
        <v>FF01-2</v>
      </c>
      <c r="AU335" s="28">
        <f>DATA[[#This Row],[TOTAL]]*DATA[[#This Row],[T.C.]]</f>
        <v>464.09</v>
      </c>
      <c r="AV335" s="6">
        <f>DATA[[#This Row],[FECHA DE VAL.]]</f>
        <v>45743</v>
      </c>
      <c r="AW335" s="6">
        <f>DATA[[#This Row],[FECHA DE EMISION]]</f>
        <v>45744</v>
      </c>
      <c r="AX335" s="6">
        <f>DATA[[#This Row],[F1]]</f>
        <v>0</v>
      </c>
      <c r="AY335" s="20">
        <f>IF(AV335-DATA[[#This Row],[fecha_fs]]&lt;0,0,AV335-DATA[[#This Row],[fecha_fs]])</f>
        <v>17</v>
      </c>
      <c r="AZ335" s="20">
        <f t="shared" si="37"/>
        <v>1</v>
      </c>
      <c r="BA335" s="20">
        <f t="shared" si="38"/>
        <v>0</v>
      </c>
      <c r="BB335" s="195">
        <f>IFERROR(SUM(DATA[[#This Row],[fs_val_ttf]:[fact_pago_ttf]]),0)</f>
        <v>18</v>
      </c>
      <c r="BC335" s="185">
        <v>45742</v>
      </c>
      <c r="BD335" s="185">
        <v>45751</v>
      </c>
      <c r="BE335" s="185">
        <v>45757</v>
      </c>
      <c r="BF335" s="185">
        <v>45758</v>
      </c>
      <c r="BG335" s="20">
        <f>IFERROR(IF(BC335-DATA[[#This Row],[fecha_fs]]&lt;0,0,BC335-DATA[[#This Row],[fecha_fs]]),0)</f>
        <v>16</v>
      </c>
      <c r="BH335" s="20">
        <f t="shared" si="39"/>
        <v>9</v>
      </c>
      <c r="BI335" s="20">
        <f t="shared" si="40"/>
        <v>6</v>
      </c>
      <c r="BJ335" s="20">
        <f t="shared" si="41"/>
        <v>1</v>
      </c>
      <c r="BK335" s="218">
        <f>IFERROR(SUM(DATA[[#This Row],[fs_fd_ttd]:[fend_fenf_ttd]]),0)</f>
        <v>32</v>
      </c>
      <c r="BL335" s="20" t="str">
        <f>IF(DATA[[#This Row],[fecha_fs]]&gt;0,TEXT(DATA[[#This Row],[fecha_fs]],"YYYY"),0)</f>
        <v>2025</v>
      </c>
      <c r="BM335" s="221" t="b">
        <v>1</v>
      </c>
      <c r="BN335" s="278">
        <f>COUNTIF(DATA[[#This Row],[tiempo_td]], "&lt;=15")</f>
        <v>0</v>
      </c>
      <c r="BO335" s="222"/>
    </row>
    <row r="336" spans="1:67" ht="30.6" customHeight="1" x14ac:dyDescent="0.25">
      <c r="A336" s="4">
        <v>20159473148</v>
      </c>
      <c r="B336" s="5" t="s">
        <v>280</v>
      </c>
      <c r="C336" s="52" t="s">
        <v>20</v>
      </c>
      <c r="D336" s="4" t="s">
        <v>112</v>
      </c>
      <c r="E336" s="5" t="s">
        <v>1</v>
      </c>
      <c r="F336" s="24">
        <v>45726</v>
      </c>
      <c r="G336" s="7" t="s">
        <v>113</v>
      </c>
      <c r="H336" s="25">
        <f t="shared" si="36"/>
        <v>1</v>
      </c>
      <c r="I336" s="67">
        <v>4216</v>
      </c>
      <c r="J336" s="8" t="s">
        <v>115</v>
      </c>
      <c r="K336" s="9" t="s">
        <v>116</v>
      </c>
      <c r="L336" s="10" t="s">
        <v>117</v>
      </c>
      <c r="M336" s="11">
        <v>6040</v>
      </c>
      <c r="N336" s="12" t="s">
        <v>129</v>
      </c>
      <c r="O336" s="6">
        <v>45727</v>
      </c>
      <c r="P336" s="13">
        <v>3337</v>
      </c>
      <c r="Q336" s="14" t="s">
        <v>85</v>
      </c>
      <c r="R336" s="15">
        <f>DATA[[#This Row],[cantidad_fs]]*0.45</f>
        <v>2718</v>
      </c>
      <c r="S336" s="15">
        <f>3975.51/2</f>
        <v>1987.7550000000001</v>
      </c>
      <c r="T336" s="15">
        <f>DATA[[#This Row],[C. DF]]+DATA[[#This Row],[C.OPE.]]</f>
        <v>4705.7550000000001</v>
      </c>
      <c r="U336" s="15">
        <f>DATA[[#This Row],[SUB TOTAL]]*0.18</f>
        <v>847.03589999999997</v>
      </c>
      <c r="V336" s="15">
        <f>IFERROR(ROUND(DATA[[#This Row],[SUB TOTAL]]+DATA[[#This Row],[IGV]],2),0)</f>
        <v>5552.79</v>
      </c>
      <c r="W336" s="16" t="str">
        <f>IF(DATA[[#This Row],[VALORIZACIÓN ]]="-","NO CORRESPONDE",IF(OR(A336=20558226979,A336=10470707866,A336=20111157058,A336=20100226902),"NO CORRESPONDE",IF(J336="Emitida",IF(P336&gt;0,"EMITIDA","PENDIENTE"),"NO CORRESPONDE")))</f>
        <v>EMITIDA</v>
      </c>
      <c r="X336" s="29"/>
      <c r="Y336" s="17" t="s">
        <v>118</v>
      </c>
      <c r="Z336" s="30">
        <v>45740</v>
      </c>
      <c r="AA336" s="10" t="s">
        <v>119</v>
      </c>
      <c r="AB336" s="19">
        <v>50</v>
      </c>
      <c r="AC336" s="20">
        <v>15</v>
      </c>
      <c r="AD336" s="18">
        <f>DATA[[#This Row],[FECHA DE EMISION]]+DATA[[#This Row],[CONDICION DE PAGO]]</f>
        <v>45755</v>
      </c>
      <c r="AE336" s="23">
        <f>IF(DATA[[#This Row],[MONEDA]]="USD",VLOOKUP(DATA[[#This Row],[COMBINADA]],#REF!,11,0),1)</f>
        <v>1</v>
      </c>
      <c r="AF336" s="39" t="str">
        <f>IF(DATA[[#This Row],[SERIE2]]="-","NO CORRESPONDE",IF(W336="NO CORRESPONDE","NO CORRESPONDE",IF(Z336&gt;0,"FACTURADO","PENDIENTE")))</f>
        <v>FACTURADO</v>
      </c>
      <c r="AG336" s="27">
        <f>IFERROR(VLOOKUP(DATA[[#This Row],[COMBINADA]],#REF!,6,0),0)</f>
        <v>0</v>
      </c>
      <c r="AH336" s="125">
        <f>IFERROR(VLOOKUP(DATA[[#This Row],[COMBINADA]],#REF!,9,0),0)/COUNTIFS(DATA[COMBINADA],DATA[[#This Row],[COMBINADA]])</f>
        <v>0</v>
      </c>
      <c r="AI336" s="27">
        <f>IFERROR(VLOOKUP(DATA[[#This Row],[COMBINADA]],#REF!,6,0),0)</f>
        <v>0</v>
      </c>
      <c r="AJ336" s="125">
        <f>IFERROR(VLOOKUP(DATA[[#This Row],[COMBINADA]],#REF!,9,0),0)/COUNTIFS(DATA[COMBINADA],DATA[[#This Row],[COMBINADA]])</f>
        <v>0</v>
      </c>
      <c r="AK336" s="27">
        <f>IFERROR(VLOOKUP(DATA[[#This Row],[COMBINADA]],#REF!,6,0),0)</f>
        <v>0</v>
      </c>
      <c r="AL336" s="125">
        <f>IFERROR(VLOOKUP(DATA[[#This Row],[COMBINADA]],#REF!,9,0),0)/COUNTIFS(DATA[COMBINADA],DATA[[#This Row],[COMBINADA]])</f>
        <v>0</v>
      </c>
      <c r="AM336" s="27">
        <f>IFERROR(VLOOKUP(DATA[[#This Row],[COMBINADA]],#REF!,6,0),0)</f>
        <v>0</v>
      </c>
      <c r="AN336" s="125">
        <f>IFERROR(VLOOKUP(DATA[[#This Row],[COMBINADA]],#REF!,9,0),0)/COUNTIFS(DATA[COMBINADA],DATA[[#This Row],[COMBINADA]])</f>
        <v>0</v>
      </c>
      <c r="AO336" s="27">
        <f>IFERROR(VLOOKUP(DATA[[#This Row],[COMBINADA]],#REF!,6,0),0)</f>
        <v>0</v>
      </c>
      <c r="AP336" s="125">
        <f>IFERROR(VLOOKUP(DATA[[#This Row],[COMBINADA]],#REF!,9,0),0)/COUNTIFS(DATA[COMBINADA],DATA[[#This Row],[COMBINADA]])</f>
        <v>0</v>
      </c>
      <c r="AQ33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4055.37</v>
      </c>
      <c r="AR336" s="26" t="str">
        <f>IFERROR(IF(DATA[[#This Row],[estado_fact]]="FACTURADO",VLOOKUP(DATA[[#This Row],[SERIE2]]&amp;"-"&amp;DATA[[#This Row],[NUMERO]],#REF!,34,0),"NO CORRESPONDE"),"NO CORRESPONDE")</f>
        <v>NO CORRESPONDE</v>
      </c>
      <c r="AS336" s="22" t="str">
        <f>IF(DATA[[#This Row],[fecha_fs]]&gt;0,TEXT(DATA[[#This Row],[fecha_fs]],"Mmmm"),0)</f>
        <v>Marzo</v>
      </c>
      <c r="AT336" s="22" t="str">
        <f>DATA[[#This Row],[SERIE2]]&amp;"-"&amp;DATA[[#This Row],[NUMERO]]</f>
        <v>E001-50</v>
      </c>
      <c r="AU336" s="28">
        <f>DATA[[#This Row],[TOTAL]]*DATA[[#This Row],[T.C.]]</f>
        <v>5552.79</v>
      </c>
      <c r="AV336" s="6">
        <f>DATA[[#This Row],[FECHA DE VAL.]]</f>
        <v>45727</v>
      </c>
      <c r="AW336" s="6">
        <f>DATA[[#This Row],[FECHA DE EMISION]]</f>
        <v>45740</v>
      </c>
      <c r="AX336" s="6">
        <f>DATA[[#This Row],[F1]]</f>
        <v>0</v>
      </c>
      <c r="AY336" s="20">
        <f>IF(AV336-DATA[[#This Row],[fecha_fs]]&lt;0,0,AV336-DATA[[#This Row],[fecha_fs]])</f>
        <v>1</v>
      </c>
      <c r="AZ336" s="20">
        <f t="shared" si="37"/>
        <v>13</v>
      </c>
      <c r="BA336" s="20">
        <f t="shared" si="38"/>
        <v>0</v>
      </c>
      <c r="BB336" s="195">
        <f>IFERROR(SUM(DATA[[#This Row],[fs_val_ttf]:[fact_pago_ttf]]),0)</f>
        <v>14</v>
      </c>
      <c r="BC336" s="185">
        <v>45726</v>
      </c>
      <c r="BD336" s="185">
        <v>45730</v>
      </c>
      <c r="BE336" s="185">
        <v>45733</v>
      </c>
      <c r="BF336" s="185">
        <v>45755</v>
      </c>
      <c r="BG336" s="20">
        <f>IFERROR(IF(BC336-DATA[[#This Row],[fecha_fs]]&lt;0,0,BC336-DATA[[#This Row],[fecha_fs]]),0)</f>
        <v>0</v>
      </c>
      <c r="BH336" s="20">
        <f t="shared" si="39"/>
        <v>4</v>
      </c>
      <c r="BI336" s="20">
        <f t="shared" si="40"/>
        <v>3</v>
      </c>
      <c r="BJ336" s="20">
        <f t="shared" si="41"/>
        <v>22</v>
      </c>
      <c r="BK336" s="218">
        <f>IFERROR(SUM(DATA[[#This Row],[fs_fd_ttd]:[fend_fenf_ttd]]),0)</f>
        <v>29</v>
      </c>
      <c r="BL336" s="20" t="str">
        <f>IF(DATA[[#This Row],[fecha_fs]]&gt;0,TEXT(DATA[[#This Row],[fecha_fs]],"YYYY"),0)</f>
        <v>2025</v>
      </c>
      <c r="BM336" s="221" t="b">
        <v>1</v>
      </c>
      <c r="BN336" s="278">
        <f>COUNTIF(DATA[[#This Row],[tiempo_td]], "&lt;=15")</f>
        <v>0</v>
      </c>
      <c r="BO336" s="222"/>
    </row>
    <row r="337" spans="1:67" ht="30" customHeight="1" x14ac:dyDescent="0.25">
      <c r="A337" s="4"/>
      <c r="B337" s="5" t="s">
        <v>0</v>
      </c>
      <c r="C337" s="52"/>
      <c r="D337" s="4"/>
      <c r="E337" s="5" t="s">
        <v>0</v>
      </c>
      <c r="F337" s="24">
        <v>45726</v>
      </c>
      <c r="G337" s="7" t="s">
        <v>113</v>
      </c>
      <c r="H337" s="25">
        <f t="shared" si="36"/>
        <v>1</v>
      </c>
      <c r="I337" s="67">
        <v>4217</v>
      </c>
      <c r="J337" s="8" t="s">
        <v>151</v>
      </c>
      <c r="K337" s="9"/>
      <c r="L337" s="10"/>
      <c r="M337" s="111"/>
      <c r="N337" s="112"/>
      <c r="O337" s="6"/>
      <c r="P337" s="13" t="s">
        <v>114</v>
      </c>
      <c r="Q337" s="14"/>
      <c r="R337" s="15"/>
      <c r="S337" s="15"/>
      <c r="T337" s="15">
        <f>DATA[[#This Row],[C. DF]]+DATA[[#This Row],[C.OPE.]]</f>
        <v>0</v>
      </c>
      <c r="U337" s="73">
        <f>DATA[[#This Row],[SUB TOTAL]]*0.18</f>
        <v>0</v>
      </c>
      <c r="V337" s="45">
        <f>IFERROR(ROUND(DATA[[#This Row],[SUB TOTAL]]+DATA[[#This Row],[IGV]],2),0)</f>
        <v>0</v>
      </c>
      <c r="W337" s="58" t="str">
        <f>IF(DATA[[#This Row],[VALORIZACIÓN ]]="-","NO CORRESPONDE",IF(OR(A337=20558226979,A337=10470707866,A337=20111157058,A337=20100226902),"NO CORRESPONDE",IF(J337="Emitida",IF(P337&gt;0,"EMITIDA","PENDIENTE"),"NO CORRESPONDE")))</f>
        <v>NO CORRESPONDE</v>
      </c>
      <c r="X337" s="46"/>
      <c r="Y337" s="17" t="s">
        <v>128</v>
      </c>
      <c r="Z337" s="48"/>
      <c r="AA337" s="49"/>
      <c r="AB337" s="50"/>
      <c r="AC337" s="51"/>
      <c r="AD337" s="59">
        <f>DATA[[#This Row],[FECHA DE EMISION]]+DATA[[#This Row],[CONDICION DE PAGO]]</f>
        <v>0</v>
      </c>
      <c r="AE337" s="23">
        <f>IF(DATA[[#This Row],[MONEDA]]="USD",VLOOKUP(DATA[[#This Row],[COMBINADA]],#REF!,11,0),1)</f>
        <v>1</v>
      </c>
      <c r="AF337" s="39" t="str">
        <f>IF(DATA[[#This Row],[SERIE2]]="-","NO CORRESPONDE",IF(W337="NO CORRESPONDE","NO CORRESPONDE",IF(Z337&gt;0,"FACTURADO","PENDIENTE")))</f>
        <v>NO CORRESPONDE</v>
      </c>
      <c r="AG337" s="61">
        <f>IFERROR(VLOOKUP(DATA[[#This Row],[COMBINADA]],#REF!,6,0),0)</f>
        <v>0</v>
      </c>
      <c r="AH337" s="62">
        <f>IFERROR(VLOOKUP(DATA[[#This Row],[COMBINADA]],#REF!,9,0),0)/COUNTIFS(DATA[COMBINADA],DATA[[#This Row],[COMBINADA]])</f>
        <v>0</v>
      </c>
      <c r="AI337" s="61">
        <f>IFERROR(VLOOKUP(DATA[[#This Row],[COMBINADA]],#REF!,6,0),0)</f>
        <v>0</v>
      </c>
      <c r="AJ337" s="62">
        <f>IFERROR(VLOOKUP(DATA[[#This Row],[COMBINADA]],#REF!,9,0),0)/COUNTIFS(DATA[COMBINADA],DATA[[#This Row],[COMBINADA]])</f>
        <v>0</v>
      </c>
      <c r="AK337" s="61">
        <f>IFERROR(VLOOKUP(DATA[[#This Row],[COMBINADA]],#REF!,6,0),0)</f>
        <v>0</v>
      </c>
      <c r="AL337" s="62">
        <f>IFERROR(VLOOKUP(DATA[[#This Row],[COMBINADA]],#REF!,9,0),0)/COUNTIFS(DATA[COMBINADA],DATA[[#This Row],[COMBINADA]])</f>
        <v>0</v>
      </c>
      <c r="AM337" s="61">
        <f>IFERROR(VLOOKUP(DATA[[#This Row],[COMBINADA]],#REF!,6,0),0)</f>
        <v>0</v>
      </c>
      <c r="AN337" s="62">
        <f>IFERROR(VLOOKUP(DATA[[#This Row],[COMBINADA]],#REF!,9,0),0)/COUNTIFS(DATA[COMBINADA],DATA[[#This Row],[COMBINADA]])</f>
        <v>0</v>
      </c>
      <c r="AO337" s="61">
        <f>IFERROR(VLOOKUP(DATA[[#This Row],[COMBINADA]],#REF!,6,0),0)</f>
        <v>0</v>
      </c>
      <c r="AP337" s="62">
        <f>IFERROR(VLOOKUP(DATA[[#This Row],[COMBINADA]],#REF!,9,0),0)/COUNTIFS(DATA[COMBINADA],DATA[[#This Row],[COMBINADA]])</f>
        <v>0</v>
      </c>
      <c r="AQ337"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337" s="22" t="str">
        <f>IFERROR(IF(DATA[[#This Row],[estado_fact]]="FACTURADO",VLOOKUP(DATA[[#This Row],[SERIE2]]&amp;"-"&amp;DATA[[#This Row],[NUMERO]],#REF!,34,0),"NO CORRESPONDE"),"NO CORRESPONDE")</f>
        <v>NO CORRESPONDE</v>
      </c>
      <c r="AS337" s="198" t="str">
        <f>IF(DATA[[#This Row],[fecha_fs]]&gt;0,TEXT(DATA[[#This Row],[fecha_fs]],"Mmmm"),0)</f>
        <v>Marzo</v>
      </c>
      <c r="AT337" s="199" t="str">
        <f>DATA[[#This Row],[SERIE2]]&amp;"-"&amp;DATA[[#This Row],[NUMERO]]</f>
        <v>-</v>
      </c>
      <c r="AU337" s="198">
        <f>DATA[[#This Row],[TOTAL]]*DATA[[#This Row],[T.C.]]</f>
        <v>0</v>
      </c>
      <c r="AV337" s="40">
        <f>DATA[[#This Row],[FECHA DE VAL.]]</f>
        <v>0</v>
      </c>
      <c r="AW337" s="40">
        <f>DATA[[#This Row],[FECHA DE EMISION]]</f>
        <v>0</v>
      </c>
      <c r="AX337" s="40">
        <f>DATA[[#This Row],[F1]]</f>
        <v>0</v>
      </c>
      <c r="AY337" s="49">
        <f>IF(AV337-DATA[[#This Row],[fecha_fs]]&lt;0,0,AV337-DATA[[#This Row],[fecha_fs]])</f>
        <v>0</v>
      </c>
      <c r="AZ337" s="49">
        <f t="shared" si="37"/>
        <v>0</v>
      </c>
      <c r="BA337" s="49">
        <f t="shared" si="38"/>
        <v>0</v>
      </c>
      <c r="BB337" s="195">
        <f>IFERROR(SUM(DATA[[#This Row],[fs_val_ttf]:[fact_pago_ttf]]),0)</f>
        <v>0</v>
      </c>
      <c r="BC337" s="200"/>
      <c r="BD337" s="200"/>
      <c r="BE337" s="200"/>
      <c r="BF337" s="200"/>
      <c r="BG337" s="49">
        <f>IFERROR(IF(BC337-DATA[[#This Row],[fecha_fs]]&lt;0,0,BC337-DATA[[#This Row],[fecha_fs]]),0)</f>
        <v>0</v>
      </c>
      <c r="BH337" s="49">
        <f t="shared" si="39"/>
        <v>0</v>
      </c>
      <c r="BI337" s="49">
        <f t="shared" si="40"/>
        <v>0</v>
      </c>
      <c r="BJ337" s="49">
        <f t="shared" si="41"/>
        <v>0</v>
      </c>
      <c r="BK337" s="218">
        <f>IFERROR(SUM(DATA[[#This Row],[fs_fd_ttd]:[fend_fenf_ttd]]),0)</f>
        <v>0</v>
      </c>
      <c r="BL337" s="20" t="str">
        <f>IF(DATA[[#This Row],[fecha_fs]]&gt;0,TEXT(DATA[[#This Row],[fecha_fs]],"YYYY"),0)</f>
        <v>2025</v>
      </c>
      <c r="BM337" s="221" t="b">
        <v>0</v>
      </c>
      <c r="BN337" s="278"/>
      <c r="BO337" s="222"/>
    </row>
    <row r="338" spans="1:67" ht="30.6" customHeight="1" x14ac:dyDescent="0.25">
      <c r="A338" s="4">
        <v>20100226902</v>
      </c>
      <c r="B338" s="5" t="s">
        <v>24</v>
      </c>
      <c r="C338" s="52" t="s">
        <v>18</v>
      </c>
      <c r="D338" s="4" t="s">
        <v>120</v>
      </c>
      <c r="E338" s="5" t="s">
        <v>3</v>
      </c>
      <c r="F338" s="24">
        <v>45726</v>
      </c>
      <c r="G338" s="7" t="s">
        <v>113</v>
      </c>
      <c r="H338" s="25">
        <f t="shared" si="36"/>
        <v>1</v>
      </c>
      <c r="I338" s="67">
        <v>4218</v>
      </c>
      <c r="J338" s="8" t="s">
        <v>115</v>
      </c>
      <c r="K338" s="9" t="s">
        <v>121</v>
      </c>
      <c r="L338" s="10" t="s">
        <v>117</v>
      </c>
      <c r="M338" s="11">
        <v>650</v>
      </c>
      <c r="N338" s="12" t="s">
        <v>240</v>
      </c>
      <c r="O338" s="40"/>
      <c r="P338" s="41" t="s">
        <v>114</v>
      </c>
      <c r="Q338" s="42"/>
      <c r="R338" s="43"/>
      <c r="S338" s="43"/>
      <c r="T338" s="43">
        <f>DATA[[#This Row],[C. DF]]+DATA[[#This Row],[C.OPE.]]</f>
        <v>0</v>
      </c>
      <c r="U338" s="43">
        <f>DATA[[#This Row],[SUB TOTAL]]*0.18</f>
        <v>0</v>
      </c>
      <c r="V338" s="43">
        <f>IFERROR(ROUND(DATA[[#This Row],[SUB TOTAL]]+DATA[[#This Row],[IGV]],2),0)</f>
        <v>0</v>
      </c>
      <c r="W338" s="58" t="str">
        <f>IF(DATA[[#This Row],[VALORIZACIÓN ]]="-","NO CORRESPONDE",IF(OR(A338=20558226979,A338=10470707866,A338=20111157058,A338=20100226902),"NO CORRESPONDE",IF(J338="Emitida",IF(P338&gt;0,"EMITIDA","PENDIENTE"),"NO CORRESPONDE")))</f>
        <v>NO CORRESPONDE</v>
      </c>
      <c r="X338" s="45"/>
      <c r="Y338" s="58" t="s">
        <v>128</v>
      </c>
      <c r="Z338" s="46"/>
      <c r="AA338" s="47"/>
      <c r="AB338" s="48"/>
      <c r="AC338" s="49"/>
      <c r="AD338" s="50">
        <f>DATA[[#This Row],[FECHA DE EMISION]]+DATA[[#This Row],[CONDICION DE PAGO]]</f>
        <v>0</v>
      </c>
      <c r="AE338" s="23">
        <f>IF(DATA[[#This Row],[MONEDA]]="USD",VLOOKUP(DATA[[#This Row],[COMBINADA]],#REF!,11,0),1)</f>
        <v>1</v>
      </c>
      <c r="AF338" s="39" t="str">
        <f>IF(DATA[[#This Row],[SERIE2]]="-","NO CORRESPONDE",IF(W338="NO CORRESPONDE","NO CORRESPONDE",IF(Z338&gt;0,"FACTURADO","PENDIENTE")))</f>
        <v>NO CORRESPONDE</v>
      </c>
      <c r="AG338" s="60">
        <f>IFERROR(VLOOKUP(DATA[[#This Row],[COMBINADA]],#REF!,6,0),0)</f>
        <v>0</v>
      </c>
      <c r="AH338" s="126">
        <f>IFERROR(VLOOKUP(DATA[[#This Row],[COMBINADA]],#REF!,9,0),0)/COUNTIFS(DATA[COMBINADA],DATA[[#This Row],[COMBINADA]])</f>
        <v>0</v>
      </c>
      <c r="AI338" s="60">
        <f>IFERROR(VLOOKUP(DATA[[#This Row],[COMBINADA]],#REF!,6,0),0)</f>
        <v>0</v>
      </c>
      <c r="AJ338" s="126">
        <f>IFERROR(VLOOKUP(DATA[[#This Row],[COMBINADA]],#REF!,9,0),0)/COUNTIFS(DATA[COMBINADA],DATA[[#This Row],[COMBINADA]])</f>
        <v>0</v>
      </c>
      <c r="AK338" s="60">
        <f>IFERROR(VLOOKUP(DATA[[#This Row],[COMBINADA]],#REF!,6,0),0)</f>
        <v>0</v>
      </c>
      <c r="AL338" s="126">
        <f>IFERROR(VLOOKUP(DATA[[#This Row],[COMBINADA]],#REF!,9,0),0)/COUNTIFS(DATA[COMBINADA],DATA[[#This Row],[COMBINADA]])</f>
        <v>0</v>
      </c>
      <c r="AM338" s="60">
        <f>IFERROR(VLOOKUP(DATA[[#This Row],[COMBINADA]],#REF!,6,0),0)</f>
        <v>0</v>
      </c>
      <c r="AN338" s="126">
        <f>IFERROR(VLOOKUP(DATA[[#This Row],[COMBINADA]],#REF!,9,0),0)/COUNTIFS(DATA[COMBINADA],DATA[[#This Row],[COMBINADA]])</f>
        <v>0</v>
      </c>
      <c r="AO338" s="60">
        <f>IFERROR(VLOOKUP(DATA[[#This Row],[COMBINADA]],#REF!,6,0),0)</f>
        <v>0</v>
      </c>
      <c r="AP338" s="126">
        <f>IFERROR(VLOOKUP(DATA[[#This Row],[COMBINADA]],#REF!,9,0),0)/COUNTIFS(DATA[COMBINADA],DATA[[#This Row],[COMBINADA]])</f>
        <v>0</v>
      </c>
      <c r="AQ338"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338" s="22" t="str">
        <f>IFERROR(IF(DATA[[#This Row],[estado_fact]]="FACTURADO",VLOOKUP(DATA[[#This Row],[SERIE2]]&amp;"-"&amp;DATA[[#This Row],[NUMERO]],#REF!,34,0),"NO CORRESPONDE"),"NO CORRESPONDE")</f>
        <v>NO CORRESPONDE</v>
      </c>
      <c r="AS338" s="22" t="str">
        <f>IF(DATA[[#This Row],[fecha_fs]]&gt;0,TEXT(DATA[[#This Row],[fecha_fs]],"Mmmm"),0)</f>
        <v>Marzo</v>
      </c>
      <c r="AT338" s="22" t="str">
        <f>DATA[[#This Row],[SERIE2]]&amp;"-"&amp;DATA[[#This Row],[NUMERO]]</f>
        <v>-</v>
      </c>
      <c r="AU338" s="28">
        <f>DATA[[#This Row],[TOTAL]]*DATA[[#This Row],[T.C.]]</f>
        <v>0</v>
      </c>
      <c r="AV338" s="6">
        <f>DATA[[#This Row],[FECHA DE VAL.]]</f>
        <v>0</v>
      </c>
      <c r="AW338" s="6">
        <f>DATA[[#This Row],[FECHA DE EMISION]]</f>
        <v>0</v>
      </c>
      <c r="AX338" s="6">
        <f>DATA[[#This Row],[F1]]</f>
        <v>0</v>
      </c>
      <c r="AY338" s="20">
        <f>IF(AV338-DATA[[#This Row],[fecha_fs]]&lt;0,0,AV338-DATA[[#This Row],[fecha_fs]])</f>
        <v>0</v>
      </c>
      <c r="AZ338" s="20">
        <f t="shared" si="37"/>
        <v>0</v>
      </c>
      <c r="BA338" s="20">
        <f t="shared" si="38"/>
        <v>0</v>
      </c>
      <c r="BB338" s="195">
        <f>IFERROR(SUM(DATA[[#This Row],[fs_val_ttf]:[fact_pago_ttf]]),0)</f>
        <v>0</v>
      </c>
      <c r="BC338" s="185">
        <v>45726</v>
      </c>
      <c r="BD338" s="185">
        <v>45726</v>
      </c>
      <c r="BE338" s="185">
        <v>45768</v>
      </c>
      <c r="BF338" s="185">
        <v>45768</v>
      </c>
      <c r="BG338" s="20">
        <f>IFERROR(IF(BC338-DATA[[#This Row],[fecha_fs]]&lt;0,0,BC338-DATA[[#This Row],[fecha_fs]]),0)</f>
        <v>0</v>
      </c>
      <c r="BH338" s="20">
        <f t="shared" si="39"/>
        <v>0</v>
      </c>
      <c r="BI338" s="20">
        <f t="shared" si="40"/>
        <v>42</v>
      </c>
      <c r="BJ338" s="20">
        <f t="shared" si="41"/>
        <v>0</v>
      </c>
      <c r="BK338" s="218">
        <f>IFERROR(SUM(DATA[[#This Row],[fs_fd_ttd]:[fend_fenf_ttd]]),0)</f>
        <v>42</v>
      </c>
      <c r="BL338" s="20" t="str">
        <f>IF(DATA[[#This Row],[fecha_fs]]&gt;0,TEXT(DATA[[#This Row],[fecha_fs]],"YYYY"),0)</f>
        <v>2025</v>
      </c>
      <c r="BM338" s="221" t="b">
        <v>1</v>
      </c>
      <c r="BN338" s="278">
        <f>COUNTIF(DATA[[#This Row],[tiempo_td]], "&lt;=15")</f>
        <v>0</v>
      </c>
      <c r="BO338" s="222"/>
    </row>
    <row r="339" spans="1:67" ht="30.6" customHeight="1" x14ac:dyDescent="0.25">
      <c r="A339" s="4">
        <v>20505675836</v>
      </c>
      <c r="B339" s="5" t="s">
        <v>42</v>
      </c>
      <c r="C339" s="52" t="s">
        <v>20</v>
      </c>
      <c r="D339" s="4" t="s">
        <v>112</v>
      </c>
      <c r="E339" s="5" t="s">
        <v>1</v>
      </c>
      <c r="F339" s="24">
        <v>45726</v>
      </c>
      <c r="G339" s="7" t="s">
        <v>113</v>
      </c>
      <c r="H339" s="25">
        <f t="shared" si="36"/>
        <v>1</v>
      </c>
      <c r="I339" s="67">
        <v>4219</v>
      </c>
      <c r="J339" s="8" t="s">
        <v>115</v>
      </c>
      <c r="K339" s="9" t="s">
        <v>116</v>
      </c>
      <c r="L339" s="10" t="s">
        <v>117</v>
      </c>
      <c r="M339" s="11">
        <v>500</v>
      </c>
      <c r="N339" s="12" t="s">
        <v>125</v>
      </c>
      <c r="O339" s="6">
        <v>45741</v>
      </c>
      <c r="P339" s="71">
        <v>3349</v>
      </c>
      <c r="Q339" s="14" t="s">
        <v>85</v>
      </c>
      <c r="R339" s="15"/>
      <c r="S339" s="15">
        <v>1988.35</v>
      </c>
      <c r="T339" s="15">
        <f>DATA[[#This Row],[C. DF]]+DATA[[#This Row],[C.OPE.]]</f>
        <v>1988.35</v>
      </c>
      <c r="U339" s="15">
        <f>DATA[[#This Row],[SUB TOTAL]]*0.18</f>
        <v>357.90299999999996</v>
      </c>
      <c r="V339" s="15">
        <f>IFERROR(ROUND(DATA[[#This Row],[SUB TOTAL]]+DATA[[#This Row],[IGV]],2),0)</f>
        <v>2346.25</v>
      </c>
      <c r="W339" s="16" t="str">
        <f>IF(DATA[[#This Row],[VALORIZACIÓN ]]="-","NO CORRESPONDE",IF(OR(A339=20558226979,A339=10470707866,A339=20111157058,A339=20100226902),"NO CORRESPONDE",IF(J339="Emitida",IF(P339&gt;0,"EMITIDA","PENDIENTE"),"NO CORRESPONDE")))</f>
        <v>EMITIDA</v>
      </c>
      <c r="X339" s="29"/>
      <c r="Y339" s="17" t="s">
        <v>118</v>
      </c>
      <c r="Z339" s="30">
        <v>45782</v>
      </c>
      <c r="AA339" s="10" t="s">
        <v>150</v>
      </c>
      <c r="AB339" s="19">
        <v>63</v>
      </c>
      <c r="AC339" s="20">
        <v>30</v>
      </c>
      <c r="AD339" s="18">
        <f>DATA[[#This Row],[FECHA DE EMISION]]+DATA[[#This Row],[CONDICION DE PAGO]]</f>
        <v>45812</v>
      </c>
      <c r="AE339" s="23">
        <f>IF(DATA[[#This Row],[MONEDA]]="USD",VLOOKUP(DATA[[#This Row],[COMBINADA]],#REF!,11,0),1)</f>
        <v>1</v>
      </c>
      <c r="AF339" s="39" t="str">
        <f>IF(DATA[[#This Row],[SERIE2]]="-","NO CORRESPONDE",IF(W339="NO CORRESPONDE","NO CORRESPONDE",IF(Z339&gt;0,"FACTURADO","PENDIENTE")))</f>
        <v>FACTURADO</v>
      </c>
      <c r="AG339" s="27">
        <f>IFERROR(VLOOKUP(DATA[[#This Row],[COMBINADA]],#REF!,6,0),0)</f>
        <v>0</v>
      </c>
      <c r="AH339" s="125">
        <f>IFERROR(VLOOKUP(DATA[[#This Row],[COMBINADA]],#REF!,9,0),0)/COUNTIFS(DATA[COMBINADA],DATA[[#This Row],[COMBINADA]])</f>
        <v>0</v>
      </c>
      <c r="AI339" s="27">
        <f>IFERROR(VLOOKUP(DATA[[#This Row],[COMBINADA]],#REF!,6,0),0)</f>
        <v>0</v>
      </c>
      <c r="AJ339" s="125">
        <f>IFERROR(VLOOKUP(DATA[[#This Row],[COMBINADA]],#REF!,9,0),0)/COUNTIFS(DATA[COMBINADA],DATA[[#This Row],[COMBINADA]])</f>
        <v>0</v>
      </c>
      <c r="AK339" s="27">
        <f>IFERROR(VLOOKUP(DATA[[#This Row],[COMBINADA]],#REF!,6,0),0)</f>
        <v>0</v>
      </c>
      <c r="AL339" s="125">
        <f>IFERROR(VLOOKUP(DATA[[#This Row],[COMBINADA]],#REF!,9,0),0)/COUNTIFS(DATA[COMBINADA],DATA[[#This Row],[COMBINADA]])</f>
        <v>0</v>
      </c>
      <c r="AM339" s="27">
        <f>IFERROR(VLOOKUP(DATA[[#This Row],[COMBINADA]],#REF!,6,0),0)</f>
        <v>0</v>
      </c>
      <c r="AN339" s="125">
        <f>IFERROR(VLOOKUP(DATA[[#This Row],[COMBINADA]],#REF!,9,0),0)/COUNTIFS(DATA[COMBINADA],DATA[[#This Row],[COMBINADA]])</f>
        <v>0</v>
      </c>
      <c r="AO339" s="27">
        <f>IFERROR(VLOOKUP(DATA[[#This Row],[COMBINADA]],#REF!,6,0),0)</f>
        <v>0</v>
      </c>
      <c r="AP339" s="125">
        <f>IFERROR(VLOOKUP(DATA[[#This Row],[COMBINADA]],#REF!,9,0),0)/COUNTIFS(DATA[COMBINADA],DATA[[#This Row],[COMBINADA]])</f>
        <v>0</v>
      </c>
      <c r="AQ33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2047.1424999999999</v>
      </c>
      <c r="AR339" s="26" t="str">
        <f>IFERROR(IF(DATA[[#This Row],[estado_fact]]="FACTURADO",VLOOKUP(DATA[[#This Row],[SERIE2]]&amp;"-"&amp;DATA[[#This Row],[NUMERO]],#REF!,34,0),"NO CORRESPONDE"),"NO CORRESPONDE")</f>
        <v>NO CORRESPONDE</v>
      </c>
      <c r="AS339" s="22" t="str">
        <f>IF(DATA[[#This Row],[fecha_fs]]&gt;0,TEXT(DATA[[#This Row],[fecha_fs]],"Mmmm"),0)</f>
        <v>Marzo</v>
      </c>
      <c r="AT339" s="22" t="str">
        <f>DATA[[#This Row],[SERIE2]]&amp;"-"&amp;DATA[[#This Row],[NUMERO]]</f>
        <v>FF01-63</v>
      </c>
      <c r="AU339" s="28">
        <f>DATA[[#This Row],[TOTAL]]*DATA[[#This Row],[T.C.]]</f>
        <v>2346.25</v>
      </c>
      <c r="AV339" s="6">
        <f>DATA[[#This Row],[FECHA DE VAL.]]</f>
        <v>45741</v>
      </c>
      <c r="AW339" s="6">
        <f>DATA[[#This Row],[FECHA DE EMISION]]</f>
        <v>45782</v>
      </c>
      <c r="AX339" s="6">
        <f>DATA[[#This Row],[F1]]</f>
        <v>0</v>
      </c>
      <c r="AY339" s="20">
        <f>IF(AV339-DATA[[#This Row],[fecha_fs]]&lt;0,0,AV339-DATA[[#This Row],[fecha_fs]])</f>
        <v>15</v>
      </c>
      <c r="AZ339" s="20">
        <f t="shared" si="37"/>
        <v>41</v>
      </c>
      <c r="BA339" s="20">
        <f t="shared" si="38"/>
        <v>0</v>
      </c>
      <c r="BB339" s="195">
        <f>IFERROR(SUM(DATA[[#This Row],[fs_val_ttf]:[fact_pago_ttf]]),0)</f>
        <v>56</v>
      </c>
      <c r="BC339" s="185">
        <v>45740</v>
      </c>
      <c r="BD339" s="185">
        <v>45749</v>
      </c>
      <c r="BE339" s="185">
        <v>45755</v>
      </c>
      <c r="BF339" s="185">
        <v>45761</v>
      </c>
      <c r="BG339" s="20">
        <f>IFERROR(IF(BC339-DATA[[#This Row],[fecha_fs]]&lt;0,0,BC339-DATA[[#This Row],[fecha_fs]]),0)</f>
        <v>14</v>
      </c>
      <c r="BH339" s="20">
        <f t="shared" si="39"/>
        <v>9</v>
      </c>
      <c r="BI339" s="20">
        <f t="shared" si="40"/>
        <v>6</v>
      </c>
      <c r="BJ339" s="20">
        <f t="shared" si="41"/>
        <v>6</v>
      </c>
      <c r="BK339" s="218">
        <f>IFERROR(SUM(DATA[[#This Row],[fs_fd_ttd]:[fend_fenf_ttd]]),0)</f>
        <v>35</v>
      </c>
      <c r="BL339" s="20" t="str">
        <f>IF(DATA[[#This Row],[fecha_fs]]&gt;0,TEXT(DATA[[#This Row],[fecha_fs]],"YYYY"),0)</f>
        <v>2025</v>
      </c>
      <c r="BM339" s="221" t="b">
        <v>1</v>
      </c>
      <c r="BN339" s="278">
        <f>COUNTIF(DATA[[#This Row],[tiempo_td]], "&lt;=15")</f>
        <v>0</v>
      </c>
      <c r="BO339" s="222"/>
    </row>
    <row r="340" spans="1:67" ht="30.6" customHeight="1" x14ac:dyDescent="0.25">
      <c r="A340" s="4">
        <v>20141637941</v>
      </c>
      <c r="B340" s="5" t="s">
        <v>79</v>
      </c>
      <c r="C340" s="52" t="s">
        <v>18</v>
      </c>
      <c r="D340" s="4" t="s">
        <v>120</v>
      </c>
      <c r="E340" s="5" t="s">
        <v>3</v>
      </c>
      <c r="F340" s="24">
        <v>45727</v>
      </c>
      <c r="G340" s="7" t="s">
        <v>113</v>
      </c>
      <c r="H340" s="25">
        <f t="shared" si="36"/>
        <v>1</v>
      </c>
      <c r="I340" s="67">
        <v>4220</v>
      </c>
      <c r="J340" s="8" t="s">
        <v>115</v>
      </c>
      <c r="K340" s="9" t="s">
        <v>121</v>
      </c>
      <c r="L340" s="10" t="s">
        <v>117</v>
      </c>
      <c r="M340" s="11">
        <v>840</v>
      </c>
      <c r="N340" s="12" t="s">
        <v>132</v>
      </c>
      <c r="O340" s="6">
        <v>45730</v>
      </c>
      <c r="P340" s="110">
        <v>3341</v>
      </c>
      <c r="Q340" s="14" t="s">
        <v>85</v>
      </c>
      <c r="R340" s="15">
        <v>70</v>
      </c>
      <c r="S340" s="15">
        <v>517</v>
      </c>
      <c r="T340" s="15">
        <f>DATA[[#This Row],[C. DF]]+DATA[[#This Row],[C.OPE.]]</f>
        <v>587</v>
      </c>
      <c r="U340" s="15">
        <f>DATA[[#This Row],[SUB TOTAL]]*0.18</f>
        <v>105.66</v>
      </c>
      <c r="V340" s="15">
        <f>IFERROR(ROUND(DATA[[#This Row],[SUB TOTAL]]+DATA[[#This Row],[IGV]],2),0)</f>
        <v>692.66</v>
      </c>
      <c r="W340" s="16" t="str">
        <f>IF(DATA[[#This Row],[VALORIZACIÓN ]]="-","NO CORRESPONDE",IF(OR(A340=20558226979,A340=10470707866,A340=20111157058,A340=20100226902),"NO CORRESPONDE",IF(J340="Emitida",IF(P340&gt;0,"EMITIDA","PENDIENTE"),"NO CORRESPONDE")))</f>
        <v>EMITIDA</v>
      </c>
      <c r="X340" s="29"/>
      <c r="Y340" s="17" t="s">
        <v>118</v>
      </c>
      <c r="Z340" s="30">
        <v>45733</v>
      </c>
      <c r="AA340" s="10" t="s">
        <v>119</v>
      </c>
      <c r="AB340" s="19">
        <v>26</v>
      </c>
      <c r="AC340" s="20">
        <v>30</v>
      </c>
      <c r="AD340" s="18">
        <f>DATA[[#This Row],[FECHA DE EMISION]]+DATA[[#This Row],[CONDICION DE PAGO]]</f>
        <v>45763</v>
      </c>
      <c r="AE340" s="23">
        <f>IF(DATA[[#This Row],[MONEDA]]="USD",VLOOKUP(DATA[[#This Row],[COMBINADA]],#REF!,11,0),1)</f>
        <v>1</v>
      </c>
      <c r="AF340" s="39" t="str">
        <f>IF(DATA[[#This Row],[SERIE2]]="-","NO CORRESPONDE",IF(W340="NO CORRESPONDE","NO CORRESPONDE",IF(Z340&gt;0,"FACTURADO","PENDIENTE")))</f>
        <v>FACTURADO</v>
      </c>
      <c r="AG340" s="27">
        <f>IFERROR(VLOOKUP(DATA[[#This Row],[COMBINADA]],#REF!,6,0),0)</f>
        <v>0</v>
      </c>
      <c r="AH340" s="125">
        <f>IFERROR(VLOOKUP(DATA[[#This Row],[COMBINADA]],#REF!,9,0),0)/COUNTIFS(DATA[COMBINADA],DATA[[#This Row],[COMBINADA]])</f>
        <v>0</v>
      </c>
      <c r="AI340" s="27">
        <f>IFERROR(VLOOKUP(DATA[[#This Row],[COMBINADA]],#REF!,6,0),0)</f>
        <v>0</v>
      </c>
      <c r="AJ340" s="125">
        <f>IFERROR(VLOOKUP(DATA[[#This Row],[COMBINADA]],#REF!,9,0),0)/COUNTIFS(DATA[COMBINADA],DATA[[#This Row],[COMBINADA]])</f>
        <v>0</v>
      </c>
      <c r="AK340" s="27">
        <f>IFERROR(VLOOKUP(DATA[[#This Row],[COMBINADA]],#REF!,6,0),0)</f>
        <v>0</v>
      </c>
      <c r="AL340" s="125">
        <f>IFERROR(VLOOKUP(DATA[[#This Row],[COMBINADA]],#REF!,9,0),0)/COUNTIFS(DATA[COMBINADA],DATA[[#This Row],[COMBINADA]])</f>
        <v>0</v>
      </c>
      <c r="AM340" s="27">
        <f>IFERROR(VLOOKUP(DATA[[#This Row],[COMBINADA]],#REF!,6,0),0)</f>
        <v>0</v>
      </c>
      <c r="AN340" s="125">
        <f>IFERROR(VLOOKUP(DATA[[#This Row],[COMBINADA]],#REF!,9,0),0)/COUNTIFS(DATA[COMBINADA],DATA[[#This Row],[COMBINADA]])</f>
        <v>0</v>
      </c>
      <c r="AO340" s="27">
        <f>IFERROR(VLOOKUP(DATA[[#This Row],[COMBINADA]],#REF!,6,0),0)</f>
        <v>0</v>
      </c>
      <c r="AP340" s="125">
        <f>IFERROR(VLOOKUP(DATA[[#This Row],[COMBINADA]],#REF!,9,0),0)/COUNTIFS(DATA[COMBINADA],DATA[[#This Row],[COMBINADA]])</f>
        <v>0</v>
      </c>
      <c r="AQ34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722.16</v>
      </c>
      <c r="AR340" s="26" t="str">
        <f>IFERROR(IF(DATA[[#This Row],[estado_fact]]="FACTURADO",VLOOKUP(DATA[[#This Row],[SERIE2]]&amp;"-"&amp;DATA[[#This Row],[NUMERO]],#REF!,34,0),"NO CORRESPONDE"),"NO CORRESPONDE")</f>
        <v>NO CORRESPONDE</v>
      </c>
      <c r="AS340" s="22" t="str">
        <f>IF(DATA[[#This Row],[fecha_fs]]&gt;0,TEXT(DATA[[#This Row],[fecha_fs]],"Mmmm"),0)</f>
        <v>Marzo</v>
      </c>
      <c r="AT340" s="22" t="str">
        <f>DATA[[#This Row],[SERIE2]]&amp;"-"&amp;DATA[[#This Row],[NUMERO]]</f>
        <v>E001-26</v>
      </c>
      <c r="AU340" s="28">
        <f>DATA[[#This Row],[TOTAL]]*DATA[[#This Row],[T.C.]]</f>
        <v>692.66</v>
      </c>
      <c r="AV340" s="6">
        <f>DATA[[#This Row],[FECHA DE VAL.]]</f>
        <v>45730</v>
      </c>
      <c r="AW340" s="6">
        <f>DATA[[#This Row],[FECHA DE EMISION]]</f>
        <v>45733</v>
      </c>
      <c r="AX340" s="6">
        <f>DATA[[#This Row],[F1]]</f>
        <v>0</v>
      </c>
      <c r="AY340" s="20">
        <f>IF(AV340-DATA[[#This Row],[fecha_fs]]&lt;0,0,AV340-DATA[[#This Row],[fecha_fs]])</f>
        <v>3</v>
      </c>
      <c r="AZ340" s="20">
        <f t="shared" si="37"/>
        <v>3</v>
      </c>
      <c r="BA340" s="20">
        <f t="shared" si="38"/>
        <v>0</v>
      </c>
      <c r="BB340" s="195">
        <f>IFERROR(SUM(DATA[[#This Row],[fs_val_ttf]:[fact_pago_ttf]]),0)</f>
        <v>6</v>
      </c>
      <c r="BC340" s="185">
        <v>45727</v>
      </c>
      <c r="BD340" s="185">
        <v>45727</v>
      </c>
      <c r="BE340" s="185">
        <v>45733</v>
      </c>
      <c r="BF340" s="185">
        <v>45733</v>
      </c>
      <c r="BG340" s="20">
        <f>IFERROR(IF(BC340-DATA[[#This Row],[fecha_fs]]&lt;0,0,BC340-DATA[[#This Row],[fecha_fs]]),0)</f>
        <v>0</v>
      </c>
      <c r="BH340" s="20">
        <f t="shared" si="39"/>
        <v>0</v>
      </c>
      <c r="BI340" s="20">
        <f t="shared" si="40"/>
        <v>6</v>
      </c>
      <c r="BJ340" s="20">
        <f t="shared" si="41"/>
        <v>0</v>
      </c>
      <c r="BK340" s="218">
        <f>IFERROR(SUM(DATA[[#This Row],[fs_fd_ttd]:[fend_fenf_ttd]]),0)</f>
        <v>6</v>
      </c>
      <c r="BL340" s="20" t="str">
        <f>IF(DATA[[#This Row],[fecha_fs]]&gt;0,TEXT(DATA[[#This Row],[fecha_fs]],"YYYY"),0)</f>
        <v>2025</v>
      </c>
      <c r="BM340" s="221" t="b">
        <v>1</v>
      </c>
      <c r="BN340" s="278">
        <f>COUNTIF(DATA[[#This Row],[tiempo_td]], "&lt;=15")</f>
        <v>1</v>
      </c>
      <c r="BO340" s="222"/>
    </row>
    <row r="341" spans="1:67" ht="30.6" customHeight="1" x14ac:dyDescent="0.25">
      <c r="A341" s="4">
        <v>20159473148</v>
      </c>
      <c r="B341" s="5" t="s">
        <v>280</v>
      </c>
      <c r="C341" s="52" t="s">
        <v>20</v>
      </c>
      <c r="D341" s="4" t="s">
        <v>120</v>
      </c>
      <c r="E341" s="5" t="s">
        <v>3</v>
      </c>
      <c r="F341" s="24">
        <v>45726</v>
      </c>
      <c r="G341" s="7" t="s">
        <v>113</v>
      </c>
      <c r="H341" s="25">
        <f t="shared" si="36"/>
        <v>1</v>
      </c>
      <c r="I341" s="67">
        <v>4221</v>
      </c>
      <c r="J341" s="8" t="s">
        <v>115</v>
      </c>
      <c r="K341" s="9" t="s">
        <v>121</v>
      </c>
      <c r="L341" s="10" t="s">
        <v>117</v>
      </c>
      <c r="M341" s="11">
        <v>209</v>
      </c>
      <c r="N341" s="12" t="s">
        <v>129</v>
      </c>
      <c r="O341" s="6">
        <v>45727</v>
      </c>
      <c r="P341" s="13">
        <v>3337</v>
      </c>
      <c r="Q341" s="14" t="s">
        <v>85</v>
      </c>
      <c r="R341" s="15">
        <v>180</v>
      </c>
      <c r="S341" s="15">
        <f>3975.51/2</f>
        <v>1987.7550000000001</v>
      </c>
      <c r="T341" s="15">
        <f>DATA[[#This Row],[C. DF]]+DATA[[#This Row],[C.OPE.]]</f>
        <v>2167.7550000000001</v>
      </c>
      <c r="U341" s="15">
        <f>DATA[[#This Row],[SUB TOTAL]]*0.18</f>
        <v>390.19589999999999</v>
      </c>
      <c r="V341" s="15">
        <f>IFERROR(ROUND(DATA[[#This Row],[SUB TOTAL]]+DATA[[#This Row],[IGV]],2),0)</f>
        <v>2557.9499999999998</v>
      </c>
      <c r="W341" s="16" t="str">
        <f>IF(DATA[[#This Row],[VALORIZACIÓN ]]="-","NO CORRESPONDE",IF(OR(A341=20558226979,A341=10470707866,A341=20111157058,A341=20100226902),"NO CORRESPONDE",IF(J341="Emitida",IF(P341&gt;0,"EMITIDA","PENDIENTE"),"NO CORRESPONDE")))</f>
        <v>EMITIDA</v>
      </c>
      <c r="X341" s="29"/>
      <c r="Y341" s="17" t="s">
        <v>118</v>
      </c>
      <c r="Z341" s="30">
        <v>45740</v>
      </c>
      <c r="AA341" s="10" t="s">
        <v>119</v>
      </c>
      <c r="AB341" s="19">
        <v>50</v>
      </c>
      <c r="AC341" s="20">
        <v>15</v>
      </c>
      <c r="AD341" s="18">
        <f>DATA[[#This Row],[FECHA DE EMISION]]+DATA[[#This Row],[CONDICION DE PAGO]]</f>
        <v>45755</v>
      </c>
      <c r="AE341" s="23">
        <f>IF(DATA[[#This Row],[MONEDA]]="USD",VLOOKUP(DATA[[#This Row],[COMBINADA]],#REF!,11,0),1)</f>
        <v>1</v>
      </c>
      <c r="AF341" s="39" t="str">
        <f>IF(DATA[[#This Row],[SERIE2]]="-","NO CORRESPONDE",IF(W341="NO CORRESPONDE","NO CORRESPONDE",IF(Z341&gt;0,"FACTURADO","PENDIENTE")))</f>
        <v>FACTURADO</v>
      </c>
      <c r="AG341" s="27">
        <f>IFERROR(VLOOKUP(DATA[[#This Row],[COMBINADA]],#REF!,6,0),0)</f>
        <v>0</v>
      </c>
      <c r="AH341" s="125">
        <f>IFERROR(VLOOKUP(DATA[[#This Row],[COMBINADA]],#REF!,9,0),0)/COUNTIFS(DATA[COMBINADA],DATA[[#This Row],[COMBINADA]])</f>
        <v>0</v>
      </c>
      <c r="AI341" s="27">
        <f>IFERROR(VLOOKUP(DATA[[#This Row],[COMBINADA]],#REF!,6,0),0)</f>
        <v>0</v>
      </c>
      <c r="AJ341" s="125">
        <f>IFERROR(VLOOKUP(DATA[[#This Row],[COMBINADA]],#REF!,9,0),0)/COUNTIFS(DATA[COMBINADA],DATA[[#This Row],[COMBINADA]])</f>
        <v>0</v>
      </c>
      <c r="AK341" s="27">
        <f>IFERROR(VLOOKUP(DATA[[#This Row],[COMBINADA]],#REF!,6,0),0)</f>
        <v>0</v>
      </c>
      <c r="AL341" s="125">
        <f>IFERROR(VLOOKUP(DATA[[#This Row],[COMBINADA]],#REF!,9,0),0)/COUNTIFS(DATA[COMBINADA],DATA[[#This Row],[COMBINADA]])</f>
        <v>0</v>
      </c>
      <c r="AM341" s="27">
        <f>IFERROR(VLOOKUP(DATA[[#This Row],[COMBINADA]],#REF!,6,0),0)</f>
        <v>0</v>
      </c>
      <c r="AN341" s="125">
        <f>IFERROR(VLOOKUP(DATA[[#This Row],[COMBINADA]],#REF!,9,0),0)/COUNTIFS(DATA[COMBINADA],DATA[[#This Row],[COMBINADA]])</f>
        <v>0</v>
      </c>
      <c r="AO341" s="27">
        <f>IFERROR(VLOOKUP(DATA[[#This Row],[COMBINADA]],#REF!,6,0),0)</f>
        <v>0</v>
      </c>
      <c r="AP341" s="125">
        <f>IFERROR(VLOOKUP(DATA[[#This Row],[COMBINADA]],#REF!,9,0),0)/COUNTIFS(DATA[COMBINADA],DATA[[#This Row],[COMBINADA]])</f>
        <v>0</v>
      </c>
      <c r="AQ34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4055.37</v>
      </c>
      <c r="AR341" s="26" t="str">
        <f>IFERROR(IF(DATA[[#This Row],[estado_fact]]="FACTURADO",VLOOKUP(DATA[[#This Row],[SERIE2]]&amp;"-"&amp;DATA[[#This Row],[NUMERO]],#REF!,34,0),"NO CORRESPONDE"),"NO CORRESPONDE")</f>
        <v>NO CORRESPONDE</v>
      </c>
      <c r="AS341" s="22" t="str">
        <f>IF(DATA[[#This Row],[fecha_fs]]&gt;0,TEXT(DATA[[#This Row],[fecha_fs]],"Mmmm"),0)</f>
        <v>Marzo</v>
      </c>
      <c r="AT341" s="22" t="str">
        <f>DATA[[#This Row],[SERIE2]]&amp;"-"&amp;DATA[[#This Row],[NUMERO]]</f>
        <v>E001-50</v>
      </c>
      <c r="AU341" s="28">
        <f>DATA[[#This Row],[TOTAL]]*DATA[[#This Row],[T.C.]]</f>
        <v>2557.9499999999998</v>
      </c>
      <c r="AV341" s="6">
        <f>DATA[[#This Row],[FECHA DE VAL.]]</f>
        <v>45727</v>
      </c>
      <c r="AW341" s="6">
        <f>DATA[[#This Row],[FECHA DE EMISION]]</f>
        <v>45740</v>
      </c>
      <c r="AX341" s="6">
        <f>DATA[[#This Row],[F1]]</f>
        <v>0</v>
      </c>
      <c r="AY341" s="20">
        <f>IF(AV341-DATA[[#This Row],[fecha_fs]]&lt;0,0,AV341-DATA[[#This Row],[fecha_fs]])</f>
        <v>1</v>
      </c>
      <c r="AZ341" s="20">
        <f t="shared" si="37"/>
        <v>13</v>
      </c>
      <c r="BA341" s="20">
        <f t="shared" si="38"/>
        <v>0</v>
      </c>
      <c r="BB341" s="195">
        <f>IFERROR(SUM(DATA[[#This Row],[fs_val_ttf]:[fact_pago_ttf]]),0)</f>
        <v>14</v>
      </c>
      <c r="BC341" s="185">
        <v>45726</v>
      </c>
      <c r="BD341" s="185">
        <v>45730</v>
      </c>
      <c r="BE341" s="185">
        <v>45733</v>
      </c>
      <c r="BF341" s="185">
        <v>45755</v>
      </c>
      <c r="BG341" s="20">
        <f>IFERROR(IF(BC341-DATA[[#This Row],[fecha_fs]]&lt;0,0,BC341-DATA[[#This Row],[fecha_fs]]),0)</f>
        <v>0</v>
      </c>
      <c r="BH341" s="20">
        <f t="shared" si="39"/>
        <v>4</v>
      </c>
      <c r="BI341" s="20">
        <f t="shared" si="40"/>
        <v>3</v>
      </c>
      <c r="BJ341" s="20">
        <f t="shared" si="41"/>
        <v>22</v>
      </c>
      <c r="BK341" s="218">
        <f>IFERROR(SUM(DATA[[#This Row],[fs_fd_ttd]:[fend_fenf_ttd]]),0)</f>
        <v>29</v>
      </c>
      <c r="BL341" s="20" t="str">
        <f>IF(DATA[[#This Row],[fecha_fs]]&gt;0,TEXT(DATA[[#This Row],[fecha_fs]],"YYYY"),0)</f>
        <v>2025</v>
      </c>
      <c r="BM341" s="221" t="b">
        <v>1</v>
      </c>
      <c r="BN341" s="278">
        <f>COUNTIF(DATA[[#This Row],[tiempo_td]], "&lt;=15")</f>
        <v>0</v>
      </c>
      <c r="BO341" s="222"/>
    </row>
    <row r="342" spans="1:67" ht="30.6" customHeight="1" x14ac:dyDescent="0.25">
      <c r="A342" s="4">
        <v>20505675836</v>
      </c>
      <c r="B342" s="5" t="s">
        <v>42</v>
      </c>
      <c r="C342" s="52" t="s">
        <v>20</v>
      </c>
      <c r="D342" s="4" t="s">
        <v>120</v>
      </c>
      <c r="E342" s="5" t="s">
        <v>3</v>
      </c>
      <c r="F342" s="24">
        <v>45727</v>
      </c>
      <c r="G342" s="7" t="s">
        <v>113</v>
      </c>
      <c r="H342" s="25">
        <f t="shared" si="36"/>
        <v>1</v>
      </c>
      <c r="I342" s="67">
        <v>4222</v>
      </c>
      <c r="J342" s="8" t="s">
        <v>115</v>
      </c>
      <c r="K342" s="9" t="s">
        <v>121</v>
      </c>
      <c r="L342" s="10" t="s">
        <v>117</v>
      </c>
      <c r="M342" s="11">
        <v>160</v>
      </c>
      <c r="N342" s="12" t="s">
        <v>125</v>
      </c>
      <c r="O342" s="6">
        <v>45741</v>
      </c>
      <c r="P342" s="71">
        <v>3348</v>
      </c>
      <c r="Q342" s="14" t="s">
        <v>85</v>
      </c>
      <c r="R342" s="15">
        <f>(DATA[[#This Row],[cantidad_fs]]-150)*0.67</f>
        <v>6.7</v>
      </c>
      <c r="S342" s="15">
        <v>1387.83</v>
      </c>
      <c r="T342" s="15">
        <f>DATA[[#This Row],[C. DF]]+DATA[[#This Row],[C.OPE.]]</f>
        <v>1394.53</v>
      </c>
      <c r="U342" s="15">
        <f>DATA[[#This Row],[SUB TOTAL]]*0.18</f>
        <v>251.0154</v>
      </c>
      <c r="V342" s="15">
        <f>IFERROR(ROUND(DATA[[#This Row],[SUB TOTAL]]+DATA[[#This Row],[IGV]],2),0)</f>
        <v>1645.55</v>
      </c>
      <c r="W342" s="16" t="str">
        <f>IF(DATA[[#This Row],[VALORIZACIÓN ]]="-","NO CORRESPONDE",IF(OR(A342=20558226979,A342=10470707866,A342=20111157058,A342=20100226902),"NO CORRESPONDE",IF(J342="Emitida",IF(P342&gt;0,"EMITIDA","PENDIENTE"),"NO CORRESPONDE")))</f>
        <v>EMITIDA</v>
      </c>
      <c r="X342" s="29"/>
      <c r="Y342" s="17" t="s">
        <v>118</v>
      </c>
      <c r="Z342" s="30">
        <v>45782</v>
      </c>
      <c r="AA342" s="10" t="s">
        <v>150</v>
      </c>
      <c r="AB342" s="19">
        <v>63</v>
      </c>
      <c r="AC342" s="20">
        <v>30</v>
      </c>
      <c r="AD342" s="18">
        <f>DATA[[#This Row],[FECHA DE EMISION]]+DATA[[#This Row],[CONDICION DE PAGO]]</f>
        <v>45812</v>
      </c>
      <c r="AE342" s="23">
        <f>IF(DATA[[#This Row],[MONEDA]]="USD",VLOOKUP(DATA[[#This Row],[COMBINADA]],#REF!,11,0),1)</f>
        <v>1</v>
      </c>
      <c r="AF342" s="39" t="str">
        <f>IF(DATA[[#This Row],[SERIE2]]="-","NO CORRESPONDE",IF(W342="NO CORRESPONDE","NO CORRESPONDE",IF(Z342&gt;0,"FACTURADO","PENDIENTE")))</f>
        <v>FACTURADO</v>
      </c>
      <c r="AG342" s="27">
        <f>IFERROR(VLOOKUP(DATA[[#This Row],[COMBINADA]],#REF!,6,0),0)</f>
        <v>0</v>
      </c>
      <c r="AH342" s="125">
        <f>IFERROR(VLOOKUP(DATA[[#This Row],[COMBINADA]],#REF!,9,0),0)/COUNTIFS(DATA[COMBINADA],DATA[[#This Row],[COMBINADA]])</f>
        <v>0</v>
      </c>
      <c r="AI342" s="27">
        <f>IFERROR(VLOOKUP(DATA[[#This Row],[COMBINADA]],#REF!,6,0),0)</f>
        <v>0</v>
      </c>
      <c r="AJ342" s="125">
        <f>IFERROR(VLOOKUP(DATA[[#This Row],[COMBINADA]],#REF!,9,0),0)/COUNTIFS(DATA[COMBINADA],DATA[[#This Row],[COMBINADA]])</f>
        <v>0</v>
      </c>
      <c r="AK342" s="27">
        <f>IFERROR(VLOOKUP(DATA[[#This Row],[COMBINADA]],#REF!,6,0),0)</f>
        <v>0</v>
      </c>
      <c r="AL342" s="125">
        <f>IFERROR(VLOOKUP(DATA[[#This Row],[COMBINADA]],#REF!,9,0),0)/COUNTIFS(DATA[COMBINADA],DATA[[#This Row],[COMBINADA]])</f>
        <v>0</v>
      </c>
      <c r="AM342" s="27">
        <f>IFERROR(VLOOKUP(DATA[[#This Row],[COMBINADA]],#REF!,6,0),0)</f>
        <v>0</v>
      </c>
      <c r="AN342" s="125">
        <f>IFERROR(VLOOKUP(DATA[[#This Row],[COMBINADA]],#REF!,9,0),0)/COUNTIFS(DATA[COMBINADA],DATA[[#This Row],[COMBINADA]])</f>
        <v>0</v>
      </c>
      <c r="AO342" s="27">
        <f>IFERROR(VLOOKUP(DATA[[#This Row],[COMBINADA]],#REF!,6,0),0)</f>
        <v>0</v>
      </c>
      <c r="AP342" s="125">
        <f>IFERROR(VLOOKUP(DATA[[#This Row],[COMBINADA]],#REF!,9,0),0)/COUNTIFS(DATA[COMBINADA],DATA[[#This Row],[COMBINADA]])</f>
        <v>0</v>
      </c>
      <c r="AQ34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2047.1424999999999</v>
      </c>
      <c r="AR342" s="26" t="str">
        <f>IFERROR(IF(DATA[[#This Row],[estado_fact]]="FACTURADO",VLOOKUP(DATA[[#This Row],[SERIE2]]&amp;"-"&amp;DATA[[#This Row],[NUMERO]],#REF!,34,0),"NO CORRESPONDE"),"NO CORRESPONDE")</f>
        <v>NO CORRESPONDE</v>
      </c>
      <c r="AS342" s="22" t="str">
        <f>IF(DATA[[#This Row],[fecha_fs]]&gt;0,TEXT(DATA[[#This Row],[fecha_fs]],"Mmmm"),0)</f>
        <v>Marzo</v>
      </c>
      <c r="AT342" s="22" t="str">
        <f>DATA[[#This Row],[SERIE2]]&amp;"-"&amp;DATA[[#This Row],[NUMERO]]</f>
        <v>FF01-63</v>
      </c>
      <c r="AU342" s="28">
        <f>DATA[[#This Row],[TOTAL]]*DATA[[#This Row],[T.C.]]</f>
        <v>1645.55</v>
      </c>
      <c r="AV342" s="6">
        <f>DATA[[#This Row],[FECHA DE VAL.]]</f>
        <v>45741</v>
      </c>
      <c r="AW342" s="6">
        <f>DATA[[#This Row],[FECHA DE EMISION]]</f>
        <v>45782</v>
      </c>
      <c r="AX342" s="6">
        <f>DATA[[#This Row],[F1]]</f>
        <v>0</v>
      </c>
      <c r="AY342" s="20">
        <f>IF(AV342-DATA[[#This Row],[fecha_fs]]&lt;0,0,AV342-DATA[[#This Row],[fecha_fs]])</f>
        <v>14</v>
      </c>
      <c r="AZ342" s="20">
        <f t="shared" si="37"/>
        <v>41</v>
      </c>
      <c r="BA342" s="20">
        <f t="shared" si="38"/>
        <v>0</v>
      </c>
      <c r="BB342" s="195">
        <f>IFERROR(SUM(DATA[[#This Row],[fs_val_ttf]:[fact_pago_ttf]]),0)</f>
        <v>55</v>
      </c>
      <c r="BC342" s="187">
        <v>45735</v>
      </c>
      <c r="BD342" s="187">
        <v>45761</v>
      </c>
      <c r="BE342" s="187">
        <v>45789</v>
      </c>
      <c r="BF342" s="187">
        <v>45803</v>
      </c>
      <c r="BG342" s="171">
        <f>IFERROR(IF(BC342-DATA[[#This Row],[fecha_fs]]&lt;0,0,BC342-DATA[[#This Row],[fecha_fs]]),0)</f>
        <v>8</v>
      </c>
      <c r="BH342" s="171">
        <f t="shared" si="39"/>
        <v>26</v>
      </c>
      <c r="BI342" s="171">
        <f t="shared" si="40"/>
        <v>28</v>
      </c>
      <c r="BJ342" s="171">
        <f t="shared" si="41"/>
        <v>14</v>
      </c>
      <c r="BK342" s="219">
        <f>IFERROR(SUM(DATA[[#This Row],[fs_fd_ttd]:[fend_fenf_ttd]]),0)</f>
        <v>76</v>
      </c>
      <c r="BL342" s="20" t="str">
        <f>IF(DATA[[#This Row],[fecha_fs]]&gt;0,TEXT(DATA[[#This Row],[fecha_fs]],"YYYY"),0)</f>
        <v>2025</v>
      </c>
      <c r="BM342" s="221" t="b">
        <v>1</v>
      </c>
      <c r="BN342" s="278">
        <f>COUNTIF(DATA[[#This Row],[tiempo_td]], "&lt;=15")</f>
        <v>0</v>
      </c>
      <c r="BO342" s="222"/>
    </row>
    <row r="343" spans="1:67" ht="30.6" customHeight="1" x14ac:dyDescent="0.25">
      <c r="A343" s="4">
        <v>20523573226</v>
      </c>
      <c r="B343" s="5" t="s">
        <v>31</v>
      </c>
      <c r="C343" s="52" t="s">
        <v>20</v>
      </c>
      <c r="D343" s="4" t="s">
        <v>120</v>
      </c>
      <c r="E343" s="5" t="s">
        <v>3</v>
      </c>
      <c r="F343" s="24">
        <v>45727</v>
      </c>
      <c r="G343" s="7" t="s">
        <v>113</v>
      </c>
      <c r="H343" s="25">
        <f t="shared" si="36"/>
        <v>1</v>
      </c>
      <c r="I343" s="67">
        <v>4223</v>
      </c>
      <c r="J343" s="8" t="s">
        <v>115</v>
      </c>
      <c r="K343" s="9" t="s">
        <v>121</v>
      </c>
      <c r="L343" s="10" t="s">
        <v>117</v>
      </c>
      <c r="M343" s="11">
        <v>290</v>
      </c>
      <c r="N343" s="12" t="s">
        <v>125</v>
      </c>
      <c r="O343" s="6">
        <v>45729</v>
      </c>
      <c r="P343" s="13">
        <v>3338</v>
      </c>
      <c r="Q343" s="14" t="s">
        <v>85</v>
      </c>
      <c r="R343" s="15">
        <v>256</v>
      </c>
      <c r="S343" s="15">
        <v>552.04</v>
      </c>
      <c r="T343" s="15">
        <f>DATA[[#This Row],[C. DF]]+DATA[[#This Row],[C.OPE.]]</f>
        <v>808.04</v>
      </c>
      <c r="U343" s="15">
        <f>DATA[[#This Row],[SUB TOTAL]]*0.18</f>
        <v>145.44719999999998</v>
      </c>
      <c r="V343" s="15">
        <f>IFERROR(ROUND(DATA[[#This Row],[SUB TOTAL]]+DATA[[#This Row],[IGV]],2),0)</f>
        <v>953.49</v>
      </c>
      <c r="W343" s="16" t="str">
        <f>IF(DATA[[#This Row],[VALORIZACIÓN ]]="-","NO CORRESPONDE",IF(OR(A343=20558226979,A343=10470707866,A343=20111157058,A343=20100226902),"NO CORRESPONDE",IF(J343="Emitida",IF(P343&gt;0,"EMITIDA","PENDIENTE"),"NO CORRESPONDE")))</f>
        <v>EMITIDA</v>
      </c>
      <c r="X343" s="29"/>
      <c r="Y343" s="17" t="s">
        <v>118</v>
      </c>
      <c r="Z343" s="30">
        <v>45751</v>
      </c>
      <c r="AA343" s="10" t="s">
        <v>150</v>
      </c>
      <c r="AB343" s="19">
        <v>19</v>
      </c>
      <c r="AC343" s="20">
        <v>15</v>
      </c>
      <c r="AD343" s="18">
        <f>DATA[[#This Row],[FECHA DE EMISION]]+DATA[[#This Row],[CONDICION DE PAGO]]</f>
        <v>45766</v>
      </c>
      <c r="AE343" s="23">
        <f>IF(DATA[[#This Row],[MONEDA]]="USD",VLOOKUP(DATA[[#This Row],[COMBINADA]],#REF!,11,0),1)</f>
        <v>1</v>
      </c>
      <c r="AF343" s="39" t="str">
        <f>IF(DATA[[#This Row],[SERIE2]]="-","NO CORRESPONDE",IF(W343="NO CORRESPONDE","NO CORRESPONDE",IF(Z343&gt;0,"FACTURADO","PENDIENTE")))</f>
        <v>FACTURADO</v>
      </c>
      <c r="AG343" s="27">
        <f>IFERROR(VLOOKUP(DATA[[#This Row],[COMBINADA]],#REF!,6,0),0)</f>
        <v>0</v>
      </c>
      <c r="AH343" s="125">
        <f>IFERROR(VLOOKUP(DATA[[#This Row],[COMBINADA]],#REF!,9,0),0)/COUNTIFS(DATA[COMBINADA],DATA[[#This Row],[COMBINADA]])</f>
        <v>0</v>
      </c>
      <c r="AI343" s="27">
        <f>IFERROR(VLOOKUP(DATA[[#This Row],[COMBINADA]],#REF!,6,0),0)</f>
        <v>0</v>
      </c>
      <c r="AJ343" s="125">
        <f>IFERROR(VLOOKUP(DATA[[#This Row],[COMBINADA]],#REF!,9,0),0)/COUNTIFS(DATA[COMBINADA],DATA[[#This Row],[COMBINADA]])</f>
        <v>0</v>
      </c>
      <c r="AK343" s="27">
        <f>IFERROR(VLOOKUP(DATA[[#This Row],[COMBINADA]],#REF!,6,0),0)</f>
        <v>0</v>
      </c>
      <c r="AL343" s="125">
        <f>IFERROR(VLOOKUP(DATA[[#This Row],[COMBINADA]],#REF!,9,0),0)/COUNTIFS(DATA[COMBINADA],DATA[[#This Row],[COMBINADA]])</f>
        <v>0</v>
      </c>
      <c r="AM343" s="27">
        <f>IFERROR(VLOOKUP(DATA[[#This Row],[COMBINADA]],#REF!,6,0),0)</f>
        <v>0</v>
      </c>
      <c r="AN343" s="125">
        <f>IFERROR(VLOOKUP(DATA[[#This Row],[COMBINADA]],#REF!,9,0),0)/COUNTIFS(DATA[COMBINADA],DATA[[#This Row],[COMBINADA]])</f>
        <v>0</v>
      </c>
      <c r="AO343" s="27">
        <f>IFERROR(VLOOKUP(DATA[[#This Row],[COMBINADA]],#REF!,6,0),0)</f>
        <v>0</v>
      </c>
      <c r="AP343" s="125">
        <f>IFERROR(VLOOKUP(DATA[[#This Row],[COMBINADA]],#REF!,9,0),0)/COUNTIFS(DATA[COMBINADA],DATA[[#This Row],[COMBINADA]])</f>
        <v>0</v>
      </c>
      <c r="AQ34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953.49</v>
      </c>
      <c r="AR343" s="26" t="str">
        <f>IFERROR(IF(DATA[[#This Row],[estado_fact]]="FACTURADO",VLOOKUP(DATA[[#This Row],[SERIE2]]&amp;"-"&amp;DATA[[#This Row],[NUMERO]],#REF!,34,0),"NO CORRESPONDE"),"NO CORRESPONDE")</f>
        <v>NO CORRESPONDE</v>
      </c>
      <c r="AS343" s="22" t="str">
        <f>IF(DATA[[#This Row],[fecha_fs]]&gt;0,TEXT(DATA[[#This Row],[fecha_fs]],"Mmmm"),0)</f>
        <v>Marzo</v>
      </c>
      <c r="AT343" s="22" t="str">
        <f>DATA[[#This Row],[SERIE2]]&amp;"-"&amp;DATA[[#This Row],[NUMERO]]</f>
        <v>FF01-19</v>
      </c>
      <c r="AU343" s="28">
        <f>DATA[[#This Row],[TOTAL]]*DATA[[#This Row],[T.C.]]</f>
        <v>953.49</v>
      </c>
      <c r="AV343" s="6">
        <f>DATA[[#This Row],[FECHA DE VAL.]]</f>
        <v>45729</v>
      </c>
      <c r="AW343" s="6">
        <f>DATA[[#This Row],[FECHA DE EMISION]]</f>
        <v>45751</v>
      </c>
      <c r="AX343" s="6">
        <f>DATA[[#This Row],[F1]]</f>
        <v>0</v>
      </c>
      <c r="AY343" s="20">
        <f>IF(AV343-DATA[[#This Row],[fecha_fs]]&lt;0,0,AV343-DATA[[#This Row],[fecha_fs]])</f>
        <v>2</v>
      </c>
      <c r="AZ343" s="20">
        <f t="shared" si="37"/>
        <v>22</v>
      </c>
      <c r="BA343" s="20">
        <f t="shared" si="38"/>
        <v>0</v>
      </c>
      <c r="BB343" s="195">
        <f>IFERROR(SUM(DATA[[#This Row],[fs_val_ttf]:[fact_pago_ttf]]),0)</f>
        <v>24</v>
      </c>
      <c r="BC343" s="185">
        <v>45734</v>
      </c>
      <c r="BD343" s="185">
        <v>45735</v>
      </c>
      <c r="BE343" s="185">
        <v>45741</v>
      </c>
      <c r="BF343" s="185">
        <v>45772</v>
      </c>
      <c r="BG343" s="20">
        <f>IFERROR(IF(BC343-DATA[[#This Row],[fecha_fs]]&lt;0,0,BC343-DATA[[#This Row],[fecha_fs]]),0)</f>
        <v>7</v>
      </c>
      <c r="BH343" s="20">
        <f t="shared" si="39"/>
        <v>1</v>
      </c>
      <c r="BI343" s="20">
        <f t="shared" si="40"/>
        <v>6</v>
      </c>
      <c r="BJ343" s="20">
        <f t="shared" si="41"/>
        <v>31</v>
      </c>
      <c r="BK343" s="189">
        <f>IFERROR(SUM(DATA[[#This Row],[fs_fd_ttd]:[fend_fenf_ttd]]),0)</f>
        <v>45</v>
      </c>
      <c r="BL343" s="20" t="str">
        <f>IF(DATA[[#This Row],[fecha_fs]]&gt;0,TEXT(DATA[[#This Row],[fecha_fs]],"YYYY"),0)</f>
        <v>2025</v>
      </c>
      <c r="BM343" s="221" t="b">
        <v>1</v>
      </c>
      <c r="BN343" s="278">
        <f>COUNTIF(DATA[[#This Row],[tiempo_td]], "&lt;=15")</f>
        <v>0</v>
      </c>
      <c r="BO343" s="222"/>
    </row>
    <row r="344" spans="1:67" ht="30.6" customHeight="1" x14ac:dyDescent="0.25">
      <c r="A344" s="4">
        <v>20100055237</v>
      </c>
      <c r="B344" s="5" t="s">
        <v>21</v>
      </c>
      <c r="C344" s="52" t="s">
        <v>138</v>
      </c>
      <c r="D344" s="4" t="s">
        <v>139</v>
      </c>
      <c r="E344" s="5" t="s">
        <v>23</v>
      </c>
      <c r="F344" s="24">
        <v>45727</v>
      </c>
      <c r="G344" s="7" t="s">
        <v>113</v>
      </c>
      <c r="H344" s="25">
        <f t="shared" si="36"/>
        <v>1</v>
      </c>
      <c r="I344" s="67">
        <v>4224</v>
      </c>
      <c r="J344" s="8" t="s">
        <v>115</v>
      </c>
      <c r="K344" s="9" t="s">
        <v>121</v>
      </c>
      <c r="L344" s="10" t="s">
        <v>117</v>
      </c>
      <c r="M344" s="11">
        <v>90</v>
      </c>
      <c r="N344" s="12" t="s">
        <v>132</v>
      </c>
      <c r="O344" s="6">
        <v>45743</v>
      </c>
      <c r="P344" s="54">
        <v>3365</v>
      </c>
      <c r="Q344" s="14" t="s">
        <v>85</v>
      </c>
      <c r="R344" s="15"/>
      <c r="S344" s="15">
        <v>297.92</v>
      </c>
      <c r="T344" s="15">
        <f>DATA[[#This Row],[C. DF]]+DATA[[#This Row],[C.OPE.]]</f>
        <v>297.92</v>
      </c>
      <c r="U344" s="15">
        <f>DATA[[#This Row],[SUB TOTAL]]*0.18</f>
        <v>53.625599999999999</v>
      </c>
      <c r="V344" s="15">
        <f>IFERROR(ROUND(DATA[[#This Row],[SUB TOTAL]]+DATA[[#This Row],[IGV]],2),0)</f>
        <v>351.55</v>
      </c>
      <c r="W344" s="16" t="str">
        <f>IF(DATA[[#This Row],[VALORIZACIÓN ]]="-","NO CORRESPONDE",IF(OR(A344=20558226979,A344=10470707866,A344=20111157058,A344=20100226902),"NO CORRESPONDE",IF(J344="Emitida",IF(P344&gt;0,"EMITIDA","PENDIENTE"),"NO CORRESPONDE")))</f>
        <v>EMITIDA</v>
      </c>
      <c r="X344" s="29"/>
      <c r="Y344" s="17" t="s">
        <v>118</v>
      </c>
      <c r="Z344" s="30">
        <v>45785</v>
      </c>
      <c r="AA344" s="10" t="s">
        <v>150</v>
      </c>
      <c r="AB344" s="19">
        <v>72</v>
      </c>
      <c r="AC344" s="20">
        <v>30</v>
      </c>
      <c r="AD344" s="18">
        <f>DATA[[#This Row],[FECHA DE EMISION]]+DATA[[#This Row],[CONDICION DE PAGO]]</f>
        <v>45815</v>
      </c>
      <c r="AE344" s="23">
        <f>IF(DATA[[#This Row],[MONEDA]]="USD",VLOOKUP(DATA[[#This Row],[COMBINADA]],#REF!,11,0),1)</f>
        <v>1</v>
      </c>
      <c r="AF344" s="39" t="str">
        <f>IF(DATA[[#This Row],[SERIE2]]="-","NO CORRESPONDE",IF(W344="NO CORRESPONDE","NO CORRESPONDE",IF(Z344&gt;0,"FACTURADO","PENDIENTE")))</f>
        <v>FACTURADO</v>
      </c>
      <c r="AG344" s="27">
        <f>IFERROR(VLOOKUP(DATA[[#This Row],[COMBINADA]],#REF!,6,0),0)</f>
        <v>0</v>
      </c>
      <c r="AH344" s="125">
        <f>IFERROR(VLOOKUP(DATA[[#This Row],[COMBINADA]],#REF!,9,0),0)/COUNTIFS(DATA[COMBINADA],DATA[[#This Row],[COMBINADA]])</f>
        <v>0</v>
      </c>
      <c r="AI344" s="27">
        <f>IFERROR(VLOOKUP(DATA[[#This Row],[COMBINADA]],#REF!,6,0),0)</f>
        <v>0</v>
      </c>
      <c r="AJ344" s="125">
        <f>IFERROR(VLOOKUP(DATA[[#This Row],[COMBINADA]],#REF!,9,0),0)/COUNTIFS(DATA[COMBINADA],DATA[[#This Row],[COMBINADA]])</f>
        <v>0</v>
      </c>
      <c r="AK344" s="27">
        <f>IFERROR(VLOOKUP(DATA[[#This Row],[COMBINADA]],#REF!,6,0),0)</f>
        <v>0</v>
      </c>
      <c r="AL344" s="125">
        <f>IFERROR(VLOOKUP(DATA[[#This Row],[COMBINADA]],#REF!,9,0),0)/COUNTIFS(DATA[COMBINADA],DATA[[#This Row],[COMBINADA]])</f>
        <v>0</v>
      </c>
      <c r="AM344" s="27">
        <f>IFERROR(VLOOKUP(DATA[[#This Row],[COMBINADA]],#REF!,6,0),0)</f>
        <v>0</v>
      </c>
      <c r="AN344" s="125">
        <f>IFERROR(VLOOKUP(DATA[[#This Row],[COMBINADA]],#REF!,9,0),0)/COUNTIFS(DATA[COMBINADA],DATA[[#This Row],[COMBINADA]])</f>
        <v>0</v>
      </c>
      <c r="AO344" s="27">
        <f>IFERROR(VLOOKUP(DATA[[#This Row],[COMBINADA]],#REF!,6,0),0)</f>
        <v>0</v>
      </c>
      <c r="AP344" s="125">
        <f>IFERROR(VLOOKUP(DATA[[#This Row],[COMBINADA]],#REF!,9,0),0)/COUNTIFS(DATA[COMBINADA],DATA[[#This Row],[COMBINADA]])</f>
        <v>0</v>
      </c>
      <c r="AQ34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344" s="26" t="str">
        <f>IFERROR(IF(DATA[[#This Row],[estado_fact]]="FACTURADO",VLOOKUP(DATA[[#This Row],[SERIE2]]&amp;"-"&amp;DATA[[#This Row],[NUMERO]],#REF!,34,0),"NO CORRESPONDE"),"NO CORRESPONDE")</f>
        <v>NO CORRESPONDE</v>
      </c>
      <c r="AS344" s="22" t="str">
        <f>IF(DATA[[#This Row],[fecha_fs]]&gt;0,TEXT(DATA[[#This Row],[fecha_fs]],"Mmmm"),0)</f>
        <v>Marzo</v>
      </c>
      <c r="AT344" s="22" t="str">
        <f>DATA[[#This Row],[SERIE2]]&amp;"-"&amp;DATA[[#This Row],[NUMERO]]</f>
        <v>FF01-72</v>
      </c>
      <c r="AU344" s="28">
        <f>DATA[[#This Row],[TOTAL]]*DATA[[#This Row],[T.C.]]</f>
        <v>351.55</v>
      </c>
      <c r="AV344" s="6">
        <f>DATA[[#This Row],[FECHA DE VAL.]]</f>
        <v>45743</v>
      </c>
      <c r="AW344" s="6">
        <f>DATA[[#This Row],[FECHA DE EMISION]]</f>
        <v>45785</v>
      </c>
      <c r="AX344" s="6">
        <f>DATA[[#This Row],[F1]]</f>
        <v>0</v>
      </c>
      <c r="AY344" s="20">
        <f>IF(AV344-DATA[[#This Row],[fecha_fs]]&lt;0,0,AV344-DATA[[#This Row],[fecha_fs]])</f>
        <v>16</v>
      </c>
      <c r="AZ344" s="20">
        <f t="shared" si="37"/>
        <v>42</v>
      </c>
      <c r="BA344" s="20">
        <f t="shared" si="38"/>
        <v>0</v>
      </c>
      <c r="BB344" s="195">
        <f>IFERROR(SUM(DATA[[#This Row],[fs_val_ttf]:[fact_pago_ttf]]),0)</f>
        <v>58</v>
      </c>
      <c r="BC344" s="184">
        <v>45727</v>
      </c>
      <c r="BD344" s="184">
        <v>45727</v>
      </c>
      <c r="BE344" s="184">
        <v>45743</v>
      </c>
      <c r="BF344" s="184">
        <v>45743</v>
      </c>
      <c r="BG344" s="226">
        <f>IFERROR(IF(BC344-DATA[[#This Row],[fecha_fs]]&lt;0,0,BC344-DATA[[#This Row],[fecha_fs]]),0)</f>
        <v>0</v>
      </c>
      <c r="BH344" s="226">
        <f t="shared" si="39"/>
        <v>0</v>
      </c>
      <c r="BI344" s="226">
        <f t="shared" si="40"/>
        <v>16</v>
      </c>
      <c r="BJ344" s="226">
        <f t="shared" si="41"/>
        <v>0</v>
      </c>
      <c r="BK344" s="228">
        <f>IFERROR(SUM(DATA[[#This Row],[fs_fd_ttd]:[fend_fenf_ttd]]),0)</f>
        <v>16</v>
      </c>
      <c r="BL344" s="20" t="str">
        <f>IF(DATA[[#This Row],[fecha_fs]]&gt;0,TEXT(DATA[[#This Row],[fecha_fs]],"YYYY"),0)</f>
        <v>2025</v>
      </c>
      <c r="BM344" s="221" t="b">
        <v>1</v>
      </c>
      <c r="BN344" s="278">
        <f>COUNTIF(DATA[[#This Row],[tiempo_td]], "&lt;=15")</f>
        <v>0</v>
      </c>
      <c r="BO344" s="222"/>
    </row>
    <row r="345" spans="1:67" ht="30.6" customHeight="1" x14ac:dyDescent="0.25">
      <c r="A345" s="4">
        <v>20100172543</v>
      </c>
      <c r="B345" s="5" t="s">
        <v>67</v>
      </c>
      <c r="C345" s="52" t="s">
        <v>18</v>
      </c>
      <c r="D345" s="4" t="s">
        <v>112</v>
      </c>
      <c r="E345" s="5" t="s">
        <v>1</v>
      </c>
      <c r="F345" s="24">
        <v>45727</v>
      </c>
      <c r="G345" s="7" t="s">
        <v>113</v>
      </c>
      <c r="H345" s="25">
        <f t="shared" si="36"/>
        <v>1</v>
      </c>
      <c r="I345" s="67">
        <v>4225</v>
      </c>
      <c r="J345" s="8" t="s">
        <v>115</v>
      </c>
      <c r="K345" s="9" t="s">
        <v>116</v>
      </c>
      <c r="L345" s="10" t="s">
        <v>117</v>
      </c>
      <c r="M345" s="11">
        <v>320</v>
      </c>
      <c r="N345" s="12" t="s">
        <v>200</v>
      </c>
      <c r="O345" s="6">
        <v>45729</v>
      </c>
      <c r="P345" s="13">
        <v>3339</v>
      </c>
      <c r="Q345" s="14" t="s">
        <v>85</v>
      </c>
      <c r="R345" s="15">
        <f>DATA[[#This Row],[cantidad_fs]]*0.42</f>
        <v>134.4</v>
      </c>
      <c r="S345" s="15">
        <v>912.42</v>
      </c>
      <c r="T345" s="15">
        <f>DATA[[#This Row],[C. DF]]+DATA[[#This Row],[C.OPE.]]</f>
        <v>1046.82</v>
      </c>
      <c r="U345" s="15">
        <f>DATA[[#This Row],[SUB TOTAL]]*0.18</f>
        <v>188.42759999999998</v>
      </c>
      <c r="V345" s="15">
        <f>IFERROR(ROUND(DATA[[#This Row],[SUB TOTAL]]+DATA[[#This Row],[IGV]],2),0)</f>
        <v>1235.25</v>
      </c>
      <c r="W345" s="16" t="str">
        <f>IF(DATA[[#This Row],[VALORIZACIÓN ]]="-","NO CORRESPONDE",IF(OR(A345=20558226979,A345=10470707866,A345=20111157058,A345=20100226902),"NO CORRESPONDE",IF(J345="Emitida",IF(P345&gt;0,"EMITIDA","PENDIENTE"),"NO CORRESPONDE")))</f>
        <v>EMITIDA</v>
      </c>
      <c r="X345" s="29"/>
      <c r="Y345" s="17" t="s">
        <v>118</v>
      </c>
      <c r="Z345" s="30">
        <v>45748</v>
      </c>
      <c r="AA345" s="10" t="s">
        <v>150</v>
      </c>
      <c r="AB345" s="19">
        <v>11</v>
      </c>
      <c r="AC345" s="20">
        <v>15</v>
      </c>
      <c r="AD345" s="18">
        <f>DATA[[#This Row],[FECHA DE EMISION]]+DATA[[#This Row],[CONDICION DE PAGO]]</f>
        <v>45763</v>
      </c>
      <c r="AE345" s="23">
        <f>IF(DATA[[#This Row],[MONEDA]]="USD",VLOOKUP(DATA[[#This Row],[COMBINADA]],#REF!,11,0),1)</f>
        <v>1</v>
      </c>
      <c r="AF345" s="39" t="str">
        <f>IF(DATA[[#This Row],[SERIE2]]="-","NO CORRESPONDE",IF(W345="NO CORRESPONDE","NO CORRESPONDE",IF(Z345&gt;0,"FACTURADO","PENDIENTE")))</f>
        <v>FACTURADO</v>
      </c>
      <c r="AG345" s="27">
        <f>IFERROR(VLOOKUP(DATA[[#This Row],[COMBINADA]],#REF!,6,0),0)</f>
        <v>0</v>
      </c>
      <c r="AH345" s="125">
        <f>IFERROR(VLOOKUP(DATA[[#This Row],[COMBINADA]],#REF!,9,0),0)/COUNTIFS(DATA[COMBINADA],DATA[[#This Row],[COMBINADA]])</f>
        <v>0</v>
      </c>
      <c r="AI345" s="27">
        <f>IFERROR(VLOOKUP(DATA[[#This Row],[COMBINADA]],#REF!,6,0),0)</f>
        <v>0</v>
      </c>
      <c r="AJ345" s="125">
        <f>IFERROR(VLOOKUP(DATA[[#This Row],[COMBINADA]],#REF!,9,0),0)/COUNTIFS(DATA[COMBINADA],DATA[[#This Row],[COMBINADA]])</f>
        <v>0</v>
      </c>
      <c r="AK345" s="27">
        <f>IFERROR(VLOOKUP(DATA[[#This Row],[COMBINADA]],#REF!,6,0),0)</f>
        <v>0</v>
      </c>
      <c r="AL345" s="125">
        <f>IFERROR(VLOOKUP(DATA[[#This Row],[COMBINADA]],#REF!,9,0),0)/COUNTIFS(DATA[COMBINADA],DATA[[#This Row],[COMBINADA]])</f>
        <v>0</v>
      </c>
      <c r="AM345" s="27">
        <f>IFERROR(VLOOKUP(DATA[[#This Row],[COMBINADA]],#REF!,6,0),0)</f>
        <v>0</v>
      </c>
      <c r="AN345" s="125">
        <f>IFERROR(VLOOKUP(DATA[[#This Row],[COMBINADA]],#REF!,9,0),0)/COUNTIFS(DATA[COMBINADA],DATA[[#This Row],[COMBINADA]])</f>
        <v>0</v>
      </c>
      <c r="AO345" s="27">
        <f>IFERROR(VLOOKUP(DATA[[#This Row],[COMBINADA]],#REF!,6,0),0)</f>
        <v>0</v>
      </c>
      <c r="AP345" s="125">
        <f>IFERROR(VLOOKUP(DATA[[#This Row],[COMBINADA]],#REF!,9,0),0)/COUNTIFS(DATA[COMBINADA],DATA[[#This Row],[COMBINADA]])</f>
        <v>0</v>
      </c>
      <c r="AQ34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1235.25</v>
      </c>
      <c r="AR345" s="26" t="str">
        <f>IFERROR(IF(DATA[[#This Row],[estado_fact]]="FACTURADO",VLOOKUP(DATA[[#This Row],[SERIE2]]&amp;"-"&amp;DATA[[#This Row],[NUMERO]],#REF!,34,0),"NO CORRESPONDE"),"NO CORRESPONDE")</f>
        <v>NO CORRESPONDE</v>
      </c>
      <c r="AS345" s="22" t="str">
        <f>IF(DATA[[#This Row],[fecha_fs]]&gt;0,TEXT(DATA[[#This Row],[fecha_fs]],"Mmmm"),0)</f>
        <v>Marzo</v>
      </c>
      <c r="AT345" s="22" t="str">
        <f>DATA[[#This Row],[SERIE2]]&amp;"-"&amp;DATA[[#This Row],[NUMERO]]</f>
        <v>FF01-11</v>
      </c>
      <c r="AU345" s="28">
        <f>DATA[[#This Row],[TOTAL]]*DATA[[#This Row],[T.C.]]</f>
        <v>1235.25</v>
      </c>
      <c r="AV345" s="6">
        <f>DATA[[#This Row],[FECHA DE VAL.]]</f>
        <v>45729</v>
      </c>
      <c r="AW345" s="6">
        <f>DATA[[#This Row],[FECHA DE EMISION]]</f>
        <v>45748</v>
      </c>
      <c r="AX345" s="6">
        <f>DATA[[#This Row],[F1]]</f>
        <v>0</v>
      </c>
      <c r="AY345" s="20">
        <f>IF(AV345-DATA[[#This Row],[fecha_fs]]&lt;0,0,AV345-DATA[[#This Row],[fecha_fs]])</f>
        <v>2</v>
      </c>
      <c r="AZ345" s="20">
        <f t="shared" si="37"/>
        <v>19</v>
      </c>
      <c r="BA345" s="20">
        <f t="shared" si="38"/>
        <v>0</v>
      </c>
      <c r="BB345" s="195">
        <f>IFERROR(SUM(DATA[[#This Row],[fs_val_ttf]:[fact_pago_ttf]]),0)</f>
        <v>21</v>
      </c>
      <c r="BC345" s="185">
        <v>45740</v>
      </c>
      <c r="BD345" s="185">
        <v>45749</v>
      </c>
      <c r="BE345" s="185">
        <v>45756</v>
      </c>
      <c r="BF345" s="185">
        <v>45821</v>
      </c>
      <c r="BG345" s="20">
        <f>IFERROR(IF(BC345-DATA[[#This Row],[fecha_fs]]&lt;0,0,BC345-DATA[[#This Row],[fecha_fs]]),0)</f>
        <v>13</v>
      </c>
      <c r="BH345" s="20">
        <f t="shared" si="39"/>
        <v>9</v>
      </c>
      <c r="BI345" s="20">
        <f t="shared" si="40"/>
        <v>7</v>
      </c>
      <c r="BJ345" s="20">
        <f t="shared" si="41"/>
        <v>65</v>
      </c>
      <c r="BK345" s="218">
        <f>IFERROR(SUM(DATA[[#This Row],[fs_fd_ttd]:[fend_fenf_ttd]]),0)</f>
        <v>94</v>
      </c>
      <c r="BL345" s="20" t="str">
        <f>IF(DATA[[#This Row],[fecha_fs]]&gt;0,TEXT(DATA[[#This Row],[fecha_fs]],"YYYY"),0)</f>
        <v>2025</v>
      </c>
      <c r="BM345" s="221" t="b">
        <v>1</v>
      </c>
      <c r="BN345" s="278">
        <f>COUNTIF(DATA[[#This Row],[tiempo_td]], "&lt;=15")</f>
        <v>0</v>
      </c>
      <c r="BO345" s="222"/>
    </row>
    <row r="346" spans="1:67" ht="30.6" customHeight="1" x14ac:dyDescent="0.25">
      <c r="A346" s="4">
        <v>20553956324</v>
      </c>
      <c r="B346" s="5" t="s">
        <v>281</v>
      </c>
      <c r="C346" s="52" t="s">
        <v>175</v>
      </c>
      <c r="D346" s="4" t="s">
        <v>120</v>
      </c>
      <c r="E346" s="5" t="s">
        <v>3</v>
      </c>
      <c r="F346" s="24">
        <v>45727</v>
      </c>
      <c r="G346" s="7" t="s">
        <v>113</v>
      </c>
      <c r="H346" s="25">
        <f t="shared" si="36"/>
        <v>1</v>
      </c>
      <c r="I346" s="67">
        <v>4226</v>
      </c>
      <c r="J346" s="8" t="s">
        <v>115</v>
      </c>
      <c r="K346" s="9" t="s">
        <v>121</v>
      </c>
      <c r="L346" s="10" t="s">
        <v>117</v>
      </c>
      <c r="M346" s="11">
        <v>240</v>
      </c>
      <c r="N346" s="12" t="s">
        <v>167</v>
      </c>
      <c r="O346" s="6">
        <v>45747</v>
      </c>
      <c r="P346" s="109">
        <v>3370</v>
      </c>
      <c r="Q346" s="14" t="s">
        <v>85</v>
      </c>
      <c r="R346" s="15">
        <f>DATA[[#This Row],[cantidad_fs]]*0.08</f>
        <v>19.2</v>
      </c>
      <c r="S346" s="15">
        <v>395.1</v>
      </c>
      <c r="T346" s="15">
        <f>DATA[[#This Row],[C. DF]]+DATA[[#This Row],[C.OPE.]]</f>
        <v>414.3</v>
      </c>
      <c r="U346" s="15">
        <f>DATA[[#This Row],[SUB TOTAL]]*0.18</f>
        <v>74.573999999999998</v>
      </c>
      <c r="V346" s="15">
        <f>IFERROR(ROUND(DATA[[#This Row],[SUB TOTAL]]+DATA[[#This Row],[IGV]],2),0)</f>
        <v>488.87</v>
      </c>
      <c r="W346" s="16" t="str">
        <f>IF(DATA[[#This Row],[VALORIZACIÓN ]]="-","NO CORRESPONDE",IF(OR(A346=20558226979,A346=10470707866,A346=20111157058,A346=20100226902),"NO CORRESPONDE",IF(J346="Emitida",IF(P346&gt;0,"EMITIDA","PENDIENTE"),"NO CORRESPONDE")))</f>
        <v>EMITIDA</v>
      </c>
      <c r="X346" s="29"/>
      <c r="Y346" s="17" t="s">
        <v>118</v>
      </c>
      <c r="Z346" s="30">
        <v>45790</v>
      </c>
      <c r="AA346" s="10" t="s">
        <v>150</v>
      </c>
      <c r="AB346" s="19">
        <v>75</v>
      </c>
      <c r="AC346" s="20"/>
      <c r="AD346" s="18">
        <f>DATA[[#This Row],[FECHA DE EMISION]]+DATA[[#This Row],[CONDICION DE PAGO]]</f>
        <v>45790</v>
      </c>
      <c r="AE346" s="23">
        <f>IF(DATA[[#This Row],[MONEDA]]="USD",VLOOKUP(DATA[[#This Row],[COMBINADA]],#REF!,11,0),1)</f>
        <v>1</v>
      </c>
      <c r="AF346" s="39" t="str">
        <f>IF(DATA[[#This Row],[SERIE2]]="-","NO CORRESPONDE",IF(W346="NO CORRESPONDE","NO CORRESPONDE",IF(Z346&gt;0,"FACTURADO","PENDIENTE")))</f>
        <v>FACTURADO</v>
      </c>
      <c r="AG346" s="27">
        <f>IFERROR(VLOOKUP(DATA[[#This Row],[COMBINADA]],#REF!,6,0),0)</f>
        <v>0</v>
      </c>
      <c r="AH346" s="125">
        <f>IFERROR(VLOOKUP(DATA[[#This Row],[COMBINADA]],#REF!,9,0),0)/COUNTIFS(DATA[COMBINADA],DATA[[#This Row],[COMBINADA]])</f>
        <v>0</v>
      </c>
      <c r="AI346" s="27">
        <f>IFERROR(VLOOKUP(DATA[[#This Row],[COMBINADA]],#REF!,6,0),0)</f>
        <v>0</v>
      </c>
      <c r="AJ346" s="125">
        <f>IFERROR(VLOOKUP(DATA[[#This Row],[COMBINADA]],#REF!,9,0),0)/COUNTIFS(DATA[COMBINADA],DATA[[#This Row],[COMBINADA]])</f>
        <v>0</v>
      </c>
      <c r="AK346" s="27">
        <f>IFERROR(VLOOKUP(DATA[[#This Row],[COMBINADA]],#REF!,6,0),0)</f>
        <v>0</v>
      </c>
      <c r="AL346" s="125">
        <f>IFERROR(VLOOKUP(DATA[[#This Row],[COMBINADA]],#REF!,9,0),0)/COUNTIFS(DATA[COMBINADA],DATA[[#This Row],[COMBINADA]])</f>
        <v>0</v>
      </c>
      <c r="AM346" s="27">
        <f>IFERROR(VLOOKUP(DATA[[#This Row],[COMBINADA]],#REF!,6,0),0)</f>
        <v>0</v>
      </c>
      <c r="AN346" s="125">
        <f>IFERROR(VLOOKUP(DATA[[#This Row],[COMBINADA]],#REF!,9,0),0)/COUNTIFS(DATA[COMBINADA],DATA[[#This Row],[COMBINADA]])</f>
        <v>0</v>
      </c>
      <c r="AO346" s="27">
        <f>IFERROR(VLOOKUP(DATA[[#This Row],[COMBINADA]],#REF!,6,0),0)</f>
        <v>0</v>
      </c>
      <c r="AP346" s="125">
        <f>IFERROR(VLOOKUP(DATA[[#This Row],[COMBINADA]],#REF!,9,0),0)/COUNTIFS(DATA[COMBINADA],DATA[[#This Row],[COMBINADA]])</f>
        <v>0</v>
      </c>
      <c r="AQ34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490.09299999999996</v>
      </c>
      <c r="AR346" s="26" t="str">
        <f>IFERROR(IF(DATA[[#This Row],[estado_fact]]="FACTURADO",VLOOKUP(DATA[[#This Row],[SERIE2]]&amp;"-"&amp;DATA[[#This Row],[NUMERO]],#REF!,34,0),"NO CORRESPONDE"),"NO CORRESPONDE")</f>
        <v>NO CORRESPONDE</v>
      </c>
      <c r="AS346" s="22" t="str">
        <f>IF(DATA[[#This Row],[fecha_fs]]&gt;0,TEXT(DATA[[#This Row],[fecha_fs]],"Mmmm"),0)</f>
        <v>Marzo</v>
      </c>
      <c r="AT346" s="22" t="str">
        <f>DATA[[#This Row],[SERIE2]]&amp;"-"&amp;DATA[[#This Row],[NUMERO]]</f>
        <v>FF01-75</v>
      </c>
      <c r="AU346" s="28">
        <f>DATA[[#This Row],[TOTAL]]*DATA[[#This Row],[T.C.]]</f>
        <v>488.87</v>
      </c>
      <c r="AV346" s="6">
        <f>DATA[[#This Row],[FECHA DE VAL.]]</f>
        <v>45747</v>
      </c>
      <c r="AW346" s="6">
        <f>DATA[[#This Row],[FECHA DE EMISION]]</f>
        <v>45790</v>
      </c>
      <c r="AX346" s="6">
        <f>DATA[[#This Row],[F1]]</f>
        <v>0</v>
      </c>
      <c r="AY346" s="20">
        <f>IF(AV346-DATA[[#This Row],[fecha_fs]]&lt;0,0,AV346-DATA[[#This Row],[fecha_fs]])</f>
        <v>20</v>
      </c>
      <c r="AZ346" s="20">
        <f t="shared" si="37"/>
        <v>43</v>
      </c>
      <c r="BA346" s="20">
        <f t="shared" si="38"/>
        <v>0</v>
      </c>
      <c r="BB346" s="195">
        <f>IFERROR(SUM(DATA[[#This Row],[fs_val_ttf]:[fact_pago_ttf]]),0)</f>
        <v>63</v>
      </c>
      <c r="BC346" s="185">
        <v>45748</v>
      </c>
      <c r="BD346" s="185">
        <v>45751</v>
      </c>
      <c r="BE346" s="185">
        <v>45756</v>
      </c>
      <c r="BF346" s="185">
        <v>45758</v>
      </c>
      <c r="BG346" s="20">
        <f>IFERROR(IF(BC346-DATA[[#This Row],[fecha_fs]]&lt;0,0,BC346-DATA[[#This Row],[fecha_fs]]),0)</f>
        <v>21</v>
      </c>
      <c r="BH346" s="20">
        <f t="shared" si="39"/>
        <v>3</v>
      </c>
      <c r="BI346" s="20">
        <f t="shared" si="40"/>
        <v>5</v>
      </c>
      <c r="BJ346" s="20">
        <f>IFERROR(IF(BF346-BE346&lt;0,0,BF346-BE346),0)</f>
        <v>2</v>
      </c>
      <c r="BK346" s="218">
        <f>IFERROR(SUM(DATA[[#This Row],[fs_fd_ttd]:[fend_fenf_ttd]]),0)</f>
        <v>31</v>
      </c>
      <c r="BL346" s="20" t="str">
        <f>IF(DATA[[#This Row],[fecha_fs]]&gt;0,TEXT(DATA[[#This Row],[fecha_fs]],"YYYY"),0)</f>
        <v>2025</v>
      </c>
      <c r="BM346" s="221" t="b">
        <v>1</v>
      </c>
      <c r="BN346" s="278">
        <f>COUNTIF(DATA[[#This Row],[tiempo_td]], "&lt;=15")</f>
        <v>0</v>
      </c>
      <c r="BO346" s="222"/>
    </row>
    <row r="347" spans="1:67" ht="30.6" customHeight="1" x14ac:dyDescent="0.25">
      <c r="A347" s="4">
        <v>20100226902</v>
      </c>
      <c r="B347" s="5" t="s">
        <v>24</v>
      </c>
      <c r="C347" s="52" t="s">
        <v>18</v>
      </c>
      <c r="D347" s="4" t="s">
        <v>120</v>
      </c>
      <c r="E347" s="5" t="s">
        <v>3</v>
      </c>
      <c r="F347" s="24">
        <v>45728</v>
      </c>
      <c r="G347" s="7" t="s">
        <v>113</v>
      </c>
      <c r="H347" s="25">
        <f t="shared" si="36"/>
        <v>1</v>
      </c>
      <c r="I347" s="67">
        <v>4227</v>
      </c>
      <c r="J347" s="8" t="s">
        <v>115</v>
      </c>
      <c r="K347" s="9" t="s">
        <v>121</v>
      </c>
      <c r="L347" s="10" t="s">
        <v>117</v>
      </c>
      <c r="M347" s="11">
        <v>820</v>
      </c>
      <c r="N347" s="12" t="s">
        <v>127</v>
      </c>
      <c r="O347" s="40"/>
      <c r="P347" s="41" t="s">
        <v>114</v>
      </c>
      <c r="Q347" s="42"/>
      <c r="R347" s="43"/>
      <c r="S347" s="43"/>
      <c r="T347" s="43">
        <f>DATA[[#This Row],[C. DF]]+DATA[[#This Row],[C.OPE.]]</f>
        <v>0</v>
      </c>
      <c r="U347" s="43">
        <f>DATA[[#This Row],[SUB TOTAL]]*0.18</f>
        <v>0</v>
      </c>
      <c r="V347" s="43">
        <f>IFERROR(ROUND(DATA[[#This Row],[SUB TOTAL]]+DATA[[#This Row],[IGV]],2),0)</f>
        <v>0</v>
      </c>
      <c r="W347" s="58" t="str">
        <f>IF(DATA[[#This Row],[VALORIZACIÓN ]]="-","NO CORRESPONDE",IF(OR(A347=20558226979,A347=10470707866,A347=20111157058,A347=20100226902),"NO CORRESPONDE",IF(J347="Emitida",IF(P347&gt;0,"EMITIDA","PENDIENTE"),"NO CORRESPONDE")))</f>
        <v>NO CORRESPONDE</v>
      </c>
      <c r="X347" s="45"/>
      <c r="Y347" s="58" t="s">
        <v>128</v>
      </c>
      <c r="Z347" s="46"/>
      <c r="AA347" s="47"/>
      <c r="AB347" s="48"/>
      <c r="AC347" s="49"/>
      <c r="AD347" s="50">
        <f>DATA[[#This Row],[FECHA DE EMISION]]+DATA[[#This Row],[CONDICION DE PAGO]]</f>
        <v>0</v>
      </c>
      <c r="AE347" s="23">
        <f>IF(DATA[[#This Row],[MONEDA]]="USD",VLOOKUP(DATA[[#This Row],[COMBINADA]],#REF!,11,0),1)</f>
        <v>1</v>
      </c>
      <c r="AF347" s="39" t="str">
        <f>IF(DATA[[#This Row],[SERIE2]]="-","NO CORRESPONDE",IF(W347="NO CORRESPONDE","NO CORRESPONDE",IF(Z347&gt;0,"FACTURADO","PENDIENTE")))</f>
        <v>NO CORRESPONDE</v>
      </c>
      <c r="AG347" s="60">
        <f>IFERROR(VLOOKUP(DATA[[#This Row],[COMBINADA]],#REF!,6,0),0)</f>
        <v>0</v>
      </c>
      <c r="AH347" s="126">
        <f>IFERROR(VLOOKUP(DATA[[#This Row],[COMBINADA]],#REF!,9,0),0)/COUNTIFS(DATA[COMBINADA],DATA[[#This Row],[COMBINADA]])</f>
        <v>0</v>
      </c>
      <c r="AI347" s="60">
        <f>IFERROR(VLOOKUP(DATA[[#This Row],[COMBINADA]],#REF!,6,0),0)</f>
        <v>0</v>
      </c>
      <c r="AJ347" s="126">
        <f>IFERROR(VLOOKUP(DATA[[#This Row],[COMBINADA]],#REF!,9,0),0)/COUNTIFS(DATA[COMBINADA],DATA[[#This Row],[COMBINADA]])</f>
        <v>0</v>
      </c>
      <c r="AK347" s="60">
        <f>IFERROR(VLOOKUP(DATA[[#This Row],[COMBINADA]],#REF!,6,0),0)</f>
        <v>0</v>
      </c>
      <c r="AL347" s="126">
        <f>IFERROR(VLOOKUP(DATA[[#This Row],[COMBINADA]],#REF!,9,0),0)/COUNTIFS(DATA[COMBINADA],DATA[[#This Row],[COMBINADA]])</f>
        <v>0</v>
      </c>
      <c r="AM347" s="60">
        <f>IFERROR(VLOOKUP(DATA[[#This Row],[COMBINADA]],#REF!,6,0),0)</f>
        <v>0</v>
      </c>
      <c r="AN347" s="126">
        <f>IFERROR(VLOOKUP(DATA[[#This Row],[COMBINADA]],#REF!,9,0),0)/COUNTIFS(DATA[COMBINADA],DATA[[#This Row],[COMBINADA]])</f>
        <v>0</v>
      </c>
      <c r="AO347" s="60">
        <f>IFERROR(VLOOKUP(DATA[[#This Row],[COMBINADA]],#REF!,6,0),0)</f>
        <v>0</v>
      </c>
      <c r="AP347" s="126">
        <f>IFERROR(VLOOKUP(DATA[[#This Row],[COMBINADA]],#REF!,9,0),0)/COUNTIFS(DATA[COMBINADA],DATA[[#This Row],[COMBINADA]])</f>
        <v>0</v>
      </c>
      <c r="AQ347"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347" s="22" t="str">
        <f>IFERROR(IF(DATA[[#This Row],[estado_fact]]="FACTURADO",VLOOKUP(DATA[[#This Row],[SERIE2]]&amp;"-"&amp;DATA[[#This Row],[NUMERO]],#REF!,34,0),"NO CORRESPONDE"),"NO CORRESPONDE")</f>
        <v>NO CORRESPONDE</v>
      </c>
      <c r="AS347" s="22" t="str">
        <f>IF(DATA[[#This Row],[fecha_fs]]&gt;0,TEXT(DATA[[#This Row],[fecha_fs]],"Mmmm"),0)</f>
        <v>Marzo</v>
      </c>
      <c r="AT347" s="22" t="str">
        <f>DATA[[#This Row],[SERIE2]]&amp;"-"&amp;DATA[[#This Row],[NUMERO]]</f>
        <v>-</v>
      </c>
      <c r="AU347" s="28">
        <f>DATA[[#This Row],[TOTAL]]*DATA[[#This Row],[T.C.]]</f>
        <v>0</v>
      </c>
      <c r="AV347" s="6">
        <f>DATA[[#This Row],[FECHA DE VAL.]]</f>
        <v>0</v>
      </c>
      <c r="AW347" s="6">
        <f>DATA[[#This Row],[FECHA DE EMISION]]</f>
        <v>0</v>
      </c>
      <c r="AX347" s="6">
        <f>DATA[[#This Row],[F1]]</f>
        <v>0</v>
      </c>
      <c r="AY347" s="20">
        <f>IF(AV347-DATA[[#This Row],[fecha_fs]]&lt;0,0,AV347-DATA[[#This Row],[fecha_fs]])</f>
        <v>0</v>
      </c>
      <c r="AZ347" s="20">
        <f t="shared" si="37"/>
        <v>0</v>
      </c>
      <c r="BA347" s="20">
        <f t="shared" si="38"/>
        <v>0</v>
      </c>
      <c r="BB347" s="195">
        <f>IFERROR(SUM(DATA[[#This Row],[fs_val_ttf]:[fact_pago_ttf]]),0)</f>
        <v>0</v>
      </c>
      <c r="BC347" s="185">
        <v>45728</v>
      </c>
      <c r="BD347" s="185">
        <v>45728</v>
      </c>
      <c r="BE347" s="185">
        <v>45768</v>
      </c>
      <c r="BF347" s="185">
        <v>45768</v>
      </c>
      <c r="BG347" s="20">
        <f>IFERROR(IF(BC347-DATA[[#This Row],[fecha_fs]]&lt;0,0,BC347-DATA[[#This Row],[fecha_fs]]),0)</f>
        <v>0</v>
      </c>
      <c r="BH347" s="20">
        <f t="shared" si="39"/>
        <v>0</v>
      </c>
      <c r="BI347" s="20">
        <f t="shared" si="40"/>
        <v>40</v>
      </c>
      <c r="BJ347" s="20">
        <f t="shared" si="41"/>
        <v>0</v>
      </c>
      <c r="BK347" s="218">
        <f>IFERROR(SUM(DATA[[#This Row],[fs_fd_ttd]:[fend_fenf_ttd]]),0)</f>
        <v>40</v>
      </c>
      <c r="BL347" s="20" t="str">
        <f>IF(DATA[[#This Row],[fecha_fs]]&gt;0,TEXT(DATA[[#This Row],[fecha_fs]],"YYYY"),0)</f>
        <v>2025</v>
      </c>
      <c r="BM347" s="221" t="b">
        <v>1</v>
      </c>
      <c r="BN347" s="278">
        <f>COUNTIF(DATA[[#This Row],[tiempo_td]], "&lt;=15")</f>
        <v>0</v>
      </c>
      <c r="BO347" s="222"/>
    </row>
    <row r="348" spans="1:67" ht="30.6" customHeight="1" x14ac:dyDescent="0.25">
      <c r="A348" s="4">
        <v>20141637941</v>
      </c>
      <c r="B348" s="5" t="s">
        <v>79</v>
      </c>
      <c r="C348" s="52" t="s">
        <v>18</v>
      </c>
      <c r="D348" s="4" t="s">
        <v>120</v>
      </c>
      <c r="E348" s="5" t="s">
        <v>3</v>
      </c>
      <c r="F348" s="24">
        <v>45728</v>
      </c>
      <c r="G348" s="7" t="s">
        <v>113</v>
      </c>
      <c r="H348" s="25">
        <f t="shared" si="36"/>
        <v>1</v>
      </c>
      <c r="I348" s="67">
        <v>4228</v>
      </c>
      <c r="J348" s="8" t="s">
        <v>115</v>
      </c>
      <c r="K348" s="9" t="s">
        <v>121</v>
      </c>
      <c r="L348" s="10" t="s">
        <v>117</v>
      </c>
      <c r="M348" s="11">
        <v>1100</v>
      </c>
      <c r="N348" s="12" t="s">
        <v>125</v>
      </c>
      <c r="O348" s="6">
        <v>45730</v>
      </c>
      <c r="P348" s="110">
        <v>3341</v>
      </c>
      <c r="Q348" s="14" t="s">
        <v>85</v>
      </c>
      <c r="R348" s="15">
        <f>70+(DATA[[#This Row],[cantidad_fs]]-1000)*0.1</f>
        <v>80</v>
      </c>
      <c r="S348" s="15">
        <v>517</v>
      </c>
      <c r="T348" s="15">
        <f>DATA[[#This Row],[C. DF]]+DATA[[#This Row],[C.OPE.]]</f>
        <v>597</v>
      </c>
      <c r="U348" s="15">
        <f>DATA[[#This Row],[SUB TOTAL]]*0.18</f>
        <v>107.46</v>
      </c>
      <c r="V348" s="15">
        <f>IFERROR(ROUND(DATA[[#This Row],[SUB TOTAL]]+DATA[[#This Row],[IGV]],2),0)</f>
        <v>704.46</v>
      </c>
      <c r="W348" s="16" t="str">
        <f>IF(DATA[[#This Row],[VALORIZACIÓN ]]="-","NO CORRESPONDE",IF(OR(A348=20558226979,A348=10470707866,A348=20111157058,A348=20100226902),"NO CORRESPONDE",IF(J348="Emitida",IF(P348&gt;0,"EMITIDA","PENDIENTE"),"NO CORRESPONDE")))</f>
        <v>EMITIDA</v>
      </c>
      <c r="X348" s="29"/>
      <c r="Y348" s="17" t="s">
        <v>118</v>
      </c>
      <c r="Z348" s="30">
        <v>45733</v>
      </c>
      <c r="AA348" s="10" t="s">
        <v>119</v>
      </c>
      <c r="AB348" s="19">
        <v>26</v>
      </c>
      <c r="AC348" s="20">
        <v>30</v>
      </c>
      <c r="AD348" s="18">
        <f>DATA[[#This Row],[FECHA DE EMISION]]+DATA[[#This Row],[CONDICION DE PAGO]]</f>
        <v>45763</v>
      </c>
      <c r="AE348" s="23">
        <f>IF(DATA[[#This Row],[MONEDA]]="USD",VLOOKUP(DATA[[#This Row],[COMBINADA]],#REF!,11,0),1)</f>
        <v>1</v>
      </c>
      <c r="AF348" s="39" t="str">
        <f>IF(DATA[[#This Row],[SERIE2]]="-","NO CORRESPONDE",IF(W348="NO CORRESPONDE","NO CORRESPONDE",IF(Z348&gt;0,"FACTURADO","PENDIENTE")))</f>
        <v>FACTURADO</v>
      </c>
      <c r="AG348" s="27">
        <f>IFERROR(VLOOKUP(DATA[[#This Row],[COMBINADA]],#REF!,6,0),0)</f>
        <v>0</v>
      </c>
      <c r="AH348" s="125">
        <f>IFERROR(VLOOKUP(DATA[[#This Row],[COMBINADA]],#REF!,9,0),0)/COUNTIFS(DATA[COMBINADA],DATA[[#This Row],[COMBINADA]])</f>
        <v>0</v>
      </c>
      <c r="AI348" s="27">
        <f>IFERROR(VLOOKUP(DATA[[#This Row],[COMBINADA]],#REF!,6,0),0)</f>
        <v>0</v>
      </c>
      <c r="AJ348" s="125">
        <f>IFERROR(VLOOKUP(DATA[[#This Row],[COMBINADA]],#REF!,9,0),0)/COUNTIFS(DATA[COMBINADA],DATA[[#This Row],[COMBINADA]])</f>
        <v>0</v>
      </c>
      <c r="AK348" s="27">
        <f>IFERROR(VLOOKUP(DATA[[#This Row],[COMBINADA]],#REF!,6,0),0)</f>
        <v>0</v>
      </c>
      <c r="AL348" s="125">
        <f>IFERROR(VLOOKUP(DATA[[#This Row],[COMBINADA]],#REF!,9,0),0)/COUNTIFS(DATA[COMBINADA],DATA[[#This Row],[COMBINADA]])</f>
        <v>0</v>
      </c>
      <c r="AM348" s="27">
        <f>IFERROR(VLOOKUP(DATA[[#This Row],[COMBINADA]],#REF!,6,0),0)</f>
        <v>0</v>
      </c>
      <c r="AN348" s="125">
        <f>IFERROR(VLOOKUP(DATA[[#This Row],[COMBINADA]],#REF!,9,0),0)/COUNTIFS(DATA[COMBINADA],DATA[[#This Row],[COMBINADA]])</f>
        <v>0</v>
      </c>
      <c r="AO348" s="27">
        <f>IFERROR(VLOOKUP(DATA[[#This Row],[COMBINADA]],#REF!,6,0),0)</f>
        <v>0</v>
      </c>
      <c r="AP348" s="125">
        <f>IFERROR(VLOOKUP(DATA[[#This Row],[COMBINADA]],#REF!,9,0),0)/COUNTIFS(DATA[COMBINADA],DATA[[#This Row],[COMBINADA]])</f>
        <v>0</v>
      </c>
      <c r="AQ34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722.16</v>
      </c>
      <c r="AR348" s="26" t="str">
        <f>IFERROR(IF(DATA[[#This Row],[estado_fact]]="FACTURADO",VLOOKUP(DATA[[#This Row],[SERIE2]]&amp;"-"&amp;DATA[[#This Row],[NUMERO]],#REF!,34,0),"NO CORRESPONDE"),"NO CORRESPONDE")</f>
        <v>NO CORRESPONDE</v>
      </c>
      <c r="AS348" s="22" t="str">
        <f>IF(DATA[[#This Row],[fecha_fs]]&gt;0,TEXT(DATA[[#This Row],[fecha_fs]],"Mmmm"),0)</f>
        <v>Marzo</v>
      </c>
      <c r="AT348" s="22" t="str">
        <f>DATA[[#This Row],[SERIE2]]&amp;"-"&amp;DATA[[#This Row],[NUMERO]]</f>
        <v>E001-26</v>
      </c>
      <c r="AU348" s="28">
        <f>DATA[[#This Row],[TOTAL]]*DATA[[#This Row],[T.C.]]</f>
        <v>704.46</v>
      </c>
      <c r="AV348" s="6">
        <f>DATA[[#This Row],[FECHA DE VAL.]]</f>
        <v>45730</v>
      </c>
      <c r="AW348" s="6">
        <f>DATA[[#This Row],[FECHA DE EMISION]]</f>
        <v>45733</v>
      </c>
      <c r="AX348" s="6">
        <f>DATA[[#This Row],[F1]]</f>
        <v>0</v>
      </c>
      <c r="AY348" s="20">
        <f>IF(AV348-DATA[[#This Row],[fecha_fs]]&lt;0,0,AV348-DATA[[#This Row],[fecha_fs]])</f>
        <v>2</v>
      </c>
      <c r="AZ348" s="20">
        <f t="shared" si="37"/>
        <v>3</v>
      </c>
      <c r="BA348" s="20">
        <f t="shared" si="38"/>
        <v>0</v>
      </c>
      <c r="BB348" s="195">
        <f>IFERROR(SUM(DATA[[#This Row],[fs_val_ttf]:[fact_pago_ttf]]),0)</f>
        <v>5</v>
      </c>
      <c r="BC348" s="185">
        <v>45728</v>
      </c>
      <c r="BD348" s="185">
        <v>45728</v>
      </c>
      <c r="BE348" s="185">
        <v>45733</v>
      </c>
      <c r="BF348" s="185">
        <v>45733</v>
      </c>
      <c r="BG348" s="20">
        <f>IFERROR(IF(BC348-DATA[[#This Row],[fecha_fs]]&lt;0,0,BC348-DATA[[#This Row],[fecha_fs]]),0)</f>
        <v>0</v>
      </c>
      <c r="BH348" s="20">
        <f t="shared" si="39"/>
        <v>0</v>
      </c>
      <c r="BI348" s="20">
        <f t="shared" si="40"/>
        <v>5</v>
      </c>
      <c r="BJ348" s="20">
        <f t="shared" si="41"/>
        <v>0</v>
      </c>
      <c r="BK348" s="218">
        <f>IFERROR(SUM(DATA[[#This Row],[fs_fd_ttd]:[fend_fenf_ttd]]),0)</f>
        <v>5</v>
      </c>
      <c r="BL348" s="20" t="str">
        <f>IF(DATA[[#This Row],[fecha_fs]]&gt;0,TEXT(DATA[[#This Row],[fecha_fs]],"YYYY"),0)</f>
        <v>2025</v>
      </c>
      <c r="BM348" s="221" t="b">
        <v>1</v>
      </c>
      <c r="BN348" s="278">
        <f>COUNTIF(DATA[[#This Row],[tiempo_td]], "&lt;=15")</f>
        <v>1</v>
      </c>
      <c r="BO348" s="222"/>
    </row>
    <row r="349" spans="1:67" ht="30.6" customHeight="1" x14ac:dyDescent="0.25">
      <c r="A349" s="4">
        <v>20100211115</v>
      </c>
      <c r="B349" s="5" t="s">
        <v>41</v>
      </c>
      <c r="C349" s="52" t="s">
        <v>18</v>
      </c>
      <c r="D349" s="4" t="s">
        <v>120</v>
      </c>
      <c r="E349" s="5" t="s">
        <v>3</v>
      </c>
      <c r="F349" s="24">
        <v>45728</v>
      </c>
      <c r="G349" s="7" t="s">
        <v>113</v>
      </c>
      <c r="H349" s="25">
        <f t="shared" si="36"/>
        <v>1</v>
      </c>
      <c r="I349" s="67">
        <v>4229</v>
      </c>
      <c r="J349" s="8" t="s">
        <v>115</v>
      </c>
      <c r="K349" s="9" t="s">
        <v>121</v>
      </c>
      <c r="L349" s="10" t="s">
        <v>117</v>
      </c>
      <c r="M349" s="11">
        <v>90</v>
      </c>
      <c r="N349" s="12" t="s">
        <v>132</v>
      </c>
      <c r="O349" s="6">
        <v>45743</v>
      </c>
      <c r="P349" s="115">
        <v>3362</v>
      </c>
      <c r="Q349" s="14" t="s">
        <v>85</v>
      </c>
      <c r="R349" s="15"/>
      <c r="S349" s="15">
        <f>(DATA[[#This Row],[cantidad_fs]]*4.37)</f>
        <v>393.3</v>
      </c>
      <c r="T349" s="15">
        <f>DATA[[#This Row],[C. DF]]+DATA[[#This Row],[C.OPE.]]</f>
        <v>393.3</v>
      </c>
      <c r="U349" s="15">
        <f>DATA[[#This Row],[SUB TOTAL]]*0.18</f>
        <v>70.793999999999997</v>
      </c>
      <c r="V349" s="15">
        <f>IFERROR(ROUND(DATA[[#This Row],[SUB TOTAL]]+DATA[[#This Row],[IGV]],2),0)</f>
        <v>464.09</v>
      </c>
      <c r="W349" s="16" t="str">
        <f>IF(DATA[[#This Row],[VALORIZACIÓN ]]="-","NO CORRESPONDE",IF(OR(A349=20558226979,A349=10470707866,A349=20111157058,A349=20100226902),"NO CORRESPONDE",IF(J349="Emitida",IF(P349&gt;0,"EMITIDA","PENDIENTE"),"NO CORRESPONDE")))</f>
        <v>EMITIDA</v>
      </c>
      <c r="X349" s="29"/>
      <c r="Y349" s="17" t="s">
        <v>118</v>
      </c>
      <c r="Z349" s="30">
        <v>45744</v>
      </c>
      <c r="AA349" s="10" t="s">
        <v>150</v>
      </c>
      <c r="AB349" s="19">
        <v>2</v>
      </c>
      <c r="AC349" s="20">
        <v>30</v>
      </c>
      <c r="AD349" s="18">
        <f>DATA[[#This Row],[FECHA DE EMISION]]+DATA[[#This Row],[CONDICION DE PAGO]]</f>
        <v>45774</v>
      </c>
      <c r="AE349" s="23">
        <f>IF(DATA[[#This Row],[MONEDA]]="USD",VLOOKUP(DATA[[#This Row],[COMBINADA]],#REF!,11,0),1)</f>
        <v>1</v>
      </c>
      <c r="AF349" s="39" t="str">
        <f>IF(DATA[[#This Row],[SERIE2]]="-","NO CORRESPONDE",IF(W349="NO CORRESPONDE","NO CORRESPONDE",IF(Z349&gt;0,"FACTURADO","PENDIENTE")))</f>
        <v>FACTURADO</v>
      </c>
      <c r="AG349" s="27">
        <f>IFERROR(VLOOKUP(DATA[[#This Row],[COMBINADA]],#REF!,6,0),0)</f>
        <v>0</v>
      </c>
      <c r="AH349" s="125">
        <f>IFERROR(VLOOKUP(DATA[[#This Row],[COMBINADA]],#REF!,9,0),0)/COUNTIFS(DATA[COMBINADA],DATA[[#This Row],[COMBINADA]])</f>
        <v>0</v>
      </c>
      <c r="AI349" s="27">
        <f>IFERROR(VLOOKUP(DATA[[#This Row],[COMBINADA]],#REF!,6,0),0)</f>
        <v>0</v>
      </c>
      <c r="AJ349" s="125">
        <f>IFERROR(VLOOKUP(DATA[[#This Row],[COMBINADA]],#REF!,9,0),0)/COUNTIFS(DATA[COMBINADA],DATA[[#This Row],[COMBINADA]])</f>
        <v>0</v>
      </c>
      <c r="AK349" s="27">
        <f>IFERROR(VLOOKUP(DATA[[#This Row],[COMBINADA]],#REF!,6,0),0)</f>
        <v>0</v>
      </c>
      <c r="AL349" s="125">
        <f>IFERROR(VLOOKUP(DATA[[#This Row],[COMBINADA]],#REF!,9,0),0)/COUNTIFS(DATA[COMBINADA],DATA[[#This Row],[COMBINADA]])</f>
        <v>0</v>
      </c>
      <c r="AM349" s="27">
        <f>IFERROR(VLOOKUP(DATA[[#This Row],[COMBINADA]],#REF!,6,0),0)</f>
        <v>0</v>
      </c>
      <c r="AN349" s="125">
        <f>IFERROR(VLOOKUP(DATA[[#This Row],[COMBINADA]],#REF!,9,0),0)/COUNTIFS(DATA[COMBINADA],DATA[[#This Row],[COMBINADA]])</f>
        <v>0</v>
      </c>
      <c r="AO349" s="27">
        <f>IFERROR(VLOOKUP(DATA[[#This Row],[COMBINADA]],#REF!,6,0),0)</f>
        <v>0</v>
      </c>
      <c r="AP349" s="125">
        <f>IFERROR(VLOOKUP(DATA[[#This Row],[COMBINADA]],#REF!,9,0),0)/COUNTIFS(DATA[COMBINADA],DATA[[#This Row],[COMBINADA]])</f>
        <v>0</v>
      </c>
      <c r="AQ34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349" s="26" t="str">
        <f>IFERROR(IF(DATA[[#This Row],[estado_fact]]="FACTURADO",VLOOKUP(DATA[[#This Row],[SERIE2]]&amp;"-"&amp;DATA[[#This Row],[NUMERO]],#REF!,34,0),"NO CORRESPONDE"),"NO CORRESPONDE")</f>
        <v>NO CORRESPONDE</v>
      </c>
      <c r="AS349" s="22" t="str">
        <f>IF(DATA[[#This Row],[fecha_fs]]&gt;0,TEXT(DATA[[#This Row],[fecha_fs]],"Mmmm"),0)</f>
        <v>Marzo</v>
      </c>
      <c r="AT349" s="22" t="str">
        <f>DATA[[#This Row],[SERIE2]]&amp;"-"&amp;DATA[[#This Row],[NUMERO]]</f>
        <v>FF01-2</v>
      </c>
      <c r="AU349" s="28">
        <f>DATA[[#This Row],[TOTAL]]*DATA[[#This Row],[T.C.]]</f>
        <v>464.09</v>
      </c>
      <c r="AV349" s="6">
        <f>DATA[[#This Row],[FECHA DE VAL.]]</f>
        <v>45743</v>
      </c>
      <c r="AW349" s="6">
        <f>DATA[[#This Row],[FECHA DE EMISION]]</f>
        <v>45744</v>
      </c>
      <c r="AX349" s="6">
        <f>DATA[[#This Row],[F1]]</f>
        <v>0</v>
      </c>
      <c r="AY349" s="20">
        <f>IF(AV349-DATA[[#This Row],[fecha_fs]]&lt;0,0,AV349-DATA[[#This Row],[fecha_fs]])</f>
        <v>15</v>
      </c>
      <c r="AZ349" s="20">
        <f t="shared" si="37"/>
        <v>1</v>
      </c>
      <c r="BA349" s="20">
        <f t="shared" si="38"/>
        <v>0</v>
      </c>
      <c r="BB349" s="195">
        <f>IFERROR(SUM(DATA[[#This Row],[fs_val_ttf]:[fact_pago_ttf]]),0)</f>
        <v>16</v>
      </c>
      <c r="BC349" s="185">
        <v>45742</v>
      </c>
      <c r="BD349" s="185">
        <v>45751</v>
      </c>
      <c r="BE349" s="185">
        <v>45757</v>
      </c>
      <c r="BF349" s="185">
        <v>45758</v>
      </c>
      <c r="BG349" s="20">
        <f>IFERROR(IF(BC349-DATA[[#This Row],[fecha_fs]]&lt;0,0,BC349-DATA[[#This Row],[fecha_fs]]),0)</f>
        <v>14</v>
      </c>
      <c r="BH349" s="20">
        <f t="shared" si="39"/>
        <v>9</v>
      </c>
      <c r="BI349" s="20">
        <f t="shared" si="40"/>
        <v>6</v>
      </c>
      <c r="BJ349" s="20">
        <f t="shared" si="41"/>
        <v>1</v>
      </c>
      <c r="BK349" s="218">
        <f>IFERROR(SUM(DATA[[#This Row],[fs_fd_ttd]:[fend_fenf_ttd]]),0)</f>
        <v>30</v>
      </c>
      <c r="BL349" s="20" t="str">
        <f>IF(DATA[[#This Row],[fecha_fs]]&gt;0,TEXT(DATA[[#This Row],[fecha_fs]],"YYYY"),0)</f>
        <v>2025</v>
      </c>
      <c r="BM349" s="221" t="b">
        <v>1</v>
      </c>
      <c r="BN349" s="278">
        <f>COUNTIF(DATA[[#This Row],[tiempo_td]], "&lt;=15")</f>
        <v>0</v>
      </c>
      <c r="BO349" s="222"/>
    </row>
    <row r="350" spans="1:67" ht="30.6" customHeight="1" x14ac:dyDescent="0.25">
      <c r="A350" s="4">
        <v>20454186002</v>
      </c>
      <c r="B350" s="5" t="s">
        <v>25</v>
      </c>
      <c r="C350" s="52" t="s">
        <v>18</v>
      </c>
      <c r="D350" s="4" t="s">
        <v>120</v>
      </c>
      <c r="E350" s="5" t="s">
        <v>3</v>
      </c>
      <c r="F350" s="24">
        <v>45728</v>
      </c>
      <c r="G350" s="7" t="s">
        <v>113</v>
      </c>
      <c r="H350" s="25">
        <f t="shared" si="36"/>
        <v>1</v>
      </c>
      <c r="I350" s="67">
        <v>4230</v>
      </c>
      <c r="J350" s="8" t="s">
        <v>115</v>
      </c>
      <c r="K350" s="9" t="s">
        <v>121</v>
      </c>
      <c r="L350" s="10" t="s">
        <v>117</v>
      </c>
      <c r="M350" s="11">
        <v>4120</v>
      </c>
      <c r="N350" s="12" t="s">
        <v>164</v>
      </c>
      <c r="O350" s="6">
        <v>45730</v>
      </c>
      <c r="P350" s="13">
        <v>3340</v>
      </c>
      <c r="Q350" s="14" t="s">
        <v>85</v>
      </c>
      <c r="R350" s="15">
        <f>1485.02+((DATA[[#This Row],[cantidad_fs]]-3000)*0.49)</f>
        <v>2033.82</v>
      </c>
      <c r="S350" s="15"/>
      <c r="T350" s="15">
        <f>DATA[[#This Row],[C. DF]]+DATA[[#This Row],[C.OPE.]]</f>
        <v>2033.82</v>
      </c>
      <c r="U350" s="15">
        <f>DATA[[#This Row],[SUB TOTAL]]*0.18</f>
        <v>366.08759999999995</v>
      </c>
      <c r="V350" s="15">
        <f>IFERROR(ROUND(DATA[[#This Row],[SUB TOTAL]]+DATA[[#This Row],[IGV]],2),0)</f>
        <v>2399.91</v>
      </c>
      <c r="W350" s="16" t="str">
        <f>IF(DATA[[#This Row],[VALORIZACIÓN ]]="-","NO CORRESPONDE",IF(OR(A350=20558226979,A350=10470707866,A350=20111157058,A350=20100226902),"NO CORRESPONDE",IF(J350="Emitida",IF(P350&gt;0,"EMITIDA","PENDIENTE"),"NO CORRESPONDE")))</f>
        <v>EMITIDA</v>
      </c>
      <c r="X350" s="29"/>
      <c r="Y350" s="17" t="s">
        <v>118</v>
      </c>
      <c r="Z350" s="30">
        <v>45736</v>
      </c>
      <c r="AA350" s="10" t="s">
        <v>119</v>
      </c>
      <c r="AB350" s="19">
        <v>35</v>
      </c>
      <c r="AC350" s="20">
        <v>7</v>
      </c>
      <c r="AD350" s="18">
        <f>DATA[[#This Row],[FECHA DE EMISION]]+DATA[[#This Row],[CONDICION DE PAGO]]</f>
        <v>45743</v>
      </c>
      <c r="AE350" s="23">
        <f>IF(DATA[[#This Row],[MONEDA]]="USD",VLOOKUP(DATA[[#This Row],[COMBINADA]],#REF!,11,0),1)</f>
        <v>1</v>
      </c>
      <c r="AF350" s="39" t="str">
        <f>IF(DATA[[#This Row],[SERIE2]]="-","NO CORRESPONDE",IF(W350="NO CORRESPONDE","NO CORRESPONDE",IF(Z350&gt;0,"FACTURADO","PENDIENTE")))</f>
        <v>FACTURADO</v>
      </c>
      <c r="AG350" s="27">
        <f>IFERROR(VLOOKUP(DATA[[#This Row],[COMBINADA]],#REF!,6,0),0)</f>
        <v>0</v>
      </c>
      <c r="AH350" s="125">
        <f>IFERROR(VLOOKUP(DATA[[#This Row],[COMBINADA]],#REF!,9,0),0)/COUNTIFS(DATA[COMBINADA],DATA[[#This Row],[COMBINADA]])</f>
        <v>0</v>
      </c>
      <c r="AI350" s="27">
        <f>IFERROR(VLOOKUP(DATA[[#This Row],[COMBINADA]],#REF!,6,0),0)</f>
        <v>0</v>
      </c>
      <c r="AJ350" s="125">
        <f>IFERROR(VLOOKUP(DATA[[#This Row],[COMBINADA]],#REF!,9,0),0)/COUNTIFS(DATA[COMBINADA],DATA[[#This Row],[COMBINADA]])</f>
        <v>0</v>
      </c>
      <c r="AK350" s="27">
        <f>IFERROR(VLOOKUP(DATA[[#This Row],[COMBINADA]],#REF!,6,0),0)</f>
        <v>0</v>
      </c>
      <c r="AL350" s="125">
        <f>IFERROR(VLOOKUP(DATA[[#This Row],[COMBINADA]],#REF!,9,0),0)/COUNTIFS(DATA[COMBINADA],DATA[[#This Row],[COMBINADA]])</f>
        <v>0</v>
      </c>
      <c r="AM350" s="27">
        <f>IFERROR(VLOOKUP(DATA[[#This Row],[COMBINADA]],#REF!,6,0),0)</f>
        <v>0</v>
      </c>
      <c r="AN350" s="125">
        <f>IFERROR(VLOOKUP(DATA[[#This Row],[COMBINADA]],#REF!,9,0),0)/COUNTIFS(DATA[COMBINADA],DATA[[#This Row],[COMBINADA]])</f>
        <v>0</v>
      </c>
      <c r="AO350" s="27">
        <f>IFERROR(VLOOKUP(DATA[[#This Row],[COMBINADA]],#REF!,6,0),0)</f>
        <v>0</v>
      </c>
      <c r="AP350" s="125">
        <f>IFERROR(VLOOKUP(DATA[[#This Row],[COMBINADA]],#REF!,9,0),0)/COUNTIFS(DATA[COMBINADA],DATA[[#This Row],[COMBINADA]])</f>
        <v>0</v>
      </c>
      <c r="AQ35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2399.91</v>
      </c>
      <c r="AR350" s="26" t="str">
        <f>IFERROR(IF(DATA[[#This Row],[estado_fact]]="FACTURADO",VLOOKUP(DATA[[#This Row],[SERIE2]]&amp;"-"&amp;DATA[[#This Row],[NUMERO]],#REF!,34,0),"NO CORRESPONDE"),"NO CORRESPONDE")</f>
        <v>NO CORRESPONDE</v>
      </c>
      <c r="AS350" s="22" t="str">
        <f>IF(DATA[[#This Row],[fecha_fs]]&gt;0,TEXT(DATA[[#This Row],[fecha_fs]],"Mmmm"),0)</f>
        <v>Marzo</v>
      </c>
      <c r="AT350" s="22" t="str">
        <f>DATA[[#This Row],[SERIE2]]&amp;"-"&amp;DATA[[#This Row],[NUMERO]]</f>
        <v>E001-35</v>
      </c>
      <c r="AU350" s="28">
        <f>DATA[[#This Row],[TOTAL]]*DATA[[#This Row],[T.C.]]</f>
        <v>2399.91</v>
      </c>
      <c r="AV350" s="6">
        <f>DATA[[#This Row],[FECHA DE VAL.]]</f>
        <v>45730</v>
      </c>
      <c r="AW350" s="6">
        <f>DATA[[#This Row],[FECHA DE EMISION]]</f>
        <v>45736</v>
      </c>
      <c r="AX350" s="6">
        <f>DATA[[#This Row],[F1]]</f>
        <v>0</v>
      </c>
      <c r="AY350" s="20">
        <f>IF(AV350-DATA[[#This Row],[fecha_fs]]&lt;0,0,AV350-DATA[[#This Row],[fecha_fs]])</f>
        <v>2</v>
      </c>
      <c r="AZ350" s="20">
        <f t="shared" si="37"/>
        <v>6</v>
      </c>
      <c r="BA350" s="20">
        <f t="shared" si="38"/>
        <v>0</v>
      </c>
      <c r="BB350" s="195">
        <f>IFERROR(SUM(DATA[[#This Row],[fs_val_ttf]:[fact_pago_ttf]]),0)</f>
        <v>8</v>
      </c>
      <c r="BC350" s="185">
        <v>45728</v>
      </c>
      <c r="BD350" s="185">
        <v>45730</v>
      </c>
      <c r="BE350" s="185">
        <v>45748</v>
      </c>
      <c r="BF350" s="185">
        <v>45748</v>
      </c>
      <c r="BG350" s="20">
        <f>IFERROR(IF(BC350-DATA[[#This Row],[fecha_fs]]&lt;0,0,BC350-DATA[[#This Row],[fecha_fs]]),0)</f>
        <v>0</v>
      </c>
      <c r="BH350" s="20">
        <f t="shared" si="39"/>
        <v>2</v>
      </c>
      <c r="BI350" s="20">
        <f t="shared" si="40"/>
        <v>18</v>
      </c>
      <c r="BJ350" s="20">
        <f t="shared" si="41"/>
        <v>0</v>
      </c>
      <c r="BK350" s="218">
        <f>IFERROR(SUM(DATA[[#This Row],[fs_fd_ttd]:[fend_fenf_ttd]]),0)</f>
        <v>20</v>
      </c>
      <c r="BL350" s="20" t="str">
        <f>IF(DATA[[#This Row],[fecha_fs]]&gt;0,TEXT(DATA[[#This Row],[fecha_fs]],"YYYY"),0)</f>
        <v>2025</v>
      </c>
      <c r="BM350" s="221" t="b">
        <v>0</v>
      </c>
      <c r="BN350" s="278">
        <f>COUNTIF(DATA[[#This Row],[tiempo_td]], "&lt;=15")</f>
        <v>0</v>
      </c>
      <c r="BO350" s="222"/>
    </row>
    <row r="351" spans="1:67" ht="30.6" customHeight="1" x14ac:dyDescent="0.25">
      <c r="A351" s="4">
        <v>20100192064</v>
      </c>
      <c r="B351" s="5" t="s">
        <v>60</v>
      </c>
      <c r="C351" s="52" t="s">
        <v>43</v>
      </c>
      <c r="D351" s="4" t="s">
        <v>112</v>
      </c>
      <c r="E351" s="5" t="s">
        <v>1</v>
      </c>
      <c r="F351" s="24">
        <v>45728</v>
      </c>
      <c r="G351" s="7" t="s">
        <v>113</v>
      </c>
      <c r="H351" s="25">
        <f t="shared" si="36"/>
        <v>1</v>
      </c>
      <c r="I351" s="67">
        <v>4231</v>
      </c>
      <c r="J351" s="8" t="s">
        <v>115</v>
      </c>
      <c r="K351" s="9" t="s">
        <v>116</v>
      </c>
      <c r="L351" s="10" t="s">
        <v>117</v>
      </c>
      <c r="M351" s="11">
        <v>1030</v>
      </c>
      <c r="N351" s="12" t="s">
        <v>129</v>
      </c>
      <c r="O351" s="6">
        <v>45742</v>
      </c>
      <c r="P351" s="71">
        <v>3353</v>
      </c>
      <c r="Q351" s="14" t="s">
        <v>123</v>
      </c>
      <c r="R351" s="15">
        <f>(DATA[[#This Row],[cantidad_fs]]/1000)*(143+175.34)</f>
        <v>327.89020000000005</v>
      </c>
      <c r="S351" s="15">
        <v>137</v>
      </c>
      <c r="T351" s="15">
        <f>DATA[[#This Row],[C. DF]]+DATA[[#This Row],[C.OPE.]]</f>
        <v>464.89020000000005</v>
      </c>
      <c r="U351" s="15">
        <f>DATA[[#This Row],[SUB TOTAL]]*0.18</f>
        <v>83.680236000000008</v>
      </c>
      <c r="V351" s="15">
        <f>IFERROR(ROUND(DATA[[#This Row],[SUB TOTAL]]+DATA[[#This Row],[IGV]],2),0)</f>
        <v>548.57000000000005</v>
      </c>
      <c r="W351" s="16" t="str">
        <f>IF(DATA[[#This Row],[VALORIZACIÓN ]]="-","NO CORRESPONDE",IF(OR(A351=20558226979,A351=10470707866,A351=20111157058,A351=20100226902),"NO CORRESPONDE",IF(J351="Emitida",IF(P351&gt;0,"EMITIDA","PENDIENTE"),"NO CORRESPONDE")))</f>
        <v>EMITIDA</v>
      </c>
      <c r="X351" s="29" t="s">
        <v>212</v>
      </c>
      <c r="Y351" s="17" t="s">
        <v>118</v>
      </c>
      <c r="Z351" s="30">
        <v>45743</v>
      </c>
      <c r="AA351" s="10" t="s">
        <v>150</v>
      </c>
      <c r="AB351" s="19">
        <v>1</v>
      </c>
      <c r="AC351" s="20">
        <v>30</v>
      </c>
      <c r="AD351" s="18">
        <f>DATA[[#This Row],[FECHA DE EMISION]]+DATA[[#This Row],[CONDICION DE PAGO]]</f>
        <v>45773</v>
      </c>
      <c r="AE351" s="23" t="e">
        <f>IF(DATA[[#This Row],[MONEDA]]="USD",VLOOKUP(DATA[[#This Row],[COMBINADA]],#REF!,11,0),1)</f>
        <v>#REF!</v>
      </c>
      <c r="AF351" s="39" t="str">
        <f>IF(DATA[[#This Row],[SERIE2]]="-","NO CORRESPONDE",IF(W351="NO CORRESPONDE","NO CORRESPONDE",IF(Z351&gt;0,"FACTURADO","PENDIENTE")))</f>
        <v>FACTURADO</v>
      </c>
      <c r="AG351" s="27">
        <f>IFERROR(VLOOKUP(DATA[[#This Row],[COMBINADA]],#REF!,6,0),0)</f>
        <v>0</v>
      </c>
      <c r="AH351" s="125">
        <f>IFERROR(VLOOKUP(DATA[[#This Row],[COMBINADA]],#REF!,9,0),0)/COUNTIFS(DATA[COMBINADA],DATA[[#This Row],[COMBINADA]])</f>
        <v>0</v>
      </c>
      <c r="AI351" s="27">
        <f>IFERROR(VLOOKUP(DATA[[#This Row],[COMBINADA]],#REF!,6,0),0)</f>
        <v>0</v>
      </c>
      <c r="AJ351" s="125">
        <f>IFERROR(VLOOKUP(DATA[[#This Row],[COMBINADA]],#REF!,9,0),0)/COUNTIFS(DATA[COMBINADA],DATA[[#This Row],[COMBINADA]])</f>
        <v>0</v>
      </c>
      <c r="AK351" s="27">
        <f>IFERROR(VLOOKUP(DATA[[#This Row],[COMBINADA]],#REF!,6,0),0)</f>
        <v>0</v>
      </c>
      <c r="AL351" s="125">
        <f>IFERROR(VLOOKUP(DATA[[#This Row],[COMBINADA]],#REF!,9,0),0)/COUNTIFS(DATA[COMBINADA],DATA[[#This Row],[COMBINADA]])</f>
        <v>0</v>
      </c>
      <c r="AM351" s="27">
        <f>IFERROR(VLOOKUP(DATA[[#This Row],[COMBINADA]],#REF!,6,0),0)</f>
        <v>0</v>
      </c>
      <c r="AN351" s="125">
        <f>IFERROR(VLOOKUP(DATA[[#This Row],[COMBINADA]],#REF!,9,0),0)/COUNTIFS(DATA[COMBINADA],DATA[[#This Row],[COMBINADA]])</f>
        <v>0</v>
      </c>
      <c r="AO351" s="27">
        <f>IFERROR(VLOOKUP(DATA[[#This Row],[COMBINADA]],#REF!,6,0),0)</f>
        <v>0</v>
      </c>
      <c r="AP351" s="125">
        <f>IFERROR(VLOOKUP(DATA[[#This Row],[COMBINADA]],#REF!,9,0),0)/COUNTIFS(DATA[COMBINADA],DATA[[#This Row],[COMBINADA]])</f>
        <v>0</v>
      </c>
      <c r="AQ35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604.21249999999986</v>
      </c>
      <c r="AR351" s="26" t="str">
        <f>IFERROR(IF(DATA[[#This Row],[estado_fact]]="FACTURADO",VLOOKUP(DATA[[#This Row],[SERIE2]]&amp;"-"&amp;DATA[[#This Row],[NUMERO]],#REF!,34,0),"NO CORRESPONDE"),"NO CORRESPONDE")</f>
        <v>NO CORRESPONDE</v>
      </c>
      <c r="AS351" s="22" t="str">
        <f>IF(DATA[[#This Row],[fecha_fs]]&gt;0,TEXT(DATA[[#This Row],[fecha_fs]],"Mmmm"),0)</f>
        <v>Marzo</v>
      </c>
      <c r="AT351" s="22" t="str">
        <f>DATA[[#This Row],[SERIE2]]&amp;"-"&amp;DATA[[#This Row],[NUMERO]]</f>
        <v>FF01-1</v>
      </c>
      <c r="AU351" s="28" t="e">
        <f>DATA[[#This Row],[TOTAL]]*DATA[[#This Row],[T.C.]]</f>
        <v>#REF!</v>
      </c>
      <c r="AV351" s="6">
        <f>DATA[[#This Row],[FECHA DE VAL.]]</f>
        <v>45742</v>
      </c>
      <c r="AW351" s="6">
        <f>DATA[[#This Row],[FECHA DE EMISION]]</f>
        <v>45743</v>
      </c>
      <c r="AX351" s="6">
        <f>DATA[[#This Row],[F1]]</f>
        <v>0</v>
      </c>
      <c r="AY351" s="20">
        <f>IF(AV351-DATA[[#This Row],[fecha_fs]]&lt;0,0,AV351-DATA[[#This Row],[fecha_fs]])</f>
        <v>14</v>
      </c>
      <c r="AZ351" s="20">
        <f t="shared" si="37"/>
        <v>1</v>
      </c>
      <c r="BA351" s="20">
        <f t="shared" si="38"/>
        <v>0</v>
      </c>
      <c r="BB351" s="195">
        <f>IFERROR(SUM(DATA[[#This Row],[fs_val_ttf]:[fact_pago_ttf]]),0)</f>
        <v>15</v>
      </c>
      <c r="BC351" s="187">
        <v>45740</v>
      </c>
      <c r="BD351" s="187">
        <v>45749</v>
      </c>
      <c r="BE351" s="187">
        <v>45784</v>
      </c>
      <c r="BF351" s="185">
        <v>45798</v>
      </c>
      <c r="BG351" s="20">
        <f>IFERROR(IF(BC351-DATA[[#This Row],[fecha_fs]]&lt;0,0,BC351-DATA[[#This Row],[fecha_fs]]),0)</f>
        <v>12</v>
      </c>
      <c r="BH351" s="20">
        <f t="shared" si="39"/>
        <v>9</v>
      </c>
      <c r="BI351" s="20">
        <f t="shared" si="40"/>
        <v>35</v>
      </c>
      <c r="BJ351" s="20">
        <f t="shared" si="41"/>
        <v>14</v>
      </c>
      <c r="BK351" s="218">
        <f>IFERROR(SUM(DATA[[#This Row],[fs_fd_ttd]:[fend_fenf_ttd]]),0)</f>
        <v>70</v>
      </c>
      <c r="BL351" s="20" t="str">
        <f>IF(DATA[[#This Row],[fecha_fs]]&gt;0,TEXT(DATA[[#This Row],[fecha_fs]],"YYYY"),0)</f>
        <v>2025</v>
      </c>
      <c r="BM351" s="221" t="b">
        <v>1</v>
      </c>
      <c r="BN351" s="278">
        <f>COUNTIF(DATA[[#This Row],[tiempo_td]], "&lt;=15")</f>
        <v>0</v>
      </c>
      <c r="BO351" s="222"/>
    </row>
    <row r="352" spans="1:67" ht="30.6" customHeight="1" x14ac:dyDescent="0.25">
      <c r="A352" s="4">
        <v>20100192064</v>
      </c>
      <c r="B352" s="5" t="s">
        <v>60</v>
      </c>
      <c r="C352" s="52" t="s">
        <v>65</v>
      </c>
      <c r="D352" s="4" t="s">
        <v>112</v>
      </c>
      <c r="E352" s="5" t="s">
        <v>1</v>
      </c>
      <c r="F352" s="24">
        <v>45728</v>
      </c>
      <c r="G352" s="7" t="s">
        <v>142</v>
      </c>
      <c r="H352" s="25">
        <f t="shared" si="36"/>
        <v>2</v>
      </c>
      <c r="I352" s="67">
        <v>1059</v>
      </c>
      <c r="J352" s="8" t="s">
        <v>115</v>
      </c>
      <c r="K352" s="9" t="s">
        <v>116</v>
      </c>
      <c r="L352" s="10" t="s">
        <v>117</v>
      </c>
      <c r="M352" s="11">
        <v>2780</v>
      </c>
      <c r="N352" s="12" t="s">
        <v>180</v>
      </c>
      <c r="O352" s="6">
        <v>45742</v>
      </c>
      <c r="P352" s="71">
        <v>3359</v>
      </c>
      <c r="Q352" s="14" t="s">
        <v>123</v>
      </c>
      <c r="R352" s="15">
        <f>(DATA[[#This Row],[cantidad_fs]]/1000)*(147+81.01)</f>
        <v>633.86779999999987</v>
      </c>
      <c r="S352" s="15">
        <v>103.6</v>
      </c>
      <c r="T352" s="15">
        <f>DATA[[#This Row],[C. DF]]+DATA[[#This Row],[C.OPE.]]</f>
        <v>737.4677999999999</v>
      </c>
      <c r="U352" s="15">
        <f>DATA[[#This Row],[SUB TOTAL]]*0.18</f>
        <v>132.74420399999997</v>
      </c>
      <c r="V352" s="15">
        <f>IFERROR(ROUND(DATA[[#This Row],[SUB TOTAL]]+DATA[[#This Row],[IGV]],2),0)</f>
        <v>870.21</v>
      </c>
      <c r="W352" s="16" t="str">
        <f>IF(DATA[[#This Row],[VALORIZACIÓN ]]="-","NO CORRESPONDE",IF(OR(A352=20558226979,A352=10470707866,A352=20111157058,A352=20100226902),"NO CORRESPONDE",IF(J352="Emitida",IF(P352&gt;0,"EMITIDA","PENDIENTE"),"NO CORRESPONDE")))</f>
        <v>EMITIDA</v>
      </c>
      <c r="X352" s="29" t="s">
        <v>212</v>
      </c>
      <c r="Y352" s="17" t="s">
        <v>118</v>
      </c>
      <c r="Z352" s="30">
        <v>45747</v>
      </c>
      <c r="AA352" s="10" t="s">
        <v>150</v>
      </c>
      <c r="AB352" s="19">
        <v>9</v>
      </c>
      <c r="AC352" s="20">
        <v>30</v>
      </c>
      <c r="AD352" s="18">
        <f>DATA[[#This Row],[FECHA DE EMISION]]+DATA[[#This Row],[CONDICION DE PAGO]]</f>
        <v>45777</v>
      </c>
      <c r="AE352" s="23" t="e">
        <f>IF(DATA[[#This Row],[MONEDA]]="USD",VLOOKUP(DATA[[#This Row],[COMBINADA]],#REF!,11,0),1)</f>
        <v>#REF!</v>
      </c>
      <c r="AF352" s="39" t="str">
        <f>IF(DATA[[#This Row],[SERIE2]]="-","NO CORRESPONDE",IF(W352="NO CORRESPONDE","NO CORRESPONDE",IF(Z352&gt;0,"FACTURADO","PENDIENTE")))</f>
        <v>FACTURADO</v>
      </c>
      <c r="AG352" s="27">
        <f>IFERROR(VLOOKUP(DATA[[#This Row],[COMBINADA]],#REF!,6,0),0)</f>
        <v>0</v>
      </c>
      <c r="AH352" s="125">
        <f>IFERROR(VLOOKUP(DATA[[#This Row],[COMBINADA]],#REF!,9,0),0)/COUNTIFS(DATA[COMBINADA],DATA[[#This Row],[COMBINADA]])</f>
        <v>0</v>
      </c>
      <c r="AI352" s="27">
        <f>IFERROR(VLOOKUP(DATA[[#This Row],[COMBINADA]],#REF!,6,0),0)</f>
        <v>0</v>
      </c>
      <c r="AJ352" s="125">
        <f>IFERROR(VLOOKUP(DATA[[#This Row],[COMBINADA]],#REF!,9,0),0)/COUNTIFS(DATA[COMBINADA],DATA[[#This Row],[COMBINADA]])</f>
        <v>0</v>
      </c>
      <c r="AK352" s="27">
        <f>IFERROR(VLOOKUP(DATA[[#This Row],[COMBINADA]],#REF!,6,0),0)</f>
        <v>0</v>
      </c>
      <c r="AL352" s="125">
        <f>IFERROR(VLOOKUP(DATA[[#This Row],[COMBINADA]],#REF!,9,0),0)/COUNTIFS(DATA[COMBINADA],DATA[[#This Row],[COMBINADA]])</f>
        <v>0</v>
      </c>
      <c r="AM352" s="27">
        <f>IFERROR(VLOOKUP(DATA[[#This Row],[COMBINADA]],#REF!,6,0),0)</f>
        <v>0</v>
      </c>
      <c r="AN352" s="125">
        <f>IFERROR(VLOOKUP(DATA[[#This Row],[COMBINADA]],#REF!,9,0),0)/COUNTIFS(DATA[COMBINADA],DATA[[#This Row],[COMBINADA]])</f>
        <v>0</v>
      </c>
      <c r="AO352" s="27">
        <f>IFERROR(VLOOKUP(DATA[[#This Row],[COMBINADA]],#REF!,6,0),0)</f>
        <v>0</v>
      </c>
      <c r="AP352" s="125">
        <f>IFERROR(VLOOKUP(DATA[[#This Row],[COMBINADA]],#REF!,9,0),0)/COUNTIFS(DATA[COMBINADA],DATA[[#This Row],[COMBINADA]])</f>
        <v>0</v>
      </c>
      <c r="AQ35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507.60428571428571</v>
      </c>
      <c r="AR352" s="26" t="str">
        <f>IFERROR(IF(DATA[[#This Row],[estado_fact]]="FACTURADO",VLOOKUP(DATA[[#This Row],[SERIE2]]&amp;"-"&amp;DATA[[#This Row],[NUMERO]],#REF!,34,0),"NO CORRESPONDE"),"NO CORRESPONDE")</f>
        <v>NO CORRESPONDE</v>
      </c>
      <c r="AS352" s="22" t="str">
        <f>IF(DATA[[#This Row],[fecha_fs]]&gt;0,TEXT(DATA[[#This Row],[fecha_fs]],"Mmmm"),0)</f>
        <v>Marzo</v>
      </c>
      <c r="AT352" s="22" t="str">
        <f>DATA[[#This Row],[SERIE2]]&amp;"-"&amp;DATA[[#This Row],[NUMERO]]</f>
        <v>FF01-9</v>
      </c>
      <c r="AU352" s="28" t="e">
        <f>DATA[[#This Row],[TOTAL]]*DATA[[#This Row],[T.C.]]</f>
        <v>#REF!</v>
      </c>
      <c r="AV352" s="6">
        <f>DATA[[#This Row],[FECHA DE VAL.]]</f>
        <v>45742</v>
      </c>
      <c r="AW352" s="6">
        <f>DATA[[#This Row],[FECHA DE EMISION]]</f>
        <v>45747</v>
      </c>
      <c r="AX352" s="6">
        <f>DATA[[#This Row],[F1]]</f>
        <v>0</v>
      </c>
      <c r="AY352" s="20">
        <f>IF(AV352-DATA[[#This Row],[fecha_fs]]&lt;0,0,AV352-DATA[[#This Row],[fecha_fs]])</f>
        <v>14</v>
      </c>
      <c r="AZ352" s="20">
        <f t="shared" si="37"/>
        <v>5</v>
      </c>
      <c r="BA352" s="20">
        <f t="shared" si="38"/>
        <v>0</v>
      </c>
      <c r="BB352" s="195">
        <f>IFERROR(SUM(DATA[[#This Row],[fs_val_ttf]:[fact_pago_ttf]]),0)</f>
        <v>19</v>
      </c>
      <c r="BC352" s="185">
        <v>45728</v>
      </c>
      <c r="BD352" s="185">
        <v>45734</v>
      </c>
      <c r="BE352" s="185">
        <v>45772</v>
      </c>
      <c r="BF352" s="185">
        <v>45798</v>
      </c>
      <c r="BG352" s="20">
        <f>IFERROR(IF(BC352-DATA[[#This Row],[fecha_fs]]&lt;0,0,BC352-DATA[[#This Row],[fecha_fs]]),0)</f>
        <v>0</v>
      </c>
      <c r="BH352" s="20">
        <f t="shared" si="39"/>
        <v>6</v>
      </c>
      <c r="BI352" s="20">
        <f t="shared" si="40"/>
        <v>38</v>
      </c>
      <c r="BJ352" s="20">
        <f t="shared" si="41"/>
        <v>26</v>
      </c>
      <c r="BK352" s="218">
        <f>IFERROR(SUM(DATA[[#This Row],[fs_fd_ttd]:[fend_fenf_ttd]]),0)</f>
        <v>70</v>
      </c>
      <c r="BL352" s="20" t="str">
        <f>IF(DATA[[#This Row],[fecha_fs]]&gt;0,TEXT(DATA[[#This Row],[fecha_fs]],"YYYY"),0)</f>
        <v>2025</v>
      </c>
      <c r="BM352" s="221" t="b">
        <v>1</v>
      </c>
      <c r="BN352" s="278">
        <f>COUNTIF(DATA[[#This Row],[tiempo_td]], "&lt;=15")</f>
        <v>0</v>
      </c>
      <c r="BO352" s="222"/>
    </row>
    <row r="353" spans="1:67" ht="30.6" customHeight="1" x14ac:dyDescent="0.25">
      <c r="A353" s="4">
        <v>20100192064</v>
      </c>
      <c r="B353" s="5" t="s">
        <v>60</v>
      </c>
      <c r="C353" s="52" t="s">
        <v>65</v>
      </c>
      <c r="D353" s="4" t="s">
        <v>120</v>
      </c>
      <c r="E353" s="5" t="s">
        <v>3</v>
      </c>
      <c r="F353" s="24">
        <v>45729</v>
      </c>
      <c r="G353" s="7" t="s">
        <v>142</v>
      </c>
      <c r="H353" s="25">
        <f t="shared" si="36"/>
        <v>2</v>
      </c>
      <c r="I353" s="67">
        <v>1060</v>
      </c>
      <c r="J353" s="8" t="s">
        <v>115</v>
      </c>
      <c r="K353" s="9" t="s">
        <v>121</v>
      </c>
      <c r="L353" s="10" t="s">
        <v>117</v>
      </c>
      <c r="M353" s="11">
        <v>560</v>
      </c>
      <c r="N353" s="12" t="s">
        <v>143</v>
      </c>
      <c r="O353" s="6">
        <v>45742</v>
      </c>
      <c r="P353" s="71">
        <v>3358</v>
      </c>
      <c r="Q353" s="14" t="s">
        <v>123</v>
      </c>
      <c r="R353" s="15">
        <f>(DATA[[#This Row],[cantidad_fs]]/1000)*(37+81.01)</f>
        <v>66.085600000000014</v>
      </c>
      <c r="S353" s="15">
        <v>103.6</v>
      </c>
      <c r="T353" s="15">
        <f>DATA[[#This Row],[C. DF]]+DATA[[#This Row],[C.OPE.]]</f>
        <v>169.68560000000002</v>
      </c>
      <c r="U353" s="15">
        <f>DATA[[#This Row],[SUB TOTAL]]*0.18</f>
        <v>30.543408000000003</v>
      </c>
      <c r="V353" s="15">
        <f>IFERROR(ROUND(DATA[[#This Row],[SUB TOTAL]]+DATA[[#This Row],[IGV]],2),0)</f>
        <v>200.23</v>
      </c>
      <c r="W353" s="16" t="str">
        <f>IF(DATA[[#This Row],[VALORIZACIÓN ]]="-","NO CORRESPONDE",IF(OR(A353=20558226979,A353=10470707866,A353=20111157058,A353=20100226902),"NO CORRESPONDE",IF(J353="Emitida",IF(P353&gt;0,"EMITIDA","PENDIENTE"),"NO CORRESPONDE")))</f>
        <v>EMITIDA</v>
      </c>
      <c r="X353" s="29" t="s">
        <v>212</v>
      </c>
      <c r="Y353" s="17" t="s">
        <v>118</v>
      </c>
      <c r="Z353" s="30">
        <v>45747</v>
      </c>
      <c r="AA353" s="10" t="s">
        <v>150</v>
      </c>
      <c r="AB353" s="19">
        <v>9</v>
      </c>
      <c r="AC353" s="20">
        <v>30</v>
      </c>
      <c r="AD353" s="18">
        <f>DATA[[#This Row],[FECHA DE EMISION]]+DATA[[#This Row],[CONDICION DE PAGO]]</f>
        <v>45777</v>
      </c>
      <c r="AE353" s="23" t="e">
        <f>IF(DATA[[#This Row],[MONEDA]]="USD",VLOOKUP(DATA[[#This Row],[COMBINADA]],#REF!,11,0),1)</f>
        <v>#REF!</v>
      </c>
      <c r="AF353" s="39" t="str">
        <f>IF(DATA[[#This Row],[SERIE2]]="-","NO CORRESPONDE",IF(W353="NO CORRESPONDE","NO CORRESPONDE",IF(Z353&gt;0,"FACTURADO","PENDIENTE")))</f>
        <v>FACTURADO</v>
      </c>
      <c r="AG353" s="27">
        <f>IFERROR(VLOOKUP(DATA[[#This Row],[COMBINADA]],#REF!,6,0),0)</f>
        <v>0</v>
      </c>
      <c r="AH353" s="125">
        <f>IFERROR(VLOOKUP(DATA[[#This Row],[COMBINADA]],#REF!,9,0),0)/COUNTIFS(DATA[COMBINADA],DATA[[#This Row],[COMBINADA]])</f>
        <v>0</v>
      </c>
      <c r="AI353" s="27">
        <f>IFERROR(VLOOKUP(DATA[[#This Row],[COMBINADA]],#REF!,6,0),0)</f>
        <v>0</v>
      </c>
      <c r="AJ353" s="125">
        <f>IFERROR(VLOOKUP(DATA[[#This Row],[COMBINADA]],#REF!,9,0),0)/COUNTIFS(DATA[COMBINADA],DATA[[#This Row],[COMBINADA]])</f>
        <v>0</v>
      </c>
      <c r="AK353" s="27">
        <f>IFERROR(VLOOKUP(DATA[[#This Row],[COMBINADA]],#REF!,6,0),0)</f>
        <v>0</v>
      </c>
      <c r="AL353" s="125">
        <f>IFERROR(VLOOKUP(DATA[[#This Row],[COMBINADA]],#REF!,9,0),0)/COUNTIFS(DATA[COMBINADA],DATA[[#This Row],[COMBINADA]])</f>
        <v>0</v>
      </c>
      <c r="AM353" s="27">
        <f>IFERROR(VLOOKUP(DATA[[#This Row],[COMBINADA]],#REF!,6,0),0)</f>
        <v>0</v>
      </c>
      <c r="AN353" s="125">
        <f>IFERROR(VLOOKUP(DATA[[#This Row],[COMBINADA]],#REF!,9,0),0)/COUNTIFS(DATA[COMBINADA],DATA[[#This Row],[COMBINADA]])</f>
        <v>0</v>
      </c>
      <c r="AO353" s="27">
        <f>IFERROR(VLOOKUP(DATA[[#This Row],[COMBINADA]],#REF!,6,0),0)</f>
        <v>0</v>
      </c>
      <c r="AP353" s="125">
        <f>IFERROR(VLOOKUP(DATA[[#This Row],[COMBINADA]],#REF!,9,0),0)/COUNTIFS(DATA[COMBINADA],DATA[[#This Row],[COMBINADA]])</f>
        <v>0</v>
      </c>
      <c r="AQ35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507.60428571428571</v>
      </c>
      <c r="AR353" s="26" t="str">
        <f>IFERROR(IF(DATA[[#This Row],[estado_fact]]="FACTURADO",VLOOKUP(DATA[[#This Row],[SERIE2]]&amp;"-"&amp;DATA[[#This Row],[NUMERO]],#REF!,34,0),"NO CORRESPONDE"),"NO CORRESPONDE")</f>
        <v>NO CORRESPONDE</v>
      </c>
      <c r="AS353" s="22" t="str">
        <f>IF(DATA[[#This Row],[fecha_fs]]&gt;0,TEXT(DATA[[#This Row],[fecha_fs]],"Mmmm"),0)</f>
        <v>Marzo</v>
      </c>
      <c r="AT353" s="22" t="str">
        <f>DATA[[#This Row],[SERIE2]]&amp;"-"&amp;DATA[[#This Row],[NUMERO]]</f>
        <v>FF01-9</v>
      </c>
      <c r="AU353" s="28" t="e">
        <f>DATA[[#This Row],[TOTAL]]*DATA[[#This Row],[T.C.]]</f>
        <v>#REF!</v>
      </c>
      <c r="AV353" s="6">
        <f>DATA[[#This Row],[FECHA DE VAL.]]</f>
        <v>45742</v>
      </c>
      <c r="AW353" s="6">
        <f>DATA[[#This Row],[FECHA DE EMISION]]</f>
        <v>45747</v>
      </c>
      <c r="AX353" s="6">
        <f>DATA[[#This Row],[F1]]</f>
        <v>0</v>
      </c>
      <c r="AY353" s="20">
        <f>IF(AV353-DATA[[#This Row],[fecha_fs]]&lt;0,0,AV353-DATA[[#This Row],[fecha_fs]])</f>
        <v>13</v>
      </c>
      <c r="AZ353" s="20">
        <f t="shared" si="37"/>
        <v>5</v>
      </c>
      <c r="BA353" s="20">
        <f t="shared" si="38"/>
        <v>0</v>
      </c>
      <c r="BB353" s="195">
        <f>IFERROR(SUM(DATA[[#This Row],[fs_val_ttf]:[fact_pago_ttf]]),0)</f>
        <v>18</v>
      </c>
      <c r="BC353" s="185">
        <v>45729</v>
      </c>
      <c r="BD353" s="185">
        <v>45736</v>
      </c>
      <c r="BE353" s="185">
        <v>45784</v>
      </c>
      <c r="BF353" s="185">
        <v>45798</v>
      </c>
      <c r="BG353" s="20">
        <f>IFERROR(IF(BC353-DATA[[#This Row],[fecha_fs]]&lt;0,0,BC353-DATA[[#This Row],[fecha_fs]]),0)</f>
        <v>0</v>
      </c>
      <c r="BH353" s="20">
        <f t="shared" si="39"/>
        <v>7</v>
      </c>
      <c r="BI353" s="20">
        <f t="shared" si="40"/>
        <v>48</v>
      </c>
      <c r="BJ353" s="20">
        <f t="shared" si="41"/>
        <v>14</v>
      </c>
      <c r="BK353" s="218">
        <f>IFERROR(SUM(DATA[[#This Row],[fs_fd_ttd]:[fend_fenf_ttd]]),0)</f>
        <v>69</v>
      </c>
      <c r="BL353" s="20" t="str">
        <f>IF(DATA[[#This Row],[fecha_fs]]&gt;0,TEXT(DATA[[#This Row],[fecha_fs]],"YYYY"),0)</f>
        <v>2025</v>
      </c>
      <c r="BM353" s="221" t="b">
        <v>1</v>
      </c>
      <c r="BN353" s="278">
        <f>COUNTIF(DATA[[#This Row],[tiempo_td]], "&lt;=15")</f>
        <v>0</v>
      </c>
      <c r="BO353" s="222"/>
    </row>
    <row r="354" spans="1:67" ht="30.6" customHeight="1" x14ac:dyDescent="0.25">
      <c r="A354" s="4">
        <v>20100055237</v>
      </c>
      <c r="B354" s="5" t="s">
        <v>21</v>
      </c>
      <c r="C354" s="52" t="s">
        <v>138</v>
      </c>
      <c r="D354" s="4" t="s">
        <v>139</v>
      </c>
      <c r="E354" s="5" t="s">
        <v>23</v>
      </c>
      <c r="F354" s="24">
        <v>45729</v>
      </c>
      <c r="G354" s="7" t="s">
        <v>113</v>
      </c>
      <c r="H354" s="25">
        <f t="shared" si="36"/>
        <v>1</v>
      </c>
      <c r="I354" s="67">
        <v>4232</v>
      </c>
      <c r="J354" s="8" t="s">
        <v>115</v>
      </c>
      <c r="K354" s="9" t="s">
        <v>121</v>
      </c>
      <c r="L354" s="10" t="s">
        <v>117</v>
      </c>
      <c r="M354" s="11">
        <v>40</v>
      </c>
      <c r="N354" s="12" t="s">
        <v>125</v>
      </c>
      <c r="O354" s="6">
        <v>45743</v>
      </c>
      <c r="P354" s="54">
        <v>3365</v>
      </c>
      <c r="Q354" s="14" t="s">
        <v>85</v>
      </c>
      <c r="R354" s="15"/>
      <c r="S354" s="15">
        <v>297.92</v>
      </c>
      <c r="T354" s="15">
        <f>DATA[[#This Row],[C. DF]]+DATA[[#This Row],[C.OPE.]]</f>
        <v>297.92</v>
      </c>
      <c r="U354" s="15">
        <f>DATA[[#This Row],[SUB TOTAL]]*0.18</f>
        <v>53.625599999999999</v>
      </c>
      <c r="V354" s="15">
        <f>IFERROR(ROUND(DATA[[#This Row],[SUB TOTAL]]+DATA[[#This Row],[IGV]],2),0)</f>
        <v>351.55</v>
      </c>
      <c r="W354" s="16" t="str">
        <f>IF(DATA[[#This Row],[VALORIZACIÓN ]]="-","NO CORRESPONDE",IF(OR(A354=20558226979,A354=10470707866,A354=20111157058,A354=20100226902),"NO CORRESPONDE",IF(J354="Emitida",IF(P354&gt;0,"EMITIDA","PENDIENTE"),"NO CORRESPONDE")))</f>
        <v>EMITIDA</v>
      </c>
      <c r="X354" s="29"/>
      <c r="Y354" s="17" t="s">
        <v>118</v>
      </c>
      <c r="Z354" s="30">
        <v>45785</v>
      </c>
      <c r="AA354" s="10" t="s">
        <v>150</v>
      </c>
      <c r="AB354" s="19">
        <v>72</v>
      </c>
      <c r="AC354" s="20">
        <v>30</v>
      </c>
      <c r="AD354" s="18">
        <f>DATA[[#This Row],[FECHA DE EMISION]]+DATA[[#This Row],[CONDICION DE PAGO]]</f>
        <v>45815</v>
      </c>
      <c r="AE354" s="23">
        <f>IF(DATA[[#This Row],[MONEDA]]="USD",VLOOKUP(DATA[[#This Row],[COMBINADA]],#REF!,11,0),1)</f>
        <v>1</v>
      </c>
      <c r="AF354" s="39" t="str">
        <f>IF(DATA[[#This Row],[SERIE2]]="-","NO CORRESPONDE",IF(W354="NO CORRESPONDE","NO CORRESPONDE",IF(Z354&gt;0,"FACTURADO","PENDIENTE")))</f>
        <v>FACTURADO</v>
      </c>
      <c r="AG354" s="27">
        <f>IFERROR(VLOOKUP(DATA[[#This Row],[COMBINADA]],#REF!,6,0),0)</f>
        <v>0</v>
      </c>
      <c r="AH354" s="125">
        <f>IFERROR(VLOOKUP(DATA[[#This Row],[COMBINADA]],#REF!,9,0),0)/COUNTIFS(DATA[COMBINADA],DATA[[#This Row],[COMBINADA]])</f>
        <v>0</v>
      </c>
      <c r="AI354" s="27">
        <f>IFERROR(VLOOKUP(DATA[[#This Row],[COMBINADA]],#REF!,6,0),0)</f>
        <v>0</v>
      </c>
      <c r="AJ354" s="125">
        <f>IFERROR(VLOOKUP(DATA[[#This Row],[COMBINADA]],#REF!,9,0),0)/COUNTIFS(DATA[COMBINADA],DATA[[#This Row],[COMBINADA]])</f>
        <v>0</v>
      </c>
      <c r="AK354" s="27">
        <f>IFERROR(VLOOKUP(DATA[[#This Row],[COMBINADA]],#REF!,6,0),0)</f>
        <v>0</v>
      </c>
      <c r="AL354" s="125">
        <f>IFERROR(VLOOKUP(DATA[[#This Row],[COMBINADA]],#REF!,9,0),0)/COUNTIFS(DATA[COMBINADA],DATA[[#This Row],[COMBINADA]])</f>
        <v>0</v>
      </c>
      <c r="AM354" s="27">
        <f>IFERROR(VLOOKUP(DATA[[#This Row],[COMBINADA]],#REF!,6,0),0)</f>
        <v>0</v>
      </c>
      <c r="AN354" s="125">
        <f>IFERROR(VLOOKUP(DATA[[#This Row],[COMBINADA]],#REF!,9,0),0)/COUNTIFS(DATA[COMBINADA],DATA[[#This Row],[COMBINADA]])</f>
        <v>0</v>
      </c>
      <c r="AO354" s="27">
        <f>IFERROR(VLOOKUP(DATA[[#This Row],[COMBINADA]],#REF!,6,0),0)</f>
        <v>0</v>
      </c>
      <c r="AP354" s="125">
        <f>IFERROR(VLOOKUP(DATA[[#This Row],[COMBINADA]],#REF!,9,0),0)/COUNTIFS(DATA[COMBINADA],DATA[[#This Row],[COMBINADA]])</f>
        <v>0</v>
      </c>
      <c r="AQ35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354" s="26" t="str">
        <f>IFERROR(IF(DATA[[#This Row],[estado_fact]]="FACTURADO",VLOOKUP(DATA[[#This Row],[SERIE2]]&amp;"-"&amp;DATA[[#This Row],[NUMERO]],#REF!,34,0),"NO CORRESPONDE"),"NO CORRESPONDE")</f>
        <v>NO CORRESPONDE</v>
      </c>
      <c r="AS354" s="22" t="str">
        <f>IF(DATA[[#This Row],[fecha_fs]]&gt;0,TEXT(DATA[[#This Row],[fecha_fs]],"Mmmm"),0)</f>
        <v>Marzo</v>
      </c>
      <c r="AT354" s="22" t="str">
        <f>DATA[[#This Row],[SERIE2]]&amp;"-"&amp;DATA[[#This Row],[NUMERO]]</f>
        <v>FF01-72</v>
      </c>
      <c r="AU354" s="28">
        <f>DATA[[#This Row],[TOTAL]]*DATA[[#This Row],[T.C.]]</f>
        <v>351.55</v>
      </c>
      <c r="AV354" s="6">
        <f>DATA[[#This Row],[FECHA DE VAL.]]</f>
        <v>45743</v>
      </c>
      <c r="AW354" s="6">
        <f>DATA[[#This Row],[FECHA DE EMISION]]</f>
        <v>45785</v>
      </c>
      <c r="AX354" s="6">
        <f>DATA[[#This Row],[F1]]</f>
        <v>0</v>
      </c>
      <c r="AY354" s="20">
        <f>IF(AV354-DATA[[#This Row],[fecha_fs]]&lt;0,0,AV354-DATA[[#This Row],[fecha_fs]])</f>
        <v>14</v>
      </c>
      <c r="AZ354" s="20">
        <f t="shared" si="37"/>
        <v>42</v>
      </c>
      <c r="BA354" s="20">
        <f t="shared" si="38"/>
        <v>0</v>
      </c>
      <c r="BB354" s="195">
        <f>IFERROR(SUM(DATA[[#This Row],[fs_val_ttf]:[fact_pago_ttf]]),0)</f>
        <v>56</v>
      </c>
      <c r="BC354" s="184">
        <v>45729</v>
      </c>
      <c r="BD354" s="184">
        <v>45729</v>
      </c>
      <c r="BE354" s="184">
        <v>45743</v>
      </c>
      <c r="BF354" s="184">
        <v>45743</v>
      </c>
      <c r="BG354" s="20">
        <f>IFERROR(IF(BC354-DATA[[#This Row],[fecha_fs]]&lt;0,0,BC354-DATA[[#This Row],[fecha_fs]]),0)</f>
        <v>0</v>
      </c>
      <c r="BH354" s="20">
        <f t="shared" si="39"/>
        <v>0</v>
      </c>
      <c r="BI354" s="20">
        <f t="shared" si="40"/>
        <v>14</v>
      </c>
      <c r="BJ354" s="20">
        <f t="shared" si="41"/>
        <v>0</v>
      </c>
      <c r="BK354" s="218">
        <f>IFERROR(SUM(DATA[[#This Row],[fs_fd_ttd]:[fend_fenf_ttd]]),0)</f>
        <v>14</v>
      </c>
      <c r="BL354" s="20" t="str">
        <f>IF(DATA[[#This Row],[fecha_fs]]&gt;0,TEXT(DATA[[#This Row],[fecha_fs]],"YYYY"),0)</f>
        <v>2025</v>
      </c>
      <c r="BM354" s="221" t="b">
        <v>1</v>
      </c>
      <c r="BN354" s="278">
        <f>COUNTIF(DATA[[#This Row],[tiempo_td]], "&lt;=15")</f>
        <v>1</v>
      </c>
      <c r="BO354" s="222"/>
    </row>
    <row r="355" spans="1:67" ht="30" customHeight="1" x14ac:dyDescent="0.25">
      <c r="A355" s="4"/>
      <c r="B355" s="5" t="s">
        <v>0</v>
      </c>
      <c r="C355" s="52"/>
      <c r="D355" s="4"/>
      <c r="E355" s="5" t="s">
        <v>0</v>
      </c>
      <c r="F355" s="24">
        <v>45729</v>
      </c>
      <c r="G355" s="7" t="s">
        <v>113</v>
      </c>
      <c r="H355" s="25">
        <f t="shared" si="36"/>
        <v>1</v>
      </c>
      <c r="I355" s="67">
        <v>4233</v>
      </c>
      <c r="J355" s="8" t="s">
        <v>151</v>
      </c>
      <c r="K355" s="9"/>
      <c r="L355" s="10"/>
      <c r="M355" s="111"/>
      <c r="N355" s="112"/>
      <c r="O355" s="6"/>
      <c r="P355" s="13" t="s">
        <v>114</v>
      </c>
      <c r="Q355" s="14"/>
      <c r="R355" s="15"/>
      <c r="S355" s="15"/>
      <c r="T355" s="15">
        <f>DATA[[#This Row],[C. DF]]+DATA[[#This Row],[C.OPE.]]</f>
        <v>0</v>
      </c>
      <c r="U355" s="73">
        <f>DATA[[#This Row],[SUB TOTAL]]*0.18</f>
        <v>0</v>
      </c>
      <c r="V355" s="45">
        <f>IFERROR(ROUND(DATA[[#This Row],[SUB TOTAL]]+DATA[[#This Row],[IGV]],2),0)</f>
        <v>0</v>
      </c>
      <c r="W355" s="58" t="str">
        <f>IF(DATA[[#This Row],[VALORIZACIÓN ]]="-","NO CORRESPONDE",IF(OR(A355=20558226979,A355=10470707866,A355=20111157058,A355=20100226902),"NO CORRESPONDE",IF(J355="Emitida",IF(P355&gt;0,"EMITIDA","PENDIENTE"),"NO CORRESPONDE")))</f>
        <v>NO CORRESPONDE</v>
      </c>
      <c r="X355" s="46"/>
      <c r="Y355" s="17" t="s">
        <v>128</v>
      </c>
      <c r="Z355" s="48"/>
      <c r="AA355" s="49"/>
      <c r="AB355" s="50"/>
      <c r="AC355" s="51"/>
      <c r="AD355" s="59">
        <f>DATA[[#This Row],[FECHA DE EMISION]]+DATA[[#This Row],[CONDICION DE PAGO]]</f>
        <v>0</v>
      </c>
      <c r="AE355" s="23">
        <f>IF(DATA[[#This Row],[MONEDA]]="USD",VLOOKUP(DATA[[#This Row],[COMBINADA]],#REF!,11,0),1)</f>
        <v>1</v>
      </c>
      <c r="AF355" s="39" t="str">
        <f>IF(DATA[[#This Row],[SERIE2]]="-","NO CORRESPONDE",IF(W355="NO CORRESPONDE","NO CORRESPONDE",IF(Z355&gt;0,"FACTURADO","PENDIENTE")))</f>
        <v>NO CORRESPONDE</v>
      </c>
      <c r="AG355" s="61">
        <f>IFERROR(VLOOKUP(DATA[[#This Row],[COMBINADA]],#REF!,6,0),0)</f>
        <v>0</v>
      </c>
      <c r="AH355" s="62">
        <f>IFERROR(VLOOKUP(DATA[[#This Row],[COMBINADA]],#REF!,9,0),0)/COUNTIFS(DATA[COMBINADA],DATA[[#This Row],[COMBINADA]])</f>
        <v>0</v>
      </c>
      <c r="AI355" s="61">
        <f>IFERROR(VLOOKUP(DATA[[#This Row],[COMBINADA]],#REF!,6,0),0)</f>
        <v>0</v>
      </c>
      <c r="AJ355" s="62">
        <f>IFERROR(VLOOKUP(DATA[[#This Row],[COMBINADA]],#REF!,9,0),0)/COUNTIFS(DATA[COMBINADA],DATA[[#This Row],[COMBINADA]])</f>
        <v>0</v>
      </c>
      <c r="AK355" s="61">
        <f>IFERROR(VLOOKUP(DATA[[#This Row],[COMBINADA]],#REF!,6,0),0)</f>
        <v>0</v>
      </c>
      <c r="AL355" s="62">
        <f>IFERROR(VLOOKUP(DATA[[#This Row],[COMBINADA]],#REF!,9,0),0)/COUNTIFS(DATA[COMBINADA],DATA[[#This Row],[COMBINADA]])</f>
        <v>0</v>
      </c>
      <c r="AM355" s="61">
        <f>IFERROR(VLOOKUP(DATA[[#This Row],[COMBINADA]],#REF!,6,0),0)</f>
        <v>0</v>
      </c>
      <c r="AN355" s="62">
        <f>IFERROR(VLOOKUP(DATA[[#This Row],[COMBINADA]],#REF!,9,0),0)/COUNTIFS(DATA[COMBINADA],DATA[[#This Row],[COMBINADA]])</f>
        <v>0</v>
      </c>
      <c r="AO355" s="61">
        <f>IFERROR(VLOOKUP(DATA[[#This Row],[COMBINADA]],#REF!,6,0),0)</f>
        <v>0</v>
      </c>
      <c r="AP355" s="62">
        <f>IFERROR(VLOOKUP(DATA[[#This Row],[COMBINADA]],#REF!,9,0),0)/COUNTIFS(DATA[COMBINADA],DATA[[#This Row],[COMBINADA]])</f>
        <v>0</v>
      </c>
      <c r="AQ355"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355" s="22" t="str">
        <f>IFERROR(IF(DATA[[#This Row],[estado_fact]]="FACTURADO",VLOOKUP(DATA[[#This Row],[SERIE2]]&amp;"-"&amp;DATA[[#This Row],[NUMERO]],#REF!,34,0),"NO CORRESPONDE"),"NO CORRESPONDE")</f>
        <v>NO CORRESPONDE</v>
      </c>
      <c r="AS355" s="198" t="str">
        <f>IF(DATA[[#This Row],[fecha_fs]]&gt;0,TEXT(DATA[[#This Row],[fecha_fs]],"Mmmm"),0)</f>
        <v>Marzo</v>
      </c>
      <c r="AT355" s="199" t="str">
        <f>DATA[[#This Row],[SERIE2]]&amp;"-"&amp;DATA[[#This Row],[NUMERO]]</f>
        <v>-</v>
      </c>
      <c r="AU355" s="198">
        <f>DATA[[#This Row],[TOTAL]]*DATA[[#This Row],[T.C.]]</f>
        <v>0</v>
      </c>
      <c r="AV355" s="40">
        <f>DATA[[#This Row],[FECHA DE VAL.]]</f>
        <v>0</v>
      </c>
      <c r="AW355" s="40">
        <f>DATA[[#This Row],[FECHA DE EMISION]]</f>
        <v>0</v>
      </c>
      <c r="AX355" s="40">
        <f>DATA[[#This Row],[F1]]</f>
        <v>0</v>
      </c>
      <c r="AY355" s="49">
        <f>IF(AV355-DATA[[#This Row],[fecha_fs]]&lt;0,0,AV355-DATA[[#This Row],[fecha_fs]])</f>
        <v>0</v>
      </c>
      <c r="AZ355" s="49">
        <f t="shared" si="37"/>
        <v>0</v>
      </c>
      <c r="BA355" s="49">
        <f t="shared" si="38"/>
        <v>0</v>
      </c>
      <c r="BB355" s="195">
        <f>IFERROR(SUM(DATA[[#This Row],[fs_val_ttf]:[fact_pago_ttf]]),0)</f>
        <v>0</v>
      </c>
      <c r="BC355" s="201"/>
      <c r="BD355" s="201"/>
      <c r="BE355" s="201"/>
      <c r="BF355" s="201"/>
      <c r="BG355" s="49">
        <f>IFERROR(IF(BC355-DATA[[#This Row],[fecha_fs]]&lt;0,0,BC355-DATA[[#This Row],[fecha_fs]]),0)</f>
        <v>0</v>
      </c>
      <c r="BH355" s="49">
        <f t="shared" si="39"/>
        <v>0</v>
      </c>
      <c r="BI355" s="49">
        <f t="shared" si="40"/>
        <v>0</v>
      </c>
      <c r="BJ355" s="49">
        <f t="shared" si="41"/>
        <v>0</v>
      </c>
      <c r="BK355" s="218">
        <f>IFERROR(SUM(DATA[[#This Row],[fs_fd_ttd]:[fend_fenf_ttd]]),0)</f>
        <v>0</v>
      </c>
      <c r="BL355" s="20" t="str">
        <f>IF(DATA[[#This Row],[fecha_fs]]&gt;0,TEXT(DATA[[#This Row],[fecha_fs]],"YYYY"),0)</f>
        <v>2025</v>
      </c>
      <c r="BM355" s="221" t="b">
        <v>0</v>
      </c>
      <c r="BN355" s="278"/>
      <c r="BO355" s="222"/>
    </row>
    <row r="356" spans="1:67" ht="30" customHeight="1" x14ac:dyDescent="0.25">
      <c r="A356" s="4">
        <v>20100192064</v>
      </c>
      <c r="B356" s="5" t="s">
        <v>60</v>
      </c>
      <c r="C356" s="52" t="s">
        <v>66</v>
      </c>
      <c r="D356" s="4" t="s">
        <v>120</v>
      </c>
      <c r="E356" s="5" t="s">
        <v>3</v>
      </c>
      <c r="F356" s="24">
        <v>45730</v>
      </c>
      <c r="G356" s="7" t="s">
        <v>142</v>
      </c>
      <c r="H356" s="25">
        <f t="shared" si="36"/>
        <v>2</v>
      </c>
      <c r="I356" s="67">
        <v>1061</v>
      </c>
      <c r="J356" s="8" t="s">
        <v>115</v>
      </c>
      <c r="K356" s="9" t="s">
        <v>169</v>
      </c>
      <c r="L356" s="10" t="s">
        <v>117</v>
      </c>
      <c r="M356" s="11">
        <v>2210</v>
      </c>
      <c r="N356" s="12" t="s">
        <v>215</v>
      </c>
      <c r="O356" s="6">
        <v>45742</v>
      </c>
      <c r="P356" s="71">
        <v>3360</v>
      </c>
      <c r="Q356" s="14" t="s">
        <v>123</v>
      </c>
      <c r="R356" s="15">
        <v>0</v>
      </c>
      <c r="S356" s="15">
        <f>227</f>
        <v>227</v>
      </c>
      <c r="T356" s="15">
        <f>DATA[[#This Row],[C. DF]]+DATA[[#This Row],[C.OPE.]]</f>
        <v>227</v>
      </c>
      <c r="U356" s="15">
        <f>DATA[[#This Row],[SUB TOTAL]]*0.18</f>
        <v>40.86</v>
      </c>
      <c r="V356" s="15">
        <f>IFERROR(ROUND(DATA[[#This Row],[SUB TOTAL]]+DATA[[#This Row],[IGV]],2),0)</f>
        <v>267.86</v>
      </c>
      <c r="W356" s="16" t="str">
        <f>IF(DATA[[#This Row],[VALORIZACIÓN ]]="-","NO CORRESPONDE",IF(OR(A356=20558226979,A356=10470707866,A356=20111157058,A356=20100226902),"NO CORRESPONDE",IF(J356="Emitida",IF(P356&gt;0,"EMITIDA","PENDIENTE"),"NO CORRESPONDE")))</f>
        <v>EMITIDA</v>
      </c>
      <c r="X356" s="29" t="s">
        <v>212</v>
      </c>
      <c r="Y356" s="17" t="s">
        <v>118</v>
      </c>
      <c r="Z356" s="30">
        <v>45747</v>
      </c>
      <c r="AA356" s="10" t="s">
        <v>150</v>
      </c>
      <c r="AB356" s="19">
        <v>9</v>
      </c>
      <c r="AC356" s="20">
        <v>30</v>
      </c>
      <c r="AD356" s="18">
        <f>DATA[[#This Row],[FECHA DE EMISION]]+DATA[[#This Row],[CONDICION DE PAGO]]</f>
        <v>45777</v>
      </c>
      <c r="AE356" s="23" t="e">
        <f>IF(DATA[[#This Row],[MONEDA]]="USD",VLOOKUP(DATA[[#This Row],[COMBINADA]],#REF!,11,0),1)</f>
        <v>#REF!</v>
      </c>
      <c r="AF356" s="39" t="str">
        <f>IF(DATA[[#This Row],[SERIE2]]="-","NO CORRESPONDE",IF(W356="NO CORRESPONDE","NO CORRESPONDE",IF(Z356&gt;0,"FACTURADO","PENDIENTE")))</f>
        <v>FACTURADO</v>
      </c>
      <c r="AG356" s="27">
        <f>IFERROR(VLOOKUP(DATA[[#This Row],[COMBINADA]],#REF!,6,0),0)</f>
        <v>0</v>
      </c>
      <c r="AH356" s="125">
        <f>IFERROR(VLOOKUP(DATA[[#This Row],[COMBINADA]],#REF!,9,0),0)/COUNTIFS(DATA[COMBINADA],DATA[[#This Row],[COMBINADA]])</f>
        <v>0</v>
      </c>
      <c r="AI356" s="27">
        <f>IFERROR(VLOOKUP(DATA[[#This Row],[COMBINADA]],#REF!,6,0),0)</f>
        <v>0</v>
      </c>
      <c r="AJ356" s="125">
        <f>IFERROR(VLOOKUP(DATA[[#This Row],[COMBINADA]],#REF!,9,0),0)/COUNTIFS(DATA[COMBINADA],DATA[[#This Row],[COMBINADA]])</f>
        <v>0</v>
      </c>
      <c r="AK356" s="27">
        <f>IFERROR(VLOOKUP(DATA[[#This Row],[COMBINADA]],#REF!,6,0),0)</f>
        <v>0</v>
      </c>
      <c r="AL356" s="125">
        <f>IFERROR(VLOOKUP(DATA[[#This Row],[COMBINADA]],#REF!,9,0),0)/COUNTIFS(DATA[COMBINADA],DATA[[#This Row],[COMBINADA]])</f>
        <v>0</v>
      </c>
      <c r="AM356" s="27">
        <f>IFERROR(VLOOKUP(DATA[[#This Row],[COMBINADA]],#REF!,6,0),0)</f>
        <v>0</v>
      </c>
      <c r="AN356" s="125">
        <f>IFERROR(VLOOKUP(DATA[[#This Row],[COMBINADA]],#REF!,9,0),0)/COUNTIFS(DATA[COMBINADA],DATA[[#This Row],[COMBINADA]])</f>
        <v>0</v>
      </c>
      <c r="AO356" s="27">
        <f>IFERROR(VLOOKUP(DATA[[#This Row],[COMBINADA]],#REF!,6,0),0)</f>
        <v>0</v>
      </c>
      <c r="AP356" s="125">
        <f>IFERROR(VLOOKUP(DATA[[#This Row],[COMBINADA]],#REF!,9,0),0)/COUNTIFS(DATA[COMBINADA],DATA[[#This Row],[COMBINADA]])</f>
        <v>0</v>
      </c>
      <c r="AQ356" s="117">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507.60428571428571</v>
      </c>
      <c r="AR356" s="118" t="str">
        <f>IFERROR(IF(DATA[[#This Row],[estado_fact]]="FACTURADO",VLOOKUP(DATA[[#This Row],[SERIE2]]&amp;"-"&amp;DATA[[#This Row],[NUMERO]],#REF!,34,0),"NO CORRESPONDE"),"NO CORRESPONDE")</f>
        <v>NO CORRESPONDE</v>
      </c>
      <c r="AS356" s="72" t="str">
        <f>IF(DATA[[#This Row],[fecha_fs]]&gt;0,TEXT(DATA[[#This Row],[fecha_fs]],"Mmmm"),0)</f>
        <v>Marzo</v>
      </c>
      <c r="AT356" s="22" t="str">
        <f>DATA[[#This Row],[SERIE2]]&amp;"-"&amp;DATA[[#This Row],[NUMERO]]</f>
        <v>FF01-9</v>
      </c>
      <c r="AU356" s="28" t="e">
        <f>DATA[[#This Row],[TOTAL]]*DATA[[#This Row],[T.C.]]</f>
        <v>#REF!</v>
      </c>
      <c r="AV356" s="6">
        <f>DATA[[#This Row],[FECHA DE VAL.]]</f>
        <v>45742</v>
      </c>
      <c r="AW356" s="6">
        <f>DATA[[#This Row],[FECHA DE EMISION]]</f>
        <v>45747</v>
      </c>
      <c r="AX356" s="6">
        <f>DATA[[#This Row],[F1]]</f>
        <v>0</v>
      </c>
      <c r="AY356" s="20">
        <f>IF(AV356-DATA[[#This Row],[fecha_fs]]&lt;0,0,AV356-DATA[[#This Row],[fecha_fs]])</f>
        <v>12</v>
      </c>
      <c r="AZ356" s="20">
        <f t="shared" si="37"/>
        <v>5</v>
      </c>
      <c r="BA356" s="20">
        <f t="shared" si="38"/>
        <v>0</v>
      </c>
      <c r="BB356" s="195">
        <f>IFERROR(SUM(DATA[[#This Row],[fs_val_ttf]:[fact_pago_ttf]]),0)</f>
        <v>17</v>
      </c>
      <c r="BC356" s="185">
        <v>45730</v>
      </c>
      <c r="BD356" s="185">
        <v>45730</v>
      </c>
      <c r="BE356" s="185">
        <v>45784</v>
      </c>
      <c r="BF356" s="185">
        <v>45798</v>
      </c>
      <c r="BG356" s="20">
        <f>IFERROR(IF(BC356-DATA[[#This Row],[fecha_fs]]&lt;0,0,BC356-DATA[[#This Row],[fecha_fs]]),0)</f>
        <v>0</v>
      </c>
      <c r="BH356" s="20">
        <f t="shared" si="39"/>
        <v>0</v>
      </c>
      <c r="BI356" s="20">
        <f t="shared" si="40"/>
        <v>54</v>
      </c>
      <c r="BJ356" s="20">
        <f t="shared" si="41"/>
        <v>14</v>
      </c>
      <c r="BK356" s="218">
        <f>IFERROR(SUM(DATA[[#This Row],[fs_fd_ttd]:[fend_fenf_ttd]]),0)</f>
        <v>68</v>
      </c>
      <c r="BL356" s="20" t="str">
        <f>IF(DATA[[#This Row],[fecha_fs]]&gt;0,TEXT(DATA[[#This Row],[fecha_fs]],"YYYY"),0)</f>
        <v>2025</v>
      </c>
      <c r="BM356" s="221" t="b">
        <v>1</v>
      </c>
      <c r="BN356" s="278">
        <f>COUNTIF(DATA[[#This Row],[tiempo_td]], "&lt;=15")</f>
        <v>0</v>
      </c>
      <c r="BO356" s="222"/>
    </row>
    <row r="357" spans="1:67" ht="30.6" customHeight="1" x14ac:dyDescent="0.25">
      <c r="A357" s="4">
        <v>20100211115</v>
      </c>
      <c r="B357" s="5" t="s">
        <v>41</v>
      </c>
      <c r="C357" s="52" t="s">
        <v>18</v>
      </c>
      <c r="D357" s="4" t="s">
        <v>120</v>
      </c>
      <c r="E357" s="5" t="s">
        <v>3</v>
      </c>
      <c r="F357" s="24">
        <v>45730</v>
      </c>
      <c r="G357" s="7" t="s">
        <v>113</v>
      </c>
      <c r="H357" s="25">
        <f t="shared" si="36"/>
        <v>1</v>
      </c>
      <c r="I357" s="67">
        <v>4234</v>
      </c>
      <c r="J357" s="8" t="s">
        <v>115</v>
      </c>
      <c r="K357" s="9" t="s">
        <v>121</v>
      </c>
      <c r="L357" s="10" t="s">
        <v>117</v>
      </c>
      <c r="M357" s="11">
        <v>90</v>
      </c>
      <c r="N357" s="12" t="s">
        <v>132</v>
      </c>
      <c r="O357" s="6">
        <v>45743</v>
      </c>
      <c r="P357" s="115">
        <v>3362</v>
      </c>
      <c r="Q357" s="14" t="s">
        <v>85</v>
      </c>
      <c r="R357" s="15"/>
      <c r="S357" s="15">
        <f>(DATA[[#This Row],[cantidad_fs]]*4.37)</f>
        <v>393.3</v>
      </c>
      <c r="T357" s="15">
        <f>DATA[[#This Row],[C. DF]]+DATA[[#This Row],[C.OPE.]]</f>
        <v>393.3</v>
      </c>
      <c r="U357" s="15">
        <f>DATA[[#This Row],[SUB TOTAL]]*0.18</f>
        <v>70.793999999999997</v>
      </c>
      <c r="V357" s="15">
        <f>IFERROR(ROUND(DATA[[#This Row],[SUB TOTAL]]+DATA[[#This Row],[IGV]],2),0)</f>
        <v>464.09</v>
      </c>
      <c r="W357" s="16" t="str">
        <f>IF(DATA[[#This Row],[VALORIZACIÓN ]]="-","NO CORRESPONDE",IF(OR(A357=20558226979,A357=10470707866,A357=20111157058,A357=20100226902),"NO CORRESPONDE",IF(J357="Emitida",IF(P357&gt;0,"EMITIDA","PENDIENTE"),"NO CORRESPONDE")))</f>
        <v>EMITIDA</v>
      </c>
      <c r="X357" s="29"/>
      <c r="Y357" s="17" t="s">
        <v>118</v>
      </c>
      <c r="Z357" s="30">
        <v>45744</v>
      </c>
      <c r="AA357" s="10" t="s">
        <v>150</v>
      </c>
      <c r="AB357" s="19">
        <v>2</v>
      </c>
      <c r="AC357" s="20">
        <v>30</v>
      </c>
      <c r="AD357" s="18">
        <f>DATA[[#This Row],[FECHA DE EMISION]]+DATA[[#This Row],[CONDICION DE PAGO]]</f>
        <v>45774</v>
      </c>
      <c r="AE357" s="23">
        <f>IF(DATA[[#This Row],[MONEDA]]="USD",VLOOKUP(DATA[[#This Row],[COMBINADA]],#REF!,11,0),1)</f>
        <v>1</v>
      </c>
      <c r="AF357" s="39" t="str">
        <f>IF(DATA[[#This Row],[SERIE2]]="-","NO CORRESPONDE",IF(W357="NO CORRESPONDE","NO CORRESPONDE",IF(Z357&gt;0,"FACTURADO","PENDIENTE")))</f>
        <v>FACTURADO</v>
      </c>
      <c r="AG357" s="27">
        <f>IFERROR(VLOOKUP(DATA[[#This Row],[COMBINADA]],#REF!,6,0),0)</f>
        <v>0</v>
      </c>
      <c r="AH357" s="125">
        <f>IFERROR(VLOOKUP(DATA[[#This Row],[COMBINADA]],#REF!,9,0),0)/COUNTIFS(DATA[COMBINADA],DATA[[#This Row],[COMBINADA]])</f>
        <v>0</v>
      </c>
      <c r="AI357" s="27">
        <f>IFERROR(VLOOKUP(DATA[[#This Row],[COMBINADA]],#REF!,6,0),0)</f>
        <v>0</v>
      </c>
      <c r="AJ357" s="125">
        <f>IFERROR(VLOOKUP(DATA[[#This Row],[COMBINADA]],#REF!,9,0),0)/COUNTIFS(DATA[COMBINADA],DATA[[#This Row],[COMBINADA]])</f>
        <v>0</v>
      </c>
      <c r="AK357" s="27">
        <f>IFERROR(VLOOKUP(DATA[[#This Row],[COMBINADA]],#REF!,6,0),0)</f>
        <v>0</v>
      </c>
      <c r="AL357" s="125">
        <f>IFERROR(VLOOKUP(DATA[[#This Row],[COMBINADA]],#REF!,9,0),0)/COUNTIFS(DATA[COMBINADA],DATA[[#This Row],[COMBINADA]])</f>
        <v>0</v>
      </c>
      <c r="AM357" s="27">
        <f>IFERROR(VLOOKUP(DATA[[#This Row],[COMBINADA]],#REF!,6,0),0)</f>
        <v>0</v>
      </c>
      <c r="AN357" s="125">
        <f>IFERROR(VLOOKUP(DATA[[#This Row],[COMBINADA]],#REF!,9,0),0)/COUNTIFS(DATA[COMBINADA],DATA[[#This Row],[COMBINADA]])</f>
        <v>0</v>
      </c>
      <c r="AO357" s="27">
        <f>IFERROR(VLOOKUP(DATA[[#This Row],[COMBINADA]],#REF!,6,0),0)</f>
        <v>0</v>
      </c>
      <c r="AP357" s="125">
        <f>IFERROR(VLOOKUP(DATA[[#This Row],[COMBINADA]],#REF!,9,0),0)/COUNTIFS(DATA[COMBINADA],DATA[[#This Row],[COMBINADA]])</f>
        <v>0</v>
      </c>
      <c r="AQ35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357" s="26" t="str">
        <f>IFERROR(IF(DATA[[#This Row],[estado_fact]]="FACTURADO",VLOOKUP(DATA[[#This Row],[SERIE2]]&amp;"-"&amp;DATA[[#This Row],[NUMERO]],#REF!,34,0),"NO CORRESPONDE"),"NO CORRESPONDE")</f>
        <v>NO CORRESPONDE</v>
      </c>
      <c r="AS357" s="22" t="str">
        <f>IF(DATA[[#This Row],[fecha_fs]]&gt;0,TEXT(DATA[[#This Row],[fecha_fs]],"Mmmm"),0)</f>
        <v>Marzo</v>
      </c>
      <c r="AT357" s="22" t="str">
        <f>DATA[[#This Row],[SERIE2]]&amp;"-"&amp;DATA[[#This Row],[NUMERO]]</f>
        <v>FF01-2</v>
      </c>
      <c r="AU357" s="28">
        <f>DATA[[#This Row],[TOTAL]]*DATA[[#This Row],[T.C.]]</f>
        <v>464.09</v>
      </c>
      <c r="AV357" s="6">
        <f>DATA[[#This Row],[FECHA DE VAL.]]</f>
        <v>45743</v>
      </c>
      <c r="AW357" s="6">
        <f>DATA[[#This Row],[FECHA DE EMISION]]</f>
        <v>45744</v>
      </c>
      <c r="AX357" s="6">
        <f>DATA[[#This Row],[F1]]</f>
        <v>0</v>
      </c>
      <c r="AY357" s="20">
        <f>IF(AV357-DATA[[#This Row],[fecha_fs]]&lt;0,0,AV357-DATA[[#This Row],[fecha_fs]])</f>
        <v>13</v>
      </c>
      <c r="AZ357" s="20">
        <f t="shared" si="37"/>
        <v>1</v>
      </c>
      <c r="BA357" s="20">
        <f t="shared" si="38"/>
        <v>0</v>
      </c>
      <c r="BB357" s="195">
        <f>IFERROR(SUM(DATA[[#This Row],[fs_val_ttf]:[fact_pago_ttf]]),0)</f>
        <v>14</v>
      </c>
      <c r="BC357" s="184">
        <v>45742</v>
      </c>
      <c r="BD357" s="184">
        <v>45751</v>
      </c>
      <c r="BE357" s="184">
        <v>45757</v>
      </c>
      <c r="BF357" s="184">
        <v>45758</v>
      </c>
      <c r="BG357" s="20">
        <f>IFERROR(IF(BC357-DATA[[#This Row],[fecha_fs]]&lt;0,0,BC357-DATA[[#This Row],[fecha_fs]]),0)</f>
        <v>12</v>
      </c>
      <c r="BH357" s="20">
        <f t="shared" si="39"/>
        <v>9</v>
      </c>
      <c r="BI357" s="20">
        <f t="shared" si="40"/>
        <v>6</v>
      </c>
      <c r="BJ357" s="20">
        <f t="shared" si="41"/>
        <v>1</v>
      </c>
      <c r="BK357" s="218">
        <f>IFERROR(SUM(DATA[[#This Row],[fs_fd_ttd]:[fend_fenf_ttd]]),0)</f>
        <v>28</v>
      </c>
      <c r="BL357" s="20" t="str">
        <f>IF(DATA[[#This Row],[fecha_fs]]&gt;0,TEXT(DATA[[#This Row],[fecha_fs]],"YYYY"),0)</f>
        <v>2025</v>
      </c>
      <c r="BM357" s="221" t="b">
        <v>1</v>
      </c>
      <c r="BN357" s="278">
        <f>COUNTIF(DATA[[#This Row],[tiempo_td]], "&lt;=15")</f>
        <v>0</v>
      </c>
      <c r="BO357" s="222"/>
    </row>
    <row r="358" spans="1:67" ht="30.6" customHeight="1" x14ac:dyDescent="0.25">
      <c r="A358" s="4">
        <v>20553956324</v>
      </c>
      <c r="B358" s="5" t="s">
        <v>281</v>
      </c>
      <c r="C358" s="52" t="s">
        <v>175</v>
      </c>
      <c r="D358" s="4" t="s">
        <v>120</v>
      </c>
      <c r="E358" s="5" t="s">
        <v>3</v>
      </c>
      <c r="F358" s="24">
        <v>45730</v>
      </c>
      <c r="G358" s="7" t="s">
        <v>113</v>
      </c>
      <c r="H358" s="25">
        <f t="shared" si="36"/>
        <v>1</v>
      </c>
      <c r="I358" s="67">
        <v>4235</v>
      </c>
      <c r="J358" s="8" t="s">
        <v>115</v>
      </c>
      <c r="K358" s="9" t="s">
        <v>121</v>
      </c>
      <c r="L358" s="10" t="s">
        <v>117</v>
      </c>
      <c r="M358" s="11">
        <v>210</v>
      </c>
      <c r="N358" s="12" t="s">
        <v>132</v>
      </c>
      <c r="O358" s="6">
        <v>45747</v>
      </c>
      <c r="P358" s="109">
        <v>3370</v>
      </c>
      <c r="Q358" s="14" t="s">
        <v>85</v>
      </c>
      <c r="R358" s="15">
        <f>DATA[[#This Row],[cantidad_fs]]*0.08</f>
        <v>16.8</v>
      </c>
      <c r="S358" s="15">
        <v>395.1</v>
      </c>
      <c r="T358" s="15">
        <f>DATA[[#This Row],[C. DF]]+DATA[[#This Row],[C.OPE.]]</f>
        <v>411.90000000000003</v>
      </c>
      <c r="U358" s="15">
        <f>DATA[[#This Row],[SUB TOTAL]]*0.18</f>
        <v>74.14200000000001</v>
      </c>
      <c r="V358" s="15">
        <f>IFERROR(ROUND(DATA[[#This Row],[SUB TOTAL]]+DATA[[#This Row],[IGV]],2),0)</f>
        <v>486.04</v>
      </c>
      <c r="W358" s="16" t="str">
        <f>IF(DATA[[#This Row],[VALORIZACIÓN ]]="-","NO CORRESPONDE",IF(OR(A358=20558226979,A358=10470707866,A358=20111157058,A358=20100226902),"NO CORRESPONDE",IF(J358="Emitida",IF(P358&gt;0,"EMITIDA","PENDIENTE"),"NO CORRESPONDE")))</f>
        <v>EMITIDA</v>
      </c>
      <c r="X358" s="29"/>
      <c r="Y358" s="17" t="s">
        <v>118</v>
      </c>
      <c r="Z358" s="30">
        <v>45790</v>
      </c>
      <c r="AA358" s="10" t="s">
        <v>150</v>
      </c>
      <c r="AB358" s="19">
        <v>75</v>
      </c>
      <c r="AC358" s="20"/>
      <c r="AD358" s="18">
        <f>DATA[[#This Row],[FECHA DE EMISION]]+DATA[[#This Row],[CONDICION DE PAGO]]</f>
        <v>45790</v>
      </c>
      <c r="AE358" s="23">
        <f>IF(DATA[[#This Row],[MONEDA]]="USD",VLOOKUP(DATA[[#This Row],[COMBINADA]],#REF!,11,0),1)</f>
        <v>1</v>
      </c>
      <c r="AF358" s="39" t="str">
        <f>IF(DATA[[#This Row],[SERIE2]]="-","NO CORRESPONDE",IF(W358="NO CORRESPONDE","NO CORRESPONDE",IF(Z358&gt;0,"FACTURADO","PENDIENTE")))</f>
        <v>FACTURADO</v>
      </c>
      <c r="AG358" s="27">
        <f>IFERROR(VLOOKUP(DATA[[#This Row],[COMBINADA]],#REF!,6,0),0)</f>
        <v>0</v>
      </c>
      <c r="AH358" s="125">
        <f>IFERROR(VLOOKUP(DATA[[#This Row],[COMBINADA]],#REF!,9,0),0)/COUNTIFS(DATA[COMBINADA],DATA[[#This Row],[COMBINADA]])</f>
        <v>0</v>
      </c>
      <c r="AI358" s="27">
        <f>IFERROR(VLOOKUP(DATA[[#This Row],[COMBINADA]],#REF!,6,0),0)</f>
        <v>0</v>
      </c>
      <c r="AJ358" s="125">
        <f>IFERROR(VLOOKUP(DATA[[#This Row],[COMBINADA]],#REF!,9,0),0)/COUNTIFS(DATA[COMBINADA],DATA[[#This Row],[COMBINADA]])</f>
        <v>0</v>
      </c>
      <c r="AK358" s="27">
        <f>IFERROR(VLOOKUP(DATA[[#This Row],[COMBINADA]],#REF!,6,0),0)</f>
        <v>0</v>
      </c>
      <c r="AL358" s="125">
        <f>IFERROR(VLOOKUP(DATA[[#This Row],[COMBINADA]],#REF!,9,0),0)/COUNTIFS(DATA[COMBINADA],DATA[[#This Row],[COMBINADA]])</f>
        <v>0</v>
      </c>
      <c r="AM358" s="27">
        <f>IFERROR(VLOOKUP(DATA[[#This Row],[COMBINADA]],#REF!,6,0),0)</f>
        <v>0</v>
      </c>
      <c r="AN358" s="125">
        <f>IFERROR(VLOOKUP(DATA[[#This Row],[COMBINADA]],#REF!,9,0),0)/COUNTIFS(DATA[COMBINADA],DATA[[#This Row],[COMBINADA]])</f>
        <v>0</v>
      </c>
      <c r="AO358" s="27">
        <f>IFERROR(VLOOKUP(DATA[[#This Row],[COMBINADA]],#REF!,6,0),0)</f>
        <v>0</v>
      </c>
      <c r="AP358" s="125">
        <f>IFERROR(VLOOKUP(DATA[[#This Row],[COMBINADA]],#REF!,9,0),0)/COUNTIFS(DATA[COMBINADA],DATA[[#This Row],[COMBINADA]])</f>
        <v>0</v>
      </c>
      <c r="AQ35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490.09299999999996</v>
      </c>
      <c r="AR358" s="26" t="str">
        <f>IFERROR(IF(DATA[[#This Row],[estado_fact]]="FACTURADO",VLOOKUP(DATA[[#This Row],[SERIE2]]&amp;"-"&amp;DATA[[#This Row],[NUMERO]],#REF!,34,0),"NO CORRESPONDE"),"NO CORRESPONDE")</f>
        <v>NO CORRESPONDE</v>
      </c>
      <c r="AS358" s="22" t="str">
        <f>IF(DATA[[#This Row],[fecha_fs]]&gt;0,TEXT(DATA[[#This Row],[fecha_fs]],"Mmmm"),0)</f>
        <v>Marzo</v>
      </c>
      <c r="AT358" s="22" t="str">
        <f>DATA[[#This Row],[SERIE2]]&amp;"-"&amp;DATA[[#This Row],[NUMERO]]</f>
        <v>FF01-75</v>
      </c>
      <c r="AU358" s="28">
        <f>DATA[[#This Row],[TOTAL]]*DATA[[#This Row],[T.C.]]</f>
        <v>486.04</v>
      </c>
      <c r="AV358" s="6">
        <f>DATA[[#This Row],[FECHA DE VAL.]]</f>
        <v>45747</v>
      </c>
      <c r="AW358" s="6">
        <f>DATA[[#This Row],[FECHA DE EMISION]]</f>
        <v>45790</v>
      </c>
      <c r="AX358" s="6">
        <f>DATA[[#This Row],[F1]]</f>
        <v>0</v>
      </c>
      <c r="AY358" s="20">
        <f>IF(AV358-DATA[[#This Row],[fecha_fs]]&lt;0,0,AV358-DATA[[#This Row],[fecha_fs]])</f>
        <v>17</v>
      </c>
      <c r="AZ358" s="20">
        <f t="shared" si="37"/>
        <v>43</v>
      </c>
      <c r="BA358" s="20">
        <f t="shared" si="38"/>
        <v>0</v>
      </c>
      <c r="BB358" s="195">
        <f>IFERROR(SUM(DATA[[#This Row],[fs_val_ttf]:[fact_pago_ttf]]),0)</f>
        <v>60</v>
      </c>
      <c r="BC358" s="185">
        <v>45748</v>
      </c>
      <c r="BD358" s="185">
        <v>45751</v>
      </c>
      <c r="BE358" s="185">
        <v>45756</v>
      </c>
      <c r="BF358" s="185">
        <v>45758</v>
      </c>
      <c r="BG358" s="20">
        <f>IFERROR(IF(BC358-DATA[[#This Row],[fecha_fs]]&lt;0,0,BC358-DATA[[#This Row],[fecha_fs]]),0)</f>
        <v>18</v>
      </c>
      <c r="BH358" s="20">
        <f t="shared" si="39"/>
        <v>3</v>
      </c>
      <c r="BI358" s="20">
        <f t="shared" si="40"/>
        <v>5</v>
      </c>
      <c r="BJ358" s="20">
        <f t="shared" si="41"/>
        <v>2</v>
      </c>
      <c r="BK358" s="218">
        <f>IFERROR(SUM(DATA[[#This Row],[fs_fd_ttd]:[fend_fenf_ttd]]),0)</f>
        <v>28</v>
      </c>
      <c r="BL358" s="20" t="str">
        <f>IF(DATA[[#This Row],[fecha_fs]]&gt;0,TEXT(DATA[[#This Row],[fecha_fs]],"YYYY"),0)</f>
        <v>2025</v>
      </c>
      <c r="BM358" s="221" t="b">
        <v>1</v>
      </c>
      <c r="BN358" s="278">
        <f>COUNTIF(DATA[[#This Row],[tiempo_td]], "&lt;=15")</f>
        <v>0</v>
      </c>
      <c r="BO358" s="222"/>
    </row>
    <row r="359" spans="1:67" ht="30.6" customHeight="1" x14ac:dyDescent="0.25">
      <c r="A359" s="4">
        <v>20141637941</v>
      </c>
      <c r="B359" s="5" t="s">
        <v>79</v>
      </c>
      <c r="C359" s="52" t="s">
        <v>18</v>
      </c>
      <c r="D359" s="4" t="s">
        <v>120</v>
      </c>
      <c r="E359" s="5" t="s">
        <v>3</v>
      </c>
      <c r="F359" s="24">
        <v>45730</v>
      </c>
      <c r="G359" s="7" t="s">
        <v>113</v>
      </c>
      <c r="H359" s="25">
        <f t="shared" si="36"/>
        <v>1</v>
      </c>
      <c r="I359" s="67">
        <v>4236</v>
      </c>
      <c r="J359" s="8" t="s">
        <v>115</v>
      </c>
      <c r="K359" s="9" t="s">
        <v>121</v>
      </c>
      <c r="L359" s="10" t="s">
        <v>117</v>
      </c>
      <c r="M359" s="11">
        <v>1140</v>
      </c>
      <c r="N359" s="12" t="s">
        <v>125</v>
      </c>
      <c r="O359" s="6">
        <v>45740</v>
      </c>
      <c r="P359" s="110">
        <v>3343</v>
      </c>
      <c r="Q359" s="14" t="s">
        <v>85</v>
      </c>
      <c r="R359" s="15">
        <f>70+(DATA[[#This Row],[cantidad_fs]]-1000)*0.1</f>
        <v>84</v>
      </c>
      <c r="S359" s="15">
        <v>517</v>
      </c>
      <c r="T359" s="15">
        <f>DATA[[#This Row],[C. DF]]+DATA[[#This Row],[C.OPE.]]</f>
        <v>601</v>
      </c>
      <c r="U359" s="15">
        <f>DATA[[#This Row],[SUB TOTAL]]*0.18</f>
        <v>108.17999999999999</v>
      </c>
      <c r="V359" s="15">
        <f>IFERROR(ROUND(DATA[[#This Row],[SUB TOTAL]]+DATA[[#This Row],[IGV]],2),0)</f>
        <v>709.18</v>
      </c>
      <c r="W359" s="16" t="str">
        <f>IF(DATA[[#This Row],[VALORIZACIÓN ]]="-","NO CORRESPONDE",IF(OR(A359=20558226979,A359=10470707866,A359=20111157058,A359=20100226902),"NO CORRESPONDE",IF(J359="Emitida",IF(P359&gt;0,"EMITIDA","PENDIENTE"),"NO CORRESPONDE")))</f>
        <v>EMITIDA</v>
      </c>
      <c r="X359" s="29"/>
      <c r="Y359" s="17" t="s">
        <v>118</v>
      </c>
      <c r="Z359" s="30">
        <v>45741</v>
      </c>
      <c r="AA359" s="10" t="s">
        <v>119</v>
      </c>
      <c r="AB359" s="19">
        <v>53</v>
      </c>
      <c r="AC359" s="20">
        <v>30</v>
      </c>
      <c r="AD359" s="18">
        <f>DATA[[#This Row],[FECHA DE EMISION]]+DATA[[#This Row],[CONDICION DE PAGO]]</f>
        <v>45771</v>
      </c>
      <c r="AE359" s="23">
        <f>IF(DATA[[#This Row],[MONEDA]]="USD",VLOOKUP(DATA[[#This Row],[COMBINADA]],#REF!,11,0),1)</f>
        <v>1</v>
      </c>
      <c r="AF359" s="39" t="str">
        <f>IF(DATA[[#This Row],[SERIE2]]="-","NO CORRESPONDE",IF(W359="NO CORRESPONDE","NO CORRESPONDE",IF(Z359&gt;0,"FACTURADO","PENDIENTE")))</f>
        <v>FACTURADO</v>
      </c>
      <c r="AG359" s="27">
        <f>IFERROR(VLOOKUP(DATA[[#This Row],[COMBINADA]],#REF!,6,0),0)</f>
        <v>0</v>
      </c>
      <c r="AH359" s="125">
        <f>IFERROR(VLOOKUP(DATA[[#This Row],[COMBINADA]],#REF!,9,0),0)/COUNTIFS(DATA[COMBINADA],DATA[[#This Row],[COMBINADA]])</f>
        <v>0</v>
      </c>
      <c r="AI359" s="27">
        <f>IFERROR(VLOOKUP(DATA[[#This Row],[COMBINADA]],#REF!,6,0),0)</f>
        <v>0</v>
      </c>
      <c r="AJ359" s="125">
        <f>IFERROR(VLOOKUP(DATA[[#This Row],[COMBINADA]],#REF!,9,0),0)/COUNTIFS(DATA[COMBINADA],DATA[[#This Row],[COMBINADA]])</f>
        <v>0</v>
      </c>
      <c r="AK359" s="27">
        <f>IFERROR(VLOOKUP(DATA[[#This Row],[COMBINADA]],#REF!,6,0),0)</f>
        <v>0</v>
      </c>
      <c r="AL359" s="125">
        <f>IFERROR(VLOOKUP(DATA[[#This Row],[COMBINADA]],#REF!,9,0),0)/COUNTIFS(DATA[COMBINADA],DATA[[#This Row],[COMBINADA]])</f>
        <v>0</v>
      </c>
      <c r="AM359" s="27">
        <f>IFERROR(VLOOKUP(DATA[[#This Row],[COMBINADA]],#REF!,6,0),0)</f>
        <v>0</v>
      </c>
      <c r="AN359" s="125">
        <f>IFERROR(VLOOKUP(DATA[[#This Row],[COMBINADA]],#REF!,9,0),0)/COUNTIFS(DATA[COMBINADA],DATA[[#This Row],[COMBINADA]])</f>
        <v>0</v>
      </c>
      <c r="AO359" s="27">
        <f>IFERROR(VLOOKUP(DATA[[#This Row],[COMBINADA]],#REF!,6,0),0)</f>
        <v>0</v>
      </c>
      <c r="AP359" s="125">
        <f>IFERROR(VLOOKUP(DATA[[#This Row],[COMBINADA]],#REF!,9,0),0)/COUNTIFS(DATA[COMBINADA],DATA[[#This Row],[COMBINADA]])</f>
        <v>0</v>
      </c>
      <c r="AQ35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703.28000000000009</v>
      </c>
      <c r="AR359" s="26" t="str">
        <f>IFERROR(IF(DATA[[#This Row],[estado_fact]]="FACTURADO",VLOOKUP(DATA[[#This Row],[SERIE2]]&amp;"-"&amp;DATA[[#This Row],[NUMERO]],#REF!,34,0),"NO CORRESPONDE"),"NO CORRESPONDE")</f>
        <v>NO CORRESPONDE</v>
      </c>
      <c r="AS359" s="22" t="str">
        <f>IF(DATA[[#This Row],[fecha_fs]]&gt;0,TEXT(DATA[[#This Row],[fecha_fs]],"Mmmm"),0)</f>
        <v>Marzo</v>
      </c>
      <c r="AT359" s="22" t="str">
        <f>DATA[[#This Row],[SERIE2]]&amp;"-"&amp;DATA[[#This Row],[NUMERO]]</f>
        <v>E001-53</v>
      </c>
      <c r="AU359" s="28">
        <f>DATA[[#This Row],[TOTAL]]*DATA[[#This Row],[T.C.]]</f>
        <v>709.18</v>
      </c>
      <c r="AV359" s="6">
        <f>DATA[[#This Row],[FECHA DE VAL.]]</f>
        <v>45740</v>
      </c>
      <c r="AW359" s="6">
        <f>DATA[[#This Row],[FECHA DE EMISION]]</f>
        <v>45741</v>
      </c>
      <c r="AX359" s="6">
        <f>DATA[[#This Row],[F1]]</f>
        <v>0</v>
      </c>
      <c r="AY359" s="20">
        <f>IF(AV359-DATA[[#This Row],[fecha_fs]]&lt;0,0,AV359-DATA[[#This Row],[fecha_fs]])</f>
        <v>10</v>
      </c>
      <c r="AZ359" s="20">
        <f t="shared" si="37"/>
        <v>1</v>
      </c>
      <c r="BA359" s="20">
        <f t="shared" si="38"/>
        <v>0</v>
      </c>
      <c r="BB359" s="195">
        <f>IFERROR(SUM(DATA[[#This Row],[fs_val_ttf]:[fact_pago_ttf]]),0)</f>
        <v>11</v>
      </c>
      <c r="BC359" s="185">
        <v>45730</v>
      </c>
      <c r="BD359" s="185">
        <v>45730</v>
      </c>
      <c r="BE359" s="185">
        <v>45741</v>
      </c>
      <c r="BF359" s="185">
        <v>45741</v>
      </c>
      <c r="BG359" s="20">
        <f>IFERROR(IF(BC359-DATA[[#This Row],[fecha_fs]]&lt;0,0,BC359-DATA[[#This Row],[fecha_fs]]),0)</f>
        <v>0</v>
      </c>
      <c r="BH359" s="20">
        <f t="shared" si="39"/>
        <v>0</v>
      </c>
      <c r="BI359" s="20">
        <f t="shared" si="40"/>
        <v>11</v>
      </c>
      <c r="BJ359" s="20">
        <f t="shared" si="41"/>
        <v>0</v>
      </c>
      <c r="BK359" s="218">
        <f>IFERROR(SUM(DATA[[#This Row],[fs_fd_ttd]:[fend_fenf_ttd]]),0)</f>
        <v>11</v>
      </c>
      <c r="BL359" s="20" t="str">
        <f>IF(DATA[[#This Row],[fecha_fs]]&gt;0,TEXT(DATA[[#This Row],[fecha_fs]],"YYYY"),0)</f>
        <v>2025</v>
      </c>
      <c r="BM359" s="221" t="b">
        <v>1</v>
      </c>
      <c r="BN359" s="278">
        <f>COUNTIF(DATA[[#This Row],[tiempo_td]], "&lt;=15")</f>
        <v>1</v>
      </c>
      <c r="BO359" s="222"/>
    </row>
    <row r="360" spans="1:67" ht="30.6" customHeight="1" x14ac:dyDescent="0.25">
      <c r="A360" s="4">
        <v>20100226902</v>
      </c>
      <c r="B360" s="5" t="s">
        <v>24</v>
      </c>
      <c r="C360" s="52" t="s">
        <v>18</v>
      </c>
      <c r="D360" s="4" t="s">
        <v>120</v>
      </c>
      <c r="E360" s="5" t="s">
        <v>3</v>
      </c>
      <c r="F360" s="24">
        <v>45730</v>
      </c>
      <c r="G360" s="7" t="s">
        <v>113</v>
      </c>
      <c r="H360" s="25">
        <f t="shared" si="36"/>
        <v>1</v>
      </c>
      <c r="I360" s="67">
        <v>4237</v>
      </c>
      <c r="J360" s="8" t="s">
        <v>115</v>
      </c>
      <c r="K360" s="9" t="s">
        <v>121</v>
      </c>
      <c r="L360" s="10" t="s">
        <v>117</v>
      </c>
      <c r="M360" s="11">
        <v>660</v>
      </c>
      <c r="N360" s="12" t="s">
        <v>127</v>
      </c>
      <c r="O360" s="40"/>
      <c r="P360" s="41" t="s">
        <v>114</v>
      </c>
      <c r="Q360" s="42"/>
      <c r="R360" s="43"/>
      <c r="S360" s="43"/>
      <c r="T360" s="43">
        <f>DATA[[#This Row],[C. DF]]+DATA[[#This Row],[C.OPE.]]</f>
        <v>0</v>
      </c>
      <c r="U360" s="43">
        <f>DATA[[#This Row],[SUB TOTAL]]*0.18</f>
        <v>0</v>
      </c>
      <c r="V360" s="43">
        <f>IFERROR(ROUND(DATA[[#This Row],[SUB TOTAL]]+DATA[[#This Row],[IGV]],2),0)</f>
        <v>0</v>
      </c>
      <c r="W360" s="58" t="str">
        <f>IF(DATA[[#This Row],[VALORIZACIÓN ]]="-","NO CORRESPONDE",IF(OR(A360=20558226979,A360=10470707866,A360=20111157058,A360=20100226902),"NO CORRESPONDE",IF(J360="Emitida",IF(P360&gt;0,"EMITIDA","PENDIENTE"),"NO CORRESPONDE")))</f>
        <v>NO CORRESPONDE</v>
      </c>
      <c r="X360" s="45"/>
      <c r="Y360" s="58" t="s">
        <v>128</v>
      </c>
      <c r="Z360" s="46"/>
      <c r="AA360" s="47"/>
      <c r="AB360" s="48"/>
      <c r="AC360" s="49"/>
      <c r="AD360" s="50">
        <f>DATA[[#This Row],[FECHA DE EMISION]]+DATA[[#This Row],[CONDICION DE PAGO]]</f>
        <v>0</v>
      </c>
      <c r="AE360" s="23">
        <f>IF(DATA[[#This Row],[MONEDA]]="USD",VLOOKUP(DATA[[#This Row],[COMBINADA]],#REF!,11,0),1)</f>
        <v>1</v>
      </c>
      <c r="AF360" s="39" t="str">
        <f>IF(DATA[[#This Row],[SERIE2]]="-","NO CORRESPONDE",IF(W360="NO CORRESPONDE","NO CORRESPONDE",IF(Z360&gt;0,"FACTURADO","PENDIENTE")))</f>
        <v>NO CORRESPONDE</v>
      </c>
      <c r="AG360" s="60">
        <f>IFERROR(VLOOKUP(DATA[[#This Row],[COMBINADA]],#REF!,6,0),0)</f>
        <v>0</v>
      </c>
      <c r="AH360" s="126">
        <f>IFERROR(VLOOKUP(DATA[[#This Row],[COMBINADA]],#REF!,9,0),0)/COUNTIFS(DATA[COMBINADA],DATA[[#This Row],[COMBINADA]])</f>
        <v>0</v>
      </c>
      <c r="AI360" s="60">
        <f>IFERROR(VLOOKUP(DATA[[#This Row],[COMBINADA]],#REF!,6,0),0)</f>
        <v>0</v>
      </c>
      <c r="AJ360" s="126">
        <f>IFERROR(VLOOKUP(DATA[[#This Row],[COMBINADA]],#REF!,9,0),0)/COUNTIFS(DATA[COMBINADA],DATA[[#This Row],[COMBINADA]])</f>
        <v>0</v>
      </c>
      <c r="AK360" s="60">
        <f>IFERROR(VLOOKUP(DATA[[#This Row],[COMBINADA]],#REF!,6,0),0)</f>
        <v>0</v>
      </c>
      <c r="AL360" s="126">
        <f>IFERROR(VLOOKUP(DATA[[#This Row],[COMBINADA]],#REF!,9,0),0)/COUNTIFS(DATA[COMBINADA],DATA[[#This Row],[COMBINADA]])</f>
        <v>0</v>
      </c>
      <c r="AM360" s="60">
        <f>IFERROR(VLOOKUP(DATA[[#This Row],[COMBINADA]],#REF!,6,0),0)</f>
        <v>0</v>
      </c>
      <c r="AN360" s="126">
        <f>IFERROR(VLOOKUP(DATA[[#This Row],[COMBINADA]],#REF!,9,0),0)/COUNTIFS(DATA[COMBINADA],DATA[[#This Row],[COMBINADA]])</f>
        <v>0</v>
      </c>
      <c r="AO360" s="60">
        <f>IFERROR(VLOOKUP(DATA[[#This Row],[COMBINADA]],#REF!,6,0),0)</f>
        <v>0</v>
      </c>
      <c r="AP360" s="126">
        <f>IFERROR(VLOOKUP(DATA[[#This Row],[COMBINADA]],#REF!,9,0),0)/COUNTIFS(DATA[COMBINADA],DATA[[#This Row],[COMBINADA]])</f>
        <v>0</v>
      </c>
      <c r="AQ360"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360" s="22" t="str">
        <f>IFERROR(IF(DATA[[#This Row],[estado_fact]]="FACTURADO",VLOOKUP(DATA[[#This Row],[SERIE2]]&amp;"-"&amp;DATA[[#This Row],[NUMERO]],#REF!,34,0),"NO CORRESPONDE"),"NO CORRESPONDE")</f>
        <v>NO CORRESPONDE</v>
      </c>
      <c r="AS360" s="22" t="str">
        <f>IF(DATA[[#This Row],[fecha_fs]]&gt;0,TEXT(DATA[[#This Row],[fecha_fs]],"Mmmm"),0)</f>
        <v>Marzo</v>
      </c>
      <c r="AT360" s="22" t="str">
        <f>DATA[[#This Row],[SERIE2]]&amp;"-"&amp;DATA[[#This Row],[NUMERO]]</f>
        <v>-</v>
      </c>
      <c r="AU360" s="28">
        <f>DATA[[#This Row],[TOTAL]]*DATA[[#This Row],[T.C.]]</f>
        <v>0</v>
      </c>
      <c r="AV360" s="6">
        <f>DATA[[#This Row],[FECHA DE VAL.]]</f>
        <v>0</v>
      </c>
      <c r="AW360" s="6">
        <f>DATA[[#This Row],[FECHA DE EMISION]]</f>
        <v>0</v>
      </c>
      <c r="AX360" s="6">
        <f>DATA[[#This Row],[F1]]</f>
        <v>0</v>
      </c>
      <c r="AY360" s="20">
        <f>IF(AV360-DATA[[#This Row],[fecha_fs]]&lt;0,0,AV360-DATA[[#This Row],[fecha_fs]])</f>
        <v>0</v>
      </c>
      <c r="AZ360" s="20">
        <f t="shared" si="37"/>
        <v>0</v>
      </c>
      <c r="BA360" s="20">
        <f t="shared" si="38"/>
        <v>0</v>
      </c>
      <c r="BB360" s="195">
        <f>IFERROR(SUM(DATA[[#This Row],[fs_val_ttf]:[fact_pago_ttf]]),0)</f>
        <v>0</v>
      </c>
      <c r="BC360" s="185">
        <v>45730</v>
      </c>
      <c r="BD360" s="185">
        <v>45730</v>
      </c>
      <c r="BE360" s="185">
        <v>45768</v>
      </c>
      <c r="BF360" s="185">
        <v>45768</v>
      </c>
      <c r="BG360" s="20">
        <f>IFERROR(IF(BC360-DATA[[#This Row],[fecha_fs]]&lt;0,0,BC360-DATA[[#This Row],[fecha_fs]]),0)</f>
        <v>0</v>
      </c>
      <c r="BH360" s="20">
        <f t="shared" si="39"/>
        <v>0</v>
      </c>
      <c r="BI360" s="20">
        <f t="shared" si="40"/>
        <v>38</v>
      </c>
      <c r="BJ360" s="20">
        <f t="shared" si="41"/>
        <v>0</v>
      </c>
      <c r="BK360" s="218">
        <f>IFERROR(SUM(DATA[[#This Row],[fs_fd_ttd]:[fend_fenf_ttd]]),0)</f>
        <v>38</v>
      </c>
      <c r="BL360" s="20" t="str">
        <f>IF(DATA[[#This Row],[fecha_fs]]&gt;0,TEXT(DATA[[#This Row],[fecha_fs]],"YYYY"),0)</f>
        <v>2025</v>
      </c>
      <c r="BM360" s="221" t="b">
        <v>1</v>
      </c>
      <c r="BN360" s="278">
        <f>COUNTIF(DATA[[#This Row],[tiempo_td]], "&lt;=15")</f>
        <v>0</v>
      </c>
      <c r="BO360" s="222"/>
    </row>
    <row r="361" spans="1:67" ht="30.6" customHeight="1" x14ac:dyDescent="0.25">
      <c r="A361" s="4">
        <v>20159473148</v>
      </c>
      <c r="B361" s="5" t="s">
        <v>280</v>
      </c>
      <c r="C361" s="52" t="s">
        <v>20</v>
      </c>
      <c r="D361" s="4" t="s">
        <v>120</v>
      </c>
      <c r="E361" s="5" t="s">
        <v>3</v>
      </c>
      <c r="F361" s="24">
        <v>45730</v>
      </c>
      <c r="G361" s="7" t="s">
        <v>113</v>
      </c>
      <c r="H361" s="25">
        <f t="shared" si="36"/>
        <v>1</v>
      </c>
      <c r="I361" s="67">
        <v>4238</v>
      </c>
      <c r="J361" s="8" t="s">
        <v>115</v>
      </c>
      <c r="K361" s="9" t="s">
        <v>121</v>
      </c>
      <c r="L361" s="10" t="s">
        <v>117</v>
      </c>
      <c r="M361" s="11">
        <v>3020</v>
      </c>
      <c r="N361" s="12" t="s">
        <v>209</v>
      </c>
      <c r="O361" s="6">
        <v>45731</v>
      </c>
      <c r="P361" s="13">
        <v>3342</v>
      </c>
      <c r="Q361" s="14" t="s">
        <v>85</v>
      </c>
      <c r="R361" s="15">
        <f>DATA[[#This Row],[cantidad_fs]]*0.08</f>
        <v>241.6</v>
      </c>
      <c r="S361" s="15">
        <v>2483.85</v>
      </c>
      <c r="T361" s="15">
        <f>DATA[[#This Row],[C. DF]]+DATA[[#This Row],[C.OPE.]]</f>
        <v>2725.45</v>
      </c>
      <c r="U361" s="15">
        <f>DATA[[#This Row],[SUB TOTAL]]*0.18</f>
        <v>490.58099999999996</v>
      </c>
      <c r="V361" s="15">
        <f>IFERROR(ROUND(DATA[[#This Row],[SUB TOTAL]]+DATA[[#This Row],[IGV]],2),0)</f>
        <v>3216.03</v>
      </c>
      <c r="W361" s="16" t="str">
        <f>IF(DATA[[#This Row],[VALORIZACIÓN ]]="-","NO CORRESPONDE",IF(OR(A361=20558226979,A361=10470707866,A361=20111157058,A361=20100226902),"NO CORRESPONDE",IF(J361="Emitida",IF(P361&gt;0,"EMITIDA","PENDIENTE"),"NO CORRESPONDE")))</f>
        <v>EMITIDA</v>
      </c>
      <c r="X361" s="29"/>
      <c r="Y361" s="17" t="s">
        <v>118</v>
      </c>
      <c r="Z361" s="30">
        <v>45755</v>
      </c>
      <c r="AA361" s="10" t="s">
        <v>150</v>
      </c>
      <c r="AB361" s="19">
        <v>21</v>
      </c>
      <c r="AC361" s="20">
        <v>15</v>
      </c>
      <c r="AD361" s="18">
        <f>DATA[[#This Row],[FECHA DE EMISION]]+DATA[[#This Row],[CONDICION DE PAGO]]</f>
        <v>45770</v>
      </c>
      <c r="AE361" s="23">
        <f>IF(DATA[[#This Row],[MONEDA]]="USD",VLOOKUP(DATA[[#This Row],[COMBINADA]],#REF!,11,0),1)</f>
        <v>1</v>
      </c>
      <c r="AF361" s="39" t="str">
        <f>IF(DATA[[#This Row],[SERIE2]]="-","NO CORRESPONDE",IF(W361="NO CORRESPONDE","NO CORRESPONDE",IF(Z361&gt;0,"FACTURADO","PENDIENTE")))</f>
        <v>FACTURADO</v>
      </c>
      <c r="AG361" s="27">
        <f>IFERROR(VLOOKUP(DATA[[#This Row],[COMBINADA]],#REF!,6,0),0)</f>
        <v>0</v>
      </c>
      <c r="AH361" s="125">
        <f>IFERROR(VLOOKUP(DATA[[#This Row],[COMBINADA]],#REF!,9,0),0)/COUNTIFS(DATA[COMBINADA],DATA[[#This Row],[COMBINADA]])</f>
        <v>0</v>
      </c>
      <c r="AI361" s="27">
        <f>IFERROR(VLOOKUP(DATA[[#This Row],[COMBINADA]],#REF!,6,0),0)</f>
        <v>0</v>
      </c>
      <c r="AJ361" s="125">
        <f>IFERROR(VLOOKUP(DATA[[#This Row],[COMBINADA]],#REF!,9,0),0)/COUNTIFS(DATA[COMBINADA],DATA[[#This Row],[COMBINADA]])</f>
        <v>0</v>
      </c>
      <c r="AK361" s="27">
        <f>IFERROR(VLOOKUP(DATA[[#This Row],[COMBINADA]],#REF!,6,0),0)</f>
        <v>0</v>
      </c>
      <c r="AL361" s="125">
        <f>IFERROR(VLOOKUP(DATA[[#This Row],[COMBINADA]],#REF!,9,0),0)/COUNTIFS(DATA[COMBINADA],DATA[[#This Row],[COMBINADA]])</f>
        <v>0</v>
      </c>
      <c r="AM361" s="27">
        <f>IFERROR(VLOOKUP(DATA[[#This Row],[COMBINADA]],#REF!,6,0),0)</f>
        <v>0</v>
      </c>
      <c r="AN361" s="125">
        <f>IFERROR(VLOOKUP(DATA[[#This Row],[COMBINADA]],#REF!,9,0),0)/COUNTIFS(DATA[COMBINADA],DATA[[#This Row],[COMBINADA]])</f>
        <v>0</v>
      </c>
      <c r="AO361" s="27">
        <f>IFERROR(VLOOKUP(DATA[[#This Row],[COMBINADA]],#REF!,6,0),0)</f>
        <v>0</v>
      </c>
      <c r="AP361" s="125">
        <f>IFERROR(VLOOKUP(DATA[[#This Row],[COMBINADA]],#REF!,9,0),0)/COUNTIFS(DATA[COMBINADA],DATA[[#This Row],[COMBINADA]])</f>
        <v>0</v>
      </c>
      <c r="AQ36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3216.03</v>
      </c>
      <c r="AR361" s="26" t="str">
        <f>IFERROR(IF(DATA[[#This Row],[estado_fact]]="FACTURADO",VLOOKUP(DATA[[#This Row],[SERIE2]]&amp;"-"&amp;DATA[[#This Row],[NUMERO]],#REF!,34,0),"NO CORRESPONDE"),"NO CORRESPONDE")</f>
        <v>NO CORRESPONDE</v>
      </c>
      <c r="AS361" s="22" t="str">
        <f>IF(DATA[[#This Row],[fecha_fs]]&gt;0,TEXT(DATA[[#This Row],[fecha_fs]],"Mmmm"),0)</f>
        <v>Marzo</v>
      </c>
      <c r="AT361" s="22" t="str">
        <f>DATA[[#This Row],[SERIE2]]&amp;"-"&amp;DATA[[#This Row],[NUMERO]]</f>
        <v>FF01-21</v>
      </c>
      <c r="AU361" s="28">
        <f>DATA[[#This Row],[TOTAL]]*DATA[[#This Row],[T.C.]]</f>
        <v>3216.03</v>
      </c>
      <c r="AV361" s="6">
        <f>DATA[[#This Row],[FECHA DE VAL.]]</f>
        <v>45731</v>
      </c>
      <c r="AW361" s="6">
        <f>DATA[[#This Row],[FECHA DE EMISION]]</f>
        <v>45755</v>
      </c>
      <c r="AX361" s="6">
        <f>DATA[[#This Row],[F1]]</f>
        <v>0</v>
      </c>
      <c r="AY361" s="20">
        <f>IF(AV361-DATA[[#This Row],[fecha_fs]]&lt;0,0,AV361-DATA[[#This Row],[fecha_fs]])</f>
        <v>1</v>
      </c>
      <c r="AZ361" s="20">
        <f t="shared" si="37"/>
        <v>24</v>
      </c>
      <c r="BA361" s="20">
        <f t="shared" si="38"/>
        <v>0</v>
      </c>
      <c r="BB361" s="195">
        <f>IFERROR(SUM(DATA[[#This Row],[fs_val_ttf]:[fact_pago_ttf]]),0)</f>
        <v>25</v>
      </c>
      <c r="BC361" s="185">
        <v>45730</v>
      </c>
      <c r="BD361" s="185">
        <v>45735</v>
      </c>
      <c r="BE361" s="185">
        <v>45741</v>
      </c>
      <c r="BF361" s="185">
        <v>45755</v>
      </c>
      <c r="BG361" s="20">
        <f>IFERROR(IF(BC361-DATA[[#This Row],[fecha_fs]]&lt;0,0,BC361-DATA[[#This Row],[fecha_fs]]),0)</f>
        <v>0</v>
      </c>
      <c r="BH361" s="20">
        <f t="shared" si="39"/>
        <v>5</v>
      </c>
      <c r="BI361" s="20">
        <f t="shared" si="40"/>
        <v>6</v>
      </c>
      <c r="BJ361" s="20">
        <f t="shared" si="41"/>
        <v>14</v>
      </c>
      <c r="BK361" s="218">
        <f>IFERROR(SUM(DATA[[#This Row],[fs_fd_ttd]:[fend_fenf_ttd]]),0)</f>
        <v>25</v>
      </c>
      <c r="BL361" s="20" t="str">
        <f>IF(DATA[[#This Row],[fecha_fs]]&gt;0,TEXT(DATA[[#This Row],[fecha_fs]],"YYYY"),0)</f>
        <v>2025</v>
      </c>
      <c r="BM361" s="221" t="b">
        <v>1</v>
      </c>
      <c r="BN361" s="278">
        <f>COUNTIF(DATA[[#This Row],[tiempo_td]], "&lt;=15")</f>
        <v>0</v>
      </c>
      <c r="BO361" s="222"/>
    </row>
    <row r="362" spans="1:67" ht="30.6" customHeight="1" x14ac:dyDescent="0.25">
      <c r="A362" s="4">
        <v>20100211115</v>
      </c>
      <c r="B362" s="5" t="s">
        <v>41</v>
      </c>
      <c r="C362" s="52" t="s">
        <v>18</v>
      </c>
      <c r="D362" s="4" t="s">
        <v>120</v>
      </c>
      <c r="E362" s="5" t="s">
        <v>3</v>
      </c>
      <c r="F362" s="24">
        <v>45730</v>
      </c>
      <c r="G362" s="7" t="s">
        <v>113</v>
      </c>
      <c r="H362" s="25">
        <f t="shared" si="36"/>
        <v>1</v>
      </c>
      <c r="I362" s="67">
        <v>4239</v>
      </c>
      <c r="J362" s="8" t="s">
        <v>115</v>
      </c>
      <c r="K362" s="9" t="s">
        <v>163</v>
      </c>
      <c r="L362" s="10" t="s">
        <v>117</v>
      </c>
      <c r="M362" s="11">
        <v>796</v>
      </c>
      <c r="N362" s="12" t="s">
        <v>125</v>
      </c>
      <c r="O362" s="6">
        <v>45743</v>
      </c>
      <c r="P362" s="115">
        <v>3363</v>
      </c>
      <c r="Q362" s="14" t="s">
        <v>85</v>
      </c>
      <c r="R362" s="15"/>
      <c r="S362" s="15">
        <f>DATA[[#This Row],[cantidad_fs]]*0.72</f>
        <v>573.12</v>
      </c>
      <c r="T362" s="15">
        <f>DATA[[#This Row],[C. DF]]+DATA[[#This Row],[C.OPE.]]</f>
        <v>573.12</v>
      </c>
      <c r="U362" s="15">
        <f>DATA[[#This Row],[SUB TOTAL]]*0.18</f>
        <v>103.16159999999999</v>
      </c>
      <c r="V362" s="15">
        <f>IFERROR(ROUND(DATA[[#This Row],[SUB TOTAL]]+DATA[[#This Row],[IGV]],2),0)</f>
        <v>676.28</v>
      </c>
      <c r="W362" s="16" t="str">
        <f>IF(DATA[[#This Row],[VALORIZACIÓN ]]="-","NO CORRESPONDE",IF(OR(A362=20558226979,A362=10470707866,A362=20111157058,A362=20100226902),"NO CORRESPONDE",IF(J362="Emitida",IF(P362&gt;0,"EMITIDA","PENDIENTE"),"NO CORRESPONDE")))</f>
        <v>EMITIDA</v>
      </c>
      <c r="X362" s="29"/>
      <c r="Y362" s="17" t="s">
        <v>118</v>
      </c>
      <c r="Z362" s="30">
        <v>45744</v>
      </c>
      <c r="AA362" s="10" t="s">
        <v>150</v>
      </c>
      <c r="AB362" s="19">
        <v>3</v>
      </c>
      <c r="AC362" s="20">
        <v>30</v>
      </c>
      <c r="AD362" s="18">
        <f>DATA[[#This Row],[FECHA DE EMISION]]+DATA[[#This Row],[CONDICION DE PAGO]]</f>
        <v>45774</v>
      </c>
      <c r="AE362" s="23">
        <f>IF(DATA[[#This Row],[MONEDA]]="USD",VLOOKUP(DATA[[#This Row],[COMBINADA]],#REF!,11,0),1)</f>
        <v>1</v>
      </c>
      <c r="AF362" s="39" t="str">
        <f>IF(DATA[[#This Row],[SERIE2]]="-","NO CORRESPONDE",IF(W362="NO CORRESPONDE","NO CORRESPONDE",IF(Z362&gt;0,"FACTURADO","PENDIENTE")))</f>
        <v>FACTURADO</v>
      </c>
      <c r="AG362" s="27">
        <f>IFERROR(VLOOKUP(DATA[[#This Row],[COMBINADA]],#REF!,6,0),0)</f>
        <v>0</v>
      </c>
      <c r="AH362" s="125">
        <f>IFERROR(VLOOKUP(DATA[[#This Row],[COMBINADA]],#REF!,9,0),0)/COUNTIFS(DATA[COMBINADA],DATA[[#This Row],[COMBINADA]])</f>
        <v>0</v>
      </c>
      <c r="AI362" s="27">
        <f>IFERROR(VLOOKUP(DATA[[#This Row],[COMBINADA]],#REF!,6,0),0)</f>
        <v>0</v>
      </c>
      <c r="AJ362" s="125">
        <f>IFERROR(VLOOKUP(DATA[[#This Row],[COMBINADA]],#REF!,9,0),0)/COUNTIFS(DATA[COMBINADA],DATA[[#This Row],[COMBINADA]])</f>
        <v>0</v>
      </c>
      <c r="AK362" s="27">
        <f>IFERROR(VLOOKUP(DATA[[#This Row],[COMBINADA]],#REF!,6,0),0)</f>
        <v>0</v>
      </c>
      <c r="AL362" s="125">
        <f>IFERROR(VLOOKUP(DATA[[#This Row],[COMBINADA]],#REF!,9,0),0)/COUNTIFS(DATA[COMBINADA],DATA[[#This Row],[COMBINADA]])</f>
        <v>0</v>
      </c>
      <c r="AM362" s="27">
        <f>IFERROR(VLOOKUP(DATA[[#This Row],[COMBINADA]],#REF!,6,0),0)</f>
        <v>0</v>
      </c>
      <c r="AN362" s="125">
        <f>IFERROR(VLOOKUP(DATA[[#This Row],[COMBINADA]],#REF!,9,0),0)/COUNTIFS(DATA[COMBINADA],DATA[[#This Row],[COMBINADA]])</f>
        <v>0</v>
      </c>
      <c r="AO362" s="27">
        <f>IFERROR(VLOOKUP(DATA[[#This Row],[COMBINADA]],#REF!,6,0),0)</f>
        <v>0</v>
      </c>
      <c r="AP362" s="125">
        <f>IFERROR(VLOOKUP(DATA[[#This Row],[COMBINADA]],#REF!,9,0),0)/COUNTIFS(DATA[COMBINADA],DATA[[#This Row],[COMBINADA]])</f>
        <v>0</v>
      </c>
      <c r="AQ36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676.28</v>
      </c>
      <c r="AR362" s="26" t="str">
        <f>IFERROR(IF(DATA[[#This Row],[estado_fact]]="FACTURADO",VLOOKUP(DATA[[#This Row],[SERIE2]]&amp;"-"&amp;DATA[[#This Row],[NUMERO]],#REF!,34,0),"NO CORRESPONDE"),"NO CORRESPONDE")</f>
        <v>NO CORRESPONDE</v>
      </c>
      <c r="AS362" s="22" t="str">
        <f>IF(DATA[[#This Row],[fecha_fs]]&gt;0,TEXT(DATA[[#This Row],[fecha_fs]],"Mmmm"),0)</f>
        <v>Marzo</v>
      </c>
      <c r="AT362" s="22" t="str">
        <f>DATA[[#This Row],[SERIE2]]&amp;"-"&amp;DATA[[#This Row],[NUMERO]]</f>
        <v>FF01-3</v>
      </c>
      <c r="AU362" s="28">
        <f>DATA[[#This Row],[TOTAL]]*DATA[[#This Row],[T.C.]]</f>
        <v>676.28</v>
      </c>
      <c r="AV362" s="6">
        <f>DATA[[#This Row],[FECHA DE VAL.]]</f>
        <v>45743</v>
      </c>
      <c r="AW362" s="6">
        <f>DATA[[#This Row],[FECHA DE EMISION]]</f>
        <v>45744</v>
      </c>
      <c r="AX362" s="6">
        <f>DATA[[#This Row],[F1]]</f>
        <v>0</v>
      </c>
      <c r="AY362" s="20">
        <f>IF(AV362-DATA[[#This Row],[fecha_fs]]&lt;0,0,AV362-DATA[[#This Row],[fecha_fs]])</f>
        <v>13</v>
      </c>
      <c r="AZ362" s="20">
        <f t="shared" si="37"/>
        <v>1</v>
      </c>
      <c r="BA362" s="20">
        <f t="shared" si="38"/>
        <v>0</v>
      </c>
      <c r="BB362" s="195">
        <f>IFERROR(SUM(DATA[[#This Row],[fs_val_ttf]:[fact_pago_ttf]]),0)</f>
        <v>14</v>
      </c>
      <c r="BC362" s="185">
        <v>45742</v>
      </c>
      <c r="BD362" s="185">
        <v>45751</v>
      </c>
      <c r="BE362" s="185">
        <v>45757</v>
      </c>
      <c r="BF362" s="185">
        <v>45758</v>
      </c>
      <c r="BG362" s="20">
        <f>IFERROR(IF(BC362-DATA[[#This Row],[fecha_fs]]&lt;0,0,BC362-DATA[[#This Row],[fecha_fs]]),0)</f>
        <v>12</v>
      </c>
      <c r="BH362" s="20">
        <f t="shared" si="39"/>
        <v>9</v>
      </c>
      <c r="BI362" s="20">
        <f t="shared" si="40"/>
        <v>6</v>
      </c>
      <c r="BJ362" s="20">
        <f t="shared" si="41"/>
        <v>1</v>
      </c>
      <c r="BK362" s="218">
        <f>IFERROR(SUM(DATA[[#This Row],[fs_fd_ttd]:[fend_fenf_ttd]]),0)</f>
        <v>28</v>
      </c>
      <c r="BL362" s="20" t="str">
        <f>IF(DATA[[#This Row],[fecha_fs]]&gt;0,TEXT(DATA[[#This Row],[fecha_fs]],"YYYY"),0)</f>
        <v>2025</v>
      </c>
      <c r="BM362" s="221" t="b">
        <v>1</v>
      </c>
      <c r="BN362" s="278">
        <f>COUNTIF(DATA[[#This Row],[tiempo_td]], "&lt;=15")</f>
        <v>0</v>
      </c>
      <c r="BO362" s="222"/>
    </row>
    <row r="363" spans="1:67" ht="30.6" customHeight="1" x14ac:dyDescent="0.25">
      <c r="A363" s="4">
        <v>20141637941</v>
      </c>
      <c r="B363" s="5" t="s">
        <v>79</v>
      </c>
      <c r="C363" s="52" t="s">
        <v>18</v>
      </c>
      <c r="D363" s="4" t="s">
        <v>120</v>
      </c>
      <c r="E363" s="5" t="s">
        <v>3</v>
      </c>
      <c r="F363" s="24">
        <v>45733</v>
      </c>
      <c r="G363" s="7" t="s">
        <v>113</v>
      </c>
      <c r="H363" s="25">
        <f t="shared" si="36"/>
        <v>1</v>
      </c>
      <c r="I363" s="67">
        <v>4240</v>
      </c>
      <c r="J363" s="8" t="s">
        <v>115</v>
      </c>
      <c r="K363" s="9" t="s">
        <v>121</v>
      </c>
      <c r="L363" s="10" t="s">
        <v>117</v>
      </c>
      <c r="M363" s="11">
        <v>1030</v>
      </c>
      <c r="N363" s="12" t="s">
        <v>127</v>
      </c>
      <c r="O363" s="6">
        <v>45740</v>
      </c>
      <c r="P363" s="110">
        <v>3343</v>
      </c>
      <c r="Q363" s="14" t="s">
        <v>85</v>
      </c>
      <c r="R363" s="15">
        <f>70+(DATA[[#This Row],[cantidad_fs]]-1000)*0.1</f>
        <v>73</v>
      </c>
      <c r="S363" s="15">
        <v>517</v>
      </c>
      <c r="T363" s="15">
        <f>DATA[[#This Row],[C. DF]]+DATA[[#This Row],[C.OPE.]]</f>
        <v>590</v>
      </c>
      <c r="U363" s="15">
        <f>DATA[[#This Row],[SUB TOTAL]]*0.18</f>
        <v>106.2</v>
      </c>
      <c r="V363" s="15">
        <f>IFERROR(ROUND(DATA[[#This Row],[SUB TOTAL]]+DATA[[#This Row],[IGV]],2),0)</f>
        <v>696.2</v>
      </c>
      <c r="W363" s="16" t="str">
        <f>IF(DATA[[#This Row],[VALORIZACIÓN ]]="-","NO CORRESPONDE",IF(OR(A363=20558226979,A363=10470707866,A363=20111157058,A363=20100226902),"NO CORRESPONDE",IF(J363="Emitida",IF(P363&gt;0,"EMITIDA","PENDIENTE"),"NO CORRESPONDE")))</f>
        <v>EMITIDA</v>
      </c>
      <c r="X363" s="29"/>
      <c r="Y363" s="17" t="s">
        <v>118</v>
      </c>
      <c r="Z363" s="30">
        <v>45741</v>
      </c>
      <c r="AA363" s="10" t="s">
        <v>119</v>
      </c>
      <c r="AB363" s="19">
        <v>53</v>
      </c>
      <c r="AC363" s="20">
        <v>30</v>
      </c>
      <c r="AD363" s="18">
        <f>DATA[[#This Row],[FECHA DE EMISION]]+DATA[[#This Row],[CONDICION DE PAGO]]</f>
        <v>45771</v>
      </c>
      <c r="AE363" s="23">
        <f>IF(DATA[[#This Row],[MONEDA]]="USD",VLOOKUP(DATA[[#This Row],[COMBINADA]],#REF!,11,0),1)</f>
        <v>1</v>
      </c>
      <c r="AF363" s="39" t="str">
        <f>IF(DATA[[#This Row],[SERIE2]]="-","NO CORRESPONDE",IF(W363="NO CORRESPONDE","NO CORRESPONDE",IF(Z363&gt;0,"FACTURADO","PENDIENTE")))</f>
        <v>FACTURADO</v>
      </c>
      <c r="AG363" s="27">
        <f>IFERROR(VLOOKUP(DATA[[#This Row],[COMBINADA]],#REF!,6,0),0)</f>
        <v>0</v>
      </c>
      <c r="AH363" s="125">
        <f>IFERROR(VLOOKUP(DATA[[#This Row],[COMBINADA]],#REF!,9,0),0)/COUNTIFS(DATA[COMBINADA],DATA[[#This Row],[COMBINADA]])</f>
        <v>0</v>
      </c>
      <c r="AI363" s="27">
        <f>IFERROR(VLOOKUP(DATA[[#This Row],[COMBINADA]],#REF!,6,0),0)</f>
        <v>0</v>
      </c>
      <c r="AJ363" s="125">
        <f>IFERROR(VLOOKUP(DATA[[#This Row],[COMBINADA]],#REF!,9,0),0)/COUNTIFS(DATA[COMBINADA],DATA[[#This Row],[COMBINADA]])</f>
        <v>0</v>
      </c>
      <c r="AK363" s="27">
        <f>IFERROR(VLOOKUP(DATA[[#This Row],[COMBINADA]],#REF!,6,0),0)</f>
        <v>0</v>
      </c>
      <c r="AL363" s="125">
        <f>IFERROR(VLOOKUP(DATA[[#This Row],[COMBINADA]],#REF!,9,0),0)/COUNTIFS(DATA[COMBINADA],DATA[[#This Row],[COMBINADA]])</f>
        <v>0</v>
      </c>
      <c r="AM363" s="27">
        <f>IFERROR(VLOOKUP(DATA[[#This Row],[COMBINADA]],#REF!,6,0),0)</f>
        <v>0</v>
      </c>
      <c r="AN363" s="125">
        <f>IFERROR(VLOOKUP(DATA[[#This Row],[COMBINADA]],#REF!,9,0),0)/COUNTIFS(DATA[COMBINADA],DATA[[#This Row],[COMBINADA]])</f>
        <v>0</v>
      </c>
      <c r="AO363" s="27">
        <f>IFERROR(VLOOKUP(DATA[[#This Row],[COMBINADA]],#REF!,6,0),0)</f>
        <v>0</v>
      </c>
      <c r="AP363" s="125">
        <f>IFERROR(VLOOKUP(DATA[[#This Row],[COMBINADA]],#REF!,9,0),0)/COUNTIFS(DATA[COMBINADA],DATA[[#This Row],[COMBINADA]])</f>
        <v>0</v>
      </c>
      <c r="AQ36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703.28000000000009</v>
      </c>
      <c r="AR363" s="26" t="str">
        <f>IFERROR(IF(DATA[[#This Row],[estado_fact]]="FACTURADO",VLOOKUP(DATA[[#This Row],[SERIE2]]&amp;"-"&amp;DATA[[#This Row],[NUMERO]],#REF!,34,0),"NO CORRESPONDE"),"NO CORRESPONDE")</f>
        <v>NO CORRESPONDE</v>
      </c>
      <c r="AS363" s="22" t="str">
        <f>IF(DATA[[#This Row],[fecha_fs]]&gt;0,TEXT(DATA[[#This Row],[fecha_fs]],"Mmmm"),0)</f>
        <v>Marzo</v>
      </c>
      <c r="AT363" s="22" t="str">
        <f>DATA[[#This Row],[SERIE2]]&amp;"-"&amp;DATA[[#This Row],[NUMERO]]</f>
        <v>E001-53</v>
      </c>
      <c r="AU363" s="28">
        <f>DATA[[#This Row],[TOTAL]]*DATA[[#This Row],[T.C.]]</f>
        <v>696.2</v>
      </c>
      <c r="AV363" s="6">
        <f>DATA[[#This Row],[FECHA DE VAL.]]</f>
        <v>45740</v>
      </c>
      <c r="AW363" s="6">
        <f>DATA[[#This Row],[FECHA DE EMISION]]</f>
        <v>45741</v>
      </c>
      <c r="AX363" s="6">
        <f>DATA[[#This Row],[F1]]</f>
        <v>0</v>
      </c>
      <c r="AY363" s="20">
        <f>IF(AV363-DATA[[#This Row],[fecha_fs]]&lt;0,0,AV363-DATA[[#This Row],[fecha_fs]])</f>
        <v>7</v>
      </c>
      <c r="AZ363" s="20">
        <f t="shared" si="37"/>
        <v>1</v>
      </c>
      <c r="BA363" s="20">
        <f t="shared" si="38"/>
        <v>0</v>
      </c>
      <c r="BB363" s="195">
        <f>IFERROR(SUM(DATA[[#This Row],[fs_val_ttf]:[fact_pago_ttf]]),0)</f>
        <v>8</v>
      </c>
      <c r="BC363" s="185">
        <v>45733</v>
      </c>
      <c r="BD363" s="185">
        <v>45733</v>
      </c>
      <c r="BE363" s="185">
        <v>45741</v>
      </c>
      <c r="BF363" s="185">
        <v>45741</v>
      </c>
      <c r="BG363" s="20">
        <f>IFERROR(IF(BC363-DATA[[#This Row],[fecha_fs]]&lt;0,0,BC363-DATA[[#This Row],[fecha_fs]]),0)</f>
        <v>0</v>
      </c>
      <c r="BH363" s="20">
        <f t="shared" si="39"/>
        <v>0</v>
      </c>
      <c r="BI363" s="20">
        <f t="shared" si="40"/>
        <v>8</v>
      </c>
      <c r="BJ363" s="20">
        <f t="shared" si="41"/>
        <v>0</v>
      </c>
      <c r="BK363" s="218">
        <f>IFERROR(SUM(DATA[[#This Row],[fs_fd_ttd]:[fend_fenf_ttd]]),0)</f>
        <v>8</v>
      </c>
      <c r="BL363" s="20" t="str">
        <f>IF(DATA[[#This Row],[fecha_fs]]&gt;0,TEXT(DATA[[#This Row],[fecha_fs]],"YYYY"),0)</f>
        <v>2025</v>
      </c>
      <c r="BM363" s="221" t="b">
        <v>1</v>
      </c>
      <c r="BN363" s="278">
        <f>COUNTIF(DATA[[#This Row],[tiempo_td]], "&lt;=15")</f>
        <v>1</v>
      </c>
      <c r="BO363" s="222"/>
    </row>
    <row r="364" spans="1:67" ht="30.6" customHeight="1" x14ac:dyDescent="0.25">
      <c r="A364" s="4">
        <v>20100211115</v>
      </c>
      <c r="B364" s="5" t="s">
        <v>41</v>
      </c>
      <c r="C364" s="52" t="s">
        <v>18</v>
      </c>
      <c r="D364" s="4" t="s">
        <v>112</v>
      </c>
      <c r="E364" s="5" t="s">
        <v>1</v>
      </c>
      <c r="F364" s="24">
        <v>45730</v>
      </c>
      <c r="G364" s="7" t="s">
        <v>113</v>
      </c>
      <c r="H364" s="25">
        <f t="shared" si="36"/>
        <v>1</v>
      </c>
      <c r="I364" s="67">
        <v>4241</v>
      </c>
      <c r="J364" s="8" t="s">
        <v>115</v>
      </c>
      <c r="K364" s="9" t="s">
        <v>116</v>
      </c>
      <c r="L364" s="10" t="s">
        <v>117</v>
      </c>
      <c r="M364" s="11">
        <v>15</v>
      </c>
      <c r="N364" s="12" t="s">
        <v>132</v>
      </c>
      <c r="O364" s="6">
        <v>45743</v>
      </c>
      <c r="P364" s="115">
        <v>3364</v>
      </c>
      <c r="Q364" s="14" t="s">
        <v>85</v>
      </c>
      <c r="R364" s="15"/>
      <c r="S364" s="15">
        <f>(DATA[[#This Row],[cantidad_fs]]*4.57)</f>
        <v>68.550000000000011</v>
      </c>
      <c r="T364" s="15">
        <f>DATA[[#This Row],[C. DF]]+DATA[[#This Row],[C.OPE.]]</f>
        <v>68.550000000000011</v>
      </c>
      <c r="U364" s="15">
        <f>DATA[[#This Row],[SUB TOTAL]]*0.18</f>
        <v>12.339000000000002</v>
      </c>
      <c r="V364" s="15">
        <f>IFERROR(ROUND(DATA[[#This Row],[SUB TOTAL]]+DATA[[#This Row],[IGV]],2),0)</f>
        <v>80.89</v>
      </c>
      <c r="W364" s="16" t="str">
        <f>IF(DATA[[#This Row],[VALORIZACIÓN ]]="-","NO CORRESPONDE",IF(OR(A364=20558226979,A364=10470707866,A364=20111157058,A364=20100226902),"NO CORRESPONDE",IF(J364="Emitida",IF(P364&gt;0,"EMITIDA","PENDIENTE"),"NO CORRESPONDE")))</f>
        <v>EMITIDA</v>
      </c>
      <c r="X364" s="29"/>
      <c r="Y364" s="17" t="s">
        <v>118</v>
      </c>
      <c r="Z364" s="30">
        <v>45744</v>
      </c>
      <c r="AA364" s="10" t="s">
        <v>150</v>
      </c>
      <c r="AB364" s="19">
        <v>4</v>
      </c>
      <c r="AC364" s="20">
        <v>30</v>
      </c>
      <c r="AD364" s="18">
        <f>DATA[[#This Row],[FECHA DE EMISION]]+DATA[[#This Row],[CONDICION DE PAGO]]</f>
        <v>45774</v>
      </c>
      <c r="AE364" s="23">
        <f>IF(DATA[[#This Row],[MONEDA]]="USD",VLOOKUP(DATA[[#This Row],[COMBINADA]],#REF!,11,0),1)</f>
        <v>1</v>
      </c>
      <c r="AF364" s="39" t="str">
        <f>IF(DATA[[#This Row],[SERIE2]]="-","NO CORRESPONDE",IF(W364="NO CORRESPONDE","NO CORRESPONDE",IF(Z364&gt;0,"FACTURADO","PENDIENTE")))</f>
        <v>FACTURADO</v>
      </c>
      <c r="AG364" s="27">
        <f>IFERROR(VLOOKUP(DATA[[#This Row],[COMBINADA]],#REF!,6,0),0)</f>
        <v>0</v>
      </c>
      <c r="AH364" s="125">
        <f>IFERROR(VLOOKUP(DATA[[#This Row],[COMBINADA]],#REF!,9,0),0)/COUNTIFS(DATA[COMBINADA],DATA[[#This Row],[COMBINADA]])</f>
        <v>0</v>
      </c>
      <c r="AI364" s="27">
        <f>IFERROR(VLOOKUP(DATA[[#This Row],[COMBINADA]],#REF!,6,0),0)</f>
        <v>0</v>
      </c>
      <c r="AJ364" s="125">
        <f>IFERROR(VLOOKUP(DATA[[#This Row],[COMBINADA]],#REF!,9,0),0)/COUNTIFS(DATA[COMBINADA],DATA[[#This Row],[COMBINADA]])</f>
        <v>0</v>
      </c>
      <c r="AK364" s="27">
        <f>IFERROR(VLOOKUP(DATA[[#This Row],[COMBINADA]],#REF!,6,0),0)</f>
        <v>0</v>
      </c>
      <c r="AL364" s="125">
        <f>IFERROR(VLOOKUP(DATA[[#This Row],[COMBINADA]],#REF!,9,0),0)/COUNTIFS(DATA[COMBINADA],DATA[[#This Row],[COMBINADA]])</f>
        <v>0</v>
      </c>
      <c r="AM364" s="27">
        <f>IFERROR(VLOOKUP(DATA[[#This Row],[COMBINADA]],#REF!,6,0),0)</f>
        <v>0</v>
      </c>
      <c r="AN364" s="125">
        <f>IFERROR(VLOOKUP(DATA[[#This Row],[COMBINADA]],#REF!,9,0),0)/COUNTIFS(DATA[COMBINADA],DATA[[#This Row],[COMBINADA]])</f>
        <v>0</v>
      </c>
      <c r="AO364" s="27">
        <f>IFERROR(VLOOKUP(DATA[[#This Row],[COMBINADA]],#REF!,6,0),0)</f>
        <v>0</v>
      </c>
      <c r="AP364" s="125">
        <f>IFERROR(VLOOKUP(DATA[[#This Row],[COMBINADA]],#REF!,9,0),0)/COUNTIFS(DATA[COMBINADA],DATA[[#This Row],[COMBINADA]])</f>
        <v>0</v>
      </c>
      <c r="AQ36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80.89</v>
      </c>
      <c r="AR364" s="26" t="str">
        <f>IFERROR(IF(DATA[[#This Row],[estado_fact]]="FACTURADO",VLOOKUP(DATA[[#This Row],[SERIE2]]&amp;"-"&amp;DATA[[#This Row],[NUMERO]],#REF!,34,0),"NO CORRESPONDE"),"NO CORRESPONDE")</f>
        <v>NO CORRESPONDE</v>
      </c>
      <c r="AS364" s="22" t="str">
        <f>IF(DATA[[#This Row],[fecha_fs]]&gt;0,TEXT(DATA[[#This Row],[fecha_fs]],"Mmmm"),0)</f>
        <v>Marzo</v>
      </c>
      <c r="AT364" s="22" t="str">
        <f>DATA[[#This Row],[SERIE2]]&amp;"-"&amp;DATA[[#This Row],[NUMERO]]</f>
        <v>FF01-4</v>
      </c>
      <c r="AU364" s="28">
        <f>DATA[[#This Row],[TOTAL]]*DATA[[#This Row],[T.C.]]</f>
        <v>80.89</v>
      </c>
      <c r="AV364" s="6">
        <f>DATA[[#This Row],[FECHA DE VAL.]]</f>
        <v>45743</v>
      </c>
      <c r="AW364" s="6">
        <f>DATA[[#This Row],[FECHA DE EMISION]]</f>
        <v>45744</v>
      </c>
      <c r="AX364" s="6">
        <f>DATA[[#This Row],[F1]]</f>
        <v>0</v>
      </c>
      <c r="AY364" s="20">
        <f>IF(AV364-DATA[[#This Row],[fecha_fs]]&lt;0,0,AV364-DATA[[#This Row],[fecha_fs]])</f>
        <v>13</v>
      </c>
      <c r="AZ364" s="20">
        <f t="shared" si="37"/>
        <v>1</v>
      </c>
      <c r="BA364" s="20">
        <f t="shared" si="38"/>
        <v>0</v>
      </c>
      <c r="BB364" s="195">
        <f>IFERROR(SUM(DATA[[#This Row],[fs_val_ttf]:[fact_pago_ttf]]),0)</f>
        <v>14</v>
      </c>
      <c r="BC364" s="185">
        <v>45748</v>
      </c>
      <c r="BD364" s="185">
        <v>45751</v>
      </c>
      <c r="BE364" s="185">
        <v>45757</v>
      </c>
      <c r="BF364" s="185">
        <v>45758</v>
      </c>
      <c r="BG364" s="20">
        <f>IFERROR(IF(BC364-DATA[[#This Row],[fecha_fs]]&lt;0,0,BC364-DATA[[#This Row],[fecha_fs]]),0)</f>
        <v>18</v>
      </c>
      <c r="BH364" s="20">
        <f t="shared" si="39"/>
        <v>3</v>
      </c>
      <c r="BI364" s="20">
        <f t="shared" si="40"/>
        <v>6</v>
      </c>
      <c r="BJ364" s="20">
        <f t="shared" si="41"/>
        <v>1</v>
      </c>
      <c r="BK364" s="218">
        <f>IFERROR(SUM(DATA[[#This Row],[fs_fd_ttd]:[fend_fenf_ttd]]),0)</f>
        <v>28</v>
      </c>
      <c r="BL364" s="20" t="str">
        <f>IF(DATA[[#This Row],[fecha_fs]]&gt;0,TEXT(DATA[[#This Row],[fecha_fs]],"YYYY"),0)</f>
        <v>2025</v>
      </c>
      <c r="BM364" s="221" t="b">
        <v>1</v>
      </c>
      <c r="BN364" s="278">
        <f>COUNTIF(DATA[[#This Row],[tiempo_td]], "&lt;=15")</f>
        <v>0</v>
      </c>
      <c r="BO364" s="222"/>
    </row>
    <row r="365" spans="1:67" ht="30.6" customHeight="1" x14ac:dyDescent="0.25">
      <c r="A365" s="4">
        <v>20100211115</v>
      </c>
      <c r="B365" s="5" t="s">
        <v>41</v>
      </c>
      <c r="C365" s="52" t="s">
        <v>18</v>
      </c>
      <c r="D365" s="4" t="s">
        <v>120</v>
      </c>
      <c r="E365" s="5" t="s">
        <v>3</v>
      </c>
      <c r="F365" s="24">
        <v>45733</v>
      </c>
      <c r="G365" s="7" t="s">
        <v>113</v>
      </c>
      <c r="H365" s="25">
        <f t="shared" si="36"/>
        <v>1</v>
      </c>
      <c r="I365" s="67">
        <v>4242</v>
      </c>
      <c r="J365" s="8" t="s">
        <v>115</v>
      </c>
      <c r="K365" s="9" t="s">
        <v>121</v>
      </c>
      <c r="L365" s="10" t="s">
        <v>117</v>
      </c>
      <c r="M365" s="11">
        <v>90</v>
      </c>
      <c r="N365" s="12" t="s">
        <v>125</v>
      </c>
      <c r="O365" s="6">
        <v>45743</v>
      </c>
      <c r="P365" s="115">
        <v>3362</v>
      </c>
      <c r="Q365" s="14" t="s">
        <v>85</v>
      </c>
      <c r="R365" s="15"/>
      <c r="S365" s="15">
        <f>(DATA[[#This Row],[cantidad_fs]]*4.37)</f>
        <v>393.3</v>
      </c>
      <c r="T365" s="15">
        <f>DATA[[#This Row],[C. DF]]+DATA[[#This Row],[C.OPE.]]</f>
        <v>393.3</v>
      </c>
      <c r="U365" s="15">
        <f>DATA[[#This Row],[SUB TOTAL]]*0.18</f>
        <v>70.793999999999997</v>
      </c>
      <c r="V365" s="15">
        <f>IFERROR(ROUND(DATA[[#This Row],[SUB TOTAL]]+DATA[[#This Row],[IGV]],2),0)</f>
        <v>464.09</v>
      </c>
      <c r="W365" s="16" t="str">
        <f>IF(DATA[[#This Row],[VALORIZACIÓN ]]="-","NO CORRESPONDE",IF(OR(A365=20558226979,A365=10470707866,A365=20111157058,A365=20100226902),"NO CORRESPONDE",IF(J365="Emitida",IF(P365&gt;0,"EMITIDA","PENDIENTE"),"NO CORRESPONDE")))</f>
        <v>EMITIDA</v>
      </c>
      <c r="X365" s="29"/>
      <c r="Y365" s="17" t="s">
        <v>118</v>
      </c>
      <c r="Z365" s="30">
        <v>45744</v>
      </c>
      <c r="AA365" s="10" t="s">
        <v>150</v>
      </c>
      <c r="AB365" s="19">
        <v>2</v>
      </c>
      <c r="AC365" s="20">
        <v>30</v>
      </c>
      <c r="AD365" s="18">
        <f>DATA[[#This Row],[FECHA DE EMISION]]+DATA[[#This Row],[CONDICION DE PAGO]]</f>
        <v>45774</v>
      </c>
      <c r="AE365" s="23">
        <f>IF(DATA[[#This Row],[MONEDA]]="USD",VLOOKUP(DATA[[#This Row],[COMBINADA]],#REF!,11,0),1)</f>
        <v>1</v>
      </c>
      <c r="AF365" s="39" t="str">
        <f>IF(DATA[[#This Row],[SERIE2]]="-","NO CORRESPONDE",IF(W365="NO CORRESPONDE","NO CORRESPONDE",IF(Z365&gt;0,"FACTURADO","PENDIENTE")))</f>
        <v>FACTURADO</v>
      </c>
      <c r="AG365" s="27">
        <f>IFERROR(VLOOKUP(DATA[[#This Row],[COMBINADA]],#REF!,6,0),0)</f>
        <v>0</v>
      </c>
      <c r="AH365" s="125">
        <f>IFERROR(VLOOKUP(DATA[[#This Row],[COMBINADA]],#REF!,9,0),0)/COUNTIFS(DATA[COMBINADA],DATA[[#This Row],[COMBINADA]])</f>
        <v>0</v>
      </c>
      <c r="AI365" s="27">
        <f>IFERROR(VLOOKUP(DATA[[#This Row],[COMBINADA]],#REF!,6,0),0)</f>
        <v>0</v>
      </c>
      <c r="AJ365" s="125">
        <f>IFERROR(VLOOKUP(DATA[[#This Row],[COMBINADA]],#REF!,9,0),0)/COUNTIFS(DATA[COMBINADA],DATA[[#This Row],[COMBINADA]])</f>
        <v>0</v>
      </c>
      <c r="AK365" s="27">
        <f>IFERROR(VLOOKUP(DATA[[#This Row],[COMBINADA]],#REF!,6,0),0)</f>
        <v>0</v>
      </c>
      <c r="AL365" s="125">
        <f>IFERROR(VLOOKUP(DATA[[#This Row],[COMBINADA]],#REF!,9,0),0)/COUNTIFS(DATA[COMBINADA],DATA[[#This Row],[COMBINADA]])</f>
        <v>0</v>
      </c>
      <c r="AM365" s="27">
        <f>IFERROR(VLOOKUP(DATA[[#This Row],[COMBINADA]],#REF!,6,0),0)</f>
        <v>0</v>
      </c>
      <c r="AN365" s="125">
        <f>IFERROR(VLOOKUP(DATA[[#This Row],[COMBINADA]],#REF!,9,0),0)/COUNTIFS(DATA[COMBINADA],DATA[[#This Row],[COMBINADA]])</f>
        <v>0</v>
      </c>
      <c r="AO365" s="27">
        <f>IFERROR(VLOOKUP(DATA[[#This Row],[COMBINADA]],#REF!,6,0),0)</f>
        <v>0</v>
      </c>
      <c r="AP365" s="125">
        <f>IFERROR(VLOOKUP(DATA[[#This Row],[COMBINADA]],#REF!,9,0),0)/COUNTIFS(DATA[COMBINADA],DATA[[#This Row],[COMBINADA]])</f>
        <v>0</v>
      </c>
      <c r="AQ36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365" s="26" t="str">
        <f>IFERROR(IF(DATA[[#This Row],[estado_fact]]="FACTURADO",VLOOKUP(DATA[[#This Row],[SERIE2]]&amp;"-"&amp;DATA[[#This Row],[NUMERO]],#REF!,34,0),"NO CORRESPONDE"),"NO CORRESPONDE")</f>
        <v>NO CORRESPONDE</v>
      </c>
      <c r="AS365" s="22" t="str">
        <f>IF(DATA[[#This Row],[fecha_fs]]&gt;0,TEXT(DATA[[#This Row],[fecha_fs]],"Mmmm"),0)</f>
        <v>Marzo</v>
      </c>
      <c r="AT365" s="22" t="str">
        <f>DATA[[#This Row],[SERIE2]]&amp;"-"&amp;DATA[[#This Row],[NUMERO]]</f>
        <v>FF01-2</v>
      </c>
      <c r="AU365" s="28">
        <f>DATA[[#This Row],[TOTAL]]*DATA[[#This Row],[T.C.]]</f>
        <v>464.09</v>
      </c>
      <c r="AV365" s="6">
        <f>DATA[[#This Row],[FECHA DE VAL.]]</f>
        <v>45743</v>
      </c>
      <c r="AW365" s="6">
        <f>DATA[[#This Row],[FECHA DE EMISION]]</f>
        <v>45744</v>
      </c>
      <c r="AX365" s="6">
        <f>DATA[[#This Row],[F1]]</f>
        <v>0</v>
      </c>
      <c r="AY365" s="20">
        <f>IF(AV365-DATA[[#This Row],[fecha_fs]]&lt;0,0,AV365-DATA[[#This Row],[fecha_fs]])</f>
        <v>10</v>
      </c>
      <c r="AZ365" s="20">
        <f t="shared" si="37"/>
        <v>1</v>
      </c>
      <c r="BA365" s="20">
        <f t="shared" si="38"/>
        <v>0</v>
      </c>
      <c r="BB365" s="195">
        <f>IFERROR(SUM(DATA[[#This Row],[fs_val_ttf]:[fact_pago_ttf]]),0)</f>
        <v>11</v>
      </c>
      <c r="BC365" s="185">
        <v>45742</v>
      </c>
      <c r="BD365" s="185">
        <v>45751</v>
      </c>
      <c r="BE365" s="185">
        <v>45757</v>
      </c>
      <c r="BF365" s="185">
        <v>45758</v>
      </c>
      <c r="BG365" s="20">
        <f>IFERROR(IF(BC365-DATA[[#This Row],[fecha_fs]]&lt;0,0,BC365-DATA[[#This Row],[fecha_fs]]),0)</f>
        <v>9</v>
      </c>
      <c r="BH365" s="20">
        <f t="shared" si="39"/>
        <v>9</v>
      </c>
      <c r="BI365" s="20">
        <f t="shared" si="40"/>
        <v>6</v>
      </c>
      <c r="BJ365" s="20">
        <f t="shared" si="41"/>
        <v>1</v>
      </c>
      <c r="BK365" s="218">
        <f>IFERROR(SUM(DATA[[#This Row],[fs_fd_ttd]:[fend_fenf_ttd]]),0)</f>
        <v>25</v>
      </c>
      <c r="BL365" s="20" t="str">
        <f>IF(DATA[[#This Row],[fecha_fs]]&gt;0,TEXT(DATA[[#This Row],[fecha_fs]],"YYYY"),0)</f>
        <v>2025</v>
      </c>
      <c r="BM365" s="221" t="b">
        <v>1</v>
      </c>
      <c r="BN365" s="278">
        <f>COUNTIF(DATA[[#This Row],[tiempo_td]], "&lt;=15")</f>
        <v>0</v>
      </c>
      <c r="BO365" s="222"/>
    </row>
    <row r="366" spans="1:67" ht="30.6" customHeight="1" x14ac:dyDescent="0.25">
      <c r="A366" s="4">
        <v>20100192064</v>
      </c>
      <c r="B366" s="5" t="s">
        <v>60</v>
      </c>
      <c r="C366" s="52" t="s">
        <v>43</v>
      </c>
      <c r="D366" s="4" t="s">
        <v>120</v>
      </c>
      <c r="E366" s="5" t="s">
        <v>3</v>
      </c>
      <c r="F366" s="24">
        <v>45733</v>
      </c>
      <c r="G366" s="7" t="s">
        <v>113</v>
      </c>
      <c r="H366" s="25">
        <f t="shared" si="36"/>
        <v>1</v>
      </c>
      <c r="I366" s="67">
        <v>4243</v>
      </c>
      <c r="J366" s="8" t="s">
        <v>115</v>
      </c>
      <c r="K366" s="9" t="s">
        <v>121</v>
      </c>
      <c r="L366" s="10" t="s">
        <v>117</v>
      </c>
      <c r="M366" s="11">
        <v>830</v>
      </c>
      <c r="N366" s="12" t="s">
        <v>167</v>
      </c>
      <c r="O366" s="6">
        <v>45742</v>
      </c>
      <c r="P366" s="71">
        <v>3352</v>
      </c>
      <c r="Q366" s="14" t="s">
        <v>123</v>
      </c>
      <c r="R366" s="15">
        <f>(DATA[[#This Row],[cantidad_fs]]/1000)*(47+174.34)</f>
        <v>183.7122</v>
      </c>
      <c r="S366" s="15">
        <v>137</v>
      </c>
      <c r="T366" s="15">
        <f>DATA[[#This Row],[C. DF]]+DATA[[#This Row],[C.OPE.]]</f>
        <v>320.7122</v>
      </c>
      <c r="U366" s="15">
        <f>DATA[[#This Row],[SUB TOTAL]]*0.18</f>
        <v>57.728195999999997</v>
      </c>
      <c r="V366" s="15">
        <f>IFERROR(ROUND(DATA[[#This Row],[SUB TOTAL]]+DATA[[#This Row],[IGV]],2),0)</f>
        <v>378.44</v>
      </c>
      <c r="W366" s="16" t="str">
        <f>IF(DATA[[#This Row],[VALORIZACIÓN ]]="-","NO CORRESPONDE",IF(OR(A366=20558226979,A366=10470707866,A366=20111157058,A366=20100226902),"NO CORRESPONDE",IF(J366="Emitida",IF(P366&gt;0,"EMITIDA","PENDIENTE"),"NO CORRESPONDE")))</f>
        <v>EMITIDA</v>
      </c>
      <c r="X366" s="29" t="s">
        <v>212</v>
      </c>
      <c r="Y366" s="17" t="s">
        <v>118</v>
      </c>
      <c r="Z366" s="30">
        <v>45743</v>
      </c>
      <c r="AA366" s="10" t="s">
        <v>150</v>
      </c>
      <c r="AB366" s="19">
        <v>1</v>
      </c>
      <c r="AC366" s="20">
        <v>30</v>
      </c>
      <c r="AD366" s="18">
        <f>DATA[[#This Row],[FECHA DE EMISION]]+DATA[[#This Row],[CONDICION DE PAGO]]</f>
        <v>45773</v>
      </c>
      <c r="AE366" s="23" t="e">
        <f>IF(DATA[[#This Row],[MONEDA]]="USD",VLOOKUP(DATA[[#This Row],[COMBINADA]],#REF!,11,0),1)</f>
        <v>#REF!</v>
      </c>
      <c r="AF366" s="39" t="str">
        <f>IF(DATA[[#This Row],[SERIE2]]="-","NO CORRESPONDE",IF(W366="NO CORRESPONDE","NO CORRESPONDE",IF(Z366&gt;0,"FACTURADO","PENDIENTE")))</f>
        <v>FACTURADO</v>
      </c>
      <c r="AG366" s="27">
        <f>IFERROR(VLOOKUP(DATA[[#This Row],[COMBINADA]],#REF!,6,0),0)</f>
        <v>0</v>
      </c>
      <c r="AH366" s="125">
        <f>IFERROR(VLOOKUP(DATA[[#This Row],[COMBINADA]],#REF!,9,0),0)/COUNTIFS(DATA[COMBINADA],DATA[[#This Row],[COMBINADA]])</f>
        <v>0</v>
      </c>
      <c r="AI366" s="27">
        <f>IFERROR(VLOOKUP(DATA[[#This Row],[COMBINADA]],#REF!,6,0),0)</f>
        <v>0</v>
      </c>
      <c r="AJ366" s="125">
        <f>IFERROR(VLOOKUP(DATA[[#This Row],[COMBINADA]],#REF!,9,0),0)/COUNTIFS(DATA[COMBINADA],DATA[[#This Row],[COMBINADA]])</f>
        <v>0</v>
      </c>
      <c r="AK366" s="27">
        <f>IFERROR(VLOOKUP(DATA[[#This Row],[COMBINADA]],#REF!,6,0),0)</f>
        <v>0</v>
      </c>
      <c r="AL366" s="125">
        <f>IFERROR(VLOOKUP(DATA[[#This Row],[COMBINADA]],#REF!,9,0),0)/COUNTIFS(DATA[COMBINADA],DATA[[#This Row],[COMBINADA]])</f>
        <v>0</v>
      </c>
      <c r="AM366" s="27">
        <f>IFERROR(VLOOKUP(DATA[[#This Row],[COMBINADA]],#REF!,6,0),0)</f>
        <v>0</v>
      </c>
      <c r="AN366" s="125">
        <f>IFERROR(VLOOKUP(DATA[[#This Row],[COMBINADA]],#REF!,9,0),0)/COUNTIFS(DATA[COMBINADA],DATA[[#This Row],[COMBINADA]])</f>
        <v>0</v>
      </c>
      <c r="AO366" s="27">
        <f>IFERROR(VLOOKUP(DATA[[#This Row],[COMBINADA]],#REF!,6,0),0)</f>
        <v>0</v>
      </c>
      <c r="AP366" s="125">
        <f>IFERROR(VLOOKUP(DATA[[#This Row],[COMBINADA]],#REF!,9,0),0)/COUNTIFS(DATA[COMBINADA],DATA[[#This Row],[COMBINADA]])</f>
        <v>0</v>
      </c>
      <c r="AQ36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604.21249999999986</v>
      </c>
      <c r="AR366" s="26" t="str">
        <f>IFERROR(IF(DATA[[#This Row],[estado_fact]]="FACTURADO",VLOOKUP(DATA[[#This Row],[SERIE2]]&amp;"-"&amp;DATA[[#This Row],[NUMERO]],#REF!,34,0),"NO CORRESPONDE"),"NO CORRESPONDE")</f>
        <v>NO CORRESPONDE</v>
      </c>
      <c r="AS366" s="22" t="str">
        <f>IF(DATA[[#This Row],[fecha_fs]]&gt;0,TEXT(DATA[[#This Row],[fecha_fs]],"Mmmm"),0)</f>
        <v>Marzo</v>
      </c>
      <c r="AT366" s="22" t="str">
        <f>DATA[[#This Row],[SERIE2]]&amp;"-"&amp;DATA[[#This Row],[NUMERO]]</f>
        <v>FF01-1</v>
      </c>
      <c r="AU366" s="28" t="e">
        <f>DATA[[#This Row],[TOTAL]]*DATA[[#This Row],[T.C.]]</f>
        <v>#REF!</v>
      </c>
      <c r="AV366" s="6">
        <f>DATA[[#This Row],[FECHA DE VAL.]]</f>
        <v>45742</v>
      </c>
      <c r="AW366" s="6">
        <f>DATA[[#This Row],[FECHA DE EMISION]]</f>
        <v>45743</v>
      </c>
      <c r="AX366" s="6">
        <f>DATA[[#This Row],[F1]]</f>
        <v>0</v>
      </c>
      <c r="AY366" s="20">
        <f>IF(AV366-DATA[[#This Row],[fecha_fs]]&lt;0,0,AV366-DATA[[#This Row],[fecha_fs]])</f>
        <v>9</v>
      </c>
      <c r="AZ366" s="20">
        <f t="shared" si="37"/>
        <v>1</v>
      </c>
      <c r="BA366" s="20">
        <f t="shared" si="38"/>
        <v>0</v>
      </c>
      <c r="BB366" s="195">
        <f>IFERROR(SUM(DATA[[#This Row],[fs_val_ttf]:[fact_pago_ttf]]),0)</f>
        <v>10</v>
      </c>
      <c r="BC366" s="185">
        <v>45747</v>
      </c>
      <c r="BD366" s="185">
        <v>45761</v>
      </c>
      <c r="BE366" s="185">
        <v>45785</v>
      </c>
      <c r="BF366" s="185">
        <v>45798</v>
      </c>
      <c r="BG366" s="20">
        <f>IFERROR(IF(BC366-DATA[[#This Row],[fecha_fs]]&lt;0,0,BC366-DATA[[#This Row],[fecha_fs]]),0)</f>
        <v>14</v>
      </c>
      <c r="BH366" s="20">
        <f t="shared" si="39"/>
        <v>14</v>
      </c>
      <c r="BI366" s="20">
        <f t="shared" si="40"/>
        <v>24</v>
      </c>
      <c r="BJ366" s="20">
        <f t="shared" si="41"/>
        <v>13</v>
      </c>
      <c r="BK366" s="218">
        <f>IFERROR(SUM(DATA[[#This Row],[fs_fd_ttd]:[fend_fenf_ttd]]),0)</f>
        <v>65</v>
      </c>
      <c r="BL366" s="20" t="str">
        <f>IF(DATA[[#This Row],[fecha_fs]]&gt;0,TEXT(DATA[[#This Row],[fecha_fs]],"YYYY"),0)</f>
        <v>2025</v>
      </c>
      <c r="BM366" s="221" t="b">
        <v>1</v>
      </c>
      <c r="BN366" s="278">
        <f>COUNTIF(DATA[[#This Row],[tiempo_td]], "&lt;=15")</f>
        <v>0</v>
      </c>
      <c r="BO366" s="222"/>
    </row>
    <row r="367" spans="1:67" ht="30" customHeight="1" x14ac:dyDescent="0.25">
      <c r="A367" s="4"/>
      <c r="B367" s="5" t="s">
        <v>0</v>
      </c>
      <c r="C367" s="52"/>
      <c r="D367" s="4"/>
      <c r="E367" s="5" t="s">
        <v>0</v>
      </c>
      <c r="F367" s="24">
        <v>45733</v>
      </c>
      <c r="G367" s="7" t="s">
        <v>113</v>
      </c>
      <c r="H367" s="25">
        <f t="shared" si="36"/>
        <v>1</v>
      </c>
      <c r="I367" s="67">
        <v>4244</v>
      </c>
      <c r="J367" s="8" t="s">
        <v>151</v>
      </c>
      <c r="K367" s="9"/>
      <c r="L367" s="10"/>
      <c r="M367" s="111"/>
      <c r="N367" s="112"/>
      <c r="O367" s="6"/>
      <c r="P367" s="13" t="s">
        <v>114</v>
      </c>
      <c r="Q367" s="14"/>
      <c r="R367" s="15"/>
      <c r="S367" s="15"/>
      <c r="T367" s="15">
        <f>DATA[[#This Row],[C. DF]]+DATA[[#This Row],[C.OPE.]]</f>
        <v>0</v>
      </c>
      <c r="U367" s="73">
        <f>DATA[[#This Row],[SUB TOTAL]]*0.18</f>
        <v>0</v>
      </c>
      <c r="V367" s="45">
        <f>IFERROR(ROUND(DATA[[#This Row],[SUB TOTAL]]+DATA[[#This Row],[IGV]],2),0)</f>
        <v>0</v>
      </c>
      <c r="W367" s="58" t="str">
        <f>IF(DATA[[#This Row],[VALORIZACIÓN ]]="-","NO CORRESPONDE",IF(OR(A367=20558226979,A367=10470707866,A367=20111157058,A367=20100226902),"NO CORRESPONDE",IF(J367="Emitida",IF(P367&gt;0,"EMITIDA","PENDIENTE"),"NO CORRESPONDE")))</f>
        <v>NO CORRESPONDE</v>
      </c>
      <c r="X367" s="46"/>
      <c r="Y367" s="17" t="s">
        <v>128</v>
      </c>
      <c r="Z367" s="48"/>
      <c r="AA367" s="49"/>
      <c r="AB367" s="50"/>
      <c r="AC367" s="51"/>
      <c r="AD367" s="59">
        <f>DATA[[#This Row],[FECHA DE EMISION]]+DATA[[#This Row],[CONDICION DE PAGO]]</f>
        <v>0</v>
      </c>
      <c r="AE367" s="23">
        <f>IF(DATA[[#This Row],[MONEDA]]="USD",VLOOKUP(DATA[[#This Row],[COMBINADA]],#REF!,11,0),1)</f>
        <v>1</v>
      </c>
      <c r="AF367" s="39" t="str">
        <f>IF(DATA[[#This Row],[SERIE2]]="-","NO CORRESPONDE",IF(W367="NO CORRESPONDE","NO CORRESPONDE",IF(Z367&gt;0,"FACTURADO","PENDIENTE")))</f>
        <v>NO CORRESPONDE</v>
      </c>
      <c r="AG367" s="61">
        <f>IFERROR(VLOOKUP(DATA[[#This Row],[COMBINADA]],#REF!,6,0),0)</f>
        <v>0</v>
      </c>
      <c r="AH367" s="62">
        <f>IFERROR(VLOOKUP(DATA[[#This Row],[COMBINADA]],#REF!,9,0),0)/COUNTIFS(DATA[COMBINADA],DATA[[#This Row],[COMBINADA]])</f>
        <v>0</v>
      </c>
      <c r="AI367" s="61">
        <f>IFERROR(VLOOKUP(DATA[[#This Row],[COMBINADA]],#REF!,6,0),0)</f>
        <v>0</v>
      </c>
      <c r="AJ367" s="62">
        <f>IFERROR(VLOOKUP(DATA[[#This Row],[COMBINADA]],#REF!,9,0),0)/COUNTIFS(DATA[COMBINADA],DATA[[#This Row],[COMBINADA]])</f>
        <v>0</v>
      </c>
      <c r="AK367" s="61">
        <f>IFERROR(VLOOKUP(DATA[[#This Row],[COMBINADA]],#REF!,6,0),0)</f>
        <v>0</v>
      </c>
      <c r="AL367" s="62">
        <f>IFERROR(VLOOKUP(DATA[[#This Row],[COMBINADA]],#REF!,9,0),0)/COUNTIFS(DATA[COMBINADA],DATA[[#This Row],[COMBINADA]])</f>
        <v>0</v>
      </c>
      <c r="AM367" s="61">
        <f>IFERROR(VLOOKUP(DATA[[#This Row],[COMBINADA]],#REF!,6,0),0)</f>
        <v>0</v>
      </c>
      <c r="AN367" s="62">
        <f>IFERROR(VLOOKUP(DATA[[#This Row],[COMBINADA]],#REF!,9,0),0)/COUNTIFS(DATA[COMBINADA],DATA[[#This Row],[COMBINADA]])</f>
        <v>0</v>
      </c>
      <c r="AO367" s="61">
        <f>IFERROR(VLOOKUP(DATA[[#This Row],[COMBINADA]],#REF!,6,0),0)</f>
        <v>0</v>
      </c>
      <c r="AP367" s="62">
        <f>IFERROR(VLOOKUP(DATA[[#This Row],[COMBINADA]],#REF!,9,0),0)/COUNTIFS(DATA[COMBINADA],DATA[[#This Row],[COMBINADA]])</f>
        <v>0</v>
      </c>
      <c r="AQ367"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367" s="22" t="str">
        <f>IFERROR(IF(DATA[[#This Row],[estado_fact]]="FACTURADO",VLOOKUP(DATA[[#This Row],[SERIE2]]&amp;"-"&amp;DATA[[#This Row],[NUMERO]],#REF!,34,0),"NO CORRESPONDE"),"NO CORRESPONDE")</f>
        <v>NO CORRESPONDE</v>
      </c>
      <c r="AS367" s="198" t="str">
        <f>IF(DATA[[#This Row],[fecha_fs]]&gt;0,TEXT(DATA[[#This Row],[fecha_fs]],"Mmmm"),0)</f>
        <v>Marzo</v>
      </c>
      <c r="AT367" s="199" t="str">
        <f>DATA[[#This Row],[SERIE2]]&amp;"-"&amp;DATA[[#This Row],[NUMERO]]</f>
        <v>-</v>
      </c>
      <c r="AU367" s="198">
        <f>DATA[[#This Row],[TOTAL]]*DATA[[#This Row],[T.C.]]</f>
        <v>0</v>
      </c>
      <c r="AV367" s="40">
        <f>DATA[[#This Row],[FECHA DE VAL.]]</f>
        <v>0</v>
      </c>
      <c r="AW367" s="40">
        <f>DATA[[#This Row],[FECHA DE EMISION]]</f>
        <v>0</v>
      </c>
      <c r="AX367" s="40">
        <f>DATA[[#This Row],[F1]]</f>
        <v>0</v>
      </c>
      <c r="AY367" s="49">
        <f>IF(AV367-DATA[[#This Row],[fecha_fs]]&lt;0,0,AV367-DATA[[#This Row],[fecha_fs]])</f>
        <v>0</v>
      </c>
      <c r="AZ367" s="49">
        <f t="shared" si="37"/>
        <v>0</v>
      </c>
      <c r="BA367" s="49">
        <f t="shared" si="38"/>
        <v>0</v>
      </c>
      <c r="BB367" s="195">
        <f>IFERROR(SUM(DATA[[#This Row],[fs_val_ttf]:[fact_pago_ttf]]),0)</f>
        <v>0</v>
      </c>
      <c r="BC367" s="200"/>
      <c r="BD367" s="200"/>
      <c r="BE367" s="200"/>
      <c r="BF367" s="200"/>
      <c r="BG367" s="49">
        <f>IFERROR(IF(BC367-DATA[[#This Row],[fecha_fs]]&lt;0,0,BC367-DATA[[#This Row],[fecha_fs]]),0)</f>
        <v>0</v>
      </c>
      <c r="BH367" s="49">
        <f t="shared" si="39"/>
        <v>0</v>
      </c>
      <c r="BI367" s="49">
        <f t="shared" si="40"/>
        <v>0</v>
      </c>
      <c r="BJ367" s="49">
        <f t="shared" si="41"/>
        <v>0</v>
      </c>
      <c r="BK367" s="218">
        <f>IFERROR(SUM(DATA[[#This Row],[fs_fd_ttd]:[fend_fenf_ttd]]),0)</f>
        <v>0</v>
      </c>
      <c r="BL367" s="20" t="str">
        <f>IF(DATA[[#This Row],[fecha_fs]]&gt;0,TEXT(DATA[[#This Row],[fecha_fs]],"YYYY"),0)</f>
        <v>2025</v>
      </c>
      <c r="BM367" s="221" t="b">
        <v>0</v>
      </c>
      <c r="BN367" s="278"/>
      <c r="BO367" s="222"/>
    </row>
    <row r="368" spans="1:67" ht="30.6" customHeight="1" x14ac:dyDescent="0.25">
      <c r="A368" s="4">
        <v>20419158462</v>
      </c>
      <c r="B368" s="5" t="s">
        <v>2</v>
      </c>
      <c r="C368" s="52" t="s">
        <v>11</v>
      </c>
      <c r="D368" s="4" t="s">
        <v>120</v>
      </c>
      <c r="E368" s="5" t="s">
        <v>3</v>
      </c>
      <c r="F368" s="24">
        <v>45733</v>
      </c>
      <c r="G368" s="7" t="s">
        <v>113</v>
      </c>
      <c r="H368" s="25">
        <f t="shared" si="36"/>
        <v>1</v>
      </c>
      <c r="I368" s="67">
        <v>4245</v>
      </c>
      <c r="J368" s="8" t="s">
        <v>115</v>
      </c>
      <c r="K368" s="9" t="s">
        <v>156</v>
      </c>
      <c r="L368" s="10" t="s">
        <v>117</v>
      </c>
      <c r="M368" s="11">
        <v>380</v>
      </c>
      <c r="N368" s="12" t="s">
        <v>125</v>
      </c>
      <c r="O368" s="6">
        <v>45744</v>
      </c>
      <c r="P368" s="83">
        <v>3424</v>
      </c>
      <c r="Q368" s="14" t="s">
        <v>85</v>
      </c>
      <c r="R368" s="15">
        <v>0</v>
      </c>
      <c r="S368" s="15">
        <f>1429.7/3</f>
        <v>476.56666666666666</v>
      </c>
      <c r="T368" s="15">
        <f>DATA[[#This Row],[C. DF]]+DATA[[#This Row],[C.OPE.]]</f>
        <v>476.56666666666666</v>
      </c>
      <c r="U368" s="15">
        <f>DATA[[#This Row],[SUB TOTAL]]*0.18</f>
        <v>85.781999999999996</v>
      </c>
      <c r="V368" s="15">
        <f>IFERROR(ROUND(DATA[[#This Row],[SUB TOTAL]]+DATA[[#This Row],[IGV]],2),0)</f>
        <v>562.35</v>
      </c>
      <c r="W368" s="16" t="str">
        <f>IF(DATA[[#This Row],[VALORIZACIÓN ]]="-","NO CORRESPONDE",IF(OR(A368=20558226979,A368=10470707866,A368=20111157058,A368=20100226902),"NO CORRESPONDE",IF(J368="Emitida",IF(P368&gt;0,"EMITIDA","PENDIENTE"),"NO CORRESPONDE")))</f>
        <v>EMITIDA</v>
      </c>
      <c r="X368" s="29"/>
      <c r="Y368" s="17" t="s">
        <v>118</v>
      </c>
      <c r="Z368" s="30">
        <v>45798</v>
      </c>
      <c r="AA368" s="10" t="s">
        <v>150</v>
      </c>
      <c r="AB368" s="19">
        <v>82</v>
      </c>
      <c r="AC368" s="20">
        <v>15</v>
      </c>
      <c r="AD368" s="18">
        <f>DATA[[#This Row],[FECHA DE EMISION]]+DATA[[#This Row],[CONDICION DE PAGO]]</f>
        <v>45813</v>
      </c>
      <c r="AE368" s="23">
        <f>IF(DATA[[#This Row],[MONEDA]]="USD",VLOOKUP(DATA[[#This Row],[COMBINADA]],#REF!,11,0),1)</f>
        <v>1</v>
      </c>
      <c r="AF368" s="39" t="str">
        <f>IF(DATA[[#This Row],[SERIE2]]="-","NO CORRESPONDE",IF(W368="NO CORRESPONDE","NO CORRESPONDE",IF(Z368&gt;0,"FACTURADO","PENDIENTE")))</f>
        <v>FACTURADO</v>
      </c>
      <c r="AG368" s="27">
        <f>IFERROR(VLOOKUP(DATA[[#This Row],[COMBINADA]],#REF!,6,0),0)</f>
        <v>0</v>
      </c>
      <c r="AH368" s="125">
        <f>IFERROR(VLOOKUP(DATA[[#This Row],[COMBINADA]],#REF!,9,0),0)/COUNTIFS(DATA[COMBINADA],DATA[[#This Row],[COMBINADA]])</f>
        <v>0</v>
      </c>
      <c r="AI368" s="27">
        <f>IFERROR(VLOOKUP(DATA[[#This Row],[COMBINADA]],#REF!,6,0),0)</f>
        <v>0</v>
      </c>
      <c r="AJ368" s="125">
        <f>IFERROR(VLOOKUP(DATA[[#This Row],[COMBINADA]],#REF!,9,0),0)/COUNTIFS(DATA[COMBINADA],DATA[[#This Row],[COMBINADA]])</f>
        <v>0</v>
      </c>
      <c r="AK368" s="27">
        <f>IFERROR(VLOOKUP(DATA[[#This Row],[COMBINADA]],#REF!,6,0),0)</f>
        <v>0</v>
      </c>
      <c r="AL368" s="125">
        <f>IFERROR(VLOOKUP(DATA[[#This Row],[COMBINADA]],#REF!,9,0),0)/COUNTIFS(DATA[COMBINADA],DATA[[#This Row],[COMBINADA]])</f>
        <v>0</v>
      </c>
      <c r="AM368" s="27">
        <f>IFERROR(VLOOKUP(DATA[[#This Row],[COMBINADA]],#REF!,6,0),0)</f>
        <v>0</v>
      </c>
      <c r="AN368" s="125">
        <f>IFERROR(VLOOKUP(DATA[[#This Row],[COMBINADA]],#REF!,9,0),0)/COUNTIFS(DATA[COMBINADA],DATA[[#This Row],[COMBINADA]])</f>
        <v>0</v>
      </c>
      <c r="AO368" s="27">
        <f>IFERROR(VLOOKUP(DATA[[#This Row],[COMBINADA]],#REF!,6,0),0)</f>
        <v>0</v>
      </c>
      <c r="AP368" s="125">
        <f>IFERROR(VLOOKUP(DATA[[#This Row],[COMBINADA]],#REF!,9,0),0)/COUNTIFS(DATA[COMBINADA],DATA[[#This Row],[COMBINADA]])</f>
        <v>0</v>
      </c>
      <c r="AQ36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562.35</v>
      </c>
      <c r="AR368" s="26" t="str">
        <f>IFERROR(IF(DATA[[#This Row],[estado_fact]]="FACTURADO",VLOOKUP(DATA[[#This Row],[SERIE2]]&amp;"-"&amp;DATA[[#This Row],[NUMERO]],#REF!,34,0),"NO CORRESPONDE"),"NO CORRESPONDE")</f>
        <v>NO CORRESPONDE</v>
      </c>
      <c r="AS368" s="22" t="str">
        <f>IF(DATA[[#This Row],[fecha_fs]]&gt;0,TEXT(DATA[[#This Row],[fecha_fs]],"Mmmm"),0)</f>
        <v>Marzo</v>
      </c>
      <c r="AT368" s="22" t="str">
        <f>DATA[[#This Row],[SERIE2]]&amp;"-"&amp;DATA[[#This Row],[NUMERO]]</f>
        <v>FF01-82</v>
      </c>
      <c r="AU368" s="28">
        <f>DATA[[#This Row],[TOTAL]]*DATA[[#This Row],[T.C.]]</f>
        <v>562.35</v>
      </c>
      <c r="AV368" s="6">
        <f>DATA[[#This Row],[FECHA DE VAL.]]</f>
        <v>45744</v>
      </c>
      <c r="AW368" s="6">
        <f>DATA[[#This Row],[FECHA DE EMISION]]</f>
        <v>45798</v>
      </c>
      <c r="AX368" s="6">
        <f>DATA[[#This Row],[F1]]</f>
        <v>0</v>
      </c>
      <c r="AY368" s="20">
        <f>IF(AV368-DATA[[#This Row],[fecha_fs]]&lt;0,0,AV368-DATA[[#This Row],[fecha_fs]])</f>
        <v>11</v>
      </c>
      <c r="AZ368" s="20">
        <f t="shared" si="37"/>
        <v>54</v>
      </c>
      <c r="BA368" s="20">
        <f t="shared" si="38"/>
        <v>0</v>
      </c>
      <c r="BB368" s="195">
        <f>IFERROR(SUM(DATA[[#This Row],[fs_val_ttf]:[fact_pago_ttf]]),0)</f>
        <v>65</v>
      </c>
      <c r="BC368" s="185">
        <v>45733</v>
      </c>
      <c r="BD368" s="185">
        <v>45733</v>
      </c>
      <c r="BE368" s="185">
        <v>45751</v>
      </c>
      <c r="BF368" s="185">
        <v>45751</v>
      </c>
      <c r="BG368" s="20">
        <f>IFERROR(IF(BC368-DATA[[#This Row],[fecha_fs]]&lt;0,0,BC368-DATA[[#This Row],[fecha_fs]]),0)</f>
        <v>0</v>
      </c>
      <c r="BH368" s="20">
        <f t="shared" si="39"/>
        <v>0</v>
      </c>
      <c r="BI368" s="20">
        <f t="shared" si="40"/>
        <v>18</v>
      </c>
      <c r="BJ368" s="20">
        <f t="shared" si="41"/>
        <v>0</v>
      </c>
      <c r="BK368" s="218">
        <f>IFERROR(SUM(DATA[[#This Row],[fs_fd_ttd]:[fend_fenf_ttd]]),0)</f>
        <v>18</v>
      </c>
      <c r="BL368" s="20" t="str">
        <f>IF(DATA[[#This Row],[fecha_fs]]&gt;0,TEXT(DATA[[#This Row],[fecha_fs]],"YYYY"),0)</f>
        <v>2025</v>
      </c>
      <c r="BM368" s="221" t="b">
        <v>1</v>
      </c>
      <c r="BN368" s="278">
        <f>COUNTIF(DATA[[#This Row],[tiempo_td]], "&lt;=15")</f>
        <v>0</v>
      </c>
      <c r="BO368" s="222"/>
    </row>
    <row r="369" spans="1:67" ht="30.6" customHeight="1" x14ac:dyDescent="0.25">
      <c r="A369" s="4">
        <v>20419158462</v>
      </c>
      <c r="B369" s="5" t="s">
        <v>2</v>
      </c>
      <c r="C369" s="52" t="s">
        <v>12</v>
      </c>
      <c r="D369" s="4" t="s">
        <v>120</v>
      </c>
      <c r="E369" s="5" t="s">
        <v>3</v>
      </c>
      <c r="F369" s="24">
        <v>45733</v>
      </c>
      <c r="G369" s="7" t="s">
        <v>113</v>
      </c>
      <c r="H369" s="25">
        <f t="shared" si="36"/>
        <v>1</v>
      </c>
      <c r="I369" s="67">
        <v>4246</v>
      </c>
      <c r="J369" s="8" t="s">
        <v>115</v>
      </c>
      <c r="K369" s="9" t="s">
        <v>156</v>
      </c>
      <c r="L369" s="10" t="s">
        <v>117</v>
      </c>
      <c r="M369" s="11">
        <v>232</v>
      </c>
      <c r="N369" s="12" t="s">
        <v>125</v>
      </c>
      <c r="O369" s="6">
        <v>45744</v>
      </c>
      <c r="P369" s="83">
        <v>3424</v>
      </c>
      <c r="Q369" s="14" t="s">
        <v>85</v>
      </c>
      <c r="R369" s="15">
        <v>0</v>
      </c>
      <c r="S369" s="15">
        <f>1429.7/3</f>
        <v>476.56666666666666</v>
      </c>
      <c r="T369" s="15">
        <f>DATA[[#This Row],[C. DF]]+DATA[[#This Row],[C.OPE.]]</f>
        <v>476.56666666666666</v>
      </c>
      <c r="U369" s="15">
        <f>DATA[[#This Row],[SUB TOTAL]]*0.18</f>
        <v>85.781999999999996</v>
      </c>
      <c r="V369" s="15">
        <f>IFERROR(ROUND(DATA[[#This Row],[SUB TOTAL]]+DATA[[#This Row],[IGV]],2),0)</f>
        <v>562.35</v>
      </c>
      <c r="W369" s="16" t="str">
        <f>IF(DATA[[#This Row],[VALORIZACIÓN ]]="-","NO CORRESPONDE",IF(OR(A369=20558226979,A369=10470707866,A369=20111157058,A369=20100226902),"NO CORRESPONDE",IF(J369="Emitida",IF(P369&gt;0,"EMITIDA","PENDIENTE"),"NO CORRESPONDE")))</f>
        <v>EMITIDA</v>
      </c>
      <c r="X369" s="29"/>
      <c r="Y369" s="17" t="s">
        <v>118</v>
      </c>
      <c r="Z369" s="30">
        <v>45798</v>
      </c>
      <c r="AA369" s="10" t="s">
        <v>150</v>
      </c>
      <c r="AB369" s="19">
        <v>82</v>
      </c>
      <c r="AC369" s="20">
        <v>15</v>
      </c>
      <c r="AD369" s="18">
        <f>DATA[[#This Row],[FECHA DE EMISION]]+DATA[[#This Row],[CONDICION DE PAGO]]</f>
        <v>45813</v>
      </c>
      <c r="AE369" s="23">
        <f>IF(DATA[[#This Row],[MONEDA]]="USD",VLOOKUP(DATA[[#This Row],[COMBINADA]],#REF!,11,0),1)</f>
        <v>1</v>
      </c>
      <c r="AF369" s="39" t="str">
        <f>IF(DATA[[#This Row],[SERIE2]]="-","NO CORRESPONDE",IF(W369="NO CORRESPONDE","NO CORRESPONDE",IF(Z369&gt;0,"FACTURADO","PENDIENTE")))</f>
        <v>FACTURADO</v>
      </c>
      <c r="AG369" s="27">
        <f>IFERROR(VLOOKUP(DATA[[#This Row],[COMBINADA]],#REF!,6,0),0)</f>
        <v>0</v>
      </c>
      <c r="AH369" s="125">
        <f>IFERROR(VLOOKUP(DATA[[#This Row],[COMBINADA]],#REF!,9,0),0)/COUNTIFS(DATA[COMBINADA],DATA[[#This Row],[COMBINADA]])</f>
        <v>0</v>
      </c>
      <c r="AI369" s="27">
        <f>IFERROR(VLOOKUP(DATA[[#This Row],[COMBINADA]],#REF!,6,0),0)</f>
        <v>0</v>
      </c>
      <c r="AJ369" s="125">
        <f>IFERROR(VLOOKUP(DATA[[#This Row],[COMBINADA]],#REF!,9,0),0)/COUNTIFS(DATA[COMBINADA],DATA[[#This Row],[COMBINADA]])</f>
        <v>0</v>
      </c>
      <c r="AK369" s="27">
        <f>IFERROR(VLOOKUP(DATA[[#This Row],[COMBINADA]],#REF!,6,0),0)</f>
        <v>0</v>
      </c>
      <c r="AL369" s="125">
        <f>IFERROR(VLOOKUP(DATA[[#This Row],[COMBINADA]],#REF!,9,0),0)/COUNTIFS(DATA[COMBINADA],DATA[[#This Row],[COMBINADA]])</f>
        <v>0</v>
      </c>
      <c r="AM369" s="27">
        <f>IFERROR(VLOOKUP(DATA[[#This Row],[COMBINADA]],#REF!,6,0),0)</f>
        <v>0</v>
      </c>
      <c r="AN369" s="125">
        <f>IFERROR(VLOOKUP(DATA[[#This Row],[COMBINADA]],#REF!,9,0),0)/COUNTIFS(DATA[COMBINADA],DATA[[#This Row],[COMBINADA]])</f>
        <v>0</v>
      </c>
      <c r="AO369" s="27">
        <f>IFERROR(VLOOKUP(DATA[[#This Row],[COMBINADA]],#REF!,6,0),0)</f>
        <v>0</v>
      </c>
      <c r="AP369" s="125">
        <f>IFERROR(VLOOKUP(DATA[[#This Row],[COMBINADA]],#REF!,9,0),0)/COUNTIFS(DATA[COMBINADA],DATA[[#This Row],[COMBINADA]])</f>
        <v>0</v>
      </c>
      <c r="AQ36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562.35</v>
      </c>
      <c r="AR369" s="26" t="str">
        <f>IFERROR(IF(DATA[[#This Row],[estado_fact]]="FACTURADO",VLOOKUP(DATA[[#This Row],[SERIE2]]&amp;"-"&amp;DATA[[#This Row],[NUMERO]],#REF!,34,0),"NO CORRESPONDE"),"NO CORRESPONDE")</f>
        <v>NO CORRESPONDE</v>
      </c>
      <c r="AS369" s="22" t="str">
        <f>IF(DATA[[#This Row],[fecha_fs]]&gt;0,TEXT(DATA[[#This Row],[fecha_fs]],"Mmmm"),0)</f>
        <v>Marzo</v>
      </c>
      <c r="AT369" s="22" t="str">
        <f>DATA[[#This Row],[SERIE2]]&amp;"-"&amp;DATA[[#This Row],[NUMERO]]</f>
        <v>FF01-82</v>
      </c>
      <c r="AU369" s="28">
        <f>DATA[[#This Row],[TOTAL]]*DATA[[#This Row],[T.C.]]</f>
        <v>562.35</v>
      </c>
      <c r="AV369" s="6">
        <f>DATA[[#This Row],[FECHA DE VAL.]]</f>
        <v>45744</v>
      </c>
      <c r="AW369" s="6">
        <f>DATA[[#This Row],[FECHA DE EMISION]]</f>
        <v>45798</v>
      </c>
      <c r="AX369" s="6">
        <f>DATA[[#This Row],[F1]]</f>
        <v>0</v>
      </c>
      <c r="AY369" s="20">
        <f>IF(AV369-DATA[[#This Row],[fecha_fs]]&lt;0,0,AV369-DATA[[#This Row],[fecha_fs]])</f>
        <v>11</v>
      </c>
      <c r="AZ369" s="20">
        <f t="shared" si="37"/>
        <v>54</v>
      </c>
      <c r="BA369" s="20">
        <f t="shared" si="38"/>
        <v>0</v>
      </c>
      <c r="BB369" s="195">
        <f>IFERROR(SUM(DATA[[#This Row],[fs_val_ttf]:[fact_pago_ttf]]),0)</f>
        <v>65</v>
      </c>
      <c r="BC369" s="185">
        <v>45733</v>
      </c>
      <c r="BD369" s="185">
        <v>45733</v>
      </c>
      <c r="BE369" s="185">
        <v>45751</v>
      </c>
      <c r="BF369" s="185">
        <v>45751</v>
      </c>
      <c r="BG369" s="20">
        <f>IFERROR(IF(BC369-DATA[[#This Row],[fecha_fs]]&lt;0,0,BC369-DATA[[#This Row],[fecha_fs]]),0)</f>
        <v>0</v>
      </c>
      <c r="BH369" s="20">
        <f t="shared" si="39"/>
        <v>0</v>
      </c>
      <c r="BI369" s="20">
        <f t="shared" si="40"/>
        <v>18</v>
      </c>
      <c r="BJ369" s="20">
        <f t="shared" si="41"/>
        <v>0</v>
      </c>
      <c r="BK369" s="218">
        <f>IFERROR(SUM(DATA[[#This Row],[fs_fd_ttd]:[fend_fenf_ttd]]),0)</f>
        <v>18</v>
      </c>
      <c r="BL369" s="20" t="str">
        <f>IF(DATA[[#This Row],[fecha_fs]]&gt;0,TEXT(DATA[[#This Row],[fecha_fs]],"YYYY"),0)</f>
        <v>2025</v>
      </c>
      <c r="BM369" s="221" t="b">
        <v>1</v>
      </c>
      <c r="BN369" s="278">
        <f>COUNTIF(DATA[[#This Row],[tiempo_td]], "&lt;=15")</f>
        <v>0</v>
      </c>
      <c r="BO369" s="222"/>
    </row>
    <row r="370" spans="1:67" ht="30.6" customHeight="1" x14ac:dyDescent="0.25">
      <c r="A370" s="4">
        <v>20419158462</v>
      </c>
      <c r="B370" s="5" t="s">
        <v>2</v>
      </c>
      <c r="C370" s="52" t="s">
        <v>13</v>
      </c>
      <c r="D370" s="4" t="s">
        <v>120</v>
      </c>
      <c r="E370" s="5" t="s">
        <v>3</v>
      </c>
      <c r="F370" s="24">
        <v>45733</v>
      </c>
      <c r="G370" s="7" t="s">
        <v>113</v>
      </c>
      <c r="H370" s="25">
        <f t="shared" si="36"/>
        <v>1</v>
      </c>
      <c r="I370" s="67">
        <v>4247</v>
      </c>
      <c r="J370" s="8" t="s">
        <v>115</v>
      </c>
      <c r="K370" s="9" t="s">
        <v>156</v>
      </c>
      <c r="L370" s="10" t="s">
        <v>117</v>
      </c>
      <c r="M370" s="11">
        <v>520</v>
      </c>
      <c r="N370" s="12" t="s">
        <v>125</v>
      </c>
      <c r="O370" s="6">
        <v>45744</v>
      </c>
      <c r="P370" s="83">
        <v>3424</v>
      </c>
      <c r="Q370" s="14" t="s">
        <v>85</v>
      </c>
      <c r="R370" s="15">
        <v>0</v>
      </c>
      <c r="S370" s="15">
        <f>1429.7/3</f>
        <v>476.56666666666666</v>
      </c>
      <c r="T370" s="15">
        <f>DATA[[#This Row],[C. DF]]+DATA[[#This Row],[C.OPE.]]</f>
        <v>476.56666666666666</v>
      </c>
      <c r="U370" s="15">
        <f>DATA[[#This Row],[SUB TOTAL]]*0.18</f>
        <v>85.781999999999996</v>
      </c>
      <c r="V370" s="15">
        <f>IFERROR(ROUND(DATA[[#This Row],[SUB TOTAL]]+DATA[[#This Row],[IGV]],2),0)</f>
        <v>562.35</v>
      </c>
      <c r="W370" s="16" t="str">
        <f>IF(DATA[[#This Row],[VALORIZACIÓN ]]="-","NO CORRESPONDE",IF(OR(A370=20558226979,A370=10470707866,A370=20111157058,A370=20100226902),"NO CORRESPONDE",IF(J370="Emitida",IF(P370&gt;0,"EMITIDA","PENDIENTE"),"NO CORRESPONDE")))</f>
        <v>EMITIDA</v>
      </c>
      <c r="X370" s="29"/>
      <c r="Y370" s="17" t="s">
        <v>118</v>
      </c>
      <c r="Z370" s="30">
        <v>45798</v>
      </c>
      <c r="AA370" s="10" t="s">
        <v>150</v>
      </c>
      <c r="AB370" s="19">
        <v>82</v>
      </c>
      <c r="AC370" s="20">
        <v>15</v>
      </c>
      <c r="AD370" s="18">
        <f>DATA[[#This Row],[FECHA DE EMISION]]+DATA[[#This Row],[CONDICION DE PAGO]]</f>
        <v>45813</v>
      </c>
      <c r="AE370" s="23">
        <f>IF(DATA[[#This Row],[MONEDA]]="USD",VLOOKUP(DATA[[#This Row],[COMBINADA]],#REF!,11,0),1)</f>
        <v>1</v>
      </c>
      <c r="AF370" s="39" t="str">
        <f>IF(DATA[[#This Row],[SERIE2]]="-","NO CORRESPONDE",IF(W370="NO CORRESPONDE","NO CORRESPONDE",IF(Z370&gt;0,"FACTURADO","PENDIENTE")))</f>
        <v>FACTURADO</v>
      </c>
      <c r="AG370" s="27">
        <f>IFERROR(VLOOKUP(DATA[[#This Row],[COMBINADA]],#REF!,6,0),0)</f>
        <v>0</v>
      </c>
      <c r="AH370" s="125">
        <f>IFERROR(VLOOKUP(DATA[[#This Row],[COMBINADA]],#REF!,9,0),0)/COUNTIFS(DATA[COMBINADA],DATA[[#This Row],[COMBINADA]])</f>
        <v>0</v>
      </c>
      <c r="AI370" s="27">
        <f>IFERROR(VLOOKUP(DATA[[#This Row],[COMBINADA]],#REF!,6,0),0)</f>
        <v>0</v>
      </c>
      <c r="AJ370" s="125">
        <f>IFERROR(VLOOKUP(DATA[[#This Row],[COMBINADA]],#REF!,9,0),0)/COUNTIFS(DATA[COMBINADA],DATA[[#This Row],[COMBINADA]])</f>
        <v>0</v>
      </c>
      <c r="AK370" s="27">
        <f>IFERROR(VLOOKUP(DATA[[#This Row],[COMBINADA]],#REF!,6,0),0)</f>
        <v>0</v>
      </c>
      <c r="AL370" s="125">
        <f>IFERROR(VLOOKUP(DATA[[#This Row],[COMBINADA]],#REF!,9,0),0)/COUNTIFS(DATA[COMBINADA],DATA[[#This Row],[COMBINADA]])</f>
        <v>0</v>
      </c>
      <c r="AM370" s="27">
        <f>IFERROR(VLOOKUP(DATA[[#This Row],[COMBINADA]],#REF!,6,0),0)</f>
        <v>0</v>
      </c>
      <c r="AN370" s="125">
        <f>IFERROR(VLOOKUP(DATA[[#This Row],[COMBINADA]],#REF!,9,0),0)/COUNTIFS(DATA[COMBINADA],DATA[[#This Row],[COMBINADA]])</f>
        <v>0</v>
      </c>
      <c r="AO370" s="27">
        <f>IFERROR(VLOOKUP(DATA[[#This Row],[COMBINADA]],#REF!,6,0),0)</f>
        <v>0</v>
      </c>
      <c r="AP370" s="125">
        <f>IFERROR(VLOOKUP(DATA[[#This Row],[COMBINADA]],#REF!,9,0),0)/COUNTIFS(DATA[COMBINADA],DATA[[#This Row],[COMBINADA]])</f>
        <v>0</v>
      </c>
      <c r="AQ37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562.35</v>
      </c>
      <c r="AR370" s="26" t="str">
        <f>IFERROR(IF(DATA[[#This Row],[estado_fact]]="FACTURADO",VLOOKUP(DATA[[#This Row],[SERIE2]]&amp;"-"&amp;DATA[[#This Row],[NUMERO]],#REF!,34,0),"NO CORRESPONDE"),"NO CORRESPONDE")</f>
        <v>NO CORRESPONDE</v>
      </c>
      <c r="AS370" s="22" t="str">
        <f>IF(DATA[[#This Row],[fecha_fs]]&gt;0,TEXT(DATA[[#This Row],[fecha_fs]],"Mmmm"),0)</f>
        <v>Marzo</v>
      </c>
      <c r="AT370" s="22" t="str">
        <f>DATA[[#This Row],[SERIE2]]&amp;"-"&amp;DATA[[#This Row],[NUMERO]]</f>
        <v>FF01-82</v>
      </c>
      <c r="AU370" s="28">
        <f>DATA[[#This Row],[TOTAL]]*DATA[[#This Row],[T.C.]]</f>
        <v>562.35</v>
      </c>
      <c r="AV370" s="6">
        <f>DATA[[#This Row],[FECHA DE VAL.]]</f>
        <v>45744</v>
      </c>
      <c r="AW370" s="6">
        <f>DATA[[#This Row],[FECHA DE EMISION]]</f>
        <v>45798</v>
      </c>
      <c r="AX370" s="6">
        <f>DATA[[#This Row],[F1]]</f>
        <v>0</v>
      </c>
      <c r="AY370" s="20">
        <f>IF(AV370-DATA[[#This Row],[fecha_fs]]&lt;0,0,AV370-DATA[[#This Row],[fecha_fs]])</f>
        <v>11</v>
      </c>
      <c r="AZ370" s="20">
        <f t="shared" si="37"/>
        <v>54</v>
      </c>
      <c r="BA370" s="20">
        <f t="shared" si="38"/>
        <v>0</v>
      </c>
      <c r="BB370" s="195">
        <f>IFERROR(SUM(DATA[[#This Row],[fs_val_ttf]:[fact_pago_ttf]]),0)</f>
        <v>65</v>
      </c>
      <c r="BC370" s="185">
        <v>45733</v>
      </c>
      <c r="BD370" s="185">
        <v>45733</v>
      </c>
      <c r="BE370" s="185">
        <v>45751</v>
      </c>
      <c r="BF370" s="185">
        <v>45751</v>
      </c>
      <c r="BG370" s="20">
        <f>IFERROR(IF(BC370-DATA[[#This Row],[fecha_fs]]&lt;0,0,BC370-DATA[[#This Row],[fecha_fs]]),0)</f>
        <v>0</v>
      </c>
      <c r="BH370" s="20">
        <f t="shared" si="39"/>
        <v>0</v>
      </c>
      <c r="BI370" s="20">
        <f t="shared" si="40"/>
        <v>18</v>
      </c>
      <c r="BJ370" s="20">
        <f t="shared" si="41"/>
        <v>0</v>
      </c>
      <c r="BK370" s="218">
        <f>IFERROR(SUM(DATA[[#This Row],[fs_fd_ttd]:[fend_fenf_ttd]]),0)</f>
        <v>18</v>
      </c>
      <c r="BL370" s="20" t="str">
        <f>IF(DATA[[#This Row],[fecha_fs]]&gt;0,TEXT(DATA[[#This Row],[fecha_fs]],"YYYY"),0)</f>
        <v>2025</v>
      </c>
      <c r="BM370" s="221" t="b">
        <v>1</v>
      </c>
      <c r="BN370" s="278">
        <f>COUNTIF(DATA[[#This Row],[tiempo_td]], "&lt;=15")</f>
        <v>0</v>
      </c>
      <c r="BO370" s="222"/>
    </row>
    <row r="371" spans="1:67" ht="30.6" customHeight="1" x14ac:dyDescent="0.25">
      <c r="A371" s="4">
        <v>20454186002</v>
      </c>
      <c r="B371" s="5" t="s">
        <v>25</v>
      </c>
      <c r="C371" s="52" t="s">
        <v>18</v>
      </c>
      <c r="D371" s="4" t="s">
        <v>152</v>
      </c>
      <c r="E371" s="5" t="s">
        <v>10</v>
      </c>
      <c r="F371" s="24">
        <v>45733</v>
      </c>
      <c r="G371" s="7" t="s">
        <v>113</v>
      </c>
      <c r="H371" s="25">
        <f t="shared" si="36"/>
        <v>1</v>
      </c>
      <c r="I371" s="67">
        <v>4248</v>
      </c>
      <c r="J371" s="8" t="s">
        <v>115</v>
      </c>
      <c r="K371" s="9" t="s">
        <v>153</v>
      </c>
      <c r="L371" s="10" t="s">
        <v>117</v>
      </c>
      <c r="M371" s="11">
        <v>170</v>
      </c>
      <c r="N371" s="12" t="s">
        <v>164</v>
      </c>
      <c r="O371" s="6"/>
      <c r="P371" s="13" t="s">
        <v>114</v>
      </c>
      <c r="Q371" s="14"/>
      <c r="R371" s="15">
        <v>0</v>
      </c>
      <c r="S371" s="15"/>
      <c r="T371" s="15">
        <f>DATA[[#This Row],[C. DF]]+DATA[[#This Row],[C.OPE.]]</f>
        <v>0</v>
      </c>
      <c r="U371" s="15">
        <f>DATA[[#This Row],[SUB TOTAL]]*0.18</f>
        <v>0</v>
      </c>
      <c r="V371" s="15">
        <f>IFERROR(ROUND(DATA[[#This Row],[SUB TOTAL]]+DATA[[#This Row],[IGV]],2),0)</f>
        <v>0</v>
      </c>
      <c r="W371" s="16" t="str">
        <f>IF(DATA[[#This Row],[VALORIZACIÓN ]]="-","NO CORRESPONDE",IF(OR(A371=20558226979,A371=10470707866,A371=20111157058,A371=20100226902),"NO CORRESPONDE",IF(J371="Emitida",IF(P371&gt;0,"EMITIDA","PENDIENTE"),"NO CORRESPONDE")))</f>
        <v>NO CORRESPONDE</v>
      </c>
      <c r="X371" s="29" t="s">
        <v>216</v>
      </c>
      <c r="Y371" s="17" t="s">
        <v>128</v>
      </c>
      <c r="Z371" s="30"/>
      <c r="AA371" s="10"/>
      <c r="AB371" s="19"/>
      <c r="AC371" s="20"/>
      <c r="AD371" s="18">
        <f>DATA[[#This Row],[FECHA DE EMISION]]+DATA[[#This Row],[CONDICION DE PAGO]]</f>
        <v>0</v>
      </c>
      <c r="AE371" s="23">
        <f>IF(DATA[[#This Row],[MONEDA]]="USD",VLOOKUP(DATA[[#This Row],[COMBINADA]],#REF!,11,0),1)</f>
        <v>1</v>
      </c>
      <c r="AF371" s="39" t="str">
        <f>IF(DATA[[#This Row],[SERIE2]]="-","NO CORRESPONDE",IF(W371="NO CORRESPONDE","NO CORRESPONDE",IF(Z371&gt;0,"FACTURADO","PENDIENTE")))</f>
        <v>NO CORRESPONDE</v>
      </c>
      <c r="AG371" s="27">
        <f>IFERROR(VLOOKUP(DATA[[#This Row],[COMBINADA]],#REF!,6,0),0)</f>
        <v>0</v>
      </c>
      <c r="AH371" s="125">
        <f>IFERROR(VLOOKUP(DATA[[#This Row],[COMBINADA]],#REF!,9,0),0)/COUNTIFS(DATA[COMBINADA],DATA[[#This Row],[COMBINADA]])</f>
        <v>0</v>
      </c>
      <c r="AI371" s="27">
        <f>IFERROR(VLOOKUP(DATA[[#This Row],[COMBINADA]],#REF!,6,0),0)</f>
        <v>0</v>
      </c>
      <c r="AJ371" s="125">
        <f>IFERROR(VLOOKUP(DATA[[#This Row],[COMBINADA]],#REF!,9,0),0)/COUNTIFS(DATA[COMBINADA],DATA[[#This Row],[COMBINADA]])</f>
        <v>0</v>
      </c>
      <c r="AK371" s="27">
        <f>IFERROR(VLOOKUP(DATA[[#This Row],[COMBINADA]],#REF!,6,0),0)</f>
        <v>0</v>
      </c>
      <c r="AL371" s="125">
        <f>IFERROR(VLOOKUP(DATA[[#This Row],[COMBINADA]],#REF!,9,0),0)/COUNTIFS(DATA[COMBINADA],DATA[[#This Row],[COMBINADA]])</f>
        <v>0</v>
      </c>
      <c r="AM371" s="27">
        <f>IFERROR(VLOOKUP(DATA[[#This Row],[COMBINADA]],#REF!,6,0),0)</f>
        <v>0</v>
      </c>
      <c r="AN371" s="125">
        <f>IFERROR(VLOOKUP(DATA[[#This Row],[COMBINADA]],#REF!,9,0),0)/COUNTIFS(DATA[COMBINADA],DATA[[#This Row],[COMBINADA]])</f>
        <v>0</v>
      </c>
      <c r="AO371" s="27">
        <f>IFERROR(VLOOKUP(DATA[[#This Row],[COMBINADA]],#REF!,6,0),0)</f>
        <v>0</v>
      </c>
      <c r="AP371" s="125">
        <f>IFERROR(VLOOKUP(DATA[[#This Row],[COMBINADA]],#REF!,9,0),0)/COUNTIFS(DATA[COMBINADA],DATA[[#This Row],[COMBINADA]])</f>
        <v>0</v>
      </c>
      <c r="AQ37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371" s="26" t="str">
        <f>IFERROR(IF(DATA[[#This Row],[estado_fact]]="FACTURADO",VLOOKUP(DATA[[#This Row],[SERIE2]]&amp;"-"&amp;DATA[[#This Row],[NUMERO]],#REF!,34,0),"NO CORRESPONDE"),"NO CORRESPONDE")</f>
        <v>NO CORRESPONDE</v>
      </c>
      <c r="AS371" s="22" t="str">
        <f>IF(DATA[[#This Row],[fecha_fs]]&gt;0,TEXT(DATA[[#This Row],[fecha_fs]],"Mmmm"),0)</f>
        <v>Marzo</v>
      </c>
      <c r="AT371" s="22" t="str">
        <f>DATA[[#This Row],[SERIE2]]&amp;"-"&amp;DATA[[#This Row],[NUMERO]]</f>
        <v>-</v>
      </c>
      <c r="AU371" s="28">
        <f>DATA[[#This Row],[TOTAL]]*DATA[[#This Row],[T.C.]]</f>
        <v>0</v>
      </c>
      <c r="AV371" s="6">
        <f>DATA[[#This Row],[FECHA DE VAL.]]</f>
        <v>0</v>
      </c>
      <c r="AW371" s="6">
        <f>DATA[[#This Row],[FECHA DE EMISION]]</f>
        <v>0</v>
      </c>
      <c r="AX371" s="6">
        <f>DATA[[#This Row],[F1]]</f>
        <v>0</v>
      </c>
      <c r="AY371" s="20">
        <f>IF(AV371-DATA[[#This Row],[fecha_fs]]&lt;0,0,AV371-DATA[[#This Row],[fecha_fs]])</f>
        <v>0</v>
      </c>
      <c r="AZ371" s="20">
        <f t="shared" si="37"/>
        <v>0</v>
      </c>
      <c r="BA371" s="20">
        <f t="shared" si="38"/>
        <v>0</v>
      </c>
      <c r="BB371" s="195">
        <f>IFERROR(SUM(DATA[[#This Row],[fs_val_ttf]:[fact_pago_ttf]]),0)</f>
        <v>0</v>
      </c>
      <c r="BC371" s="185">
        <v>45745</v>
      </c>
      <c r="BD371" s="185">
        <v>45755</v>
      </c>
      <c r="BE371" s="185">
        <v>45789</v>
      </c>
      <c r="BF371" s="185">
        <v>45797</v>
      </c>
      <c r="BG371" s="20">
        <f>IFERROR(IF(BC371-DATA[[#This Row],[fecha_fs]]&lt;0,0,BC371-DATA[[#This Row],[fecha_fs]]),0)</f>
        <v>12</v>
      </c>
      <c r="BH371" s="20">
        <f t="shared" si="39"/>
        <v>10</v>
      </c>
      <c r="BI371" s="20">
        <f t="shared" si="40"/>
        <v>34</v>
      </c>
      <c r="BJ371" s="20">
        <f t="shared" si="41"/>
        <v>8</v>
      </c>
      <c r="BK371" s="218">
        <f>IFERROR(SUM(DATA[[#This Row],[fs_fd_ttd]:[fend_fenf_ttd]]),0)</f>
        <v>64</v>
      </c>
      <c r="BL371" s="20" t="str">
        <f>IF(DATA[[#This Row],[fecha_fs]]&gt;0,TEXT(DATA[[#This Row],[fecha_fs]],"YYYY"),0)</f>
        <v>2025</v>
      </c>
      <c r="BM371" s="221" t="b">
        <v>1</v>
      </c>
      <c r="BN371" s="278">
        <f>COUNTIF(DATA[[#This Row],[tiempo_td]], "&lt;=15")</f>
        <v>0</v>
      </c>
      <c r="BO371" s="222"/>
    </row>
    <row r="372" spans="1:67" ht="30.6" customHeight="1" x14ac:dyDescent="0.25">
      <c r="A372" s="4">
        <v>20558226979</v>
      </c>
      <c r="B372" s="5" t="s">
        <v>45</v>
      </c>
      <c r="C372" s="52" t="s">
        <v>18</v>
      </c>
      <c r="D372" s="4" t="s">
        <v>112</v>
      </c>
      <c r="E372" s="5" t="s">
        <v>1</v>
      </c>
      <c r="F372" s="24">
        <v>45733</v>
      </c>
      <c r="G372" s="7" t="s">
        <v>113</v>
      </c>
      <c r="H372" s="25">
        <f t="shared" si="36"/>
        <v>1</v>
      </c>
      <c r="I372" s="67">
        <v>4249</v>
      </c>
      <c r="J372" s="8" t="s">
        <v>115</v>
      </c>
      <c r="K372" s="9" t="s">
        <v>116</v>
      </c>
      <c r="L372" s="10" t="s">
        <v>117</v>
      </c>
      <c r="M372" s="11">
        <v>19</v>
      </c>
      <c r="N372" s="12" t="s">
        <v>114</v>
      </c>
      <c r="O372" s="40"/>
      <c r="P372" s="41" t="s">
        <v>114</v>
      </c>
      <c r="Q372" s="42"/>
      <c r="R372" s="43"/>
      <c r="S372" s="43"/>
      <c r="T372" s="43">
        <f>DATA[[#This Row],[C. DF]]+DATA[[#This Row],[C.OPE.]]</f>
        <v>0</v>
      </c>
      <c r="U372" s="43">
        <f>DATA[[#This Row],[SUB TOTAL]]*0.18</f>
        <v>0</v>
      </c>
      <c r="V372" s="43">
        <f>IFERROR(ROUND(DATA[[#This Row],[SUB TOTAL]]+DATA[[#This Row],[IGV]],2),0)</f>
        <v>0</v>
      </c>
      <c r="W372" s="16" t="str">
        <f>IF(DATA[[#This Row],[VALORIZACIÓN ]]="-","NO CORRESPONDE",IF(OR(A372=20558226979,A372=10470707866,A372=20111157058,A372=20100226902),"NO CORRESPONDE",IF(J372="Emitida",IF(P372&gt;0,"EMITIDA","PENDIENTE"),"NO CORRESPONDE")))</f>
        <v>NO CORRESPONDE</v>
      </c>
      <c r="X372" s="29"/>
      <c r="Y372" s="17" t="s">
        <v>128</v>
      </c>
      <c r="Z372" s="30"/>
      <c r="AA372" s="10"/>
      <c r="AB372" s="19"/>
      <c r="AC372" s="20"/>
      <c r="AD372" s="18">
        <f>DATA[[#This Row],[FECHA DE EMISION]]+DATA[[#This Row],[CONDICION DE PAGO]]</f>
        <v>0</v>
      </c>
      <c r="AE372" s="23">
        <f>IF(DATA[[#This Row],[MONEDA]]="USD",VLOOKUP(DATA[[#This Row],[COMBINADA]],#REF!,11,0),1)</f>
        <v>1</v>
      </c>
      <c r="AF372" s="39" t="str">
        <f>IF(DATA[[#This Row],[SERIE2]]="-","NO CORRESPONDE",IF(W372="NO CORRESPONDE","NO CORRESPONDE",IF(Z372&gt;0,"FACTURADO","PENDIENTE")))</f>
        <v>NO CORRESPONDE</v>
      </c>
      <c r="AG372" s="27">
        <f>IFERROR(VLOOKUP(DATA[[#This Row],[COMBINADA]],#REF!,6,0),0)</f>
        <v>0</v>
      </c>
      <c r="AH372" s="125">
        <f>IFERROR(VLOOKUP(DATA[[#This Row],[COMBINADA]],#REF!,9,0),0)/COUNTIFS(DATA[COMBINADA],DATA[[#This Row],[COMBINADA]])</f>
        <v>0</v>
      </c>
      <c r="AI372" s="27">
        <f>IFERROR(VLOOKUP(DATA[[#This Row],[COMBINADA]],#REF!,6,0),0)</f>
        <v>0</v>
      </c>
      <c r="AJ372" s="125">
        <f>IFERROR(VLOOKUP(DATA[[#This Row],[COMBINADA]],#REF!,9,0),0)/COUNTIFS(DATA[COMBINADA],DATA[[#This Row],[COMBINADA]])</f>
        <v>0</v>
      </c>
      <c r="AK372" s="27">
        <f>IFERROR(VLOOKUP(DATA[[#This Row],[COMBINADA]],#REF!,6,0),0)</f>
        <v>0</v>
      </c>
      <c r="AL372" s="125">
        <f>IFERROR(VLOOKUP(DATA[[#This Row],[COMBINADA]],#REF!,9,0),0)/COUNTIFS(DATA[COMBINADA],DATA[[#This Row],[COMBINADA]])</f>
        <v>0</v>
      </c>
      <c r="AM372" s="27">
        <f>IFERROR(VLOOKUP(DATA[[#This Row],[COMBINADA]],#REF!,6,0),0)</f>
        <v>0</v>
      </c>
      <c r="AN372" s="125">
        <f>IFERROR(VLOOKUP(DATA[[#This Row],[COMBINADA]],#REF!,9,0),0)/COUNTIFS(DATA[COMBINADA],DATA[[#This Row],[COMBINADA]])</f>
        <v>0</v>
      </c>
      <c r="AO372" s="27">
        <f>IFERROR(VLOOKUP(DATA[[#This Row],[COMBINADA]],#REF!,6,0),0)</f>
        <v>0</v>
      </c>
      <c r="AP372" s="125">
        <f>IFERROR(VLOOKUP(DATA[[#This Row],[COMBINADA]],#REF!,9,0),0)/COUNTIFS(DATA[COMBINADA],DATA[[#This Row],[COMBINADA]])</f>
        <v>0</v>
      </c>
      <c r="AQ37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372" s="26" t="str">
        <f>IFERROR(IF(DATA[[#This Row],[estado_fact]]="FACTURADO",VLOOKUP(DATA[[#This Row],[SERIE2]]&amp;"-"&amp;DATA[[#This Row],[NUMERO]],#REF!,34,0),"NO CORRESPONDE"),"NO CORRESPONDE")</f>
        <v>NO CORRESPONDE</v>
      </c>
      <c r="AS372" s="22" t="str">
        <f>IF(DATA[[#This Row],[fecha_fs]]&gt;0,TEXT(DATA[[#This Row],[fecha_fs]],"Mmmm"),0)</f>
        <v>Marzo</v>
      </c>
      <c r="AT372" s="22" t="str">
        <f>DATA[[#This Row],[SERIE2]]&amp;"-"&amp;DATA[[#This Row],[NUMERO]]</f>
        <v>-</v>
      </c>
      <c r="AU372" s="28">
        <f>DATA[[#This Row],[TOTAL]]*DATA[[#This Row],[T.C.]]</f>
        <v>0</v>
      </c>
      <c r="AV372" s="6">
        <f>DATA[[#This Row],[FECHA DE VAL.]]</f>
        <v>0</v>
      </c>
      <c r="AW372" s="6">
        <f>DATA[[#This Row],[FECHA DE EMISION]]</f>
        <v>0</v>
      </c>
      <c r="AX372" s="6">
        <f>DATA[[#This Row],[F1]]</f>
        <v>0</v>
      </c>
      <c r="AY372" s="20">
        <f>IF(AV372-DATA[[#This Row],[fecha_fs]]&lt;0,0,AV372-DATA[[#This Row],[fecha_fs]])</f>
        <v>0</v>
      </c>
      <c r="AZ372" s="20">
        <f t="shared" si="37"/>
        <v>0</v>
      </c>
      <c r="BA372" s="20">
        <f t="shared" si="38"/>
        <v>0</v>
      </c>
      <c r="BB372" s="195">
        <f>IFERROR(SUM(DATA[[#This Row],[fs_val_ttf]:[fact_pago_ttf]]),0)</f>
        <v>0</v>
      </c>
      <c r="BC372" s="185">
        <v>45740</v>
      </c>
      <c r="BD372" s="185">
        <v>45749</v>
      </c>
      <c r="BE372" s="185">
        <v>45793</v>
      </c>
      <c r="BF372" s="185">
        <v>45793</v>
      </c>
      <c r="BG372" s="20">
        <f>IFERROR(IF(BC372-DATA[[#This Row],[fecha_fs]]&lt;0,0,BC372-DATA[[#This Row],[fecha_fs]]),0)</f>
        <v>7</v>
      </c>
      <c r="BH372" s="20">
        <f t="shared" si="39"/>
        <v>9</v>
      </c>
      <c r="BI372" s="20">
        <f t="shared" si="40"/>
        <v>44</v>
      </c>
      <c r="BJ372" s="20">
        <f t="shared" si="41"/>
        <v>0</v>
      </c>
      <c r="BK372" s="218">
        <f>IFERROR(SUM(DATA[[#This Row],[fs_fd_ttd]:[fend_fenf_ttd]]),0)</f>
        <v>60</v>
      </c>
      <c r="BL372" s="20" t="str">
        <f>IF(DATA[[#This Row],[fecha_fs]]&gt;0,TEXT(DATA[[#This Row],[fecha_fs]],"YYYY"),0)</f>
        <v>2025</v>
      </c>
      <c r="BM372" s="221" t="b">
        <v>1</v>
      </c>
      <c r="BN372" s="278">
        <f>COUNTIF(DATA[[#This Row],[tiempo_td]], "&lt;=15")</f>
        <v>0</v>
      </c>
      <c r="BO372" s="222"/>
    </row>
    <row r="373" spans="1:67" ht="30.6" customHeight="1" x14ac:dyDescent="0.25">
      <c r="A373" s="4">
        <v>20100055237</v>
      </c>
      <c r="B373" s="5" t="s">
        <v>21</v>
      </c>
      <c r="C373" s="52" t="s">
        <v>138</v>
      </c>
      <c r="D373" s="4" t="s">
        <v>139</v>
      </c>
      <c r="E373" s="5" t="s">
        <v>23</v>
      </c>
      <c r="F373" s="24">
        <v>45734</v>
      </c>
      <c r="G373" s="7" t="s">
        <v>113</v>
      </c>
      <c r="H373" s="25">
        <f t="shared" si="36"/>
        <v>1</v>
      </c>
      <c r="I373" s="67">
        <v>4250</v>
      </c>
      <c r="J373" s="8" t="s">
        <v>115</v>
      </c>
      <c r="K373" s="9" t="s">
        <v>121</v>
      </c>
      <c r="L373" s="10" t="s">
        <v>117</v>
      </c>
      <c r="M373" s="11">
        <v>90</v>
      </c>
      <c r="N373" s="12" t="s">
        <v>125</v>
      </c>
      <c r="O373" s="6">
        <v>45743</v>
      </c>
      <c r="P373" s="54">
        <v>3365</v>
      </c>
      <c r="Q373" s="14" t="s">
        <v>85</v>
      </c>
      <c r="R373" s="15"/>
      <c r="S373" s="15">
        <v>297.92</v>
      </c>
      <c r="T373" s="15">
        <f>DATA[[#This Row],[C. DF]]+DATA[[#This Row],[C.OPE.]]</f>
        <v>297.92</v>
      </c>
      <c r="U373" s="15">
        <f>DATA[[#This Row],[SUB TOTAL]]*0.18</f>
        <v>53.625599999999999</v>
      </c>
      <c r="V373" s="15">
        <f>IFERROR(ROUND(DATA[[#This Row],[SUB TOTAL]]+DATA[[#This Row],[IGV]],2),0)</f>
        <v>351.55</v>
      </c>
      <c r="W373" s="16" t="str">
        <f>IF(DATA[[#This Row],[VALORIZACIÓN ]]="-","NO CORRESPONDE",IF(OR(A373=20558226979,A373=10470707866,A373=20111157058,A373=20100226902),"NO CORRESPONDE",IF(J373="Emitida",IF(P373&gt;0,"EMITIDA","PENDIENTE"),"NO CORRESPONDE")))</f>
        <v>EMITIDA</v>
      </c>
      <c r="X373" s="29"/>
      <c r="Y373" s="17" t="s">
        <v>118</v>
      </c>
      <c r="Z373" s="30">
        <v>45785</v>
      </c>
      <c r="AA373" s="10" t="s">
        <v>150</v>
      </c>
      <c r="AB373" s="19">
        <v>72</v>
      </c>
      <c r="AC373" s="20">
        <v>30</v>
      </c>
      <c r="AD373" s="18">
        <f>DATA[[#This Row],[FECHA DE EMISION]]+DATA[[#This Row],[CONDICION DE PAGO]]</f>
        <v>45815</v>
      </c>
      <c r="AE373" s="23">
        <f>IF(DATA[[#This Row],[MONEDA]]="USD",VLOOKUP(DATA[[#This Row],[COMBINADA]],#REF!,11,0),1)</f>
        <v>1</v>
      </c>
      <c r="AF373" s="39" t="str">
        <f>IF(DATA[[#This Row],[SERIE2]]="-","NO CORRESPONDE",IF(W373="NO CORRESPONDE","NO CORRESPONDE",IF(Z373&gt;0,"FACTURADO","PENDIENTE")))</f>
        <v>FACTURADO</v>
      </c>
      <c r="AG373" s="27">
        <f>IFERROR(VLOOKUP(DATA[[#This Row],[COMBINADA]],#REF!,6,0),0)</f>
        <v>0</v>
      </c>
      <c r="AH373" s="125">
        <f>IFERROR(VLOOKUP(DATA[[#This Row],[COMBINADA]],#REF!,9,0),0)/COUNTIFS(DATA[COMBINADA],DATA[[#This Row],[COMBINADA]])</f>
        <v>0</v>
      </c>
      <c r="AI373" s="27">
        <f>IFERROR(VLOOKUP(DATA[[#This Row],[COMBINADA]],#REF!,6,0),0)</f>
        <v>0</v>
      </c>
      <c r="AJ373" s="125">
        <f>IFERROR(VLOOKUP(DATA[[#This Row],[COMBINADA]],#REF!,9,0),0)/COUNTIFS(DATA[COMBINADA],DATA[[#This Row],[COMBINADA]])</f>
        <v>0</v>
      </c>
      <c r="AK373" s="27">
        <f>IFERROR(VLOOKUP(DATA[[#This Row],[COMBINADA]],#REF!,6,0),0)</f>
        <v>0</v>
      </c>
      <c r="AL373" s="125">
        <f>IFERROR(VLOOKUP(DATA[[#This Row],[COMBINADA]],#REF!,9,0),0)/COUNTIFS(DATA[COMBINADA],DATA[[#This Row],[COMBINADA]])</f>
        <v>0</v>
      </c>
      <c r="AM373" s="27">
        <f>IFERROR(VLOOKUP(DATA[[#This Row],[COMBINADA]],#REF!,6,0),0)</f>
        <v>0</v>
      </c>
      <c r="AN373" s="125">
        <f>IFERROR(VLOOKUP(DATA[[#This Row],[COMBINADA]],#REF!,9,0),0)/COUNTIFS(DATA[COMBINADA],DATA[[#This Row],[COMBINADA]])</f>
        <v>0</v>
      </c>
      <c r="AO373" s="27">
        <f>IFERROR(VLOOKUP(DATA[[#This Row],[COMBINADA]],#REF!,6,0),0)</f>
        <v>0</v>
      </c>
      <c r="AP373" s="125">
        <f>IFERROR(VLOOKUP(DATA[[#This Row],[COMBINADA]],#REF!,9,0),0)/COUNTIFS(DATA[COMBINADA],DATA[[#This Row],[COMBINADA]])</f>
        <v>0</v>
      </c>
      <c r="AQ37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373" s="26" t="str">
        <f>IFERROR(IF(DATA[[#This Row],[estado_fact]]="FACTURADO",VLOOKUP(DATA[[#This Row],[SERIE2]]&amp;"-"&amp;DATA[[#This Row],[NUMERO]],#REF!,34,0),"NO CORRESPONDE"),"NO CORRESPONDE")</f>
        <v>NO CORRESPONDE</v>
      </c>
      <c r="AS373" s="22" t="str">
        <f>IF(DATA[[#This Row],[fecha_fs]]&gt;0,TEXT(DATA[[#This Row],[fecha_fs]],"Mmmm"),0)</f>
        <v>Marzo</v>
      </c>
      <c r="AT373" s="22" t="str">
        <f>DATA[[#This Row],[SERIE2]]&amp;"-"&amp;DATA[[#This Row],[NUMERO]]</f>
        <v>FF01-72</v>
      </c>
      <c r="AU373" s="28">
        <f>DATA[[#This Row],[TOTAL]]*DATA[[#This Row],[T.C.]]</f>
        <v>351.55</v>
      </c>
      <c r="AV373" s="6">
        <f>DATA[[#This Row],[FECHA DE VAL.]]</f>
        <v>45743</v>
      </c>
      <c r="AW373" s="6">
        <f>DATA[[#This Row],[FECHA DE EMISION]]</f>
        <v>45785</v>
      </c>
      <c r="AX373" s="6">
        <f>DATA[[#This Row],[F1]]</f>
        <v>0</v>
      </c>
      <c r="AY373" s="20">
        <f>IF(AV373-DATA[[#This Row],[fecha_fs]]&lt;0,0,AV373-DATA[[#This Row],[fecha_fs]])</f>
        <v>9</v>
      </c>
      <c r="AZ373" s="20">
        <f t="shared" si="37"/>
        <v>42</v>
      </c>
      <c r="BA373" s="20">
        <f t="shared" si="38"/>
        <v>0</v>
      </c>
      <c r="BB373" s="195">
        <f>IFERROR(SUM(DATA[[#This Row],[fs_val_ttf]:[fact_pago_ttf]]),0)</f>
        <v>51</v>
      </c>
      <c r="BC373" s="185">
        <v>45734</v>
      </c>
      <c r="BD373" s="185">
        <v>45734</v>
      </c>
      <c r="BE373" s="185">
        <v>45743</v>
      </c>
      <c r="BF373" s="185">
        <v>45743</v>
      </c>
      <c r="BG373" s="20">
        <f>IFERROR(IF(BC373-DATA[[#This Row],[fecha_fs]]&lt;0,0,BC373-DATA[[#This Row],[fecha_fs]]),0)</f>
        <v>0</v>
      </c>
      <c r="BH373" s="20">
        <f t="shared" si="39"/>
        <v>0</v>
      </c>
      <c r="BI373" s="20">
        <f t="shared" si="40"/>
        <v>9</v>
      </c>
      <c r="BJ373" s="20">
        <f t="shared" si="41"/>
        <v>0</v>
      </c>
      <c r="BK373" s="218">
        <f>IFERROR(SUM(DATA[[#This Row],[fs_fd_ttd]:[fend_fenf_ttd]]),0)</f>
        <v>9</v>
      </c>
      <c r="BL373" s="20" t="str">
        <f>IF(DATA[[#This Row],[fecha_fs]]&gt;0,TEXT(DATA[[#This Row],[fecha_fs]],"YYYY"),0)</f>
        <v>2025</v>
      </c>
      <c r="BM373" s="221" t="b">
        <v>1</v>
      </c>
      <c r="BN373" s="278">
        <f>COUNTIF(DATA[[#This Row],[tiempo_td]], "&lt;=15")</f>
        <v>1</v>
      </c>
      <c r="BO373" s="222"/>
    </row>
    <row r="374" spans="1:67" ht="30.6" customHeight="1" x14ac:dyDescent="0.25">
      <c r="A374" s="4">
        <v>20553956324</v>
      </c>
      <c r="B374" s="5" t="s">
        <v>281</v>
      </c>
      <c r="C374" s="52" t="s">
        <v>175</v>
      </c>
      <c r="D374" s="4" t="s">
        <v>120</v>
      </c>
      <c r="E374" s="5" t="s">
        <v>3</v>
      </c>
      <c r="F374" s="24">
        <v>45734</v>
      </c>
      <c r="G374" s="7" t="s">
        <v>113</v>
      </c>
      <c r="H374" s="25">
        <f t="shared" si="36"/>
        <v>1</v>
      </c>
      <c r="I374" s="67">
        <v>4251</v>
      </c>
      <c r="J374" s="8" t="s">
        <v>115</v>
      </c>
      <c r="K374" s="9" t="s">
        <v>121</v>
      </c>
      <c r="L374" s="10" t="s">
        <v>117</v>
      </c>
      <c r="M374" s="11">
        <v>80</v>
      </c>
      <c r="N374" s="12" t="s">
        <v>125</v>
      </c>
      <c r="O374" s="6">
        <v>45747</v>
      </c>
      <c r="P374" s="109">
        <v>3370</v>
      </c>
      <c r="Q374" s="14" t="s">
        <v>85</v>
      </c>
      <c r="R374" s="15">
        <f>DATA[[#This Row],[cantidad_fs]]*0.08</f>
        <v>6.4</v>
      </c>
      <c r="S374" s="15">
        <v>395.1</v>
      </c>
      <c r="T374" s="15">
        <f>DATA[[#This Row],[C. DF]]+DATA[[#This Row],[C.OPE.]]</f>
        <v>401.5</v>
      </c>
      <c r="U374" s="15">
        <f>DATA[[#This Row],[SUB TOTAL]]*0.18</f>
        <v>72.27</v>
      </c>
      <c r="V374" s="15">
        <f>IFERROR(ROUND(DATA[[#This Row],[SUB TOTAL]]+DATA[[#This Row],[IGV]],2),0)</f>
        <v>473.77</v>
      </c>
      <c r="W374" s="16" t="str">
        <f>IF(DATA[[#This Row],[VALORIZACIÓN ]]="-","NO CORRESPONDE",IF(OR(A374=20558226979,A374=10470707866,A374=20111157058,A374=20100226902),"NO CORRESPONDE",IF(J374="Emitida",IF(P374&gt;0,"EMITIDA","PENDIENTE"),"NO CORRESPONDE")))</f>
        <v>EMITIDA</v>
      </c>
      <c r="X374" s="29"/>
      <c r="Y374" s="17" t="s">
        <v>118</v>
      </c>
      <c r="Z374" s="30">
        <v>45790</v>
      </c>
      <c r="AA374" s="10" t="s">
        <v>150</v>
      </c>
      <c r="AB374" s="19">
        <v>75</v>
      </c>
      <c r="AC374" s="20"/>
      <c r="AD374" s="18">
        <f>DATA[[#This Row],[FECHA DE EMISION]]+DATA[[#This Row],[CONDICION DE PAGO]]</f>
        <v>45790</v>
      </c>
      <c r="AE374" s="23">
        <f>IF(DATA[[#This Row],[MONEDA]]="USD",VLOOKUP(DATA[[#This Row],[COMBINADA]],#REF!,11,0),1)</f>
        <v>1</v>
      </c>
      <c r="AF374" s="39" t="str">
        <f>IF(DATA[[#This Row],[SERIE2]]="-","NO CORRESPONDE",IF(W374="NO CORRESPONDE","NO CORRESPONDE",IF(Z374&gt;0,"FACTURADO","PENDIENTE")))</f>
        <v>FACTURADO</v>
      </c>
      <c r="AG374" s="27">
        <f>IFERROR(VLOOKUP(DATA[[#This Row],[COMBINADA]],#REF!,6,0),0)</f>
        <v>0</v>
      </c>
      <c r="AH374" s="125">
        <f>IFERROR(VLOOKUP(DATA[[#This Row],[COMBINADA]],#REF!,9,0),0)/COUNTIFS(DATA[COMBINADA],DATA[[#This Row],[COMBINADA]])</f>
        <v>0</v>
      </c>
      <c r="AI374" s="27">
        <f>IFERROR(VLOOKUP(DATA[[#This Row],[COMBINADA]],#REF!,6,0),0)</f>
        <v>0</v>
      </c>
      <c r="AJ374" s="125">
        <f>IFERROR(VLOOKUP(DATA[[#This Row],[COMBINADA]],#REF!,9,0),0)/COUNTIFS(DATA[COMBINADA],DATA[[#This Row],[COMBINADA]])</f>
        <v>0</v>
      </c>
      <c r="AK374" s="27">
        <f>IFERROR(VLOOKUP(DATA[[#This Row],[COMBINADA]],#REF!,6,0),0)</f>
        <v>0</v>
      </c>
      <c r="AL374" s="125">
        <f>IFERROR(VLOOKUP(DATA[[#This Row],[COMBINADA]],#REF!,9,0),0)/COUNTIFS(DATA[COMBINADA],DATA[[#This Row],[COMBINADA]])</f>
        <v>0</v>
      </c>
      <c r="AM374" s="27">
        <f>IFERROR(VLOOKUP(DATA[[#This Row],[COMBINADA]],#REF!,6,0),0)</f>
        <v>0</v>
      </c>
      <c r="AN374" s="125">
        <f>IFERROR(VLOOKUP(DATA[[#This Row],[COMBINADA]],#REF!,9,0),0)/COUNTIFS(DATA[COMBINADA],DATA[[#This Row],[COMBINADA]])</f>
        <v>0</v>
      </c>
      <c r="AO374" s="27">
        <f>IFERROR(VLOOKUP(DATA[[#This Row],[COMBINADA]],#REF!,6,0),0)</f>
        <v>0</v>
      </c>
      <c r="AP374" s="125">
        <f>IFERROR(VLOOKUP(DATA[[#This Row],[COMBINADA]],#REF!,9,0),0)/COUNTIFS(DATA[COMBINADA],DATA[[#This Row],[COMBINADA]])</f>
        <v>0</v>
      </c>
      <c r="AQ37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490.09299999999996</v>
      </c>
      <c r="AR374" s="26" t="str">
        <f>IFERROR(IF(DATA[[#This Row],[estado_fact]]="FACTURADO",VLOOKUP(DATA[[#This Row],[SERIE2]]&amp;"-"&amp;DATA[[#This Row],[NUMERO]],#REF!,34,0),"NO CORRESPONDE"),"NO CORRESPONDE")</f>
        <v>NO CORRESPONDE</v>
      </c>
      <c r="AS374" s="22" t="str">
        <f>IF(DATA[[#This Row],[fecha_fs]]&gt;0,TEXT(DATA[[#This Row],[fecha_fs]],"Mmmm"),0)</f>
        <v>Marzo</v>
      </c>
      <c r="AT374" s="22" t="str">
        <f>DATA[[#This Row],[SERIE2]]&amp;"-"&amp;DATA[[#This Row],[NUMERO]]</f>
        <v>FF01-75</v>
      </c>
      <c r="AU374" s="28">
        <f>DATA[[#This Row],[TOTAL]]*DATA[[#This Row],[T.C.]]</f>
        <v>473.77</v>
      </c>
      <c r="AV374" s="6">
        <f>DATA[[#This Row],[FECHA DE VAL.]]</f>
        <v>45747</v>
      </c>
      <c r="AW374" s="6">
        <f>DATA[[#This Row],[FECHA DE EMISION]]</f>
        <v>45790</v>
      </c>
      <c r="AX374" s="6">
        <f>DATA[[#This Row],[F1]]</f>
        <v>0</v>
      </c>
      <c r="AY374" s="20">
        <f>IF(AV374-DATA[[#This Row],[fecha_fs]]&lt;0,0,AV374-DATA[[#This Row],[fecha_fs]])</f>
        <v>13</v>
      </c>
      <c r="AZ374" s="20">
        <f t="shared" si="37"/>
        <v>43</v>
      </c>
      <c r="BA374" s="20">
        <f t="shared" si="38"/>
        <v>0</v>
      </c>
      <c r="BB374" s="195">
        <f>IFERROR(SUM(DATA[[#This Row],[fs_val_ttf]:[fact_pago_ttf]]),0)</f>
        <v>56</v>
      </c>
      <c r="BC374" s="185">
        <v>45748</v>
      </c>
      <c r="BD374" s="185">
        <v>45751</v>
      </c>
      <c r="BE374" s="185">
        <v>45756</v>
      </c>
      <c r="BF374" s="185">
        <v>45758</v>
      </c>
      <c r="BG374" s="20">
        <f>IFERROR(IF(BC374-DATA[[#This Row],[fecha_fs]]&lt;0,0,BC374-DATA[[#This Row],[fecha_fs]]),0)</f>
        <v>14</v>
      </c>
      <c r="BH374" s="20">
        <f t="shared" si="39"/>
        <v>3</v>
      </c>
      <c r="BI374" s="20">
        <f t="shared" si="40"/>
        <v>5</v>
      </c>
      <c r="BJ374" s="20">
        <f t="shared" si="41"/>
        <v>2</v>
      </c>
      <c r="BK374" s="218">
        <f>IFERROR(SUM(DATA[[#This Row],[fs_fd_ttd]:[fend_fenf_ttd]]),0)</f>
        <v>24</v>
      </c>
      <c r="BL374" s="20" t="str">
        <f>IF(DATA[[#This Row],[fecha_fs]]&gt;0,TEXT(DATA[[#This Row],[fecha_fs]],"YYYY"),0)</f>
        <v>2025</v>
      </c>
      <c r="BM374" s="221" t="b">
        <v>1</v>
      </c>
      <c r="BN374" s="278">
        <f>COUNTIF(DATA[[#This Row],[tiempo_td]], "&lt;=15")</f>
        <v>0</v>
      </c>
      <c r="BO374" s="222"/>
    </row>
    <row r="375" spans="1:67" ht="30.6" customHeight="1" x14ac:dyDescent="0.25">
      <c r="A375" s="4">
        <v>20100192064</v>
      </c>
      <c r="B375" s="5" t="s">
        <v>60</v>
      </c>
      <c r="C375" s="52" t="s">
        <v>64</v>
      </c>
      <c r="D375" s="4" t="s">
        <v>112</v>
      </c>
      <c r="E375" s="5" t="s">
        <v>1</v>
      </c>
      <c r="F375" s="24">
        <v>45735</v>
      </c>
      <c r="G375" s="7" t="s">
        <v>113</v>
      </c>
      <c r="H375" s="25">
        <f t="shared" si="36"/>
        <v>1</v>
      </c>
      <c r="I375" s="67">
        <v>4252</v>
      </c>
      <c r="J375" s="8" t="s">
        <v>115</v>
      </c>
      <c r="K375" s="9" t="s">
        <v>116</v>
      </c>
      <c r="L375" s="10" t="s">
        <v>117</v>
      </c>
      <c r="M375" s="11">
        <v>240</v>
      </c>
      <c r="N375" s="12" t="s">
        <v>167</v>
      </c>
      <c r="O375" s="6">
        <v>45742</v>
      </c>
      <c r="P375" s="71">
        <v>3355</v>
      </c>
      <c r="Q375" s="14" t="s">
        <v>123</v>
      </c>
      <c r="R375" s="15">
        <f>(DATA[[#This Row],[cantidad_fs]]/1000)*(143+175.34)</f>
        <v>76.401600000000002</v>
      </c>
      <c r="S375" s="15">
        <v>137</v>
      </c>
      <c r="T375" s="15">
        <f>DATA[[#This Row],[C. DF]]+DATA[[#This Row],[C.OPE.]]</f>
        <v>213.4016</v>
      </c>
      <c r="U375" s="15">
        <f>DATA[[#This Row],[SUB TOTAL]]*0.18</f>
        <v>38.412287999999997</v>
      </c>
      <c r="V375" s="15">
        <f>IFERROR(ROUND(DATA[[#This Row],[SUB TOTAL]]+DATA[[#This Row],[IGV]],2),0)</f>
        <v>251.81</v>
      </c>
      <c r="W375" s="16" t="str">
        <f>IF(DATA[[#This Row],[VALORIZACIÓN ]]="-","NO CORRESPONDE",IF(OR(A375=20558226979,A375=10470707866,A375=20111157058,A375=20100226902),"NO CORRESPONDE",IF(J375="Emitida",IF(P375&gt;0,"EMITIDA","PENDIENTE"),"NO CORRESPONDE")))</f>
        <v>EMITIDA</v>
      </c>
      <c r="X375" s="29" t="s">
        <v>212</v>
      </c>
      <c r="Y375" s="17" t="s">
        <v>118</v>
      </c>
      <c r="Z375" s="30">
        <v>45743</v>
      </c>
      <c r="AA375" s="10" t="s">
        <v>150</v>
      </c>
      <c r="AB375" s="19">
        <v>1</v>
      </c>
      <c r="AC375" s="20">
        <v>30</v>
      </c>
      <c r="AD375" s="18">
        <f>DATA[[#This Row],[FECHA DE EMISION]]+DATA[[#This Row],[CONDICION DE PAGO]]</f>
        <v>45773</v>
      </c>
      <c r="AE375" s="23" t="e">
        <f>IF(DATA[[#This Row],[MONEDA]]="USD",VLOOKUP(DATA[[#This Row],[COMBINADA]],#REF!,11,0),1)</f>
        <v>#REF!</v>
      </c>
      <c r="AF375" s="39" t="str">
        <f>IF(DATA[[#This Row],[SERIE2]]="-","NO CORRESPONDE",IF(W375="NO CORRESPONDE","NO CORRESPONDE",IF(Z375&gt;0,"FACTURADO","PENDIENTE")))</f>
        <v>FACTURADO</v>
      </c>
      <c r="AG375" s="27">
        <f>IFERROR(VLOOKUP(DATA[[#This Row],[COMBINADA]],#REF!,6,0),0)</f>
        <v>0</v>
      </c>
      <c r="AH375" s="125">
        <f>IFERROR(VLOOKUP(DATA[[#This Row],[COMBINADA]],#REF!,9,0),0)/COUNTIFS(DATA[COMBINADA],DATA[[#This Row],[COMBINADA]])</f>
        <v>0</v>
      </c>
      <c r="AI375" s="27">
        <f>IFERROR(VLOOKUP(DATA[[#This Row],[COMBINADA]],#REF!,6,0),0)</f>
        <v>0</v>
      </c>
      <c r="AJ375" s="125">
        <f>IFERROR(VLOOKUP(DATA[[#This Row],[COMBINADA]],#REF!,9,0),0)/COUNTIFS(DATA[COMBINADA],DATA[[#This Row],[COMBINADA]])</f>
        <v>0</v>
      </c>
      <c r="AK375" s="27">
        <f>IFERROR(VLOOKUP(DATA[[#This Row],[COMBINADA]],#REF!,6,0),0)</f>
        <v>0</v>
      </c>
      <c r="AL375" s="125">
        <f>IFERROR(VLOOKUP(DATA[[#This Row],[COMBINADA]],#REF!,9,0),0)/COUNTIFS(DATA[COMBINADA],DATA[[#This Row],[COMBINADA]])</f>
        <v>0</v>
      </c>
      <c r="AM375" s="27">
        <f>IFERROR(VLOOKUP(DATA[[#This Row],[COMBINADA]],#REF!,6,0),0)</f>
        <v>0</v>
      </c>
      <c r="AN375" s="125">
        <f>IFERROR(VLOOKUP(DATA[[#This Row],[COMBINADA]],#REF!,9,0),0)/COUNTIFS(DATA[COMBINADA],DATA[[#This Row],[COMBINADA]])</f>
        <v>0</v>
      </c>
      <c r="AO375" s="27">
        <f>IFERROR(VLOOKUP(DATA[[#This Row],[COMBINADA]],#REF!,6,0),0)</f>
        <v>0</v>
      </c>
      <c r="AP375" s="125">
        <f>IFERROR(VLOOKUP(DATA[[#This Row],[COMBINADA]],#REF!,9,0),0)/COUNTIFS(DATA[COMBINADA],DATA[[#This Row],[COMBINADA]])</f>
        <v>0</v>
      </c>
      <c r="AQ37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604.21249999999986</v>
      </c>
      <c r="AR375" s="26" t="str">
        <f>IFERROR(IF(DATA[[#This Row],[estado_fact]]="FACTURADO",VLOOKUP(DATA[[#This Row],[SERIE2]]&amp;"-"&amp;DATA[[#This Row],[NUMERO]],#REF!,34,0),"NO CORRESPONDE"),"NO CORRESPONDE")</f>
        <v>NO CORRESPONDE</v>
      </c>
      <c r="AS375" s="22" t="str">
        <f>IF(DATA[[#This Row],[fecha_fs]]&gt;0,TEXT(DATA[[#This Row],[fecha_fs]],"Mmmm"),0)</f>
        <v>Marzo</v>
      </c>
      <c r="AT375" s="22" t="str">
        <f>DATA[[#This Row],[SERIE2]]&amp;"-"&amp;DATA[[#This Row],[NUMERO]]</f>
        <v>FF01-1</v>
      </c>
      <c r="AU375" s="28" t="e">
        <f>DATA[[#This Row],[TOTAL]]*DATA[[#This Row],[T.C.]]</f>
        <v>#REF!</v>
      </c>
      <c r="AV375" s="6">
        <f>DATA[[#This Row],[FECHA DE VAL.]]</f>
        <v>45742</v>
      </c>
      <c r="AW375" s="6">
        <f>DATA[[#This Row],[FECHA DE EMISION]]</f>
        <v>45743</v>
      </c>
      <c r="AX375" s="6">
        <f>DATA[[#This Row],[F1]]</f>
        <v>0</v>
      </c>
      <c r="AY375" s="20">
        <f>IF(AV375-DATA[[#This Row],[fecha_fs]]&lt;0,0,AV375-DATA[[#This Row],[fecha_fs]])</f>
        <v>7</v>
      </c>
      <c r="AZ375" s="20">
        <f t="shared" si="37"/>
        <v>1</v>
      </c>
      <c r="BA375" s="20">
        <f t="shared" si="38"/>
        <v>0</v>
      </c>
      <c r="BB375" s="195">
        <f>IFERROR(SUM(DATA[[#This Row],[fs_val_ttf]:[fact_pago_ttf]]),0)</f>
        <v>8</v>
      </c>
      <c r="BC375" s="185">
        <v>45740</v>
      </c>
      <c r="BD375" s="185">
        <v>45749</v>
      </c>
      <c r="BE375" s="185">
        <v>45784</v>
      </c>
      <c r="BF375" s="185">
        <v>45798</v>
      </c>
      <c r="BG375" s="20">
        <f>IFERROR(IF(BC375-DATA[[#This Row],[fecha_fs]]&lt;0,0,BC375-DATA[[#This Row],[fecha_fs]]),0)</f>
        <v>5</v>
      </c>
      <c r="BH375" s="20">
        <f t="shared" si="39"/>
        <v>9</v>
      </c>
      <c r="BI375" s="20">
        <f t="shared" si="40"/>
        <v>35</v>
      </c>
      <c r="BJ375" s="20">
        <f t="shared" si="41"/>
        <v>14</v>
      </c>
      <c r="BK375" s="218">
        <f>IFERROR(SUM(DATA[[#This Row],[fs_fd_ttd]:[fend_fenf_ttd]]),0)</f>
        <v>63</v>
      </c>
      <c r="BL375" s="20" t="str">
        <f>IF(DATA[[#This Row],[fecha_fs]]&gt;0,TEXT(DATA[[#This Row],[fecha_fs]],"YYYY"),0)</f>
        <v>2025</v>
      </c>
      <c r="BM375" s="221" t="b">
        <v>1</v>
      </c>
      <c r="BN375" s="278">
        <f>COUNTIF(DATA[[#This Row],[tiempo_td]], "&lt;=15")</f>
        <v>0</v>
      </c>
      <c r="BO375" s="222"/>
    </row>
    <row r="376" spans="1:67" ht="30.6" customHeight="1" x14ac:dyDescent="0.25">
      <c r="A376" s="4">
        <v>20419158462</v>
      </c>
      <c r="B376" s="5" t="s">
        <v>2</v>
      </c>
      <c r="C376" s="52" t="s">
        <v>201</v>
      </c>
      <c r="D376" s="4" t="s">
        <v>120</v>
      </c>
      <c r="E376" s="5" t="s">
        <v>3</v>
      </c>
      <c r="F376" s="24">
        <v>45734</v>
      </c>
      <c r="G376" s="7" t="s">
        <v>113</v>
      </c>
      <c r="H376" s="25">
        <f t="shared" si="36"/>
        <v>1</v>
      </c>
      <c r="I376" s="67">
        <v>4253</v>
      </c>
      <c r="J376" s="8" t="s">
        <v>115</v>
      </c>
      <c r="K376" s="9" t="s">
        <v>156</v>
      </c>
      <c r="L376" s="10" t="s">
        <v>117</v>
      </c>
      <c r="M376" s="11">
        <v>220</v>
      </c>
      <c r="N376" s="12" t="s">
        <v>125</v>
      </c>
      <c r="O376" s="6"/>
      <c r="P376" s="13" t="s">
        <v>114</v>
      </c>
      <c r="Q376" s="14"/>
      <c r="R376" s="15">
        <v>0</v>
      </c>
      <c r="S376" s="15"/>
      <c r="T376" s="15">
        <f>DATA[[#This Row],[C. DF]]+DATA[[#This Row],[C.OPE.]]</f>
        <v>0</v>
      </c>
      <c r="U376" s="15">
        <f>DATA[[#This Row],[SUB TOTAL]]*0.18</f>
        <v>0</v>
      </c>
      <c r="V376" s="15">
        <f>IFERROR(ROUND(DATA[[#This Row],[SUB TOTAL]]+DATA[[#This Row],[IGV]],2),0)</f>
        <v>0</v>
      </c>
      <c r="W376" s="16" t="str">
        <f>IF(DATA[[#This Row],[VALORIZACIÓN ]]="-","NO CORRESPONDE",IF(OR(A376=20558226979,A376=10470707866,A376=20111157058,A376=20100226902),"NO CORRESPONDE",IF(J376="Emitida",IF(P376&gt;0,"EMITIDA","PENDIENTE"),"NO CORRESPONDE")))</f>
        <v>NO CORRESPONDE</v>
      </c>
      <c r="X376" s="29" t="s">
        <v>217</v>
      </c>
      <c r="Y376" s="17" t="s">
        <v>128</v>
      </c>
      <c r="Z376" s="30"/>
      <c r="AA376" s="10"/>
      <c r="AB376" s="19"/>
      <c r="AC376" s="20"/>
      <c r="AD376" s="18">
        <f>DATA[[#This Row],[FECHA DE EMISION]]+DATA[[#This Row],[CONDICION DE PAGO]]</f>
        <v>0</v>
      </c>
      <c r="AE376" s="23">
        <f>IF(DATA[[#This Row],[MONEDA]]="USD",VLOOKUP(DATA[[#This Row],[COMBINADA]],#REF!,11,0),1)</f>
        <v>1</v>
      </c>
      <c r="AF376" s="39" t="str">
        <f>IF(DATA[[#This Row],[SERIE2]]="-","NO CORRESPONDE",IF(W376="NO CORRESPONDE","NO CORRESPONDE",IF(Z376&gt;0,"FACTURADO","PENDIENTE")))</f>
        <v>NO CORRESPONDE</v>
      </c>
      <c r="AG376" s="27">
        <f>IFERROR(VLOOKUP(DATA[[#This Row],[COMBINADA]],#REF!,6,0),0)</f>
        <v>0</v>
      </c>
      <c r="AH376" s="125">
        <f>IFERROR(VLOOKUP(DATA[[#This Row],[COMBINADA]],#REF!,9,0),0)/COUNTIFS(DATA[COMBINADA],DATA[[#This Row],[COMBINADA]])</f>
        <v>0</v>
      </c>
      <c r="AI376" s="27">
        <f>IFERROR(VLOOKUP(DATA[[#This Row],[COMBINADA]],#REF!,6,0),0)</f>
        <v>0</v>
      </c>
      <c r="AJ376" s="125">
        <f>IFERROR(VLOOKUP(DATA[[#This Row],[COMBINADA]],#REF!,9,0),0)/COUNTIFS(DATA[COMBINADA],DATA[[#This Row],[COMBINADA]])</f>
        <v>0</v>
      </c>
      <c r="AK376" s="27">
        <f>IFERROR(VLOOKUP(DATA[[#This Row],[COMBINADA]],#REF!,6,0),0)</f>
        <v>0</v>
      </c>
      <c r="AL376" s="125">
        <f>IFERROR(VLOOKUP(DATA[[#This Row],[COMBINADA]],#REF!,9,0),0)/COUNTIFS(DATA[COMBINADA],DATA[[#This Row],[COMBINADA]])</f>
        <v>0</v>
      </c>
      <c r="AM376" s="27">
        <f>IFERROR(VLOOKUP(DATA[[#This Row],[COMBINADA]],#REF!,6,0),0)</f>
        <v>0</v>
      </c>
      <c r="AN376" s="125">
        <f>IFERROR(VLOOKUP(DATA[[#This Row],[COMBINADA]],#REF!,9,0),0)/COUNTIFS(DATA[COMBINADA],DATA[[#This Row],[COMBINADA]])</f>
        <v>0</v>
      </c>
      <c r="AO376" s="27">
        <f>IFERROR(VLOOKUP(DATA[[#This Row],[COMBINADA]],#REF!,6,0),0)</f>
        <v>0</v>
      </c>
      <c r="AP376" s="125">
        <f>IFERROR(VLOOKUP(DATA[[#This Row],[COMBINADA]],#REF!,9,0),0)/COUNTIFS(DATA[COMBINADA],DATA[[#This Row],[COMBINADA]])</f>
        <v>0</v>
      </c>
      <c r="AQ37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376" s="26" t="str">
        <f>IFERROR(IF(DATA[[#This Row],[estado_fact]]="FACTURADO",VLOOKUP(DATA[[#This Row],[SERIE2]]&amp;"-"&amp;DATA[[#This Row],[NUMERO]],#REF!,34,0),"NO CORRESPONDE"),"NO CORRESPONDE")</f>
        <v>NO CORRESPONDE</v>
      </c>
      <c r="AS376" s="22" t="str">
        <f>IF(DATA[[#This Row],[fecha_fs]]&gt;0,TEXT(DATA[[#This Row],[fecha_fs]],"Mmmm"),0)</f>
        <v>Marzo</v>
      </c>
      <c r="AT376" s="22" t="str">
        <f>DATA[[#This Row],[SERIE2]]&amp;"-"&amp;DATA[[#This Row],[NUMERO]]</f>
        <v>-</v>
      </c>
      <c r="AU376" s="28">
        <f>DATA[[#This Row],[TOTAL]]*DATA[[#This Row],[T.C.]]</f>
        <v>0</v>
      </c>
      <c r="AV376" s="6">
        <f>DATA[[#This Row],[FECHA DE VAL.]]</f>
        <v>0</v>
      </c>
      <c r="AW376" s="6">
        <f>DATA[[#This Row],[FECHA DE EMISION]]</f>
        <v>0</v>
      </c>
      <c r="AX376" s="6">
        <f>DATA[[#This Row],[F1]]</f>
        <v>0</v>
      </c>
      <c r="AY376" s="20">
        <f>IF(AV376-DATA[[#This Row],[fecha_fs]]&lt;0,0,AV376-DATA[[#This Row],[fecha_fs]])</f>
        <v>0</v>
      </c>
      <c r="AZ376" s="20">
        <f t="shared" si="37"/>
        <v>0</v>
      </c>
      <c r="BA376" s="20">
        <f t="shared" si="38"/>
        <v>0</v>
      </c>
      <c r="BB376" s="195">
        <f>IFERROR(SUM(DATA[[#This Row],[fs_val_ttf]:[fact_pago_ttf]]),0)</f>
        <v>0</v>
      </c>
      <c r="BC376" s="185">
        <v>45734</v>
      </c>
      <c r="BD376" s="185">
        <v>45734</v>
      </c>
      <c r="BE376" s="185">
        <v>45751</v>
      </c>
      <c r="BF376" s="185">
        <v>45751</v>
      </c>
      <c r="BG376" s="20">
        <f>IFERROR(IF(BC376-DATA[[#This Row],[fecha_fs]]&lt;0,0,BC376-DATA[[#This Row],[fecha_fs]]),0)</f>
        <v>0</v>
      </c>
      <c r="BH376" s="20">
        <f t="shared" si="39"/>
        <v>0</v>
      </c>
      <c r="BI376" s="20">
        <f t="shared" si="40"/>
        <v>17</v>
      </c>
      <c r="BJ376" s="20">
        <f t="shared" si="41"/>
        <v>0</v>
      </c>
      <c r="BK376" s="218">
        <f>IFERROR(SUM(DATA[[#This Row],[fs_fd_ttd]:[fend_fenf_ttd]]),0)</f>
        <v>17</v>
      </c>
      <c r="BL376" s="20" t="str">
        <f>IF(DATA[[#This Row],[fecha_fs]]&gt;0,TEXT(DATA[[#This Row],[fecha_fs]],"YYYY"),0)</f>
        <v>2025</v>
      </c>
      <c r="BM376" s="221" t="b">
        <v>1</v>
      </c>
      <c r="BN376" s="278">
        <f>COUNTIF(DATA[[#This Row],[tiempo_td]], "&lt;=15")</f>
        <v>0</v>
      </c>
      <c r="BO376" s="222"/>
    </row>
    <row r="377" spans="1:67" ht="30.6" customHeight="1" x14ac:dyDescent="0.25">
      <c r="A377" s="4">
        <v>20505675836</v>
      </c>
      <c r="B377" s="5" t="s">
        <v>42</v>
      </c>
      <c r="C377" s="52" t="s">
        <v>43</v>
      </c>
      <c r="D377" s="4" t="s">
        <v>157</v>
      </c>
      <c r="E377" s="5" t="s">
        <v>44</v>
      </c>
      <c r="F377" s="24">
        <v>45734</v>
      </c>
      <c r="G377" s="7" t="s">
        <v>113</v>
      </c>
      <c r="H377" s="25">
        <f t="shared" si="36"/>
        <v>1</v>
      </c>
      <c r="I377" s="67">
        <v>4254</v>
      </c>
      <c r="J377" s="8" t="s">
        <v>115</v>
      </c>
      <c r="K377" s="9" t="s">
        <v>158</v>
      </c>
      <c r="L377" s="10" t="s">
        <v>137</v>
      </c>
      <c r="M377" s="11">
        <v>1</v>
      </c>
      <c r="N377" s="12" t="s">
        <v>114</v>
      </c>
      <c r="O377" s="6">
        <v>45741</v>
      </c>
      <c r="P377" s="71">
        <v>3347</v>
      </c>
      <c r="Q377" s="14" t="s">
        <v>85</v>
      </c>
      <c r="R377" s="15"/>
      <c r="S377" s="15">
        <v>396.7</v>
      </c>
      <c r="T377" s="15">
        <f>DATA[[#This Row],[C. DF]]+DATA[[#This Row],[C.OPE.]]</f>
        <v>396.7</v>
      </c>
      <c r="U377" s="15">
        <f>DATA[[#This Row],[SUB TOTAL]]*0.18</f>
        <v>71.405999999999992</v>
      </c>
      <c r="V377" s="15">
        <f>IFERROR(ROUND(DATA[[#This Row],[SUB TOTAL]]+DATA[[#This Row],[IGV]],2),0)</f>
        <v>468.11</v>
      </c>
      <c r="W377" s="16" t="str">
        <f>IF(DATA[[#This Row],[VALORIZACIÓN ]]="-","NO CORRESPONDE",IF(OR(A377=20558226979,A377=10470707866,A377=20111157058,A377=20100226902),"NO CORRESPONDE",IF(J377="Emitida",IF(P377&gt;0,"EMITIDA","PENDIENTE"),"NO CORRESPONDE")))</f>
        <v>EMITIDA</v>
      </c>
      <c r="X377" s="29"/>
      <c r="Y377" s="17" t="s">
        <v>118</v>
      </c>
      <c r="Z377" s="30">
        <v>45782</v>
      </c>
      <c r="AA377" s="10" t="s">
        <v>150</v>
      </c>
      <c r="AB377" s="19">
        <v>66</v>
      </c>
      <c r="AC377" s="20">
        <v>30</v>
      </c>
      <c r="AD377" s="18">
        <f>DATA[[#This Row],[FECHA DE EMISION]]+DATA[[#This Row],[CONDICION DE PAGO]]</f>
        <v>45812</v>
      </c>
      <c r="AE377" s="23">
        <f>IF(DATA[[#This Row],[MONEDA]]="USD",VLOOKUP(DATA[[#This Row],[COMBINADA]],#REF!,11,0),1)</f>
        <v>1</v>
      </c>
      <c r="AF377" s="39" t="str">
        <f>IF(DATA[[#This Row],[SERIE2]]="-","NO CORRESPONDE",IF(W377="NO CORRESPONDE","NO CORRESPONDE",IF(Z377&gt;0,"FACTURADO","PENDIENTE")))</f>
        <v>FACTURADO</v>
      </c>
      <c r="AG377" s="27">
        <f>IFERROR(VLOOKUP(DATA[[#This Row],[COMBINADA]],#REF!,6,0),0)</f>
        <v>0</v>
      </c>
      <c r="AH377" s="125">
        <f>IFERROR(VLOOKUP(DATA[[#This Row],[COMBINADA]],#REF!,9,0),0)/COUNTIFS(DATA[COMBINADA],DATA[[#This Row],[COMBINADA]])</f>
        <v>0</v>
      </c>
      <c r="AI377" s="27">
        <f>IFERROR(VLOOKUP(DATA[[#This Row],[COMBINADA]],#REF!,6,0),0)</f>
        <v>0</v>
      </c>
      <c r="AJ377" s="125">
        <f>IFERROR(VLOOKUP(DATA[[#This Row],[COMBINADA]],#REF!,9,0),0)/COUNTIFS(DATA[COMBINADA],DATA[[#This Row],[COMBINADA]])</f>
        <v>0</v>
      </c>
      <c r="AK377" s="27">
        <f>IFERROR(VLOOKUP(DATA[[#This Row],[COMBINADA]],#REF!,6,0),0)</f>
        <v>0</v>
      </c>
      <c r="AL377" s="125">
        <f>IFERROR(VLOOKUP(DATA[[#This Row],[COMBINADA]],#REF!,9,0),0)/COUNTIFS(DATA[COMBINADA],DATA[[#This Row],[COMBINADA]])</f>
        <v>0</v>
      </c>
      <c r="AM377" s="27">
        <f>IFERROR(VLOOKUP(DATA[[#This Row],[COMBINADA]],#REF!,6,0),0)</f>
        <v>0</v>
      </c>
      <c r="AN377" s="125">
        <f>IFERROR(VLOOKUP(DATA[[#This Row],[COMBINADA]],#REF!,9,0),0)/COUNTIFS(DATA[COMBINADA],DATA[[#This Row],[COMBINADA]])</f>
        <v>0</v>
      </c>
      <c r="AO377" s="27">
        <f>IFERROR(VLOOKUP(DATA[[#This Row],[COMBINADA]],#REF!,6,0),0)</f>
        <v>0</v>
      </c>
      <c r="AP377" s="125">
        <f>IFERROR(VLOOKUP(DATA[[#This Row],[COMBINADA]],#REF!,9,0),0)/COUNTIFS(DATA[COMBINADA],DATA[[#This Row],[COMBINADA]])</f>
        <v>0</v>
      </c>
      <c r="AQ37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468.11</v>
      </c>
      <c r="AR377" s="26" t="str">
        <f>IFERROR(IF(DATA[[#This Row],[estado_fact]]="FACTURADO",VLOOKUP(DATA[[#This Row],[SERIE2]]&amp;"-"&amp;DATA[[#This Row],[NUMERO]],#REF!,34,0),"NO CORRESPONDE"),"NO CORRESPONDE")</f>
        <v>NO CORRESPONDE</v>
      </c>
      <c r="AS377" s="22" t="str">
        <f>IF(DATA[[#This Row],[fecha_fs]]&gt;0,TEXT(DATA[[#This Row],[fecha_fs]],"Mmmm"),0)</f>
        <v>Marzo</v>
      </c>
      <c r="AT377" s="22" t="str">
        <f>DATA[[#This Row],[SERIE2]]&amp;"-"&amp;DATA[[#This Row],[NUMERO]]</f>
        <v>FF01-66</v>
      </c>
      <c r="AU377" s="28">
        <f>DATA[[#This Row],[TOTAL]]*DATA[[#This Row],[T.C.]]</f>
        <v>468.11</v>
      </c>
      <c r="AV377" s="6">
        <f>DATA[[#This Row],[FECHA DE VAL.]]</f>
        <v>45741</v>
      </c>
      <c r="AW377" s="6">
        <f>DATA[[#This Row],[FECHA DE EMISION]]</f>
        <v>45782</v>
      </c>
      <c r="AX377" s="6">
        <f>DATA[[#This Row],[F1]]</f>
        <v>0</v>
      </c>
      <c r="AY377" s="20">
        <f>IF(AV377-DATA[[#This Row],[fecha_fs]]&lt;0,0,AV377-DATA[[#This Row],[fecha_fs]])</f>
        <v>7</v>
      </c>
      <c r="AZ377" s="20">
        <f t="shared" si="37"/>
        <v>41</v>
      </c>
      <c r="BA377" s="20">
        <f t="shared" si="38"/>
        <v>0</v>
      </c>
      <c r="BB377" s="195">
        <f>IFERROR(SUM(DATA[[#This Row],[fs_val_ttf]:[fact_pago_ttf]]),0)</f>
        <v>48</v>
      </c>
      <c r="BC377" s="185">
        <v>45734</v>
      </c>
      <c r="BD377" s="185">
        <v>45734</v>
      </c>
      <c r="BE377" s="185">
        <v>45748</v>
      </c>
      <c r="BF377" s="185">
        <v>45748</v>
      </c>
      <c r="BG377" s="20">
        <f>IFERROR(IF(BC377-DATA[[#This Row],[fecha_fs]]&lt;0,0,BC377-DATA[[#This Row],[fecha_fs]]),0)</f>
        <v>0</v>
      </c>
      <c r="BH377" s="20">
        <f t="shared" si="39"/>
        <v>0</v>
      </c>
      <c r="BI377" s="20">
        <f t="shared" si="40"/>
        <v>14</v>
      </c>
      <c r="BJ377" s="20">
        <f t="shared" si="41"/>
        <v>0</v>
      </c>
      <c r="BK377" s="218">
        <f>IFERROR(SUM(DATA[[#This Row],[fs_fd_ttd]:[fend_fenf_ttd]]),0)</f>
        <v>14</v>
      </c>
      <c r="BL377" s="20" t="str">
        <f>IF(DATA[[#This Row],[fecha_fs]]&gt;0,TEXT(DATA[[#This Row],[fecha_fs]],"YYYY"),0)</f>
        <v>2025</v>
      </c>
      <c r="BM377" s="221" t="b">
        <v>1</v>
      </c>
      <c r="BN377" s="278">
        <f>COUNTIF(DATA[[#This Row],[tiempo_td]], "&lt;=15")</f>
        <v>1</v>
      </c>
      <c r="BO377" s="222"/>
    </row>
    <row r="378" spans="1:67" ht="30.6" customHeight="1" x14ac:dyDescent="0.25">
      <c r="A378" s="4">
        <v>20505675836</v>
      </c>
      <c r="B378" s="5" t="s">
        <v>42</v>
      </c>
      <c r="C378" s="52" t="s">
        <v>43</v>
      </c>
      <c r="D378" s="4" t="s">
        <v>112</v>
      </c>
      <c r="E378" s="5" t="s">
        <v>1</v>
      </c>
      <c r="F378" s="24">
        <v>45735</v>
      </c>
      <c r="G378" s="7" t="s">
        <v>113</v>
      </c>
      <c r="H378" s="25">
        <f t="shared" si="36"/>
        <v>1</v>
      </c>
      <c r="I378" s="67">
        <v>4255</v>
      </c>
      <c r="J378" s="8" t="s">
        <v>115</v>
      </c>
      <c r="K378" s="9" t="s">
        <v>116</v>
      </c>
      <c r="L378" s="10" t="s">
        <v>117</v>
      </c>
      <c r="M378" s="11">
        <v>540</v>
      </c>
      <c r="N378" s="12" t="s">
        <v>125</v>
      </c>
      <c r="O378" s="6">
        <v>45741</v>
      </c>
      <c r="P378" s="71">
        <v>3346</v>
      </c>
      <c r="Q378" s="14" t="s">
        <v>85</v>
      </c>
      <c r="R378" s="15"/>
      <c r="S378" s="15">
        <v>1427.2</v>
      </c>
      <c r="T378" s="15">
        <f>DATA[[#This Row],[C. DF]]+DATA[[#This Row],[C.OPE.]]</f>
        <v>1427.2</v>
      </c>
      <c r="U378" s="15">
        <f>DATA[[#This Row],[SUB TOTAL]]*0.18</f>
        <v>256.89600000000002</v>
      </c>
      <c r="V378" s="15">
        <f>IFERROR(ROUND(DATA[[#This Row],[SUB TOTAL]]+DATA[[#This Row],[IGV]],2),0)</f>
        <v>1684.1</v>
      </c>
      <c r="W378" s="16" t="str">
        <f>IF(DATA[[#This Row],[VALORIZACIÓN ]]="-","NO CORRESPONDE",IF(OR(A378=20558226979,A378=10470707866,A378=20111157058,A378=20100226902),"NO CORRESPONDE",IF(J378="Emitida",IF(P378&gt;0,"EMITIDA","PENDIENTE"),"NO CORRESPONDE")))</f>
        <v>EMITIDA</v>
      </c>
      <c r="X378" s="29"/>
      <c r="Y378" s="17" t="s">
        <v>118</v>
      </c>
      <c r="Z378" s="30">
        <v>45782</v>
      </c>
      <c r="AA378" s="10" t="s">
        <v>150</v>
      </c>
      <c r="AB378" s="19">
        <v>64</v>
      </c>
      <c r="AC378" s="20">
        <v>30</v>
      </c>
      <c r="AD378" s="18">
        <f>DATA[[#This Row],[FECHA DE EMISION]]+DATA[[#This Row],[CONDICION DE PAGO]]</f>
        <v>45812</v>
      </c>
      <c r="AE378" s="23">
        <f>IF(DATA[[#This Row],[MONEDA]]="USD",VLOOKUP(DATA[[#This Row],[COMBINADA]],#REF!,11,0),1)</f>
        <v>1</v>
      </c>
      <c r="AF378" s="39" t="str">
        <f>IF(DATA[[#This Row],[SERIE2]]="-","NO CORRESPONDE",IF(W378="NO CORRESPONDE","NO CORRESPONDE",IF(Z378&gt;0,"FACTURADO","PENDIENTE")))</f>
        <v>FACTURADO</v>
      </c>
      <c r="AG378" s="27">
        <f>IFERROR(VLOOKUP(DATA[[#This Row],[COMBINADA]],#REF!,6,0),0)</f>
        <v>0</v>
      </c>
      <c r="AH378" s="125">
        <f>IFERROR(VLOOKUP(DATA[[#This Row],[COMBINADA]],#REF!,9,0),0)/COUNTIFS(DATA[COMBINADA],DATA[[#This Row],[COMBINADA]])</f>
        <v>0</v>
      </c>
      <c r="AI378" s="27">
        <f>IFERROR(VLOOKUP(DATA[[#This Row],[COMBINADA]],#REF!,6,0),0)</f>
        <v>0</v>
      </c>
      <c r="AJ378" s="125">
        <f>IFERROR(VLOOKUP(DATA[[#This Row],[COMBINADA]],#REF!,9,0),0)/COUNTIFS(DATA[COMBINADA],DATA[[#This Row],[COMBINADA]])</f>
        <v>0</v>
      </c>
      <c r="AK378" s="27">
        <f>IFERROR(VLOOKUP(DATA[[#This Row],[COMBINADA]],#REF!,6,0),0)</f>
        <v>0</v>
      </c>
      <c r="AL378" s="125">
        <f>IFERROR(VLOOKUP(DATA[[#This Row],[COMBINADA]],#REF!,9,0),0)/COUNTIFS(DATA[COMBINADA],DATA[[#This Row],[COMBINADA]])</f>
        <v>0</v>
      </c>
      <c r="AM378" s="27">
        <f>IFERROR(VLOOKUP(DATA[[#This Row],[COMBINADA]],#REF!,6,0),0)</f>
        <v>0</v>
      </c>
      <c r="AN378" s="125">
        <f>IFERROR(VLOOKUP(DATA[[#This Row],[COMBINADA]],#REF!,9,0),0)/COUNTIFS(DATA[COMBINADA],DATA[[#This Row],[COMBINADA]])</f>
        <v>0</v>
      </c>
      <c r="AO378" s="27">
        <f>IFERROR(VLOOKUP(DATA[[#This Row],[COMBINADA]],#REF!,6,0),0)</f>
        <v>0</v>
      </c>
      <c r="AP378" s="125">
        <f>IFERROR(VLOOKUP(DATA[[#This Row],[COMBINADA]],#REF!,9,0),0)/COUNTIFS(DATA[COMBINADA],DATA[[#This Row],[COMBINADA]])</f>
        <v>0</v>
      </c>
      <c r="AQ37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1394.3533333333332</v>
      </c>
      <c r="AR378" s="26" t="str">
        <f>IFERROR(IF(DATA[[#This Row],[estado_fact]]="FACTURADO",VLOOKUP(DATA[[#This Row],[SERIE2]]&amp;"-"&amp;DATA[[#This Row],[NUMERO]],#REF!,34,0),"NO CORRESPONDE"),"NO CORRESPONDE")</f>
        <v>NO CORRESPONDE</v>
      </c>
      <c r="AS378" s="22" t="str">
        <f>IF(DATA[[#This Row],[fecha_fs]]&gt;0,TEXT(DATA[[#This Row],[fecha_fs]],"Mmmm"),0)</f>
        <v>Marzo</v>
      </c>
      <c r="AT378" s="22" t="str">
        <f>DATA[[#This Row],[SERIE2]]&amp;"-"&amp;DATA[[#This Row],[NUMERO]]</f>
        <v>FF01-64</v>
      </c>
      <c r="AU378" s="28">
        <f>DATA[[#This Row],[TOTAL]]*DATA[[#This Row],[T.C.]]</f>
        <v>1684.1</v>
      </c>
      <c r="AV378" s="6">
        <f>DATA[[#This Row],[FECHA DE VAL.]]</f>
        <v>45741</v>
      </c>
      <c r="AW378" s="6">
        <f>DATA[[#This Row],[FECHA DE EMISION]]</f>
        <v>45782</v>
      </c>
      <c r="AX378" s="6">
        <f>DATA[[#This Row],[F1]]</f>
        <v>0</v>
      </c>
      <c r="AY378" s="20">
        <f>IF(AV378-DATA[[#This Row],[fecha_fs]]&lt;0,0,AV378-DATA[[#This Row],[fecha_fs]])</f>
        <v>6</v>
      </c>
      <c r="AZ378" s="20">
        <f t="shared" si="37"/>
        <v>41</v>
      </c>
      <c r="BA378" s="20">
        <f t="shared" si="38"/>
        <v>0</v>
      </c>
      <c r="BB378" s="195">
        <f>IFERROR(SUM(DATA[[#This Row],[fs_val_ttf]:[fact_pago_ttf]]),0)</f>
        <v>47</v>
      </c>
      <c r="BC378" s="185">
        <v>45740</v>
      </c>
      <c r="BD378" s="185">
        <v>45749</v>
      </c>
      <c r="BE378" s="185">
        <v>45755</v>
      </c>
      <c r="BF378" s="185">
        <v>45755</v>
      </c>
      <c r="BG378" s="20">
        <f>IFERROR(IF(BC378-DATA[[#This Row],[fecha_fs]]&lt;0,0,BC378-DATA[[#This Row],[fecha_fs]]),0)</f>
        <v>5</v>
      </c>
      <c r="BH378" s="20">
        <f t="shared" si="39"/>
        <v>9</v>
      </c>
      <c r="BI378" s="20">
        <f t="shared" si="40"/>
        <v>6</v>
      </c>
      <c r="BJ378" s="20">
        <f t="shared" si="41"/>
        <v>0</v>
      </c>
      <c r="BK378" s="218">
        <f>IFERROR(SUM(DATA[[#This Row],[fs_fd_ttd]:[fend_fenf_ttd]]),0)</f>
        <v>20</v>
      </c>
      <c r="BL378" s="20" t="str">
        <f>IF(DATA[[#This Row],[fecha_fs]]&gt;0,TEXT(DATA[[#This Row],[fecha_fs]],"YYYY"),0)</f>
        <v>2025</v>
      </c>
      <c r="BM378" s="221" t="b">
        <v>1</v>
      </c>
      <c r="BN378" s="278">
        <f>COUNTIF(DATA[[#This Row],[tiempo_td]], "&lt;=15")</f>
        <v>0</v>
      </c>
      <c r="BO378" s="222"/>
    </row>
    <row r="379" spans="1:67" ht="30" customHeight="1" x14ac:dyDescent="0.25">
      <c r="A379" s="4"/>
      <c r="B379" s="5" t="s">
        <v>0</v>
      </c>
      <c r="C379" s="52"/>
      <c r="D379" s="4"/>
      <c r="E379" s="5" t="s">
        <v>0</v>
      </c>
      <c r="F379" s="24">
        <v>45735</v>
      </c>
      <c r="G379" s="7" t="s">
        <v>113</v>
      </c>
      <c r="H379" s="25">
        <f t="shared" si="36"/>
        <v>1</v>
      </c>
      <c r="I379" s="67">
        <v>4256</v>
      </c>
      <c r="J379" s="8" t="s">
        <v>151</v>
      </c>
      <c r="K379" s="9"/>
      <c r="L379" s="10"/>
      <c r="M379" s="111"/>
      <c r="N379" s="112"/>
      <c r="O379" s="6"/>
      <c r="P379" s="13" t="s">
        <v>114</v>
      </c>
      <c r="Q379" s="14"/>
      <c r="R379" s="15"/>
      <c r="S379" s="15"/>
      <c r="T379" s="15">
        <f>DATA[[#This Row],[C. DF]]+DATA[[#This Row],[C.OPE.]]</f>
        <v>0</v>
      </c>
      <c r="U379" s="73">
        <f>DATA[[#This Row],[SUB TOTAL]]*0.18</f>
        <v>0</v>
      </c>
      <c r="V379" s="45">
        <f>IFERROR(ROUND(DATA[[#This Row],[SUB TOTAL]]+DATA[[#This Row],[IGV]],2),0)</f>
        <v>0</v>
      </c>
      <c r="W379" s="58" t="str">
        <f>IF(DATA[[#This Row],[VALORIZACIÓN ]]="-","NO CORRESPONDE",IF(OR(A379=20558226979,A379=10470707866,A379=20111157058,A379=20100226902),"NO CORRESPONDE",IF(J379="Emitida",IF(P379&gt;0,"EMITIDA","PENDIENTE"),"NO CORRESPONDE")))</f>
        <v>NO CORRESPONDE</v>
      </c>
      <c r="X379" s="46"/>
      <c r="Y379" s="17" t="s">
        <v>128</v>
      </c>
      <c r="Z379" s="48"/>
      <c r="AA379" s="49"/>
      <c r="AB379" s="50"/>
      <c r="AC379" s="51"/>
      <c r="AD379" s="59">
        <f>DATA[[#This Row],[FECHA DE EMISION]]+DATA[[#This Row],[CONDICION DE PAGO]]</f>
        <v>0</v>
      </c>
      <c r="AE379" s="23">
        <f>IF(DATA[[#This Row],[MONEDA]]="USD",VLOOKUP(DATA[[#This Row],[COMBINADA]],#REF!,11,0),1)</f>
        <v>1</v>
      </c>
      <c r="AF379" s="39" t="str">
        <f>IF(DATA[[#This Row],[SERIE2]]="-","NO CORRESPONDE",IF(W379="NO CORRESPONDE","NO CORRESPONDE",IF(Z379&gt;0,"FACTURADO","PENDIENTE")))</f>
        <v>NO CORRESPONDE</v>
      </c>
      <c r="AG379" s="61">
        <f>IFERROR(VLOOKUP(DATA[[#This Row],[COMBINADA]],#REF!,6,0),0)</f>
        <v>0</v>
      </c>
      <c r="AH379" s="62">
        <f>IFERROR(VLOOKUP(DATA[[#This Row],[COMBINADA]],#REF!,9,0),0)/COUNTIFS(DATA[COMBINADA],DATA[[#This Row],[COMBINADA]])</f>
        <v>0</v>
      </c>
      <c r="AI379" s="61">
        <f>IFERROR(VLOOKUP(DATA[[#This Row],[COMBINADA]],#REF!,6,0),0)</f>
        <v>0</v>
      </c>
      <c r="AJ379" s="62">
        <f>IFERROR(VLOOKUP(DATA[[#This Row],[COMBINADA]],#REF!,9,0),0)/COUNTIFS(DATA[COMBINADA],DATA[[#This Row],[COMBINADA]])</f>
        <v>0</v>
      </c>
      <c r="AK379" s="61">
        <f>IFERROR(VLOOKUP(DATA[[#This Row],[COMBINADA]],#REF!,6,0),0)</f>
        <v>0</v>
      </c>
      <c r="AL379" s="62">
        <f>IFERROR(VLOOKUP(DATA[[#This Row],[COMBINADA]],#REF!,9,0),0)/COUNTIFS(DATA[COMBINADA],DATA[[#This Row],[COMBINADA]])</f>
        <v>0</v>
      </c>
      <c r="AM379" s="61">
        <f>IFERROR(VLOOKUP(DATA[[#This Row],[COMBINADA]],#REF!,6,0),0)</f>
        <v>0</v>
      </c>
      <c r="AN379" s="62">
        <f>IFERROR(VLOOKUP(DATA[[#This Row],[COMBINADA]],#REF!,9,0),0)/COUNTIFS(DATA[COMBINADA],DATA[[#This Row],[COMBINADA]])</f>
        <v>0</v>
      </c>
      <c r="AO379" s="61">
        <f>IFERROR(VLOOKUP(DATA[[#This Row],[COMBINADA]],#REF!,6,0),0)</f>
        <v>0</v>
      </c>
      <c r="AP379" s="62">
        <f>IFERROR(VLOOKUP(DATA[[#This Row],[COMBINADA]],#REF!,9,0),0)/COUNTIFS(DATA[COMBINADA],DATA[[#This Row],[COMBINADA]])</f>
        <v>0</v>
      </c>
      <c r="AQ379"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379" s="22" t="str">
        <f>IFERROR(IF(DATA[[#This Row],[estado_fact]]="FACTURADO",VLOOKUP(DATA[[#This Row],[SERIE2]]&amp;"-"&amp;DATA[[#This Row],[NUMERO]],#REF!,34,0),"NO CORRESPONDE"),"NO CORRESPONDE")</f>
        <v>NO CORRESPONDE</v>
      </c>
      <c r="AS379" s="198" t="str">
        <f>IF(DATA[[#This Row],[fecha_fs]]&gt;0,TEXT(DATA[[#This Row],[fecha_fs]],"Mmmm"),0)</f>
        <v>Marzo</v>
      </c>
      <c r="AT379" s="199" t="str">
        <f>DATA[[#This Row],[SERIE2]]&amp;"-"&amp;DATA[[#This Row],[NUMERO]]</f>
        <v>-</v>
      </c>
      <c r="AU379" s="198">
        <f>DATA[[#This Row],[TOTAL]]*DATA[[#This Row],[T.C.]]</f>
        <v>0</v>
      </c>
      <c r="AV379" s="40">
        <f>DATA[[#This Row],[FECHA DE VAL.]]</f>
        <v>0</v>
      </c>
      <c r="AW379" s="40">
        <f>DATA[[#This Row],[FECHA DE EMISION]]</f>
        <v>0</v>
      </c>
      <c r="AX379" s="40">
        <f>DATA[[#This Row],[F1]]</f>
        <v>0</v>
      </c>
      <c r="AY379" s="49">
        <f>IF(AV379-DATA[[#This Row],[fecha_fs]]&lt;0,0,AV379-DATA[[#This Row],[fecha_fs]])</f>
        <v>0</v>
      </c>
      <c r="AZ379" s="49">
        <f t="shared" si="37"/>
        <v>0</v>
      </c>
      <c r="BA379" s="49">
        <f t="shared" si="38"/>
        <v>0</v>
      </c>
      <c r="BB379" s="195">
        <f>IFERROR(SUM(DATA[[#This Row],[fs_val_ttf]:[fact_pago_ttf]]),0)</f>
        <v>0</v>
      </c>
      <c r="BC379" s="200"/>
      <c r="BD379" s="200"/>
      <c r="BE379" s="200"/>
      <c r="BF379" s="200"/>
      <c r="BG379" s="49">
        <f>IFERROR(IF(BC379-DATA[[#This Row],[fecha_fs]]&lt;0,0,BC379-DATA[[#This Row],[fecha_fs]]),0)</f>
        <v>0</v>
      </c>
      <c r="BH379" s="49">
        <f t="shared" si="39"/>
        <v>0</v>
      </c>
      <c r="BI379" s="49">
        <f t="shared" si="40"/>
        <v>0</v>
      </c>
      <c r="BJ379" s="49">
        <f t="shared" si="41"/>
        <v>0</v>
      </c>
      <c r="BK379" s="218">
        <f>IFERROR(SUM(DATA[[#This Row],[fs_fd_ttd]:[fend_fenf_ttd]]),0)</f>
        <v>0</v>
      </c>
      <c r="BL379" s="20" t="str">
        <f>IF(DATA[[#This Row],[fecha_fs]]&gt;0,TEXT(DATA[[#This Row],[fecha_fs]],"YYYY"),0)</f>
        <v>2025</v>
      </c>
      <c r="BM379" s="221" t="b">
        <v>0</v>
      </c>
      <c r="BN379" s="278"/>
      <c r="BO379" s="222"/>
    </row>
    <row r="380" spans="1:67" ht="30.6" customHeight="1" x14ac:dyDescent="0.25">
      <c r="A380" s="4">
        <v>20141637941</v>
      </c>
      <c r="B380" s="5" t="s">
        <v>79</v>
      </c>
      <c r="C380" s="52" t="s">
        <v>18</v>
      </c>
      <c r="D380" s="4" t="s">
        <v>120</v>
      </c>
      <c r="E380" s="5" t="s">
        <v>3</v>
      </c>
      <c r="F380" s="24">
        <v>45735</v>
      </c>
      <c r="G380" s="7" t="s">
        <v>113</v>
      </c>
      <c r="H380" s="25">
        <f t="shared" si="36"/>
        <v>1</v>
      </c>
      <c r="I380" s="67">
        <v>4257</v>
      </c>
      <c r="J380" s="8" t="s">
        <v>115</v>
      </c>
      <c r="K380" s="9" t="s">
        <v>121</v>
      </c>
      <c r="L380" s="10" t="s">
        <v>117</v>
      </c>
      <c r="M380" s="11">
        <v>1010</v>
      </c>
      <c r="N380" s="12" t="s">
        <v>125</v>
      </c>
      <c r="O380" s="6">
        <v>45740</v>
      </c>
      <c r="P380" s="110">
        <v>3343</v>
      </c>
      <c r="Q380" s="14" t="s">
        <v>85</v>
      </c>
      <c r="R380" s="15">
        <f>70+(DATA[[#This Row],[cantidad_fs]]-1000)*0.1</f>
        <v>71</v>
      </c>
      <c r="S380" s="15">
        <v>517</v>
      </c>
      <c r="T380" s="15">
        <f>DATA[[#This Row],[C. DF]]+DATA[[#This Row],[C.OPE.]]</f>
        <v>588</v>
      </c>
      <c r="U380" s="15">
        <f>DATA[[#This Row],[SUB TOTAL]]*0.18</f>
        <v>105.83999999999999</v>
      </c>
      <c r="V380" s="15">
        <f>IFERROR(ROUND(DATA[[#This Row],[SUB TOTAL]]+DATA[[#This Row],[IGV]],2),0)</f>
        <v>693.84</v>
      </c>
      <c r="W380" s="16" t="str">
        <f>IF(DATA[[#This Row],[VALORIZACIÓN ]]="-","NO CORRESPONDE",IF(OR(A380=20558226979,A380=10470707866,A380=20111157058,A380=20100226902),"NO CORRESPONDE",IF(J380="Emitida",IF(P380&gt;0,"EMITIDA","PENDIENTE"),"NO CORRESPONDE")))</f>
        <v>EMITIDA</v>
      </c>
      <c r="X380" s="29"/>
      <c r="Y380" s="17" t="s">
        <v>118</v>
      </c>
      <c r="Z380" s="30">
        <v>45741</v>
      </c>
      <c r="AA380" s="10" t="s">
        <v>119</v>
      </c>
      <c r="AB380" s="19">
        <v>53</v>
      </c>
      <c r="AC380" s="20">
        <v>30</v>
      </c>
      <c r="AD380" s="18">
        <f>DATA[[#This Row],[FECHA DE EMISION]]+DATA[[#This Row],[CONDICION DE PAGO]]</f>
        <v>45771</v>
      </c>
      <c r="AE380" s="23">
        <f>IF(DATA[[#This Row],[MONEDA]]="USD",VLOOKUP(DATA[[#This Row],[COMBINADA]],#REF!,11,0),1)</f>
        <v>1</v>
      </c>
      <c r="AF380" s="39" t="str">
        <f>IF(DATA[[#This Row],[SERIE2]]="-","NO CORRESPONDE",IF(W380="NO CORRESPONDE","NO CORRESPONDE",IF(Z380&gt;0,"FACTURADO","PENDIENTE")))</f>
        <v>FACTURADO</v>
      </c>
      <c r="AG380" s="27">
        <f>IFERROR(VLOOKUP(DATA[[#This Row],[COMBINADA]],#REF!,6,0),0)</f>
        <v>0</v>
      </c>
      <c r="AH380" s="125">
        <f>IFERROR(VLOOKUP(DATA[[#This Row],[COMBINADA]],#REF!,9,0),0)/COUNTIFS(DATA[COMBINADA],DATA[[#This Row],[COMBINADA]])</f>
        <v>0</v>
      </c>
      <c r="AI380" s="27">
        <f>IFERROR(VLOOKUP(DATA[[#This Row],[COMBINADA]],#REF!,6,0),0)</f>
        <v>0</v>
      </c>
      <c r="AJ380" s="125">
        <f>IFERROR(VLOOKUP(DATA[[#This Row],[COMBINADA]],#REF!,9,0),0)/COUNTIFS(DATA[COMBINADA],DATA[[#This Row],[COMBINADA]])</f>
        <v>0</v>
      </c>
      <c r="AK380" s="27">
        <f>IFERROR(VLOOKUP(DATA[[#This Row],[COMBINADA]],#REF!,6,0),0)</f>
        <v>0</v>
      </c>
      <c r="AL380" s="125">
        <f>IFERROR(VLOOKUP(DATA[[#This Row],[COMBINADA]],#REF!,9,0),0)/COUNTIFS(DATA[COMBINADA],DATA[[#This Row],[COMBINADA]])</f>
        <v>0</v>
      </c>
      <c r="AM380" s="27">
        <f>IFERROR(VLOOKUP(DATA[[#This Row],[COMBINADA]],#REF!,6,0),0)</f>
        <v>0</v>
      </c>
      <c r="AN380" s="125">
        <f>IFERROR(VLOOKUP(DATA[[#This Row],[COMBINADA]],#REF!,9,0),0)/COUNTIFS(DATA[COMBINADA],DATA[[#This Row],[COMBINADA]])</f>
        <v>0</v>
      </c>
      <c r="AO380" s="27">
        <f>IFERROR(VLOOKUP(DATA[[#This Row],[COMBINADA]],#REF!,6,0),0)</f>
        <v>0</v>
      </c>
      <c r="AP380" s="125">
        <f>IFERROR(VLOOKUP(DATA[[#This Row],[COMBINADA]],#REF!,9,0),0)/COUNTIFS(DATA[COMBINADA],DATA[[#This Row],[COMBINADA]])</f>
        <v>0</v>
      </c>
      <c r="AQ38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703.28000000000009</v>
      </c>
      <c r="AR380" s="26" t="str">
        <f>IFERROR(IF(DATA[[#This Row],[estado_fact]]="FACTURADO",VLOOKUP(DATA[[#This Row],[SERIE2]]&amp;"-"&amp;DATA[[#This Row],[NUMERO]],#REF!,34,0),"NO CORRESPONDE"),"NO CORRESPONDE")</f>
        <v>NO CORRESPONDE</v>
      </c>
      <c r="AS380" s="22" t="str">
        <f>IF(DATA[[#This Row],[fecha_fs]]&gt;0,TEXT(DATA[[#This Row],[fecha_fs]],"Mmmm"),0)</f>
        <v>Marzo</v>
      </c>
      <c r="AT380" s="22" t="str">
        <f>DATA[[#This Row],[SERIE2]]&amp;"-"&amp;DATA[[#This Row],[NUMERO]]</f>
        <v>E001-53</v>
      </c>
      <c r="AU380" s="28">
        <f>DATA[[#This Row],[TOTAL]]*DATA[[#This Row],[T.C.]]</f>
        <v>693.84</v>
      </c>
      <c r="AV380" s="6">
        <f>DATA[[#This Row],[FECHA DE VAL.]]</f>
        <v>45740</v>
      </c>
      <c r="AW380" s="6">
        <f>DATA[[#This Row],[FECHA DE EMISION]]</f>
        <v>45741</v>
      </c>
      <c r="AX380" s="6">
        <f>DATA[[#This Row],[F1]]</f>
        <v>0</v>
      </c>
      <c r="AY380" s="20">
        <f>IF(AV380-DATA[[#This Row],[fecha_fs]]&lt;0,0,AV380-DATA[[#This Row],[fecha_fs]])</f>
        <v>5</v>
      </c>
      <c r="AZ380" s="20">
        <f t="shared" si="37"/>
        <v>1</v>
      </c>
      <c r="BA380" s="20">
        <f t="shared" si="38"/>
        <v>0</v>
      </c>
      <c r="BB380" s="195">
        <f>IFERROR(SUM(DATA[[#This Row],[fs_val_ttf]:[fact_pago_ttf]]),0)</f>
        <v>6</v>
      </c>
      <c r="BC380" s="185">
        <v>45735</v>
      </c>
      <c r="BD380" s="185">
        <v>45735</v>
      </c>
      <c r="BE380" s="185">
        <v>45741</v>
      </c>
      <c r="BF380" s="185">
        <v>45741</v>
      </c>
      <c r="BG380" s="20">
        <f>IFERROR(IF(BC380-DATA[[#This Row],[fecha_fs]]&lt;0,0,BC380-DATA[[#This Row],[fecha_fs]]),0)</f>
        <v>0</v>
      </c>
      <c r="BH380" s="20">
        <f t="shared" si="39"/>
        <v>0</v>
      </c>
      <c r="BI380" s="20">
        <f t="shared" si="40"/>
        <v>6</v>
      </c>
      <c r="BJ380" s="20">
        <f t="shared" si="41"/>
        <v>0</v>
      </c>
      <c r="BK380" s="218">
        <f>IFERROR(SUM(DATA[[#This Row],[fs_fd_ttd]:[fend_fenf_ttd]]),0)</f>
        <v>6</v>
      </c>
      <c r="BL380" s="20" t="str">
        <f>IF(DATA[[#This Row],[fecha_fs]]&gt;0,TEXT(DATA[[#This Row],[fecha_fs]],"YYYY"),0)</f>
        <v>2025</v>
      </c>
      <c r="BM380" s="221" t="b">
        <v>1</v>
      </c>
      <c r="BN380" s="278">
        <f>COUNTIF(DATA[[#This Row],[tiempo_td]], "&lt;=15")</f>
        <v>1</v>
      </c>
      <c r="BO380" s="222"/>
    </row>
    <row r="381" spans="1:67" ht="30.6" customHeight="1" x14ac:dyDescent="0.25">
      <c r="A381" s="4">
        <v>20100211115</v>
      </c>
      <c r="B381" s="5" t="s">
        <v>41</v>
      </c>
      <c r="C381" s="52" t="s">
        <v>18</v>
      </c>
      <c r="D381" s="4" t="s">
        <v>120</v>
      </c>
      <c r="E381" s="5" t="s">
        <v>3</v>
      </c>
      <c r="F381" s="24">
        <v>45735</v>
      </c>
      <c r="G381" s="7" t="s">
        <v>113</v>
      </c>
      <c r="H381" s="25">
        <f t="shared" ref="H381:H444" si="44">IF(G381="","",IF(G381="LIM",2,1))</f>
        <v>1</v>
      </c>
      <c r="I381" s="67">
        <v>4258</v>
      </c>
      <c r="J381" s="8" t="s">
        <v>115</v>
      </c>
      <c r="K381" s="9" t="s">
        <v>121</v>
      </c>
      <c r="L381" s="10" t="s">
        <v>117</v>
      </c>
      <c r="M381" s="11">
        <v>90</v>
      </c>
      <c r="N381" s="12" t="s">
        <v>167</v>
      </c>
      <c r="O381" s="6">
        <v>45743</v>
      </c>
      <c r="P381" s="115">
        <v>3362</v>
      </c>
      <c r="Q381" s="14" t="s">
        <v>85</v>
      </c>
      <c r="R381" s="15"/>
      <c r="S381" s="15">
        <f>(DATA[[#This Row],[cantidad_fs]]*4.37)</f>
        <v>393.3</v>
      </c>
      <c r="T381" s="15">
        <f>DATA[[#This Row],[C. DF]]+DATA[[#This Row],[C.OPE.]]</f>
        <v>393.3</v>
      </c>
      <c r="U381" s="15">
        <f>DATA[[#This Row],[SUB TOTAL]]*0.18</f>
        <v>70.793999999999997</v>
      </c>
      <c r="V381" s="15">
        <f>IFERROR(ROUND(DATA[[#This Row],[SUB TOTAL]]+DATA[[#This Row],[IGV]],2),0)</f>
        <v>464.09</v>
      </c>
      <c r="W381" s="16" t="str">
        <f>IF(DATA[[#This Row],[VALORIZACIÓN ]]="-","NO CORRESPONDE",IF(OR(A381=20558226979,A381=10470707866,A381=20111157058,A381=20100226902),"NO CORRESPONDE",IF(J381="Emitida",IF(P381&gt;0,"EMITIDA","PENDIENTE"),"NO CORRESPONDE")))</f>
        <v>EMITIDA</v>
      </c>
      <c r="X381" s="29"/>
      <c r="Y381" s="17" t="s">
        <v>118</v>
      </c>
      <c r="Z381" s="30">
        <v>45744</v>
      </c>
      <c r="AA381" s="10" t="s">
        <v>150</v>
      </c>
      <c r="AB381" s="19">
        <v>2</v>
      </c>
      <c r="AC381" s="20">
        <v>30</v>
      </c>
      <c r="AD381" s="18">
        <f>DATA[[#This Row],[FECHA DE EMISION]]+DATA[[#This Row],[CONDICION DE PAGO]]</f>
        <v>45774</v>
      </c>
      <c r="AE381" s="23">
        <f>IF(DATA[[#This Row],[MONEDA]]="USD",VLOOKUP(DATA[[#This Row],[COMBINADA]],#REF!,11,0),1)</f>
        <v>1</v>
      </c>
      <c r="AF381" s="39" t="str">
        <f>IF(DATA[[#This Row],[SERIE2]]="-","NO CORRESPONDE",IF(W381="NO CORRESPONDE","NO CORRESPONDE",IF(Z381&gt;0,"FACTURADO","PENDIENTE")))</f>
        <v>FACTURADO</v>
      </c>
      <c r="AG381" s="27">
        <f>IFERROR(VLOOKUP(DATA[[#This Row],[COMBINADA]],#REF!,6,0),0)</f>
        <v>0</v>
      </c>
      <c r="AH381" s="125">
        <f>IFERROR(VLOOKUP(DATA[[#This Row],[COMBINADA]],#REF!,9,0),0)/COUNTIFS(DATA[COMBINADA],DATA[[#This Row],[COMBINADA]])</f>
        <v>0</v>
      </c>
      <c r="AI381" s="27">
        <f>IFERROR(VLOOKUP(DATA[[#This Row],[COMBINADA]],#REF!,6,0),0)</f>
        <v>0</v>
      </c>
      <c r="AJ381" s="125">
        <f>IFERROR(VLOOKUP(DATA[[#This Row],[COMBINADA]],#REF!,9,0),0)/COUNTIFS(DATA[COMBINADA],DATA[[#This Row],[COMBINADA]])</f>
        <v>0</v>
      </c>
      <c r="AK381" s="27">
        <f>IFERROR(VLOOKUP(DATA[[#This Row],[COMBINADA]],#REF!,6,0),0)</f>
        <v>0</v>
      </c>
      <c r="AL381" s="125">
        <f>IFERROR(VLOOKUP(DATA[[#This Row],[COMBINADA]],#REF!,9,0),0)/COUNTIFS(DATA[COMBINADA],DATA[[#This Row],[COMBINADA]])</f>
        <v>0</v>
      </c>
      <c r="AM381" s="27">
        <f>IFERROR(VLOOKUP(DATA[[#This Row],[COMBINADA]],#REF!,6,0),0)</f>
        <v>0</v>
      </c>
      <c r="AN381" s="125">
        <f>IFERROR(VLOOKUP(DATA[[#This Row],[COMBINADA]],#REF!,9,0),0)/COUNTIFS(DATA[COMBINADA],DATA[[#This Row],[COMBINADA]])</f>
        <v>0</v>
      </c>
      <c r="AO381" s="27">
        <f>IFERROR(VLOOKUP(DATA[[#This Row],[COMBINADA]],#REF!,6,0),0)</f>
        <v>0</v>
      </c>
      <c r="AP381" s="125">
        <f>IFERROR(VLOOKUP(DATA[[#This Row],[COMBINADA]],#REF!,9,0),0)/COUNTIFS(DATA[COMBINADA],DATA[[#This Row],[COMBINADA]])</f>
        <v>0</v>
      </c>
      <c r="AQ38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381" s="26" t="str">
        <f>IFERROR(IF(DATA[[#This Row],[estado_fact]]="FACTURADO",VLOOKUP(DATA[[#This Row],[SERIE2]]&amp;"-"&amp;DATA[[#This Row],[NUMERO]],#REF!,34,0),"NO CORRESPONDE"),"NO CORRESPONDE")</f>
        <v>NO CORRESPONDE</v>
      </c>
      <c r="AS381" s="22" t="str">
        <f>IF(DATA[[#This Row],[fecha_fs]]&gt;0,TEXT(DATA[[#This Row],[fecha_fs]],"Mmmm"),0)</f>
        <v>Marzo</v>
      </c>
      <c r="AT381" s="22" t="str">
        <f>DATA[[#This Row],[SERIE2]]&amp;"-"&amp;DATA[[#This Row],[NUMERO]]</f>
        <v>FF01-2</v>
      </c>
      <c r="AU381" s="28">
        <f>DATA[[#This Row],[TOTAL]]*DATA[[#This Row],[T.C.]]</f>
        <v>464.09</v>
      </c>
      <c r="AV381" s="6">
        <f>DATA[[#This Row],[FECHA DE VAL.]]</f>
        <v>45743</v>
      </c>
      <c r="AW381" s="6">
        <f>DATA[[#This Row],[FECHA DE EMISION]]</f>
        <v>45744</v>
      </c>
      <c r="AX381" s="6">
        <f>DATA[[#This Row],[F1]]</f>
        <v>0</v>
      </c>
      <c r="AY381" s="20">
        <f>IF(AV381-DATA[[#This Row],[fecha_fs]]&lt;0,0,AV381-DATA[[#This Row],[fecha_fs]])</f>
        <v>8</v>
      </c>
      <c r="AZ381" s="20">
        <f t="shared" si="37"/>
        <v>1</v>
      </c>
      <c r="BA381" s="20">
        <f t="shared" si="38"/>
        <v>0</v>
      </c>
      <c r="BB381" s="195">
        <f>IFERROR(SUM(DATA[[#This Row],[fs_val_ttf]:[fact_pago_ttf]]),0)</f>
        <v>9</v>
      </c>
      <c r="BC381" s="185">
        <v>45742</v>
      </c>
      <c r="BD381" s="185">
        <v>45751</v>
      </c>
      <c r="BE381" s="185">
        <v>45757</v>
      </c>
      <c r="BF381" s="185">
        <v>45758</v>
      </c>
      <c r="BG381" s="20">
        <f>IFERROR(IF(BC381-DATA[[#This Row],[fecha_fs]]&lt;0,0,BC381-DATA[[#This Row],[fecha_fs]]),0)</f>
        <v>7</v>
      </c>
      <c r="BH381" s="20">
        <f t="shared" si="39"/>
        <v>9</v>
      </c>
      <c r="BI381" s="20">
        <f t="shared" si="40"/>
        <v>6</v>
      </c>
      <c r="BJ381" s="20">
        <f t="shared" si="41"/>
        <v>1</v>
      </c>
      <c r="BK381" s="218">
        <f>IFERROR(SUM(DATA[[#This Row],[fs_fd_ttd]:[fend_fenf_ttd]]),0)</f>
        <v>23</v>
      </c>
      <c r="BL381" s="20" t="str">
        <f>IF(DATA[[#This Row],[fecha_fs]]&gt;0,TEXT(DATA[[#This Row],[fecha_fs]],"YYYY"),0)</f>
        <v>2025</v>
      </c>
      <c r="BM381" s="221" t="b">
        <v>1</v>
      </c>
      <c r="BN381" s="278">
        <f>COUNTIF(DATA[[#This Row],[tiempo_td]], "&lt;=15")</f>
        <v>0</v>
      </c>
      <c r="BO381" s="222"/>
    </row>
    <row r="382" spans="1:67" ht="30.6" customHeight="1" x14ac:dyDescent="0.25">
      <c r="A382" s="4">
        <v>20505675836</v>
      </c>
      <c r="B382" s="5" t="s">
        <v>42</v>
      </c>
      <c r="C382" s="52" t="s">
        <v>43</v>
      </c>
      <c r="D382" s="4" t="s">
        <v>120</v>
      </c>
      <c r="E382" s="5" t="s">
        <v>3</v>
      </c>
      <c r="F382" s="24">
        <v>45735</v>
      </c>
      <c r="G382" s="7" t="s">
        <v>113</v>
      </c>
      <c r="H382" s="25">
        <f t="shared" si="44"/>
        <v>1</v>
      </c>
      <c r="I382" s="67">
        <v>4259</v>
      </c>
      <c r="J382" s="8" t="s">
        <v>115</v>
      </c>
      <c r="K382" s="9" t="s">
        <v>121</v>
      </c>
      <c r="L382" s="10" t="s">
        <v>117</v>
      </c>
      <c r="M382" s="11">
        <v>730</v>
      </c>
      <c r="N382" s="12" t="s">
        <v>132</v>
      </c>
      <c r="O382" s="6">
        <v>45741</v>
      </c>
      <c r="P382" s="71">
        <v>3345</v>
      </c>
      <c r="Q382" s="14" t="s">
        <v>85</v>
      </c>
      <c r="R382" s="15">
        <f>(DATA[[#This Row],[cantidad_fs]]-150)*0.67</f>
        <v>388.6</v>
      </c>
      <c r="S382" s="15">
        <v>817.68</v>
      </c>
      <c r="T382" s="15">
        <f>DATA[[#This Row],[C. DF]]+DATA[[#This Row],[C.OPE.]]</f>
        <v>1206.28</v>
      </c>
      <c r="U382" s="15">
        <f>DATA[[#This Row],[SUB TOTAL]]*0.18</f>
        <v>217.13039999999998</v>
      </c>
      <c r="V382" s="15">
        <f>IFERROR(ROUND(DATA[[#This Row],[SUB TOTAL]]+DATA[[#This Row],[IGV]],2),0)</f>
        <v>1423.41</v>
      </c>
      <c r="W382" s="16" t="str">
        <f>IF(DATA[[#This Row],[VALORIZACIÓN ]]="-","NO CORRESPONDE",IF(OR(A382=20558226979,A382=10470707866,A382=20111157058,A382=20100226902),"NO CORRESPONDE",IF(J382="Emitida",IF(P382&gt;0,"EMITIDA","PENDIENTE"),"NO CORRESPONDE")))</f>
        <v>EMITIDA</v>
      </c>
      <c r="X382" s="29" t="s">
        <v>298</v>
      </c>
      <c r="Y382" s="17" t="s">
        <v>118</v>
      </c>
      <c r="Z382" s="30">
        <v>45782</v>
      </c>
      <c r="AA382" s="10" t="s">
        <v>150</v>
      </c>
      <c r="AB382" s="19">
        <v>64</v>
      </c>
      <c r="AC382" s="20">
        <v>30</v>
      </c>
      <c r="AD382" s="18">
        <f>DATA[[#This Row],[FECHA DE EMISION]]+DATA[[#This Row],[CONDICION DE PAGO]]</f>
        <v>45812</v>
      </c>
      <c r="AE382" s="23">
        <f>IF(DATA[[#This Row],[MONEDA]]="USD",VLOOKUP(DATA[[#This Row],[COMBINADA]],#REF!,11,0),1)</f>
        <v>1</v>
      </c>
      <c r="AF382" s="39" t="str">
        <f>IF(DATA[[#This Row],[SERIE2]]="-","NO CORRESPONDE",IF(W382="NO CORRESPONDE","NO CORRESPONDE",IF(Z382&gt;0,"FACTURADO","PENDIENTE")))</f>
        <v>FACTURADO</v>
      </c>
      <c r="AG382" s="27">
        <f>IFERROR(VLOOKUP(DATA[[#This Row],[COMBINADA]],#REF!,6,0),0)</f>
        <v>0</v>
      </c>
      <c r="AH382" s="125">
        <f>IFERROR(VLOOKUP(DATA[[#This Row],[COMBINADA]],#REF!,9,0),0)/COUNTIFS(DATA[COMBINADA],DATA[[#This Row],[COMBINADA]])</f>
        <v>0</v>
      </c>
      <c r="AI382" s="27">
        <f>IFERROR(VLOOKUP(DATA[[#This Row],[COMBINADA]],#REF!,6,0),0)</f>
        <v>0</v>
      </c>
      <c r="AJ382" s="125">
        <f>IFERROR(VLOOKUP(DATA[[#This Row],[COMBINADA]],#REF!,9,0),0)/COUNTIFS(DATA[COMBINADA],DATA[[#This Row],[COMBINADA]])</f>
        <v>0</v>
      </c>
      <c r="AK382" s="27">
        <f>IFERROR(VLOOKUP(DATA[[#This Row],[COMBINADA]],#REF!,6,0),0)</f>
        <v>0</v>
      </c>
      <c r="AL382" s="125">
        <f>IFERROR(VLOOKUP(DATA[[#This Row],[COMBINADA]],#REF!,9,0),0)/COUNTIFS(DATA[COMBINADA],DATA[[#This Row],[COMBINADA]])</f>
        <v>0</v>
      </c>
      <c r="AM382" s="27">
        <f>IFERROR(VLOOKUP(DATA[[#This Row],[COMBINADA]],#REF!,6,0),0)</f>
        <v>0</v>
      </c>
      <c r="AN382" s="125">
        <f>IFERROR(VLOOKUP(DATA[[#This Row],[COMBINADA]],#REF!,9,0),0)/COUNTIFS(DATA[COMBINADA],DATA[[#This Row],[COMBINADA]])</f>
        <v>0</v>
      </c>
      <c r="AO382" s="27">
        <f>IFERROR(VLOOKUP(DATA[[#This Row],[COMBINADA]],#REF!,6,0),0)</f>
        <v>0</v>
      </c>
      <c r="AP382" s="125">
        <f>IFERROR(VLOOKUP(DATA[[#This Row],[COMBINADA]],#REF!,9,0),0)/COUNTIFS(DATA[COMBINADA],DATA[[#This Row],[COMBINADA]])</f>
        <v>0</v>
      </c>
      <c r="AQ38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1394.3533333333332</v>
      </c>
      <c r="AR382" s="26" t="str">
        <f>IFERROR(IF(DATA[[#This Row],[estado_fact]]="FACTURADO",VLOOKUP(DATA[[#This Row],[SERIE2]]&amp;"-"&amp;DATA[[#This Row],[NUMERO]],#REF!,34,0),"NO CORRESPONDE"),"NO CORRESPONDE")</f>
        <v>NO CORRESPONDE</v>
      </c>
      <c r="AS382" s="22" t="str">
        <f>IF(DATA[[#This Row],[fecha_fs]]&gt;0,TEXT(DATA[[#This Row],[fecha_fs]],"Mmmm"),0)</f>
        <v>Marzo</v>
      </c>
      <c r="AT382" s="22" t="str">
        <f>DATA[[#This Row],[SERIE2]]&amp;"-"&amp;DATA[[#This Row],[NUMERO]]</f>
        <v>FF01-64</v>
      </c>
      <c r="AU382" s="28">
        <f>DATA[[#This Row],[TOTAL]]*DATA[[#This Row],[T.C.]]</f>
        <v>1423.41</v>
      </c>
      <c r="AV382" s="6">
        <f>DATA[[#This Row],[FECHA DE VAL.]]</f>
        <v>45741</v>
      </c>
      <c r="AW382" s="6">
        <f>DATA[[#This Row],[FECHA DE EMISION]]</f>
        <v>45782</v>
      </c>
      <c r="AX382" s="6">
        <f>DATA[[#This Row],[F1]]</f>
        <v>0</v>
      </c>
      <c r="AY382" s="20">
        <f>IF(AV382-DATA[[#This Row],[fecha_fs]]&lt;0,0,AV382-DATA[[#This Row],[fecha_fs]])</f>
        <v>6</v>
      </c>
      <c r="AZ382" s="20">
        <f t="shared" ref="AZ382:AZ445" si="45">IF(AW382-AV382&lt;0,0,AW382-AV382)</f>
        <v>41</v>
      </c>
      <c r="BA382" s="20">
        <f t="shared" ref="BA382:BA445" si="46">IF(AX382-AW382&lt;0,0,AX382-AW382)</f>
        <v>0</v>
      </c>
      <c r="BB382" s="195">
        <f>IFERROR(SUM(DATA[[#This Row],[fs_val_ttf]:[fact_pago_ttf]]),0)</f>
        <v>47</v>
      </c>
      <c r="BC382" s="185">
        <v>45747</v>
      </c>
      <c r="BD382" s="185">
        <v>45761</v>
      </c>
      <c r="BE382" s="185">
        <v>45789</v>
      </c>
      <c r="BF382" s="185">
        <v>45814</v>
      </c>
      <c r="BG382" s="20">
        <f>IFERROR(IF(BC382-DATA[[#This Row],[fecha_fs]]&lt;0,0,BC382-DATA[[#This Row],[fecha_fs]]),0)</f>
        <v>12</v>
      </c>
      <c r="BH382" s="20">
        <f t="shared" si="39"/>
        <v>14</v>
      </c>
      <c r="BI382" s="20">
        <f t="shared" si="40"/>
        <v>28</v>
      </c>
      <c r="BJ382" s="20">
        <f t="shared" si="41"/>
        <v>25</v>
      </c>
      <c r="BK382" s="218">
        <f>IFERROR(SUM(DATA[[#This Row],[fs_fd_ttd]:[fend_fenf_ttd]]),0)</f>
        <v>79</v>
      </c>
      <c r="BL382" s="20" t="str">
        <f>IF(DATA[[#This Row],[fecha_fs]]&gt;0,TEXT(DATA[[#This Row],[fecha_fs]],"YYYY"),0)</f>
        <v>2025</v>
      </c>
      <c r="BM382" s="221" t="b">
        <v>1</v>
      </c>
      <c r="BN382" s="278">
        <f>COUNTIF(DATA[[#This Row],[tiempo_td]], "&lt;=15")</f>
        <v>0</v>
      </c>
      <c r="BO382" s="222"/>
    </row>
    <row r="383" spans="1:67" ht="30.6" customHeight="1" x14ac:dyDescent="0.25">
      <c r="A383" s="4">
        <v>20100055237</v>
      </c>
      <c r="B383" s="5" t="s">
        <v>21</v>
      </c>
      <c r="C383" s="52" t="s">
        <v>138</v>
      </c>
      <c r="D383" s="4" t="s">
        <v>139</v>
      </c>
      <c r="E383" s="5" t="s">
        <v>23</v>
      </c>
      <c r="F383" s="24">
        <v>45736</v>
      </c>
      <c r="G383" s="7" t="s">
        <v>113</v>
      </c>
      <c r="H383" s="25">
        <f t="shared" si="44"/>
        <v>1</v>
      </c>
      <c r="I383" s="67">
        <v>4260</v>
      </c>
      <c r="J383" s="8" t="s">
        <v>115</v>
      </c>
      <c r="K383" s="9" t="s">
        <v>121</v>
      </c>
      <c r="L383" s="10" t="s">
        <v>117</v>
      </c>
      <c r="M383" s="11">
        <v>130</v>
      </c>
      <c r="N383" s="12" t="s">
        <v>167</v>
      </c>
      <c r="O383" s="6">
        <v>45743</v>
      </c>
      <c r="P383" s="54">
        <v>3365</v>
      </c>
      <c r="Q383" s="14" t="s">
        <v>85</v>
      </c>
      <c r="R383" s="15"/>
      <c r="S383" s="15">
        <v>297.92</v>
      </c>
      <c r="T383" s="15">
        <f>DATA[[#This Row],[C. DF]]+DATA[[#This Row],[C.OPE.]]</f>
        <v>297.92</v>
      </c>
      <c r="U383" s="15">
        <f>DATA[[#This Row],[SUB TOTAL]]*0.18</f>
        <v>53.625599999999999</v>
      </c>
      <c r="V383" s="15">
        <f>IFERROR(ROUND(DATA[[#This Row],[SUB TOTAL]]+DATA[[#This Row],[IGV]],2),0)</f>
        <v>351.55</v>
      </c>
      <c r="W383" s="16" t="str">
        <f>IF(DATA[[#This Row],[VALORIZACIÓN ]]="-","NO CORRESPONDE",IF(OR(A383=20558226979,A383=10470707866,A383=20111157058,A383=20100226902),"NO CORRESPONDE",IF(J383="Emitida",IF(P383&gt;0,"EMITIDA","PENDIENTE"),"NO CORRESPONDE")))</f>
        <v>EMITIDA</v>
      </c>
      <c r="X383" s="29"/>
      <c r="Y383" s="17" t="s">
        <v>118</v>
      </c>
      <c r="Z383" s="30">
        <v>45785</v>
      </c>
      <c r="AA383" s="10" t="s">
        <v>150</v>
      </c>
      <c r="AB383" s="19">
        <v>72</v>
      </c>
      <c r="AC383" s="20">
        <v>30</v>
      </c>
      <c r="AD383" s="18">
        <f>DATA[[#This Row],[FECHA DE EMISION]]+DATA[[#This Row],[CONDICION DE PAGO]]</f>
        <v>45815</v>
      </c>
      <c r="AE383" s="23">
        <f>IF(DATA[[#This Row],[MONEDA]]="USD",VLOOKUP(DATA[[#This Row],[COMBINADA]],#REF!,11,0),1)</f>
        <v>1</v>
      </c>
      <c r="AF383" s="39" t="str">
        <f>IF(DATA[[#This Row],[SERIE2]]="-","NO CORRESPONDE",IF(W383="NO CORRESPONDE","NO CORRESPONDE",IF(Z383&gt;0,"FACTURADO","PENDIENTE")))</f>
        <v>FACTURADO</v>
      </c>
      <c r="AG383" s="27">
        <f>IFERROR(VLOOKUP(DATA[[#This Row],[COMBINADA]],#REF!,6,0),0)</f>
        <v>0</v>
      </c>
      <c r="AH383" s="125">
        <f>IFERROR(VLOOKUP(DATA[[#This Row],[COMBINADA]],#REF!,9,0),0)/COUNTIFS(DATA[COMBINADA],DATA[[#This Row],[COMBINADA]])</f>
        <v>0</v>
      </c>
      <c r="AI383" s="27">
        <f>IFERROR(VLOOKUP(DATA[[#This Row],[COMBINADA]],#REF!,6,0),0)</f>
        <v>0</v>
      </c>
      <c r="AJ383" s="125">
        <f>IFERROR(VLOOKUP(DATA[[#This Row],[COMBINADA]],#REF!,9,0),0)/COUNTIFS(DATA[COMBINADA],DATA[[#This Row],[COMBINADA]])</f>
        <v>0</v>
      </c>
      <c r="AK383" s="27">
        <f>IFERROR(VLOOKUP(DATA[[#This Row],[COMBINADA]],#REF!,6,0),0)</f>
        <v>0</v>
      </c>
      <c r="AL383" s="125">
        <f>IFERROR(VLOOKUP(DATA[[#This Row],[COMBINADA]],#REF!,9,0),0)/COUNTIFS(DATA[COMBINADA],DATA[[#This Row],[COMBINADA]])</f>
        <v>0</v>
      </c>
      <c r="AM383" s="27">
        <f>IFERROR(VLOOKUP(DATA[[#This Row],[COMBINADA]],#REF!,6,0),0)</f>
        <v>0</v>
      </c>
      <c r="AN383" s="125">
        <f>IFERROR(VLOOKUP(DATA[[#This Row],[COMBINADA]],#REF!,9,0),0)/COUNTIFS(DATA[COMBINADA],DATA[[#This Row],[COMBINADA]])</f>
        <v>0</v>
      </c>
      <c r="AO383" s="27">
        <f>IFERROR(VLOOKUP(DATA[[#This Row],[COMBINADA]],#REF!,6,0),0)</f>
        <v>0</v>
      </c>
      <c r="AP383" s="125">
        <f>IFERROR(VLOOKUP(DATA[[#This Row],[COMBINADA]],#REF!,9,0),0)/COUNTIFS(DATA[COMBINADA],DATA[[#This Row],[COMBINADA]])</f>
        <v>0</v>
      </c>
      <c r="AQ38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383" s="26" t="str">
        <f>IFERROR(IF(DATA[[#This Row],[estado_fact]]="FACTURADO",VLOOKUP(DATA[[#This Row],[SERIE2]]&amp;"-"&amp;DATA[[#This Row],[NUMERO]],#REF!,34,0),"NO CORRESPONDE"),"NO CORRESPONDE")</f>
        <v>NO CORRESPONDE</v>
      </c>
      <c r="AS383" s="22" t="str">
        <f>IF(DATA[[#This Row],[fecha_fs]]&gt;0,TEXT(DATA[[#This Row],[fecha_fs]],"Mmmm"),0)</f>
        <v>Marzo</v>
      </c>
      <c r="AT383" s="22" t="str">
        <f>DATA[[#This Row],[SERIE2]]&amp;"-"&amp;DATA[[#This Row],[NUMERO]]</f>
        <v>FF01-72</v>
      </c>
      <c r="AU383" s="28">
        <f>DATA[[#This Row],[TOTAL]]*DATA[[#This Row],[T.C.]]</f>
        <v>351.55</v>
      </c>
      <c r="AV383" s="6">
        <f>DATA[[#This Row],[FECHA DE VAL.]]</f>
        <v>45743</v>
      </c>
      <c r="AW383" s="6">
        <f>DATA[[#This Row],[FECHA DE EMISION]]</f>
        <v>45785</v>
      </c>
      <c r="AX383" s="6">
        <f>DATA[[#This Row],[F1]]</f>
        <v>0</v>
      </c>
      <c r="AY383" s="20">
        <f>IF(AV383-DATA[[#This Row],[fecha_fs]]&lt;0,0,AV383-DATA[[#This Row],[fecha_fs]])</f>
        <v>7</v>
      </c>
      <c r="AZ383" s="20">
        <f t="shared" si="45"/>
        <v>42</v>
      </c>
      <c r="BA383" s="20">
        <f t="shared" si="46"/>
        <v>0</v>
      </c>
      <c r="BB383" s="195">
        <f>IFERROR(SUM(DATA[[#This Row],[fs_val_ttf]:[fact_pago_ttf]]),0)</f>
        <v>49</v>
      </c>
      <c r="BC383" s="185">
        <v>45736</v>
      </c>
      <c r="BD383" s="185">
        <v>45736</v>
      </c>
      <c r="BE383" s="185">
        <v>45743</v>
      </c>
      <c r="BF383" s="185">
        <v>45743</v>
      </c>
      <c r="BG383" s="20">
        <f>IFERROR(IF(BC383-DATA[[#This Row],[fecha_fs]]&lt;0,0,BC383-DATA[[#This Row],[fecha_fs]]),0)</f>
        <v>0</v>
      </c>
      <c r="BH383" s="114">
        <f t="shared" si="39"/>
        <v>0</v>
      </c>
      <c r="BI383" s="20">
        <f t="shared" si="40"/>
        <v>7</v>
      </c>
      <c r="BJ383" s="20">
        <f t="shared" si="41"/>
        <v>0</v>
      </c>
      <c r="BK383" s="218">
        <f>IFERROR(SUM(DATA[[#This Row],[fs_fd_ttd]:[fend_fenf_ttd]]),0)</f>
        <v>7</v>
      </c>
      <c r="BL383" s="20" t="str">
        <f>IF(DATA[[#This Row],[fecha_fs]]&gt;0,TEXT(DATA[[#This Row],[fecha_fs]],"YYYY"),0)</f>
        <v>2025</v>
      </c>
      <c r="BM383" s="221" t="b">
        <v>1</v>
      </c>
      <c r="BN383" s="278">
        <f>COUNTIF(DATA[[#This Row],[tiempo_td]], "&lt;=15")</f>
        <v>1</v>
      </c>
      <c r="BO383" s="222"/>
    </row>
    <row r="384" spans="1:67" ht="30.6" customHeight="1" x14ac:dyDescent="0.25">
      <c r="A384" s="4">
        <v>20419158462</v>
      </c>
      <c r="B384" s="5" t="s">
        <v>2</v>
      </c>
      <c r="C384" s="52" t="s">
        <v>7</v>
      </c>
      <c r="D384" s="4" t="s">
        <v>120</v>
      </c>
      <c r="E384" s="5" t="s">
        <v>3</v>
      </c>
      <c r="F384" s="24">
        <v>45736</v>
      </c>
      <c r="G384" s="7" t="s">
        <v>113</v>
      </c>
      <c r="H384" s="25">
        <f t="shared" si="44"/>
        <v>1</v>
      </c>
      <c r="I384" s="67">
        <v>4261</v>
      </c>
      <c r="J384" s="8" t="s">
        <v>115</v>
      </c>
      <c r="K384" s="9" t="s">
        <v>156</v>
      </c>
      <c r="L384" s="10" t="s">
        <v>117</v>
      </c>
      <c r="M384" s="11">
        <v>790</v>
      </c>
      <c r="N384" s="12" t="s">
        <v>125</v>
      </c>
      <c r="O384" s="6">
        <v>45744</v>
      </c>
      <c r="P384" s="83">
        <v>3425</v>
      </c>
      <c r="Q384" s="14" t="s">
        <v>85</v>
      </c>
      <c r="R384" s="15">
        <v>0</v>
      </c>
      <c r="S384" s="15">
        <v>1429.7</v>
      </c>
      <c r="T384" s="15">
        <f>DATA[[#This Row],[C. DF]]+DATA[[#This Row],[C.OPE.]]</f>
        <v>1429.7</v>
      </c>
      <c r="U384" s="15">
        <f>DATA[[#This Row],[SUB TOTAL]]*0.18</f>
        <v>257.346</v>
      </c>
      <c r="V384" s="15">
        <f>IFERROR(ROUND(DATA[[#This Row],[SUB TOTAL]]+DATA[[#This Row],[IGV]],2),0)</f>
        <v>1687.05</v>
      </c>
      <c r="W384" s="16" t="str">
        <f>IF(DATA[[#This Row],[VALORIZACIÓN ]]="-","NO CORRESPONDE",IF(OR(A384=20558226979,A384=10470707866,A384=20111157058,A384=20100226902),"NO CORRESPONDE",IF(J384="Emitida",IF(P384&gt;0,"EMITIDA","PENDIENTE"),"NO CORRESPONDE")))</f>
        <v>EMITIDA</v>
      </c>
      <c r="X384" s="29"/>
      <c r="Y384" s="17" t="s">
        <v>118</v>
      </c>
      <c r="Z384" s="30">
        <v>45798</v>
      </c>
      <c r="AA384" s="10" t="s">
        <v>150</v>
      </c>
      <c r="AB384" s="19">
        <v>83</v>
      </c>
      <c r="AC384" s="20">
        <v>15</v>
      </c>
      <c r="AD384" s="18">
        <f>DATA[[#This Row],[FECHA DE EMISION]]+DATA[[#This Row],[CONDICION DE PAGO]]</f>
        <v>45813</v>
      </c>
      <c r="AE384" s="23">
        <f>IF(DATA[[#This Row],[MONEDA]]="USD",VLOOKUP(DATA[[#This Row],[COMBINADA]],#REF!,11,0),1)</f>
        <v>1</v>
      </c>
      <c r="AF384" s="39" t="str">
        <f>IF(DATA[[#This Row],[SERIE2]]="-","NO CORRESPONDE",IF(W384="NO CORRESPONDE","NO CORRESPONDE",IF(Z384&gt;0,"FACTURADO","PENDIENTE")))</f>
        <v>FACTURADO</v>
      </c>
      <c r="AG384" s="27">
        <f>IFERROR(VLOOKUP(DATA[[#This Row],[COMBINADA]],#REF!,6,0),0)</f>
        <v>0</v>
      </c>
      <c r="AH384" s="125">
        <f>IFERROR(VLOOKUP(DATA[[#This Row],[COMBINADA]],#REF!,9,0),0)/COUNTIFS(DATA[COMBINADA],DATA[[#This Row],[COMBINADA]])</f>
        <v>0</v>
      </c>
      <c r="AI384" s="27">
        <f>IFERROR(VLOOKUP(DATA[[#This Row],[COMBINADA]],#REF!,6,0),0)</f>
        <v>0</v>
      </c>
      <c r="AJ384" s="125">
        <f>IFERROR(VLOOKUP(DATA[[#This Row],[COMBINADA]],#REF!,9,0),0)/COUNTIFS(DATA[COMBINADA],DATA[[#This Row],[COMBINADA]])</f>
        <v>0</v>
      </c>
      <c r="AK384" s="27">
        <f>IFERROR(VLOOKUP(DATA[[#This Row],[COMBINADA]],#REF!,6,0),0)</f>
        <v>0</v>
      </c>
      <c r="AL384" s="125">
        <f>IFERROR(VLOOKUP(DATA[[#This Row],[COMBINADA]],#REF!,9,0),0)/COUNTIFS(DATA[COMBINADA],DATA[[#This Row],[COMBINADA]])</f>
        <v>0</v>
      </c>
      <c r="AM384" s="27">
        <f>IFERROR(VLOOKUP(DATA[[#This Row],[COMBINADA]],#REF!,6,0),0)</f>
        <v>0</v>
      </c>
      <c r="AN384" s="125">
        <f>IFERROR(VLOOKUP(DATA[[#This Row],[COMBINADA]],#REF!,9,0),0)/COUNTIFS(DATA[COMBINADA],DATA[[#This Row],[COMBINADA]])</f>
        <v>0</v>
      </c>
      <c r="AO384" s="27">
        <f>IFERROR(VLOOKUP(DATA[[#This Row],[COMBINADA]],#REF!,6,0),0)</f>
        <v>0</v>
      </c>
      <c r="AP384" s="125">
        <f>IFERROR(VLOOKUP(DATA[[#This Row],[COMBINADA]],#REF!,9,0),0)/COUNTIFS(DATA[COMBINADA],DATA[[#This Row],[COMBINADA]])</f>
        <v>0</v>
      </c>
      <c r="AQ38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1687.05</v>
      </c>
      <c r="AR384" s="26" t="str">
        <f>IFERROR(IF(DATA[[#This Row],[estado_fact]]="FACTURADO",VLOOKUP(DATA[[#This Row],[SERIE2]]&amp;"-"&amp;DATA[[#This Row],[NUMERO]],#REF!,34,0),"NO CORRESPONDE"),"NO CORRESPONDE")</f>
        <v>NO CORRESPONDE</v>
      </c>
      <c r="AS384" s="22" t="str">
        <f>IF(DATA[[#This Row],[fecha_fs]]&gt;0,TEXT(DATA[[#This Row],[fecha_fs]],"Mmmm"),0)</f>
        <v>Marzo</v>
      </c>
      <c r="AT384" s="22" t="str">
        <f>DATA[[#This Row],[SERIE2]]&amp;"-"&amp;DATA[[#This Row],[NUMERO]]</f>
        <v>FF01-83</v>
      </c>
      <c r="AU384" s="28">
        <f>DATA[[#This Row],[TOTAL]]*DATA[[#This Row],[T.C.]]</f>
        <v>1687.05</v>
      </c>
      <c r="AV384" s="6">
        <f>DATA[[#This Row],[FECHA DE VAL.]]</f>
        <v>45744</v>
      </c>
      <c r="AW384" s="6">
        <f>DATA[[#This Row],[FECHA DE EMISION]]</f>
        <v>45798</v>
      </c>
      <c r="AX384" s="6">
        <f>DATA[[#This Row],[F1]]</f>
        <v>0</v>
      </c>
      <c r="AY384" s="20">
        <f>IF(AV384-DATA[[#This Row],[fecha_fs]]&lt;0,0,AV384-DATA[[#This Row],[fecha_fs]])</f>
        <v>8</v>
      </c>
      <c r="AZ384" s="20">
        <f t="shared" si="45"/>
        <v>54</v>
      </c>
      <c r="BA384" s="20">
        <f t="shared" si="46"/>
        <v>0</v>
      </c>
      <c r="BB384" s="195">
        <f>IFERROR(SUM(DATA[[#This Row],[fs_val_ttf]:[fact_pago_ttf]]),0)</f>
        <v>62</v>
      </c>
      <c r="BC384" s="185">
        <v>45736</v>
      </c>
      <c r="BD384" s="185">
        <v>45736</v>
      </c>
      <c r="BE384" s="185">
        <v>45751</v>
      </c>
      <c r="BF384" s="185">
        <v>45751</v>
      </c>
      <c r="BG384" s="20">
        <f>IFERROR(IF(BC384-DATA[[#This Row],[fecha_fs]]&lt;0,0,BC384-DATA[[#This Row],[fecha_fs]]),0)</f>
        <v>0</v>
      </c>
      <c r="BH384" s="20">
        <f t="shared" si="39"/>
        <v>0</v>
      </c>
      <c r="BI384" s="20">
        <f t="shared" si="40"/>
        <v>15</v>
      </c>
      <c r="BJ384" s="20">
        <f t="shared" si="41"/>
        <v>0</v>
      </c>
      <c r="BK384" s="218">
        <f>IFERROR(SUM(DATA[[#This Row],[fs_fd_ttd]:[fend_fenf_ttd]]),0)</f>
        <v>15</v>
      </c>
      <c r="BL384" s="20" t="str">
        <f>IF(DATA[[#This Row],[fecha_fs]]&gt;0,TEXT(DATA[[#This Row],[fecha_fs]],"YYYY"),0)</f>
        <v>2025</v>
      </c>
      <c r="BM384" s="221" t="b">
        <v>1</v>
      </c>
      <c r="BN384" s="278">
        <f>COUNTIF(DATA[[#This Row],[tiempo_td]], "&lt;=15")</f>
        <v>1</v>
      </c>
      <c r="BO384" s="222"/>
    </row>
    <row r="385" spans="1:67" ht="30.6" customHeight="1" x14ac:dyDescent="0.25">
      <c r="A385" s="4">
        <v>20100192064</v>
      </c>
      <c r="B385" s="5" t="s">
        <v>60</v>
      </c>
      <c r="C385" s="52" t="s">
        <v>64</v>
      </c>
      <c r="D385" s="4" t="s">
        <v>112</v>
      </c>
      <c r="E385" s="5" t="s">
        <v>1</v>
      </c>
      <c r="F385" s="24">
        <v>45736</v>
      </c>
      <c r="G385" s="7" t="s">
        <v>113</v>
      </c>
      <c r="H385" s="25">
        <f t="shared" si="44"/>
        <v>1</v>
      </c>
      <c r="I385" s="67">
        <v>4262</v>
      </c>
      <c r="J385" s="8" t="s">
        <v>115</v>
      </c>
      <c r="K385" s="9" t="s">
        <v>136</v>
      </c>
      <c r="L385" s="10" t="s">
        <v>137</v>
      </c>
      <c r="M385" s="11">
        <v>36</v>
      </c>
      <c r="N385" s="12" t="s">
        <v>135</v>
      </c>
      <c r="O385" s="6">
        <v>45742</v>
      </c>
      <c r="P385" s="71">
        <v>3354</v>
      </c>
      <c r="Q385" s="14" t="s">
        <v>123</v>
      </c>
      <c r="R385" s="15">
        <f>DATA[[#This Row],[cantidad_fs]]*33.34</f>
        <v>1200.2400000000002</v>
      </c>
      <c r="S385" s="15"/>
      <c r="T385" s="15">
        <f>DATA[[#This Row],[C. DF]]+DATA[[#This Row],[C.OPE.]]</f>
        <v>1200.2400000000002</v>
      </c>
      <c r="U385" s="15">
        <f>DATA[[#This Row],[SUB TOTAL]]*0.18</f>
        <v>216.04320000000004</v>
      </c>
      <c r="V385" s="15">
        <f>IFERROR(ROUND(DATA[[#This Row],[SUB TOTAL]]+DATA[[#This Row],[IGV]],2),0)</f>
        <v>1416.28</v>
      </c>
      <c r="W385" s="16" t="str">
        <f>IF(DATA[[#This Row],[VALORIZACIÓN ]]="-","NO CORRESPONDE",IF(OR(A385=20558226979,A385=10470707866,A385=20111157058,A385=20100226902),"NO CORRESPONDE",IF(J385="Emitida",IF(P385&gt;0,"EMITIDA","PENDIENTE"),"NO CORRESPONDE")))</f>
        <v>EMITIDA</v>
      </c>
      <c r="X385" s="29" t="s">
        <v>212</v>
      </c>
      <c r="Y385" s="17" t="s">
        <v>118</v>
      </c>
      <c r="Z385" s="30">
        <v>45743</v>
      </c>
      <c r="AA385" s="10" t="s">
        <v>150</v>
      </c>
      <c r="AB385" s="19">
        <v>1</v>
      </c>
      <c r="AC385" s="20">
        <v>30</v>
      </c>
      <c r="AD385" s="18">
        <f>DATA[[#This Row],[FECHA DE EMISION]]+DATA[[#This Row],[CONDICION DE PAGO]]</f>
        <v>45773</v>
      </c>
      <c r="AE385" s="23" t="e">
        <f>IF(DATA[[#This Row],[MONEDA]]="USD",VLOOKUP(DATA[[#This Row],[COMBINADA]],#REF!,11,0),1)</f>
        <v>#REF!</v>
      </c>
      <c r="AF385" s="39" t="str">
        <f>IF(DATA[[#This Row],[SERIE2]]="-","NO CORRESPONDE",IF(W385="NO CORRESPONDE","NO CORRESPONDE",IF(Z385&gt;0,"FACTURADO","PENDIENTE")))</f>
        <v>FACTURADO</v>
      </c>
      <c r="AG385" s="27">
        <f>IFERROR(VLOOKUP(DATA[[#This Row],[COMBINADA]],#REF!,6,0),0)</f>
        <v>0</v>
      </c>
      <c r="AH385" s="125">
        <f>IFERROR(VLOOKUP(DATA[[#This Row],[COMBINADA]],#REF!,9,0),0)/COUNTIFS(DATA[COMBINADA],DATA[[#This Row],[COMBINADA]])</f>
        <v>0</v>
      </c>
      <c r="AI385" s="27">
        <f>IFERROR(VLOOKUP(DATA[[#This Row],[COMBINADA]],#REF!,6,0),0)</f>
        <v>0</v>
      </c>
      <c r="AJ385" s="125">
        <f>IFERROR(VLOOKUP(DATA[[#This Row],[COMBINADA]],#REF!,9,0),0)/COUNTIFS(DATA[COMBINADA],DATA[[#This Row],[COMBINADA]])</f>
        <v>0</v>
      </c>
      <c r="AK385" s="27">
        <f>IFERROR(VLOOKUP(DATA[[#This Row],[COMBINADA]],#REF!,6,0),0)</f>
        <v>0</v>
      </c>
      <c r="AL385" s="125">
        <f>IFERROR(VLOOKUP(DATA[[#This Row],[COMBINADA]],#REF!,9,0),0)/COUNTIFS(DATA[COMBINADA],DATA[[#This Row],[COMBINADA]])</f>
        <v>0</v>
      </c>
      <c r="AM385" s="27">
        <f>IFERROR(VLOOKUP(DATA[[#This Row],[COMBINADA]],#REF!,6,0),0)</f>
        <v>0</v>
      </c>
      <c r="AN385" s="125">
        <f>IFERROR(VLOOKUP(DATA[[#This Row],[COMBINADA]],#REF!,9,0),0)/COUNTIFS(DATA[COMBINADA],DATA[[#This Row],[COMBINADA]])</f>
        <v>0</v>
      </c>
      <c r="AO385" s="27">
        <f>IFERROR(VLOOKUP(DATA[[#This Row],[COMBINADA]],#REF!,6,0),0)</f>
        <v>0</v>
      </c>
      <c r="AP385" s="125">
        <f>IFERROR(VLOOKUP(DATA[[#This Row],[COMBINADA]],#REF!,9,0),0)/COUNTIFS(DATA[COMBINADA],DATA[[#This Row],[COMBINADA]])</f>
        <v>0</v>
      </c>
      <c r="AQ38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604.21249999999986</v>
      </c>
      <c r="AR385" s="26" t="str">
        <f>IFERROR(IF(DATA[[#This Row],[estado_fact]]="FACTURADO",VLOOKUP(DATA[[#This Row],[SERIE2]]&amp;"-"&amp;DATA[[#This Row],[NUMERO]],#REF!,34,0),"NO CORRESPONDE"),"NO CORRESPONDE")</f>
        <v>NO CORRESPONDE</v>
      </c>
      <c r="AS385" s="22" t="str">
        <f>IF(DATA[[#This Row],[fecha_fs]]&gt;0,TEXT(DATA[[#This Row],[fecha_fs]],"Mmmm"),0)</f>
        <v>Marzo</v>
      </c>
      <c r="AT385" s="22" t="str">
        <f>DATA[[#This Row],[SERIE2]]&amp;"-"&amp;DATA[[#This Row],[NUMERO]]</f>
        <v>FF01-1</v>
      </c>
      <c r="AU385" s="28" t="e">
        <f>DATA[[#This Row],[TOTAL]]*DATA[[#This Row],[T.C.]]</f>
        <v>#REF!</v>
      </c>
      <c r="AV385" s="6">
        <f>DATA[[#This Row],[FECHA DE VAL.]]</f>
        <v>45742</v>
      </c>
      <c r="AW385" s="6">
        <f>DATA[[#This Row],[FECHA DE EMISION]]</f>
        <v>45743</v>
      </c>
      <c r="AX385" s="6">
        <f>DATA[[#This Row],[F1]]</f>
        <v>0</v>
      </c>
      <c r="AY385" s="20">
        <f>IF(AV385-DATA[[#This Row],[fecha_fs]]&lt;0,0,AV385-DATA[[#This Row],[fecha_fs]])</f>
        <v>6</v>
      </c>
      <c r="AZ385" s="20">
        <f t="shared" si="45"/>
        <v>1</v>
      </c>
      <c r="BA385" s="20">
        <f t="shared" si="46"/>
        <v>0</v>
      </c>
      <c r="BB385" s="195">
        <f>IFERROR(SUM(DATA[[#This Row],[fs_val_ttf]:[fact_pago_ttf]]),0)</f>
        <v>7</v>
      </c>
      <c r="BC385" s="187">
        <v>45734</v>
      </c>
      <c r="BD385" s="187">
        <v>45762</v>
      </c>
      <c r="BE385" s="187">
        <v>45784</v>
      </c>
      <c r="BF385" s="187">
        <v>45909</v>
      </c>
      <c r="BG385" s="20">
        <f>IFERROR(IF(BC385-DATA[[#This Row],[fecha_fs]]&lt;0,0,BC385-DATA[[#This Row],[fecha_fs]]),0)</f>
        <v>0</v>
      </c>
      <c r="BH385" s="20">
        <f t="shared" si="39"/>
        <v>28</v>
      </c>
      <c r="BI385" s="20">
        <f t="shared" si="40"/>
        <v>22</v>
      </c>
      <c r="BJ385" s="20">
        <f t="shared" si="41"/>
        <v>125</v>
      </c>
      <c r="BK385" s="218">
        <f>IFERROR(SUM(DATA[[#This Row],[fs_fd_ttd]:[fend_fenf_ttd]]),0)</f>
        <v>175</v>
      </c>
      <c r="BL385" s="20" t="str">
        <f>IF(DATA[[#This Row],[fecha_fs]]&gt;0,TEXT(DATA[[#This Row],[fecha_fs]],"YYYY"),0)</f>
        <v>2025</v>
      </c>
      <c r="BM385" s="221" t="b">
        <v>1</v>
      </c>
      <c r="BN385" s="278">
        <f>COUNTIF(DATA[[#This Row],[tiempo_td]], "&lt;=15")</f>
        <v>0</v>
      </c>
      <c r="BO385" s="222"/>
    </row>
    <row r="386" spans="1:67" ht="30.6" customHeight="1" x14ac:dyDescent="0.25">
      <c r="A386" s="4">
        <v>20100192064</v>
      </c>
      <c r="B386" s="5" t="s">
        <v>60</v>
      </c>
      <c r="C386" s="52" t="s">
        <v>65</v>
      </c>
      <c r="D386" s="4" t="s">
        <v>120</v>
      </c>
      <c r="E386" s="5" t="s">
        <v>3</v>
      </c>
      <c r="F386" s="24">
        <v>45736</v>
      </c>
      <c r="G386" s="7" t="s">
        <v>142</v>
      </c>
      <c r="H386" s="25">
        <f t="shared" si="44"/>
        <v>2</v>
      </c>
      <c r="I386" s="67">
        <v>1062</v>
      </c>
      <c r="J386" s="8" t="s">
        <v>115</v>
      </c>
      <c r="K386" s="9" t="s">
        <v>121</v>
      </c>
      <c r="L386" s="10" t="s">
        <v>117</v>
      </c>
      <c r="M386" s="11">
        <v>730</v>
      </c>
      <c r="N386" s="12" t="s">
        <v>143</v>
      </c>
      <c r="O386" s="6">
        <v>45742</v>
      </c>
      <c r="P386" s="71">
        <v>3358</v>
      </c>
      <c r="Q386" s="14" t="s">
        <v>123</v>
      </c>
      <c r="R386" s="15">
        <f>(DATA[[#This Row],[cantidad_fs]]/1000)*(37+81.01)</f>
        <v>86.147300000000001</v>
      </c>
      <c r="S386" s="15">
        <v>103.6</v>
      </c>
      <c r="T386" s="15">
        <f>DATA[[#This Row],[C. DF]]+DATA[[#This Row],[C.OPE.]]</f>
        <v>189.7473</v>
      </c>
      <c r="U386" s="15">
        <f>DATA[[#This Row],[SUB TOTAL]]*0.18</f>
        <v>34.154513999999999</v>
      </c>
      <c r="V386" s="15">
        <f>IFERROR(ROUND(DATA[[#This Row],[SUB TOTAL]]+DATA[[#This Row],[IGV]],2),0)</f>
        <v>223.9</v>
      </c>
      <c r="W386" s="16" t="str">
        <f>IF(DATA[[#This Row],[VALORIZACIÓN ]]="-","NO CORRESPONDE",IF(OR(A386=20558226979,A386=10470707866,A386=20111157058,A386=20100226902),"NO CORRESPONDE",IF(J386="Emitida",IF(P386&gt;0,"EMITIDA","PENDIENTE"),"NO CORRESPONDE")))</f>
        <v>EMITIDA</v>
      </c>
      <c r="X386" s="29" t="s">
        <v>212</v>
      </c>
      <c r="Y386" s="17" t="s">
        <v>118</v>
      </c>
      <c r="Z386" s="30">
        <v>45747</v>
      </c>
      <c r="AA386" s="10" t="s">
        <v>150</v>
      </c>
      <c r="AB386" s="19">
        <v>9</v>
      </c>
      <c r="AC386" s="20">
        <v>30</v>
      </c>
      <c r="AD386" s="18">
        <f>DATA[[#This Row],[FECHA DE EMISION]]+DATA[[#This Row],[CONDICION DE PAGO]]</f>
        <v>45777</v>
      </c>
      <c r="AE386" s="23" t="e">
        <f>IF(DATA[[#This Row],[MONEDA]]="USD",VLOOKUP(DATA[[#This Row],[COMBINADA]],#REF!,11,0),1)</f>
        <v>#REF!</v>
      </c>
      <c r="AF386" s="39" t="str">
        <f>IF(DATA[[#This Row],[SERIE2]]="-","NO CORRESPONDE",IF(W386="NO CORRESPONDE","NO CORRESPONDE",IF(Z386&gt;0,"FACTURADO","PENDIENTE")))</f>
        <v>FACTURADO</v>
      </c>
      <c r="AG386" s="27">
        <f>IFERROR(VLOOKUP(DATA[[#This Row],[COMBINADA]],#REF!,6,0),0)</f>
        <v>0</v>
      </c>
      <c r="AH386" s="125">
        <f>IFERROR(VLOOKUP(DATA[[#This Row],[COMBINADA]],#REF!,9,0),0)/COUNTIFS(DATA[COMBINADA],DATA[[#This Row],[COMBINADA]])</f>
        <v>0</v>
      </c>
      <c r="AI386" s="27">
        <f>IFERROR(VLOOKUP(DATA[[#This Row],[COMBINADA]],#REF!,6,0),0)</f>
        <v>0</v>
      </c>
      <c r="AJ386" s="125">
        <f>IFERROR(VLOOKUP(DATA[[#This Row],[COMBINADA]],#REF!,9,0),0)/COUNTIFS(DATA[COMBINADA],DATA[[#This Row],[COMBINADA]])</f>
        <v>0</v>
      </c>
      <c r="AK386" s="27">
        <f>IFERROR(VLOOKUP(DATA[[#This Row],[COMBINADA]],#REF!,6,0),0)</f>
        <v>0</v>
      </c>
      <c r="AL386" s="125">
        <f>IFERROR(VLOOKUP(DATA[[#This Row],[COMBINADA]],#REF!,9,0),0)/COUNTIFS(DATA[COMBINADA],DATA[[#This Row],[COMBINADA]])</f>
        <v>0</v>
      </c>
      <c r="AM386" s="27">
        <f>IFERROR(VLOOKUP(DATA[[#This Row],[COMBINADA]],#REF!,6,0),0)</f>
        <v>0</v>
      </c>
      <c r="AN386" s="125">
        <f>IFERROR(VLOOKUP(DATA[[#This Row],[COMBINADA]],#REF!,9,0),0)/COUNTIFS(DATA[COMBINADA],DATA[[#This Row],[COMBINADA]])</f>
        <v>0</v>
      </c>
      <c r="AO386" s="27">
        <f>IFERROR(VLOOKUP(DATA[[#This Row],[COMBINADA]],#REF!,6,0),0)</f>
        <v>0</v>
      </c>
      <c r="AP386" s="125">
        <f>IFERROR(VLOOKUP(DATA[[#This Row],[COMBINADA]],#REF!,9,0),0)/COUNTIFS(DATA[COMBINADA],DATA[[#This Row],[COMBINADA]])</f>
        <v>0</v>
      </c>
      <c r="AQ38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507.60428571428571</v>
      </c>
      <c r="AR386" s="26" t="str">
        <f>IFERROR(IF(DATA[[#This Row],[estado_fact]]="FACTURADO",VLOOKUP(DATA[[#This Row],[SERIE2]]&amp;"-"&amp;DATA[[#This Row],[NUMERO]],#REF!,34,0),"NO CORRESPONDE"),"NO CORRESPONDE")</f>
        <v>NO CORRESPONDE</v>
      </c>
      <c r="AS386" s="22" t="str">
        <f>IF(DATA[[#This Row],[fecha_fs]]&gt;0,TEXT(DATA[[#This Row],[fecha_fs]],"Mmmm"),0)</f>
        <v>Marzo</v>
      </c>
      <c r="AT386" s="22" t="str">
        <f>DATA[[#This Row],[SERIE2]]&amp;"-"&amp;DATA[[#This Row],[NUMERO]]</f>
        <v>FF01-9</v>
      </c>
      <c r="AU386" s="28" t="e">
        <f>DATA[[#This Row],[TOTAL]]*DATA[[#This Row],[T.C.]]</f>
        <v>#REF!</v>
      </c>
      <c r="AV386" s="6">
        <f>DATA[[#This Row],[FECHA DE VAL.]]</f>
        <v>45742</v>
      </c>
      <c r="AW386" s="6">
        <f>DATA[[#This Row],[FECHA DE EMISION]]</f>
        <v>45747</v>
      </c>
      <c r="AX386" s="6">
        <f>DATA[[#This Row],[F1]]</f>
        <v>0</v>
      </c>
      <c r="AY386" s="20">
        <f>IF(AV386-DATA[[#This Row],[fecha_fs]]&lt;0,0,AV386-DATA[[#This Row],[fecha_fs]])</f>
        <v>6</v>
      </c>
      <c r="AZ386" s="20">
        <f t="shared" si="45"/>
        <v>5</v>
      </c>
      <c r="BA386" s="20">
        <f t="shared" si="46"/>
        <v>0</v>
      </c>
      <c r="BB386" s="195">
        <f>IFERROR(SUM(DATA[[#This Row],[fs_val_ttf]:[fact_pago_ttf]]),0)</f>
        <v>11</v>
      </c>
      <c r="BC386" s="185">
        <v>45736</v>
      </c>
      <c r="BD386" s="185">
        <v>45779</v>
      </c>
      <c r="BE386" s="185">
        <v>45784</v>
      </c>
      <c r="BF386" s="185">
        <v>45798</v>
      </c>
      <c r="BG386" s="20">
        <f>IFERROR(IF(BC386-DATA[[#This Row],[fecha_fs]]&lt;0,0,BC386-DATA[[#This Row],[fecha_fs]]),0)</f>
        <v>0</v>
      </c>
      <c r="BH386" s="20">
        <f t="shared" si="39"/>
        <v>43</v>
      </c>
      <c r="BI386" s="20">
        <f t="shared" si="40"/>
        <v>5</v>
      </c>
      <c r="BJ386" s="20">
        <f t="shared" si="41"/>
        <v>14</v>
      </c>
      <c r="BK386" s="218">
        <f>IFERROR(SUM(DATA[[#This Row],[fs_fd_ttd]:[fend_fenf_ttd]]),0)</f>
        <v>62</v>
      </c>
      <c r="BL386" s="20" t="str">
        <f>IF(DATA[[#This Row],[fecha_fs]]&gt;0,TEXT(DATA[[#This Row],[fecha_fs]],"YYYY"),0)</f>
        <v>2025</v>
      </c>
      <c r="BM386" s="221" t="b">
        <v>1</v>
      </c>
      <c r="BN386" s="278">
        <f>COUNTIF(DATA[[#This Row],[tiempo_td]], "&lt;=15")</f>
        <v>0</v>
      </c>
      <c r="BO386" s="222"/>
    </row>
    <row r="387" spans="1:67" ht="30.6" customHeight="1" x14ac:dyDescent="0.25">
      <c r="A387" s="4">
        <v>20141637941</v>
      </c>
      <c r="B387" s="5" t="s">
        <v>79</v>
      </c>
      <c r="C387" s="52" t="s">
        <v>18</v>
      </c>
      <c r="D387" s="4" t="s">
        <v>120</v>
      </c>
      <c r="E387" s="5" t="s">
        <v>3</v>
      </c>
      <c r="F387" s="24">
        <v>45737</v>
      </c>
      <c r="G387" s="7" t="s">
        <v>113</v>
      </c>
      <c r="H387" s="25">
        <f t="shared" si="44"/>
        <v>1</v>
      </c>
      <c r="I387" s="67">
        <v>4263</v>
      </c>
      <c r="J387" s="8" t="s">
        <v>115</v>
      </c>
      <c r="K387" s="9" t="s">
        <v>121</v>
      </c>
      <c r="L387" s="10" t="s">
        <v>117</v>
      </c>
      <c r="M387" s="11">
        <v>1170</v>
      </c>
      <c r="N387" s="12" t="s">
        <v>125</v>
      </c>
      <c r="O387" s="6">
        <v>45740</v>
      </c>
      <c r="P387" s="110">
        <v>3343</v>
      </c>
      <c r="Q387" s="14" t="s">
        <v>85</v>
      </c>
      <c r="R387" s="15">
        <f>70+(DATA[[#This Row],[cantidad_fs]]-1000)*0.1</f>
        <v>87</v>
      </c>
      <c r="S387" s="15">
        <v>517</v>
      </c>
      <c r="T387" s="15">
        <f>DATA[[#This Row],[C. DF]]+DATA[[#This Row],[C.OPE.]]</f>
        <v>604</v>
      </c>
      <c r="U387" s="15">
        <f>DATA[[#This Row],[SUB TOTAL]]*0.18</f>
        <v>108.72</v>
      </c>
      <c r="V387" s="15">
        <f>IFERROR(ROUND(DATA[[#This Row],[SUB TOTAL]]+DATA[[#This Row],[IGV]],2),0)</f>
        <v>712.72</v>
      </c>
      <c r="W387" s="16" t="str">
        <f>IF(DATA[[#This Row],[VALORIZACIÓN ]]="-","NO CORRESPONDE",IF(OR(A387=20558226979,A387=10470707866,A387=20111157058,A387=20100226902),"NO CORRESPONDE",IF(J387="Emitida",IF(P387&gt;0,"EMITIDA","PENDIENTE"),"NO CORRESPONDE")))</f>
        <v>EMITIDA</v>
      </c>
      <c r="X387" s="29"/>
      <c r="Y387" s="17" t="s">
        <v>118</v>
      </c>
      <c r="Z387" s="30">
        <v>45741</v>
      </c>
      <c r="AA387" s="10" t="s">
        <v>119</v>
      </c>
      <c r="AB387" s="19">
        <v>53</v>
      </c>
      <c r="AC387" s="20">
        <v>30</v>
      </c>
      <c r="AD387" s="18">
        <f>DATA[[#This Row],[FECHA DE EMISION]]+DATA[[#This Row],[CONDICION DE PAGO]]</f>
        <v>45771</v>
      </c>
      <c r="AE387" s="23">
        <f>IF(DATA[[#This Row],[MONEDA]]="USD",VLOOKUP(DATA[[#This Row],[COMBINADA]],#REF!,11,0),1)</f>
        <v>1</v>
      </c>
      <c r="AF387" s="39" t="str">
        <f>IF(DATA[[#This Row],[SERIE2]]="-","NO CORRESPONDE",IF(W387="NO CORRESPONDE","NO CORRESPONDE",IF(Z387&gt;0,"FACTURADO","PENDIENTE")))</f>
        <v>FACTURADO</v>
      </c>
      <c r="AG387" s="27">
        <f>IFERROR(VLOOKUP(DATA[[#This Row],[COMBINADA]],#REF!,6,0),0)</f>
        <v>0</v>
      </c>
      <c r="AH387" s="125">
        <f>IFERROR(VLOOKUP(DATA[[#This Row],[COMBINADA]],#REF!,9,0),0)/COUNTIFS(DATA[COMBINADA],DATA[[#This Row],[COMBINADA]])</f>
        <v>0</v>
      </c>
      <c r="AI387" s="27">
        <f>IFERROR(VLOOKUP(DATA[[#This Row],[COMBINADA]],#REF!,6,0),0)</f>
        <v>0</v>
      </c>
      <c r="AJ387" s="125">
        <f>IFERROR(VLOOKUP(DATA[[#This Row],[COMBINADA]],#REF!,9,0),0)/COUNTIFS(DATA[COMBINADA],DATA[[#This Row],[COMBINADA]])</f>
        <v>0</v>
      </c>
      <c r="AK387" s="27">
        <f>IFERROR(VLOOKUP(DATA[[#This Row],[COMBINADA]],#REF!,6,0),0)</f>
        <v>0</v>
      </c>
      <c r="AL387" s="125">
        <f>IFERROR(VLOOKUP(DATA[[#This Row],[COMBINADA]],#REF!,9,0),0)/COUNTIFS(DATA[COMBINADA],DATA[[#This Row],[COMBINADA]])</f>
        <v>0</v>
      </c>
      <c r="AM387" s="27">
        <f>IFERROR(VLOOKUP(DATA[[#This Row],[COMBINADA]],#REF!,6,0),0)</f>
        <v>0</v>
      </c>
      <c r="AN387" s="125">
        <f>IFERROR(VLOOKUP(DATA[[#This Row],[COMBINADA]],#REF!,9,0),0)/COUNTIFS(DATA[COMBINADA],DATA[[#This Row],[COMBINADA]])</f>
        <v>0</v>
      </c>
      <c r="AO387" s="27">
        <f>IFERROR(VLOOKUP(DATA[[#This Row],[COMBINADA]],#REF!,6,0),0)</f>
        <v>0</v>
      </c>
      <c r="AP387" s="125">
        <f>IFERROR(VLOOKUP(DATA[[#This Row],[COMBINADA]],#REF!,9,0),0)/COUNTIFS(DATA[COMBINADA],DATA[[#This Row],[COMBINADA]])</f>
        <v>0</v>
      </c>
      <c r="AQ38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703.28000000000009</v>
      </c>
      <c r="AR387" s="26" t="str">
        <f>IFERROR(IF(DATA[[#This Row],[estado_fact]]="FACTURADO",VLOOKUP(DATA[[#This Row],[SERIE2]]&amp;"-"&amp;DATA[[#This Row],[NUMERO]],#REF!,34,0),"NO CORRESPONDE"),"NO CORRESPONDE")</f>
        <v>NO CORRESPONDE</v>
      </c>
      <c r="AS387" s="22" t="str">
        <f>IF(DATA[[#This Row],[fecha_fs]]&gt;0,TEXT(DATA[[#This Row],[fecha_fs]],"Mmmm"),0)</f>
        <v>Marzo</v>
      </c>
      <c r="AT387" s="22" t="str">
        <f>DATA[[#This Row],[SERIE2]]&amp;"-"&amp;DATA[[#This Row],[NUMERO]]</f>
        <v>E001-53</v>
      </c>
      <c r="AU387" s="28">
        <f>DATA[[#This Row],[TOTAL]]*DATA[[#This Row],[T.C.]]</f>
        <v>712.72</v>
      </c>
      <c r="AV387" s="6">
        <f>DATA[[#This Row],[FECHA DE VAL.]]</f>
        <v>45740</v>
      </c>
      <c r="AW387" s="6">
        <f>DATA[[#This Row],[FECHA DE EMISION]]</f>
        <v>45741</v>
      </c>
      <c r="AX387" s="6">
        <f>DATA[[#This Row],[F1]]</f>
        <v>0</v>
      </c>
      <c r="AY387" s="20">
        <f>IF(AV387-DATA[[#This Row],[fecha_fs]]&lt;0,0,AV387-DATA[[#This Row],[fecha_fs]])</f>
        <v>3</v>
      </c>
      <c r="AZ387" s="20">
        <f t="shared" si="45"/>
        <v>1</v>
      </c>
      <c r="BA387" s="20">
        <f t="shared" si="46"/>
        <v>0</v>
      </c>
      <c r="BB387" s="195">
        <f>IFERROR(SUM(DATA[[#This Row],[fs_val_ttf]:[fact_pago_ttf]]),0)</f>
        <v>4</v>
      </c>
      <c r="BC387" s="184">
        <v>45737</v>
      </c>
      <c r="BD387" s="184">
        <v>45737</v>
      </c>
      <c r="BE387" s="184">
        <v>45741</v>
      </c>
      <c r="BF387" s="184">
        <v>45741</v>
      </c>
      <c r="BG387" s="20">
        <f>IFERROR(IF(BC387-DATA[[#This Row],[fecha_fs]]&lt;0,0,BC387-DATA[[#This Row],[fecha_fs]]),0)</f>
        <v>0</v>
      </c>
      <c r="BH387" s="20">
        <f t="shared" si="39"/>
        <v>0</v>
      </c>
      <c r="BI387" s="20">
        <f t="shared" si="40"/>
        <v>4</v>
      </c>
      <c r="BJ387" s="20">
        <f t="shared" si="41"/>
        <v>0</v>
      </c>
      <c r="BK387" s="218">
        <f>IFERROR(SUM(DATA[[#This Row],[fs_fd_ttd]:[fend_fenf_ttd]]),0)</f>
        <v>4</v>
      </c>
      <c r="BL387" s="20" t="str">
        <f>IF(DATA[[#This Row],[fecha_fs]]&gt;0,TEXT(DATA[[#This Row],[fecha_fs]],"YYYY"),0)</f>
        <v>2025</v>
      </c>
      <c r="BM387" s="221" t="b">
        <v>1</v>
      </c>
      <c r="BN387" s="278">
        <f>COUNTIF(DATA[[#This Row],[tiempo_td]], "&lt;=15")</f>
        <v>1</v>
      </c>
      <c r="BO387" s="222"/>
    </row>
    <row r="388" spans="1:67" ht="30.6" customHeight="1" x14ac:dyDescent="0.25">
      <c r="A388" s="4">
        <v>20602438181</v>
      </c>
      <c r="B388" s="5" t="s">
        <v>273</v>
      </c>
      <c r="C388" s="52" t="s">
        <v>218</v>
      </c>
      <c r="D388" s="4" t="s">
        <v>112</v>
      </c>
      <c r="E388" s="5" t="s">
        <v>1</v>
      </c>
      <c r="F388" s="24">
        <v>45736</v>
      </c>
      <c r="G388" s="7" t="s">
        <v>113</v>
      </c>
      <c r="H388" s="25">
        <f t="shared" si="44"/>
        <v>1</v>
      </c>
      <c r="I388" s="67">
        <v>4264</v>
      </c>
      <c r="J388" s="8" t="s">
        <v>115</v>
      </c>
      <c r="K388" s="9" t="s">
        <v>116</v>
      </c>
      <c r="L388" s="10" t="s">
        <v>117</v>
      </c>
      <c r="M388" s="11">
        <v>5050</v>
      </c>
      <c r="N388" s="12" t="s">
        <v>129</v>
      </c>
      <c r="O388" s="6">
        <v>45747</v>
      </c>
      <c r="P388" s="13">
        <v>3373</v>
      </c>
      <c r="Q388" s="14" t="s">
        <v>85</v>
      </c>
      <c r="R388" s="15">
        <f>(DATA[[#This Row],[cantidad_fs]]-3570)*0.45</f>
        <v>666</v>
      </c>
      <c r="S388" s="15">
        <f>4990/2</f>
        <v>2495</v>
      </c>
      <c r="T388" s="15">
        <f>DATA[[#This Row],[C. DF]]+DATA[[#This Row],[C.OPE.]]</f>
        <v>3161</v>
      </c>
      <c r="U388" s="15">
        <f>DATA[[#This Row],[SUB TOTAL]]*0.18</f>
        <v>568.98</v>
      </c>
      <c r="V388" s="15">
        <f>IFERROR(ROUND(DATA[[#This Row],[SUB TOTAL]]+DATA[[#This Row],[IGV]],2),0)</f>
        <v>3729.98</v>
      </c>
      <c r="W388" s="16" t="str">
        <f>IF(DATA[[#This Row],[VALORIZACIÓN ]]="-","NO CORRESPONDE",IF(OR(A388=20558226979,A388=10470707866,A388=20111157058,A388=20100226902),"NO CORRESPONDE",IF(J388="Emitida",IF(P388&gt;0,"EMITIDA","PENDIENTE"),"NO CORRESPONDE")))</f>
        <v>EMITIDA</v>
      </c>
      <c r="X388" s="29" t="s">
        <v>219</v>
      </c>
      <c r="Y388" s="17" t="s">
        <v>118</v>
      </c>
      <c r="Z388" s="30">
        <v>45749</v>
      </c>
      <c r="AA388" s="10" t="s">
        <v>150</v>
      </c>
      <c r="AB388" s="19">
        <v>13</v>
      </c>
      <c r="AC388" s="20">
        <v>15</v>
      </c>
      <c r="AD388" s="18">
        <f>DATA[[#This Row],[FECHA DE EMISION]]+DATA[[#This Row],[CONDICION DE PAGO]]</f>
        <v>45764</v>
      </c>
      <c r="AE388" s="23">
        <f>IF(DATA[[#This Row],[MONEDA]]="USD",VLOOKUP(DATA[[#This Row],[COMBINADA]],#REF!,11,0),1)</f>
        <v>1</v>
      </c>
      <c r="AF388" s="39" t="str">
        <f>IF(DATA[[#This Row],[SERIE2]]="-","NO CORRESPONDE",IF(W388="NO CORRESPONDE","NO CORRESPONDE",IF(Z388&gt;0,"FACTURADO","PENDIENTE")))</f>
        <v>FACTURADO</v>
      </c>
      <c r="AG388" s="27">
        <f>IFERROR(VLOOKUP(DATA[[#This Row],[COMBINADA]],#REF!,6,0),0)</f>
        <v>0</v>
      </c>
      <c r="AH388" s="125">
        <f>IFERROR(VLOOKUP(DATA[[#This Row],[COMBINADA]],#REF!,9,0),0)/COUNTIFS(DATA[COMBINADA],DATA[[#This Row],[COMBINADA]])</f>
        <v>0</v>
      </c>
      <c r="AI388" s="27">
        <f>IFERROR(VLOOKUP(DATA[[#This Row],[COMBINADA]],#REF!,6,0),0)</f>
        <v>0</v>
      </c>
      <c r="AJ388" s="125">
        <f>IFERROR(VLOOKUP(DATA[[#This Row],[COMBINADA]],#REF!,9,0),0)/COUNTIFS(DATA[COMBINADA],DATA[[#This Row],[COMBINADA]])</f>
        <v>0</v>
      </c>
      <c r="AK388" s="27">
        <f>IFERROR(VLOOKUP(DATA[[#This Row],[COMBINADA]],#REF!,6,0),0)</f>
        <v>0</v>
      </c>
      <c r="AL388" s="125">
        <f>IFERROR(VLOOKUP(DATA[[#This Row],[COMBINADA]],#REF!,9,0),0)/COUNTIFS(DATA[COMBINADA],DATA[[#This Row],[COMBINADA]])</f>
        <v>0</v>
      </c>
      <c r="AM388" s="27">
        <f>IFERROR(VLOOKUP(DATA[[#This Row],[COMBINADA]],#REF!,6,0),0)</f>
        <v>0</v>
      </c>
      <c r="AN388" s="125">
        <f>IFERROR(VLOOKUP(DATA[[#This Row],[COMBINADA]],#REF!,9,0),0)/COUNTIFS(DATA[COMBINADA],DATA[[#This Row],[COMBINADA]])</f>
        <v>0</v>
      </c>
      <c r="AO388" s="27">
        <f>IFERROR(VLOOKUP(DATA[[#This Row],[COMBINADA]],#REF!,6,0),0)</f>
        <v>0</v>
      </c>
      <c r="AP388" s="125">
        <f>IFERROR(VLOOKUP(DATA[[#This Row],[COMBINADA]],#REF!,9,0),0)/COUNTIFS(DATA[COMBINADA],DATA[[#This Row],[COMBINADA]])</f>
        <v>0</v>
      </c>
      <c r="AQ38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3744.1400000000003</v>
      </c>
      <c r="AR388" s="26" t="str">
        <f>IFERROR(IF(DATA[[#This Row],[estado_fact]]="FACTURADO",VLOOKUP(DATA[[#This Row],[SERIE2]]&amp;"-"&amp;DATA[[#This Row],[NUMERO]],#REF!,34,0),"NO CORRESPONDE"),"NO CORRESPONDE")</f>
        <v>NO CORRESPONDE</v>
      </c>
      <c r="AS388" s="22" t="str">
        <f>IF(DATA[[#This Row],[fecha_fs]]&gt;0,TEXT(DATA[[#This Row],[fecha_fs]],"Mmmm"),0)</f>
        <v>Marzo</v>
      </c>
      <c r="AT388" s="22" t="str">
        <f>DATA[[#This Row],[SERIE2]]&amp;"-"&amp;DATA[[#This Row],[NUMERO]]</f>
        <v>FF01-13</v>
      </c>
      <c r="AU388" s="28">
        <f>DATA[[#This Row],[TOTAL]]*DATA[[#This Row],[T.C.]]</f>
        <v>3729.98</v>
      </c>
      <c r="AV388" s="6">
        <f>DATA[[#This Row],[FECHA DE VAL.]]</f>
        <v>45747</v>
      </c>
      <c r="AW388" s="6">
        <f>DATA[[#This Row],[FECHA DE EMISION]]</f>
        <v>45749</v>
      </c>
      <c r="AX388" s="6">
        <f>DATA[[#This Row],[F1]]</f>
        <v>0</v>
      </c>
      <c r="AY388" s="20">
        <f>IF(AV388-DATA[[#This Row],[fecha_fs]]&lt;0,0,AV388-DATA[[#This Row],[fecha_fs]])</f>
        <v>11</v>
      </c>
      <c r="AZ388" s="20">
        <f t="shared" si="45"/>
        <v>2</v>
      </c>
      <c r="BA388" s="20">
        <f t="shared" si="46"/>
        <v>0</v>
      </c>
      <c r="BB388" s="195">
        <f>IFERROR(SUM(DATA[[#This Row],[fs_val_ttf]:[fact_pago_ttf]]),0)</f>
        <v>13</v>
      </c>
      <c r="BC388" s="185">
        <v>45749</v>
      </c>
      <c r="BD388" s="185">
        <v>45751</v>
      </c>
      <c r="BE388" s="185">
        <v>45761</v>
      </c>
      <c r="BF388" s="185" t="s">
        <v>270</v>
      </c>
      <c r="BG388" s="20">
        <f>IFERROR(IF(BC388-DATA[[#This Row],[fecha_fs]]&lt;0,0,BC388-DATA[[#This Row],[fecha_fs]]),0)</f>
        <v>13</v>
      </c>
      <c r="BH388" s="20">
        <f t="shared" si="39"/>
        <v>2</v>
      </c>
      <c r="BI388" s="20">
        <f t="shared" si="40"/>
        <v>10</v>
      </c>
      <c r="BJ388" s="20">
        <f t="shared" si="41"/>
        <v>0</v>
      </c>
      <c r="BK388" s="218">
        <f>IFERROR(SUM(DATA[[#This Row],[fs_fd_ttd]:[fend_fenf_ttd]]),0)</f>
        <v>25</v>
      </c>
      <c r="BL388" s="20" t="str">
        <f>IF(DATA[[#This Row],[fecha_fs]]&gt;0,TEXT(DATA[[#This Row],[fecha_fs]],"YYYY"),0)</f>
        <v>2025</v>
      </c>
      <c r="BM388" s="221" t="b">
        <v>0</v>
      </c>
      <c r="BN388" s="278">
        <f>COUNTIF(DATA[[#This Row],[tiempo_td]], "&lt;=15")</f>
        <v>0</v>
      </c>
      <c r="BO388" s="222"/>
    </row>
    <row r="389" spans="1:67" ht="30.6" customHeight="1" x14ac:dyDescent="0.25">
      <c r="A389" s="4">
        <v>20100211115</v>
      </c>
      <c r="B389" s="5" t="s">
        <v>41</v>
      </c>
      <c r="C389" s="52" t="s">
        <v>18</v>
      </c>
      <c r="D389" s="4" t="s">
        <v>120</v>
      </c>
      <c r="E389" s="5" t="s">
        <v>3</v>
      </c>
      <c r="F389" s="24">
        <v>45737</v>
      </c>
      <c r="G389" s="7" t="s">
        <v>113</v>
      </c>
      <c r="H389" s="25">
        <f t="shared" si="44"/>
        <v>1</v>
      </c>
      <c r="I389" s="67">
        <v>4265</v>
      </c>
      <c r="J389" s="8" t="s">
        <v>115</v>
      </c>
      <c r="K389" s="9" t="s">
        <v>121</v>
      </c>
      <c r="L389" s="10" t="s">
        <v>117</v>
      </c>
      <c r="M389" s="11">
        <v>90</v>
      </c>
      <c r="N389" s="12" t="s">
        <v>132</v>
      </c>
      <c r="O389" s="6">
        <v>45743</v>
      </c>
      <c r="P389" s="115">
        <v>3362</v>
      </c>
      <c r="Q389" s="14" t="s">
        <v>85</v>
      </c>
      <c r="R389" s="15"/>
      <c r="S389" s="15">
        <f>(DATA[[#This Row],[cantidad_fs]]*4.37)</f>
        <v>393.3</v>
      </c>
      <c r="T389" s="15">
        <f>DATA[[#This Row],[C. DF]]+DATA[[#This Row],[C.OPE.]]</f>
        <v>393.3</v>
      </c>
      <c r="U389" s="15">
        <f>DATA[[#This Row],[SUB TOTAL]]*0.18</f>
        <v>70.793999999999997</v>
      </c>
      <c r="V389" s="15">
        <f>IFERROR(ROUND(DATA[[#This Row],[SUB TOTAL]]+DATA[[#This Row],[IGV]],2),0)</f>
        <v>464.09</v>
      </c>
      <c r="W389" s="16" t="str">
        <f>IF(DATA[[#This Row],[VALORIZACIÓN ]]="-","NO CORRESPONDE",IF(OR(A389=20558226979,A389=10470707866,A389=20111157058,A389=20100226902),"NO CORRESPONDE",IF(J389="Emitida",IF(P389&gt;0,"EMITIDA","PENDIENTE"),"NO CORRESPONDE")))</f>
        <v>EMITIDA</v>
      </c>
      <c r="X389" s="29"/>
      <c r="Y389" s="17" t="s">
        <v>118</v>
      </c>
      <c r="Z389" s="30">
        <v>45744</v>
      </c>
      <c r="AA389" s="10" t="s">
        <v>150</v>
      </c>
      <c r="AB389" s="19">
        <v>2</v>
      </c>
      <c r="AC389" s="20">
        <v>30</v>
      </c>
      <c r="AD389" s="18">
        <f>DATA[[#This Row],[FECHA DE EMISION]]+DATA[[#This Row],[CONDICION DE PAGO]]</f>
        <v>45774</v>
      </c>
      <c r="AE389" s="23">
        <f>IF(DATA[[#This Row],[MONEDA]]="USD",VLOOKUP(DATA[[#This Row],[COMBINADA]],#REF!,11,0),1)</f>
        <v>1</v>
      </c>
      <c r="AF389" s="39" t="str">
        <f>IF(DATA[[#This Row],[SERIE2]]="-","NO CORRESPONDE",IF(W389="NO CORRESPONDE","NO CORRESPONDE",IF(Z389&gt;0,"FACTURADO","PENDIENTE")))</f>
        <v>FACTURADO</v>
      </c>
      <c r="AG389" s="27">
        <f>IFERROR(VLOOKUP(DATA[[#This Row],[COMBINADA]],#REF!,6,0),0)</f>
        <v>0</v>
      </c>
      <c r="AH389" s="125">
        <f>IFERROR(VLOOKUP(DATA[[#This Row],[COMBINADA]],#REF!,9,0),0)/COUNTIFS(DATA[COMBINADA],DATA[[#This Row],[COMBINADA]])</f>
        <v>0</v>
      </c>
      <c r="AI389" s="27">
        <f>IFERROR(VLOOKUP(DATA[[#This Row],[COMBINADA]],#REF!,6,0),0)</f>
        <v>0</v>
      </c>
      <c r="AJ389" s="125">
        <f>IFERROR(VLOOKUP(DATA[[#This Row],[COMBINADA]],#REF!,9,0),0)/COUNTIFS(DATA[COMBINADA],DATA[[#This Row],[COMBINADA]])</f>
        <v>0</v>
      </c>
      <c r="AK389" s="27">
        <f>IFERROR(VLOOKUP(DATA[[#This Row],[COMBINADA]],#REF!,6,0),0)</f>
        <v>0</v>
      </c>
      <c r="AL389" s="125">
        <f>IFERROR(VLOOKUP(DATA[[#This Row],[COMBINADA]],#REF!,9,0),0)/COUNTIFS(DATA[COMBINADA],DATA[[#This Row],[COMBINADA]])</f>
        <v>0</v>
      </c>
      <c r="AM389" s="27">
        <f>IFERROR(VLOOKUP(DATA[[#This Row],[COMBINADA]],#REF!,6,0),0)</f>
        <v>0</v>
      </c>
      <c r="AN389" s="125">
        <f>IFERROR(VLOOKUP(DATA[[#This Row],[COMBINADA]],#REF!,9,0),0)/COUNTIFS(DATA[COMBINADA],DATA[[#This Row],[COMBINADA]])</f>
        <v>0</v>
      </c>
      <c r="AO389" s="27">
        <f>IFERROR(VLOOKUP(DATA[[#This Row],[COMBINADA]],#REF!,6,0),0)</f>
        <v>0</v>
      </c>
      <c r="AP389" s="125">
        <f>IFERROR(VLOOKUP(DATA[[#This Row],[COMBINADA]],#REF!,9,0),0)/COUNTIFS(DATA[COMBINADA],DATA[[#This Row],[COMBINADA]])</f>
        <v>0</v>
      </c>
      <c r="AQ38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389" s="26" t="str">
        <f>IFERROR(IF(DATA[[#This Row],[estado_fact]]="FACTURADO",VLOOKUP(DATA[[#This Row],[SERIE2]]&amp;"-"&amp;DATA[[#This Row],[NUMERO]],#REF!,34,0),"NO CORRESPONDE"),"NO CORRESPONDE")</f>
        <v>NO CORRESPONDE</v>
      </c>
      <c r="AS389" s="22" t="str">
        <f>IF(DATA[[#This Row],[fecha_fs]]&gt;0,TEXT(DATA[[#This Row],[fecha_fs]],"Mmmm"),0)</f>
        <v>Marzo</v>
      </c>
      <c r="AT389" s="22" t="str">
        <f>DATA[[#This Row],[SERIE2]]&amp;"-"&amp;DATA[[#This Row],[NUMERO]]</f>
        <v>FF01-2</v>
      </c>
      <c r="AU389" s="28">
        <f>DATA[[#This Row],[TOTAL]]*DATA[[#This Row],[T.C.]]</f>
        <v>464.09</v>
      </c>
      <c r="AV389" s="6">
        <f>DATA[[#This Row],[FECHA DE VAL.]]</f>
        <v>45743</v>
      </c>
      <c r="AW389" s="6">
        <f>DATA[[#This Row],[FECHA DE EMISION]]</f>
        <v>45744</v>
      </c>
      <c r="AX389" s="6">
        <f>DATA[[#This Row],[F1]]</f>
        <v>0</v>
      </c>
      <c r="AY389" s="20">
        <f>IF(AV389-DATA[[#This Row],[fecha_fs]]&lt;0,0,AV389-DATA[[#This Row],[fecha_fs]])</f>
        <v>6</v>
      </c>
      <c r="AZ389" s="20">
        <f t="shared" si="45"/>
        <v>1</v>
      </c>
      <c r="BA389" s="20">
        <f t="shared" si="46"/>
        <v>0</v>
      </c>
      <c r="BB389" s="195">
        <f>IFERROR(SUM(DATA[[#This Row],[fs_val_ttf]:[fact_pago_ttf]]),0)</f>
        <v>7</v>
      </c>
      <c r="BC389" s="185">
        <v>45742</v>
      </c>
      <c r="BD389" s="185">
        <v>45751</v>
      </c>
      <c r="BE389" s="185">
        <v>45757</v>
      </c>
      <c r="BF389" s="185">
        <v>45758</v>
      </c>
      <c r="BG389" s="20">
        <f>IFERROR(IF(BC389-DATA[[#This Row],[fecha_fs]]&lt;0,0,BC389-DATA[[#This Row],[fecha_fs]]),0)</f>
        <v>5</v>
      </c>
      <c r="BH389" s="20">
        <f t="shared" si="39"/>
        <v>9</v>
      </c>
      <c r="BI389" s="20">
        <f t="shared" si="40"/>
        <v>6</v>
      </c>
      <c r="BJ389" s="20">
        <f t="shared" si="41"/>
        <v>1</v>
      </c>
      <c r="BK389" s="218">
        <f>IFERROR(SUM(DATA[[#This Row],[fs_fd_ttd]:[fend_fenf_ttd]]),0)</f>
        <v>21</v>
      </c>
      <c r="BL389" s="20" t="str">
        <f>IF(DATA[[#This Row],[fecha_fs]]&gt;0,TEXT(DATA[[#This Row],[fecha_fs]],"YYYY"),0)</f>
        <v>2025</v>
      </c>
      <c r="BM389" s="221" t="b">
        <v>1</v>
      </c>
      <c r="BN389" s="278">
        <f>COUNTIF(DATA[[#This Row],[tiempo_td]], "&lt;=15")</f>
        <v>0</v>
      </c>
      <c r="BO389" s="222"/>
    </row>
    <row r="390" spans="1:67" ht="30.6" customHeight="1" x14ac:dyDescent="0.25">
      <c r="A390" s="4">
        <v>20602438181</v>
      </c>
      <c r="B390" s="5" t="s">
        <v>273</v>
      </c>
      <c r="C390" s="52" t="s">
        <v>18</v>
      </c>
      <c r="D390" s="4" t="s">
        <v>133</v>
      </c>
      <c r="E390" s="5" t="s">
        <v>291</v>
      </c>
      <c r="F390" s="24">
        <v>45736</v>
      </c>
      <c r="G390" s="7" t="s">
        <v>113</v>
      </c>
      <c r="H390" s="25">
        <f t="shared" si="44"/>
        <v>1</v>
      </c>
      <c r="I390" s="67">
        <v>4266</v>
      </c>
      <c r="J390" s="8" t="s">
        <v>115</v>
      </c>
      <c r="K390" s="9" t="s">
        <v>134</v>
      </c>
      <c r="L390" s="10" t="s">
        <v>117</v>
      </c>
      <c r="M390" s="11">
        <v>1</v>
      </c>
      <c r="N390" s="12" t="s">
        <v>129</v>
      </c>
      <c r="O390" s="6">
        <v>45747</v>
      </c>
      <c r="P390" s="13">
        <v>3373</v>
      </c>
      <c r="Q390" s="14" t="s">
        <v>85</v>
      </c>
      <c r="R390" s="15">
        <v>690</v>
      </c>
      <c r="S390" s="15">
        <f>4990/2</f>
        <v>2495</v>
      </c>
      <c r="T390" s="15">
        <f>DATA[[#This Row],[C. DF]]+DATA[[#This Row],[C.OPE.]]</f>
        <v>3185</v>
      </c>
      <c r="U390" s="15">
        <f>DATA[[#This Row],[SUB TOTAL]]*0.18</f>
        <v>573.29999999999995</v>
      </c>
      <c r="V390" s="15">
        <f>IFERROR(ROUND(DATA[[#This Row],[SUB TOTAL]]+DATA[[#This Row],[IGV]],2),0)</f>
        <v>3758.3</v>
      </c>
      <c r="W390" s="16" t="str">
        <f>IF(DATA[[#This Row],[VALORIZACIÓN ]]="-","NO CORRESPONDE",IF(OR(A390=20558226979,A390=10470707866,A390=20111157058,A390=20100226902),"NO CORRESPONDE",IF(J390="Emitida",IF(P390&gt;0,"EMITIDA","PENDIENTE"),"NO CORRESPONDE")))</f>
        <v>EMITIDA</v>
      </c>
      <c r="X390" s="29" t="s">
        <v>219</v>
      </c>
      <c r="Y390" s="17" t="s">
        <v>118</v>
      </c>
      <c r="Z390" s="30">
        <v>45749</v>
      </c>
      <c r="AA390" s="10" t="s">
        <v>150</v>
      </c>
      <c r="AB390" s="19">
        <v>13</v>
      </c>
      <c r="AC390" s="20">
        <v>15</v>
      </c>
      <c r="AD390" s="18">
        <f>DATA[[#This Row],[FECHA DE EMISION]]+DATA[[#This Row],[CONDICION DE PAGO]]</f>
        <v>45764</v>
      </c>
      <c r="AE390" s="23">
        <f>IF(DATA[[#This Row],[MONEDA]]="USD",VLOOKUP(DATA[[#This Row],[COMBINADA]],#REF!,11,0),1)</f>
        <v>1</v>
      </c>
      <c r="AF390" s="39" t="str">
        <f>IF(DATA[[#This Row],[SERIE2]]="-","NO CORRESPONDE",IF(W390="NO CORRESPONDE","NO CORRESPONDE",IF(Z390&gt;0,"FACTURADO","PENDIENTE")))</f>
        <v>FACTURADO</v>
      </c>
      <c r="AG390" s="27">
        <f>IFERROR(VLOOKUP(DATA[[#This Row],[COMBINADA]],#REF!,6,0),0)</f>
        <v>0</v>
      </c>
      <c r="AH390" s="125">
        <f>IFERROR(VLOOKUP(DATA[[#This Row],[COMBINADA]],#REF!,9,0),0)/COUNTIFS(DATA[COMBINADA],DATA[[#This Row],[COMBINADA]])</f>
        <v>0</v>
      </c>
      <c r="AI390" s="27">
        <f>IFERROR(VLOOKUP(DATA[[#This Row],[COMBINADA]],#REF!,6,0),0)</f>
        <v>0</v>
      </c>
      <c r="AJ390" s="125">
        <f>IFERROR(VLOOKUP(DATA[[#This Row],[COMBINADA]],#REF!,9,0),0)/COUNTIFS(DATA[COMBINADA],DATA[[#This Row],[COMBINADA]])</f>
        <v>0</v>
      </c>
      <c r="AK390" s="27">
        <f>IFERROR(VLOOKUP(DATA[[#This Row],[COMBINADA]],#REF!,6,0),0)</f>
        <v>0</v>
      </c>
      <c r="AL390" s="125">
        <f>IFERROR(VLOOKUP(DATA[[#This Row],[COMBINADA]],#REF!,9,0),0)/COUNTIFS(DATA[COMBINADA],DATA[[#This Row],[COMBINADA]])</f>
        <v>0</v>
      </c>
      <c r="AM390" s="27">
        <f>IFERROR(VLOOKUP(DATA[[#This Row],[COMBINADA]],#REF!,6,0),0)</f>
        <v>0</v>
      </c>
      <c r="AN390" s="125">
        <f>IFERROR(VLOOKUP(DATA[[#This Row],[COMBINADA]],#REF!,9,0),0)/COUNTIFS(DATA[COMBINADA],DATA[[#This Row],[COMBINADA]])</f>
        <v>0</v>
      </c>
      <c r="AO390" s="27">
        <f>IFERROR(VLOOKUP(DATA[[#This Row],[COMBINADA]],#REF!,6,0),0)</f>
        <v>0</v>
      </c>
      <c r="AP390" s="125">
        <f>IFERROR(VLOOKUP(DATA[[#This Row],[COMBINADA]],#REF!,9,0),0)/COUNTIFS(DATA[COMBINADA],DATA[[#This Row],[COMBINADA]])</f>
        <v>0</v>
      </c>
      <c r="AQ39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3744.1400000000003</v>
      </c>
      <c r="AR390" s="26" t="str">
        <f>IFERROR(IF(DATA[[#This Row],[estado_fact]]="FACTURADO",VLOOKUP(DATA[[#This Row],[SERIE2]]&amp;"-"&amp;DATA[[#This Row],[NUMERO]],#REF!,34,0),"NO CORRESPONDE"),"NO CORRESPONDE")</f>
        <v>NO CORRESPONDE</v>
      </c>
      <c r="AS390" s="22" t="str">
        <f>IF(DATA[[#This Row],[fecha_fs]]&gt;0,TEXT(DATA[[#This Row],[fecha_fs]],"Mmmm"),0)</f>
        <v>Marzo</v>
      </c>
      <c r="AT390" s="22" t="str">
        <f>DATA[[#This Row],[SERIE2]]&amp;"-"&amp;DATA[[#This Row],[NUMERO]]</f>
        <v>FF01-13</v>
      </c>
      <c r="AU390" s="28">
        <f>DATA[[#This Row],[TOTAL]]*DATA[[#This Row],[T.C.]]</f>
        <v>3758.3</v>
      </c>
      <c r="AV390" s="6">
        <f>DATA[[#This Row],[FECHA DE VAL.]]</f>
        <v>45747</v>
      </c>
      <c r="AW390" s="6">
        <f>DATA[[#This Row],[FECHA DE EMISION]]</f>
        <v>45749</v>
      </c>
      <c r="AX390" s="6">
        <f>DATA[[#This Row],[F1]]</f>
        <v>0</v>
      </c>
      <c r="AY390" s="20">
        <f>IF(AV390-DATA[[#This Row],[fecha_fs]]&lt;0,0,AV390-DATA[[#This Row],[fecha_fs]])</f>
        <v>11</v>
      </c>
      <c r="AZ390" s="20">
        <f t="shared" si="45"/>
        <v>2</v>
      </c>
      <c r="BA390" s="20">
        <f t="shared" si="46"/>
        <v>0</v>
      </c>
      <c r="BB390" s="195">
        <f>IFERROR(SUM(DATA[[#This Row],[fs_val_ttf]:[fact_pago_ttf]]),0)</f>
        <v>13</v>
      </c>
      <c r="BC390" s="185">
        <v>45749</v>
      </c>
      <c r="BD390" s="185">
        <v>45751</v>
      </c>
      <c r="BE390" s="185">
        <v>45761</v>
      </c>
      <c r="BF390" s="185" t="s">
        <v>270</v>
      </c>
      <c r="BG390" s="20">
        <f>IFERROR(IF(BC390-DATA[[#This Row],[fecha_fs]]&lt;0,0,BC390-DATA[[#This Row],[fecha_fs]]),0)</f>
        <v>13</v>
      </c>
      <c r="BH390" s="20">
        <f t="shared" ref="BH390:BH453" si="47">IFERROR(IF(BD390-BC390&lt;0,0,BD390-BC390),0)</f>
        <v>2</v>
      </c>
      <c r="BI390" s="20">
        <f t="shared" ref="BI390:BI453" si="48">IFERROR(IF(BE390-BD390&lt;0,0,BE390-BD390),0)</f>
        <v>10</v>
      </c>
      <c r="BJ390" s="20">
        <f t="shared" ref="BJ390:BJ453" si="49">IFERROR(IF(BF390-BE390&lt;0,0,BF390-BE390),0)</f>
        <v>0</v>
      </c>
      <c r="BK390" s="218">
        <f>IFERROR(SUM(DATA[[#This Row],[fs_fd_ttd]:[fend_fenf_ttd]]),0)</f>
        <v>25</v>
      </c>
      <c r="BL390" s="20" t="str">
        <f>IF(DATA[[#This Row],[fecha_fs]]&gt;0,TEXT(DATA[[#This Row],[fecha_fs]],"YYYY"),0)</f>
        <v>2025</v>
      </c>
      <c r="BM390" s="221" t="b">
        <v>0</v>
      </c>
      <c r="BN390" s="278">
        <f>COUNTIF(DATA[[#This Row],[tiempo_td]], "&lt;=15")</f>
        <v>0</v>
      </c>
      <c r="BO390" s="222"/>
    </row>
    <row r="391" spans="1:67" ht="30.6" customHeight="1" x14ac:dyDescent="0.25">
      <c r="A391" s="4">
        <v>20553956324</v>
      </c>
      <c r="B391" s="5" t="s">
        <v>281</v>
      </c>
      <c r="C391" s="52" t="s">
        <v>175</v>
      </c>
      <c r="D391" s="4" t="s">
        <v>120</v>
      </c>
      <c r="E391" s="5" t="s">
        <v>3</v>
      </c>
      <c r="F391" s="24">
        <v>45737</v>
      </c>
      <c r="G391" s="7" t="s">
        <v>113</v>
      </c>
      <c r="H391" s="25">
        <f t="shared" si="44"/>
        <v>1</v>
      </c>
      <c r="I391" s="67">
        <v>4267</v>
      </c>
      <c r="J391" s="8" t="s">
        <v>115</v>
      </c>
      <c r="K391" s="9" t="s">
        <v>121</v>
      </c>
      <c r="L391" s="10" t="s">
        <v>117</v>
      </c>
      <c r="M391" s="11">
        <v>60</v>
      </c>
      <c r="N391" s="12" t="s">
        <v>132</v>
      </c>
      <c r="O391" s="6">
        <v>45747</v>
      </c>
      <c r="P391" s="109">
        <v>3370</v>
      </c>
      <c r="Q391" s="14" t="s">
        <v>85</v>
      </c>
      <c r="R391" s="15">
        <f>DATA[[#This Row],[cantidad_fs]]*0.08</f>
        <v>4.8</v>
      </c>
      <c r="S391" s="15">
        <v>395.1</v>
      </c>
      <c r="T391" s="15">
        <f>DATA[[#This Row],[C. DF]]+DATA[[#This Row],[C.OPE.]]</f>
        <v>399.90000000000003</v>
      </c>
      <c r="U391" s="15">
        <f>DATA[[#This Row],[SUB TOTAL]]*0.18</f>
        <v>71.981999999999999</v>
      </c>
      <c r="V391" s="15">
        <f>IFERROR(ROUND(DATA[[#This Row],[SUB TOTAL]]+DATA[[#This Row],[IGV]],2),0)</f>
        <v>471.88</v>
      </c>
      <c r="W391" s="16" t="str">
        <f>IF(DATA[[#This Row],[VALORIZACIÓN ]]="-","NO CORRESPONDE",IF(OR(A391=20558226979,A391=10470707866,A391=20111157058,A391=20100226902),"NO CORRESPONDE",IF(J391="Emitida",IF(P391&gt;0,"EMITIDA","PENDIENTE"),"NO CORRESPONDE")))</f>
        <v>EMITIDA</v>
      </c>
      <c r="X391" s="29"/>
      <c r="Y391" s="17" t="s">
        <v>118</v>
      </c>
      <c r="Z391" s="30">
        <v>45790</v>
      </c>
      <c r="AA391" s="10" t="s">
        <v>150</v>
      </c>
      <c r="AB391" s="19">
        <v>75</v>
      </c>
      <c r="AC391" s="20"/>
      <c r="AD391" s="18">
        <f>DATA[[#This Row],[FECHA DE EMISION]]+DATA[[#This Row],[CONDICION DE PAGO]]</f>
        <v>45790</v>
      </c>
      <c r="AE391" s="23">
        <f>IF(DATA[[#This Row],[MONEDA]]="USD",VLOOKUP(DATA[[#This Row],[COMBINADA]],#REF!,11,0),1)</f>
        <v>1</v>
      </c>
      <c r="AF391" s="39" t="str">
        <f>IF(DATA[[#This Row],[SERIE2]]="-","NO CORRESPONDE",IF(W391="NO CORRESPONDE","NO CORRESPONDE",IF(Z391&gt;0,"FACTURADO","PENDIENTE")))</f>
        <v>FACTURADO</v>
      </c>
      <c r="AG391" s="27">
        <f>IFERROR(VLOOKUP(DATA[[#This Row],[COMBINADA]],#REF!,6,0),0)</f>
        <v>0</v>
      </c>
      <c r="AH391" s="125">
        <f>IFERROR(VLOOKUP(DATA[[#This Row],[COMBINADA]],#REF!,9,0),0)/COUNTIFS(DATA[COMBINADA],DATA[[#This Row],[COMBINADA]])</f>
        <v>0</v>
      </c>
      <c r="AI391" s="27">
        <f>IFERROR(VLOOKUP(DATA[[#This Row],[COMBINADA]],#REF!,6,0),0)</f>
        <v>0</v>
      </c>
      <c r="AJ391" s="125">
        <f>IFERROR(VLOOKUP(DATA[[#This Row],[COMBINADA]],#REF!,9,0),0)/COUNTIFS(DATA[COMBINADA],DATA[[#This Row],[COMBINADA]])</f>
        <v>0</v>
      </c>
      <c r="AK391" s="27">
        <f>IFERROR(VLOOKUP(DATA[[#This Row],[COMBINADA]],#REF!,6,0),0)</f>
        <v>0</v>
      </c>
      <c r="AL391" s="125">
        <f>IFERROR(VLOOKUP(DATA[[#This Row],[COMBINADA]],#REF!,9,0),0)/COUNTIFS(DATA[COMBINADA],DATA[[#This Row],[COMBINADA]])</f>
        <v>0</v>
      </c>
      <c r="AM391" s="27">
        <f>IFERROR(VLOOKUP(DATA[[#This Row],[COMBINADA]],#REF!,6,0),0)</f>
        <v>0</v>
      </c>
      <c r="AN391" s="125">
        <f>IFERROR(VLOOKUP(DATA[[#This Row],[COMBINADA]],#REF!,9,0),0)/COUNTIFS(DATA[COMBINADA],DATA[[#This Row],[COMBINADA]])</f>
        <v>0</v>
      </c>
      <c r="AO391" s="27">
        <f>IFERROR(VLOOKUP(DATA[[#This Row],[COMBINADA]],#REF!,6,0),0)</f>
        <v>0</v>
      </c>
      <c r="AP391" s="125">
        <f>IFERROR(VLOOKUP(DATA[[#This Row],[COMBINADA]],#REF!,9,0),0)/COUNTIFS(DATA[COMBINADA],DATA[[#This Row],[COMBINADA]])</f>
        <v>0</v>
      </c>
      <c r="AQ39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490.09299999999996</v>
      </c>
      <c r="AR391" s="26" t="str">
        <f>IFERROR(IF(DATA[[#This Row],[estado_fact]]="FACTURADO",VLOOKUP(DATA[[#This Row],[SERIE2]]&amp;"-"&amp;DATA[[#This Row],[NUMERO]],#REF!,34,0),"NO CORRESPONDE"),"NO CORRESPONDE")</f>
        <v>NO CORRESPONDE</v>
      </c>
      <c r="AS391" s="22" t="str">
        <f>IF(DATA[[#This Row],[fecha_fs]]&gt;0,TEXT(DATA[[#This Row],[fecha_fs]],"Mmmm"),0)</f>
        <v>Marzo</v>
      </c>
      <c r="AT391" s="22" t="str">
        <f>DATA[[#This Row],[SERIE2]]&amp;"-"&amp;DATA[[#This Row],[NUMERO]]</f>
        <v>FF01-75</v>
      </c>
      <c r="AU391" s="28">
        <f>DATA[[#This Row],[TOTAL]]*DATA[[#This Row],[T.C.]]</f>
        <v>471.88</v>
      </c>
      <c r="AV391" s="6">
        <f>DATA[[#This Row],[FECHA DE VAL.]]</f>
        <v>45747</v>
      </c>
      <c r="AW391" s="6">
        <f>DATA[[#This Row],[FECHA DE EMISION]]</f>
        <v>45790</v>
      </c>
      <c r="AX391" s="6">
        <f>DATA[[#This Row],[F1]]</f>
        <v>0</v>
      </c>
      <c r="AY391" s="20">
        <f>IF(AV391-DATA[[#This Row],[fecha_fs]]&lt;0,0,AV391-DATA[[#This Row],[fecha_fs]])</f>
        <v>10</v>
      </c>
      <c r="AZ391" s="20">
        <f t="shared" si="45"/>
        <v>43</v>
      </c>
      <c r="BA391" s="20">
        <f t="shared" si="46"/>
        <v>0</v>
      </c>
      <c r="BB391" s="195">
        <f>IFERROR(SUM(DATA[[#This Row],[fs_val_ttf]:[fact_pago_ttf]]),0)</f>
        <v>53</v>
      </c>
      <c r="BC391" s="185">
        <v>45748</v>
      </c>
      <c r="BD391" s="185">
        <v>45751</v>
      </c>
      <c r="BE391" s="185">
        <v>45756</v>
      </c>
      <c r="BF391" s="185">
        <v>45758</v>
      </c>
      <c r="BG391" s="20">
        <f>IFERROR(IF(BC391-DATA[[#This Row],[fecha_fs]]&lt;0,0,BC391-DATA[[#This Row],[fecha_fs]]),0)</f>
        <v>11</v>
      </c>
      <c r="BH391" s="20">
        <f t="shared" si="47"/>
        <v>3</v>
      </c>
      <c r="BI391" s="20">
        <f t="shared" si="48"/>
        <v>5</v>
      </c>
      <c r="BJ391" s="20">
        <f t="shared" si="49"/>
        <v>2</v>
      </c>
      <c r="BK391" s="218">
        <f>IFERROR(SUM(DATA[[#This Row],[fs_fd_ttd]:[fend_fenf_ttd]]),0)</f>
        <v>21</v>
      </c>
      <c r="BL391" s="20" t="str">
        <f>IF(DATA[[#This Row],[fecha_fs]]&gt;0,TEXT(DATA[[#This Row],[fecha_fs]],"YYYY"),0)</f>
        <v>2025</v>
      </c>
      <c r="BM391" s="221" t="b">
        <v>1</v>
      </c>
      <c r="BN391" s="278">
        <f>COUNTIF(DATA[[#This Row],[tiempo_td]], "&lt;=15")</f>
        <v>0</v>
      </c>
      <c r="BO391" s="222"/>
    </row>
    <row r="392" spans="1:67" ht="30.6" customHeight="1" x14ac:dyDescent="0.25">
      <c r="A392" s="4">
        <v>20100192064</v>
      </c>
      <c r="B392" s="5" t="s">
        <v>60</v>
      </c>
      <c r="C392" s="52" t="s">
        <v>43</v>
      </c>
      <c r="D392" s="4" t="s">
        <v>120</v>
      </c>
      <c r="E392" s="5" t="s">
        <v>3</v>
      </c>
      <c r="F392" s="24">
        <v>45737</v>
      </c>
      <c r="G392" s="7" t="s">
        <v>113</v>
      </c>
      <c r="H392" s="25">
        <f t="shared" si="44"/>
        <v>1</v>
      </c>
      <c r="I392" s="67">
        <v>4268</v>
      </c>
      <c r="J392" s="8" t="s">
        <v>115</v>
      </c>
      <c r="K392" s="9" t="s">
        <v>121</v>
      </c>
      <c r="L392" s="10" t="s">
        <v>117</v>
      </c>
      <c r="M392" s="11">
        <v>450</v>
      </c>
      <c r="N392" s="12" t="s">
        <v>132</v>
      </c>
      <c r="O392" s="6">
        <v>45742</v>
      </c>
      <c r="P392" s="71">
        <v>3352</v>
      </c>
      <c r="Q392" s="14" t="s">
        <v>123</v>
      </c>
      <c r="R392" s="15">
        <f>(DATA[[#This Row],[cantidad_fs]]/1000)*(47+174.34)</f>
        <v>99.603000000000009</v>
      </c>
      <c r="S392" s="15">
        <v>137</v>
      </c>
      <c r="T392" s="15">
        <f>DATA[[#This Row],[C. DF]]+DATA[[#This Row],[C.OPE.]]</f>
        <v>236.60300000000001</v>
      </c>
      <c r="U392" s="15">
        <f>DATA[[#This Row],[SUB TOTAL]]*0.18</f>
        <v>42.588540000000002</v>
      </c>
      <c r="V392" s="15">
        <f>IFERROR(ROUND(DATA[[#This Row],[SUB TOTAL]]+DATA[[#This Row],[IGV]],2),0)</f>
        <v>279.19</v>
      </c>
      <c r="W392" s="16" t="str">
        <f>IF(DATA[[#This Row],[VALORIZACIÓN ]]="-","NO CORRESPONDE",IF(OR(A392=20558226979,A392=10470707866,A392=20111157058,A392=20100226902),"NO CORRESPONDE",IF(J392="Emitida",IF(P392&gt;0,"EMITIDA","PENDIENTE"),"NO CORRESPONDE")))</f>
        <v>EMITIDA</v>
      </c>
      <c r="X392" s="29" t="s">
        <v>212</v>
      </c>
      <c r="Y392" s="17" t="s">
        <v>118</v>
      </c>
      <c r="Z392" s="30">
        <v>45743</v>
      </c>
      <c r="AA392" s="10" t="s">
        <v>150</v>
      </c>
      <c r="AB392" s="19">
        <v>1</v>
      </c>
      <c r="AC392" s="20">
        <v>30</v>
      </c>
      <c r="AD392" s="18">
        <f>DATA[[#This Row],[FECHA DE EMISION]]+DATA[[#This Row],[CONDICION DE PAGO]]</f>
        <v>45773</v>
      </c>
      <c r="AE392" s="23" t="e">
        <f>IF(DATA[[#This Row],[MONEDA]]="USD",VLOOKUP(DATA[[#This Row],[COMBINADA]],#REF!,11,0),1)</f>
        <v>#REF!</v>
      </c>
      <c r="AF392" s="39" t="str">
        <f>IF(DATA[[#This Row],[SERIE2]]="-","NO CORRESPONDE",IF(W392="NO CORRESPONDE","NO CORRESPONDE",IF(Z392&gt;0,"FACTURADO","PENDIENTE")))</f>
        <v>FACTURADO</v>
      </c>
      <c r="AG392" s="27">
        <f>IFERROR(VLOOKUP(DATA[[#This Row],[COMBINADA]],#REF!,6,0),0)</f>
        <v>0</v>
      </c>
      <c r="AH392" s="125">
        <f>IFERROR(VLOOKUP(DATA[[#This Row],[COMBINADA]],#REF!,9,0),0)/COUNTIFS(DATA[COMBINADA],DATA[[#This Row],[COMBINADA]])</f>
        <v>0</v>
      </c>
      <c r="AI392" s="27">
        <f>IFERROR(VLOOKUP(DATA[[#This Row],[COMBINADA]],#REF!,6,0),0)</f>
        <v>0</v>
      </c>
      <c r="AJ392" s="125">
        <f>IFERROR(VLOOKUP(DATA[[#This Row],[COMBINADA]],#REF!,9,0),0)/COUNTIFS(DATA[COMBINADA],DATA[[#This Row],[COMBINADA]])</f>
        <v>0</v>
      </c>
      <c r="AK392" s="27">
        <f>IFERROR(VLOOKUP(DATA[[#This Row],[COMBINADA]],#REF!,6,0),0)</f>
        <v>0</v>
      </c>
      <c r="AL392" s="125">
        <f>IFERROR(VLOOKUP(DATA[[#This Row],[COMBINADA]],#REF!,9,0),0)/COUNTIFS(DATA[COMBINADA],DATA[[#This Row],[COMBINADA]])</f>
        <v>0</v>
      </c>
      <c r="AM392" s="27">
        <f>IFERROR(VLOOKUP(DATA[[#This Row],[COMBINADA]],#REF!,6,0),0)</f>
        <v>0</v>
      </c>
      <c r="AN392" s="125">
        <f>IFERROR(VLOOKUP(DATA[[#This Row],[COMBINADA]],#REF!,9,0),0)/COUNTIFS(DATA[COMBINADA],DATA[[#This Row],[COMBINADA]])</f>
        <v>0</v>
      </c>
      <c r="AO392" s="27">
        <f>IFERROR(VLOOKUP(DATA[[#This Row],[COMBINADA]],#REF!,6,0),0)</f>
        <v>0</v>
      </c>
      <c r="AP392" s="125">
        <f>IFERROR(VLOOKUP(DATA[[#This Row],[COMBINADA]],#REF!,9,0),0)/COUNTIFS(DATA[COMBINADA],DATA[[#This Row],[COMBINADA]])</f>
        <v>0</v>
      </c>
      <c r="AQ39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604.21249999999986</v>
      </c>
      <c r="AR392" s="26" t="str">
        <f>IFERROR(IF(DATA[[#This Row],[estado_fact]]="FACTURADO",VLOOKUP(DATA[[#This Row],[SERIE2]]&amp;"-"&amp;DATA[[#This Row],[NUMERO]],#REF!,34,0),"NO CORRESPONDE"),"NO CORRESPONDE")</f>
        <v>NO CORRESPONDE</v>
      </c>
      <c r="AS392" s="22" t="str">
        <f>IF(DATA[[#This Row],[fecha_fs]]&gt;0,TEXT(DATA[[#This Row],[fecha_fs]],"Mmmm"),0)</f>
        <v>Marzo</v>
      </c>
      <c r="AT392" s="22" t="str">
        <f>DATA[[#This Row],[SERIE2]]&amp;"-"&amp;DATA[[#This Row],[NUMERO]]</f>
        <v>FF01-1</v>
      </c>
      <c r="AU392" s="28" t="e">
        <f>DATA[[#This Row],[TOTAL]]*DATA[[#This Row],[T.C.]]</f>
        <v>#REF!</v>
      </c>
      <c r="AV392" s="6">
        <f>DATA[[#This Row],[FECHA DE VAL.]]</f>
        <v>45742</v>
      </c>
      <c r="AW392" s="6">
        <f>DATA[[#This Row],[FECHA DE EMISION]]</f>
        <v>45743</v>
      </c>
      <c r="AX392" s="6">
        <f>DATA[[#This Row],[F1]]</f>
        <v>0</v>
      </c>
      <c r="AY392" s="20">
        <f>IF(AV392-DATA[[#This Row],[fecha_fs]]&lt;0,0,AV392-DATA[[#This Row],[fecha_fs]])</f>
        <v>5</v>
      </c>
      <c r="AZ392" s="20">
        <f t="shared" si="45"/>
        <v>1</v>
      </c>
      <c r="BA392" s="20">
        <f t="shared" si="46"/>
        <v>0</v>
      </c>
      <c r="BB392" s="195">
        <f>IFERROR(SUM(DATA[[#This Row],[fs_val_ttf]:[fact_pago_ttf]]),0)</f>
        <v>6</v>
      </c>
      <c r="BC392" s="185">
        <v>45747</v>
      </c>
      <c r="BD392" s="185">
        <v>45761</v>
      </c>
      <c r="BE392" s="185">
        <v>45785</v>
      </c>
      <c r="BF392" s="185">
        <v>45798</v>
      </c>
      <c r="BG392" s="20">
        <f>IFERROR(IF(BC392-DATA[[#This Row],[fecha_fs]]&lt;0,0,BC392-DATA[[#This Row],[fecha_fs]]),0)</f>
        <v>10</v>
      </c>
      <c r="BH392" s="20">
        <f t="shared" si="47"/>
        <v>14</v>
      </c>
      <c r="BI392" s="20">
        <f t="shared" si="48"/>
        <v>24</v>
      </c>
      <c r="BJ392" s="20">
        <f t="shared" si="49"/>
        <v>13</v>
      </c>
      <c r="BK392" s="218">
        <f>IFERROR(SUM(DATA[[#This Row],[fs_fd_ttd]:[fend_fenf_ttd]]),0)</f>
        <v>61</v>
      </c>
      <c r="BL392" s="20" t="str">
        <f>IF(DATA[[#This Row],[fecha_fs]]&gt;0,TEXT(DATA[[#This Row],[fecha_fs]],"YYYY"),0)</f>
        <v>2025</v>
      </c>
      <c r="BM392" s="221" t="b">
        <v>1</v>
      </c>
      <c r="BN392" s="278">
        <f>COUNTIF(DATA[[#This Row],[tiempo_td]], "&lt;=15")</f>
        <v>0</v>
      </c>
      <c r="BO392" s="222"/>
    </row>
    <row r="393" spans="1:67" ht="30.6" customHeight="1" x14ac:dyDescent="0.25">
      <c r="A393" s="4">
        <v>20456012427</v>
      </c>
      <c r="B393" s="5" t="s">
        <v>54</v>
      </c>
      <c r="C393" s="52" t="s">
        <v>177</v>
      </c>
      <c r="D393" s="4" t="s">
        <v>112</v>
      </c>
      <c r="E393" s="5" t="s">
        <v>1</v>
      </c>
      <c r="F393" s="24">
        <v>45737</v>
      </c>
      <c r="G393" s="7" t="s">
        <v>113</v>
      </c>
      <c r="H393" s="25">
        <f t="shared" si="44"/>
        <v>1</v>
      </c>
      <c r="I393" s="67">
        <v>4269</v>
      </c>
      <c r="J393" s="8" t="s">
        <v>115</v>
      </c>
      <c r="K393" s="9" t="s">
        <v>116</v>
      </c>
      <c r="L393" s="10" t="s">
        <v>117</v>
      </c>
      <c r="M393" s="11">
        <v>125</v>
      </c>
      <c r="N393" s="12" t="s">
        <v>114</v>
      </c>
      <c r="O393" s="6">
        <v>45740</v>
      </c>
      <c r="P393" s="13">
        <v>3344</v>
      </c>
      <c r="Q393" s="14" t="s">
        <v>85</v>
      </c>
      <c r="R393" s="15">
        <f>DATA[[#This Row],[cantidad_fs]]*1</f>
        <v>125</v>
      </c>
      <c r="S393" s="15">
        <f>270/2</f>
        <v>135</v>
      </c>
      <c r="T393" s="15">
        <f>DATA[[#This Row],[C. DF]]+DATA[[#This Row],[C.OPE.]]</f>
        <v>260</v>
      </c>
      <c r="U393" s="15">
        <f>DATA[[#This Row],[SUB TOTAL]]*0.18</f>
        <v>46.8</v>
      </c>
      <c r="V393" s="15">
        <f>IFERROR(ROUND(DATA[[#This Row],[SUB TOTAL]]+DATA[[#This Row],[IGV]],2),0)</f>
        <v>306.8</v>
      </c>
      <c r="W393" s="16" t="str">
        <f>IF(DATA[[#This Row],[VALORIZACIÓN ]]="-","NO CORRESPONDE",IF(OR(A393=20558226979,A393=10470707866,A393=20111157058,A393=20100226902),"NO CORRESPONDE",IF(J393="Emitida",IF(P393&gt;0,"EMITIDA","PENDIENTE"),"NO CORRESPONDE")))</f>
        <v>EMITIDA</v>
      </c>
      <c r="X393" s="29"/>
      <c r="Y393" s="17" t="s">
        <v>118</v>
      </c>
      <c r="Z393" s="30">
        <v>45744</v>
      </c>
      <c r="AA393" s="10" t="s">
        <v>150</v>
      </c>
      <c r="AB393" s="19">
        <v>6</v>
      </c>
      <c r="AC393" s="20">
        <v>15</v>
      </c>
      <c r="AD393" s="18">
        <f>DATA[[#This Row],[FECHA DE EMISION]]+DATA[[#This Row],[CONDICION DE PAGO]]</f>
        <v>45759</v>
      </c>
      <c r="AE393" s="23">
        <f>IF(DATA[[#This Row],[MONEDA]]="USD",VLOOKUP(DATA[[#This Row],[COMBINADA]],#REF!,11,0),1)</f>
        <v>1</v>
      </c>
      <c r="AF393" s="39" t="str">
        <f>IF(DATA[[#This Row],[SERIE2]]="-","NO CORRESPONDE",IF(W393="NO CORRESPONDE","NO CORRESPONDE",IF(Z393&gt;0,"FACTURADO","PENDIENTE")))</f>
        <v>FACTURADO</v>
      </c>
      <c r="AG393" s="27">
        <f>IFERROR(VLOOKUP(DATA[[#This Row],[COMBINADA]],#REF!,6,0),0)</f>
        <v>0</v>
      </c>
      <c r="AH393" s="125">
        <f>IFERROR(VLOOKUP(DATA[[#This Row],[COMBINADA]],#REF!,9,0),0)/COUNTIFS(DATA[COMBINADA],DATA[[#This Row],[COMBINADA]])</f>
        <v>0</v>
      </c>
      <c r="AI393" s="27">
        <f>IFERROR(VLOOKUP(DATA[[#This Row],[COMBINADA]],#REF!,6,0),0)</f>
        <v>0</v>
      </c>
      <c r="AJ393" s="125">
        <f>IFERROR(VLOOKUP(DATA[[#This Row],[COMBINADA]],#REF!,9,0),0)/COUNTIFS(DATA[COMBINADA],DATA[[#This Row],[COMBINADA]])</f>
        <v>0</v>
      </c>
      <c r="AK393" s="27">
        <f>IFERROR(VLOOKUP(DATA[[#This Row],[COMBINADA]],#REF!,6,0),0)</f>
        <v>0</v>
      </c>
      <c r="AL393" s="125">
        <f>IFERROR(VLOOKUP(DATA[[#This Row],[COMBINADA]],#REF!,9,0),0)/COUNTIFS(DATA[COMBINADA],DATA[[#This Row],[COMBINADA]])</f>
        <v>0</v>
      </c>
      <c r="AM393" s="27">
        <f>IFERROR(VLOOKUP(DATA[[#This Row],[COMBINADA]],#REF!,6,0),0)</f>
        <v>0</v>
      </c>
      <c r="AN393" s="125">
        <f>IFERROR(VLOOKUP(DATA[[#This Row],[COMBINADA]],#REF!,9,0),0)/COUNTIFS(DATA[COMBINADA],DATA[[#This Row],[COMBINADA]])</f>
        <v>0</v>
      </c>
      <c r="AO393" s="27">
        <f>IFERROR(VLOOKUP(DATA[[#This Row],[COMBINADA]],#REF!,6,0),0)</f>
        <v>0</v>
      </c>
      <c r="AP393" s="125">
        <f>IFERROR(VLOOKUP(DATA[[#This Row],[COMBINADA]],#REF!,9,0),0)/COUNTIFS(DATA[COMBINADA],DATA[[#This Row],[COMBINADA]])</f>
        <v>0</v>
      </c>
      <c r="AQ39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311.12666666666667</v>
      </c>
      <c r="AR393" s="26" t="str">
        <f>IFERROR(IF(DATA[[#This Row],[estado_fact]]="FACTURADO",VLOOKUP(DATA[[#This Row],[SERIE2]]&amp;"-"&amp;DATA[[#This Row],[NUMERO]],#REF!,34,0),"NO CORRESPONDE"),"NO CORRESPONDE")</f>
        <v>NO CORRESPONDE</v>
      </c>
      <c r="AS393" s="22" t="str">
        <f>IF(DATA[[#This Row],[fecha_fs]]&gt;0,TEXT(DATA[[#This Row],[fecha_fs]],"Mmmm"),0)</f>
        <v>Marzo</v>
      </c>
      <c r="AT393" s="22" t="str">
        <f>DATA[[#This Row],[SERIE2]]&amp;"-"&amp;DATA[[#This Row],[NUMERO]]</f>
        <v>FF01-6</v>
      </c>
      <c r="AU393" s="28">
        <f>DATA[[#This Row],[TOTAL]]*DATA[[#This Row],[T.C.]]</f>
        <v>306.8</v>
      </c>
      <c r="AV393" s="6">
        <f>DATA[[#This Row],[FECHA DE VAL.]]</f>
        <v>45740</v>
      </c>
      <c r="AW393" s="6">
        <f>DATA[[#This Row],[FECHA DE EMISION]]</f>
        <v>45744</v>
      </c>
      <c r="AX393" s="6">
        <f>DATA[[#This Row],[F1]]</f>
        <v>0</v>
      </c>
      <c r="AY393" s="20">
        <f>IF(AV393-DATA[[#This Row],[fecha_fs]]&lt;0,0,AV393-DATA[[#This Row],[fecha_fs]])</f>
        <v>3</v>
      </c>
      <c r="AZ393" s="20">
        <f t="shared" si="45"/>
        <v>4</v>
      </c>
      <c r="BA393" s="20">
        <f t="shared" si="46"/>
        <v>0</v>
      </c>
      <c r="BB393" s="195">
        <f>IFERROR(SUM(DATA[[#This Row],[fs_val_ttf]:[fact_pago_ttf]]),0)</f>
        <v>7</v>
      </c>
      <c r="BC393" s="185">
        <v>45748</v>
      </c>
      <c r="BD393" s="185">
        <v>45750</v>
      </c>
      <c r="BE393" s="185">
        <v>45755</v>
      </c>
      <c r="BF393" s="185">
        <v>45755</v>
      </c>
      <c r="BG393" s="20">
        <f>IFERROR(IF(BC393-DATA[[#This Row],[fecha_fs]]&lt;0,0,BC393-DATA[[#This Row],[fecha_fs]]),0)</f>
        <v>11</v>
      </c>
      <c r="BH393" s="20">
        <f t="shared" si="47"/>
        <v>2</v>
      </c>
      <c r="BI393" s="20">
        <f t="shared" si="48"/>
        <v>5</v>
      </c>
      <c r="BJ393" s="20">
        <f t="shared" si="49"/>
        <v>0</v>
      </c>
      <c r="BK393" s="218">
        <f>IFERROR(SUM(DATA[[#This Row],[fs_fd_ttd]:[fend_fenf_ttd]]),0)</f>
        <v>18</v>
      </c>
      <c r="BL393" s="20" t="str">
        <f>IF(DATA[[#This Row],[fecha_fs]]&gt;0,TEXT(DATA[[#This Row],[fecha_fs]],"YYYY"),0)</f>
        <v>2025</v>
      </c>
      <c r="BM393" s="221" t="b">
        <v>1</v>
      </c>
      <c r="BN393" s="278">
        <f>COUNTIF(DATA[[#This Row],[tiempo_td]], "&lt;=15")</f>
        <v>0</v>
      </c>
      <c r="BO393" s="222"/>
    </row>
    <row r="394" spans="1:67" ht="30.6" customHeight="1" x14ac:dyDescent="0.25">
      <c r="A394" s="4">
        <v>20100192064</v>
      </c>
      <c r="B394" s="5" t="s">
        <v>60</v>
      </c>
      <c r="C394" s="52" t="s">
        <v>43</v>
      </c>
      <c r="D394" s="4" t="s">
        <v>112</v>
      </c>
      <c r="E394" s="5" t="s">
        <v>1</v>
      </c>
      <c r="F394" s="24">
        <v>45737</v>
      </c>
      <c r="G394" s="7" t="s">
        <v>113</v>
      </c>
      <c r="H394" s="25">
        <f t="shared" si="44"/>
        <v>1</v>
      </c>
      <c r="I394" s="67">
        <v>4270</v>
      </c>
      <c r="J394" s="8" t="s">
        <v>115</v>
      </c>
      <c r="K394" s="9" t="s">
        <v>116</v>
      </c>
      <c r="L394" s="10" t="s">
        <v>117</v>
      </c>
      <c r="M394" s="11">
        <v>2370</v>
      </c>
      <c r="N394" s="12" t="s">
        <v>125</v>
      </c>
      <c r="O394" s="6">
        <v>45742</v>
      </c>
      <c r="P394" s="71">
        <v>3353</v>
      </c>
      <c r="Q394" s="14" t="s">
        <v>123</v>
      </c>
      <c r="R394" s="15">
        <f>(DATA[[#This Row],[cantidad_fs]]/1000)*(143+175.34)</f>
        <v>754.46580000000006</v>
      </c>
      <c r="S394" s="15">
        <v>137</v>
      </c>
      <c r="T394" s="15">
        <f>DATA[[#This Row],[C. DF]]+DATA[[#This Row],[C.OPE.]]</f>
        <v>891.46580000000006</v>
      </c>
      <c r="U394" s="15">
        <f>DATA[[#This Row],[SUB TOTAL]]*0.18</f>
        <v>160.46384399999999</v>
      </c>
      <c r="V394" s="15">
        <f>IFERROR(ROUND(DATA[[#This Row],[SUB TOTAL]]+DATA[[#This Row],[IGV]],2),0)</f>
        <v>1051.93</v>
      </c>
      <c r="W394" s="16" t="str">
        <f>IF(DATA[[#This Row],[VALORIZACIÓN ]]="-","NO CORRESPONDE",IF(OR(A394=20558226979,A394=10470707866,A394=20111157058,A394=20100226902),"NO CORRESPONDE",IF(J394="Emitida",IF(P394&gt;0,"EMITIDA","PENDIENTE"),"NO CORRESPONDE")))</f>
        <v>EMITIDA</v>
      </c>
      <c r="X394" s="29" t="s">
        <v>212</v>
      </c>
      <c r="Y394" s="17" t="s">
        <v>118</v>
      </c>
      <c r="Z394" s="30">
        <v>45743</v>
      </c>
      <c r="AA394" s="10" t="s">
        <v>150</v>
      </c>
      <c r="AB394" s="19">
        <v>1</v>
      </c>
      <c r="AC394" s="20">
        <v>30</v>
      </c>
      <c r="AD394" s="18">
        <f>DATA[[#This Row],[FECHA DE EMISION]]+DATA[[#This Row],[CONDICION DE PAGO]]</f>
        <v>45773</v>
      </c>
      <c r="AE394" s="23" t="e">
        <f>IF(DATA[[#This Row],[MONEDA]]="USD",VLOOKUP(DATA[[#This Row],[COMBINADA]],#REF!,11,0),1)</f>
        <v>#REF!</v>
      </c>
      <c r="AF394" s="39" t="str">
        <f>IF(DATA[[#This Row],[SERIE2]]="-","NO CORRESPONDE",IF(W394="NO CORRESPONDE","NO CORRESPONDE",IF(Z394&gt;0,"FACTURADO","PENDIENTE")))</f>
        <v>FACTURADO</v>
      </c>
      <c r="AG394" s="27">
        <f>IFERROR(VLOOKUP(DATA[[#This Row],[COMBINADA]],#REF!,6,0),0)</f>
        <v>0</v>
      </c>
      <c r="AH394" s="125">
        <f>IFERROR(VLOOKUP(DATA[[#This Row],[COMBINADA]],#REF!,9,0),0)/COUNTIFS(DATA[COMBINADA],DATA[[#This Row],[COMBINADA]])</f>
        <v>0</v>
      </c>
      <c r="AI394" s="27">
        <f>IFERROR(VLOOKUP(DATA[[#This Row],[COMBINADA]],#REF!,6,0),0)</f>
        <v>0</v>
      </c>
      <c r="AJ394" s="125">
        <f>IFERROR(VLOOKUP(DATA[[#This Row],[COMBINADA]],#REF!,9,0),0)/COUNTIFS(DATA[COMBINADA],DATA[[#This Row],[COMBINADA]])</f>
        <v>0</v>
      </c>
      <c r="AK394" s="27">
        <f>IFERROR(VLOOKUP(DATA[[#This Row],[COMBINADA]],#REF!,6,0),0)</f>
        <v>0</v>
      </c>
      <c r="AL394" s="125">
        <f>IFERROR(VLOOKUP(DATA[[#This Row],[COMBINADA]],#REF!,9,0),0)/COUNTIFS(DATA[COMBINADA],DATA[[#This Row],[COMBINADA]])</f>
        <v>0</v>
      </c>
      <c r="AM394" s="27">
        <f>IFERROR(VLOOKUP(DATA[[#This Row],[COMBINADA]],#REF!,6,0),0)</f>
        <v>0</v>
      </c>
      <c r="AN394" s="125">
        <f>IFERROR(VLOOKUP(DATA[[#This Row],[COMBINADA]],#REF!,9,0),0)/COUNTIFS(DATA[COMBINADA],DATA[[#This Row],[COMBINADA]])</f>
        <v>0</v>
      </c>
      <c r="AO394" s="27">
        <f>IFERROR(VLOOKUP(DATA[[#This Row],[COMBINADA]],#REF!,6,0),0)</f>
        <v>0</v>
      </c>
      <c r="AP394" s="125">
        <f>IFERROR(VLOOKUP(DATA[[#This Row],[COMBINADA]],#REF!,9,0),0)/COUNTIFS(DATA[COMBINADA],DATA[[#This Row],[COMBINADA]])</f>
        <v>0</v>
      </c>
      <c r="AQ39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604.21249999999986</v>
      </c>
      <c r="AR394" s="26" t="str">
        <f>IFERROR(IF(DATA[[#This Row],[estado_fact]]="FACTURADO",VLOOKUP(DATA[[#This Row],[SERIE2]]&amp;"-"&amp;DATA[[#This Row],[NUMERO]],#REF!,34,0),"NO CORRESPONDE"),"NO CORRESPONDE")</f>
        <v>NO CORRESPONDE</v>
      </c>
      <c r="AS394" s="22" t="str">
        <f>IF(DATA[[#This Row],[fecha_fs]]&gt;0,TEXT(DATA[[#This Row],[fecha_fs]],"Mmmm"),0)</f>
        <v>Marzo</v>
      </c>
      <c r="AT394" s="22" t="str">
        <f>DATA[[#This Row],[SERIE2]]&amp;"-"&amp;DATA[[#This Row],[NUMERO]]</f>
        <v>FF01-1</v>
      </c>
      <c r="AU394" s="28" t="e">
        <f>DATA[[#This Row],[TOTAL]]*DATA[[#This Row],[T.C.]]</f>
        <v>#REF!</v>
      </c>
      <c r="AV394" s="6">
        <f>DATA[[#This Row],[FECHA DE VAL.]]</f>
        <v>45742</v>
      </c>
      <c r="AW394" s="6">
        <f>DATA[[#This Row],[FECHA DE EMISION]]</f>
        <v>45743</v>
      </c>
      <c r="AX394" s="6">
        <f>DATA[[#This Row],[F1]]</f>
        <v>0</v>
      </c>
      <c r="AY394" s="20">
        <f>IF(AV394-DATA[[#This Row],[fecha_fs]]&lt;0,0,AV394-DATA[[#This Row],[fecha_fs]])</f>
        <v>5</v>
      </c>
      <c r="AZ394" s="20">
        <f t="shared" si="45"/>
        <v>1</v>
      </c>
      <c r="BA394" s="20">
        <f t="shared" si="46"/>
        <v>0</v>
      </c>
      <c r="BB394" s="195">
        <f>IFERROR(SUM(DATA[[#This Row],[fs_val_ttf]:[fact_pago_ttf]]),0)</f>
        <v>6</v>
      </c>
      <c r="BC394" s="185">
        <v>45748</v>
      </c>
      <c r="BD394" s="185">
        <v>45751</v>
      </c>
      <c r="BE394" s="185">
        <v>45784</v>
      </c>
      <c r="BF394" s="185">
        <v>45798</v>
      </c>
      <c r="BG394" s="20">
        <f>IFERROR(IF(BC394-DATA[[#This Row],[fecha_fs]]&lt;0,0,BC394-DATA[[#This Row],[fecha_fs]]),0)</f>
        <v>11</v>
      </c>
      <c r="BH394" s="20">
        <f t="shared" si="47"/>
        <v>3</v>
      </c>
      <c r="BI394" s="20">
        <f t="shared" si="48"/>
        <v>33</v>
      </c>
      <c r="BJ394" s="20">
        <f t="shared" si="49"/>
        <v>14</v>
      </c>
      <c r="BK394" s="218">
        <f>IFERROR(SUM(DATA[[#This Row],[fs_fd_ttd]:[fend_fenf_ttd]]),0)</f>
        <v>61</v>
      </c>
      <c r="BL394" s="20" t="str">
        <f>IF(DATA[[#This Row],[fecha_fs]]&gt;0,TEXT(DATA[[#This Row],[fecha_fs]],"YYYY"),0)</f>
        <v>2025</v>
      </c>
      <c r="BM394" s="221" t="b">
        <v>1</v>
      </c>
      <c r="BN394" s="278">
        <f>COUNTIF(DATA[[#This Row],[tiempo_td]], "&lt;=15")</f>
        <v>0</v>
      </c>
      <c r="BO394" s="222"/>
    </row>
    <row r="395" spans="1:67" ht="30.6" customHeight="1" x14ac:dyDescent="0.25">
      <c r="A395" s="4">
        <v>20456012427</v>
      </c>
      <c r="B395" s="5" t="s">
        <v>54</v>
      </c>
      <c r="C395" s="52" t="s">
        <v>177</v>
      </c>
      <c r="D395" s="4" t="s">
        <v>112</v>
      </c>
      <c r="E395" s="5" t="s">
        <v>1</v>
      </c>
      <c r="F395" s="24">
        <v>45737</v>
      </c>
      <c r="G395" s="7" t="s">
        <v>113</v>
      </c>
      <c r="H395" s="25">
        <f t="shared" si="44"/>
        <v>1</v>
      </c>
      <c r="I395" s="67">
        <v>4271</v>
      </c>
      <c r="J395" s="8" t="s">
        <v>115</v>
      </c>
      <c r="K395" s="9" t="s">
        <v>116</v>
      </c>
      <c r="L395" s="10" t="s">
        <v>117</v>
      </c>
      <c r="M395" s="11">
        <v>100</v>
      </c>
      <c r="N395" s="12" t="s">
        <v>114</v>
      </c>
      <c r="O395" s="6">
        <v>45740</v>
      </c>
      <c r="P395" s="13">
        <v>3344</v>
      </c>
      <c r="Q395" s="14" t="s">
        <v>85</v>
      </c>
      <c r="R395" s="15">
        <f>DATA[[#This Row],[cantidad_fs]]*1</f>
        <v>100</v>
      </c>
      <c r="S395" s="15">
        <f>270/2</f>
        <v>135</v>
      </c>
      <c r="T395" s="15">
        <f>DATA[[#This Row],[C. DF]]+DATA[[#This Row],[C.OPE.]]</f>
        <v>235</v>
      </c>
      <c r="U395" s="15">
        <f>DATA[[#This Row],[SUB TOTAL]]*0.18</f>
        <v>42.3</v>
      </c>
      <c r="V395" s="15">
        <f>IFERROR(ROUND(DATA[[#This Row],[SUB TOTAL]]+DATA[[#This Row],[IGV]],2),0)</f>
        <v>277.3</v>
      </c>
      <c r="W395" s="16" t="str">
        <f>IF(DATA[[#This Row],[VALORIZACIÓN ]]="-","NO CORRESPONDE",IF(OR(A395=20558226979,A395=10470707866,A395=20111157058,A395=20100226902),"NO CORRESPONDE",IF(J395="Emitida",IF(P395&gt;0,"EMITIDA","PENDIENTE"),"NO CORRESPONDE")))</f>
        <v>EMITIDA</v>
      </c>
      <c r="X395" s="29"/>
      <c r="Y395" s="17" t="s">
        <v>118</v>
      </c>
      <c r="Z395" s="30">
        <v>45744</v>
      </c>
      <c r="AA395" s="10" t="s">
        <v>150</v>
      </c>
      <c r="AB395" s="19">
        <v>6</v>
      </c>
      <c r="AC395" s="20">
        <v>15</v>
      </c>
      <c r="AD395" s="18">
        <f>DATA[[#This Row],[FECHA DE EMISION]]+DATA[[#This Row],[CONDICION DE PAGO]]</f>
        <v>45759</v>
      </c>
      <c r="AE395" s="23">
        <f>IF(DATA[[#This Row],[MONEDA]]="USD",VLOOKUP(DATA[[#This Row],[COMBINADA]],#REF!,11,0),1)</f>
        <v>1</v>
      </c>
      <c r="AF395" s="39" t="str">
        <f>IF(DATA[[#This Row],[SERIE2]]="-","NO CORRESPONDE",IF(W395="NO CORRESPONDE","NO CORRESPONDE",IF(Z395&gt;0,"FACTURADO","PENDIENTE")))</f>
        <v>FACTURADO</v>
      </c>
      <c r="AG395" s="27">
        <f>IFERROR(VLOOKUP(DATA[[#This Row],[COMBINADA]],#REF!,6,0),0)</f>
        <v>0</v>
      </c>
      <c r="AH395" s="125">
        <f>IFERROR(VLOOKUP(DATA[[#This Row],[COMBINADA]],#REF!,9,0),0)/COUNTIFS(DATA[COMBINADA],DATA[[#This Row],[COMBINADA]])</f>
        <v>0</v>
      </c>
      <c r="AI395" s="27">
        <f>IFERROR(VLOOKUP(DATA[[#This Row],[COMBINADA]],#REF!,6,0),0)</f>
        <v>0</v>
      </c>
      <c r="AJ395" s="125">
        <f>IFERROR(VLOOKUP(DATA[[#This Row],[COMBINADA]],#REF!,9,0),0)/COUNTIFS(DATA[COMBINADA],DATA[[#This Row],[COMBINADA]])</f>
        <v>0</v>
      </c>
      <c r="AK395" s="27">
        <f>IFERROR(VLOOKUP(DATA[[#This Row],[COMBINADA]],#REF!,6,0),0)</f>
        <v>0</v>
      </c>
      <c r="AL395" s="125">
        <f>IFERROR(VLOOKUP(DATA[[#This Row],[COMBINADA]],#REF!,9,0),0)/COUNTIFS(DATA[COMBINADA],DATA[[#This Row],[COMBINADA]])</f>
        <v>0</v>
      </c>
      <c r="AM395" s="27">
        <f>IFERROR(VLOOKUP(DATA[[#This Row],[COMBINADA]],#REF!,6,0),0)</f>
        <v>0</v>
      </c>
      <c r="AN395" s="125">
        <f>IFERROR(VLOOKUP(DATA[[#This Row],[COMBINADA]],#REF!,9,0),0)/COUNTIFS(DATA[COMBINADA],DATA[[#This Row],[COMBINADA]])</f>
        <v>0</v>
      </c>
      <c r="AO395" s="27">
        <f>IFERROR(VLOOKUP(DATA[[#This Row],[COMBINADA]],#REF!,6,0),0)</f>
        <v>0</v>
      </c>
      <c r="AP395" s="125">
        <f>IFERROR(VLOOKUP(DATA[[#This Row],[COMBINADA]],#REF!,9,0),0)/COUNTIFS(DATA[COMBINADA],DATA[[#This Row],[COMBINADA]])</f>
        <v>0</v>
      </c>
      <c r="AQ39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311.12666666666667</v>
      </c>
      <c r="AR395" s="26" t="str">
        <f>IFERROR(IF(DATA[[#This Row],[estado_fact]]="FACTURADO",VLOOKUP(DATA[[#This Row],[SERIE2]]&amp;"-"&amp;DATA[[#This Row],[NUMERO]],#REF!,34,0),"NO CORRESPONDE"),"NO CORRESPONDE")</f>
        <v>NO CORRESPONDE</v>
      </c>
      <c r="AS395" s="22" t="str">
        <f>IF(DATA[[#This Row],[fecha_fs]]&gt;0,TEXT(DATA[[#This Row],[fecha_fs]],"Mmmm"),0)</f>
        <v>Marzo</v>
      </c>
      <c r="AT395" s="22" t="str">
        <f>DATA[[#This Row],[SERIE2]]&amp;"-"&amp;DATA[[#This Row],[NUMERO]]</f>
        <v>FF01-6</v>
      </c>
      <c r="AU395" s="28">
        <f>DATA[[#This Row],[TOTAL]]*DATA[[#This Row],[T.C.]]</f>
        <v>277.3</v>
      </c>
      <c r="AV395" s="6">
        <f>DATA[[#This Row],[FECHA DE VAL.]]</f>
        <v>45740</v>
      </c>
      <c r="AW395" s="6">
        <f>DATA[[#This Row],[FECHA DE EMISION]]</f>
        <v>45744</v>
      </c>
      <c r="AX395" s="6">
        <f>DATA[[#This Row],[F1]]</f>
        <v>0</v>
      </c>
      <c r="AY395" s="20">
        <f>IF(AV395-DATA[[#This Row],[fecha_fs]]&lt;0,0,AV395-DATA[[#This Row],[fecha_fs]])</f>
        <v>3</v>
      </c>
      <c r="AZ395" s="20">
        <f t="shared" si="45"/>
        <v>4</v>
      </c>
      <c r="BA395" s="20">
        <f t="shared" si="46"/>
        <v>0</v>
      </c>
      <c r="BB395" s="195">
        <f>IFERROR(SUM(DATA[[#This Row],[fs_val_ttf]:[fact_pago_ttf]]),0)</f>
        <v>7</v>
      </c>
      <c r="BC395" s="185">
        <v>45748</v>
      </c>
      <c r="BD395" s="185">
        <v>45750</v>
      </c>
      <c r="BE395" s="185">
        <v>45755</v>
      </c>
      <c r="BF395" s="185">
        <v>45755</v>
      </c>
      <c r="BG395" s="20">
        <f>IFERROR(IF(BC395-DATA[[#This Row],[fecha_fs]]&lt;0,0,BC395-DATA[[#This Row],[fecha_fs]]),0)</f>
        <v>11</v>
      </c>
      <c r="BH395" s="20">
        <f t="shared" si="47"/>
        <v>2</v>
      </c>
      <c r="BI395" s="20">
        <f t="shared" si="48"/>
        <v>5</v>
      </c>
      <c r="BJ395" s="20">
        <f t="shared" si="49"/>
        <v>0</v>
      </c>
      <c r="BK395" s="218">
        <f>IFERROR(SUM(DATA[[#This Row],[fs_fd_ttd]:[fend_fenf_ttd]]),0)</f>
        <v>18</v>
      </c>
      <c r="BL395" s="20" t="str">
        <f>IF(DATA[[#This Row],[fecha_fs]]&gt;0,TEXT(DATA[[#This Row],[fecha_fs]],"YYYY"),0)</f>
        <v>2025</v>
      </c>
      <c r="BM395" s="221" t="b">
        <v>1</v>
      </c>
      <c r="BN395" s="278">
        <f>COUNTIF(DATA[[#This Row],[tiempo_td]], "&lt;=15")</f>
        <v>0</v>
      </c>
      <c r="BO395" s="222"/>
    </row>
    <row r="396" spans="1:67" ht="30.6" customHeight="1" x14ac:dyDescent="0.25">
      <c r="A396" s="4">
        <v>20456012427</v>
      </c>
      <c r="B396" s="5" t="s">
        <v>54</v>
      </c>
      <c r="C396" s="52" t="s">
        <v>236</v>
      </c>
      <c r="D396" s="4" t="s">
        <v>112</v>
      </c>
      <c r="E396" s="5" t="s">
        <v>1</v>
      </c>
      <c r="F396" s="24">
        <v>45737</v>
      </c>
      <c r="G396" s="7" t="s">
        <v>113</v>
      </c>
      <c r="H396" s="25">
        <f t="shared" si="44"/>
        <v>1</v>
      </c>
      <c r="I396" s="67">
        <v>4272</v>
      </c>
      <c r="J396" s="8" t="s">
        <v>115</v>
      </c>
      <c r="K396" s="9" t="s">
        <v>116</v>
      </c>
      <c r="L396" s="10" t="s">
        <v>117</v>
      </c>
      <c r="M396" s="11">
        <v>26</v>
      </c>
      <c r="N396" s="12" t="s">
        <v>114</v>
      </c>
      <c r="O396" s="6">
        <v>45740</v>
      </c>
      <c r="P396" s="13">
        <v>3344</v>
      </c>
      <c r="Q396" s="14" t="s">
        <v>85</v>
      </c>
      <c r="R396" s="15">
        <f>DATA[[#This Row],[cantidad_fs]]*1</f>
        <v>26</v>
      </c>
      <c r="S396" s="15">
        <v>270</v>
      </c>
      <c r="T396" s="15">
        <f>DATA[[#This Row],[C. DF]]+DATA[[#This Row],[C.OPE.]]</f>
        <v>296</v>
      </c>
      <c r="U396" s="15">
        <f>DATA[[#This Row],[SUB TOTAL]]*0.18</f>
        <v>53.28</v>
      </c>
      <c r="V396" s="15">
        <f>IFERROR(ROUND(DATA[[#This Row],[SUB TOTAL]]+DATA[[#This Row],[IGV]],2),0)</f>
        <v>349.28</v>
      </c>
      <c r="W396" s="16" t="str">
        <f>IF(DATA[[#This Row],[VALORIZACIÓN ]]="-","NO CORRESPONDE",IF(OR(A396=20558226979,A396=10470707866,A396=20111157058,A396=20100226902),"NO CORRESPONDE",IF(J396="Emitida",IF(P396&gt;0,"EMITIDA","PENDIENTE"),"NO CORRESPONDE")))</f>
        <v>EMITIDA</v>
      </c>
      <c r="X396" s="29"/>
      <c r="Y396" s="17" t="s">
        <v>118</v>
      </c>
      <c r="Z396" s="30">
        <v>45744</v>
      </c>
      <c r="AA396" s="10" t="s">
        <v>150</v>
      </c>
      <c r="AB396" s="19">
        <v>6</v>
      </c>
      <c r="AC396" s="20">
        <v>15</v>
      </c>
      <c r="AD396" s="18">
        <f>DATA[[#This Row],[FECHA DE EMISION]]+DATA[[#This Row],[CONDICION DE PAGO]]</f>
        <v>45759</v>
      </c>
      <c r="AE396" s="23">
        <f>IF(DATA[[#This Row],[MONEDA]]="USD",VLOOKUP(DATA[[#This Row],[COMBINADA]],#REF!,11,0),1)</f>
        <v>1</v>
      </c>
      <c r="AF396" s="39" t="str">
        <f>IF(DATA[[#This Row],[SERIE2]]="-","NO CORRESPONDE",IF(W396="NO CORRESPONDE","NO CORRESPONDE",IF(Z396&gt;0,"FACTURADO","PENDIENTE")))</f>
        <v>FACTURADO</v>
      </c>
      <c r="AG396" s="27">
        <f>IFERROR(VLOOKUP(DATA[[#This Row],[COMBINADA]],#REF!,6,0),0)</f>
        <v>0</v>
      </c>
      <c r="AH396" s="125">
        <f>IFERROR(VLOOKUP(DATA[[#This Row],[COMBINADA]],#REF!,9,0),0)/COUNTIFS(DATA[COMBINADA],DATA[[#This Row],[COMBINADA]])</f>
        <v>0</v>
      </c>
      <c r="AI396" s="27">
        <f>IFERROR(VLOOKUP(DATA[[#This Row],[COMBINADA]],#REF!,6,0),0)</f>
        <v>0</v>
      </c>
      <c r="AJ396" s="125">
        <f>IFERROR(VLOOKUP(DATA[[#This Row],[COMBINADA]],#REF!,9,0),0)/COUNTIFS(DATA[COMBINADA],DATA[[#This Row],[COMBINADA]])</f>
        <v>0</v>
      </c>
      <c r="AK396" s="27">
        <f>IFERROR(VLOOKUP(DATA[[#This Row],[COMBINADA]],#REF!,6,0),0)</f>
        <v>0</v>
      </c>
      <c r="AL396" s="125">
        <f>IFERROR(VLOOKUP(DATA[[#This Row],[COMBINADA]],#REF!,9,0),0)/COUNTIFS(DATA[COMBINADA],DATA[[#This Row],[COMBINADA]])</f>
        <v>0</v>
      </c>
      <c r="AM396" s="27">
        <f>IFERROR(VLOOKUP(DATA[[#This Row],[COMBINADA]],#REF!,6,0),0)</f>
        <v>0</v>
      </c>
      <c r="AN396" s="125">
        <f>IFERROR(VLOOKUP(DATA[[#This Row],[COMBINADA]],#REF!,9,0),0)/COUNTIFS(DATA[COMBINADA],DATA[[#This Row],[COMBINADA]])</f>
        <v>0</v>
      </c>
      <c r="AO396" s="27">
        <f>IFERROR(VLOOKUP(DATA[[#This Row],[COMBINADA]],#REF!,6,0),0)</f>
        <v>0</v>
      </c>
      <c r="AP396" s="125">
        <f>IFERROR(VLOOKUP(DATA[[#This Row],[COMBINADA]],#REF!,9,0),0)/COUNTIFS(DATA[COMBINADA],DATA[[#This Row],[COMBINADA]])</f>
        <v>0</v>
      </c>
      <c r="AQ39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311.12666666666667</v>
      </c>
      <c r="AR396" s="26" t="str">
        <f>IFERROR(IF(DATA[[#This Row],[estado_fact]]="FACTURADO",VLOOKUP(DATA[[#This Row],[SERIE2]]&amp;"-"&amp;DATA[[#This Row],[NUMERO]],#REF!,34,0),"NO CORRESPONDE"),"NO CORRESPONDE")</f>
        <v>NO CORRESPONDE</v>
      </c>
      <c r="AS396" s="22" t="str">
        <f>IF(DATA[[#This Row],[fecha_fs]]&gt;0,TEXT(DATA[[#This Row],[fecha_fs]],"Mmmm"),0)</f>
        <v>Marzo</v>
      </c>
      <c r="AT396" s="22" t="str">
        <f>DATA[[#This Row],[SERIE2]]&amp;"-"&amp;DATA[[#This Row],[NUMERO]]</f>
        <v>FF01-6</v>
      </c>
      <c r="AU396" s="28">
        <f>DATA[[#This Row],[TOTAL]]*DATA[[#This Row],[T.C.]]</f>
        <v>349.28</v>
      </c>
      <c r="AV396" s="6">
        <f>DATA[[#This Row],[FECHA DE VAL.]]</f>
        <v>45740</v>
      </c>
      <c r="AW396" s="6">
        <f>DATA[[#This Row],[FECHA DE EMISION]]</f>
        <v>45744</v>
      </c>
      <c r="AX396" s="6">
        <f>DATA[[#This Row],[F1]]</f>
        <v>0</v>
      </c>
      <c r="AY396" s="20">
        <f>IF(AV396-DATA[[#This Row],[fecha_fs]]&lt;0,0,AV396-DATA[[#This Row],[fecha_fs]])</f>
        <v>3</v>
      </c>
      <c r="AZ396" s="20">
        <f t="shared" si="45"/>
        <v>4</v>
      </c>
      <c r="BA396" s="20">
        <f t="shared" si="46"/>
        <v>0</v>
      </c>
      <c r="BB396" s="195">
        <f>IFERROR(SUM(DATA[[#This Row],[fs_val_ttf]:[fact_pago_ttf]]),0)</f>
        <v>7</v>
      </c>
      <c r="BC396" s="185">
        <v>45748</v>
      </c>
      <c r="BD396" s="185">
        <v>45750</v>
      </c>
      <c r="BE396" s="185">
        <v>45755</v>
      </c>
      <c r="BF396" s="185">
        <v>45755</v>
      </c>
      <c r="BG396" s="20">
        <f>IFERROR(IF(BC396-DATA[[#This Row],[fecha_fs]]&lt;0,0,BC396-DATA[[#This Row],[fecha_fs]]),0)</f>
        <v>11</v>
      </c>
      <c r="BH396" s="20">
        <f t="shared" si="47"/>
        <v>2</v>
      </c>
      <c r="BI396" s="20">
        <f t="shared" si="48"/>
        <v>5</v>
      </c>
      <c r="BJ396" s="20">
        <f t="shared" si="49"/>
        <v>0</v>
      </c>
      <c r="BK396" s="218">
        <f>IFERROR(SUM(DATA[[#This Row],[fs_fd_ttd]:[fend_fenf_ttd]]),0)</f>
        <v>18</v>
      </c>
      <c r="BL396" s="20" t="str">
        <f>IF(DATA[[#This Row],[fecha_fs]]&gt;0,TEXT(DATA[[#This Row],[fecha_fs]],"YYYY"),0)</f>
        <v>2025</v>
      </c>
      <c r="BM396" s="221" t="b">
        <v>1</v>
      </c>
      <c r="BN396" s="278">
        <f>COUNTIF(DATA[[#This Row],[tiempo_td]], "&lt;=15")</f>
        <v>0</v>
      </c>
      <c r="BO396" s="222"/>
    </row>
    <row r="397" spans="1:67" ht="30.6" customHeight="1" x14ac:dyDescent="0.25">
      <c r="A397" s="4">
        <v>20141637941</v>
      </c>
      <c r="B397" s="5" t="s">
        <v>79</v>
      </c>
      <c r="C397" s="52" t="s">
        <v>18</v>
      </c>
      <c r="D397" s="4" t="s">
        <v>120</v>
      </c>
      <c r="E397" s="5" t="s">
        <v>3</v>
      </c>
      <c r="F397" s="24">
        <v>45740</v>
      </c>
      <c r="G397" s="7" t="s">
        <v>113</v>
      </c>
      <c r="H397" s="25">
        <f t="shared" si="44"/>
        <v>1</v>
      </c>
      <c r="I397" s="67">
        <v>4273</v>
      </c>
      <c r="J397" s="8" t="s">
        <v>115</v>
      </c>
      <c r="K397" s="9" t="s">
        <v>121</v>
      </c>
      <c r="L397" s="10" t="s">
        <v>117</v>
      </c>
      <c r="M397" s="11">
        <v>1100</v>
      </c>
      <c r="N397" s="12" t="s">
        <v>125</v>
      </c>
      <c r="O397" s="6">
        <v>45740</v>
      </c>
      <c r="P397" s="110">
        <v>3343</v>
      </c>
      <c r="Q397" s="14" t="s">
        <v>85</v>
      </c>
      <c r="R397" s="15">
        <f>70+(DATA[[#This Row],[cantidad_fs]]-1000)*0.1</f>
        <v>80</v>
      </c>
      <c r="S397" s="15">
        <v>517</v>
      </c>
      <c r="T397" s="15">
        <f>DATA[[#This Row],[C. DF]]+DATA[[#This Row],[C.OPE.]]</f>
        <v>597</v>
      </c>
      <c r="U397" s="15">
        <f>DATA[[#This Row],[SUB TOTAL]]*0.18</f>
        <v>107.46</v>
      </c>
      <c r="V397" s="15">
        <f>IFERROR(ROUND(DATA[[#This Row],[SUB TOTAL]]+DATA[[#This Row],[IGV]],2),0)</f>
        <v>704.46</v>
      </c>
      <c r="W397" s="16" t="str">
        <f>IF(DATA[[#This Row],[VALORIZACIÓN ]]="-","NO CORRESPONDE",IF(OR(A397=20558226979,A397=10470707866,A397=20111157058,A397=20100226902),"NO CORRESPONDE",IF(J397="Emitida",IF(P397&gt;0,"EMITIDA","PENDIENTE"),"NO CORRESPONDE")))</f>
        <v>EMITIDA</v>
      </c>
      <c r="X397" s="29"/>
      <c r="Y397" s="17" t="s">
        <v>118</v>
      </c>
      <c r="Z397" s="30">
        <v>45741</v>
      </c>
      <c r="AA397" s="10" t="s">
        <v>119</v>
      </c>
      <c r="AB397" s="19">
        <v>53</v>
      </c>
      <c r="AC397" s="20">
        <v>30</v>
      </c>
      <c r="AD397" s="18">
        <f>DATA[[#This Row],[FECHA DE EMISION]]+DATA[[#This Row],[CONDICION DE PAGO]]</f>
        <v>45771</v>
      </c>
      <c r="AE397" s="23">
        <f>IF(DATA[[#This Row],[MONEDA]]="USD",VLOOKUP(DATA[[#This Row],[COMBINADA]],#REF!,11,0),1)</f>
        <v>1</v>
      </c>
      <c r="AF397" s="39" t="str">
        <f>IF(DATA[[#This Row],[SERIE2]]="-","NO CORRESPONDE",IF(W397="NO CORRESPONDE","NO CORRESPONDE",IF(Z397&gt;0,"FACTURADO","PENDIENTE")))</f>
        <v>FACTURADO</v>
      </c>
      <c r="AG397" s="27">
        <f>IFERROR(VLOOKUP(DATA[[#This Row],[COMBINADA]],#REF!,6,0),0)</f>
        <v>0</v>
      </c>
      <c r="AH397" s="125">
        <f>IFERROR(VLOOKUP(DATA[[#This Row],[COMBINADA]],#REF!,9,0),0)/COUNTIFS(DATA[COMBINADA],DATA[[#This Row],[COMBINADA]])</f>
        <v>0</v>
      </c>
      <c r="AI397" s="27">
        <f>IFERROR(VLOOKUP(DATA[[#This Row],[COMBINADA]],#REF!,6,0),0)</f>
        <v>0</v>
      </c>
      <c r="AJ397" s="125">
        <f>IFERROR(VLOOKUP(DATA[[#This Row],[COMBINADA]],#REF!,9,0),0)/COUNTIFS(DATA[COMBINADA],DATA[[#This Row],[COMBINADA]])</f>
        <v>0</v>
      </c>
      <c r="AK397" s="27">
        <f>IFERROR(VLOOKUP(DATA[[#This Row],[COMBINADA]],#REF!,6,0),0)</f>
        <v>0</v>
      </c>
      <c r="AL397" s="125">
        <f>IFERROR(VLOOKUP(DATA[[#This Row],[COMBINADA]],#REF!,9,0),0)/COUNTIFS(DATA[COMBINADA],DATA[[#This Row],[COMBINADA]])</f>
        <v>0</v>
      </c>
      <c r="AM397" s="27">
        <f>IFERROR(VLOOKUP(DATA[[#This Row],[COMBINADA]],#REF!,6,0),0)</f>
        <v>0</v>
      </c>
      <c r="AN397" s="125">
        <f>IFERROR(VLOOKUP(DATA[[#This Row],[COMBINADA]],#REF!,9,0),0)/COUNTIFS(DATA[COMBINADA],DATA[[#This Row],[COMBINADA]])</f>
        <v>0</v>
      </c>
      <c r="AO397" s="27">
        <f>IFERROR(VLOOKUP(DATA[[#This Row],[COMBINADA]],#REF!,6,0),0)</f>
        <v>0</v>
      </c>
      <c r="AP397" s="125">
        <f>IFERROR(VLOOKUP(DATA[[#This Row],[COMBINADA]],#REF!,9,0),0)/COUNTIFS(DATA[COMBINADA],DATA[[#This Row],[COMBINADA]])</f>
        <v>0</v>
      </c>
      <c r="AQ39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703.28000000000009</v>
      </c>
      <c r="AR397" s="26" t="str">
        <f>IFERROR(IF(DATA[[#This Row],[estado_fact]]="FACTURADO",VLOOKUP(DATA[[#This Row],[SERIE2]]&amp;"-"&amp;DATA[[#This Row],[NUMERO]],#REF!,34,0),"NO CORRESPONDE"),"NO CORRESPONDE")</f>
        <v>NO CORRESPONDE</v>
      </c>
      <c r="AS397" s="22" t="str">
        <f>IF(DATA[[#This Row],[fecha_fs]]&gt;0,TEXT(DATA[[#This Row],[fecha_fs]],"Mmmm"),0)</f>
        <v>Marzo</v>
      </c>
      <c r="AT397" s="22" t="str">
        <f>DATA[[#This Row],[SERIE2]]&amp;"-"&amp;DATA[[#This Row],[NUMERO]]</f>
        <v>E001-53</v>
      </c>
      <c r="AU397" s="28">
        <f>DATA[[#This Row],[TOTAL]]*DATA[[#This Row],[T.C.]]</f>
        <v>704.46</v>
      </c>
      <c r="AV397" s="6">
        <f>DATA[[#This Row],[FECHA DE VAL.]]</f>
        <v>45740</v>
      </c>
      <c r="AW397" s="6">
        <f>DATA[[#This Row],[FECHA DE EMISION]]</f>
        <v>45741</v>
      </c>
      <c r="AX397" s="6">
        <f>DATA[[#This Row],[F1]]</f>
        <v>0</v>
      </c>
      <c r="AY397" s="20">
        <f>IF(AV397-DATA[[#This Row],[fecha_fs]]&lt;0,0,AV397-DATA[[#This Row],[fecha_fs]])</f>
        <v>0</v>
      </c>
      <c r="AZ397" s="20">
        <f t="shared" si="45"/>
        <v>1</v>
      </c>
      <c r="BA397" s="20">
        <f t="shared" si="46"/>
        <v>0</v>
      </c>
      <c r="BB397" s="195">
        <f>IFERROR(SUM(DATA[[#This Row],[fs_val_ttf]:[fact_pago_ttf]]),0)</f>
        <v>1</v>
      </c>
      <c r="BC397" s="185">
        <v>45740</v>
      </c>
      <c r="BD397" s="185">
        <v>45740</v>
      </c>
      <c r="BE397" s="185">
        <v>45741</v>
      </c>
      <c r="BF397" s="185">
        <v>45741</v>
      </c>
      <c r="BG397" s="20">
        <f>IFERROR(IF(BC397-DATA[[#This Row],[fecha_fs]]&lt;0,0,BC397-DATA[[#This Row],[fecha_fs]]),0)</f>
        <v>0</v>
      </c>
      <c r="BH397" s="20">
        <f t="shared" si="47"/>
        <v>0</v>
      </c>
      <c r="BI397" s="20">
        <f t="shared" si="48"/>
        <v>1</v>
      </c>
      <c r="BJ397" s="20">
        <f t="shared" si="49"/>
        <v>0</v>
      </c>
      <c r="BK397" s="218">
        <f>IFERROR(SUM(DATA[[#This Row],[fs_fd_ttd]:[fend_fenf_ttd]]),0)</f>
        <v>1</v>
      </c>
      <c r="BL397" s="20" t="str">
        <f>IF(DATA[[#This Row],[fecha_fs]]&gt;0,TEXT(DATA[[#This Row],[fecha_fs]],"YYYY"),0)</f>
        <v>2025</v>
      </c>
      <c r="BM397" s="221" t="b">
        <v>1</v>
      </c>
      <c r="BN397" s="278">
        <f>COUNTIF(DATA[[#This Row],[tiempo_td]], "&lt;=15")</f>
        <v>1</v>
      </c>
      <c r="BO397" s="222"/>
    </row>
    <row r="398" spans="1:67" ht="30.6" customHeight="1" x14ac:dyDescent="0.25">
      <c r="A398" s="4">
        <v>20100226902</v>
      </c>
      <c r="B398" s="5" t="s">
        <v>24</v>
      </c>
      <c r="C398" s="52" t="s">
        <v>18</v>
      </c>
      <c r="D398" s="4" t="s">
        <v>120</v>
      </c>
      <c r="E398" s="5" t="s">
        <v>3</v>
      </c>
      <c r="F398" s="24">
        <v>45740</v>
      </c>
      <c r="G398" s="7" t="s">
        <v>113</v>
      </c>
      <c r="H398" s="25">
        <f t="shared" si="44"/>
        <v>1</v>
      </c>
      <c r="I398" s="67">
        <v>4274</v>
      </c>
      <c r="J398" s="8" t="s">
        <v>115</v>
      </c>
      <c r="K398" s="9" t="s">
        <v>121</v>
      </c>
      <c r="L398" s="10" t="s">
        <v>117</v>
      </c>
      <c r="M398" s="11">
        <v>420</v>
      </c>
      <c r="N398" s="12" t="s">
        <v>127</v>
      </c>
      <c r="O398" s="40"/>
      <c r="P398" s="41" t="s">
        <v>114</v>
      </c>
      <c r="Q398" s="42"/>
      <c r="R398" s="43"/>
      <c r="S398" s="43"/>
      <c r="T398" s="43">
        <f>DATA[[#This Row],[C. DF]]+DATA[[#This Row],[C.OPE.]]</f>
        <v>0</v>
      </c>
      <c r="U398" s="43">
        <f>DATA[[#This Row],[SUB TOTAL]]*0.18</f>
        <v>0</v>
      </c>
      <c r="V398" s="43">
        <f>IFERROR(ROUND(DATA[[#This Row],[SUB TOTAL]]+DATA[[#This Row],[IGV]],2),0)</f>
        <v>0</v>
      </c>
      <c r="W398" s="58" t="str">
        <f>IF(DATA[[#This Row],[VALORIZACIÓN ]]="-","NO CORRESPONDE",IF(OR(A398=20558226979,A398=10470707866,A398=20111157058,A398=20100226902),"NO CORRESPONDE",IF(J398="Emitida",IF(P398&gt;0,"EMITIDA","PENDIENTE"),"NO CORRESPONDE")))</f>
        <v>NO CORRESPONDE</v>
      </c>
      <c r="X398" s="45"/>
      <c r="Y398" s="58" t="s">
        <v>128</v>
      </c>
      <c r="Z398" s="46"/>
      <c r="AA398" s="47"/>
      <c r="AB398" s="48"/>
      <c r="AC398" s="49"/>
      <c r="AD398" s="50">
        <f>DATA[[#This Row],[FECHA DE EMISION]]+DATA[[#This Row],[CONDICION DE PAGO]]</f>
        <v>0</v>
      </c>
      <c r="AE398" s="23">
        <f>IF(DATA[[#This Row],[MONEDA]]="USD",VLOOKUP(DATA[[#This Row],[COMBINADA]],#REF!,11,0),1)</f>
        <v>1</v>
      </c>
      <c r="AF398" s="39" t="str">
        <f>IF(DATA[[#This Row],[SERIE2]]="-","NO CORRESPONDE",IF(W398="NO CORRESPONDE","NO CORRESPONDE",IF(Z398&gt;0,"FACTURADO","PENDIENTE")))</f>
        <v>NO CORRESPONDE</v>
      </c>
      <c r="AG398" s="60">
        <f>IFERROR(VLOOKUP(DATA[[#This Row],[COMBINADA]],#REF!,6,0),0)</f>
        <v>0</v>
      </c>
      <c r="AH398" s="126">
        <f>IFERROR(VLOOKUP(DATA[[#This Row],[COMBINADA]],#REF!,9,0),0)/COUNTIFS(DATA[COMBINADA],DATA[[#This Row],[COMBINADA]])</f>
        <v>0</v>
      </c>
      <c r="AI398" s="60">
        <f>IFERROR(VLOOKUP(DATA[[#This Row],[COMBINADA]],#REF!,6,0),0)</f>
        <v>0</v>
      </c>
      <c r="AJ398" s="126">
        <f>IFERROR(VLOOKUP(DATA[[#This Row],[COMBINADA]],#REF!,9,0),0)/COUNTIFS(DATA[COMBINADA],DATA[[#This Row],[COMBINADA]])</f>
        <v>0</v>
      </c>
      <c r="AK398" s="60">
        <f>IFERROR(VLOOKUP(DATA[[#This Row],[COMBINADA]],#REF!,6,0),0)</f>
        <v>0</v>
      </c>
      <c r="AL398" s="126">
        <f>IFERROR(VLOOKUP(DATA[[#This Row],[COMBINADA]],#REF!,9,0),0)/COUNTIFS(DATA[COMBINADA],DATA[[#This Row],[COMBINADA]])</f>
        <v>0</v>
      </c>
      <c r="AM398" s="60">
        <f>IFERROR(VLOOKUP(DATA[[#This Row],[COMBINADA]],#REF!,6,0),0)</f>
        <v>0</v>
      </c>
      <c r="AN398" s="126">
        <f>IFERROR(VLOOKUP(DATA[[#This Row],[COMBINADA]],#REF!,9,0),0)/COUNTIFS(DATA[COMBINADA],DATA[[#This Row],[COMBINADA]])</f>
        <v>0</v>
      </c>
      <c r="AO398" s="60">
        <f>IFERROR(VLOOKUP(DATA[[#This Row],[COMBINADA]],#REF!,6,0),0)</f>
        <v>0</v>
      </c>
      <c r="AP398" s="126">
        <f>IFERROR(VLOOKUP(DATA[[#This Row],[COMBINADA]],#REF!,9,0),0)/COUNTIFS(DATA[COMBINADA],DATA[[#This Row],[COMBINADA]])</f>
        <v>0</v>
      </c>
      <c r="AQ398"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398" s="22" t="str">
        <f>IFERROR(IF(DATA[[#This Row],[estado_fact]]="FACTURADO",VLOOKUP(DATA[[#This Row],[SERIE2]]&amp;"-"&amp;DATA[[#This Row],[NUMERO]],#REF!,34,0),"NO CORRESPONDE"),"NO CORRESPONDE")</f>
        <v>NO CORRESPONDE</v>
      </c>
      <c r="AS398" s="22" t="str">
        <f>IF(DATA[[#This Row],[fecha_fs]]&gt;0,TEXT(DATA[[#This Row],[fecha_fs]],"Mmmm"),0)</f>
        <v>Marzo</v>
      </c>
      <c r="AT398" s="22" t="str">
        <f>DATA[[#This Row],[SERIE2]]&amp;"-"&amp;DATA[[#This Row],[NUMERO]]</f>
        <v>-</v>
      </c>
      <c r="AU398" s="28">
        <f>DATA[[#This Row],[TOTAL]]*DATA[[#This Row],[T.C.]]</f>
        <v>0</v>
      </c>
      <c r="AV398" s="6">
        <f>DATA[[#This Row],[FECHA DE VAL.]]</f>
        <v>0</v>
      </c>
      <c r="AW398" s="6">
        <f>DATA[[#This Row],[FECHA DE EMISION]]</f>
        <v>0</v>
      </c>
      <c r="AX398" s="6">
        <f>DATA[[#This Row],[F1]]</f>
        <v>0</v>
      </c>
      <c r="AY398" s="20">
        <f>IF(AV398-DATA[[#This Row],[fecha_fs]]&lt;0,0,AV398-DATA[[#This Row],[fecha_fs]])</f>
        <v>0</v>
      </c>
      <c r="AZ398" s="20">
        <f t="shared" si="45"/>
        <v>0</v>
      </c>
      <c r="BA398" s="20">
        <f t="shared" si="46"/>
        <v>0</v>
      </c>
      <c r="BB398" s="195">
        <f>IFERROR(SUM(DATA[[#This Row],[fs_val_ttf]:[fact_pago_ttf]]),0)</f>
        <v>0</v>
      </c>
      <c r="BC398" s="185">
        <v>45740</v>
      </c>
      <c r="BD398" s="185">
        <v>45740</v>
      </c>
      <c r="BE398" s="185">
        <v>45768</v>
      </c>
      <c r="BF398" s="185">
        <v>45768</v>
      </c>
      <c r="BG398" s="20">
        <f>IFERROR(IF(BC398-DATA[[#This Row],[fecha_fs]]&lt;0,0,BC398-DATA[[#This Row],[fecha_fs]]),0)</f>
        <v>0</v>
      </c>
      <c r="BH398" s="20">
        <f t="shared" si="47"/>
        <v>0</v>
      </c>
      <c r="BI398" s="20">
        <f t="shared" si="48"/>
        <v>28</v>
      </c>
      <c r="BJ398" s="20">
        <f t="shared" si="49"/>
        <v>0</v>
      </c>
      <c r="BK398" s="218">
        <f>IFERROR(SUM(DATA[[#This Row],[fs_fd_ttd]:[fend_fenf_ttd]]),0)</f>
        <v>28</v>
      </c>
      <c r="BL398" s="20" t="str">
        <f>IF(DATA[[#This Row],[fecha_fs]]&gt;0,TEXT(DATA[[#This Row],[fecha_fs]],"YYYY"),0)</f>
        <v>2025</v>
      </c>
      <c r="BM398" s="221" t="b">
        <v>1</v>
      </c>
      <c r="BN398" s="278">
        <f>COUNTIF(DATA[[#This Row],[tiempo_td]], "&lt;=15")</f>
        <v>0</v>
      </c>
      <c r="BO398" s="222"/>
    </row>
    <row r="399" spans="1:67" ht="30.6" customHeight="1" x14ac:dyDescent="0.25">
      <c r="A399" s="4">
        <v>20100211115</v>
      </c>
      <c r="B399" s="5" t="s">
        <v>41</v>
      </c>
      <c r="C399" s="52" t="s">
        <v>18</v>
      </c>
      <c r="D399" s="4" t="s">
        <v>120</v>
      </c>
      <c r="E399" s="5" t="s">
        <v>3</v>
      </c>
      <c r="F399" s="24">
        <v>45740</v>
      </c>
      <c r="G399" s="7" t="s">
        <v>113</v>
      </c>
      <c r="H399" s="25">
        <f t="shared" si="44"/>
        <v>1</v>
      </c>
      <c r="I399" s="67">
        <v>4275</v>
      </c>
      <c r="J399" s="8" t="s">
        <v>115</v>
      </c>
      <c r="K399" s="9" t="s">
        <v>121</v>
      </c>
      <c r="L399" s="10" t="s">
        <v>117</v>
      </c>
      <c r="M399" s="11">
        <v>90</v>
      </c>
      <c r="N399" s="12" t="s">
        <v>132</v>
      </c>
      <c r="O399" s="6">
        <v>45743</v>
      </c>
      <c r="P399" s="115">
        <v>3362</v>
      </c>
      <c r="Q399" s="14" t="s">
        <v>85</v>
      </c>
      <c r="R399" s="15"/>
      <c r="S399" s="15">
        <f>(DATA[[#This Row],[cantidad_fs]]*4.37)</f>
        <v>393.3</v>
      </c>
      <c r="T399" s="15">
        <f>DATA[[#This Row],[C. DF]]+DATA[[#This Row],[C.OPE.]]</f>
        <v>393.3</v>
      </c>
      <c r="U399" s="15">
        <f>DATA[[#This Row],[SUB TOTAL]]*0.18</f>
        <v>70.793999999999997</v>
      </c>
      <c r="V399" s="15">
        <f>IFERROR(ROUND(DATA[[#This Row],[SUB TOTAL]]+DATA[[#This Row],[IGV]],2),0)</f>
        <v>464.09</v>
      </c>
      <c r="W399" s="16" t="str">
        <f>IF(DATA[[#This Row],[VALORIZACIÓN ]]="-","NO CORRESPONDE",IF(OR(A399=20558226979,A399=10470707866,A399=20111157058,A399=20100226902),"NO CORRESPONDE",IF(J399="Emitida",IF(P399&gt;0,"EMITIDA","PENDIENTE"),"NO CORRESPONDE")))</f>
        <v>EMITIDA</v>
      </c>
      <c r="X399" s="29"/>
      <c r="Y399" s="17" t="s">
        <v>118</v>
      </c>
      <c r="Z399" s="30">
        <v>45744</v>
      </c>
      <c r="AA399" s="10" t="s">
        <v>150</v>
      </c>
      <c r="AB399" s="19">
        <v>2</v>
      </c>
      <c r="AC399" s="20">
        <v>30</v>
      </c>
      <c r="AD399" s="18">
        <f>DATA[[#This Row],[FECHA DE EMISION]]+DATA[[#This Row],[CONDICION DE PAGO]]</f>
        <v>45774</v>
      </c>
      <c r="AE399" s="23">
        <f>IF(DATA[[#This Row],[MONEDA]]="USD",VLOOKUP(DATA[[#This Row],[COMBINADA]],#REF!,11,0),1)</f>
        <v>1</v>
      </c>
      <c r="AF399" s="39" t="str">
        <f>IF(DATA[[#This Row],[SERIE2]]="-","NO CORRESPONDE",IF(W399="NO CORRESPONDE","NO CORRESPONDE",IF(Z399&gt;0,"FACTURADO","PENDIENTE")))</f>
        <v>FACTURADO</v>
      </c>
      <c r="AG399" s="27">
        <f>IFERROR(VLOOKUP(DATA[[#This Row],[COMBINADA]],#REF!,6,0),0)</f>
        <v>0</v>
      </c>
      <c r="AH399" s="125">
        <f>IFERROR(VLOOKUP(DATA[[#This Row],[COMBINADA]],#REF!,9,0),0)/COUNTIFS(DATA[COMBINADA],DATA[[#This Row],[COMBINADA]])</f>
        <v>0</v>
      </c>
      <c r="AI399" s="27">
        <f>IFERROR(VLOOKUP(DATA[[#This Row],[COMBINADA]],#REF!,6,0),0)</f>
        <v>0</v>
      </c>
      <c r="AJ399" s="125">
        <f>IFERROR(VLOOKUP(DATA[[#This Row],[COMBINADA]],#REF!,9,0),0)/COUNTIFS(DATA[COMBINADA],DATA[[#This Row],[COMBINADA]])</f>
        <v>0</v>
      </c>
      <c r="AK399" s="27">
        <f>IFERROR(VLOOKUP(DATA[[#This Row],[COMBINADA]],#REF!,6,0),0)</f>
        <v>0</v>
      </c>
      <c r="AL399" s="125">
        <f>IFERROR(VLOOKUP(DATA[[#This Row],[COMBINADA]],#REF!,9,0),0)/COUNTIFS(DATA[COMBINADA],DATA[[#This Row],[COMBINADA]])</f>
        <v>0</v>
      </c>
      <c r="AM399" s="27">
        <f>IFERROR(VLOOKUP(DATA[[#This Row],[COMBINADA]],#REF!,6,0),0)</f>
        <v>0</v>
      </c>
      <c r="AN399" s="125">
        <f>IFERROR(VLOOKUP(DATA[[#This Row],[COMBINADA]],#REF!,9,0),0)/COUNTIFS(DATA[COMBINADA],DATA[[#This Row],[COMBINADA]])</f>
        <v>0</v>
      </c>
      <c r="AO399" s="27">
        <f>IFERROR(VLOOKUP(DATA[[#This Row],[COMBINADA]],#REF!,6,0),0)</f>
        <v>0</v>
      </c>
      <c r="AP399" s="125">
        <f>IFERROR(VLOOKUP(DATA[[#This Row],[COMBINADA]],#REF!,9,0),0)/COUNTIFS(DATA[COMBINADA],DATA[[#This Row],[COMBINADA]])</f>
        <v>0</v>
      </c>
      <c r="AQ39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399" s="26" t="str">
        <f>IFERROR(IF(DATA[[#This Row],[estado_fact]]="FACTURADO",VLOOKUP(DATA[[#This Row],[SERIE2]]&amp;"-"&amp;DATA[[#This Row],[NUMERO]],#REF!,34,0),"NO CORRESPONDE"),"NO CORRESPONDE")</f>
        <v>NO CORRESPONDE</v>
      </c>
      <c r="AS399" s="22" t="str">
        <f>IF(DATA[[#This Row],[fecha_fs]]&gt;0,TEXT(DATA[[#This Row],[fecha_fs]],"Mmmm"),0)</f>
        <v>Marzo</v>
      </c>
      <c r="AT399" s="22" t="str">
        <f>DATA[[#This Row],[SERIE2]]&amp;"-"&amp;DATA[[#This Row],[NUMERO]]</f>
        <v>FF01-2</v>
      </c>
      <c r="AU399" s="28">
        <f>DATA[[#This Row],[TOTAL]]*DATA[[#This Row],[T.C.]]</f>
        <v>464.09</v>
      </c>
      <c r="AV399" s="6">
        <f>DATA[[#This Row],[FECHA DE VAL.]]</f>
        <v>45743</v>
      </c>
      <c r="AW399" s="6">
        <f>DATA[[#This Row],[FECHA DE EMISION]]</f>
        <v>45744</v>
      </c>
      <c r="AX399" s="6">
        <f>DATA[[#This Row],[F1]]</f>
        <v>0</v>
      </c>
      <c r="AY399" s="20">
        <f>IF(AV399-DATA[[#This Row],[fecha_fs]]&lt;0,0,AV399-DATA[[#This Row],[fecha_fs]])</f>
        <v>3</v>
      </c>
      <c r="AZ399" s="20">
        <f t="shared" si="45"/>
        <v>1</v>
      </c>
      <c r="BA399" s="20">
        <f t="shared" si="46"/>
        <v>0</v>
      </c>
      <c r="BB399" s="195">
        <f>IFERROR(SUM(DATA[[#This Row],[fs_val_ttf]:[fact_pago_ttf]]),0)</f>
        <v>4</v>
      </c>
      <c r="BC399" s="185">
        <v>45742</v>
      </c>
      <c r="BD399" s="185">
        <v>45751</v>
      </c>
      <c r="BE399" s="185">
        <v>45757</v>
      </c>
      <c r="BF399" s="185">
        <v>45758</v>
      </c>
      <c r="BG399" s="20">
        <f>IFERROR(IF(BC399-DATA[[#This Row],[fecha_fs]]&lt;0,0,BC399-DATA[[#This Row],[fecha_fs]]),0)</f>
        <v>2</v>
      </c>
      <c r="BH399" s="20">
        <f t="shared" si="47"/>
        <v>9</v>
      </c>
      <c r="BI399" s="20">
        <f t="shared" si="48"/>
        <v>6</v>
      </c>
      <c r="BJ399" s="20">
        <f t="shared" si="49"/>
        <v>1</v>
      </c>
      <c r="BK399" s="218">
        <f>IFERROR(SUM(DATA[[#This Row],[fs_fd_ttd]:[fend_fenf_ttd]]),0)</f>
        <v>18</v>
      </c>
      <c r="BL399" s="20" t="str">
        <f>IF(DATA[[#This Row],[fecha_fs]]&gt;0,TEXT(DATA[[#This Row],[fecha_fs]],"YYYY"),0)</f>
        <v>2025</v>
      </c>
      <c r="BM399" s="221" t="b">
        <v>1</v>
      </c>
      <c r="BN399" s="278">
        <f>COUNTIF(DATA[[#This Row],[tiempo_td]], "&lt;=15")</f>
        <v>0</v>
      </c>
      <c r="BO399" s="222"/>
    </row>
    <row r="400" spans="1:67" ht="30.6" customHeight="1" x14ac:dyDescent="0.25">
      <c r="A400" s="4">
        <v>20100192064</v>
      </c>
      <c r="B400" s="5" t="s">
        <v>60</v>
      </c>
      <c r="C400" s="52" t="s">
        <v>43</v>
      </c>
      <c r="D400" s="4" t="s">
        <v>112</v>
      </c>
      <c r="E400" s="5" t="s">
        <v>1</v>
      </c>
      <c r="F400" s="24">
        <v>45740</v>
      </c>
      <c r="G400" s="7" t="s">
        <v>113</v>
      </c>
      <c r="H400" s="25">
        <f t="shared" si="44"/>
        <v>1</v>
      </c>
      <c r="I400" s="67">
        <v>4276</v>
      </c>
      <c r="J400" s="8" t="s">
        <v>115</v>
      </c>
      <c r="K400" s="9" t="s">
        <v>116</v>
      </c>
      <c r="L400" s="10" t="s">
        <v>117</v>
      </c>
      <c r="M400" s="11">
        <v>1430</v>
      </c>
      <c r="N400" s="12" t="s">
        <v>132</v>
      </c>
      <c r="O400" s="6">
        <v>45742</v>
      </c>
      <c r="P400" s="71">
        <v>3353</v>
      </c>
      <c r="Q400" s="14" t="s">
        <v>123</v>
      </c>
      <c r="R400" s="15">
        <f>(DATA[[#This Row],[cantidad_fs]]/1000)*(143+175.34)</f>
        <v>455.22620000000001</v>
      </c>
      <c r="S400" s="15">
        <v>137</v>
      </c>
      <c r="T400" s="15">
        <f>DATA[[#This Row],[C. DF]]+DATA[[#This Row],[C.OPE.]]</f>
        <v>592.22620000000006</v>
      </c>
      <c r="U400" s="15">
        <f>DATA[[#This Row],[SUB TOTAL]]*0.18</f>
        <v>106.60071600000001</v>
      </c>
      <c r="V400" s="15">
        <f>IFERROR(ROUND(DATA[[#This Row],[SUB TOTAL]]+DATA[[#This Row],[IGV]],2),0)</f>
        <v>698.83</v>
      </c>
      <c r="W400" s="16" t="str">
        <f>IF(DATA[[#This Row],[VALORIZACIÓN ]]="-","NO CORRESPONDE",IF(OR(A400=20558226979,A400=10470707866,A400=20111157058,A400=20100226902),"NO CORRESPONDE",IF(J400="Emitida",IF(P400&gt;0,"EMITIDA","PENDIENTE"),"NO CORRESPONDE")))</f>
        <v>EMITIDA</v>
      </c>
      <c r="X400" s="29" t="s">
        <v>212</v>
      </c>
      <c r="Y400" s="17" t="s">
        <v>118</v>
      </c>
      <c r="Z400" s="30">
        <v>45743</v>
      </c>
      <c r="AA400" s="10" t="s">
        <v>150</v>
      </c>
      <c r="AB400" s="19">
        <v>1</v>
      </c>
      <c r="AC400" s="20">
        <v>30</v>
      </c>
      <c r="AD400" s="18">
        <f>DATA[[#This Row],[FECHA DE EMISION]]+DATA[[#This Row],[CONDICION DE PAGO]]</f>
        <v>45773</v>
      </c>
      <c r="AE400" s="23" t="e">
        <f>IF(DATA[[#This Row],[MONEDA]]="USD",VLOOKUP(DATA[[#This Row],[COMBINADA]],#REF!,11,0),1)</f>
        <v>#REF!</v>
      </c>
      <c r="AF400" s="39" t="str">
        <f>IF(DATA[[#This Row],[SERIE2]]="-","NO CORRESPONDE",IF(W400="NO CORRESPONDE","NO CORRESPONDE",IF(Z400&gt;0,"FACTURADO","PENDIENTE")))</f>
        <v>FACTURADO</v>
      </c>
      <c r="AG400" s="27">
        <f>IFERROR(VLOOKUP(DATA[[#This Row],[COMBINADA]],#REF!,6,0),0)</f>
        <v>0</v>
      </c>
      <c r="AH400" s="125">
        <f>IFERROR(VLOOKUP(DATA[[#This Row],[COMBINADA]],#REF!,9,0),0)/COUNTIFS(DATA[COMBINADA],DATA[[#This Row],[COMBINADA]])</f>
        <v>0</v>
      </c>
      <c r="AI400" s="27">
        <f>IFERROR(VLOOKUP(DATA[[#This Row],[COMBINADA]],#REF!,6,0),0)</f>
        <v>0</v>
      </c>
      <c r="AJ400" s="125">
        <f>IFERROR(VLOOKUP(DATA[[#This Row],[COMBINADA]],#REF!,9,0),0)/COUNTIFS(DATA[COMBINADA],DATA[[#This Row],[COMBINADA]])</f>
        <v>0</v>
      </c>
      <c r="AK400" s="27">
        <f>IFERROR(VLOOKUP(DATA[[#This Row],[COMBINADA]],#REF!,6,0),0)</f>
        <v>0</v>
      </c>
      <c r="AL400" s="125">
        <f>IFERROR(VLOOKUP(DATA[[#This Row],[COMBINADA]],#REF!,9,0),0)/COUNTIFS(DATA[COMBINADA],DATA[[#This Row],[COMBINADA]])</f>
        <v>0</v>
      </c>
      <c r="AM400" s="27">
        <f>IFERROR(VLOOKUP(DATA[[#This Row],[COMBINADA]],#REF!,6,0),0)</f>
        <v>0</v>
      </c>
      <c r="AN400" s="125">
        <f>IFERROR(VLOOKUP(DATA[[#This Row],[COMBINADA]],#REF!,9,0),0)/COUNTIFS(DATA[COMBINADA],DATA[[#This Row],[COMBINADA]])</f>
        <v>0</v>
      </c>
      <c r="AO400" s="27">
        <f>IFERROR(VLOOKUP(DATA[[#This Row],[COMBINADA]],#REF!,6,0),0)</f>
        <v>0</v>
      </c>
      <c r="AP400" s="125">
        <f>IFERROR(VLOOKUP(DATA[[#This Row],[COMBINADA]],#REF!,9,0),0)/COUNTIFS(DATA[COMBINADA],DATA[[#This Row],[COMBINADA]])</f>
        <v>0</v>
      </c>
      <c r="AQ40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604.21249999999986</v>
      </c>
      <c r="AR400" s="26" t="str">
        <f>IFERROR(IF(DATA[[#This Row],[estado_fact]]="FACTURADO",VLOOKUP(DATA[[#This Row],[SERIE2]]&amp;"-"&amp;DATA[[#This Row],[NUMERO]],#REF!,34,0),"NO CORRESPONDE"),"NO CORRESPONDE")</f>
        <v>NO CORRESPONDE</v>
      </c>
      <c r="AS400" s="22" t="str">
        <f>IF(DATA[[#This Row],[fecha_fs]]&gt;0,TEXT(DATA[[#This Row],[fecha_fs]],"Mmmm"),0)</f>
        <v>Marzo</v>
      </c>
      <c r="AT400" s="22" t="str">
        <f>DATA[[#This Row],[SERIE2]]&amp;"-"&amp;DATA[[#This Row],[NUMERO]]</f>
        <v>FF01-1</v>
      </c>
      <c r="AU400" s="28" t="e">
        <f>DATA[[#This Row],[TOTAL]]*DATA[[#This Row],[T.C.]]</f>
        <v>#REF!</v>
      </c>
      <c r="AV400" s="6">
        <f>DATA[[#This Row],[FECHA DE VAL.]]</f>
        <v>45742</v>
      </c>
      <c r="AW400" s="6">
        <f>DATA[[#This Row],[FECHA DE EMISION]]</f>
        <v>45743</v>
      </c>
      <c r="AX400" s="6">
        <f>DATA[[#This Row],[F1]]</f>
        <v>0</v>
      </c>
      <c r="AY400" s="20">
        <f>IF(AV400-DATA[[#This Row],[fecha_fs]]&lt;0,0,AV400-DATA[[#This Row],[fecha_fs]])</f>
        <v>2</v>
      </c>
      <c r="AZ400" s="20">
        <f t="shared" si="45"/>
        <v>1</v>
      </c>
      <c r="BA400" s="20">
        <f t="shared" si="46"/>
        <v>0</v>
      </c>
      <c r="BB400" s="195">
        <f>IFERROR(SUM(DATA[[#This Row],[fs_val_ttf]:[fact_pago_ttf]]),0)</f>
        <v>3</v>
      </c>
      <c r="BC400" s="185">
        <v>45748</v>
      </c>
      <c r="BD400" s="185">
        <v>45751</v>
      </c>
      <c r="BE400" s="185">
        <v>45784</v>
      </c>
      <c r="BF400" s="185">
        <v>45798</v>
      </c>
      <c r="BG400" s="20">
        <f>IFERROR(IF(BC400-DATA[[#This Row],[fecha_fs]]&lt;0,0,BC400-DATA[[#This Row],[fecha_fs]]),0)</f>
        <v>8</v>
      </c>
      <c r="BH400" s="20">
        <f t="shared" si="47"/>
        <v>3</v>
      </c>
      <c r="BI400" s="20">
        <f t="shared" si="48"/>
        <v>33</v>
      </c>
      <c r="BJ400" s="20">
        <f t="shared" si="49"/>
        <v>14</v>
      </c>
      <c r="BK400" s="218">
        <f>IFERROR(SUM(DATA[[#This Row],[fs_fd_ttd]:[fend_fenf_ttd]]),0)</f>
        <v>58</v>
      </c>
      <c r="BL400" s="20" t="str">
        <f>IF(DATA[[#This Row],[fecha_fs]]&gt;0,TEXT(DATA[[#This Row],[fecha_fs]],"YYYY"),0)</f>
        <v>2025</v>
      </c>
      <c r="BM400" s="221" t="b">
        <v>1</v>
      </c>
      <c r="BN400" s="278">
        <f>COUNTIF(DATA[[#This Row],[tiempo_td]], "&lt;=15")</f>
        <v>0</v>
      </c>
      <c r="BO400" s="222"/>
    </row>
    <row r="401" spans="1:67" ht="30" customHeight="1" x14ac:dyDescent="0.25">
      <c r="A401" s="4">
        <v>20100192064</v>
      </c>
      <c r="B401" s="5" t="s">
        <v>60</v>
      </c>
      <c r="C401" s="52" t="s">
        <v>43</v>
      </c>
      <c r="D401" s="4" t="s">
        <v>189</v>
      </c>
      <c r="E401" s="5" t="s">
        <v>62</v>
      </c>
      <c r="F401" s="24">
        <v>45742</v>
      </c>
      <c r="G401" s="7" t="s">
        <v>113</v>
      </c>
      <c r="H401" s="25">
        <f t="shared" si="44"/>
        <v>1</v>
      </c>
      <c r="I401" s="67">
        <v>4277</v>
      </c>
      <c r="J401" s="8" t="s">
        <v>115</v>
      </c>
      <c r="K401" s="9" t="s">
        <v>190</v>
      </c>
      <c r="L401" s="10" t="s">
        <v>117</v>
      </c>
      <c r="M401" s="11">
        <v>16200</v>
      </c>
      <c r="N401" s="12" t="s">
        <v>114</v>
      </c>
      <c r="O401" s="6">
        <v>45742</v>
      </c>
      <c r="P401" s="71">
        <v>3357</v>
      </c>
      <c r="Q401" s="14" t="s">
        <v>123</v>
      </c>
      <c r="R401" s="15"/>
      <c r="S401" s="15">
        <f>(DATA[[#This Row],[cantidad_fs]]/1000)*17</f>
        <v>275.39999999999998</v>
      </c>
      <c r="T401" s="15">
        <f>DATA[[#This Row],[C. DF]]+DATA[[#This Row],[C.OPE.]]</f>
        <v>275.39999999999998</v>
      </c>
      <c r="U401" s="15">
        <f>DATA[[#This Row],[SUB TOTAL]]*0.18</f>
        <v>49.571999999999996</v>
      </c>
      <c r="V401" s="15">
        <f>IFERROR(ROUND(DATA[[#This Row],[SUB TOTAL]]+DATA[[#This Row],[IGV]],2),0)</f>
        <v>324.97000000000003</v>
      </c>
      <c r="W401" s="16" t="str">
        <f>IF(DATA[[#This Row],[VALORIZACIÓN ]]="-","NO CORRESPONDE",IF(OR(A401=20558226979,A401=10470707866,A401=20111157058,A401=20100226902),"NO CORRESPONDE",IF(J401="Emitida",IF(P401&gt;0,"EMITIDA","PENDIENTE"),"NO CORRESPONDE")))</f>
        <v>EMITIDA</v>
      </c>
      <c r="X401" s="29" t="s">
        <v>212</v>
      </c>
      <c r="Y401" s="17" t="s">
        <v>118</v>
      </c>
      <c r="Z401" s="30">
        <v>45743</v>
      </c>
      <c r="AA401" s="10" t="s">
        <v>150</v>
      </c>
      <c r="AB401" s="19">
        <v>1</v>
      </c>
      <c r="AC401" s="20">
        <v>30</v>
      </c>
      <c r="AD401" s="18">
        <f>DATA[[#This Row],[FECHA DE EMISION]]+DATA[[#This Row],[CONDICION DE PAGO]]</f>
        <v>45773</v>
      </c>
      <c r="AE401" s="23" t="e">
        <f>IF(DATA[[#This Row],[MONEDA]]="USD",VLOOKUP(DATA[[#This Row],[COMBINADA]],#REF!,11,0),1)</f>
        <v>#REF!</v>
      </c>
      <c r="AF401" s="39" t="str">
        <f>IF(DATA[[#This Row],[SERIE2]]="-","NO CORRESPONDE",IF(W401="NO CORRESPONDE","NO CORRESPONDE",IF(Z401&gt;0,"FACTURADO","PENDIENTE")))</f>
        <v>FACTURADO</v>
      </c>
      <c r="AG401" s="61">
        <f>IFERROR(VLOOKUP(DATA[[#This Row],[COMBINADA]],#REF!,6,0),0)</f>
        <v>0</v>
      </c>
      <c r="AH401" s="62">
        <f>IFERROR(VLOOKUP(DATA[[#This Row],[COMBINADA]],#REF!,9,0),0)/COUNTIFS(DATA[COMBINADA],DATA[[#This Row],[COMBINADA]])</f>
        <v>0</v>
      </c>
      <c r="AI401" s="61">
        <f>IFERROR(VLOOKUP(DATA[[#This Row],[COMBINADA]],#REF!,6,0),0)</f>
        <v>0</v>
      </c>
      <c r="AJ401" s="62">
        <f>IFERROR(VLOOKUP(DATA[[#This Row],[COMBINADA]],#REF!,9,0),0)/COUNTIFS(DATA[COMBINADA],DATA[[#This Row],[COMBINADA]])</f>
        <v>0</v>
      </c>
      <c r="AK401" s="61">
        <f>IFERROR(VLOOKUP(DATA[[#This Row],[COMBINADA]],#REF!,6,0),0)</f>
        <v>0</v>
      </c>
      <c r="AL401" s="62">
        <f>IFERROR(VLOOKUP(DATA[[#This Row],[COMBINADA]],#REF!,9,0),0)/COUNTIFS(DATA[COMBINADA],DATA[[#This Row],[COMBINADA]])</f>
        <v>0</v>
      </c>
      <c r="AM401" s="61">
        <f>IFERROR(VLOOKUP(DATA[[#This Row],[COMBINADA]],#REF!,6,0),0)</f>
        <v>0</v>
      </c>
      <c r="AN401" s="62">
        <f>IFERROR(VLOOKUP(DATA[[#This Row],[COMBINADA]],#REF!,9,0),0)/COUNTIFS(DATA[COMBINADA],DATA[[#This Row],[COMBINADA]])</f>
        <v>0</v>
      </c>
      <c r="AO401" s="61">
        <f>IFERROR(VLOOKUP(DATA[[#This Row],[COMBINADA]],#REF!,6,0),0)</f>
        <v>0</v>
      </c>
      <c r="AP401" s="62">
        <f>IFERROR(VLOOKUP(DATA[[#This Row],[COMBINADA]],#REF!,9,0),0)/COUNTIFS(DATA[COMBINADA],DATA[[#This Row],[COMBINADA]])</f>
        <v>0</v>
      </c>
      <c r="AQ401"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604.21249999999986</v>
      </c>
      <c r="AR401" s="22" t="str">
        <f>IFERROR(IF(DATA[[#This Row],[estado_fact]]="FACTURADO",VLOOKUP(DATA[[#This Row],[SERIE2]]&amp;"-"&amp;DATA[[#This Row],[NUMERO]],#REF!,34,0),"NO CORRESPONDE"),"NO CORRESPONDE")</f>
        <v>NO CORRESPONDE</v>
      </c>
      <c r="AS401" s="65" t="str">
        <f>IF(DATA[[#This Row],[fecha_fs]]&gt;0,TEXT(DATA[[#This Row],[fecha_fs]],"Mmmm"),0)</f>
        <v>Marzo</v>
      </c>
      <c r="AT401" s="22" t="str">
        <f>DATA[[#This Row],[SERIE2]]&amp;"-"&amp;DATA[[#This Row],[NUMERO]]</f>
        <v>FF01-1</v>
      </c>
      <c r="AU401" s="65" t="e">
        <f>DATA[[#This Row],[TOTAL]]*DATA[[#This Row],[T.C.]]</f>
        <v>#REF!</v>
      </c>
      <c r="AV401" s="6">
        <f>DATA[[#This Row],[FECHA DE VAL.]]</f>
        <v>45742</v>
      </c>
      <c r="AW401" s="6">
        <f>DATA[[#This Row],[FECHA DE EMISION]]</f>
        <v>45743</v>
      </c>
      <c r="AX401" s="6">
        <f>DATA[[#This Row],[F1]]</f>
        <v>0</v>
      </c>
      <c r="AY401" s="20">
        <f>IF(AV401-DATA[[#This Row],[fecha_fs]]&lt;0,0,AV401-DATA[[#This Row],[fecha_fs]])</f>
        <v>0</v>
      </c>
      <c r="AZ401" s="20">
        <f t="shared" si="45"/>
        <v>1</v>
      </c>
      <c r="BA401" s="20">
        <f t="shared" si="46"/>
        <v>0</v>
      </c>
      <c r="BB401" s="195">
        <f>IFERROR(SUM(DATA[[#This Row],[fs_val_ttf]:[fact_pago_ttf]]),0)</f>
        <v>1</v>
      </c>
      <c r="BC401" s="185" t="s">
        <v>292</v>
      </c>
      <c r="BD401" s="185" t="s">
        <v>292</v>
      </c>
      <c r="BE401" s="185" t="s">
        <v>292</v>
      </c>
      <c r="BF401" s="185" t="s">
        <v>292</v>
      </c>
      <c r="BG401" s="20">
        <f>IFERROR(IF(BC401-DATA[[#This Row],[fecha_fs]]&lt;0,0,BC401-DATA[[#This Row],[fecha_fs]]),0)</f>
        <v>0</v>
      </c>
      <c r="BH401" s="20">
        <f t="shared" si="47"/>
        <v>0</v>
      </c>
      <c r="BI401" s="20">
        <f t="shared" si="48"/>
        <v>0</v>
      </c>
      <c r="BJ401" s="20">
        <f t="shared" si="49"/>
        <v>0</v>
      </c>
      <c r="BK401" s="218">
        <f>IFERROR(SUM(DATA[[#This Row],[fs_fd_ttd]:[fend_fenf_ttd]]),0)</f>
        <v>0</v>
      </c>
      <c r="BL401" s="20" t="str">
        <f>IF(DATA[[#This Row],[fecha_fs]]&gt;0,TEXT(DATA[[#This Row],[fecha_fs]],"YYYY"),0)</f>
        <v>2025</v>
      </c>
      <c r="BM401" s="221" t="b">
        <v>1</v>
      </c>
      <c r="BN401" s="278">
        <f>COUNTIF(DATA[[#This Row],[tiempo_td]], "&lt;=15")</f>
        <v>1</v>
      </c>
      <c r="BO401" s="222"/>
    </row>
    <row r="402" spans="1:67" ht="30.6" customHeight="1" x14ac:dyDescent="0.25">
      <c r="A402" s="4">
        <v>20100192064</v>
      </c>
      <c r="B402" s="5" t="s">
        <v>60</v>
      </c>
      <c r="C402" s="52" t="s">
        <v>43</v>
      </c>
      <c r="D402" s="4" t="s">
        <v>183</v>
      </c>
      <c r="E402" s="5" t="s">
        <v>61</v>
      </c>
      <c r="F402" s="24">
        <v>45742</v>
      </c>
      <c r="G402" s="7" t="s">
        <v>113</v>
      </c>
      <c r="H402" s="25">
        <f t="shared" si="44"/>
        <v>1</v>
      </c>
      <c r="I402" s="67">
        <v>4278</v>
      </c>
      <c r="J402" s="8" t="s">
        <v>115</v>
      </c>
      <c r="K402" s="9" t="s">
        <v>184</v>
      </c>
      <c r="L402" s="10" t="s">
        <v>117</v>
      </c>
      <c r="M402" s="111">
        <v>43200</v>
      </c>
      <c r="N402" s="112" t="s">
        <v>114</v>
      </c>
      <c r="O402" s="6">
        <v>45742</v>
      </c>
      <c r="P402" s="71">
        <v>3356</v>
      </c>
      <c r="Q402" s="14" t="s">
        <v>123</v>
      </c>
      <c r="R402" s="15"/>
      <c r="S402" s="15">
        <f>(DATA[[#This Row],[cantidad_fs]]/1000)*22</f>
        <v>950.40000000000009</v>
      </c>
      <c r="T402" s="15">
        <f>DATA[[#This Row],[C. DF]]+DATA[[#This Row],[C.OPE.]]</f>
        <v>950.40000000000009</v>
      </c>
      <c r="U402" s="15">
        <f>DATA[[#This Row],[SUB TOTAL]]*0.18</f>
        <v>171.072</v>
      </c>
      <c r="V402" s="15">
        <f>IFERROR(ROUND(DATA[[#This Row],[SUB TOTAL]]+DATA[[#This Row],[IGV]],2),0)</f>
        <v>1121.47</v>
      </c>
      <c r="W402" s="16" t="str">
        <f>IF(DATA[[#This Row],[VALORIZACIÓN ]]="-","NO CORRESPONDE",IF(OR(A402=20558226979,A402=10470707866,A402=20111157058,A402=20100226902),"NO CORRESPONDE",IF(J402="Emitida",IF(P402&gt;0,"EMITIDA","PENDIENTE"),"NO CORRESPONDE")))</f>
        <v>EMITIDA</v>
      </c>
      <c r="X402" s="29" t="s">
        <v>212</v>
      </c>
      <c r="Y402" s="17" t="s">
        <v>118</v>
      </c>
      <c r="Z402" s="30">
        <v>45743</v>
      </c>
      <c r="AA402" s="10" t="s">
        <v>150</v>
      </c>
      <c r="AB402" s="19">
        <v>1</v>
      </c>
      <c r="AC402" s="20">
        <v>30</v>
      </c>
      <c r="AD402" s="18">
        <f>DATA[[#This Row],[FECHA DE EMISION]]+DATA[[#This Row],[CONDICION DE PAGO]]</f>
        <v>45773</v>
      </c>
      <c r="AE402" s="23" t="e">
        <f>IF(DATA[[#This Row],[MONEDA]]="USD",VLOOKUP(DATA[[#This Row],[COMBINADA]],#REF!,11,0),1)</f>
        <v>#REF!</v>
      </c>
      <c r="AF402" s="39" t="str">
        <f>IF(DATA[[#This Row],[SERIE2]]="-","NO CORRESPONDE",IF(W402="NO CORRESPONDE","NO CORRESPONDE",IF(Z402&gt;0,"FACTURADO","PENDIENTE")))</f>
        <v>FACTURADO</v>
      </c>
      <c r="AG402" s="27">
        <f>IFERROR(VLOOKUP(DATA[[#This Row],[COMBINADA]],#REF!,6,0),0)</f>
        <v>0</v>
      </c>
      <c r="AH402" s="125">
        <f>IFERROR(VLOOKUP(DATA[[#This Row],[COMBINADA]],#REF!,9,0),0)/COUNTIFS(DATA[COMBINADA],DATA[[#This Row],[COMBINADA]])</f>
        <v>0</v>
      </c>
      <c r="AI402" s="27">
        <f>IFERROR(VLOOKUP(DATA[[#This Row],[COMBINADA]],#REF!,6,0),0)</f>
        <v>0</v>
      </c>
      <c r="AJ402" s="125">
        <f>IFERROR(VLOOKUP(DATA[[#This Row],[COMBINADA]],#REF!,9,0),0)/COUNTIFS(DATA[COMBINADA],DATA[[#This Row],[COMBINADA]])</f>
        <v>0</v>
      </c>
      <c r="AK402" s="27">
        <f>IFERROR(VLOOKUP(DATA[[#This Row],[COMBINADA]],#REF!,6,0),0)</f>
        <v>0</v>
      </c>
      <c r="AL402" s="125">
        <f>IFERROR(VLOOKUP(DATA[[#This Row],[COMBINADA]],#REF!,9,0),0)/COUNTIFS(DATA[COMBINADA],DATA[[#This Row],[COMBINADA]])</f>
        <v>0</v>
      </c>
      <c r="AM402" s="27">
        <f>IFERROR(VLOOKUP(DATA[[#This Row],[COMBINADA]],#REF!,6,0),0)</f>
        <v>0</v>
      </c>
      <c r="AN402" s="125">
        <f>IFERROR(VLOOKUP(DATA[[#This Row],[COMBINADA]],#REF!,9,0),0)/COUNTIFS(DATA[COMBINADA],DATA[[#This Row],[COMBINADA]])</f>
        <v>0</v>
      </c>
      <c r="AO402" s="27">
        <f>IFERROR(VLOOKUP(DATA[[#This Row],[COMBINADA]],#REF!,6,0),0)</f>
        <v>0</v>
      </c>
      <c r="AP402" s="125">
        <f>IFERROR(VLOOKUP(DATA[[#This Row],[COMBINADA]],#REF!,9,0),0)/COUNTIFS(DATA[COMBINADA],DATA[[#This Row],[COMBINADA]])</f>
        <v>0</v>
      </c>
      <c r="AQ40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604.21249999999986</v>
      </c>
      <c r="AR402" s="26" t="str">
        <f>IFERROR(IF(DATA[[#This Row],[estado_fact]]="FACTURADO",VLOOKUP(DATA[[#This Row],[SERIE2]]&amp;"-"&amp;DATA[[#This Row],[NUMERO]],#REF!,34,0),"NO CORRESPONDE"),"NO CORRESPONDE")</f>
        <v>NO CORRESPONDE</v>
      </c>
      <c r="AS402" s="22" t="str">
        <f>IF(DATA[[#This Row],[fecha_fs]]&gt;0,TEXT(DATA[[#This Row],[fecha_fs]],"Mmmm"),0)</f>
        <v>Marzo</v>
      </c>
      <c r="AT402" s="22" t="str">
        <f>DATA[[#This Row],[SERIE2]]&amp;"-"&amp;DATA[[#This Row],[NUMERO]]</f>
        <v>FF01-1</v>
      </c>
      <c r="AU402" s="28" t="e">
        <f>DATA[[#This Row],[TOTAL]]*DATA[[#This Row],[T.C.]]</f>
        <v>#REF!</v>
      </c>
      <c r="AV402" s="6">
        <f>DATA[[#This Row],[FECHA DE VAL.]]</f>
        <v>45742</v>
      </c>
      <c r="AW402" s="6">
        <f>DATA[[#This Row],[FECHA DE EMISION]]</f>
        <v>45743</v>
      </c>
      <c r="AX402" s="6">
        <f>DATA[[#This Row],[F1]]</f>
        <v>0</v>
      </c>
      <c r="AY402" s="20">
        <f>IF(AV402-DATA[[#This Row],[fecha_fs]]&lt;0,0,AV402-DATA[[#This Row],[fecha_fs]])</f>
        <v>0</v>
      </c>
      <c r="AZ402" s="20">
        <f t="shared" si="45"/>
        <v>1</v>
      </c>
      <c r="BA402" s="20">
        <f t="shared" si="46"/>
        <v>0</v>
      </c>
      <c r="BB402" s="195">
        <f>IFERROR(SUM(DATA[[#This Row],[fs_val_ttf]:[fact_pago_ttf]]),0)</f>
        <v>1</v>
      </c>
      <c r="BC402" s="185" t="s">
        <v>292</v>
      </c>
      <c r="BD402" s="185" t="s">
        <v>292</v>
      </c>
      <c r="BE402" s="185" t="s">
        <v>292</v>
      </c>
      <c r="BF402" s="185" t="s">
        <v>292</v>
      </c>
      <c r="BG402" s="20">
        <f>IFERROR(IF(BC402-DATA[[#This Row],[fecha_fs]]&lt;0,0,BC402-DATA[[#This Row],[fecha_fs]]),0)</f>
        <v>0</v>
      </c>
      <c r="BH402" s="20">
        <f t="shared" si="47"/>
        <v>0</v>
      </c>
      <c r="BI402" s="20">
        <f t="shared" si="48"/>
        <v>0</v>
      </c>
      <c r="BJ402" s="20">
        <f t="shared" si="49"/>
        <v>0</v>
      </c>
      <c r="BK402" s="218">
        <f>IFERROR(SUM(DATA[[#This Row],[fs_fd_ttd]:[fend_fenf_ttd]]),0)</f>
        <v>0</v>
      </c>
      <c r="BL402" s="20" t="str">
        <f>IF(DATA[[#This Row],[fecha_fs]]&gt;0,TEXT(DATA[[#This Row],[fecha_fs]],"YYYY"),0)</f>
        <v>2025</v>
      </c>
      <c r="BM402" s="221" t="b">
        <v>1</v>
      </c>
      <c r="BN402" s="278">
        <f>COUNTIF(DATA[[#This Row],[tiempo_td]], "&lt;=15")</f>
        <v>1</v>
      </c>
      <c r="BO402" s="222"/>
    </row>
    <row r="403" spans="1:67" ht="30.6" customHeight="1" x14ac:dyDescent="0.25">
      <c r="A403" s="4">
        <v>20141637941</v>
      </c>
      <c r="B403" s="5" t="s">
        <v>79</v>
      </c>
      <c r="C403" s="52" t="s">
        <v>220</v>
      </c>
      <c r="D403" s="4" t="s">
        <v>120</v>
      </c>
      <c r="E403" s="5" t="s">
        <v>3</v>
      </c>
      <c r="F403" s="24">
        <v>45740</v>
      </c>
      <c r="G403" s="7" t="s">
        <v>113</v>
      </c>
      <c r="H403" s="25">
        <f t="shared" si="44"/>
        <v>1</v>
      </c>
      <c r="I403" s="67">
        <v>4279</v>
      </c>
      <c r="J403" s="8" t="s">
        <v>115</v>
      </c>
      <c r="K403" s="9" t="s">
        <v>121</v>
      </c>
      <c r="L403" s="10" t="s">
        <v>117</v>
      </c>
      <c r="M403" s="11">
        <v>810</v>
      </c>
      <c r="N403" s="12" t="s">
        <v>125</v>
      </c>
      <c r="O403" s="6">
        <v>45741</v>
      </c>
      <c r="P403" s="110">
        <v>3350</v>
      </c>
      <c r="Q403" s="14" t="s">
        <v>85</v>
      </c>
      <c r="R403" s="15">
        <f>DATA[[#This Row],[cantidad_fs]]*0.67</f>
        <v>542.70000000000005</v>
      </c>
      <c r="S403" s="15">
        <v>499</v>
      </c>
      <c r="T403" s="15">
        <f>DATA[[#This Row],[C. DF]]+DATA[[#This Row],[C.OPE.]]</f>
        <v>1041.7</v>
      </c>
      <c r="U403" s="15">
        <f>DATA[[#This Row],[SUB TOTAL]]*0.18</f>
        <v>187.506</v>
      </c>
      <c r="V403" s="15">
        <f>IFERROR(ROUND(DATA[[#This Row],[SUB TOTAL]]+DATA[[#This Row],[IGV]],2),0)</f>
        <v>1229.21</v>
      </c>
      <c r="W403" s="16" t="str">
        <f>IF(DATA[[#This Row],[VALORIZACIÓN ]]="-","NO CORRESPONDE",IF(OR(A403=20558226979,A403=10470707866,A403=20111157058,A403=20100226902),"NO CORRESPONDE",IF(J403="Emitida",IF(P403&gt;0,"EMITIDA","PENDIENTE"),"NO CORRESPONDE")))</f>
        <v>EMITIDA</v>
      </c>
      <c r="X403" s="29"/>
      <c r="Y403" s="17" t="s">
        <v>118</v>
      </c>
      <c r="Z403" s="30">
        <v>45757</v>
      </c>
      <c r="AA403" s="10" t="s">
        <v>150</v>
      </c>
      <c r="AB403" s="19">
        <v>23</v>
      </c>
      <c r="AC403" s="20">
        <v>30</v>
      </c>
      <c r="AD403" s="18">
        <f>DATA[[#This Row],[FECHA DE EMISION]]+DATA[[#This Row],[CONDICION DE PAGO]]</f>
        <v>45787</v>
      </c>
      <c r="AE403" s="23">
        <f>IF(DATA[[#This Row],[MONEDA]]="USD",VLOOKUP(DATA[[#This Row],[COMBINADA]],#REF!,11,0),1)</f>
        <v>1</v>
      </c>
      <c r="AF403" s="39" t="str">
        <f>IF(DATA[[#This Row],[SERIE2]]="-","NO CORRESPONDE",IF(W403="NO CORRESPONDE","NO CORRESPONDE",IF(Z403&gt;0,"FACTURADO","PENDIENTE")))</f>
        <v>FACTURADO</v>
      </c>
      <c r="AG403" s="27">
        <f>IFERROR(VLOOKUP(DATA[[#This Row],[COMBINADA]],#REF!,6,0),0)</f>
        <v>0</v>
      </c>
      <c r="AH403" s="125">
        <f>IFERROR(VLOOKUP(DATA[[#This Row],[COMBINADA]],#REF!,9,0),0)/COUNTIFS(DATA[COMBINADA],DATA[[#This Row],[COMBINADA]])</f>
        <v>0</v>
      </c>
      <c r="AI403" s="27">
        <f>IFERROR(VLOOKUP(DATA[[#This Row],[COMBINADA]],#REF!,6,0),0)</f>
        <v>0</v>
      </c>
      <c r="AJ403" s="125">
        <f>IFERROR(VLOOKUP(DATA[[#This Row],[COMBINADA]],#REF!,9,0),0)/COUNTIFS(DATA[COMBINADA],DATA[[#This Row],[COMBINADA]])</f>
        <v>0</v>
      </c>
      <c r="AK403" s="27">
        <f>IFERROR(VLOOKUP(DATA[[#This Row],[COMBINADA]],#REF!,6,0),0)</f>
        <v>0</v>
      </c>
      <c r="AL403" s="125">
        <f>IFERROR(VLOOKUP(DATA[[#This Row],[COMBINADA]],#REF!,9,0),0)/COUNTIFS(DATA[COMBINADA],DATA[[#This Row],[COMBINADA]])</f>
        <v>0</v>
      </c>
      <c r="AM403" s="27">
        <f>IFERROR(VLOOKUP(DATA[[#This Row],[COMBINADA]],#REF!,6,0),0)</f>
        <v>0</v>
      </c>
      <c r="AN403" s="125">
        <f>IFERROR(VLOOKUP(DATA[[#This Row],[COMBINADA]],#REF!,9,0),0)/COUNTIFS(DATA[COMBINADA],DATA[[#This Row],[COMBINADA]])</f>
        <v>0</v>
      </c>
      <c r="AO403" s="27">
        <f>IFERROR(VLOOKUP(DATA[[#This Row],[COMBINADA]],#REF!,6,0),0)</f>
        <v>0</v>
      </c>
      <c r="AP403" s="125">
        <f>IFERROR(VLOOKUP(DATA[[#This Row],[COMBINADA]],#REF!,9,0),0)/COUNTIFS(DATA[COMBINADA],DATA[[#This Row],[COMBINADA]])</f>
        <v>0</v>
      </c>
      <c r="AQ40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1229.21</v>
      </c>
      <c r="AR403" s="26" t="str">
        <f>IFERROR(IF(DATA[[#This Row],[estado_fact]]="FACTURADO",VLOOKUP(DATA[[#This Row],[SERIE2]]&amp;"-"&amp;DATA[[#This Row],[NUMERO]],#REF!,34,0),"NO CORRESPONDE"),"NO CORRESPONDE")</f>
        <v>NO CORRESPONDE</v>
      </c>
      <c r="AS403" s="22" t="str">
        <f>IF(DATA[[#This Row],[fecha_fs]]&gt;0,TEXT(DATA[[#This Row],[fecha_fs]],"Mmmm"),0)</f>
        <v>Marzo</v>
      </c>
      <c r="AT403" s="22" t="str">
        <f>DATA[[#This Row],[SERIE2]]&amp;"-"&amp;DATA[[#This Row],[NUMERO]]</f>
        <v>FF01-23</v>
      </c>
      <c r="AU403" s="28">
        <f>DATA[[#This Row],[TOTAL]]*DATA[[#This Row],[T.C.]]</f>
        <v>1229.21</v>
      </c>
      <c r="AV403" s="6">
        <f>DATA[[#This Row],[FECHA DE VAL.]]</f>
        <v>45741</v>
      </c>
      <c r="AW403" s="6">
        <f>DATA[[#This Row],[FECHA DE EMISION]]</f>
        <v>45757</v>
      </c>
      <c r="AX403" s="6">
        <f>DATA[[#This Row],[F1]]</f>
        <v>0</v>
      </c>
      <c r="AY403" s="20">
        <f>IF(AV403-DATA[[#This Row],[fecha_fs]]&lt;0,0,AV403-DATA[[#This Row],[fecha_fs]])</f>
        <v>1</v>
      </c>
      <c r="AZ403" s="20">
        <f t="shared" si="45"/>
        <v>16</v>
      </c>
      <c r="BA403" s="20">
        <f t="shared" si="46"/>
        <v>0</v>
      </c>
      <c r="BB403" s="195">
        <f>IFERROR(SUM(DATA[[#This Row],[fs_val_ttf]:[fact_pago_ttf]]),0)</f>
        <v>17</v>
      </c>
      <c r="BC403" s="185">
        <v>45740</v>
      </c>
      <c r="BD403" s="185">
        <v>45740</v>
      </c>
      <c r="BE403" s="185">
        <v>45757</v>
      </c>
      <c r="BF403" s="185">
        <v>45757</v>
      </c>
      <c r="BG403" s="20">
        <f>IFERROR(IF(BC403-DATA[[#This Row],[fecha_fs]]&lt;0,0,BC403-DATA[[#This Row],[fecha_fs]]),0)</f>
        <v>0</v>
      </c>
      <c r="BH403" s="20">
        <f t="shared" si="47"/>
        <v>0</v>
      </c>
      <c r="BI403" s="20">
        <f t="shared" si="48"/>
        <v>17</v>
      </c>
      <c r="BJ403" s="20">
        <f t="shared" si="49"/>
        <v>0</v>
      </c>
      <c r="BK403" s="218">
        <f>IFERROR(SUM(DATA[[#This Row],[fs_fd_ttd]:[fend_fenf_ttd]]),0)</f>
        <v>17</v>
      </c>
      <c r="BL403" s="20" t="str">
        <f>IF(DATA[[#This Row],[fecha_fs]]&gt;0,TEXT(DATA[[#This Row],[fecha_fs]],"YYYY"),0)</f>
        <v>2025</v>
      </c>
      <c r="BM403" s="221" t="b">
        <v>1</v>
      </c>
      <c r="BN403" s="278">
        <f>COUNTIF(DATA[[#This Row],[tiempo_td]], "&lt;=15")</f>
        <v>0</v>
      </c>
      <c r="BO403" s="222"/>
    </row>
    <row r="404" spans="1:67" ht="30.6" customHeight="1" x14ac:dyDescent="0.25">
      <c r="A404" s="4">
        <v>20553956324</v>
      </c>
      <c r="B404" s="5" t="s">
        <v>281</v>
      </c>
      <c r="C404" s="52" t="s">
        <v>175</v>
      </c>
      <c r="D404" s="4" t="s">
        <v>120</v>
      </c>
      <c r="E404" s="5" t="s">
        <v>3</v>
      </c>
      <c r="F404" s="24">
        <v>45741</v>
      </c>
      <c r="G404" s="7" t="s">
        <v>113</v>
      </c>
      <c r="H404" s="25">
        <f t="shared" si="44"/>
        <v>1</v>
      </c>
      <c r="I404" s="67">
        <v>4280</v>
      </c>
      <c r="J404" s="8" t="s">
        <v>115</v>
      </c>
      <c r="K404" s="9" t="s">
        <v>121</v>
      </c>
      <c r="L404" s="10" t="s">
        <v>117</v>
      </c>
      <c r="M404" s="11">
        <v>680</v>
      </c>
      <c r="N404" s="12" t="s">
        <v>132</v>
      </c>
      <c r="O404" s="6">
        <v>45747</v>
      </c>
      <c r="P404" s="109">
        <v>3370</v>
      </c>
      <c r="Q404" s="14" t="s">
        <v>85</v>
      </c>
      <c r="R404" s="15">
        <f>DATA[[#This Row],[cantidad_fs]]*0.08</f>
        <v>54.4</v>
      </c>
      <c r="S404" s="15">
        <v>395.1</v>
      </c>
      <c r="T404" s="15">
        <f>DATA[[#This Row],[C. DF]]+DATA[[#This Row],[C.OPE.]]</f>
        <v>449.5</v>
      </c>
      <c r="U404" s="15">
        <f>DATA[[#This Row],[SUB TOTAL]]*0.18</f>
        <v>80.91</v>
      </c>
      <c r="V404" s="15">
        <f>IFERROR(ROUND(DATA[[#This Row],[SUB TOTAL]]+DATA[[#This Row],[IGV]],2),0)</f>
        <v>530.41</v>
      </c>
      <c r="W404" s="16" t="str">
        <f>IF(DATA[[#This Row],[VALORIZACIÓN ]]="-","NO CORRESPONDE",IF(OR(A404=20558226979,A404=10470707866,A404=20111157058,A404=20100226902),"NO CORRESPONDE",IF(J404="Emitida",IF(P404&gt;0,"EMITIDA","PENDIENTE"),"NO CORRESPONDE")))</f>
        <v>EMITIDA</v>
      </c>
      <c r="X404" s="29"/>
      <c r="Y404" s="17" t="s">
        <v>118</v>
      </c>
      <c r="Z404" s="30">
        <v>45790</v>
      </c>
      <c r="AA404" s="10" t="s">
        <v>150</v>
      </c>
      <c r="AB404" s="19">
        <v>75</v>
      </c>
      <c r="AC404" s="20"/>
      <c r="AD404" s="18">
        <f>DATA[[#This Row],[FECHA DE EMISION]]+DATA[[#This Row],[CONDICION DE PAGO]]</f>
        <v>45790</v>
      </c>
      <c r="AE404" s="23">
        <f>IF(DATA[[#This Row],[MONEDA]]="USD",VLOOKUP(DATA[[#This Row],[COMBINADA]],#REF!,11,0),1)</f>
        <v>1</v>
      </c>
      <c r="AF404" s="39" t="str">
        <f>IF(DATA[[#This Row],[SERIE2]]="-","NO CORRESPONDE",IF(W404="NO CORRESPONDE","NO CORRESPONDE",IF(Z404&gt;0,"FACTURADO","PENDIENTE")))</f>
        <v>FACTURADO</v>
      </c>
      <c r="AG404" s="27">
        <f>IFERROR(VLOOKUP(DATA[[#This Row],[COMBINADA]],#REF!,6,0),0)</f>
        <v>0</v>
      </c>
      <c r="AH404" s="125">
        <f>IFERROR(VLOOKUP(DATA[[#This Row],[COMBINADA]],#REF!,9,0),0)/COUNTIFS(DATA[COMBINADA],DATA[[#This Row],[COMBINADA]])</f>
        <v>0</v>
      </c>
      <c r="AI404" s="27">
        <f>IFERROR(VLOOKUP(DATA[[#This Row],[COMBINADA]],#REF!,6,0),0)</f>
        <v>0</v>
      </c>
      <c r="AJ404" s="125">
        <f>IFERROR(VLOOKUP(DATA[[#This Row],[COMBINADA]],#REF!,9,0),0)/COUNTIFS(DATA[COMBINADA],DATA[[#This Row],[COMBINADA]])</f>
        <v>0</v>
      </c>
      <c r="AK404" s="27">
        <f>IFERROR(VLOOKUP(DATA[[#This Row],[COMBINADA]],#REF!,6,0),0)</f>
        <v>0</v>
      </c>
      <c r="AL404" s="125">
        <f>IFERROR(VLOOKUP(DATA[[#This Row],[COMBINADA]],#REF!,9,0),0)/COUNTIFS(DATA[COMBINADA],DATA[[#This Row],[COMBINADA]])</f>
        <v>0</v>
      </c>
      <c r="AM404" s="27">
        <f>IFERROR(VLOOKUP(DATA[[#This Row],[COMBINADA]],#REF!,6,0),0)</f>
        <v>0</v>
      </c>
      <c r="AN404" s="125">
        <f>IFERROR(VLOOKUP(DATA[[#This Row],[COMBINADA]],#REF!,9,0),0)/COUNTIFS(DATA[COMBINADA],DATA[[#This Row],[COMBINADA]])</f>
        <v>0</v>
      </c>
      <c r="AO404" s="27">
        <f>IFERROR(VLOOKUP(DATA[[#This Row],[COMBINADA]],#REF!,6,0),0)</f>
        <v>0</v>
      </c>
      <c r="AP404" s="125">
        <f>IFERROR(VLOOKUP(DATA[[#This Row],[COMBINADA]],#REF!,9,0),0)/COUNTIFS(DATA[COMBINADA],DATA[[#This Row],[COMBINADA]])</f>
        <v>0</v>
      </c>
      <c r="AQ40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490.09299999999996</v>
      </c>
      <c r="AR404" s="26" t="str">
        <f>IFERROR(IF(DATA[[#This Row],[estado_fact]]="FACTURADO",VLOOKUP(DATA[[#This Row],[SERIE2]]&amp;"-"&amp;DATA[[#This Row],[NUMERO]],#REF!,34,0),"NO CORRESPONDE"),"NO CORRESPONDE")</f>
        <v>NO CORRESPONDE</v>
      </c>
      <c r="AS404" s="22" t="str">
        <f>IF(DATA[[#This Row],[fecha_fs]]&gt;0,TEXT(DATA[[#This Row],[fecha_fs]],"Mmmm"),0)</f>
        <v>Marzo</v>
      </c>
      <c r="AT404" s="22" t="str">
        <f>DATA[[#This Row],[SERIE2]]&amp;"-"&amp;DATA[[#This Row],[NUMERO]]</f>
        <v>FF01-75</v>
      </c>
      <c r="AU404" s="28">
        <f>DATA[[#This Row],[TOTAL]]*DATA[[#This Row],[T.C.]]</f>
        <v>530.41</v>
      </c>
      <c r="AV404" s="6">
        <f>DATA[[#This Row],[FECHA DE VAL.]]</f>
        <v>45747</v>
      </c>
      <c r="AW404" s="6">
        <f>DATA[[#This Row],[FECHA DE EMISION]]</f>
        <v>45790</v>
      </c>
      <c r="AX404" s="6">
        <f>DATA[[#This Row],[F1]]</f>
        <v>0</v>
      </c>
      <c r="AY404" s="20">
        <f>IF(AV404-DATA[[#This Row],[fecha_fs]]&lt;0,0,AV404-DATA[[#This Row],[fecha_fs]])</f>
        <v>6</v>
      </c>
      <c r="AZ404" s="20">
        <f t="shared" si="45"/>
        <v>43</v>
      </c>
      <c r="BA404" s="20">
        <f t="shared" si="46"/>
        <v>0</v>
      </c>
      <c r="BB404" s="195">
        <f>IFERROR(SUM(DATA[[#This Row],[fs_val_ttf]:[fact_pago_ttf]]),0)</f>
        <v>49</v>
      </c>
      <c r="BC404" s="185">
        <v>45748</v>
      </c>
      <c r="BD404" s="185">
        <v>45751</v>
      </c>
      <c r="BE404" s="185">
        <v>45756</v>
      </c>
      <c r="BF404" s="185">
        <v>45758</v>
      </c>
      <c r="BG404" s="20">
        <f>IFERROR(IF(BC404-DATA[[#This Row],[fecha_fs]]&lt;0,0,BC404-DATA[[#This Row],[fecha_fs]]),0)</f>
        <v>7</v>
      </c>
      <c r="BH404" s="20">
        <f t="shared" si="47"/>
        <v>3</v>
      </c>
      <c r="BI404" s="20">
        <f t="shared" si="48"/>
        <v>5</v>
      </c>
      <c r="BJ404" s="20">
        <f t="shared" si="49"/>
        <v>2</v>
      </c>
      <c r="BK404" s="218">
        <f>IFERROR(SUM(DATA[[#This Row],[fs_fd_ttd]:[fend_fenf_ttd]]),0)</f>
        <v>17</v>
      </c>
      <c r="BL404" s="20" t="str">
        <f>IF(DATA[[#This Row],[fecha_fs]]&gt;0,TEXT(DATA[[#This Row],[fecha_fs]],"YYYY"),0)</f>
        <v>2025</v>
      </c>
      <c r="BM404" s="221" t="b">
        <v>1</v>
      </c>
      <c r="BN404" s="278">
        <f>COUNTIF(DATA[[#This Row],[tiempo_td]], "&lt;=15")</f>
        <v>0</v>
      </c>
      <c r="BO404" s="222"/>
    </row>
    <row r="405" spans="1:67" ht="30.6" customHeight="1" x14ac:dyDescent="0.25">
      <c r="A405" s="4">
        <v>20100055237</v>
      </c>
      <c r="B405" s="5" t="s">
        <v>21</v>
      </c>
      <c r="C405" s="52" t="s">
        <v>138</v>
      </c>
      <c r="D405" s="4" t="s">
        <v>139</v>
      </c>
      <c r="E405" s="5" t="s">
        <v>23</v>
      </c>
      <c r="F405" s="24">
        <v>45741</v>
      </c>
      <c r="G405" s="7" t="s">
        <v>113</v>
      </c>
      <c r="H405" s="25">
        <f t="shared" si="44"/>
        <v>1</v>
      </c>
      <c r="I405" s="67">
        <v>4281</v>
      </c>
      <c r="J405" s="8" t="s">
        <v>115</v>
      </c>
      <c r="K405" s="9" t="s">
        <v>121</v>
      </c>
      <c r="L405" s="10" t="s">
        <v>117</v>
      </c>
      <c r="M405" s="11">
        <v>140</v>
      </c>
      <c r="N405" s="12" t="s">
        <v>132</v>
      </c>
      <c r="O405" s="6">
        <v>45743</v>
      </c>
      <c r="P405" s="54">
        <v>3365</v>
      </c>
      <c r="Q405" s="14" t="s">
        <v>85</v>
      </c>
      <c r="R405" s="15"/>
      <c r="S405" s="15">
        <v>297.92</v>
      </c>
      <c r="T405" s="15">
        <f>DATA[[#This Row],[C. DF]]+DATA[[#This Row],[C.OPE.]]</f>
        <v>297.92</v>
      </c>
      <c r="U405" s="15">
        <f>DATA[[#This Row],[SUB TOTAL]]*0.18</f>
        <v>53.625599999999999</v>
      </c>
      <c r="V405" s="15">
        <f>IFERROR(ROUND(DATA[[#This Row],[SUB TOTAL]]+DATA[[#This Row],[IGV]],2),0)</f>
        <v>351.55</v>
      </c>
      <c r="W405" s="16" t="str">
        <f>IF(DATA[[#This Row],[VALORIZACIÓN ]]="-","NO CORRESPONDE",IF(OR(A405=20558226979,A405=10470707866,A405=20111157058,A405=20100226902),"NO CORRESPONDE",IF(J405="Emitida",IF(P405&gt;0,"EMITIDA","PENDIENTE"),"NO CORRESPONDE")))</f>
        <v>EMITIDA</v>
      </c>
      <c r="X405" s="29"/>
      <c r="Y405" s="17" t="s">
        <v>118</v>
      </c>
      <c r="Z405" s="30">
        <v>45785</v>
      </c>
      <c r="AA405" s="10" t="s">
        <v>150</v>
      </c>
      <c r="AB405" s="19">
        <v>72</v>
      </c>
      <c r="AC405" s="20">
        <v>30</v>
      </c>
      <c r="AD405" s="18">
        <f>DATA[[#This Row],[FECHA DE EMISION]]+DATA[[#This Row],[CONDICION DE PAGO]]</f>
        <v>45815</v>
      </c>
      <c r="AE405" s="23">
        <f>IF(DATA[[#This Row],[MONEDA]]="USD",VLOOKUP(DATA[[#This Row],[COMBINADA]],#REF!,11,0),1)</f>
        <v>1</v>
      </c>
      <c r="AF405" s="39" t="str">
        <f>IF(DATA[[#This Row],[SERIE2]]="-","NO CORRESPONDE",IF(W405="NO CORRESPONDE","NO CORRESPONDE",IF(Z405&gt;0,"FACTURADO","PENDIENTE")))</f>
        <v>FACTURADO</v>
      </c>
      <c r="AG405" s="27">
        <f>IFERROR(VLOOKUP(DATA[[#This Row],[COMBINADA]],#REF!,6,0),0)</f>
        <v>0</v>
      </c>
      <c r="AH405" s="125">
        <f>IFERROR(VLOOKUP(DATA[[#This Row],[COMBINADA]],#REF!,9,0),0)/COUNTIFS(DATA[COMBINADA],DATA[[#This Row],[COMBINADA]])</f>
        <v>0</v>
      </c>
      <c r="AI405" s="27">
        <f>IFERROR(VLOOKUP(DATA[[#This Row],[COMBINADA]],#REF!,6,0),0)</f>
        <v>0</v>
      </c>
      <c r="AJ405" s="125">
        <f>IFERROR(VLOOKUP(DATA[[#This Row],[COMBINADA]],#REF!,9,0),0)/COUNTIFS(DATA[COMBINADA],DATA[[#This Row],[COMBINADA]])</f>
        <v>0</v>
      </c>
      <c r="AK405" s="27">
        <f>IFERROR(VLOOKUP(DATA[[#This Row],[COMBINADA]],#REF!,6,0),0)</f>
        <v>0</v>
      </c>
      <c r="AL405" s="125">
        <f>IFERROR(VLOOKUP(DATA[[#This Row],[COMBINADA]],#REF!,9,0),0)/COUNTIFS(DATA[COMBINADA],DATA[[#This Row],[COMBINADA]])</f>
        <v>0</v>
      </c>
      <c r="AM405" s="27">
        <f>IFERROR(VLOOKUP(DATA[[#This Row],[COMBINADA]],#REF!,6,0),0)</f>
        <v>0</v>
      </c>
      <c r="AN405" s="125">
        <f>IFERROR(VLOOKUP(DATA[[#This Row],[COMBINADA]],#REF!,9,0),0)/COUNTIFS(DATA[COMBINADA],DATA[[#This Row],[COMBINADA]])</f>
        <v>0</v>
      </c>
      <c r="AO405" s="27">
        <f>IFERROR(VLOOKUP(DATA[[#This Row],[COMBINADA]],#REF!,6,0),0)</f>
        <v>0</v>
      </c>
      <c r="AP405" s="125">
        <f>IFERROR(VLOOKUP(DATA[[#This Row],[COMBINADA]],#REF!,9,0),0)/COUNTIFS(DATA[COMBINADA],DATA[[#This Row],[COMBINADA]])</f>
        <v>0</v>
      </c>
      <c r="AQ40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405" s="26" t="str">
        <f>IFERROR(IF(DATA[[#This Row],[estado_fact]]="FACTURADO",VLOOKUP(DATA[[#This Row],[SERIE2]]&amp;"-"&amp;DATA[[#This Row],[NUMERO]],#REF!,34,0),"NO CORRESPONDE"),"NO CORRESPONDE")</f>
        <v>NO CORRESPONDE</v>
      </c>
      <c r="AS405" s="22" t="str">
        <f>IF(DATA[[#This Row],[fecha_fs]]&gt;0,TEXT(DATA[[#This Row],[fecha_fs]],"Mmmm"),0)</f>
        <v>Marzo</v>
      </c>
      <c r="AT405" s="22" t="str">
        <f>DATA[[#This Row],[SERIE2]]&amp;"-"&amp;DATA[[#This Row],[NUMERO]]</f>
        <v>FF01-72</v>
      </c>
      <c r="AU405" s="28">
        <f>DATA[[#This Row],[TOTAL]]*DATA[[#This Row],[T.C.]]</f>
        <v>351.55</v>
      </c>
      <c r="AV405" s="6">
        <f>DATA[[#This Row],[FECHA DE VAL.]]</f>
        <v>45743</v>
      </c>
      <c r="AW405" s="6">
        <f>DATA[[#This Row],[FECHA DE EMISION]]</f>
        <v>45785</v>
      </c>
      <c r="AX405" s="6">
        <f>DATA[[#This Row],[F1]]</f>
        <v>0</v>
      </c>
      <c r="AY405" s="20">
        <f>IF(AV405-DATA[[#This Row],[fecha_fs]]&lt;0,0,AV405-DATA[[#This Row],[fecha_fs]])</f>
        <v>2</v>
      </c>
      <c r="AZ405" s="20">
        <f t="shared" si="45"/>
        <v>42</v>
      </c>
      <c r="BA405" s="20">
        <f t="shared" si="46"/>
        <v>0</v>
      </c>
      <c r="BB405" s="195">
        <f>IFERROR(SUM(DATA[[#This Row],[fs_val_ttf]:[fact_pago_ttf]]),0)</f>
        <v>44</v>
      </c>
      <c r="BC405" s="185">
        <v>45741</v>
      </c>
      <c r="BD405" s="185">
        <v>45741</v>
      </c>
      <c r="BE405" s="185">
        <v>45743</v>
      </c>
      <c r="BF405" s="185">
        <v>45743</v>
      </c>
      <c r="BG405" s="20">
        <f>IFERROR(IF(BC405-DATA[[#This Row],[fecha_fs]]&lt;0,0,BC405-DATA[[#This Row],[fecha_fs]]),0)</f>
        <v>0</v>
      </c>
      <c r="BH405" s="20">
        <f t="shared" si="47"/>
        <v>0</v>
      </c>
      <c r="BI405" s="20">
        <f t="shared" si="48"/>
        <v>2</v>
      </c>
      <c r="BJ405" s="20">
        <f t="shared" si="49"/>
        <v>0</v>
      </c>
      <c r="BK405" s="218">
        <f>IFERROR(SUM(DATA[[#This Row],[fs_fd_ttd]:[fend_fenf_ttd]]),0)</f>
        <v>2</v>
      </c>
      <c r="BL405" s="20" t="str">
        <f>IF(DATA[[#This Row],[fecha_fs]]&gt;0,TEXT(DATA[[#This Row],[fecha_fs]],"YYYY"),0)</f>
        <v>2025</v>
      </c>
      <c r="BM405" s="221" t="b">
        <v>1</v>
      </c>
      <c r="BN405" s="278">
        <f>COUNTIF(DATA[[#This Row],[tiempo_td]], "&lt;=15")</f>
        <v>1</v>
      </c>
      <c r="BO405" s="222"/>
    </row>
    <row r="406" spans="1:67" ht="30.6" customHeight="1" x14ac:dyDescent="0.25">
      <c r="A406" s="4">
        <v>20419158462</v>
      </c>
      <c r="B406" s="5" t="s">
        <v>2</v>
      </c>
      <c r="C406" s="52" t="s">
        <v>8</v>
      </c>
      <c r="D406" s="4" t="s">
        <v>120</v>
      </c>
      <c r="E406" s="5" t="s">
        <v>3</v>
      </c>
      <c r="F406" s="24">
        <v>45741</v>
      </c>
      <c r="G406" s="7" t="s">
        <v>113</v>
      </c>
      <c r="H406" s="25">
        <f t="shared" si="44"/>
        <v>1</v>
      </c>
      <c r="I406" s="67">
        <v>4282</v>
      </c>
      <c r="J406" s="8" t="s">
        <v>115</v>
      </c>
      <c r="K406" s="9" t="s">
        <v>156</v>
      </c>
      <c r="L406" s="10" t="s">
        <v>117</v>
      </c>
      <c r="M406" s="111">
        <v>1250</v>
      </c>
      <c r="N406" s="112" t="s">
        <v>132</v>
      </c>
      <c r="O406" s="6">
        <v>45744</v>
      </c>
      <c r="P406" s="83">
        <v>3426</v>
      </c>
      <c r="Q406" s="14" t="s">
        <v>85</v>
      </c>
      <c r="R406" s="15">
        <v>0</v>
      </c>
      <c r="S406" s="15">
        <v>1429.7</v>
      </c>
      <c r="T406" s="15">
        <f>DATA[[#This Row],[C. DF]]+DATA[[#This Row],[C.OPE.]]</f>
        <v>1429.7</v>
      </c>
      <c r="U406" s="56">
        <f>DATA[[#This Row],[SUB TOTAL]]*0.18</f>
        <v>257.346</v>
      </c>
      <c r="V406" s="56">
        <f>IFERROR(ROUND(DATA[[#This Row],[SUB TOTAL]]+DATA[[#This Row],[IGV]],2),0)</f>
        <v>1687.05</v>
      </c>
      <c r="W406" s="73" t="str">
        <f>IF(DATA[[#This Row],[VALORIZACIÓN ]]="-","NO CORRESPONDE",IF(OR(A406=20558226979,A406=10470707866,A406=20111157058,A406=20100226902),"NO CORRESPONDE",IF(J406="Emitida",IF(P406&gt;0,"EMITIDA","PENDIENTE"),"NO CORRESPONDE")))</f>
        <v>EMITIDA</v>
      </c>
      <c r="X406" s="29"/>
      <c r="Y406" s="17" t="s">
        <v>118</v>
      </c>
      <c r="Z406" s="30">
        <v>45798</v>
      </c>
      <c r="AA406" s="10" t="s">
        <v>150</v>
      </c>
      <c r="AB406" s="119">
        <v>84</v>
      </c>
      <c r="AC406" s="114">
        <v>15</v>
      </c>
      <c r="AD406" s="18">
        <f>DATA[[#This Row],[FECHA DE EMISION]]+DATA[[#This Row],[CONDICION DE PAGO]]</f>
        <v>45813</v>
      </c>
      <c r="AE406" s="23">
        <f>IF(DATA[[#This Row],[MONEDA]]="USD",VLOOKUP(DATA[[#This Row],[COMBINADA]],#REF!,11,0),1)</f>
        <v>1</v>
      </c>
      <c r="AF406" s="39" t="str">
        <f>IF(DATA[[#This Row],[SERIE2]]="-","NO CORRESPONDE",IF(W406="NO CORRESPONDE","NO CORRESPONDE",IF(Z406&gt;0,"FACTURADO","PENDIENTE")))</f>
        <v>FACTURADO</v>
      </c>
      <c r="AG406" s="27">
        <f>IFERROR(VLOOKUP(DATA[[#This Row],[COMBINADA]],#REF!,6,0),0)</f>
        <v>0</v>
      </c>
      <c r="AH406" s="125">
        <f>IFERROR(VLOOKUP(DATA[[#This Row],[COMBINADA]],#REF!,9,0),0)/COUNTIFS(DATA[COMBINADA],DATA[[#This Row],[COMBINADA]])</f>
        <v>0</v>
      </c>
      <c r="AI406" s="27">
        <f>IFERROR(VLOOKUP(DATA[[#This Row],[COMBINADA]],#REF!,6,0),0)</f>
        <v>0</v>
      </c>
      <c r="AJ406" s="125">
        <f>IFERROR(VLOOKUP(DATA[[#This Row],[COMBINADA]],#REF!,9,0),0)/COUNTIFS(DATA[COMBINADA],DATA[[#This Row],[COMBINADA]])</f>
        <v>0</v>
      </c>
      <c r="AK406" s="27">
        <f>IFERROR(VLOOKUP(DATA[[#This Row],[COMBINADA]],#REF!,6,0),0)</f>
        <v>0</v>
      </c>
      <c r="AL406" s="125">
        <f>IFERROR(VLOOKUP(DATA[[#This Row],[COMBINADA]],#REF!,9,0),0)/COUNTIFS(DATA[COMBINADA],DATA[[#This Row],[COMBINADA]])</f>
        <v>0</v>
      </c>
      <c r="AM406" s="27">
        <f>IFERROR(VLOOKUP(DATA[[#This Row],[COMBINADA]],#REF!,6,0),0)</f>
        <v>0</v>
      </c>
      <c r="AN406" s="125">
        <f>IFERROR(VLOOKUP(DATA[[#This Row],[COMBINADA]],#REF!,9,0),0)/COUNTIFS(DATA[COMBINADA],DATA[[#This Row],[COMBINADA]])</f>
        <v>0</v>
      </c>
      <c r="AO406" s="27">
        <f>IFERROR(VLOOKUP(DATA[[#This Row],[COMBINADA]],#REF!,6,0),0)</f>
        <v>0</v>
      </c>
      <c r="AP406" s="125">
        <f>IFERROR(VLOOKUP(DATA[[#This Row],[COMBINADA]],#REF!,9,0),0)/COUNTIFS(DATA[COMBINADA],DATA[[#This Row],[COMBINADA]])</f>
        <v>0</v>
      </c>
      <c r="AQ40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1687.05</v>
      </c>
      <c r="AR406" s="120" t="str">
        <f>IFERROR(IF(DATA[[#This Row],[estado_fact]]="FACTURADO",VLOOKUP(DATA[[#This Row],[SERIE2]]&amp;"-"&amp;DATA[[#This Row],[NUMERO]],#REF!,34,0),"NO CORRESPONDE"),"NO CORRESPONDE")</f>
        <v>NO CORRESPONDE</v>
      </c>
      <c r="AS406" s="22" t="str">
        <f>IF(DATA[[#This Row],[fecha_fs]]&gt;0,TEXT(DATA[[#This Row],[fecha_fs]],"Mmmm"),0)</f>
        <v>Marzo</v>
      </c>
      <c r="AT406" s="22" t="str">
        <f>DATA[[#This Row],[SERIE2]]&amp;"-"&amp;DATA[[#This Row],[NUMERO]]</f>
        <v>FF01-84</v>
      </c>
      <c r="AU406" s="65">
        <f>DATA[[#This Row],[TOTAL]]*DATA[[#This Row],[T.C.]]</f>
        <v>1687.05</v>
      </c>
      <c r="AV406" s="6">
        <f>DATA[[#This Row],[FECHA DE VAL.]]</f>
        <v>45744</v>
      </c>
      <c r="AW406" s="6">
        <f>DATA[[#This Row],[FECHA DE EMISION]]</f>
        <v>45798</v>
      </c>
      <c r="AX406" s="6">
        <f>DATA[[#This Row],[F1]]</f>
        <v>0</v>
      </c>
      <c r="AY406" s="20">
        <f>IF(AV406-DATA[[#This Row],[fecha_fs]]&lt;0,0,AV406-DATA[[#This Row],[fecha_fs]])</f>
        <v>3</v>
      </c>
      <c r="AZ406" s="20">
        <f t="shared" si="45"/>
        <v>54</v>
      </c>
      <c r="BA406" s="20">
        <f t="shared" si="46"/>
        <v>0</v>
      </c>
      <c r="BB406" s="195">
        <f>IFERROR(SUM(DATA[[#This Row],[fs_val_ttf]:[fact_pago_ttf]]),0)</f>
        <v>57</v>
      </c>
      <c r="BC406" s="185">
        <v>45741</v>
      </c>
      <c r="BD406" s="185">
        <v>45741</v>
      </c>
      <c r="BE406" s="185">
        <v>45751</v>
      </c>
      <c r="BF406" s="185">
        <v>45751</v>
      </c>
      <c r="BG406" s="20">
        <f>IFERROR(IF(BC406-DATA[[#This Row],[fecha_fs]]&lt;0,0,BC406-DATA[[#This Row],[fecha_fs]]),0)</f>
        <v>0</v>
      </c>
      <c r="BH406" s="20">
        <f t="shared" si="47"/>
        <v>0</v>
      </c>
      <c r="BI406" s="20">
        <f t="shared" si="48"/>
        <v>10</v>
      </c>
      <c r="BJ406" s="20">
        <f t="shared" si="49"/>
        <v>0</v>
      </c>
      <c r="BK406" s="218">
        <f>IFERROR(SUM(DATA[[#This Row],[fs_fd_ttd]:[fend_fenf_ttd]]),0)</f>
        <v>10</v>
      </c>
      <c r="BL406" s="20" t="str">
        <f>IF(DATA[[#This Row],[fecha_fs]]&gt;0,TEXT(DATA[[#This Row],[fecha_fs]],"YYYY"),0)</f>
        <v>2025</v>
      </c>
      <c r="BM406" s="221" t="b">
        <v>1</v>
      </c>
      <c r="BN406" s="278">
        <f>COUNTIF(DATA[[#This Row],[tiempo_td]], "&lt;=15")</f>
        <v>1</v>
      </c>
      <c r="BO406" s="222"/>
    </row>
    <row r="407" spans="1:67" ht="30.6" customHeight="1" x14ac:dyDescent="0.25">
      <c r="A407" s="4">
        <v>20509128686</v>
      </c>
      <c r="B407" s="5" t="s">
        <v>34</v>
      </c>
      <c r="C407" s="52" t="s">
        <v>221</v>
      </c>
      <c r="D407" s="4" t="s">
        <v>139</v>
      </c>
      <c r="E407" s="5" t="s">
        <v>23</v>
      </c>
      <c r="F407" s="24">
        <v>45741</v>
      </c>
      <c r="G407" s="7" t="s">
        <v>113</v>
      </c>
      <c r="H407" s="25">
        <f t="shared" si="44"/>
        <v>1</v>
      </c>
      <c r="I407" s="67">
        <v>4283</v>
      </c>
      <c r="J407" s="8" t="s">
        <v>115</v>
      </c>
      <c r="K407" s="9" t="s">
        <v>153</v>
      </c>
      <c r="L407" s="10" t="s">
        <v>117</v>
      </c>
      <c r="M407" s="111">
        <v>1790</v>
      </c>
      <c r="N407" s="112" t="s">
        <v>135</v>
      </c>
      <c r="O407" s="6">
        <v>45744</v>
      </c>
      <c r="P407" s="13">
        <v>3366</v>
      </c>
      <c r="Q407" s="14" t="s">
        <v>85</v>
      </c>
      <c r="R407" s="15"/>
      <c r="S407" s="15">
        <v>1395.9</v>
      </c>
      <c r="T407" s="15">
        <f>DATA[[#This Row],[C. DF]]+DATA[[#This Row],[C.OPE.]]</f>
        <v>1395.9</v>
      </c>
      <c r="U407" s="56">
        <f>DATA[[#This Row],[SUB TOTAL]]*0.18</f>
        <v>251.262</v>
      </c>
      <c r="V407" s="56">
        <f>IFERROR(ROUND(DATA[[#This Row],[SUB TOTAL]]+DATA[[#This Row],[IGV]],2),0)</f>
        <v>1647.16</v>
      </c>
      <c r="W407" s="73" t="str">
        <f>IF(DATA[[#This Row],[VALORIZACIÓN ]]="-","NO CORRESPONDE",IF(OR(A407=20558226979,A407=10470707866,A407=20111157058,A407=20100226902),"NO CORRESPONDE",IF(J407="Emitida",IF(P407&gt;0,"EMITIDA","PENDIENTE"),"NO CORRESPONDE")))</f>
        <v>EMITIDA</v>
      </c>
      <c r="X407" s="29"/>
      <c r="Y407" s="17" t="s">
        <v>118</v>
      </c>
      <c r="Z407" s="30">
        <v>45750</v>
      </c>
      <c r="AA407" s="10" t="s">
        <v>150</v>
      </c>
      <c r="AB407" s="119">
        <v>17</v>
      </c>
      <c r="AC407" s="114">
        <v>7</v>
      </c>
      <c r="AD407" s="18">
        <f>DATA[[#This Row],[FECHA DE EMISION]]+DATA[[#This Row],[CONDICION DE PAGO]]</f>
        <v>45757</v>
      </c>
      <c r="AE407" s="23">
        <f>IF(DATA[[#This Row],[MONEDA]]="USD",VLOOKUP(DATA[[#This Row],[COMBINADA]],#REF!,11,0),1)</f>
        <v>1</v>
      </c>
      <c r="AF407" s="39" t="str">
        <f>IF(DATA[[#This Row],[SERIE2]]="-","NO CORRESPONDE",IF(W407="NO CORRESPONDE","NO CORRESPONDE",IF(Z407&gt;0,"FACTURADO","PENDIENTE")))</f>
        <v>FACTURADO</v>
      </c>
      <c r="AG407" s="27">
        <f>IFERROR(VLOOKUP(DATA[[#This Row],[COMBINADA]],#REF!,6,0),0)</f>
        <v>0</v>
      </c>
      <c r="AH407" s="125">
        <f>IFERROR(VLOOKUP(DATA[[#This Row],[COMBINADA]],#REF!,9,0),0)/COUNTIFS(DATA[COMBINADA],DATA[[#This Row],[COMBINADA]])</f>
        <v>0</v>
      </c>
      <c r="AI407" s="27">
        <f>IFERROR(VLOOKUP(DATA[[#This Row],[COMBINADA]],#REF!,6,0),0)</f>
        <v>0</v>
      </c>
      <c r="AJ407" s="125">
        <f>IFERROR(VLOOKUP(DATA[[#This Row],[COMBINADA]],#REF!,9,0),0)/COUNTIFS(DATA[COMBINADA],DATA[[#This Row],[COMBINADA]])</f>
        <v>0</v>
      </c>
      <c r="AK407" s="27">
        <f>IFERROR(VLOOKUP(DATA[[#This Row],[COMBINADA]],#REF!,6,0),0)</f>
        <v>0</v>
      </c>
      <c r="AL407" s="125">
        <f>IFERROR(VLOOKUP(DATA[[#This Row],[COMBINADA]],#REF!,9,0),0)/COUNTIFS(DATA[COMBINADA],DATA[[#This Row],[COMBINADA]])</f>
        <v>0</v>
      </c>
      <c r="AM407" s="27">
        <f>IFERROR(VLOOKUP(DATA[[#This Row],[COMBINADA]],#REF!,6,0),0)</f>
        <v>0</v>
      </c>
      <c r="AN407" s="125">
        <f>IFERROR(VLOOKUP(DATA[[#This Row],[COMBINADA]],#REF!,9,0),0)/COUNTIFS(DATA[COMBINADA],DATA[[#This Row],[COMBINADA]])</f>
        <v>0</v>
      </c>
      <c r="AO407" s="27">
        <f>IFERROR(VLOOKUP(DATA[[#This Row],[COMBINADA]],#REF!,6,0),0)</f>
        <v>0</v>
      </c>
      <c r="AP407" s="125">
        <f>IFERROR(VLOOKUP(DATA[[#This Row],[COMBINADA]],#REF!,9,0),0)/COUNTIFS(DATA[COMBINADA],DATA[[#This Row],[COMBINADA]])</f>
        <v>0</v>
      </c>
      <c r="AQ40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1647.16</v>
      </c>
      <c r="AR407" s="120" t="str">
        <f>IFERROR(IF(DATA[[#This Row],[estado_fact]]="FACTURADO",VLOOKUP(DATA[[#This Row],[SERIE2]]&amp;"-"&amp;DATA[[#This Row],[NUMERO]],#REF!,34,0),"NO CORRESPONDE"),"NO CORRESPONDE")</f>
        <v>NO CORRESPONDE</v>
      </c>
      <c r="AS407" s="22" t="str">
        <f>IF(DATA[[#This Row],[fecha_fs]]&gt;0,TEXT(DATA[[#This Row],[fecha_fs]],"Mmmm"),0)</f>
        <v>Marzo</v>
      </c>
      <c r="AT407" s="22" t="str">
        <f>DATA[[#This Row],[SERIE2]]&amp;"-"&amp;DATA[[#This Row],[NUMERO]]</f>
        <v>FF01-17</v>
      </c>
      <c r="AU407" s="65">
        <f>DATA[[#This Row],[TOTAL]]*DATA[[#This Row],[T.C.]]</f>
        <v>1647.16</v>
      </c>
      <c r="AV407" s="6">
        <f>DATA[[#This Row],[FECHA DE VAL.]]</f>
        <v>45744</v>
      </c>
      <c r="AW407" s="6">
        <f>DATA[[#This Row],[FECHA DE EMISION]]</f>
        <v>45750</v>
      </c>
      <c r="AX407" s="6">
        <f>DATA[[#This Row],[F1]]</f>
        <v>0</v>
      </c>
      <c r="AY407" s="20">
        <f>IF(AV407-DATA[[#This Row],[fecha_fs]]&lt;0,0,AV407-DATA[[#This Row],[fecha_fs]])</f>
        <v>3</v>
      </c>
      <c r="AZ407" s="20">
        <f t="shared" si="45"/>
        <v>6</v>
      </c>
      <c r="BA407" s="20">
        <f t="shared" si="46"/>
        <v>0</v>
      </c>
      <c r="BB407" s="195">
        <f>IFERROR(SUM(DATA[[#This Row],[fs_val_ttf]:[fact_pago_ttf]]),0)</f>
        <v>9</v>
      </c>
      <c r="BC407" s="185" t="s">
        <v>292</v>
      </c>
      <c r="BD407" s="185" t="s">
        <v>292</v>
      </c>
      <c r="BE407" s="185" t="s">
        <v>292</v>
      </c>
      <c r="BF407" s="185" t="s">
        <v>292</v>
      </c>
      <c r="BG407" s="20">
        <f>IFERROR(IF(BC407-DATA[[#This Row],[fecha_fs]]&lt;0,0,BC407-DATA[[#This Row],[fecha_fs]]),0)</f>
        <v>0</v>
      </c>
      <c r="BH407" s="20">
        <f t="shared" si="47"/>
        <v>0</v>
      </c>
      <c r="BI407" s="20">
        <f t="shared" si="48"/>
        <v>0</v>
      </c>
      <c r="BJ407" s="20">
        <f t="shared" si="49"/>
        <v>0</v>
      </c>
      <c r="BK407" s="218">
        <f>IFERROR(SUM(DATA[[#This Row],[fs_fd_ttd]:[fend_fenf_ttd]]),0)</f>
        <v>0</v>
      </c>
      <c r="BL407" s="20" t="str">
        <f>IF(DATA[[#This Row],[fecha_fs]]&gt;0,TEXT(DATA[[#This Row],[fecha_fs]],"YYYY"),0)</f>
        <v>2025</v>
      </c>
      <c r="BM407" s="221" t="b">
        <v>1</v>
      </c>
      <c r="BN407" s="278">
        <f>COUNTIF(DATA[[#This Row],[tiempo_td]], "&lt;=15")</f>
        <v>1</v>
      </c>
      <c r="BO407" s="222"/>
    </row>
    <row r="408" spans="1:67" ht="30" customHeight="1" x14ac:dyDescent="0.25">
      <c r="A408" s="4"/>
      <c r="B408" s="5" t="s">
        <v>0</v>
      </c>
      <c r="C408" s="52"/>
      <c r="D408" s="4"/>
      <c r="E408" s="5" t="s">
        <v>0</v>
      </c>
      <c r="F408" s="24">
        <v>45741</v>
      </c>
      <c r="G408" s="7" t="s">
        <v>113</v>
      </c>
      <c r="H408" s="25">
        <f t="shared" si="44"/>
        <v>1</v>
      </c>
      <c r="I408" s="67">
        <v>4284</v>
      </c>
      <c r="J408" s="8" t="s">
        <v>173</v>
      </c>
      <c r="K408" s="9"/>
      <c r="L408" s="10"/>
      <c r="M408" s="111"/>
      <c r="N408" s="112"/>
      <c r="O408" s="6"/>
      <c r="P408" s="13" t="s">
        <v>114</v>
      </c>
      <c r="Q408" s="14"/>
      <c r="R408" s="15"/>
      <c r="S408" s="15"/>
      <c r="T408" s="15">
        <f>DATA[[#This Row],[C. DF]]+DATA[[#This Row],[C.OPE.]]</f>
        <v>0</v>
      </c>
      <c r="U408" s="73">
        <f>DATA[[#This Row],[SUB TOTAL]]*0.18</f>
        <v>0</v>
      </c>
      <c r="V408" s="45">
        <f>IFERROR(ROUND(DATA[[#This Row],[SUB TOTAL]]+DATA[[#This Row],[IGV]],2),0)</f>
        <v>0</v>
      </c>
      <c r="W408" s="58" t="str">
        <f>IF(DATA[[#This Row],[VALORIZACIÓN ]]="-","NO CORRESPONDE",IF(OR(A408=20558226979,A408=10470707866,A408=20111157058,A408=20100226902),"NO CORRESPONDE",IF(J408="Emitida",IF(P408&gt;0,"EMITIDA","PENDIENTE"),"NO CORRESPONDE")))</f>
        <v>NO CORRESPONDE</v>
      </c>
      <c r="X408" s="46"/>
      <c r="Y408" s="17" t="s">
        <v>128</v>
      </c>
      <c r="Z408" s="48"/>
      <c r="AA408" s="49"/>
      <c r="AB408" s="50"/>
      <c r="AC408" s="51"/>
      <c r="AD408" s="59">
        <f>DATA[[#This Row],[FECHA DE EMISION]]+DATA[[#This Row],[CONDICION DE PAGO]]</f>
        <v>0</v>
      </c>
      <c r="AE408" s="23">
        <f>IF(DATA[[#This Row],[MONEDA]]="USD",VLOOKUP(DATA[[#This Row],[COMBINADA]],#REF!,11,0),1)</f>
        <v>1</v>
      </c>
      <c r="AF408" s="39" t="str">
        <f>IF(DATA[[#This Row],[SERIE2]]="-","NO CORRESPONDE",IF(W408="NO CORRESPONDE","NO CORRESPONDE",IF(Z408&gt;0,"FACTURADO","PENDIENTE")))</f>
        <v>NO CORRESPONDE</v>
      </c>
      <c r="AG408" s="61">
        <f>IFERROR(VLOOKUP(DATA[[#This Row],[COMBINADA]],#REF!,6,0),0)</f>
        <v>0</v>
      </c>
      <c r="AH408" s="62">
        <f>IFERROR(VLOOKUP(DATA[[#This Row],[COMBINADA]],#REF!,9,0),0)/COUNTIFS(DATA[COMBINADA],DATA[[#This Row],[COMBINADA]])</f>
        <v>0</v>
      </c>
      <c r="AI408" s="61">
        <f>IFERROR(VLOOKUP(DATA[[#This Row],[COMBINADA]],#REF!,6,0),0)</f>
        <v>0</v>
      </c>
      <c r="AJ408" s="62">
        <f>IFERROR(VLOOKUP(DATA[[#This Row],[COMBINADA]],#REF!,9,0),0)/COUNTIFS(DATA[COMBINADA],DATA[[#This Row],[COMBINADA]])</f>
        <v>0</v>
      </c>
      <c r="AK408" s="61">
        <f>IFERROR(VLOOKUP(DATA[[#This Row],[COMBINADA]],#REF!,6,0),0)</f>
        <v>0</v>
      </c>
      <c r="AL408" s="62">
        <f>IFERROR(VLOOKUP(DATA[[#This Row],[COMBINADA]],#REF!,9,0),0)/COUNTIFS(DATA[COMBINADA],DATA[[#This Row],[COMBINADA]])</f>
        <v>0</v>
      </c>
      <c r="AM408" s="61">
        <f>IFERROR(VLOOKUP(DATA[[#This Row],[COMBINADA]],#REF!,6,0),0)</f>
        <v>0</v>
      </c>
      <c r="AN408" s="62">
        <f>IFERROR(VLOOKUP(DATA[[#This Row],[COMBINADA]],#REF!,9,0),0)/COUNTIFS(DATA[COMBINADA],DATA[[#This Row],[COMBINADA]])</f>
        <v>0</v>
      </c>
      <c r="AO408" s="61">
        <f>IFERROR(VLOOKUP(DATA[[#This Row],[COMBINADA]],#REF!,6,0),0)</f>
        <v>0</v>
      </c>
      <c r="AP408" s="62">
        <f>IFERROR(VLOOKUP(DATA[[#This Row],[COMBINADA]],#REF!,9,0),0)/COUNTIFS(DATA[COMBINADA],DATA[[#This Row],[COMBINADA]])</f>
        <v>0</v>
      </c>
      <c r="AQ408"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408" s="22" t="str">
        <f>IFERROR(IF(DATA[[#This Row],[estado_fact]]="FACTURADO",VLOOKUP(DATA[[#This Row],[SERIE2]]&amp;"-"&amp;DATA[[#This Row],[NUMERO]],#REF!,34,0),"NO CORRESPONDE"),"NO CORRESPONDE")</f>
        <v>NO CORRESPONDE</v>
      </c>
      <c r="AS408" s="198" t="str">
        <f>IF(DATA[[#This Row],[fecha_fs]]&gt;0,TEXT(DATA[[#This Row],[fecha_fs]],"Mmmm"),0)</f>
        <v>Marzo</v>
      </c>
      <c r="AT408" s="199" t="str">
        <f>DATA[[#This Row],[SERIE2]]&amp;"-"&amp;DATA[[#This Row],[NUMERO]]</f>
        <v>-</v>
      </c>
      <c r="AU408" s="198">
        <f>DATA[[#This Row],[TOTAL]]*DATA[[#This Row],[T.C.]]</f>
        <v>0</v>
      </c>
      <c r="AV408" s="40">
        <f>DATA[[#This Row],[FECHA DE VAL.]]</f>
        <v>0</v>
      </c>
      <c r="AW408" s="40">
        <f>DATA[[#This Row],[FECHA DE EMISION]]</f>
        <v>0</v>
      </c>
      <c r="AX408" s="40">
        <f>DATA[[#This Row],[F1]]</f>
        <v>0</v>
      </c>
      <c r="AY408" s="49">
        <f>IF(AV408-DATA[[#This Row],[fecha_fs]]&lt;0,0,AV408-DATA[[#This Row],[fecha_fs]])</f>
        <v>0</v>
      </c>
      <c r="AZ408" s="49">
        <f t="shared" si="45"/>
        <v>0</v>
      </c>
      <c r="BA408" s="49">
        <f t="shared" si="46"/>
        <v>0</v>
      </c>
      <c r="BB408" s="195">
        <f>IFERROR(SUM(DATA[[#This Row],[fs_val_ttf]:[fact_pago_ttf]]),0)</f>
        <v>0</v>
      </c>
      <c r="BC408" s="200"/>
      <c r="BD408" s="200"/>
      <c r="BE408" s="200"/>
      <c r="BF408" s="200"/>
      <c r="BG408" s="49">
        <f>IFERROR(IF(BC408-DATA[[#This Row],[fecha_fs]]&lt;0,0,BC408-DATA[[#This Row],[fecha_fs]]),0)</f>
        <v>0</v>
      </c>
      <c r="BH408" s="49">
        <f t="shared" si="47"/>
        <v>0</v>
      </c>
      <c r="BI408" s="49">
        <f t="shared" si="48"/>
        <v>0</v>
      </c>
      <c r="BJ408" s="49">
        <f t="shared" si="49"/>
        <v>0</v>
      </c>
      <c r="BK408" s="218">
        <f>IFERROR(SUM(DATA[[#This Row],[fs_fd_ttd]:[fend_fenf_ttd]]),0)</f>
        <v>0</v>
      </c>
      <c r="BL408" s="20" t="str">
        <f>IF(DATA[[#This Row],[fecha_fs]]&gt;0,TEXT(DATA[[#This Row],[fecha_fs]],"YYYY"),0)</f>
        <v>2025</v>
      </c>
      <c r="BM408" s="221" t="b">
        <v>0</v>
      </c>
      <c r="BN408" s="278"/>
      <c r="BO408" s="222"/>
    </row>
    <row r="409" spans="1:67" ht="30.6" customHeight="1" x14ac:dyDescent="0.25">
      <c r="A409" s="4">
        <v>20505675836</v>
      </c>
      <c r="B409" s="5" t="s">
        <v>42</v>
      </c>
      <c r="C409" s="52" t="s">
        <v>20</v>
      </c>
      <c r="D409" s="4" t="s">
        <v>120</v>
      </c>
      <c r="E409" s="5" t="s">
        <v>3</v>
      </c>
      <c r="F409" s="24">
        <v>45741</v>
      </c>
      <c r="G409" s="7" t="s">
        <v>113</v>
      </c>
      <c r="H409" s="25">
        <f t="shared" si="44"/>
        <v>1</v>
      </c>
      <c r="I409" s="67">
        <v>4285</v>
      </c>
      <c r="J409" s="8" t="s">
        <v>115</v>
      </c>
      <c r="K409" s="9" t="s">
        <v>121</v>
      </c>
      <c r="L409" s="10" t="s">
        <v>117</v>
      </c>
      <c r="M409" s="111">
        <v>260</v>
      </c>
      <c r="N409" s="112" t="s">
        <v>186</v>
      </c>
      <c r="O409" s="6">
        <v>45741</v>
      </c>
      <c r="P409" s="71">
        <v>3348</v>
      </c>
      <c r="Q409" s="14" t="s">
        <v>85</v>
      </c>
      <c r="R409" s="15">
        <f>(DATA[[#This Row],[cantidad_fs]]-150)*0.67</f>
        <v>73.7</v>
      </c>
      <c r="S409" s="15">
        <v>1387.83</v>
      </c>
      <c r="T409" s="15">
        <f>DATA[[#This Row],[C. DF]]+DATA[[#This Row],[C.OPE.]]</f>
        <v>1461.53</v>
      </c>
      <c r="U409" s="56">
        <f>DATA[[#This Row],[SUB TOTAL]]*0.18</f>
        <v>263.0754</v>
      </c>
      <c r="V409" s="56">
        <f>IFERROR(ROUND(DATA[[#This Row],[SUB TOTAL]]+DATA[[#This Row],[IGV]],2),0)</f>
        <v>1724.61</v>
      </c>
      <c r="W409" s="73" t="str">
        <f>IF(DATA[[#This Row],[VALORIZACIÓN ]]="-","NO CORRESPONDE",IF(OR(A409=20558226979,A409=10470707866,A409=20111157058,A409=20100226902),"NO CORRESPONDE",IF(J409="Emitida",IF(P409&gt;0,"EMITIDA","PENDIENTE"),"NO CORRESPONDE")))</f>
        <v>EMITIDA</v>
      </c>
      <c r="X409" s="29"/>
      <c r="Y409" s="17" t="s">
        <v>118</v>
      </c>
      <c r="Z409" s="30">
        <v>45782</v>
      </c>
      <c r="AA409" s="10" t="s">
        <v>150</v>
      </c>
      <c r="AB409" s="19">
        <v>63</v>
      </c>
      <c r="AC409" s="20">
        <v>30</v>
      </c>
      <c r="AD409" s="18">
        <f>DATA[[#This Row],[FECHA DE EMISION]]+DATA[[#This Row],[CONDICION DE PAGO]]</f>
        <v>45812</v>
      </c>
      <c r="AE409" s="23">
        <f>IF(DATA[[#This Row],[MONEDA]]="USD",VLOOKUP(DATA[[#This Row],[COMBINADA]],#REF!,11,0),1)</f>
        <v>1</v>
      </c>
      <c r="AF409" s="39" t="str">
        <f>IF(DATA[[#This Row],[SERIE2]]="-","NO CORRESPONDE",IF(W409="NO CORRESPONDE","NO CORRESPONDE",IF(Z409&gt;0,"FACTURADO","PENDIENTE")))</f>
        <v>FACTURADO</v>
      </c>
      <c r="AG409" s="27">
        <f>IFERROR(VLOOKUP(DATA[[#This Row],[COMBINADA]],#REF!,6,0),0)</f>
        <v>0</v>
      </c>
      <c r="AH409" s="125">
        <f>IFERROR(VLOOKUP(DATA[[#This Row],[COMBINADA]],#REF!,9,0),0)/COUNTIFS(DATA[COMBINADA],DATA[[#This Row],[COMBINADA]])</f>
        <v>0</v>
      </c>
      <c r="AI409" s="27">
        <f>IFERROR(VLOOKUP(DATA[[#This Row],[COMBINADA]],#REF!,6,0),0)</f>
        <v>0</v>
      </c>
      <c r="AJ409" s="125">
        <f>IFERROR(VLOOKUP(DATA[[#This Row],[COMBINADA]],#REF!,9,0),0)/COUNTIFS(DATA[COMBINADA],DATA[[#This Row],[COMBINADA]])</f>
        <v>0</v>
      </c>
      <c r="AK409" s="27">
        <f>IFERROR(VLOOKUP(DATA[[#This Row],[COMBINADA]],#REF!,6,0),0)</f>
        <v>0</v>
      </c>
      <c r="AL409" s="125">
        <f>IFERROR(VLOOKUP(DATA[[#This Row],[COMBINADA]],#REF!,9,0),0)/COUNTIFS(DATA[COMBINADA],DATA[[#This Row],[COMBINADA]])</f>
        <v>0</v>
      </c>
      <c r="AM409" s="27">
        <f>IFERROR(VLOOKUP(DATA[[#This Row],[COMBINADA]],#REF!,6,0),0)</f>
        <v>0</v>
      </c>
      <c r="AN409" s="125">
        <f>IFERROR(VLOOKUP(DATA[[#This Row],[COMBINADA]],#REF!,9,0),0)/COUNTIFS(DATA[COMBINADA],DATA[[#This Row],[COMBINADA]])</f>
        <v>0</v>
      </c>
      <c r="AO409" s="27">
        <f>IFERROR(VLOOKUP(DATA[[#This Row],[COMBINADA]],#REF!,6,0),0)</f>
        <v>0</v>
      </c>
      <c r="AP409" s="125">
        <f>IFERROR(VLOOKUP(DATA[[#This Row],[COMBINADA]],#REF!,9,0),0)/COUNTIFS(DATA[COMBINADA],DATA[[#This Row],[COMBINADA]])</f>
        <v>0</v>
      </c>
      <c r="AQ40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2047.1424999999999</v>
      </c>
      <c r="AR409" s="120" t="str">
        <f>IFERROR(IF(DATA[[#This Row],[estado_fact]]="FACTURADO",VLOOKUP(DATA[[#This Row],[SERIE2]]&amp;"-"&amp;DATA[[#This Row],[NUMERO]],#REF!,34,0),"NO CORRESPONDE"),"NO CORRESPONDE")</f>
        <v>NO CORRESPONDE</v>
      </c>
      <c r="AS409" s="22" t="str">
        <f>IF(DATA[[#This Row],[fecha_fs]]&gt;0,TEXT(DATA[[#This Row],[fecha_fs]],"Mmmm"),0)</f>
        <v>Marzo</v>
      </c>
      <c r="AT409" s="22" t="str">
        <f>DATA[[#This Row],[SERIE2]]&amp;"-"&amp;DATA[[#This Row],[NUMERO]]</f>
        <v>FF01-63</v>
      </c>
      <c r="AU409" s="65">
        <f>DATA[[#This Row],[TOTAL]]*DATA[[#This Row],[T.C.]]</f>
        <v>1724.61</v>
      </c>
      <c r="AV409" s="6">
        <f>DATA[[#This Row],[FECHA DE VAL.]]</f>
        <v>45741</v>
      </c>
      <c r="AW409" s="6">
        <f>DATA[[#This Row],[FECHA DE EMISION]]</f>
        <v>45782</v>
      </c>
      <c r="AX409" s="6">
        <f>DATA[[#This Row],[F1]]</f>
        <v>0</v>
      </c>
      <c r="AY409" s="20">
        <f>IF(AV409-DATA[[#This Row],[fecha_fs]]&lt;0,0,AV409-DATA[[#This Row],[fecha_fs]])</f>
        <v>0</v>
      </c>
      <c r="AZ409" s="20">
        <f t="shared" si="45"/>
        <v>41</v>
      </c>
      <c r="BA409" s="20">
        <f t="shared" si="46"/>
        <v>0</v>
      </c>
      <c r="BB409" s="195">
        <f>IFERROR(SUM(DATA[[#This Row],[fs_val_ttf]:[fact_pago_ttf]]),0)</f>
        <v>41</v>
      </c>
      <c r="BC409" s="185">
        <v>45747</v>
      </c>
      <c r="BD409" s="185">
        <v>45761</v>
      </c>
      <c r="BE409" s="185">
        <v>45789</v>
      </c>
      <c r="BF409" s="185">
        <v>45803</v>
      </c>
      <c r="BG409" s="20">
        <f>IFERROR(IF(BC409-DATA[[#This Row],[fecha_fs]]&lt;0,0,BC409-DATA[[#This Row],[fecha_fs]]),0)</f>
        <v>6</v>
      </c>
      <c r="BH409" s="20">
        <f t="shared" si="47"/>
        <v>14</v>
      </c>
      <c r="BI409" s="20">
        <f t="shared" si="48"/>
        <v>28</v>
      </c>
      <c r="BJ409" s="20">
        <f t="shared" si="49"/>
        <v>14</v>
      </c>
      <c r="BK409" s="218">
        <f>IFERROR(SUM(DATA[[#This Row],[fs_fd_ttd]:[fend_fenf_ttd]]),0)</f>
        <v>62</v>
      </c>
      <c r="BL409" s="20" t="str">
        <f>IF(DATA[[#This Row],[fecha_fs]]&gt;0,TEXT(DATA[[#This Row],[fecha_fs]],"YYYY"),0)</f>
        <v>2025</v>
      </c>
      <c r="BM409" s="221" t="b">
        <v>1</v>
      </c>
      <c r="BN409" s="278">
        <f>COUNTIF(DATA[[#This Row],[tiempo_td]], "&lt;=15")</f>
        <v>0</v>
      </c>
      <c r="BO409" s="222"/>
    </row>
    <row r="410" spans="1:67" ht="30.6" customHeight="1" x14ac:dyDescent="0.25">
      <c r="A410" s="4">
        <v>20100226902</v>
      </c>
      <c r="B410" s="5" t="s">
        <v>24</v>
      </c>
      <c r="C410" s="52" t="s">
        <v>18</v>
      </c>
      <c r="D410" s="4" t="s">
        <v>120</v>
      </c>
      <c r="E410" s="5" t="s">
        <v>3</v>
      </c>
      <c r="F410" s="24">
        <v>45742</v>
      </c>
      <c r="G410" s="7" t="s">
        <v>113</v>
      </c>
      <c r="H410" s="25">
        <f t="shared" si="44"/>
        <v>1</v>
      </c>
      <c r="I410" s="67">
        <v>4286</v>
      </c>
      <c r="J410" s="8" t="s">
        <v>115</v>
      </c>
      <c r="K410" s="9" t="s">
        <v>121</v>
      </c>
      <c r="L410" s="10" t="s">
        <v>117</v>
      </c>
      <c r="M410" s="111">
        <v>820</v>
      </c>
      <c r="N410" s="12" t="s">
        <v>127</v>
      </c>
      <c r="O410" s="40"/>
      <c r="P410" s="41" t="s">
        <v>114</v>
      </c>
      <c r="Q410" s="42"/>
      <c r="R410" s="43"/>
      <c r="S410" s="43"/>
      <c r="T410" s="43">
        <f>DATA[[#This Row],[C. DF]]+DATA[[#This Row],[C.OPE.]]</f>
        <v>0</v>
      </c>
      <c r="U410" s="43">
        <f>DATA[[#This Row],[SUB TOTAL]]*0.18</f>
        <v>0</v>
      </c>
      <c r="V410" s="43">
        <f>IFERROR(ROUND(DATA[[#This Row],[SUB TOTAL]]+DATA[[#This Row],[IGV]],2),0)</f>
        <v>0</v>
      </c>
      <c r="W410" s="58" t="str">
        <f>IF(DATA[[#This Row],[VALORIZACIÓN ]]="-","NO CORRESPONDE",IF(OR(A410=20558226979,A410=10470707866,A410=20111157058,A410=20100226902),"NO CORRESPONDE",IF(J410="Emitida",IF(P410&gt;0,"EMITIDA","PENDIENTE"),"NO CORRESPONDE")))</f>
        <v>NO CORRESPONDE</v>
      </c>
      <c r="X410" s="45"/>
      <c r="Y410" s="58" t="s">
        <v>128</v>
      </c>
      <c r="Z410" s="46"/>
      <c r="AA410" s="47"/>
      <c r="AB410" s="48"/>
      <c r="AC410" s="49"/>
      <c r="AD410" s="50">
        <f>DATA[[#This Row],[FECHA DE EMISION]]+DATA[[#This Row],[CONDICION DE PAGO]]</f>
        <v>0</v>
      </c>
      <c r="AE410" s="23">
        <f>IF(DATA[[#This Row],[MONEDA]]="USD",VLOOKUP(DATA[[#This Row],[COMBINADA]],#REF!,11,0),1)</f>
        <v>1</v>
      </c>
      <c r="AF410" s="39" t="str">
        <f>IF(DATA[[#This Row],[SERIE2]]="-","NO CORRESPONDE",IF(W410="NO CORRESPONDE","NO CORRESPONDE",IF(Z410&gt;0,"FACTURADO","PENDIENTE")))</f>
        <v>NO CORRESPONDE</v>
      </c>
      <c r="AG410" s="60">
        <f>IFERROR(VLOOKUP(DATA[[#This Row],[COMBINADA]],#REF!,6,0),0)</f>
        <v>0</v>
      </c>
      <c r="AH410" s="126">
        <f>IFERROR(VLOOKUP(DATA[[#This Row],[COMBINADA]],#REF!,9,0),0)/COUNTIFS(DATA[COMBINADA],DATA[[#This Row],[COMBINADA]])</f>
        <v>0</v>
      </c>
      <c r="AI410" s="60">
        <f>IFERROR(VLOOKUP(DATA[[#This Row],[COMBINADA]],#REF!,6,0),0)</f>
        <v>0</v>
      </c>
      <c r="AJ410" s="126">
        <f>IFERROR(VLOOKUP(DATA[[#This Row],[COMBINADA]],#REF!,9,0),0)/COUNTIFS(DATA[COMBINADA],DATA[[#This Row],[COMBINADA]])</f>
        <v>0</v>
      </c>
      <c r="AK410" s="60">
        <f>IFERROR(VLOOKUP(DATA[[#This Row],[COMBINADA]],#REF!,6,0),0)</f>
        <v>0</v>
      </c>
      <c r="AL410" s="126">
        <f>IFERROR(VLOOKUP(DATA[[#This Row],[COMBINADA]],#REF!,9,0),0)/COUNTIFS(DATA[COMBINADA],DATA[[#This Row],[COMBINADA]])</f>
        <v>0</v>
      </c>
      <c r="AM410" s="60">
        <f>IFERROR(VLOOKUP(DATA[[#This Row],[COMBINADA]],#REF!,6,0),0)</f>
        <v>0</v>
      </c>
      <c r="AN410" s="126">
        <f>IFERROR(VLOOKUP(DATA[[#This Row],[COMBINADA]],#REF!,9,0),0)/COUNTIFS(DATA[COMBINADA],DATA[[#This Row],[COMBINADA]])</f>
        <v>0</v>
      </c>
      <c r="AO410" s="60">
        <f>IFERROR(VLOOKUP(DATA[[#This Row],[COMBINADA]],#REF!,6,0),0)</f>
        <v>0</v>
      </c>
      <c r="AP410" s="126">
        <f>IFERROR(VLOOKUP(DATA[[#This Row],[COMBINADA]],#REF!,9,0),0)/COUNTIFS(DATA[COMBINADA],DATA[[#This Row],[COMBINADA]])</f>
        <v>0</v>
      </c>
      <c r="AQ410"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410" s="22" t="str">
        <f>IFERROR(IF(DATA[[#This Row],[estado_fact]]="FACTURADO",VLOOKUP(DATA[[#This Row],[SERIE2]]&amp;"-"&amp;DATA[[#This Row],[NUMERO]],#REF!,34,0),"NO CORRESPONDE"),"NO CORRESPONDE")</f>
        <v>NO CORRESPONDE</v>
      </c>
      <c r="AS410" s="22" t="str">
        <f>IF(DATA[[#This Row],[fecha_fs]]&gt;0,TEXT(DATA[[#This Row],[fecha_fs]],"Mmmm"),0)</f>
        <v>Marzo</v>
      </c>
      <c r="AT410" s="22" t="str">
        <f>DATA[[#This Row],[SERIE2]]&amp;"-"&amp;DATA[[#This Row],[NUMERO]]</f>
        <v>-</v>
      </c>
      <c r="AU410" s="65">
        <f>DATA[[#This Row],[TOTAL]]*DATA[[#This Row],[T.C.]]</f>
        <v>0</v>
      </c>
      <c r="AV410" s="6">
        <f>DATA[[#This Row],[FECHA DE VAL.]]</f>
        <v>0</v>
      </c>
      <c r="AW410" s="6">
        <f>DATA[[#This Row],[FECHA DE EMISION]]</f>
        <v>0</v>
      </c>
      <c r="AX410" s="6">
        <f>DATA[[#This Row],[F1]]</f>
        <v>0</v>
      </c>
      <c r="AY410" s="20">
        <f>IF(AV410-DATA[[#This Row],[fecha_fs]]&lt;0,0,AV410-DATA[[#This Row],[fecha_fs]])</f>
        <v>0</v>
      </c>
      <c r="AZ410" s="20">
        <f t="shared" si="45"/>
        <v>0</v>
      </c>
      <c r="BA410" s="20">
        <f t="shared" si="46"/>
        <v>0</v>
      </c>
      <c r="BB410" s="195">
        <f>IFERROR(SUM(DATA[[#This Row],[fs_val_ttf]:[fact_pago_ttf]]),0)</f>
        <v>0</v>
      </c>
      <c r="BC410" s="185">
        <v>45742</v>
      </c>
      <c r="BD410" s="185">
        <v>45742</v>
      </c>
      <c r="BE410" s="185">
        <v>45768</v>
      </c>
      <c r="BF410" s="185">
        <v>45768</v>
      </c>
      <c r="BG410" s="20">
        <f>IFERROR(IF(BC410-DATA[[#This Row],[fecha_fs]]&lt;0,0,BC410-DATA[[#This Row],[fecha_fs]]),0)</f>
        <v>0</v>
      </c>
      <c r="BH410" s="20">
        <f t="shared" si="47"/>
        <v>0</v>
      </c>
      <c r="BI410" s="20">
        <f t="shared" si="48"/>
        <v>26</v>
      </c>
      <c r="BJ410" s="20">
        <f t="shared" si="49"/>
        <v>0</v>
      </c>
      <c r="BK410" s="218">
        <f>IFERROR(SUM(DATA[[#This Row],[fs_fd_ttd]:[fend_fenf_ttd]]),0)</f>
        <v>26</v>
      </c>
      <c r="BL410" s="20" t="str">
        <f>IF(DATA[[#This Row],[fecha_fs]]&gt;0,TEXT(DATA[[#This Row],[fecha_fs]],"YYYY"),0)</f>
        <v>2025</v>
      </c>
      <c r="BM410" s="221" t="b">
        <v>1</v>
      </c>
      <c r="BN410" s="278">
        <f>COUNTIF(DATA[[#This Row],[tiempo_td]], "&lt;=15")</f>
        <v>0</v>
      </c>
      <c r="BO410" s="222"/>
    </row>
    <row r="411" spans="1:67" ht="30.6" customHeight="1" x14ac:dyDescent="0.25">
      <c r="A411" s="4">
        <v>20141637941</v>
      </c>
      <c r="B411" s="5" t="s">
        <v>79</v>
      </c>
      <c r="C411" s="52" t="s">
        <v>18</v>
      </c>
      <c r="D411" s="4" t="s">
        <v>120</v>
      </c>
      <c r="E411" s="5" t="s">
        <v>3</v>
      </c>
      <c r="F411" s="24">
        <v>45742</v>
      </c>
      <c r="G411" s="7" t="s">
        <v>113</v>
      </c>
      <c r="H411" s="25">
        <f t="shared" si="44"/>
        <v>1</v>
      </c>
      <c r="I411" s="67">
        <v>4287</v>
      </c>
      <c r="J411" s="8" t="s">
        <v>115</v>
      </c>
      <c r="K411" s="9" t="s">
        <v>121</v>
      </c>
      <c r="L411" s="10" t="s">
        <v>117</v>
      </c>
      <c r="M411" s="111">
        <v>990</v>
      </c>
      <c r="N411" s="12" t="s">
        <v>125</v>
      </c>
      <c r="O411" s="6">
        <v>45747</v>
      </c>
      <c r="P411" s="110">
        <v>3376</v>
      </c>
      <c r="Q411" s="14" t="s">
        <v>85</v>
      </c>
      <c r="R411" s="15">
        <v>70</v>
      </c>
      <c r="S411" s="15">
        <v>517</v>
      </c>
      <c r="T411" s="15">
        <f>DATA[[#This Row],[C. DF]]+DATA[[#This Row],[C.OPE.]]</f>
        <v>587</v>
      </c>
      <c r="U411" s="56">
        <f>DATA[[#This Row],[SUB TOTAL]]*0.18</f>
        <v>105.66</v>
      </c>
      <c r="V411" s="56">
        <f>IFERROR(ROUND(DATA[[#This Row],[SUB TOTAL]]+DATA[[#This Row],[IGV]],2),0)</f>
        <v>692.66</v>
      </c>
      <c r="W411" s="73" t="str">
        <f>IF(DATA[[#This Row],[VALORIZACIÓN ]]="-","NO CORRESPONDE",IF(OR(A411=20558226979,A411=10470707866,A411=20111157058,A411=20100226902),"NO CORRESPONDE",IF(J411="Emitida",IF(P411&gt;0,"EMITIDA","PENDIENTE"),"NO CORRESPONDE")))</f>
        <v>EMITIDA</v>
      </c>
      <c r="X411" s="29"/>
      <c r="Y411" s="17" t="s">
        <v>118</v>
      </c>
      <c r="Z411" s="30">
        <v>45749</v>
      </c>
      <c r="AA411" s="10" t="s">
        <v>150</v>
      </c>
      <c r="AB411" s="119">
        <v>12</v>
      </c>
      <c r="AC411" s="114">
        <v>30</v>
      </c>
      <c r="AD411" s="18">
        <f>DATA[[#This Row],[FECHA DE EMISION]]+DATA[[#This Row],[CONDICION DE PAGO]]</f>
        <v>45779</v>
      </c>
      <c r="AE411" s="23">
        <f>IF(DATA[[#This Row],[MONEDA]]="USD",VLOOKUP(DATA[[#This Row],[COMBINADA]],#REF!,11,0),1)</f>
        <v>1</v>
      </c>
      <c r="AF411" s="39" t="str">
        <f>IF(DATA[[#This Row],[SERIE2]]="-","NO CORRESPONDE",IF(W411="NO CORRESPONDE","NO CORRESPONDE",IF(Z411&gt;0,"FACTURADO","PENDIENTE")))</f>
        <v>FACTURADO</v>
      </c>
      <c r="AG411" s="27">
        <f>IFERROR(VLOOKUP(DATA[[#This Row],[COMBINADA]],#REF!,6,0),0)</f>
        <v>0</v>
      </c>
      <c r="AH411" s="125">
        <f>IFERROR(VLOOKUP(DATA[[#This Row],[COMBINADA]],#REF!,9,0),0)/COUNTIFS(DATA[COMBINADA],DATA[[#This Row],[COMBINADA]])</f>
        <v>0</v>
      </c>
      <c r="AI411" s="27">
        <f>IFERROR(VLOOKUP(DATA[[#This Row],[COMBINADA]],#REF!,6,0),0)</f>
        <v>0</v>
      </c>
      <c r="AJ411" s="125">
        <f>IFERROR(VLOOKUP(DATA[[#This Row],[COMBINADA]],#REF!,9,0),0)/COUNTIFS(DATA[COMBINADA],DATA[[#This Row],[COMBINADA]])</f>
        <v>0</v>
      </c>
      <c r="AK411" s="27">
        <f>IFERROR(VLOOKUP(DATA[[#This Row],[COMBINADA]],#REF!,6,0),0)</f>
        <v>0</v>
      </c>
      <c r="AL411" s="125">
        <f>IFERROR(VLOOKUP(DATA[[#This Row],[COMBINADA]],#REF!,9,0),0)/COUNTIFS(DATA[COMBINADA],DATA[[#This Row],[COMBINADA]])</f>
        <v>0</v>
      </c>
      <c r="AM411" s="27">
        <f>IFERROR(VLOOKUP(DATA[[#This Row],[COMBINADA]],#REF!,6,0),0)</f>
        <v>0</v>
      </c>
      <c r="AN411" s="125">
        <f>IFERROR(VLOOKUP(DATA[[#This Row],[COMBINADA]],#REF!,9,0),0)/COUNTIFS(DATA[COMBINADA],DATA[[#This Row],[COMBINADA]])</f>
        <v>0</v>
      </c>
      <c r="AO411" s="27">
        <f>IFERROR(VLOOKUP(DATA[[#This Row],[COMBINADA]],#REF!,6,0),0)</f>
        <v>0</v>
      </c>
      <c r="AP411" s="125">
        <f>IFERROR(VLOOKUP(DATA[[#This Row],[COMBINADA]],#REF!,9,0),0)/COUNTIFS(DATA[COMBINADA],DATA[[#This Row],[COMBINADA]])</f>
        <v>0</v>
      </c>
      <c r="AQ41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722.55333333333328</v>
      </c>
      <c r="AR411" s="120" t="str">
        <f>IFERROR(IF(DATA[[#This Row],[estado_fact]]="FACTURADO",VLOOKUP(DATA[[#This Row],[SERIE2]]&amp;"-"&amp;DATA[[#This Row],[NUMERO]],#REF!,34,0),"NO CORRESPONDE"),"NO CORRESPONDE")</f>
        <v>NO CORRESPONDE</v>
      </c>
      <c r="AS411" s="22" t="str">
        <f>IF(DATA[[#This Row],[fecha_fs]]&gt;0,TEXT(DATA[[#This Row],[fecha_fs]],"Mmmm"),0)</f>
        <v>Marzo</v>
      </c>
      <c r="AT411" s="22" t="str">
        <f>DATA[[#This Row],[SERIE2]]&amp;"-"&amp;DATA[[#This Row],[NUMERO]]</f>
        <v>FF01-12</v>
      </c>
      <c r="AU411" s="65">
        <f>DATA[[#This Row],[TOTAL]]*DATA[[#This Row],[T.C.]]</f>
        <v>692.66</v>
      </c>
      <c r="AV411" s="6">
        <f>DATA[[#This Row],[FECHA DE VAL.]]</f>
        <v>45747</v>
      </c>
      <c r="AW411" s="6">
        <f>DATA[[#This Row],[FECHA DE EMISION]]</f>
        <v>45749</v>
      </c>
      <c r="AX411" s="6">
        <f>DATA[[#This Row],[F1]]</f>
        <v>0</v>
      </c>
      <c r="AY411" s="20">
        <f>IF(AV411-DATA[[#This Row],[fecha_fs]]&lt;0,0,AV411-DATA[[#This Row],[fecha_fs]])</f>
        <v>5</v>
      </c>
      <c r="AZ411" s="20">
        <f t="shared" si="45"/>
        <v>2</v>
      </c>
      <c r="BA411" s="20">
        <f t="shared" si="46"/>
        <v>0</v>
      </c>
      <c r="BB411" s="195">
        <f>IFERROR(SUM(DATA[[#This Row],[fs_val_ttf]:[fact_pago_ttf]]),0)</f>
        <v>7</v>
      </c>
      <c r="BC411" s="185">
        <v>45742</v>
      </c>
      <c r="BD411" s="185">
        <v>45742</v>
      </c>
      <c r="BE411" s="185">
        <v>45749</v>
      </c>
      <c r="BF411" s="185">
        <v>45749</v>
      </c>
      <c r="BG411" s="20">
        <f>IFERROR(IF(BC411-DATA[[#This Row],[fecha_fs]]&lt;0,0,BC411-DATA[[#This Row],[fecha_fs]]),0)</f>
        <v>0</v>
      </c>
      <c r="BH411" s="20">
        <f t="shared" si="47"/>
        <v>0</v>
      </c>
      <c r="BI411" s="20">
        <f t="shared" si="48"/>
        <v>7</v>
      </c>
      <c r="BJ411" s="20">
        <f t="shared" si="49"/>
        <v>0</v>
      </c>
      <c r="BK411" s="218">
        <f>IFERROR(SUM(DATA[[#This Row],[fs_fd_ttd]:[fend_fenf_ttd]]),0)</f>
        <v>7</v>
      </c>
      <c r="BL411" s="20" t="str">
        <f>IF(DATA[[#This Row],[fecha_fs]]&gt;0,TEXT(DATA[[#This Row],[fecha_fs]],"YYYY"),0)</f>
        <v>2025</v>
      </c>
      <c r="BM411" s="221" t="b">
        <v>1</v>
      </c>
      <c r="BN411" s="278">
        <f>COUNTIF(DATA[[#This Row],[tiempo_td]], "&lt;=15")</f>
        <v>1</v>
      </c>
      <c r="BO411" s="222"/>
    </row>
    <row r="412" spans="1:67" ht="30.6" customHeight="1" x14ac:dyDescent="0.25">
      <c r="A412" s="4">
        <v>20100211115</v>
      </c>
      <c r="B412" s="5" t="s">
        <v>41</v>
      </c>
      <c r="C412" s="52" t="s">
        <v>18</v>
      </c>
      <c r="D412" s="4" t="s">
        <v>120</v>
      </c>
      <c r="E412" s="5" t="s">
        <v>3</v>
      </c>
      <c r="F412" s="24">
        <v>45742</v>
      </c>
      <c r="G412" s="7" t="s">
        <v>113</v>
      </c>
      <c r="H412" s="25">
        <f t="shared" si="44"/>
        <v>1</v>
      </c>
      <c r="I412" s="67">
        <v>4288</v>
      </c>
      <c r="J412" s="8" t="s">
        <v>115</v>
      </c>
      <c r="K412" s="9" t="s">
        <v>121</v>
      </c>
      <c r="L412" s="10" t="s">
        <v>117</v>
      </c>
      <c r="M412" s="111">
        <v>90</v>
      </c>
      <c r="N412" s="112" t="s">
        <v>200</v>
      </c>
      <c r="O412" s="6">
        <v>45743</v>
      </c>
      <c r="P412" s="115">
        <v>3362</v>
      </c>
      <c r="Q412" s="14" t="s">
        <v>85</v>
      </c>
      <c r="R412" s="15"/>
      <c r="S412" s="15">
        <f>(DATA[[#This Row],[cantidad_fs]]*4.37)</f>
        <v>393.3</v>
      </c>
      <c r="T412" s="15">
        <f>DATA[[#This Row],[C. DF]]+DATA[[#This Row],[C.OPE.]]</f>
        <v>393.3</v>
      </c>
      <c r="U412" s="56">
        <f>DATA[[#This Row],[SUB TOTAL]]*0.18</f>
        <v>70.793999999999997</v>
      </c>
      <c r="V412" s="56">
        <f>IFERROR(ROUND(DATA[[#This Row],[SUB TOTAL]]+DATA[[#This Row],[IGV]],2),0)</f>
        <v>464.09</v>
      </c>
      <c r="W412" s="73" t="str">
        <f>IF(DATA[[#This Row],[VALORIZACIÓN ]]="-","NO CORRESPONDE",IF(OR(A412=20558226979,A412=10470707866,A412=20111157058,A412=20100226902),"NO CORRESPONDE",IF(J412="Emitida",IF(P412&gt;0,"EMITIDA","PENDIENTE"),"NO CORRESPONDE")))</f>
        <v>EMITIDA</v>
      </c>
      <c r="X412" s="29"/>
      <c r="Y412" s="17" t="s">
        <v>118</v>
      </c>
      <c r="Z412" s="30">
        <v>45744</v>
      </c>
      <c r="AA412" s="10" t="s">
        <v>150</v>
      </c>
      <c r="AB412" s="19">
        <v>2</v>
      </c>
      <c r="AC412" s="20">
        <v>30</v>
      </c>
      <c r="AD412" s="18">
        <f>DATA[[#This Row],[FECHA DE EMISION]]+DATA[[#This Row],[CONDICION DE PAGO]]</f>
        <v>45774</v>
      </c>
      <c r="AE412" s="23">
        <f>IF(DATA[[#This Row],[MONEDA]]="USD",VLOOKUP(DATA[[#This Row],[COMBINADA]],#REF!,11,0),1)</f>
        <v>1</v>
      </c>
      <c r="AF412" s="39" t="str">
        <f>IF(DATA[[#This Row],[SERIE2]]="-","NO CORRESPONDE",IF(W412="NO CORRESPONDE","NO CORRESPONDE",IF(Z412&gt;0,"FACTURADO","PENDIENTE")))</f>
        <v>FACTURADO</v>
      </c>
      <c r="AG412" s="27">
        <f>IFERROR(VLOOKUP(DATA[[#This Row],[COMBINADA]],#REF!,6,0),0)</f>
        <v>0</v>
      </c>
      <c r="AH412" s="125">
        <f>IFERROR(VLOOKUP(DATA[[#This Row],[COMBINADA]],#REF!,9,0),0)/COUNTIFS(DATA[COMBINADA],DATA[[#This Row],[COMBINADA]])</f>
        <v>0</v>
      </c>
      <c r="AI412" s="27">
        <f>IFERROR(VLOOKUP(DATA[[#This Row],[COMBINADA]],#REF!,6,0),0)</f>
        <v>0</v>
      </c>
      <c r="AJ412" s="125">
        <f>IFERROR(VLOOKUP(DATA[[#This Row],[COMBINADA]],#REF!,9,0),0)/COUNTIFS(DATA[COMBINADA],DATA[[#This Row],[COMBINADA]])</f>
        <v>0</v>
      </c>
      <c r="AK412" s="27">
        <f>IFERROR(VLOOKUP(DATA[[#This Row],[COMBINADA]],#REF!,6,0),0)</f>
        <v>0</v>
      </c>
      <c r="AL412" s="125">
        <f>IFERROR(VLOOKUP(DATA[[#This Row],[COMBINADA]],#REF!,9,0),0)/COUNTIFS(DATA[COMBINADA],DATA[[#This Row],[COMBINADA]])</f>
        <v>0</v>
      </c>
      <c r="AM412" s="27">
        <f>IFERROR(VLOOKUP(DATA[[#This Row],[COMBINADA]],#REF!,6,0),0)</f>
        <v>0</v>
      </c>
      <c r="AN412" s="125">
        <f>IFERROR(VLOOKUP(DATA[[#This Row],[COMBINADA]],#REF!,9,0),0)/COUNTIFS(DATA[COMBINADA],DATA[[#This Row],[COMBINADA]])</f>
        <v>0</v>
      </c>
      <c r="AO412" s="27">
        <f>IFERROR(VLOOKUP(DATA[[#This Row],[COMBINADA]],#REF!,6,0),0)</f>
        <v>0</v>
      </c>
      <c r="AP412" s="125">
        <f>IFERROR(VLOOKUP(DATA[[#This Row],[COMBINADA]],#REF!,9,0),0)/COUNTIFS(DATA[COMBINADA],DATA[[#This Row],[COMBINADA]])</f>
        <v>0</v>
      </c>
      <c r="AQ41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412" s="120" t="str">
        <f>IFERROR(IF(DATA[[#This Row],[estado_fact]]="FACTURADO",VLOOKUP(DATA[[#This Row],[SERIE2]]&amp;"-"&amp;DATA[[#This Row],[NUMERO]],#REF!,34,0),"NO CORRESPONDE"),"NO CORRESPONDE")</f>
        <v>NO CORRESPONDE</v>
      </c>
      <c r="AS412" s="22" t="str">
        <f>IF(DATA[[#This Row],[fecha_fs]]&gt;0,TEXT(DATA[[#This Row],[fecha_fs]],"Mmmm"),0)</f>
        <v>Marzo</v>
      </c>
      <c r="AT412" s="22" t="str">
        <f>DATA[[#This Row],[SERIE2]]&amp;"-"&amp;DATA[[#This Row],[NUMERO]]</f>
        <v>FF01-2</v>
      </c>
      <c r="AU412" s="65">
        <f>DATA[[#This Row],[TOTAL]]*DATA[[#This Row],[T.C.]]</f>
        <v>464.09</v>
      </c>
      <c r="AV412" s="6">
        <f>DATA[[#This Row],[FECHA DE VAL.]]</f>
        <v>45743</v>
      </c>
      <c r="AW412" s="6">
        <f>DATA[[#This Row],[FECHA DE EMISION]]</f>
        <v>45744</v>
      </c>
      <c r="AX412" s="6">
        <f>DATA[[#This Row],[F1]]</f>
        <v>0</v>
      </c>
      <c r="AY412" s="20">
        <f>IF(AV412-DATA[[#This Row],[fecha_fs]]&lt;0,0,AV412-DATA[[#This Row],[fecha_fs]])</f>
        <v>1</v>
      </c>
      <c r="AZ412" s="20">
        <f t="shared" si="45"/>
        <v>1</v>
      </c>
      <c r="BA412" s="20">
        <f t="shared" si="46"/>
        <v>0</v>
      </c>
      <c r="BB412" s="195">
        <f>IFERROR(SUM(DATA[[#This Row],[fs_val_ttf]:[fact_pago_ttf]]),0)</f>
        <v>2</v>
      </c>
      <c r="BC412" s="185">
        <v>45742</v>
      </c>
      <c r="BD412" s="185">
        <v>45751</v>
      </c>
      <c r="BE412" s="185">
        <v>45757</v>
      </c>
      <c r="BF412" s="185">
        <v>45758</v>
      </c>
      <c r="BG412" s="20">
        <f>IFERROR(IF(BC412-DATA[[#This Row],[fecha_fs]]&lt;0,0,BC412-DATA[[#This Row],[fecha_fs]]),0)</f>
        <v>0</v>
      </c>
      <c r="BH412" s="20">
        <f t="shared" si="47"/>
        <v>9</v>
      </c>
      <c r="BI412" s="20">
        <f t="shared" si="48"/>
        <v>6</v>
      </c>
      <c r="BJ412" s="20">
        <f t="shared" si="49"/>
        <v>1</v>
      </c>
      <c r="BK412" s="218">
        <f>IFERROR(SUM(DATA[[#This Row],[fs_fd_ttd]:[fend_fenf_ttd]]),0)</f>
        <v>16</v>
      </c>
      <c r="BL412" s="20" t="str">
        <f>IF(DATA[[#This Row],[fecha_fs]]&gt;0,TEXT(DATA[[#This Row],[fecha_fs]],"YYYY"),0)</f>
        <v>2025</v>
      </c>
      <c r="BM412" s="221" t="b">
        <v>1</v>
      </c>
      <c r="BN412" s="278">
        <f>COUNTIF(DATA[[#This Row],[tiempo_td]], "&lt;=15")</f>
        <v>0</v>
      </c>
      <c r="BO412" s="222"/>
    </row>
    <row r="413" spans="1:67" ht="30" customHeight="1" x14ac:dyDescent="0.25">
      <c r="A413" s="4"/>
      <c r="B413" s="5" t="s">
        <v>0</v>
      </c>
      <c r="C413" s="52"/>
      <c r="D413" s="4"/>
      <c r="E413" s="5" t="s">
        <v>0</v>
      </c>
      <c r="F413" s="24">
        <v>45742</v>
      </c>
      <c r="G413" s="7" t="s">
        <v>113</v>
      </c>
      <c r="H413" s="25">
        <f t="shared" si="44"/>
        <v>1</v>
      </c>
      <c r="I413" s="67">
        <v>4289</v>
      </c>
      <c r="J413" s="8" t="s">
        <v>151</v>
      </c>
      <c r="K413" s="9"/>
      <c r="L413" s="10"/>
      <c r="M413" s="111"/>
      <c r="N413" s="112"/>
      <c r="O413" s="6"/>
      <c r="P413" s="13" t="s">
        <v>114</v>
      </c>
      <c r="Q413" s="14"/>
      <c r="R413" s="15"/>
      <c r="S413" s="15"/>
      <c r="T413" s="15">
        <f>DATA[[#This Row],[C. DF]]+DATA[[#This Row],[C.OPE.]]</f>
        <v>0</v>
      </c>
      <c r="U413" s="73">
        <f>DATA[[#This Row],[SUB TOTAL]]*0.18</f>
        <v>0</v>
      </c>
      <c r="V413" s="45">
        <f>IFERROR(ROUND(DATA[[#This Row],[SUB TOTAL]]+DATA[[#This Row],[IGV]],2),0)</f>
        <v>0</v>
      </c>
      <c r="W413" s="58" t="str">
        <f>IF(DATA[[#This Row],[VALORIZACIÓN ]]="-","NO CORRESPONDE",IF(OR(A413=20558226979,A413=10470707866,A413=20111157058,A413=20100226902),"NO CORRESPONDE",IF(J413="Emitida",IF(P413&gt;0,"EMITIDA","PENDIENTE"),"NO CORRESPONDE")))</f>
        <v>NO CORRESPONDE</v>
      </c>
      <c r="X413" s="46"/>
      <c r="Y413" s="17" t="s">
        <v>128</v>
      </c>
      <c r="Z413" s="48"/>
      <c r="AA413" s="49"/>
      <c r="AB413" s="50"/>
      <c r="AC413" s="51"/>
      <c r="AD413" s="59">
        <f>DATA[[#This Row],[FECHA DE EMISION]]+DATA[[#This Row],[CONDICION DE PAGO]]</f>
        <v>0</v>
      </c>
      <c r="AE413" s="23">
        <f>IF(DATA[[#This Row],[MONEDA]]="USD",VLOOKUP(DATA[[#This Row],[COMBINADA]],#REF!,11,0),1)</f>
        <v>1</v>
      </c>
      <c r="AF413" s="39" t="str">
        <f>IF(DATA[[#This Row],[SERIE2]]="-","NO CORRESPONDE",IF(W413="NO CORRESPONDE","NO CORRESPONDE",IF(Z413&gt;0,"FACTURADO","PENDIENTE")))</f>
        <v>NO CORRESPONDE</v>
      </c>
      <c r="AG413" s="61">
        <f>IFERROR(VLOOKUP(DATA[[#This Row],[COMBINADA]],#REF!,6,0),0)</f>
        <v>0</v>
      </c>
      <c r="AH413" s="62">
        <f>IFERROR(VLOOKUP(DATA[[#This Row],[COMBINADA]],#REF!,9,0),0)/COUNTIFS(DATA[COMBINADA],DATA[[#This Row],[COMBINADA]])</f>
        <v>0</v>
      </c>
      <c r="AI413" s="61">
        <f>IFERROR(VLOOKUP(DATA[[#This Row],[COMBINADA]],#REF!,6,0),0)</f>
        <v>0</v>
      </c>
      <c r="AJ413" s="62">
        <f>IFERROR(VLOOKUP(DATA[[#This Row],[COMBINADA]],#REF!,9,0),0)/COUNTIFS(DATA[COMBINADA],DATA[[#This Row],[COMBINADA]])</f>
        <v>0</v>
      </c>
      <c r="AK413" s="61">
        <f>IFERROR(VLOOKUP(DATA[[#This Row],[COMBINADA]],#REF!,6,0),0)</f>
        <v>0</v>
      </c>
      <c r="AL413" s="62">
        <f>IFERROR(VLOOKUP(DATA[[#This Row],[COMBINADA]],#REF!,9,0),0)/COUNTIFS(DATA[COMBINADA],DATA[[#This Row],[COMBINADA]])</f>
        <v>0</v>
      </c>
      <c r="AM413" s="61">
        <f>IFERROR(VLOOKUP(DATA[[#This Row],[COMBINADA]],#REF!,6,0),0)</f>
        <v>0</v>
      </c>
      <c r="AN413" s="62">
        <f>IFERROR(VLOOKUP(DATA[[#This Row],[COMBINADA]],#REF!,9,0),0)/COUNTIFS(DATA[COMBINADA],DATA[[#This Row],[COMBINADA]])</f>
        <v>0</v>
      </c>
      <c r="AO413" s="61">
        <f>IFERROR(VLOOKUP(DATA[[#This Row],[COMBINADA]],#REF!,6,0),0)</f>
        <v>0</v>
      </c>
      <c r="AP413" s="62">
        <f>IFERROR(VLOOKUP(DATA[[#This Row],[COMBINADA]],#REF!,9,0),0)/COUNTIFS(DATA[COMBINADA],DATA[[#This Row],[COMBINADA]])</f>
        <v>0</v>
      </c>
      <c r="AQ413"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413" s="22" t="str">
        <f>IFERROR(IF(DATA[[#This Row],[estado_fact]]="FACTURADO",VLOOKUP(DATA[[#This Row],[SERIE2]]&amp;"-"&amp;DATA[[#This Row],[NUMERO]],#REF!,34,0),"NO CORRESPONDE"),"NO CORRESPONDE")</f>
        <v>NO CORRESPONDE</v>
      </c>
      <c r="AS413" s="198" t="str">
        <f>IF(DATA[[#This Row],[fecha_fs]]&gt;0,TEXT(DATA[[#This Row],[fecha_fs]],"Mmmm"),0)</f>
        <v>Marzo</v>
      </c>
      <c r="AT413" s="199" t="str">
        <f>DATA[[#This Row],[SERIE2]]&amp;"-"&amp;DATA[[#This Row],[NUMERO]]</f>
        <v>-</v>
      </c>
      <c r="AU413" s="198">
        <f>DATA[[#This Row],[TOTAL]]*DATA[[#This Row],[T.C.]]</f>
        <v>0</v>
      </c>
      <c r="AV413" s="40">
        <f>DATA[[#This Row],[FECHA DE VAL.]]</f>
        <v>0</v>
      </c>
      <c r="AW413" s="40">
        <f>DATA[[#This Row],[FECHA DE EMISION]]</f>
        <v>0</v>
      </c>
      <c r="AX413" s="40">
        <f>DATA[[#This Row],[F1]]</f>
        <v>0</v>
      </c>
      <c r="AY413" s="49">
        <f>IF(AV413-DATA[[#This Row],[fecha_fs]]&lt;0,0,AV413-DATA[[#This Row],[fecha_fs]])</f>
        <v>0</v>
      </c>
      <c r="AZ413" s="49">
        <f t="shared" si="45"/>
        <v>0</v>
      </c>
      <c r="BA413" s="49">
        <f t="shared" si="46"/>
        <v>0</v>
      </c>
      <c r="BB413" s="195">
        <f>IFERROR(SUM(DATA[[#This Row],[fs_val_ttf]:[fact_pago_ttf]]),0)</f>
        <v>0</v>
      </c>
      <c r="BC413" s="201"/>
      <c r="BD413" s="201"/>
      <c r="BE413" s="201"/>
      <c r="BF413" s="201"/>
      <c r="BG413" s="49">
        <f>IFERROR(IF(BC413-DATA[[#This Row],[fecha_fs]]&lt;0,0,BC413-DATA[[#This Row],[fecha_fs]]),0)</f>
        <v>0</v>
      </c>
      <c r="BH413" s="49">
        <f t="shared" si="47"/>
        <v>0</v>
      </c>
      <c r="BI413" s="49">
        <f t="shared" si="48"/>
        <v>0</v>
      </c>
      <c r="BJ413" s="49">
        <f t="shared" si="49"/>
        <v>0</v>
      </c>
      <c r="BK413" s="218">
        <f>IFERROR(SUM(DATA[[#This Row],[fs_fd_ttd]:[fend_fenf_ttd]]),0)</f>
        <v>0</v>
      </c>
      <c r="BL413" s="20" t="str">
        <f>IF(DATA[[#This Row],[fecha_fs]]&gt;0,TEXT(DATA[[#This Row],[fecha_fs]],"YYYY"),0)</f>
        <v>2025</v>
      </c>
      <c r="BM413" s="221" t="b">
        <v>0</v>
      </c>
      <c r="BN413" s="278"/>
      <c r="BO413" s="222"/>
    </row>
    <row r="414" spans="1:67" ht="30.6" customHeight="1" x14ac:dyDescent="0.25">
      <c r="A414" s="4">
        <v>20100192064</v>
      </c>
      <c r="B414" s="5" t="s">
        <v>60</v>
      </c>
      <c r="C414" s="52" t="s">
        <v>65</v>
      </c>
      <c r="D414" s="4" t="s">
        <v>183</v>
      </c>
      <c r="E414" s="5" t="s">
        <v>61</v>
      </c>
      <c r="F414" s="24">
        <v>45742</v>
      </c>
      <c r="G414" s="7" t="s">
        <v>142</v>
      </c>
      <c r="H414" s="25">
        <f t="shared" si="44"/>
        <v>2</v>
      </c>
      <c r="I414" s="67">
        <v>1063</v>
      </c>
      <c r="J414" s="8" t="s">
        <v>115</v>
      </c>
      <c r="K414" s="9" t="s">
        <v>184</v>
      </c>
      <c r="L414" s="10" t="s">
        <v>117</v>
      </c>
      <c r="M414" s="11">
        <v>69640</v>
      </c>
      <c r="N414" s="12" t="s">
        <v>114</v>
      </c>
      <c r="O414" s="6">
        <v>45742</v>
      </c>
      <c r="P414" s="71">
        <v>3361</v>
      </c>
      <c r="Q414" s="14" t="s">
        <v>123</v>
      </c>
      <c r="R414" s="15"/>
      <c r="S414" s="15">
        <f>(DATA[[#This Row],[cantidad_fs]]/1000)*19</f>
        <v>1323.16</v>
      </c>
      <c r="T414" s="15">
        <f>DATA[[#This Row],[C. DF]]+DATA[[#This Row],[C.OPE.]]</f>
        <v>1323.16</v>
      </c>
      <c r="U414" s="15">
        <f>DATA[[#This Row],[SUB TOTAL]]*0.18</f>
        <v>238.1688</v>
      </c>
      <c r="V414" s="15">
        <f>IFERROR(ROUND(DATA[[#This Row],[SUB TOTAL]]+DATA[[#This Row],[IGV]],2),0)</f>
        <v>1561.33</v>
      </c>
      <c r="W414" s="16" t="str">
        <f>IF(DATA[[#This Row],[VALORIZACIÓN ]]="-","NO CORRESPONDE",IF(OR(A414=20558226979,A414=10470707866,A414=20111157058,A414=20100226902),"NO CORRESPONDE",IF(J414="Emitida",IF(P414&gt;0,"EMITIDA","PENDIENTE"),"NO CORRESPONDE")))</f>
        <v>EMITIDA</v>
      </c>
      <c r="X414" s="29" t="s">
        <v>212</v>
      </c>
      <c r="Y414" s="17" t="s">
        <v>118</v>
      </c>
      <c r="Z414" s="30">
        <v>45747</v>
      </c>
      <c r="AA414" s="10" t="s">
        <v>150</v>
      </c>
      <c r="AB414" s="19">
        <v>9</v>
      </c>
      <c r="AC414" s="20">
        <v>30</v>
      </c>
      <c r="AD414" s="18">
        <f>DATA[[#This Row],[FECHA DE EMISION]]+DATA[[#This Row],[CONDICION DE PAGO]]</f>
        <v>45777</v>
      </c>
      <c r="AE414" s="23" t="e">
        <f>IF(DATA[[#This Row],[MONEDA]]="USD",VLOOKUP(DATA[[#This Row],[COMBINADA]],#REF!,11,0),1)</f>
        <v>#REF!</v>
      </c>
      <c r="AF414" s="39" t="str">
        <f>IF(DATA[[#This Row],[SERIE2]]="-","NO CORRESPONDE",IF(W414="NO CORRESPONDE","NO CORRESPONDE",IF(Z414&gt;0,"FACTURADO","PENDIENTE")))</f>
        <v>FACTURADO</v>
      </c>
      <c r="AG414" s="27">
        <f>IFERROR(VLOOKUP(DATA[[#This Row],[COMBINADA]],#REF!,6,0),0)</f>
        <v>0</v>
      </c>
      <c r="AH414" s="125">
        <f>IFERROR(VLOOKUP(DATA[[#This Row],[COMBINADA]],#REF!,9,0),0)/COUNTIFS(DATA[COMBINADA],DATA[[#This Row],[COMBINADA]])</f>
        <v>0</v>
      </c>
      <c r="AI414" s="27">
        <f>IFERROR(VLOOKUP(DATA[[#This Row],[COMBINADA]],#REF!,6,0),0)</f>
        <v>0</v>
      </c>
      <c r="AJ414" s="125">
        <f>IFERROR(VLOOKUP(DATA[[#This Row],[COMBINADA]],#REF!,9,0),0)/COUNTIFS(DATA[COMBINADA],DATA[[#This Row],[COMBINADA]])</f>
        <v>0</v>
      </c>
      <c r="AK414" s="27">
        <f>IFERROR(VLOOKUP(DATA[[#This Row],[COMBINADA]],#REF!,6,0),0)</f>
        <v>0</v>
      </c>
      <c r="AL414" s="125">
        <f>IFERROR(VLOOKUP(DATA[[#This Row],[COMBINADA]],#REF!,9,0),0)/COUNTIFS(DATA[COMBINADA],DATA[[#This Row],[COMBINADA]])</f>
        <v>0</v>
      </c>
      <c r="AM414" s="27">
        <f>IFERROR(VLOOKUP(DATA[[#This Row],[COMBINADA]],#REF!,6,0),0)</f>
        <v>0</v>
      </c>
      <c r="AN414" s="125">
        <f>IFERROR(VLOOKUP(DATA[[#This Row],[COMBINADA]],#REF!,9,0),0)/COUNTIFS(DATA[COMBINADA],DATA[[#This Row],[COMBINADA]])</f>
        <v>0</v>
      </c>
      <c r="AO414" s="27">
        <f>IFERROR(VLOOKUP(DATA[[#This Row],[COMBINADA]],#REF!,6,0),0)</f>
        <v>0</v>
      </c>
      <c r="AP414" s="125">
        <f>IFERROR(VLOOKUP(DATA[[#This Row],[COMBINADA]],#REF!,9,0),0)/COUNTIFS(DATA[COMBINADA],DATA[[#This Row],[COMBINADA]])</f>
        <v>0</v>
      </c>
      <c r="AQ41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507.60428571428571</v>
      </c>
      <c r="AR414" s="26" t="str">
        <f>IFERROR(IF(DATA[[#This Row],[estado_fact]]="FACTURADO",VLOOKUP(DATA[[#This Row],[SERIE2]]&amp;"-"&amp;DATA[[#This Row],[NUMERO]],#REF!,34,0),"NO CORRESPONDE"),"NO CORRESPONDE")</f>
        <v>NO CORRESPONDE</v>
      </c>
      <c r="AS414" s="22" t="str">
        <f>IF(DATA[[#This Row],[fecha_fs]]&gt;0,TEXT(DATA[[#This Row],[fecha_fs]],"Mmmm"),0)</f>
        <v>Marzo</v>
      </c>
      <c r="AT414" s="22" t="str">
        <f>DATA[[#This Row],[SERIE2]]&amp;"-"&amp;DATA[[#This Row],[NUMERO]]</f>
        <v>FF01-9</v>
      </c>
      <c r="AU414" s="28" t="e">
        <f>DATA[[#This Row],[TOTAL]]*DATA[[#This Row],[T.C.]]</f>
        <v>#REF!</v>
      </c>
      <c r="AV414" s="6">
        <f>DATA[[#This Row],[FECHA DE VAL.]]</f>
        <v>45742</v>
      </c>
      <c r="AW414" s="6">
        <f>DATA[[#This Row],[FECHA DE EMISION]]</f>
        <v>45747</v>
      </c>
      <c r="AX414" s="6">
        <f>DATA[[#This Row],[F1]]</f>
        <v>0</v>
      </c>
      <c r="AY414" s="20">
        <f>IF(AV414-DATA[[#This Row],[fecha_fs]]&lt;0,0,AV414-DATA[[#This Row],[fecha_fs]])</f>
        <v>0</v>
      </c>
      <c r="AZ414" s="20">
        <f t="shared" si="45"/>
        <v>5</v>
      </c>
      <c r="BA414" s="20">
        <f t="shared" si="46"/>
        <v>0</v>
      </c>
      <c r="BB414" s="195">
        <f>IFERROR(SUM(DATA[[#This Row],[fs_val_ttf]:[fact_pago_ttf]]),0)</f>
        <v>5</v>
      </c>
      <c r="BC414" s="185" t="s">
        <v>292</v>
      </c>
      <c r="BD414" s="185" t="s">
        <v>292</v>
      </c>
      <c r="BE414" s="185" t="s">
        <v>292</v>
      </c>
      <c r="BF414" s="185" t="s">
        <v>292</v>
      </c>
      <c r="BG414" s="20">
        <f>IFERROR(IF(BC414-DATA[[#This Row],[fecha_fs]]&lt;0,0,BC414-DATA[[#This Row],[fecha_fs]]),0)</f>
        <v>0</v>
      </c>
      <c r="BH414" s="20">
        <f t="shared" si="47"/>
        <v>0</v>
      </c>
      <c r="BI414" s="20">
        <f t="shared" si="48"/>
        <v>0</v>
      </c>
      <c r="BJ414" s="20">
        <f t="shared" si="49"/>
        <v>0</v>
      </c>
      <c r="BK414" s="218">
        <f>IFERROR(SUM(DATA[[#This Row],[fs_fd_ttd]:[fend_fenf_ttd]]),0)</f>
        <v>0</v>
      </c>
      <c r="BL414" s="20" t="str">
        <f>IF(DATA[[#This Row],[fecha_fs]]&gt;0,TEXT(DATA[[#This Row],[fecha_fs]],"YYYY"),0)</f>
        <v>2025</v>
      </c>
      <c r="BM414" s="221" t="b">
        <v>1</v>
      </c>
      <c r="BN414" s="278">
        <f>COUNTIF(DATA[[#This Row],[tiempo_td]], "&lt;=15")</f>
        <v>1</v>
      </c>
      <c r="BO414" s="222"/>
    </row>
    <row r="415" spans="1:67" ht="30.6" customHeight="1" x14ac:dyDescent="0.25">
      <c r="A415" s="4">
        <v>20204621242</v>
      </c>
      <c r="B415" s="5" t="s">
        <v>73</v>
      </c>
      <c r="C415" s="52" t="s">
        <v>74</v>
      </c>
      <c r="D415" s="4" t="s">
        <v>112</v>
      </c>
      <c r="E415" s="5" t="s">
        <v>1</v>
      </c>
      <c r="F415" s="24">
        <v>45742</v>
      </c>
      <c r="G415" s="7" t="s">
        <v>142</v>
      </c>
      <c r="H415" s="25">
        <f t="shared" si="44"/>
        <v>2</v>
      </c>
      <c r="I415" s="67">
        <v>1064</v>
      </c>
      <c r="J415" s="8" t="s">
        <v>115</v>
      </c>
      <c r="K415" s="9" t="s">
        <v>116</v>
      </c>
      <c r="L415" s="10" t="s">
        <v>117</v>
      </c>
      <c r="M415" s="11">
        <v>1020</v>
      </c>
      <c r="N415" s="12" t="s">
        <v>180</v>
      </c>
      <c r="O415" s="6">
        <v>45747</v>
      </c>
      <c r="P415" s="13">
        <v>3374</v>
      </c>
      <c r="Q415" s="14" t="s">
        <v>85</v>
      </c>
      <c r="R415" s="15">
        <f>DATA[[#This Row],[cantidad_fs]]*0.45</f>
        <v>459</v>
      </c>
      <c r="S415" s="15">
        <f>5230.8+1148.22</f>
        <v>6379.02</v>
      </c>
      <c r="T415" s="15">
        <f>DATA[[#This Row],[C. DF]]+DATA[[#This Row],[C.OPE.]]</f>
        <v>6838.02</v>
      </c>
      <c r="U415" s="15">
        <f>DATA[[#This Row],[SUB TOTAL]]*0.18</f>
        <v>1230.8435999999999</v>
      </c>
      <c r="V415" s="15">
        <f>IFERROR(ROUND(DATA[[#This Row],[SUB TOTAL]]+DATA[[#This Row],[IGV]],2),0)</f>
        <v>8068.86</v>
      </c>
      <c r="W415" s="16" t="str">
        <f>IF(DATA[[#This Row],[VALORIZACIÓN ]]="-","NO CORRESPONDE",IF(OR(A415=20558226979,A415=10470707866,A415=20111157058,A415=20100226902),"NO CORRESPONDE",IF(J415="Emitida",IF(P415&gt;0,"EMITIDA","PENDIENTE"),"NO CORRESPONDE")))</f>
        <v>EMITIDA</v>
      </c>
      <c r="X415" s="29" t="s">
        <v>222</v>
      </c>
      <c r="Y415" s="17" t="s">
        <v>118</v>
      </c>
      <c r="Z415" s="30">
        <v>45798</v>
      </c>
      <c r="AA415" s="10" t="s">
        <v>150</v>
      </c>
      <c r="AB415" s="19">
        <v>88</v>
      </c>
      <c r="AC415" s="20">
        <v>15</v>
      </c>
      <c r="AD415" s="18">
        <f>DATA[[#This Row],[FECHA DE EMISION]]+DATA[[#This Row],[CONDICION DE PAGO]]</f>
        <v>45813</v>
      </c>
      <c r="AE415" s="23">
        <f>IF(DATA[[#This Row],[MONEDA]]="USD",VLOOKUP(DATA[[#This Row],[COMBINADA]],#REF!,11,0),1)</f>
        <v>1</v>
      </c>
      <c r="AF415" s="39" t="str">
        <f>IF(DATA[[#This Row],[SERIE2]]="-","NO CORRESPONDE",IF(W415="NO CORRESPONDE","NO CORRESPONDE",IF(Z415&gt;0,"FACTURADO","PENDIENTE")))</f>
        <v>FACTURADO</v>
      </c>
      <c r="AG415" s="27">
        <f>IFERROR(VLOOKUP(DATA[[#This Row],[COMBINADA]],#REF!,6,0),0)</f>
        <v>0</v>
      </c>
      <c r="AH415" s="125">
        <f>IFERROR(VLOOKUP(DATA[[#This Row],[COMBINADA]],#REF!,9,0),0)/COUNTIFS(DATA[COMBINADA],DATA[[#This Row],[COMBINADA]])</f>
        <v>0</v>
      </c>
      <c r="AI415" s="27">
        <f>IFERROR(VLOOKUP(DATA[[#This Row],[COMBINADA]],#REF!,6,0),0)</f>
        <v>0</v>
      </c>
      <c r="AJ415" s="125">
        <f>IFERROR(VLOOKUP(DATA[[#This Row],[COMBINADA]],#REF!,9,0),0)/COUNTIFS(DATA[COMBINADA],DATA[[#This Row],[COMBINADA]])</f>
        <v>0</v>
      </c>
      <c r="AK415" s="27">
        <f>IFERROR(VLOOKUP(DATA[[#This Row],[COMBINADA]],#REF!,6,0),0)</f>
        <v>0</v>
      </c>
      <c r="AL415" s="125">
        <f>IFERROR(VLOOKUP(DATA[[#This Row],[COMBINADA]],#REF!,9,0),0)/COUNTIFS(DATA[COMBINADA],DATA[[#This Row],[COMBINADA]])</f>
        <v>0</v>
      </c>
      <c r="AM415" s="27">
        <f>IFERROR(VLOOKUP(DATA[[#This Row],[COMBINADA]],#REF!,6,0),0)</f>
        <v>0</v>
      </c>
      <c r="AN415" s="125">
        <f>IFERROR(VLOOKUP(DATA[[#This Row],[COMBINADA]],#REF!,9,0),0)/COUNTIFS(DATA[COMBINADA],DATA[[#This Row],[COMBINADA]])</f>
        <v>0</v>
      </c>
      <c r="AO415" s="27">
        <f>IFERROR(VLOOKUP(DATA[[#This Row],[COMBINADA]],#REF!,6,0),0)</f>
        <v>0</v>
      </c>
      <c r="AP415" s="125">
        <f>IFERROR(VLOOKUP(DATA[[#This Row],[COMBINADA]],#REF!,9,0),0)/COUNTIFS(DATA[COMBINADA],DATA[[#This Row],[COMBINADA]])</f>
        <v>0</v>
      </c>
      <c r="AQ41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8068.86</v>
      </c>
      <c r="AR415" s="26" t="str">
        <f>IFERROR(IF(DATA[[#This Row],[estado_fact]]="FACTURADO",VLOOKUP(DATA[[#This Row],[SERIE2]]&amp;"-"&amp;DATA[[#This Row],[NUMERO]],#REF!,34,0),"NO CORRESPONDE"),"NO CORRESPONDE")</f>
        <v>NO CORRESPONDE</v>
      </c>
      <c r="AS415" s="22" t="str">
        <f>IF(DATA[[#This Row],[fecha_fs]]&gt;0,TEXT(DATA[[#This Row],[fecha_fs]],"Mmmm"),0)</f>
        <v>Marzo</v>
      </c>
      <c r="AT415" s="22" t="str">
        <f>DATA[[#This Row],[SERIE2]]&amp;"-"&amp;DATA[[#This Row],[NUMERO]]</f>
        <v>FF01-88</v>
      </c>
      <c r="AU415" s="28">
        <f>DATA[[#This Row],[TOTAL]]*DATA[[#This Row],[T.C.]]</f>
        <v>8068.86</v>
      </c>
      <c r="AV415" s="6">
        <f>DATA[[#This Row],[FECHA DE VAL.]]</f>
        <v>45747</v>
      </c>
      <c r="AW415" s="6">
        <f>DATA[[#This Row],[FECHA DE EMISION]]</f>
        <v>45798</v>
      </c>
      <c r="AX415" s="6">
        <f>DATA[[#This Row],[F1]]</f>
        <v>0</v>
      </c>
      <c r="AY415" s="20">
        <f>IF(AV415-DATA[[#This Row],[fecha_fs]]&lt;0,0,AV415-DATA[[#This Row],[fecha_fs]])</f>
        <v>5</v>
      </c>
      <c r="AZ415" s="20">
        <f t="shared" si="45"/>
        <v>51</v>
      </c>
      <c r="BA415" s="20">
        <f t="shared" si="46"/>
        <v>0</v>
      </c>
      <c r="BB415" s="195">
        <f>IFERROR(SUM(DATA[[#This Row],[fs_val_ttf]:[fact_pago_ttf]]),0)</f>
        <v>56</v>
      </c>
      <c r="BC415" s="185">
        <v>45743</v>
      </c>
      <c r="BD415" s="185">
        <v>45751</v>
      </c>
      <c r="BE415" s="185">
        <v>45756</v>
      </c>
      <c r="BF415" s="185"/>
      <c r="BG415" s="20">
        <f>IFERROR(IF(BC415-DATA[[#This Row],[fecha_fs]]&lt;0,0,BC415-DATA[[#This Row],[fecha_fs]]),0)</f>
        <v>1</v>
      </c>
      <c r="BH415" s="20">
        <f t="shared" si="47"/>
        <v>8</v>
      </c>
      <c r="BI415" s="20">
        <f t="shared" si="48"/>
        <v>5</v>
      </c>
      <c r="BJ415" s="20">
        <f t="shared" si="49"/>
        <v>0</v>
      </c>
      <c r="BK415" s="218">
        <f>IFERROR(SUM(DATA[[#This Row],[fs_fd_ttd]:[fend_fenf_ttd]]),0)</f>
        <v>14</v>
      </c>
      <c r="BL415" s="20" t="str">
        <f>IF(DATA[[#This Row],[fecha_fs]]&gt;0,TEXT(DATA[[#This Row],[fecha_fs]],"YYYY"),0)</f>
        <v>2025</v>
      </c>
      <c r="BM415" s="221" t="b">
        <v>1</v>
      </c>
      <c r="BN415" s="278">
        <f>COUNTIF(DATA[[#This Row],[tiempo_td]], "&lt;=15")</f>
        <v>1</v>
      </c>
      <c r="BO415" s="222"/>
    </row>
    <row r="416" spans="1:67" ht="30" customHeight="1" x14ac:dyDescent="0.25">
      <c r="A416" s="4"/>
      <c r="B416" s="5" t="s">
        <v>0</v>
      </c>
      <c r="C416" s="52"/>
      <c r="D416" s="4"/>
      <c r="E416" s="5" t="s">
        <v>0</v>
      </c>
      <c r="F416" s="24">
        <v>45742</v>
      </c>
      <c r="G416" s="7" t="s">
        <v>142</v>
      </c>
      <c r="H416" s="25">
        <f t="shared" si="44"/>
        <v>2</v>
      </c>
      <c r="I416" s="67">
        <v>1065</v>
      </c>
      <c r="J416" s="8" t="s">
        <v>173</v>
      </c>
      <c r="K416" s="9"/>
      <c r="L416" s="10"/>
      <c r="M416" s="111"/>
      <c r="N416" s="112"/>
      <c r="O416" s="6"/>
      <c r="P416" s="13" t="s">
        <v>114</v>
      </c>
      <c r="Q416" s="14"/>
      <c r="R416" s="43"/>
      <c r="S416" s="43"/>
      <c r="T416" s="43">
        <f>DATA[[#This Row],[C. DF]]+DATA[[#This Row],[C.OPE.]]</f>
        <v>0</v>
      </c>
      <c r="U416" s="73">
        <f>DATA[[#This Row],[SUB TOTAL]]*0.18</f>
        <v>0</v>
      </c>
      <c r="V416" s="45">
        <f>IFERROR(ROUND(DATA[[#This Row],[SUB TOTAL]]+DATA[[#This Row],[IGV]],2),0)</f>
        <v>0</v>
      </c>
      <c r="W416" s="58" t="str">
        <f>IF(DATA[[#This Row],[VALORIZACIÓN ]]="-","NO CORRESPONDE",IF(OR(A416=20558226979,A416=10470707866,A416=20111157058,A416=20100226902),"NO CORRESPONDE",IF(J416="Emitida",IF(P416&gt;0,"EMITIDA","PENDIENTE"),"NO CORRESPONDE")))</f>
        <v>NO CORRESPONDE</v>
      </c>
      <c r="X416" s="46"/>
      <c r="Y416" s="17" t="s">
        <v>128</v>
      </c>
      <c r="Z416" s="48"/>
      <c r="AA416" s="49"/>
      <c r="AB416" s="50"/>
      <c r="AC416" s="51"/>
      <c r="AD416" s="59">
        <f>DATA[[#This Row],[FECHA DE EMISION]]+DATA[[#This Row],[CONDICION DE PAGO]]</f>
        <v>0</v>
      </c>
      <c r="AE416" s="23">
        <f>IF(DATA[[#This Row],[MONEDA]]="USD",VLOOKUP(DATA[[#This Row],[COMBINADA]],#REF!,11,0),1)</f>
        <v>1</v>
      </c>
      <c r="AF416" s="39" t="str">
        <f>IF(DATA[[#This Row],[SERIE2]]="-","NO CORRESPONDE",IF(W416="NO CORRESPONDE","NO CORRESPONDE",IF(Z416&gt;0,"FACTURADO","PENDIENTE")))</f>
        <v>NO CORRESPONDE</v>
      </c>
      <c r="AG416" s="61">
        <f>IFERROR(VLOOKUP(DATA[[#This Row],[COMBINADA]],#REF!,6,0),0)</f>
        <v>0</v>
      </c>
      <c r="AH416" s="62">
        <f>IFERROR(VLOOKUP(DATA[[#This Row],[COMBINADA]],#REF!,9,0),0)/COUNTIFS(DATA[COMBINADA],DATA[[#This Row],[COMBINADA]])</f>
        <v>0</v>
      </c>
      <c r="AI416" s="61">
        <f>IFERROR(VLOOKUP(DATA[[#This Row],[COMBINADA]],#REF!,6,0),0)</f>
        <v>0</v>
      </c>
      <c r="AJ416" s="62">
        <f>IFERROR(VLOOKUP(DATA[[#This Row],[COMBINADA]],#REF!,9,0),0)/COUNTIFS(DATA[COMBINADA],DATA[[#This Row],[COMBINADA]])</f>
        <v>0</v>
      </c>
      <c r="AK416" s="61">
        <f>IFERROR(VLOOKUP(DATA[[#This Row],[COMBINADA]],#REF!,6,0),0)</f>
        <v>0</v>
      </c>
      <c r="AL416" s="62">
        <f>IFERROR(VLOOKUP(DATA[[#This Row],[COMBINADA]],#REF!,9,0),0)/COUNTIFS(DATA[COMBINADA],DATA[[#This Row],[COMBINADA]])</f>
        <v>0</v>
      </c>
      <c r="AM416" s="61">
        <f>IFERROR(VLOOKUP(DATA[[#This Row],[COMBINADA]],#REF!,6,0),0)</f>
        <v>0</v>
      </c>
      <c r="AN416" s="62">
        <f>IFERROR(VLOOKUP(DATA[[#This Row],[COMBINADA]],#REF!,9,0),0)/COUNTIFS(DATA[COMBINADA],DATA[[#This Row],[COMBINADA]])</f>
        <v>0</v>
      </c>
      <c r="AO416" s="61">
        <f>IFERROR(VLOOKUP(DATA[[#This Row],[COMBINADA]],#REF!,6,0),0)</f>
        <v>0</v>
      </c>
      <c r="AP416" s="62">
        <f>IFERROR(VLOOKUP(DATA[[#This Row],[COMBINADA]],#REF!,9,0),0)/COUNTIFS(DATA[COMBINADA],DATA[[#This Row],[COMBINADA]])</f>
        <v>0</v>
      </c>
      <c r="AQ416"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416" s="22" t="str">
        <f>IFERROR(IF(DATA[[#This Row],[estado_fact]]="FACTURADO",VLOOKUP(DATA[[#This Row],[SERIE2]]&amp;"-"&amp;DATA[[#This Row],[NUMERO]],#REF!,34,0),"NO CORRESPONDE"),"NO CORRESPONDE")</f>
        <v>NO CORRESPONDE</v>
      </c>
      <c r="AS416" s="198" t="str">
        <f>IF(DATA[[#This Row],[fecha_fs]]&gt;0,TEXT(DATA[[#This Row],[fecha_fs]],"Mmmm"),0)</f>
        <v>Marzo</v>
      </c>
      <c r="AT416" s="199" t="str">
        <f>DATA[[#This Row],[SERIE2]]&amp;"-"&amp;DATA[[#This Row],[NUMERO]]</f>
        <v>-</v>
      </c>
      <c r="AU416" s="198">
        <f>DATA[[#This Row],[TOTAL]]*DATA[[#This Row],[T.C.]]</f>
        <v>0</v>
      </c>
      <c r="AV416" s="40">
        <f>DATA[[#This Row],[FECHA DE VAL.]]</f>
        <v>0</v>
      </c>
      <c r="AW416" s="40">
        <f>DATA[[#This Row],[FECHA DE EMISION]]</f>
        <v>0</v>
      </c>
      <c r="AX416" s="40">
        <f>DATA[[#This Row],[F1]]</f>
        <v>0</v>
      </c>
      <c r="AY416" s="49">
        <f>IF(AV416-DATA[[#This Row],[fecha_fs]]&lt;0,0,AV416-DATA[[#This Row],[fecha_fs]])</f>
        <v>0</v>
      </c>
      <c r="AZ416" s="49">
        <f t="shared" si="45"/>
        <v>0</v>
      </c>
      <c r="BA416" s="49">
        <f t="shared" si="46"/>
        <v>0</v>
      </c>
      <c r="BB416" s="195">
        <f>IFERROR(SUM(DATA[[#This Row],[fs_val_ttf]:[fact_pago_ttf]]),0)</f>
        <v>0</v>
      </c>
      <c r="BC416" s="200"/>
      <c r="BD416" s="200"/>
      <c r="BE416" s="200"/>
      <c r="BF416" s="200"/>
      <c r="BG416" s="49">
        <f>IFERROR(IF(BC416-DATA[[#This Row],[fecha_fs]]&lt;0,0,BC416-DATA[[#This Row],[fecha_fs]]),0)</f>
        <v>0</v>
      </c>
      <c r="BH416" s="49">
        <f t="shared" si="47"/>
        <v>0</v>
      </c>
      <c r="BI416" s="49">
        <f t="shared" si="48"/>
        <v>0</v>
      </c>
      <c r="BJ416" s="49">
        <f t="shared" si="49"/>
        <v>0</v>
      </c>
      <c r="BK416" s="218">
        <f>IFERROR(SUM(DATA[[#This Row],[fs_fd_ttd]:[fend_fenf_ttd]]),0)</f>
        <v>0</v>
      </c>
      <c r="BL416" s="20" t="str">
        <f>IF(DATA[[#This Row],[fecha_fs]]&gt;0,TEXT(DATA[[#This Row],[fecha_fs]],"YYYY"),0)</f>
        <v>2025</v>
      </c>
      <c r="BM416" s="221" t="b">
        <v>0</v>
      </c>
      <c r="BN416" s="278"/>
      <c r="BO416" s="222"/>
    </row>
    <row r="417" spans="1:67" ht="30" customHeight="1" x14ac:dyDescent="0.25">
      <c r="A417" s="4"/>
      <c r="B417" s="5" t="s">
        <v>0</v>
      </c>
      <c r="C417" s="52"/>
      <c r="D417" s="4"/>
      <c r="E417" s="5" t="s">
        <v>0</v>
      </c>
      <c r="F417" s="24">
        <v>45742</v>
      </c>
      <c r="G417" s="7" t="s">
        <v>142</v>
      </c>
      <c r="H417" s="25">
        <f t="shared" si="44"/>
        <v>2</v>
      </c>
      <c r="I417" s="67">
        <v>1066</v>
      </c>
      <c r="J417" s="8" t="s">
        <v>173</v>
      </c>
      <c r="K417" s="9"/>
      <c r="L417" s="10"/>
      <c r="M417" s="111"/>
      <c r="N417" s="112"/>
      <c r="O417" s="6"/>
      <c r="P417" s="13" t="s">
        <v>114</v>
      </c>
      <c r="Q417" s="14"/>
      <c r="R417" s="43"/>
      <c r="S417" s="43"/>
      <c r="T417" s="43">
        <f>DATA[[#This Row],[C. DF]]+DATA[[#This Row],[C.OPE.]]</f>
        <v>0</v>
      </c>
      <c r="U417" s="73">
        <f>DATA[[#This Row],[SUB TOTAL]]*0.18</f>
        <v>0</v>
      </c>
      <c r="V417" s="45">
        <f>IFERROR(ROUND(DATA[[#This Row],[SUB TOTAL]]+DATA[[#This Row],[IGV]],2),0)</f>
        <v>0</v>
      </c>
      <c r="W417" s="58" t="str">
        <f>IF(DATA[[#This Row],[VALORIZACIÓN ]]="-","NO CORRESPONDE",IF(OR(A417=20558226979,A417=10470707866,A417=20111157058,A417=20100226902),"NO CORRESPONDE",IF(J417="Emitida",IF(P417&gt;0,"EMITIDA","PENDIENTE"),"NO CORRESPONDE")))</f>
        <v>NO CORRESPONDE</v>
      </c>
      <c r="X417" s="46"/>
      <c r="Y417" s="17" t="s">
        <v>128</v>
      </c>
      <c r="Z417" s="48"/>
      <c r="AA417" s="49"/>
      <c r="AB417" s="50"/>
      <c r="AC417" s="51"/>
      <c r="AD417" s="59">
        <f>DATA[[#This Row],[FECHA DE EMISION]]+DATA[[#This Row],[CONDICION DE PAGO]]</f>
        <v>0</v>
      </c>
      <c r="AE417" s="23">
        <f>IF(DATA[[#This Row],[MONEDA]]="USD",VLOOKUP(DATA[[#This Row],[COMBINADA]],#REF!,11,0),1)</f>
        <v>1</v>
      </c>
      <c r="AF417" s="39" t="str">
        <f>IF(DATA[[#This Row],[SERIE2]]="-","NO CORRESPONDE",IF(W417="NO CORRESPONDE","NO CORRESPONDE",IF(Z417&gt;0,"FACTURADO","PENDIENTE")))</f>
        <v>NO CORRESPONDE</v>
      </c>
      <c r="AG417" s="61">
        <f>IFERROR(VLOOKUP(DATA[[#This Row],[COMBINADA]],#REF!,6,0),0)</f>
        <v>0</v>
      </c>
      <c r="AH417" s="62">
        <f>IFERROR(VLOOKUP(DATA[[#This Row],[COMBINADA]],#REF!,9,0),0)/COUNTIFS(DATA[COMBINADA],DATA[[#This Row],[COMBINADA]])</f>
        <v>0</v>
      </c>
      <c r="AI417" s="61">
        <f>IFERROR(VLOOKUP(DATA[[#This Row],[COMBINADA]],#REF!,6,0),0)</f>
        <v>0</v>
      </c>
      <c r="AJ417" s="62">
        <f>IFERROR(VLOOKUP(DATA[[#This Row],[COMBINADA]],#REF!,9,0),0)/COUNTIFS(DATA[COMBINADA],DATA[[#This Row],[COMBINADA]])</f>
        <v>0</v>
      </c>
      <c r="AK417" s="61">
        <f>IFERROR(VLOOKUP(DATA[[#This Row],[COMBINADA]],#REF!,6,0),0)</f>
        <v>0</v>
      </c>
      <c r="AL417" s="62">
        <f>IFERROR(VLOOKUP(DATA[[#This Row],[COMBINADA]],#REF!,9,0),0)/COUNTIFS(DATA[COMBINADA],DATA[[#This Row],[COMBINADA]])</f>
        <v>0</v>
      </c>
      <c r="AM417" s="61">
        <f>IFERROR(VLOOKUP(DATA[[#This Row],[COMBINADA]],#REF!,6,0),0)</f>
        <v>0</v>
      </c>
      <c r="AN417" s="62">
        <f>IFERROR(VLOOKUP(DATA[[#This Row],[COMBINADA]],#REF!,9,0),0)/COUNTIFS(DATA[COMBINADA],DATA[[#This Row],[COMBINADA]])</f>
        <v>0</v>
      </c>
      <c r="AO417" s="61">
        <f>IFERROR(VLOOKUP(DATA[[#This Row],[COMBINADA]],#REF!,6,0),0)</f>
        <v>0</v>
      </c>
      <c r="AP417" s="62">
        <f>IFERROR(VLOOKUP(DATA[[#This Row],[COMBINADA]],#REF!,9,0),0)/COUNTIFS(DATA[COMBINADA],DATA[[#This Row],[COMBINADA]])</f>
        <v>0</v>
      </c>
      <c r="AQ417"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417" s="22" t="str">
        <f>IFERROR(IF(DATA[[#This Row],[estado_fact]]="FACTURADO",VLOOKUP(DATA[[#This Row],[SERIE2]]&amp;"-"&amp;DATA[[#This Row],[NUMERO]],#REF!,34,0),"NO CORRESPONDE"),"NO CORRESPONDE")</f>
        <v>NO CORRESPONDE</v>
      </c>
      <c r="AS417" s="198" t="str">
        <f>IF(DATA[[#This Row],[fecha_fs]]&gt;0,TEXT(DATA[[#This Row],[fecha_fs]],"Mmmm"),0)</f>
        <v>Marzo</v>
      </c>
      <c r="AT417" s="199" t="str">
        <f>DATA[[#This Row],[SERIE2]]&amp;"-"&amp;DATA[[#This Row],[NUMERO]]</f>
        <v>-</v>
      </c>
      <c r="AU417" s="198">
        <f>DATA[[#This Row],[TOTAL]]*DATA[[#This Row],[T.C.]]</f>
        <v>0</v>
      </c>
      <c r="AV417" s="40">
        <f>DATA[[#This Row],[FECHA DE VAL.]]</f>
        <v>0</v>
      </c>
      <c r="AW417" s="40">
        <f>DATA[[#This Row],[FECHA DE EMISION]]</f>
        <v>0</v>
      </c>
      <c r="AX417" s="40">
        <f>DATA[[#This Row],[F1]]</f>
        <v>0</v>
      </c>
      <c r="AY417" s="49">
        <f>IF(AV417-DATA[[#This Row],[fecha_fs]]&lt;0,0,AV417-DATA[[#This Row],[fecha_fs]])</f>
        <v>0</v>
      </c>
      <c r="AZ417" s="49">
        <f t="shared" si="45"/>
        <v>0</v>
      </c>
      <c r="BA417" s="49">
        <f t="shared" si="46"/>
        <v>0</v>
      </c>
      <c r="BB417" s="195">
        <f>IFERROR(SUM(DATA[[#This Row],[fs_val_ttf]:[fact_pago_ttf]]),0)</f>
        <v>0</v>
      </c>
      <c r="BC417" s="200"/>
      <c r="BD417" s="200"/>
      <c r="BE417" s="200"/>
      <c r="BF417" s="200"/>
      <c r="BG417" s="49">
        <f>IFERROR(IF(BC417-DATA[[#This Row],[fecha_fs]]&lt;0,0,BC417-DATA[[#This Row],[fecha_fs]]),0)</f>
        <v>0</v>
      </c>
      <c r="BH417" s="49">
        <f t="shared" si="47"/>
        <v>0</v>
      </c>
      <c r="BI417" s="49">
        <f t="shared" si="48"/>
        <v>0</v>
      </c>
      <c r="BJ417" s="49">
        <f t="shared" si="49"/>
        <v>0</v>
      </c>
      <c r="BK417" s="218">
        <f>IFERROR(SUM(DATA[[#This Row],[fs_fd_ttd]:[fend_fenf_ttd]]),0)</f>
        <v>0</v>
      </c>
      <c r="BL417" s="20" t="str">
        <f>IF(DATA[[#This Row],[fecha_fs]]&gt;0,TEXT(DATA[[#This Row],[fecha_fs]],"YYYY"),0)</f>
        <v>2025</v>
      </c>
      <c r="BM417" s="221" t="b">
        <v>0</v>
      </c>
      <c r="BN417" s="278"/>
      <c r="BO417" s="222"/>
    </row>
    <row r="418" spans="1:67" ht="30.6" customHeight="1" x14ac:dyDescent="0.25">
      <c r="A418" s="4">
        <v>20100055237</v>
      </c>
      <c r="B418" s="5" t="s">
        <v>21</v>
      </c>
      <c r="C418" s="52" t="s">
        <v>138</v>
      </c>
      <c r="D418" s="4" t="s">
        <v>139</v>
      </c>
      <c r="E418" s="5" t="s">
        <v>23</v>
      </c>
      <c r="F418" s="24">
        <v>45743</v>
      </c>
      <c r="G418" s="7" t="s">
        <v>113</v>
      </c>
      <c r="H418" s="25">
        <f t="shared" si="44"/>
        <v>1</v>
      </c>
      <c r="I418" s="67">
        <v>4290</v>
      </c>
      <c r="J418" s="8" t="s">
        <v>115</v>
      </c>
      <c r="K418" s="9" t="s">
        <v>121</v>
      </c>
      <c r="L418" s="10" t="s">
        <v>117</v>
      </c>
      <c r="M418" s="111">
        <v>50</v>
      </c>
      <c r="N418" s="12" t="s">
        <v>125</v>
      </c>
      <c r="O418" s="6">
        <v>45743</v>
      </c>
      <c r="P418" s="54">
        <v>3365</v>
      </c>
      <c r="Q418" s="14" t="s">
        <v>85</v>
      </c>
      <c r="R418" s="15"/>
      <c r="S418" s="15">
        <v>297.92</v>
      </c>
      <c r="T418" s="15">
        <f>DATA[[#This Row],[C. DF]]+DATA[[#This Row],[C.OPE.]]</f>
        <v>297.92</v>
      </c>
      <c r="U418" s="56">
        <f>DATA[[#This Row],[SUB TOTAL]]*0.18</f>
        <v>53.625599999999999</v>
      </c>
      <c r="V418" s="56">
        <f>IFERROR(ROUND(DATA[[#This Row],[SUB TOTAL]]+DATA[[#This Row],[IGV]],2),0)</f>
        <v>351.55</v>
      </c>
      <c r="W418" s="73" t="str">
        <f>IF(DATA[[#This Row],[VALORIZACIÓN ]]="-","NO CORRESPONDE",IF(OR(A418=20558226979,A418=10470707866,A418=20111157058,A418=20100226902),"NO CORRESPONDE",IF(J418="Emitida",IF(P418&gt;0,"EMITIDA","PENDIENTE"),"NO CORRESPONDE")))</f>
        <v>EMITIDA</v>
      </c>
      <c r="X418" s="29"/>
      <c r="Y418" s="17" t="s">
        <v>118</v>
      </c>
      <c r="Z418" s="30">
        <v>45785</v>
      </c>
      <c r="AA418" s="10" t="s">
        <v>150</v>
      </c>
      <c r="AB418" s="19">
        <v>72</v>
      </c>
      <c r="AC418" s="20">
        <v>30</v>
      </c>
      <c r="AD418" s="18">
        <f>DATA[[#This Row],[FECHA DE EMISION]]+DATA[[#This Row],[CONDICION DE PAGO]]</f>
        <v>45815</v>
      </c>
      <c r="AE418" s="23">
        <f>IF(DATA[[#This Row],[MONEDA]]="USD",VLOOKUP(DATA[[#This Row],[COMBINADA]],#REF!,11,0),1)</f>
        <v>1</v>
      </c>
      <c r="AF418" s="39" t="str">
        <f>IF(DATA[[#This Row],[SERIE2]]="-","NO CORRESPONDE",IF(W418="NO CORRESPONDE","NO CORRESPONDE",IF(Z418&gt;0,"FACTURADO","PENDIENTE")))</f>
        <v>FACTURADO</v>
      </c>
      <c r="AG418" s="27">
        <f>IFERROR(VLOOKUP(DATA[[#This Row],[COMBINADA]],#REF!,6,0),0)</f>
        <v>0</v>
      </c>
      <c r="AH418" s="125">
        <f>IFERROR(VLOOKUP(DATA[[#This Row],[COMBINADA]],#REF!,9,0),0)/COUNTIFS(DATA[COMBINADA],DATA[[#This Row],[COMBINADA]])</f>
        <v>0</v>
      </c>
      <c r="AI418" s="27">
        <f>IFERROR(VLOOKUP(DATA[[#This Row],[COMBINADA]],#REF!,6,0),0)</f>
        <v>0</v>
      </c>
      <c r="AJ418" s="125">
        <f>IFERROR(VLOOKUP(DATA[[#This Row],[COMBINADA]],#REF!,9,0),0)/COUNTIFS(DATA[COMBINADA],DATA[[#This Row],[COMBINADA]])</f>
        <v>0</v>
      </c>
      <c r="AK418" s="27">
        <f>IFERROR(VLOOKUP(DATA[[#This Row],[COMBINADA]],#REF!,6,0),0)</f>
        <v>0</v>
      </c>
      <c r="AL418" s="125">
        <f>IFERROR(VLOOKUP(DATA[[#This Row],[COMBINADA]],#REF!,9,0),0)/COUNTIFS(DATA[COMBINADA],DATA[[#This Row],[COMBINADA]])</f>
        <v>0</v>
      </c>
      <c r="AM418" s="27">
        <f>IFERROR(VLOOKUP(DATA[[#This Row],[COMBINADA]],#REF!,6,0),0)</f>
        <v>0</v>
      </c>
      <c r="AN418" s="125">
        <f>IFERROR(VLOOKUP(DATA[[#This Row],[COMBINADA]],#REF!,9,0),0)/COUNTIFS(DATA[COMBINADA],DATA[[#This Row],[COMBINADA]])</f>
        <v>0</v>
      </c>
      <c r="AO418" s="27">
        <f>IFERROR(VLOOKUP(DATA[[#This Row],[COMBINADA]],#REF!,6,0),0)</f>
        <v>0</v>
      </c>
      <c r="AP418" s="125">
        <f>IFERROR(VLOOKUP(DATA[[#This Row],[COMBINADA]],#REF!,9,0),0)/COUNTIFS(DATA[COMBINADA],DATA[[#This Row],[COMBINADA]])</f>
        <v>0</v>
      </c>
      <c r="AQ41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418" s="120" t="str">
        <f>IFERROR(IF(DATA[[#This Row],[estado_fact]]="FACTURADO",VLOOKUP(DATA[[#This Row],[SERIE2]]&amp;"-"&amp;DATA[[#This Row],[NUMERO]],#REF!,34,0),"NO CORRESPONDE"),"NO CORRESPONDE")</f>
        <v>NO CORRESPONDE</v>
      </c>
      <c r="AS418" s="22" t="str">
        <f>IF(DATA[[#This Row],[fecha_fs]]&gt;0,TEXT(DATA[[#This Row],[fecha_fs]],"Mmmm"),0)</f>
        <v>Marzo</v>
      </c>
      <c r="AT418" s="22" t="str">
        <f>DATA[[#This Row],[SERIE2]]&amp;"-"&amp;DATA[[#This Row],[NUMERO]]</f>
        <v>FF01-72</v>
      </c>
      <c r="AU418" s="65">
        <f>DATA[[#This Row],[TOTAL]]*DATA[[#This Row],[T.C.]]</f>
        <v>351.55</v>
      </c>
      <c r="AV418" s="6">
        <f>DATA[[#This Row],[FECHA DE VAL.]]</f>
        <v>45743</v>
      </c>
      <c r="AW418" s="6">
        <f>DATA[[#This Row],[FECHA DE EMISION]]</f>
        <v>45785</v>
      </c>
      <c r="AX418" s="6">
        <f>DATA[[#This Row],[F1]]</f>
        <v>0</v>
      </c>
      <c r="AY418" s="20">
        <f>IF(AV418-DATA[[#This Row],[fecha_fs]]&lt;0,0,AV418-DATA[[#This Row],[fecha_fs]])</f>
        <v>0</v>
      </c>
      <c r="AZ418" s="20">
        <f t="shared" si="45"/>
        <v>42</v>
      </c>
      <c r="BA418" s="20">
        <f t="shared" si="46"/>
        <v>0</v>
      </c>
      <c r="BB418" s="195">
        <f>IFERROR(SUM(DATA[[#This Row],[fs_val_ttf]:[fact_pago_ttf]]),0)</f>
        <v>42</v>
      </c>
      <c r="BC418" s="184">
        <v>45743</v>
      </c>
      <c r="BD418" s="184">
        <v>45743</v>
      </c>
      <c r="BE418" s="184">
        <v>45743</v>
      </c>
      <c r="BF418" s="184">
        <v>45743</v>
      </c>
      <c r="BG418" s="20">
        <f>IFERROR(IF(BC418-DATA[[#This Row],[fecha_fs]]&lt;0,0,BC418-DATA[[#This Row],[fecha_fs]]),0)</f>
        <v>0</v>
      </c>
      <c r="BH418" s="20">
        <f t="shared" si="47"/>
        <v>0</v>
      </c>
      <c r="BI418" s="20">
        <f t="shared" si="48"/>
        <v>0</v>
      </c>
      <c r="BJ418" s="20">
        <f t="shared" si="49"/>
        <v>0</v>
      </c>
      <c r="BK418" s="218">
        <f>IFERROR(SUM(DATA[[#This Row],[fs_fd_ttd]:[fend_fenf_ttd]]),0)</f>
        <v>0</v>
      </c>
      <c r="BL418" s="20" t="str">
        <f>IF(DATA[[#This Row],[fecha_fs]]&gt;0,TEXT(DATA[[#This Row],[fecha_fs]],"YYYY"),0)</f>
        <v>2025</v>
      </c>
      <c r="BM418" s="221" t="b">
        <v>1</v>
      </c>
      <c r="BN418" s="278">
        <f>COUNTIF(DATA[[#This Row],[tiempo_td]], "&lt;=15")</f>
        <v>1</v>
      </c>
      <c r="BO418" s="222"/>
    </row>
    <row r="419" spans="1:67" ht="30.6" customHeight="1" x14ac:dyDescent="0.25">
      <c r="A419" s="4">
        <v>20558226979</v>
      </c>
      <c r="B419" s="5" t="s">
        <v>45</v>
      </c>
      <c r="C419" s="52" t="s">
        <v>18</v>
      </c>
      <c r="D419" s="4" t="s">
        <v>152</v>
      </c>
      <c r="E419" s="5" t="s">
        <v>10</v>
      </c>
      <c r="F419" s="24">
        <v>45743</v>
      </c>
      <c r="G419" s="7" t="s">
        <v>113</v>
      </c>
      <c r="H419" s="25">
        <f t="shared" si="44"/>
        <v>1</v>
      </c>
      <c r="I419" s="67">
        <v>4291</v>
      </c>
      <c r="J419" s="8" t="s">
        <v>115</v>
      </c>
      <c r="K419" s="9" t="s">
        <v>153</v>
      </c>
      <c r="L419" s="10" t="s">
        <v>117</v>
      </c>
      <c r="M419" s="111">
        <v>3</v>
      </c>
      <c r="N419" s="112" t="s">
        <v>114</v>
      </c>
      <c r="O419" s="40"/>
      <c r="P419" s="41" t="s">
        <v>114</v>
      </c>
      <c r="Q419" s="42"/>
      <c r="R419" s="43"/>
      <c r="S419" s="43"/>
      <c r="T419" s="43">
        <f>DATA[[#This Row],[C. DF]]+DATA[[#This Row],[C.OPE.]]</f>
        <v>0</v>
      </c>
      <c r="U419" s="43">
        <f>DATA[[#This Row],[SUB TOTAL]]*0.18</f>
        <v>0</v>
      </c>
      <c r="V419" s="43">
        <f>IFERROR(ROUND(DATA[[#This Row],[SUB TOTAL]]+DATA[[#This Row],[IGV]],2),0)</f>
        <v>0</v>
      </c>
      <c r="W419" s="73" t="str">
        <f>IF(DATA[[#This Row],[VALORIZACIÓN ]]="-","NO CORRESPONDE",IF(OR(A419=20558226979,A419=10470707866,A419=20111157058,A419=20100226902),"NO CORRESPONDE",IF(J419="Emitida",IF(P419&gt;0,"EMITIDA","PENDIENTE"),"NO CORRESPONDE")))</f>
        <v>NO CORRESPONDE</v>
      </c>
      <c r="X419" s="29"/>
      <c r="Y419" s="17" t="s">
        <v>128</v>
      </c>
      <c r="Z419" s="30"/>
      <c r="AA419" s="10"/>
      <c r="AB419" s="119"/>
      <c r="AC419" s="114"/>
      <c r="AD419" s="18">
        <f>DATA[[#This Row],[FECHA DE EMISION]]+DATA[[#This Row],[CONDICION DE PAGO]]</f>
        <v>0</v>
      </c>
      <c r="AE419" s="23">
        <f>IF(DATA[[#This Row],[MONEDA]]="USD",VLOOKUP(DATA[[#This Row],[COMBINADA]],#REF!,11,0),1)</f>
        <v>1</v>
      </c>
      <c r="AF419" s="39" t="str">
        <f>IF(DATA[[#This Row],[SERIE2]]="-","NO CORRESPONDE",IF(W419="NO CORRESPONDE","NO CORRESPONDE",IF(Z419&gt;0,"FACTURADO","PENDIENTE")))</f>
        <v>NO CORRESPONDE</v>
      </c>
      <c r="AG419" s="27">
        <f>IFERROR(VLOOKUP(DATA[[#This Row],[COMBINADA]],#REF!,6,0),0)</f>
        <v>0</v>
      </c>
      <c r="AH419" s="125">
        <f>IFERROR(VLOOKUP(DATA[[#This Row],[COMBINADA]],#REF!,9,0),0)/COUNTIFS(DATA[COMBINADA],DATA[[#This Row],[COMBINADA]])</f>
        <v>0</v>
      </c>
      <c r="AI419" s="27">
        <f>IFERROR(VLOOKUP(DATA[[#This Row],[COMBINADA]],#REF!,6,0),0)</f>
        <v>0</v>
      </c>
      <c r="AJ419" s="125">
        <f>IFERROR(VLOOKUP(DATA[[#This Row],[COMBINADA]],#REF!,9,0),0)/COUNTIFS(DATA[COMBINADA],DATA[[#This Row],[COMBINADA]])</f>
        <v>0</v>
      </c>
      <c r="AK419" s="27">
        <f>IFERROR(VLOOKUP(DATA[[#This Row],[COMBINADA]],#REF!,6,0),0)</f>
        <v>0</v>
      </c>
      <c r="AL419" s="125">
        <f>IFERROR(VLOOKUP(DATA[[#This Row],[COMBINADA]],#REF!,9,0),0)/COUNTIFS(DATA[COMBINADA],DATA[[#This Row],[COMBINADA]])</f>
        <v>0</v>
      </c>
      <c r="AM419" s="27">
        <f>IFERROR(VLOOKUP(DATA[[#This Row],[COMBINADA]],#REF!,6,0),0)</f>
        <v>0</v>
      </c>
      <c r="AN419" s="125">
        <f>IFERROR(VLOOKUP(DATA[[#This Row],[COMBINADA]],#REF!,9,0),0)/COUNTIFS(DATA[COMBINADA],DATA[[#This Row],[COMBINADA]])</f>
        <v>0</v>
      </c>
      <c r="AO419" s="27">
        <f>IFERROR(VLOOKUP(DATA[[#This Row],[COMBINADA]],#REF!,6,0),0)</f>
        <v>0</v>
      </c>
      <c r="AP419" s="125">
        <f>IFERROR(VLOOKUP(DATA[[#This Row],[COMBINADA]],#REF!,9,0),0)/COUNTIFS(DATA[COMBINADA],DATA[[#This Row],[COMBINADA]])</f>
        <v>0</v>
      </c>
      <c r="AQ41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419" s="120" t="str">
        <f>IFERROR(IF(DATA[[#This Row],[estado_fact]]="FACTURADO",VLOOKUP(DATA[[#This Row],[SERIE2]]&amp;"-"&amp;DATA[[#This Row],[NUMERO]],#REF!,34,0),"NO CORRESPONDE"),"NO CORRESPONDE")</f>
        <v>NO CORRESPONDE</v>
      </c>
      <c r="AS419" s="22" t="str">
        <f>IF(DATA[[#This Row],[fecha_fs]]&gt;0,TEXT(DATA[[#This Row],[fecha_fs]],"Mmmm"),0)</f>
        <v>Marzo</v>
      </c>
      <c r="AT419" s="22" t="str">
        <f>DATA[[#This Row],[SERIE2]]&amp;"-"&amp;DATA[[#This Row],[NUMERO]]</f>
        <v>-</v>
      </c>
      <c r="AU419" s="65">
        <f>DATA[[#This Row],[TOTAL]]*DATA[[#This Row],[T.C.]]</f>
        <v>0</v>
      </c>
      <c r="AV419" s="6">
        <f>DATA[[#This Row],[FECHA DE VAL.]]</f>
        <v>0</v>
      </c>
      <c r="AW419" s="6">
        <f>DATA[[#This Row],[FECHA DE EMISION]]</f>
        <v>0</v>
      </c>
      <c r="AX419" s="6">
        <f>DATA[[#This Row],[F1]]</f>
        <v>0</v>
      </c>
      <c r="AY419" s="20">
        <f>IF(AV419-DATA[[#This Row],[fecha_fs]]&lt;0,0,AV419-DATA[[#This Row],[fecha_fs]])</f>
        <v>0</v>
      </c>
      <c r="AZ419" s="20">
        <f t="shared" si="45"/>
        <v>0</v>
      </c>
      <c r="BA419" s="20">
        <f t="shared" si="46"/>
        <v>0</v>
      </c>
      <c r="BB419" s="195">
        <f>IFERROR(SUM(DATA[[#This Row],[fs_val_ttf]:[fact_pago_ttf]]),0)</f>
        <v>0</v>
      </c>
      <c r="BC419" s="185">
        <v>45745</v>
      </c>
      <c r="BD419" s="185">
        <v>45755</v>
      </c>
      <c r="BE419" s="185">
        <v>45793</v>
      </c>
      <c r="BF419" s="185">
        <v>45793</v>
      </c>
      <c r="BG419" s="20">
        <f>IFERROR(IF(BC419-DATA[[#This Row],[fecha_fs]]&lt;0,0,BC419-DATA[[#This Row],[fecha_fs]]),0)</f>
        <v>2</v>
      </c>
      <c r="BH419" s="20">
        <f t="shared" si="47"/>
        <v>10</v>
      </c>
      <c r="BI419" s="20">
        <f t="shared" si="48"/>
        <v>38</v>
      </c>
      <c r="BJ419" s="20">
        <f t="shared" si="49"/>
        <v>0</v>
      </c>
      <c r="BK419" s="218">
        <f>IFERROR(SUM(DATA[[#This Row],[fs_fd_ttd]:[fend_fenf_ttd]]),0)</f>
        <v>50</v>
      </c>
      <c r="BL419" s="20" t="str">
        <f>IF(DATA[[#This Row],[fecha_fs]]&gt;0,TEXT(DATA[[#This Row],[fecha_fs]],"YYYY"),0)</f>
        <v>2025</v>
      </c>
      <c r="BM419" s="221" t="b">
        <v>1</v>
      </c>
      <c r="BN419" s="278">
        <f>COUNTIF(DATA[[#This Row],[tiempo_td]], "&lt;=15")</f>
        <v>0</v>
      </c>
      <c r="BO419" s="222"/>
    </row>
    <row r="420" spans="1:67" ht="30.6" customHeight="1" x14ac:dyDescent="0.25">
      <c r="A420" s="4">
        <v>20505675836</v>
      </c>
      <c r="B420" s="5" t="s">
        <v>42</v>
      </c>
      <c r="C420" s="52" t="s">
        <v>20</v>
      </c>
      <c r="D420" s="4" t="s">
        <v>112</v>
      </c>
      <c r="E420" s="5" t="s">
        <v>1</v>
      </c>
      <c r="F420" s="24">
        <v>45742</v>
      </c>
      <c r="G420" s="7" t="s">
        <v>113</v>
      </c>
      <c r="H420" s="25">
        <f t="shared" si="44"/>
        <v>1</v>
      </c>
      <c r="I420" s="67">
        <v>4292</v>
      </c>
      <c r="J420" s="8" t="s">
        <v>115</v>
      </c>
      <c r="K420" s="9" t="s">
        <v>116</v>
      </c>
      <c r="L420" s="10" t="s">
        <v>117</v>
      </c>
      <c r="M420" s="111">
        <v>710</v>
      </c>
      <c r="N420" s="12" t="s">
        <v>125</v>
      </c>
      <c r="O420" s="6">
        <v>45741</v>
      </c>
      <c r="P420" s="71">
        <v>3349</v>
      </c>
      <c r="Q420" s="14" t="s">
        <v>85</v>
      </c>
      <c r="R420" s="15">
        <f>(DATA[[#This Row],[cantidad_fs]]-600)*0.97</f>
        <v>106.7</v>
      </c>
      <c r="S420" s="15">
        <v>1988.35</v>
      </c>
      <c r="T420" s="15">
        <f>DATA[[#This Row],[C. DF]]+DATA[[#This Row],[C.OPE.]]</f>
        <v>2095.0499999999997</v>
      </c>
      <c r="U420" s="56">
        <f>DATA[[#This Row],[SUB TOTAL]]*0.18</f>
        <v>377.10899999999992</v>
      </c>
      <c r="V420" s="56">
        <f>IFERROR(ROUND(DATA[[#This Row],[SUB TOTAL]]+DATA[[#This Row],[IGV]],2),0)</f>
        <v>2472.16</v>
      </c>
      <c r="W420" s="73" t="str">
        <f>IF(DATA[[#This Row],[VALORIZACIÓN ]]="-","NO CORRESPONDE",IF(OR(A420=20558226979,A420=10470707866,A420=20111157058,A420=20100226902),"NO CORRESPONDE",IF(J420="Emitida",IF(P420&gt;0,"EMITIDA","PENDIENTE"),"NO CORRESPONDE")))</f>
        <v>EMITIDA</v>
      </c>
      <c r="X420" s="29"/>
      <c r="Y420" s="17" t="s">
        <v>118</v>
      </c>
      <c r="Z420" s="30">
        <v>45782</v>
      </c>
      <c r="AA420" s="10" t="s">
        <v>150</v>
      </c>
      <c r="AB420" s="19">
        <v>63</v>
      </c>
      <c r="AC420" s="20">
        <v>30</v>
      </c>
      <c r="AD420" s="18">
        <f>DATA[[#This Row],[FECHA DE EMISION]]+DATA[[#This Row],[CONDICION DE PAGO]]</f>
        <v>45812</v>
      </c>
      <c r="AE420" s="23">
        <f>IF(DATA[[#This Row],[MONEDA]]="USD",VLOOKUP(DATA[[#This Row],[COMBINADA]],#REF!,11,0),1)</f>
        <v>1</v>
      </c>
      <c r="AF420" s="39" t="str">
        <f>IF(DATA[[#This Row],[SERIE2]]="-","NO CORRESPONDE",IF(W420="NO CORRESPONDE","NO CORRESPONDE",IF(Z420&gt;0,"FACTURADO","PENDIENTE")))</f>
        <v>FACTURADO</v>
      </c>
      <c r="AG420" s="27">
        <f>IFERROR(VLOOKUP(DATA[[#This Row],[COMBINADA]],#REF!,6,0),0)</f>
        <v>0</v>
      </c>
      <c r="AH420" s="125">
        <f>IFERROR(VLOOKUP(DATA[[#This Row],[COMBINADA]],#REF!,9,0),0)/COUNTIFS(DATA[COMBINADA],DATA[[#This Row],[COMBINADA]])</f>
        <v>0</v>
      </c>
      <c r="AI420" s="27">
        <f>IFERROR(VLOOKUP(DATA[[#This Row],[COMBINADA]],#REF!,6,0),0)</f>
        <v>0</v>
      </c>
      <c r="AJ420" s="125">
        <f>IFERROR(VLOOKUP(DATA[[#This Row],[COMBINADA]],#REF!,9,0),0)/COUNTIFS(DATA[COMBINADA],DATA[[#This Row],[COMBINADA]])</f>
        <v>0</v>
      </c>
      <c r="AK420" s="27">
        <f>IFERROR(VLOOKUP(DATA[[#This Row],[COMBINADA]],#REF!,6,0),0)</f>
        <v>0</v>
      </c>
      <c r="AL420" s="125">
        <f>IFERROR(VLOOKUP(DATA[[#This Row],[COMBINADA]],#REF!,9,0),0)/COUNTIFS(DATA[COMBINADA],DATA[[#This Row],[COMBINADA]])</f>
        <v>0</v>
      </c>
      <c r="AM420" s="27">
        <f>IFERROR(VLOOKUP(DATA[[#This Row],[COMBINADA]],#REF!,6,0),0)</f>
        <v>0</v>
      </c>
      <c r="AN420" s="125">
        <f>IFERROR(VLOOKUP(DATA[[#This Row],[COMBINADA]],#REF!,9,0),0)/COUNTIFS(DATA[COMBINADA],DATA[[#This Row],[COMBINADA]])</f>
        <v>0</v>
      </c>
      <c r="AO420" s="27">
        <f>IFERROR(VLOOKUP(DATA[[#This Row],[COMBINADA]],#REF!,6,0),0)</f>
        <v>0</v>
      </c>
      <c r="AP420" s="125">
        <f>IFERROR(VLOOKUP(DATA[[#This Row],[COMBINADA]],#REF!,9,0),0)/COUNTIFS(DATA[COMBINADA],DATA[[#This Row],[COMBINADA]])</f>
        <v>0</v>
      </c>
      <c r="AQ42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2047.1424999999999</v>
      </c>
      <c r="AR420" s="120" t="str">
        <f>IFERROR(IF(DATA[[#This Row],[estado_fact]]="FACTURADO",VLOOKUP(DATA[[#This Row],[SERIE2]]&amp;"-"&amp;DATA[[#This Row],[NUMERO]],#REF!,34,0),"NO CORRESPONDE"),"NO CORRESPONDE")</f>
        <v>NO CORRESPONDE</v>
      </c>
      <c r="AS420" s="22" t="str">
        <f>IF(DATA[[#This Row],[fecha_fs]]&gt;0,TEXT(DATA[[#This Row],[fecha_fs]],"Mmmm"),0)</f>
        <v>Marzo</v>
      </c>
      <c r="AT420" s="22" t="str">
        <f>DATA[[#This Row],[SERIE2]]&amp;"-"&amp;DATA[[#This Row],[NUMERO]]</f>
        <v>FF01-63</v>
      </c>
      <c r="AU420" s="65">
        <f>DATA[[#This Row],[TOTAL]]*DATA[[#This Row],[T.C.]]</f>
        <v>2472.16</v>
      </c>
      <c r="AV420" s="6">
        <f>DATA[[#This Row],[FECHA DE VAL.]]</f>
        <v>45741</v>
      </c>
      <c r="AW420" s="6">
        <f>DATA[[#This Row],[FECHA DE EMISION]]</f>
        <v>45782</v>
      </c>
      <c r="AX420" s="6">
        <f>DATA[[#This Row],[F1]]</f>
        <v>0</v>
      </c>
      <c r="AY420" s="20">
        <f>IF(AV420-DATA[[#This Row],[fecha_fs]]&lt;0,0,AV420-DATA[[#This Row],[fecha_fs]])</f>
        <v>0</v>
      </c>
      <c r="AZ420" s="20">
        <f t="shared" si="45"/>
        <v>41</v>
      </c>
      <c r="BA420" s="20">
        <f t="shared" si="46"/>
        <v>0</v>
      </c>
      <c r="BB420" s="195">
        <f>IFERROR(SUM(DATA[[#This Row],[fs_val_ttf]:[fact_pago_ttf]]),0)</f>
        <v>41</v>
      </c>
      <c r="BC420" s="185">
        <v>45748</v>
      </c>
      <c r="BD420" s="185">
        <v>45749</v>
      </c>
      <c r="BE420" s="185">
        <v>45755</v>
      </c>
      <c r="BF420" s="185">
        <v>45761</v>
      </c>
      <c r="BG420" s="20">
        <f>IFERROR(IF(BC420-DATA[[#This Row],[fecha_fs]]&lt;0,0,BC420-DATA[[#This Row],[fecha_fs]]),0)</f>
        <v>6</v>
      </c>
      <c r="BH420" s="20">
        <f t="shared" si="47"/>
        <v>1</v>
      </c>
      <c r="BI420" s="20">
        <f t="shared" si="48"/>
        <v>6</v>
      </c>
      <c r="BJ420" s="20">
        <f t="shared" si="49"/>
        <v>6</v>
      </c>
      <c r="BK420" s="218">
        <f>IFERROR(SUM(DATA[[#This Row],[fs_fd_ttd]:[fend_fenf_ttd]]),0)</f>
        <v>19</v>
      </c>
      <c r="BL420" s="20" t="str">
        <f>IF(DATA[[#This Row],[fecha_fs]]&gt;0,TEXT(DATA[[#This Row],[fecha_fs]],"YYYY"),0)</f>
        <v>2025</v>
      </c>
      <c r="BM420" s="221" t="b">
        <v>1</v>
      </c>
      <c r="BN420" s="278">
        <f>COUNTIF(DATA[[#This Row],[tiempo_td]], "&lt;=15")</f>
        <v>0</v>
      </c>
      <c r="BO420" s="222"/>
    </row>
    <row r="421" spans="1:67" ht="30" customHeight="1" x14ac:dyDescent="0.25">
      <c r="A421" s="4"/>
      <c r="B421" s="5"/>
      <c r="C421" s="52"/>
      <c r="D421" s="4"/>
      <c r="E421" s="5" t="s">
        <v>0</v>
      </c>
      <c r="F421" s="24">
        <v>45743</v>
      </c>
      <c r="G421" s="7" t="s">
        <v>113</v>
      </c>
      <c r="H421" s="25">
        <f t="shared" si="44"/>
        <v>1</v>
      </c>
      <c r="I421" s="67">
        <v>4293</v>
      </c>
      <c r="J421" s="8" t="s">
        <v>151</v>
      </c>
      <c r="K421" s="9"/>
      <c r="L421" s="10"/>
      <c r="M421" s="111"/>
      <c r="N421" s="112"/>
      <c r="O421" s="6"/>
      <c r="P421" s="13"/>
      <c r="Q421" s="14"/>
      <c r="R421" s="56">
        <f>DATA[[#This Row],[cantidad_fs]]*0.97</f>
        <v>0</v>
      </c>
      <c r="S421" s="56"/>
      <c r="T421" s="56">
        <f>DATA[[#This Row],[C. DF]]+DATA[[#This Row],[C.OPE.]]</f>
        <v>0</v>
      </c>
      <c r="U421" s="73">
        <f>DATA[[#This Row],[SUB TOTAL]]*0.18</f>
        <v>0</v>
      </c>
      <c r="V421" s="45">
        <f>IFERROR(ROUND(DATA[[#This Row],[SUB TOTAL]]+DATA[[#This Row],[IGV]],2),0)</f>
        <v>0</v>
      </c>
      <c r="W421" s="58" t="str">
        <f>IF(DATA[[#This Row],[VALORIZACIÓN ]]="-","NO CORRESPONDE",IF(OR(A421=20558226979,A421=10470707866,A421=20111157058,A421=20100226902),"NO CORRESPONDE",IF(J421="Emitida",IF(P421&gt;0,"EMITIDA","PENDIENTE"),"NO CORRESPONDE")))</f>
        <v>NO CORRESPONDE</v>
      </c>
      <c r="X421" s="46"/>
      <c r="Y421" s="17" t="s">
        <v>128</v>
      </c>
      <c r="Z421" s="48"/>
      <c r="AA421" s="49"/>
      <c r="AB421" s="50"/>
      <c r="AC421" s="51"/>
      <c r="AD421" s="59">
        <f>DATA[[#This Row],[FECHA DE EMISION]]+DATA[[#This Row],[CONDICION DE PAGO]]</f>
        <v>0</v>
      </c>
      <c r="AE421" s="23">
        <f>IF(DATA[[#This Row],[MONEDA]]="USD",VLOOKUP(DATA[[#This Row],[COMBINADA]],#REF!,11,0),1)</f>
        <v>1</v>
      </c>
      <c r="AF421" s="39" t="str">
        <f>IF(DATA[[#This Row],[SERIE2]]="-","NO CORRESPONDE",IF(W421="NO CORRESPONDE","NO CORRESPONDE",IF(Z421&gt;0,"FACTURADO","PENDIENTE")))</f>
        <v>NO CORRESPONDE</v>
      </c>
      <c r="AG421" s="61">
        <f>IFERROR(VLOOKUP(DATA[[#This Row],[COMBINADA]],#REF!,6,0),0)</f>
        <v>0</v>
      </c>
      <c r="AH421" s="62">
        <f>IFERROR(VLOOKUP(DATA[[#This Row],[COMBINADA]],#REF!,9,0),0)/COUNTIFS(DATA[COMBINADA],DATA[[#This Row],[COMBINADA]])</f>
        <v>0</v>
      </c>
      <c r="AI421" s="61">
        <f>IFERROR(VLOOKUP(DATA[[#This Row],[COMBINADA]],#REF!,6,0),0)</f>
        <v>0</v>
      </c>
      <c r="AJ421" s="62">
        <f>IFERROR(VLOOKUP(DATA[[#This Row],[COMBINADA]],#REF!,9,0),0)/COUNTIFS(DATA[COMBINADA],DATA[[#This Row],[COMBINADA]])</f>
        <v>0</v>
      </c>
      <c r="AK421" s="61">
        <f>IFERROR(VLOOKUP(DATA[[#This Row],[COMBINADA]],#REF!,6,0),0)</f>
        <v>0</v>
      </c>
      <c r="AL421" s="62">
        <f>IFERROR(VLOOKUP(DATA[[#This Row],[COMBINADA]],#REF!,9,0),0)/COUNTIFS(DATA[COMBINADA],DATA[[#This Row],[COMBINADA]])</f>
        <v>0</v>
      </c>
      <c r="AM421" s="61">
        <f>IFERROR(VLOOKUP(DATA[[#This Row],[COMBINADA]],#REF!,6,0),0)</f>
        <v>0</v>
      </c>
      <c r="AN421" s="62">
        <f>IFERROR(VLOOKUP(DATA[[#This Row],[COMBINADA]],#REF!,9,0),0)/COUNTIFS(DATA[COMBINADA],DATA[[#This Row],[COMBINADA]])</f>
        <v>0</v>
      </c>
      <c r="AO421" s="61">
        <f>IFERROR(VLOOKUP(DATA[[#This Row],[COMBINADA]],#REF!,6,0),0)</f>
        <v>0</v>
      </c>
      <c r="AP421" s="62">
        <f>IFERROR(VLOOKUP(DATA[[#This Row],[COMBINADA]],#REF!,9,0),0)/COUNTIFS(DATA[COMBINADA],DATA[[#This Row],[COMBINADA]])</f>
        <v>0</v>
      </c>
      <c r="AQ421"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421" s="22" t="str">
        <f>IFERROR(IF(DATA[[#This Row],[estado_fact]]="FACTURADO",VLOOKUP(DATA[[#This Row],[SERIE2]]&amp;"-"&amp;DATA[[#This Row],[NUMERO]],#REF!,34,0),"NO CORRESPONDE"),"NO CORRESPONDE")</f>
        <v>NO CORRESPONDE</v>
      </c>
      <c r="AS421" s="198" t="str">
        <f>IF(DATA[[#This Row],[fecha_fs]]&gt;0,TEXT(DATA[[#This Row],[fecha_fs]],"Mmmm"),0)</f>
        <v>Marzo</v>
      </c>
      <c r="AT421" s="199" t="str">
        <f>DATA[[#This Row],[SERIE2]]&amp;"-"&amp;DATA[[#This Row],[NUMERO]]</f>
        <v>-</v>
      </c>
      <c r="AU421" s="198">
        <f>DATA[[#This Row],[TOTAL]]*DATA[[#This Row],[T.C.]]</f>
        <v>0</v>
      </c>
      <c r="AV421" s="40">
        <f>DATA[[#This Row],[FECHA DE VAL.]]</f>
        <v>0</v>
      </c>
      <c r="AW421" s="40">
        <f>DATA[[#This Row],[FECHA DE EMISION]]</f>
        <v>0</v>
      </c>
      <c r="AX421" s="40">
        <f>DATA[[#This Row],[F1]]</f>
        <v>0</v>
      </c>
      <c r="AY421" s="49">
        <f>IF(AV421-DATA[[#This Row],[fecha_fs]]&lt;0,0,AV421-DATA[[#This Row],[fecha_fs]])</f>
        <v>0</v>
      </c>
      <c r="AZ421" s="49">
        <f t="shared" si="45"/>
        <v>0</v>
      </c>
      <c r="BA421" s="49">
        <f t="shared" si="46"/>
        <v>0</v>
      </c>
      <c r="BB421" s="195">
        <f>IFERROR(SUM(DATA[[#This Row],[fs_val_ttf]:[fact_pago_ttf]]),0)</f>
        <v>0</v>
      </c>
      <c r="BC421" s="201"/>
      <c r="BD421" s="201"/>
      <c r="BE421" s="201"/>
      <c r="BF421" s="201"/>
      <c r="BG421" s="49"/>
      <c r="BH421" s="49"/>
      <c r="BI421" s="49"/>
      <c r="BJ421" s="49">
        <f t="shared" si="49"/>
        <v>0</v>
      </c>
      <c r="BK421" s="218">
        <f>IFERROR(SUM(DATA[[#This Row],[fs_fd_ttd]:[fend_fenf_ttd]]),0)</f>
        <v>0</v>
      </c>
      <c r="BL421" s="20" t="str">
        <f>IF(DATA[[#This Row],[fecha_fs]]&gt;0,TEXT(DATA[[#This Row],[fecha_fs]],"YYYY"),0)</f>
        <v>2025</v>
      </c>
      <c r="BM421" s="221" t="b">
        <v>0</v>
      </c>
      <c r="BN421" s="278"/>
      <c r="BO421" s="222"/>
    </row>
    <row r="422" spans="1:67" ht="30.6" customHeight="1" x14ac:dyDescent="0.25">
      <c r="A422" s="4">
        <v>20419158462</v>
      </c>
      <c r="B422" s="5" t="s">
        <v>2</v>
      </c>
      <c r="C422" s="52" t="s">
        <v>9</v>
      </c>
      <c r="D422" s="4" t="s">
        <v>120</v>
      </c>
      <c r="E422" s="5" t="s">
        <v>3</v>
      </c>
      <c r="F422" s="24">
        <v>45743</v>
      </c>
      <c r="G422" s="7" t="s">
        <v>113</v>
      </c>
      <c r="H422" s="25">
        <f t="shared" si="44"/>
        <v>1</v>
      </c>
      <c r="I422" s="67">
        <v>4294</v>
      </c>
      <c r="J422" s="8" t="s">
        <v>115</v>
      </c>
      <c r="K422" s="9" t="s">
        <v>156</v>
      </c>
      <c r="L422" s="10" t="s">
        <v>117</v>
      </c>
      <c r="M422" s="111">
        <v>450</v>
      </c>
      <c r="N422" s="12" t="s">
        <v>125</v>
      </c>
      <c r="O422" s="6">
        <v>45744</v>
      </c>
      <c r="P422" s="83">
        <v>3427</v>
      </c>
      <c r="Q422" s="14" t="s">
        <v>85</v>
      </c>
      <c r="R422" s="15">
        <v>0</v>
      </c>
      <c r="S422" s="15">
        <f>1429.7/2</f>
        <v>714.85</v>
      </c>
      <c r="T422" s="15">
        <f>DATA[[#This Row],[C. DF]]+DATA[[#This Row],[C.OPE.]]</f>
        <v>714.85</v>
      </c>
      <c r="U422" s="56">
        <f>DATA[[#This Row],[SUB TOTAL]]*0.18</f>
        <v>128.673</v>
      </c>
      <c r="V422" s="56">
        <f>IFERROR(ROUND(DATA[[#This Row],[SUB TOTAL]]+DATA[[#This Row],[IGV]],2),0)</f>
        <v>843.52</v>
      </c>
      <c r="W422" s="73" t="str">
        <f>IF(DATA[[#This Row],[VALORIZACIÓN ]]="-","NO CORRESPONDE",IF(OR(A422=20558226979,A422=10470707866,A422=20111157058,A422=20100226902),"NO CORRESPONDE",IF(J422="Emitida",IF(P422&gt;0,"EMITIDA","PENDIENTE"),"NO CORRESPONDE")))</f>
        <v>EMITIDA</v>
      </c>
      <c r="X422" s="29"/>
      <c r="Y422" s="17" t="s">
        <v>118</v>
      </c>
      <c r="Z422" s="30">
        <v>45798</v>
      </c>
      <c r="AA422" s="10" t="s">
        <v>150</v>
      </c>
      <c r="AB422" s="119">
        <v>80</v>
      </c>
      <c r="AC422" s="114">
        <v>15</v>
      </c>
      <c r="AD422" s="18">
        <f>DATA[[#This Row],[FECHA DE EMISION]]+DATA[[#This Row],[CONDICION DE PAGO]]</f>
        <v>45813</v>
      </c>
      <c r="AE422" s="23">
        <f>IF(DATA[[#This Row],[MONEDA]]="USD",VLOOKUP(DATA[[#This Row],[COMBINADA]],#REF!,11,0),1)</f>
        <v>1</v>
      </c>
      <c r="AF422" s="39" t="str">
        <f>IF(DATA[[#This Row],[SERIE2]]="-","NO CORRESPONDE",IF(W422="NO CORRESPONDE","NO CORRESPONDE",IF(Z422&gt;0,"FACTURADO","PENDIENTE")))</f>
        <v>FACTURADO</v>
      </c>
      <c r="AG422" s="27">
        <f>IFERROR(VLOOKUP(DATA[[#This Row],[COMBINADA]],#REF!,6,0),0)</f>
        <v>0</v>
      </c>
      <c r="AH422" s="125">
        <f>IFERROR(VLOOKUP(DATA[[#This Row],[COMBINADA]],#REF!,9,0),0)/COUNTIFS(DATA[COMBINADA],DATA[[#This Row],[COMBINADA]])</f>
        <v>0</v>
      </c>
      <c r="AI422" s="27">
        <f>IFERROR(VLOOKUP(DATA[[#This Row],[COMBINADA]],#REF!,6,0),0)</f>
        <v>0</v>
      </c>
      <c r="AJ422" s="125">
        <f>IFERROR(VLOOKUP(DATA[[#This Row],[COMBINADA]],#REF!,9,0),0)/COUNTIFS(DATA[COMBINADA],DATA[[#This Row],[COMBINADA]])</f>
        <v>0</v>
      </c>
      <c r="AK422" s="27">
        <f>IFERROR(VLOOKUP(DATA[[#This Row],[COMBINADA]],#REF!,6,0),0)</f>
        <v>0</v>
      </c>
      <c r="AL422" s="125">
        <f>IFERROR(VLOOKUP(DATA[[#This Row],[COMBINADA]],#REF!,9,0),0)/COUNTIFS(DATA[COMBINADA],DATA[[#This Row],[COMBINADA]])</f>
        <v>0</v>
      </c>
      <c r="AM422" s="27">
        <f>IFERROR(VLOOKUP(DATA[[#This Row],[COMBINADA]],#REF!,6,0),0)</f>
        <v>0</v>
      </c>
      <c r="AN422" s="125">
        <f>IFERROR(VLOOKUP(DATA[[#This Row],[COMBINADA]],#REF!,9,0),0)/COUNTIFS(DATA[COMBINADA],DATA[[#This Row],[COMBINADA]])</f>
        <v>0</v>
      </c>
      <c r="AO422" s="27">
        <f>IFERROR(VLOOKUP(DATA[[#This Row],[COMBINADA]],#REF!,6,0),0)</f>
        <v>0</v>
      </c>
      <c r="AP422" s="125">
        <f>IFERROR(VLOOKUP(DATA[[#This Row],[COMBINADA]],#REF!,9,0),0)/COUNTIFS(DATA[COMBINADA],DATA[[#This Row],[COMBINADA]])</f>
        <v>0</v>
      </c>
      <c r="AQ42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422" s="120" t="str">
        <f>IFERROR(IF(DATA[[#This Row],[estado_fact]]="FACTURADO",VLOOKUP(DATA[[#This Row],[SERIE2]]&amp;"-"&amp;DATA[[#This Row],[NUMERO]],#REF!,34,0),"NO CORRESPONDE"),"NO CORRESPONDE")</f>
        <v>NO CORRESPONDE</v>
      </c>
      <c r="AS422" s="22" t="str">
        <f>IF(DATA[[#This Row],[fecha_fs]]&gt;0,TEXT(DATA[[#This Row],[fecha_fs]],"Mmmm"),0)</f>
        <v>Marzo</v>
      </c>
      <c r="AT422" s="22" t="str">
        <f>DATA[[#This Row],[SERIE2]]&amp;"-"&amp;DATA[[#This Row],[NUMERO]]</f>
        <v>FF01-80</v>
      </c>
      <c r="AU422" s="65">
        <f>DATA[[#This Row],[TOTAL]]*DATA[[#This Row],[T.C.]]</f>
        <v>843.52</v>
      </c>
      <c r="AV422" s="6">
        <f>DATA[[#This Row],[FECHA DE VAL.]]</f>
        <v>45744</v>
      </c>
      <c r="AW422" s="6">
        <f>DATA[[#This Row],[FECHA DE EMISION]]</f>
        <v>45798</v>
      </c>
      <c r="AX422" s="6">
        <f>DATA[[#This Row],[F1]]</f>
        <v>0</v>
      </c>
      <c r="AY422" s="20">
        <f>IF(AV422-DATA[[#This Row],[fecha_fs]]&lt;0,0,AV422-DATA[[#This Row],[fecha_fs]])</f>
        <v>1</v>
      </c>
      <c r="AZ422" s="20">
        <f t="shared" si="45"/>
        <v>54</v>
      </c>
      <c r="BA422" s="20">
        <f t="shared" si="46"/>
        <v>0</v>
      </c>
      <c r="BB422" s="195">
        <f>IFERROR(SUM(DATA[[#This Row],[fs_val_ttf]:[fact_pago_ttf]]),0)</f>
        <v>55</v>
      </c>
      <c r="BC422" s="185">
        <v>45743</v>
      </c>
      <c r="BD422" s="185">
        <v>45743</v>
      </c>
      <c r="BE422" s="185">
        <v>45751</v>
      </c>
      <c r="BF422" s="185">
        <v>45751</v>
      </c>
      <c r="BG422" s="20">
        <f>IFERROR(IF(BC422-DATA[[#This Row],[fecha_fs]]&lt;0,0,BC422-DATA[[#This Row],[fecha_fs]]),0)</f>
        <v>0</v>
      </c>
      <c r="BH422" s="20">
        <f t="shared" si="47"/>
        <v>0</v>
      </c>
      <c r="BI422" s="20">
        <f t="shared" si="48"/>
        <v>8</v>
      </c>
      <c r="BJ422" s="20">
        <f t="shared" si="49"/>
        <v>0</v>
      </c>
      <c r="BK422" s="218">
        <f>IFERROR(SUM(DATA[[#This Row],[fs_fd_ttd]:[fend_fenf_ttd]]),0)</f>
        <v>8</v>
      </c>
      <c r="BL422" s="20" t="str">
        <f>IF(DATA[[#This Row],[fecha_fs]]&gt;0,TEXT(DATA[[#This Row],[fecha_fs]],"YYYY"),0)</f>
        <v>2025</v>
      </c>
      <c r="BM422" s="221" t="b">
        <v>1</v>
      </c>
      <c r="BN422" s="278">
        <f>COUNTIF(DATA[[#This Row],[tiempo_td]], "&lt;=15")</f>
        <v>1</v>
      </c>
      <c r="BO422" s="222"/>
    </row>
    <row r="423" spans="1:67" ht="30.6" customHeight="1" x14ac:dyDescent="0.25">
      <c r="A423" s="4">
        <v>20419158462</v>
      </c>
      <c r="B423" s="5" t="s">
        <v>2</v>
      </c>
      <c r="C423" s="52" t="s">
        <v>174</v>
      </c>
      <c r="D423" s="4" t="s">
        <v>120</v>
      </c>
      <c r="E423" s="5" t="s">
        <v>3</v>
      </c>
      <c r="F423" s="24">
        <v>45743</v>
      </c>
      <c r="G423" s="7" t="s">
        <v>113</v>
      </c>
      <c r="H423" s="25">
        <f t="shared" si="44"/>
        <v>1</v>
      </c>
      <c r="I423" s="67">
        <v>4295</v>
      </c>
      <c r="J423" s="8" t="s">
        <v>115</v>
      </c>
      <c r="K423" s="9" t="s">
        <v>156</v>
      </c>
      <c r="L423" s="10" t="s">
        <v>117</v>
      </c>
      <c r="M423" s="111">
        <v>520</v>
      </c>
      <c r="N423" s="12" t="s">
        <v>125</v>
      </c>
      <c r="O423" s="6">
        <v>45744</v>
      </c>
      <c r="P423" s="83">
        <v>3427</v>
      </c>
      <c r="Q423" s="14" t="s">
        <v>85</v>
      </c>
      <c r="R423" s="15">
        <v>0</v>
      </c>
      <c r="S423" s="15">
        <f>1429.7/2</f>
        <v>714.85</v>
      </c>
      <c r="T423" s="15">
        <f>DATA[[#This Row],[C. DF]]+DATA[[#This Row],[C.OPE.]]</f>
        <v>714.85</v>
      </c>
      <c r="U423" s="56">
        <f>DATA[[#This Row],[SUB TOTAL]]*0.18</f>
        <v>128.673</v>
      </c>
      <c r="V423" s="56">
        <f>IFERROR(ROUND(DATA[[#This Row],[SUB TOTAL]]+DATA[[#This Row],[IGV]],2),0)</f>
        <v>843.52</v>
      </c>
      <c r="W423" s="73" t="str">
        <f>IF(DATA[[#This Row],[VALORIZACIÓN ]]="-","NO CORRESPONDE",IF(OR(A423=20558226979,A423=10470707866,A423=20111157058,A423=20100226902),"NO CORRESPONDE",IF(J423="Emitida",IF(P423&gt;0,"EMITIDA","PENDIENTE"),"NO CORRESPONDE")))</f>
        <v>EMITIDA</v>
      </c>
      <c r="X423" s="29"/>
      <c r="Y423" s="17" t="s">
        <v>118</v>
      </c>
      <c r="Z423" s="30">
        <v>45798</v>
      </c>
      <c r="AA423" s="10" t="s">
        <v>150</v>
      </c>
      <c r="AB423" s="119">
        <v>80</v>
      </c>
      <c r="AC423" s="114">
        <v>15</v>
      </c>
      <c r="AD423" s="18">
        <f>DATA[[#This Row],[FECHA DE EMISION]]+DATA[[#This Row],[CONDICION DE PAGO]]</f>
        <v>45813</v>
      </c>
      <c r="AE423" s="23">
        <f>IF(DATA[[#This Row],[MONEDA]]="USD",VLOOKUP(DATA[[#This Row],[COMBINADA]],#REF!,11,0),1)</f>
        <v>1</v>
      </c>
      <c r="AF423" s="39" t="str">
        <f>IF(DATA[[#This Row],[SERIE2]]="-","NO CORRESPONDE",IF(W423="NO CORRESPONDE","NO CORRESPONDE",IF(Z423&gt;0,"FACTURADO","PENDIENTE")))</f>
        <v>FACTURADO</v>
      </c>
      <c r="AG423" s="27">
        <f>IFERROR(VLOOKUP(DATA[[#This Row],[COMBINADA]],#REF!,6,0),0)</f>
        <v>0</v>
      </c>
      <c r="AH423" s="125">
        <f>IFERROR(VLOOKUP(DATA[[#This Row],[COMBINADA]],#REF!,9,0),0)/COUNTIFS(DATA[COMBINADA],DATA[[#This Row],[COMBINADA]])</f>
        <v>0</v>
      </c>
      <c r="AI423" s="27">
        <f>IFERROR(VLOOKUP(DATA[[#This Row],[COMBINADA]],#REF!,6,0),0)</f>
        <v>0</v>
      </c>
      <c r="AJ423" s="125">
        <f>IFERROR(VLOOKUP(DATA[[#This Row],[COMBINADA]],#REF!,9,0),0)/COUNTIFS(DATA[COMBINADA],DATA[[#This Row],[COMBINADA]])</f>
        <v>0</v>
      </c>
      <c r="AK423" s="27">
        <f>IFERROR(VLOOKUP(DATA[[#This Row],[COMBINADA]],#REF!,6,0),0)</f>
        <v>0</v>
      </c>
      <c r="AL423" s="125">
        <f>IFERROR(VLOOKUP(DATA[[#This Row],[COMBINADA]],#REF!,9,0),0)/COUNTIFS(DATA[COMBINADA],DATA[[#This Row],[COMBINADA]])</f>
        <v>0</v>
      </c>
      <c r="AM423" s="27">
        <f>IFERROR(VLOOKUP(DATA[[#This Row],[COMBINADA]],#REF!,6,0),0)</f>
        <v>0</v>
      </c>
      <c r="AN423" s="125">
        <f>IFERROR(VLOOKUP(DATA[[#This Row],[COMBINADA]],#REF!,9,0),0)/COUNTIFS(DATA[COMBINADA],DATA[[#This Row],[COMBINADA]])</f>
        <v>0</v>
      </c>
      <c r="AO423" s="27">
        <f>IFERROR(VLOOKUP(DATA[[#This Row],[COMBINADA]],#REF!,6,0),0)</f>
        <v>0</v>
      </c>
      <c r="AP423" s="125">
        <f>IFERROR(VLOOKUP(DATA[[#This Row],[COMBINADA]],#REF!,9,0),0)/COUNTIFS(DATA[COMBINADA],DATA[[#This Row],[COMBINADA]])</f>
        <v>0</v>
      </c>
      <c r="AQ42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423" s="120" t="str">
        <f>IFERROR(IF(DATA[[#This Row],[estado_fact]]="FACTURADO",VLOOKUP(DATA[[#This Row],[SERIE2]]&amp;"-"&amp;DATA[[#This Row],[NUMERO]],#REF!,34,0),"NO CORRESPONDE"),"NO CORRESPONDE")</f>
        <v>NO CORRESPONDE</v>
      </c>
      <c r="AS423" s="22" t="str">
        <f>IF(DATA[[#This Row],[fecha_fs]]&gt;0,TEXT(DATA[[#This Row],[fecha_fs]],"Mmmm"),0)</f>
        <v>Marzo</v>
      </c>
      <c r="AT423" s="22" t="str">
        <f>DATA[[#This Row],[SERIE2]]&amp;"-"&amp;DATA[[#This Row],[NUMERO]]</f>
        <v>FF01-80</v>
      </c>
      <c r="AU423" s="65">
        <f>DATA[[#This Row],[TOTAL]]*DATA[[#This Row],[T.C.]]</f>
        <v>843.52</v>
      </c>
      <c r="AV423" s="6">
        <f>DATA[[#This Row],[FECHA DE VAL.]]</f>
        <v>45744</v>
      </c>
      <c r="AW423" s="6">
        <f>DATA[[#This Row],[FECHA DE EMISION]]</f>
        <v>45798</v>
      </c>
      <c r="AX423" s="6">
        <f>DATA[[#This Row],[F1]]</f>
        <v>0</v>
      </c>
      <c r="AY423" s="20">
        <f>IF(AV423-DATA[[#This Row],[fecha_fs]]&lt;0,0,AV423-DATA[[#This Row],[fecha_fs]])</f>
        <v>1</v>
      </c>
      <c r="AZ423" s="20">
        <f t="shared" si="45"/>
        <v>54</v>
      </c>
      <c r="BA423" s="20">
        <f t="shared" si="46"/>
        <v>0</v>
      </c>
      <c r="BB423" s="195">
        <f>IFERROR(SUM(DATA[[#This Row],[fs_val_ttf]:[fact_pago_ttf]]),0)</f>
        <v>55</v>
      </c>
      <c r="BC423" s="185">
        <v>45743</v>
      </c>
      <c r="BD423" s="185">
        <v>45743</v>
      </c>
      <c r="BE423" s="185">
        <v>45751</v>
      </c>
      <c r="BF423" s="185">
        <v>45751</v>
      </c>
      <c r="BG423" s="20">
        <f>IFERROR(IF(BC423-DATA[[#This Row],[fecha_fs]]&lt;0,0,BC423-DATA[[#This Row],[fecha_fs]]),0)</f>
        <v>0</v>
      </c>
      <c r="BH423" s="20">
        <f t="shared" si="47"/>
        <v>0</v>
      </c>
      <c r="BI423" s="20">
        <f t="shared" si="48"/>
        <v>8</v>
      </c>
      <c r="BJ423" s="20">
        <f t="shared" si="49"/>
        <v>0</v>
      </c>
      <c r="BK423" s="218">
        <f>IFERROR(SUM(DATA[[#This Row],[fs_fd_ttd]:[fend_fenf_ttd]]),0)</f>
        <v>8</v>
      </c>
      <c r="BL423" s="20" t="str">
        <f>IF(DATA[[#This Row],[fecha_fs]]&gt;0,TEXT(DATA[[#This Row],[fecha_fs]],"YYYY"),0)</f>
        <v>2025</v>
      </c>
      <c r="BM423" s="221" t="b">
        <v>1</v>
      </c>
      <c r="BN423" s="278">
        <f>COUNTIF(DATA[[#This Row],[tiempo_td]], "&lt;=15")</f>
        <v>1</v>
      </c>
      <c r="BO423" s="222"/>
    </row>
    <row r="424" spans="1:67" ht="30.6" customHeight="1" x14ac:dyDescent="0.25">
      <c r="A424" s="4">
        <v>20419158462</v>
      </c>
      <c r="B424" s="5" t="s">
        <v>2</v>
      </c>
      <c r="C424" s="52" t="s">
        <v>147</v>
      </c>
      <c r="D424" s="4" t="s">
        <v>120</v>
      </c>
      <c r="E424" s="5" t="s">
        <v>3</v>
      </c>
      <c r="F424" s="24">
        <v>45743</v>
      </c>
      <c r="G424" s="7" t="s">
        <v>113</v>
      </c>
      <c r="H424" s="25">
        <f t="shared" si="44"/>
        <v>1</v>
      </c>
      <c r="I424" s="67">
        <v>4296</v>
      </c>
      <c r="J424" s="8" t="s">
        <v>115</v>
      </c>
      <c r="K424" s="9" t="s">
        <v>148</v>
      </c>
      <c r="L424" s="10" t="s">
        <v>117</v>
      </c>
      <c r="M424" s="111">
        <v>3680</v>
      </c>
      <c r="N424" s="112" t="s">
        <v>223</v>
      </c>
      <c r="O424" s="6">
        <v>45744</v>
      </c>
      <c r="P424" s="83">
        <v>3369</v>
      </c>
      <c r="Q424" s="14" t="s">
        <v>85</v>
      </c>
      <c r="R424" s="15"/>
      <c r="S424" s="15">
        <v>2597.6999999999998</v>
      </c>
      <c r="T424" s="15">
        <f>DATA[[#This Row],[C. DF]]+DATA[[#This Row],[C.OPE.]]</f>
        <v>2597.6999999999998</v>
      </c>
      <c r="U424" s="56">
        <f>DATA[[#This Row],[SUB TOTAL]]*0.18</f>
        <v>467.58599999999996</v>
      </c>
      <c r="V424" s="56">
        <f>IFERROR(ROUND(DATA[[#This Row],[SUB TOTAL]]+DATA[[#This Row],[IGV]],2),0)</f>
        <v>3065.29</v>
      </c>
      <c r="W424" s="73" t="str">
        <f>IF(DATA[[#This Row],[VALORIZACIÓN ]]="-","NO CORRESPONDE",IF(OR(A424=20558226979,A424=10470707866,A424=20111157058,A424=20100226902),"NO CORRESPONDE",IF(J424="Emitida",IF(P424&gt;0,"EMITIDA","PENDIENTE"),"NO CORRESPONDE")))</f>
        <v>EMITIDA</v>
      </c>
      <c r="X424" s="29"/>
      <c r="Y424" s="17" t="s">
        <v>118</v>
      </c>
      <c r="Z424" s="30">
        <v>45770</v>
      </c>
      <c r="AA424" s="10" t="s">
        <v>150</v>
      </c>
      <c r="AB424" s="119">
        <v>48</v>
      </c>
      <c r="AC424" s="114">
        <v>15</v>
      </c>
      <c r="AD424" s="18">
        <f>DATA[[#This Row],[FECHA DE EMISION]]+DATA[[#This Row],[CONDICION DE PAGO]]</f>
        <v>45785</v>
      </c>
      <c r="AE424" s="23">
        <f>IF(DATA[[#This Row],[MONEDA]]="USD",VLOOKUP(DATA[[#This Row],[COMBINADA]],#REF!,11,0),1)</f>
        <v>1</v>
      </c>
      <c r="AF424" s="39" t="str">
        <f>IF(DATA[[#This Row],[SERIE2]]="-","NO CORRESPONDE",IF(W424="NO CORRESPONDE","NO CORRESPONDE",IF(Z424&gt;0,"FACTURADO","PENDIENTE")))</f>
        <v>FACTURADO</v>
      </c>
      <c r="AG424" s="27">
        <f>IFERROR(VLOOKUP(DATA[[#This Row],[COMBINADA]],#REF!,6,0),0)</f>
        <v>0</v>
      </c>
      <c r="AH424" s="125">
        <f>IFERROR(VLOOKUP(DATA[[#This Row],[COMBINADA]],#REF!,9,0),0)/COUNTIFS(DATA[COMBINADA],DATA[[#This Row],[COMBINADA]])</f>
        <v>0</v>
      </c>
      <c r="AI424" s="27">
        <f>IFERROR(VLOOKUP(DATA[[#This Row],[COMBINADA]],#REF!,6,0),0)</f>
        <v>0</v>
      </c>
      <c r="AJ424" s="125">
        <f>IFERROR(VLOOKUP(DATA[[#This Row],[COMBINADA]],#REF!,9,0),0)/COUNTIFS(DATA[COMBINADA],DATA[[#This Row],[COMBINADA]])</f>
        <v>0</v>
      </c>
      <c r="AK424" s="27">
        <f>IFERROR(VLOOKUP(DATA[[#This Row],[COMBINADA]],#REF!,6,0),0)</f>
        <v>0</v>
      </c>
      <c r="AL424" s="125">
        <f>IFERROR(VLOOKUP(DATA[[#This Row],[COMBINADA]],#REF!,9,0),0)/COUNTIFS(DATA[COMBINADA],DATA[[#This Row],[COMBINADA]])</f>
        <v>0</v>
      </c>
      <c r="AM424" s="27">
        <f>IFERROR(VLOOKUP(DATA[[#This Row],[COMBINADA]],#REF!,6,0),0)</f>
        <v>0</v>
      </c>
      <c r="AN424" s="125">
        <f>IFERROR(VLOOKUP(DATA[[#This Row],[COMBINADA]],#REF!,9,0),0)/COUNTIFS(DATA[COMBINADA],DATA[[#This Row],[COMBINADA]])</f>
        <v>0</v>
      </c>
      <c r="AO424" s="27">
        <f>IFERROR(VLOOKUP(DATA[[#This Row],[COMBINADA]],#REF!,6,0),0)</f>
        <v>0</v>
      </c>
      <c r="AP424" s="125">
        <f>IFERROR(VLOOKUP(DATA[[#This Row],[COMBINADA]],#REF!,9,0),0)/COUNTIFS(DATA[COMBINADA],DATA[[#This Row],[COMBINADA]])</f>
        <v>0</v>
      </c>
      <c r="AQ42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3667.7566666666667</v>
      </c>
      <c r="AR424" s="120" t="str">
        <f>IFERROR(IF(DATA[[#This Row],[estado_fact]]="FACTURADO",VLOOKUP(DATA[[#This Row],[SERIE2]]&amp;"-"&amp;DATA[[#This Row],[NUMERO]],#REF!,34,0),"NO CORRESPONDE"),"NO CORRESPONDE")</f>
        <v>NO CORRESPONDE</v>
      </c>
      <c r="AS424" s="22" t="str">
        <f>IF(DATA[[#This Row],[fecha_fs]]&gt;0,TEXT(DATA[[#This Row],[fecha_fs]],"Mmmm"),0)</f>
        <v>Marzo</v>
      </c>
      <c r="AT424" s="22" t="str">
        <f>DATA[[#This Row],[SERIE2]]&amp;"-"&amp;DATA[[#This Row],[NUMERO]]</f>
        <v>FF01-48</v>
      </c>
      <c r="AU424" s="65">
        <f>DATA[[#This Row],[TOTAL]]*DATA[[#This Row],[T.C.]]</f>
        <v>3065.29</v>
      </c>
      <c r="AV424" s="6">
        <f>DATA[[#This Row],[FECHA DE VAL.]]</f>
        <v>45744</v>
      </c>
      <c r="AW424" s="6">
        <f>DATA[[#This Row],[FECHA DE EMISION]]</f>
        <v>45770</v>
      </c>
      <c r="AX424" s="6">
        <f>DATA[[#This Row],[F1]]</f>
        <v>0</v>
      </c>
      <c r="AY424" s="20">
        <f>IF(AV424-DATA[[#This Row],[fecha_fs]]&lt;0,0,AV424-DATA[[#This Row],[fecha_fs]])</f>
        <v>1</v>
      </c>
      <c r="AZ424" s="20">
        <f t="shared" si="45"/>
        <v>26</v>
      </c>
      <c r="BA424" s="20">
        <f t="shared" si="46"/>
        <v>0</v>
      </c>
      <c r="BB424" s="195">
        <f>IFERROR(SUM(DATA[[#This Row],[fs_val_ttf]:[fact_pago_ttf]]),0)</f>
        <v>27</v>
      </c>
      <c r="BC424" s="185">
        <v>45743</v>
      </c>
      <c r="BD424" s="185">
        <v>45743</v>
      </c>
      <c r="BE424" s="185">
        <v>45751</v>
      </c>
      <c r="BF424" s="185">
        <v>45751</v>
      </c>
      <c r="BG424" s="20">
        <f>IFERROR(IF(BC424-DATA[[#This Row],[fecha_fs]]&lt;0,0,BC424-DATA[[#This Row],[fecha_fs]]),0)</f>
        <v>0</v>
      </c>
      <c r="BH424" s="20">
        <f t="shared" si="47"/>
        <v>0</v>
      </c>
      <c r="BI424" s="20">
        <f t="shared" si="48"/>
        <v>8</v>
      </c>
      <c r="BJ424" s="20">
        <f t="shared" si="49"/>
        <v>0</v>
      </c>
      <c r="BK424" s="218">
        <f>IFERROR(SUM(DATA[[#This Row],[fs_fd_ttd]:[fend_fenf_ttd]]),0)</f>
        <v>8</v>
      </c>
      <c r="BL424" s="20" t="str">
        <f>IF(DATA[[#This Row],[fecha_fs]]&gt;0,TEXT(DATA[[#This Row],[fecha_fs]],"YYYY"),0)</f>
        <v>2025</v>
      </c>
      <c r="BM424" s="221" t="b">
        <v>1</v>
      </c>
      <c r="BN424" s="278">
        <f>COUNTIF(DATA[[#This Row],[tiempo_td]], "&lt;=15")</f>
        <v>1</v>
      </c>
      <c r="BO424" s="222"/>
    </row>
    <row r="425" spans="1:67" ht="30.6" customHeight="1" x14ac:dyDescent="0.25">
      <c r="A425" s="4">
        <v>20419158462</v>
      </c>
      <c r="B425" s="5" t="s">
        <v>2</v>
      </c>
      <c r="C425" s="52" t="s">
        <v>147</v>
      </c>
      <c r="D425" s="4" t="s">
        <v>120</v>
      </c>
      <c r="E425" s="5" t="s">
        <v>3</v>
      </c>
      <c r="F425" s="24">
        <v>45743</v>
      </c>
      <c r="G425" s="7" t="s">
        <v>113</v>
      </c>
      <c r="H425" s="25">
        <f t="shared" si="44"/>
        <v>1</v>
      </c>
      <c r="I425" s="67">
        <v>4297</v>
      </c>
      <c r="J425" s="8" t="s">
        <v>115</v>
      </c>
      <c r="K425" s="9" t="s">
        <v>121</v>
      </c>
      <c r="L425" s="10" t="s">
        <v>117</v>
      </c>
      <c r="M425" s="111">
        <v>4910</v>
      </c>
      <c r="N425" s="112" t="s">
        <v>129</v>
      </c>
      <c r="O425" s="6">
        <v>45744</v>
      </c>
      <c r="P425" s="83">
        <v>3368</v>
      </c>
      <c r="Q425" s="14" t="s">
        <v>85</v>
      </c>
      <c r="R425" s="15">
        <f>DATA[[#This Row],[cantidad_fs]]*0.67</f>
        <v>3289.7000000000003</v>
      </c>
      <c r="S425" s="15">
        <v>839.7</v>
      </c>
      <c r="T425" s="15">
        <f>DATA[[#This Row],[C. DF]]+DATA[[#This Row],[C.OPE.]]</f>
        <v>4129.4000000000005</v>
      </c>
      <c r="U425" s="56">
        <f>DATA[[#This Row],[SUB TOTAL]]*0.18</f>
        <v>743.29200000000003</v>
      </c>
      <c r="V425" s="56">
        <f>IFERROR(ROUND(DATA[[#This Row],[SUB TOTAL]]+DATA[[#This Row],[IGV]],2),0)</f>
        <v>4872.6899999999996</v>
      </c>
      <c r="W425" s="73" t="str">
        <f>IF(DATA[[#This Row],[VALORIZACIÓN ]]="-","NO CORRESPONDE",IF(OR(A425=20558226979,A425=10470707866,A425=20111157058,A425=20100226902),"NO CORRESPONDE",IF(J425="Emitida",IF(P425&gt;0,"EMITIDA","PENDIENTE"),"NO CORRESPONDE")))</f>
        <v>EMITIDA</v>
      </c>
      <c r="X425" s="29"/>
      <c r="Y425" s="17" t="s">
        <v>118</v>
      </c>
      <c r="Z425" s="30">
        <v>45770</v>
      </c>
      <c r="AA425" s="10" t="s">
        <v>150</v>
      </c>
      <c r="AB425" s="119">
        <v>48</v>
      </c>
      <c r="AC425" s="114">
        <v>15</v>
      </c>
      <c r="AD425" s="18">
        <f>DATA[[#This Row],[FECHA DE EMISION]]+DATA[[#This Row],[CONDICION DE PAGO]]</f>
        <v>45785</v>
      </c>
      <c r="AE425" s="23">
        <f>IF(DATA[[#This Row],[MONEDA]]="USD",VLOOKUP(DATA[[#This Row],[COMBINADA]],#REF!,11,0),1)</f>
        <v>1</v>
      </c>
      <c r="AF425" s="39" t="str">
        <f>IF(DATA[[#This Row],[SERIE2]]="-","NO CORRESPONDE",IF(W425="NO CORRESPONDE","NO CORRESPONDE",IF(Z425&gt;0,"FACTURADO","PENDIENTE")))</f>
        <v>FACTURADO</v>
      </c>
      <c r="AG425" s="27">
        <f>IFERROR(VLOOKUP(DATA[[#This Row],[COMBINADA]],#REF!,6,0),0)</f>
        <v>0</v>
      </c>
      <c r="AH425" s="125">
        <f>IFERROR(VLOOKUP(DATA[[#This Row],[COMBINADA]],#REF!,9,0),0)/COUNTIFS(DATA[COMBINADA],DATA[[#This Row],[COMBINADA]])</f>
        <v>0</v>
      </c>
      <c r="AI425" s="27">
        <f>IFERROR(VLOOKUP(DATA[[#This Row],[COMBINADA]],#REF!,6,0),0)</f>
        <v>0</v>
      </c>
      <c r="AJ425" s="125">
        <f>IFERROR(VLOOKUP(DATA[[#This Row],[COMBINADA]],#REF!,9,0),0)/COUNTIFS(DATA[COMBINADA],DATA[[#This Row],[COMBINADA]])</f>
        <v>0</v>
      </c>
      <c r="AK425" s="27">
        <f>IFERROR(VLOOKUP(DATA[[#This Row],[COMBINADA]],#REF!,6,0),0)</f>
        <v>0</v>
      </c>
      <c r="AL425" s="125">
        <f>IFERROR(VLOOKUP(DATA[[#This Row],[COMBINADA]],#REF!,9,0),0)/COUNTIFS(DATA[COMBINADA],DATA[[#This Row],[COMBINADA]])</f>
        <v>0</v>
      </c>
      <c r="AM425" s="27">
        <f>IFERROR(VLOOKUP(DATA[[#This Row],[COMBINADA]],#REF!,6,0),0)</f>
        <v>0</v>
      </c>
      <c r="AN425" s="125">
        <f>IFERROR(VLOOKUP(DATA[[#This Row],[COMBINADA]],#REF!,9,0),0)/COUNTIFS(DATA[COMBINADA],DATA[[#This Row],[COMBINADA]])</f>
        <v>0</v>
      </c>
      <c r="AO425" s="27">
        <f>IFERROR(VLOOKUP(DATA[[#This Row],[COMBINADA]],#REF!,6,0),0)</f>
        <v>0</v>
      </c>
      <c r="AP425" s="125">
        <f>IFERROR(VLOOKUP(DATA[[#This Row],[COMBINADA]],#REF!,9,0),0)/COUNTIFS(DATA[COMBINADA],DATA[[#This Row],[COMBINADA]])</f>
        <v>0</v>
      </c>
      <c r="AQ42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3667.7566666666667</v>
      </c>
      <c r="AR425" s="120" t="str">
        <f>IFERROR(IF(DATA[[#This Row],[estado_fact]]="FACTURADO",VLOOKUP(DATA[[#This Row],[SERIE2]]&amp;"-"&amp;DATA[[#This Row],[NUMERO]],#REF!,34,0),"NO CORRESPONDE"),"NO CORRESPONDE")</f>
        <v>NO CORRESPONDE</v>
      </c>
      <c r="AS425" s="22" t="str">
        <f>IF(DATA[[#This Row],[fecha_fs]]&gt;0,TEXT(DATA[[#This Row],[fecha_fs]],"Mmmm"),0)</f>
        <v>Marzo</v>
      </c>
      <c r="AT425" s="22" t="str">
        <f>DATA[[#This Row],[SERIE2]]&amp;"-"&amp;DATA[[#This Row],[NUMERO]]</f>
        <v>FF01-48</v>
      </c>
      <c r="AU425" s="65">
        <f>DATA[[#This Row],[TOTAL]]*DATA[[#This Row],[T.C.]]</f>
        <v>4872.6899999999996</v>
      </c>
      <c r="AV425" s="6">
        <f>DATA[[#This Row],[FECHA DE VAL.]]</f>
        <v>45744</v>
      </c>
      <c r="AW425" s="6">
        <f>DATA[[#This Row],[FECHA DE EMISION]]</f>
        <v>45770</v>
      </c>
      <c r="AX425" s="6">
        <f>DATA[[#This Row],[F1]]</f>
        <v>0</v>
      </c>
      <c r="AY425" s="20">
        <f>IF(AV425-DATA[[#This Row],[fecha_fs]]&lt;0,0,AV425-DATA[[#This Row],[fecha_fs]])</f>
        <v>1</v>
      </c>
      <c r="AZ425" s="20">
        <f t="shared" si="45"/>
        <v>26</v>
      </c>
      <c r="BA425" s="20">
        <f t="shared" si="46"/>
        <v>0</v>
      </c>
      <c r="BB425" s="195">
        <f>IFERROR(SUM(DATA[[#This Row],[fs_val_ttf]:[fact_pago_ttf]]),0)</f>
        <v>27</v>
      </c>
      <c r="BC425" s="185">
        <v>45757</v>
      </c>
      <c r="BD425" s="185">
        <v>45761</v>
      </c>
      <c r="BE425" s="185">
        <v>45793</v>
      </c>
      <c r="BF425" s="185">
        <v>45798</v>
      </c>
      <c r="BG425" s="20">
        <f>IFERROR(IF(BC425-DATA[[#This Row],[fecha_fs]]&lt;0,0,BC425-DATA[[#This Row],[fecha_fs]]),0)</f>
        <v>14</v>
      </c>
      <c r="BH425" s="20">
        <f t="shared" si="47"/>
        <v>4</v>
      </c>
      <c r="BI425" s="20">
        <f t="shared" si="48"/>
        <v>32</v>
      </c>
      <c r="BJ425" s="20">
        <f t="shared" si="49"/>
        <v>5</v>
      </c>
      <c r="BK425" s="218">
        <f>IFERROR(SUM(DATA[[#This Row],[fs_fd_ttd]:[fend_fenf_ttd]]),0)</f>
        <v>55</v>
      </c>
      <c r="BL425" s="20" t="str">
        <f>IF(DATA[[#This Row],[fecha_fs]]&gt;0,TEXT(DATA[[#This Row],[fecha_fs]],"YYYY"),0)</f>
        <v>2025</v>
      </c>
      <c r="BM425" s="221" t="b">
        <v>1</v>
      </c>
      <c r="BN425" s="278">
        <f>COUNTIF(DATA[[#This Row],[tiempo_td]], "&lt;=15")</f>
        <v>0</v>
      </c>
      <c r="BO425" s="222"/>
    </row>
    <row r="426" spans="1:67" ht="30.6" customHeight="1" x14ac:dyDescent="0.25">
      <c r="A426" s="4">
        <v>20553956324</v>
      </c>
      <c r="B426" s="5" t="s">
        <v>281</v>
      </c>
      <c r="C426" s="52" t="s">
        <v>175</v>
      </c>
      <c r="D426" s="4" t="s">
        <v>112</v>
      </c>
      <c r="E426" s="5" t="s">
        <v>1</v>
      </c>
      <c r="F426" s="24">
        <v>45743</v>
      </c>
      <c r="G426" s="7" t="s">
        <v>113</v>
      </c>
      <c r="H426" s="25">
        <f t="shared" si="44"/>
        <v>1</v>
      </c>
      <c r="I426" s="67">
        <v>4298</v>
      </c>
      <c r="J426" s="8" t="s">
        <v>115</v>
      </c>
      <c r="K426" s="9" t="s">
        <v>116</v>
      </c>
      <c r="L426" s="10" t="s">
        <v>117</v>
      </c>
      <c r="M426" s="111">
        <v>10</v>
      </c>
      <c r="N426" s="112" t="s">
        <v>126</v>
      </c>
      <c r="O426" s="6">
        <v>45747</v>
      </c>
      <c r="P426" s="109">
        <v>3370</v>
      </c>
      <c r="Q426" s="14" t="s">
        <v>85</v>
      </c>
      <c r="R426" s="15">
        <v>450</v>
      </c>
      <c r="S426" s="15">
        <f>395.1/2</f>
        <v>197.55</v>
      </c>
      <c r="T426" s="15">
        <f>DATA[[#This Row],[C. DF]]+DATA[[#This Row],[C.OPE.]]</f>
        <v>647.54999999999995</v>
      </c>
      <c r="U426" s="56">
        <f>DATA[[#This Row],[SUB TOTAL]]*0.18</f>
        <v>116.55899999999998</v>
      </c>
      <c r="V426" s="56">
        <f>IFERROR(ROUND(DATA[[#This Row],[SUB TOTAL]]+DATA[[#This Row],[IGV]],2),0)</f>
        <v>764.11</v>
      </c>
      <c r="W426" s="73" t="str">
        <f>IF(DATA[[#This Row],[VALORIZACIÓN ]]="-","NO CORRESPONDE",IF(OR(A426=20558226979,A426=10470707866,A426=20111157058,A426=20100226902),"NO CORRESPONDE",IF(J426="Emitida",IF(P426&gt;0,"EMITIDA","PENDIENTE"),"NO CORRESPONDE")))</f>
        <v>EMITIDA</v>
      </c>
      <c r="X426" s="29"/>
      <c r="Y426" s="17" t="s">
        <v>118</v>
      </c>
      <c r="Z426" s="30">
        <v>45790</v>
      </c>
      <c r="AA426" s="10" t="s">
        <v>150</v>
      </c>
      <c r="AB426" s="19">
        <v>75</v>
      </c>
      <c r="AC426" s="114"/>
      <c r="AD426" s="18">
        <f>DATA[[#This Row],[FECHA DE EMISION]]+DATA[[#This Row],[CONDICION DE PAGO]]</f>
        <v>45790</v>
      </c>
      <c r="AE426" s="23">
        <f>IF(DATA[[#This Row],[MONEDA]]="USD",VLOOKUP(DATA[[#This Row],[COMBINADA]],#REF!,11,0),1)</f>
        <v>1</v>
      </c>
      <c r="AF426" s="39" t="str">
        <f>IF(DATA[[#This Row],[SERIE2]]="-","NO CORRESPONDE",IF(W426="NO CORRESPONDE","NO CORRESPONDE",IF(Z426&gt;0,"FACTURADO","PENDIENTE")))</f>
        <v>FACTURADO</v>
      </c>
      <c r="AG426" s="27">
        <f>IFERROR(VLOOKUP(DATA[[#This Row],[COMBINADA]],#REF!,6,0),0)</f>
        <v>0</v>
      </c>
      <c r="AH426" s="125">
        <f>IFERROR(VLOOKUP(DATA[[#This Row],[COMBINADA]],#REF!,9,0),0)/COUNTIFS(DATA[COMBINADA],DATA[[#This Row],[COMBINADA]])</f>
        <v>0</v>
      </c>
      <c r="AI426" s="27">
        <f>IFERROR(VLOOKUP(DATA[[#This Row],[COMBINADA]],#REF!,6,0),0)</f>
        <v>0</v>
      </c>
      <c r="AJ426" s="125">
        <f>IFERROR(VLOOKUP(DATA[[#This Row],[COMBINADA]],#REF!,9,0),0)/COUNTIFS(DATA[COMBINADA],DATA[[#This Row],[COMBINADA]])</f>
        <v>0</v>
      </c>
      <c r="AK426" s="27">
        <f>IFERROR(VLOOKUP(DATA[[#This Row],[COMBINADA]],#REF!,6,0),0)</f>
        <v>0</v>
      </c>
      <c r="AL426" s="125">
        <f>IFERROR(VLOOKUP(DATA[[#This Row],[COMBINADA]],#REF!,9,0),0)/COUNTIFS(DATA[COMBINADA],DATA[[#This Row],[COMBINADA]])</f>
        <v>0</v>
      </c>
      <c r="AM426" s="27">
        <f>IFERROR(VLOOKUP(DATA[[#This Row],[COMBINADA]],#REF!,6,0),0)</f>
        <v>0</v>
      </c>
      <c r="AN426" s="125">
        <f>IFERROR(VLOOKUP(DATA[[#This Row],[COMBINADA]],#REF!,9,0),0)/COUNTIFS(DATA[COMBINADA],DATA[[#This Row],[COMBINADA]])</f>
        <v>0</v>
      </c>
      <c r="AO426" s="27">
        <f>IFERROR(VLOOKUP(DATA[[#This Row],[COMBINADA]],#REF!,6,0),0)</f>
        <v>0</v>
      </c>
      <c r="AP426" s="125">
        <f>IFERROR(VLOOKUP(DATA[[#This Row],[COMBINADA]],#REF!,9,0),0)/COUNTIFS(DATA[COMBINADA],DATA[[#This Row],[COMBINADA]])</f>
        <v>0</v>
      </c>
      <c r="AQ42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490.09299999999996</v>
      </c>
      <c r="AR426" s="120" t="str">
        <f>IFERROR(IF(DATA[[#This Row],[estado_fact]]="FACTURADO",VLOOKUP(DATA[[#This Row],[SERIE2]]&amp;"-"&amp;DATA[[#This Row],[NUMERO]],#REF!,34,0),"NO CORRESPONDE"),"NO CORRESPONDE")</f>
        <v>NO CORRESPONDE</v>
      </c>
      <c r="AS426" s="22" t="str">
        <f>IF(DATA[[#This Row],[fecha_fs]]&gt;0,TEXT(DATA[[#This Row],[fecha_fs]],"Mmmm"),0)</f>
        <v>Marzo</v>
      </c>
      <c r="AT426" s="22" t="str">
        <f>DATA[[#This Row],[SERIE2]]&amp;"-"&amp;DATA[[#This Row],[NUMERO]]</f>
        <v>FF01-75</v>
      </c>
      <c r="AU426" s="65">
        <f>DATA[[#This Row],[TOTAL]]*DATA[[#This Row],[T.C.]]</f>
        <v>764.11</v>
      </c>
      <c r="AV426" s="6">
        <f>DATA[[#This Row],[FECHA DE VAL.]]</f>
        <v>45747</v>
      </c>
      <c r="AW426" s="6">
        <f>DATA[[#This Row],[FECHA DE EMISION]]</f>
        <v>45790</v>
      </c>
      <c r="AX426" s="6">
        <f>DATA[[#This Row],[F1]]</f>
        <v>0</v>
      </c>
      <c r="AY426" s="20">
        <f>IF(AV426-DATA[[#This Row],[fecha_fs]]&lt;0,0,AV426-DATA[[#This Row],[fecha_fs]])</f>
        <v>4</v>
      </c>
      <c r="AZ426" s="20">
        <f t="shared" si="45"/>
        <v>43</v>
      </c>
      <c r="BA426" s="20">
        <f t="shared" si="46"/>
        <v>0</v>
      </c>
      <c r="BB426" s="195">
        <f>IFERROR(SUM(DATA[[#This Row],[fs_val_ttf]:[fact_pago_ttf]]),0)</f>
        <v>47</v>
      </c>
      <c r="BC426" s="185">
        <v>45748</v>
      </c>
      <c r="BD426" s="185">
        <v>45751</v>
      </c>
      <c r="BE426" s="185">
        <v>45756</v>
      </c>
      <c r="BF426" s="185">
        <v>45758</v>
      </c>
      <c r="BG426" s="20">
        <f>IFERROR(IF(BC426-DATA[[#This Row],[fecha_fs]]&lt;0,0,BC426-DATA[[#This Row],[fecha_fs]]),0)</f>
        <v>5</v>
      </c>
      <c r="BH426" s="20">
        <f t="shared" si="47"/>
        <v>3</v>
      </c>
      <c r="BI426" s="20">
        <f t="shared" si="48"/>
        <v>5</v>
      </c>
      <c r="BJ426" s="20">
        <f t="shared" si="49"/>
        <v>2</v>
      </c>
      <c r="BK426" s="218">
        <f>IFERROR(SUM(DATA[[#This Row],[fs_fd_ttd]:[fend_fenf_ttd]]),0)</f>
        <v>15</v>
      </c>
      <c r="BL426" s="20" t="str">
        <f>IF(DATA[[#This Row],[fecha_fs]]&gt;0,TEXT(DATA[[#This Row],[fecha_fs]],"YYYY"),0)</f>
        <v>2025</v>
      </c>
      <c r="BM426" s="221" t="b">
        <v>1</v>
      </c>
      <c r="BN426" s="278">
        <f>COUNTIF(DATA[[#This Row],[tiempo_td]], "&lt;=15")</f>
        <v>1</v>
      </c>
      <c r="BO426" s="222"/>
    </row>
    <row r="427" spans="1:67" ht="30.6" customHeight="1" x14ac:dyDescent="0.25">
      <c r="A427" s="4">
        <v>20553956324</v>
      </c>
      <c r="B427" s="5" t="s">
        <v>281</v>
      </c>
      <c r="C427" s="52" t="s">
        <v>175</v>
      </c>
      <c r="D427" s="4" t="s">
        <v>120</v>
      </c>
      <c r="E427" s="5" t="s">
        <v>3</v>
      </c>
      <c r="F427" s="24">
        <v>45743</v>
      </c>
      <c r="G427" s="7" t="s">
        <v>113</v>
      </c>
      <c r="H427" s="25">
        <f t="shared" si="44"/>
        <v>1</v>
      </c>
      <c r="I427" s="67">
        <v>4299</v>
      </c>
      <c r="J427" s="8" t="s">
        <v>115</v>
      </c>
      <c r="K427" s="9" t="s">
        <v>121</v>
      </c>
      <c r="L427" s="10" t="s">
        <v>117</v>
      </c>
      <c r="M427" s="111">
        <v>110</v>
      </c>
      <c r="N427" s="112" t="s">
        <v>200</v>
      </c>
      <c r="O427" s="6">
        <v>45747</v>
      </c>
      <c r="P427" s="109">
        <v>3370</v>
      </c>
      <c r="Q427" s="14" t="s">
        <v>85</v>
      </c>
      <c r="R427" s="15">
        <f>DATA[[#This Row],[cantidad_fs]]*0.08</f>
        <v>8.8000000000000007</v>
      </c>
      <c r="S427" s="15">
        <f>395.1/2</f>
        <v>197.55</v>
      </c>
      <c r="T427" s="15">
        <f>DATA[[#This Row],[C. DF]]+DATA[[#This Row],[C.OPE.]]</f>
        <v>206.35000000000002</v>
      </c>
      <c r="U427" s="56">
        <f>DATA[[#This Row],[SUB TOTAL]]*0.18</f>
        <v>37.143000000000001</v>
      </c>
      <c r="V427" s="56">
        <f>IFERROR(ROUND(DATA[[#This Row],[SUB TOTAL]]+DATA[[#This Row],[IGV]],2),0)</f>
        <v>243.49</v>
      </c>
      <c r="W427" s="73" t="str">
        <f>IF(DATA[[#This Row],[VALORIZACIÓN ]]="-","NO CORRESPONDE",IF(OR(A427=20558226979,A427=10470707866,A427=20111157058,A427=20100226902),"NO CORRESPONDE",IF(J427="Emitida",IF(P427&gt;0,"EMITIDA","PENDIENTE"),"NO CORRESPONDE")))</f>
        <v>EMITIDA</v>
      </c>
      <c r="X427" s="29"/>
      <c r="Y427" s="17" t="s">
        <v>118</v>
      </c>
      <c r="Z427" s="30">
        <v>45790</v>
      </c>
      <c r="AA427" s="10" t="s">
        <v>150</v>
      </c>
      <c r="AB427" s="19">
        <v>75</v>
      </c>
      <c r="AC427" s="114"/>
      <c r="AD427" s="18">
        <f>DATA[[#This Row],[FECHA DE EMISION]]+DATA[[#This Row],[CONDICION DE PAGO]]</f>
        <v>45790</v>
      </c>
      <c r="AE427" s="23">
        <f>IF(DATA[[#This Row],[MONEDA]]="USD",VLOOKUP(DATA[[#This Row],[COMBINADA]],#REF!,11,0),1)</f>
        <v>1</v>
      </c>
      <c r="AF427" s="39" t="str">
        <f>IF(DATA[[#This Row],[SERIE2]]="-","NO CORRESPONDE",IF(W427="NO CORRESPONDE","NO CORRESPONDE",IF(Z427&gt;0,"FACTURADO","PENDIENTE")))</f>
        <v>FACTURADO</v>
      </c>
      <c r="AG427" s="27">
        <f>IFERROR(VLOOKUP(DATA[[#This Row],[COMBINADA]],#REF!,6,0),0)</f>
        <v>0</v>
      </c>
      <c r="AH427" s="125">
        <f>IFERROR(VLOOKUP(DATA[[#This Row],[COMBINADA]],#REF!,9,0),0)/COUNTIFS(DATA[COMBINADA],DATA[[#This Row],[COMBINADA]])</f>
        <v>0</v>
      </c>
      <c r="AI427" s="27">
        <f>IFERROR(VLOOKUP(DATA[[#This Row],[COMBINADA]],#REF!,6,0),0)</f>
        <v>0</v>
      </c>
      <c r="AJ427" s="125">
        <f>IFERROR(VLOOKUP(DATA[[#This Row],[COMBINADA]],#REF!,9,0),0)/COUNTIFS(DATA[COMBINADA],DATA[[#This Row],[COMBINADA]])</f>
        <v>0</v>
      </c>
      <c r="AK427" s="27">
        <f>IFERROR(VLOOKUP(DATA[[#This Row],[COMBINADA]],#REF!,6,0),0)</f>
        <v>0</v>
      </c>
      <c r="AL427" s="125">
        <f>IFERROR(VLOOKUP(DATA[[#This Row],[COMBINADA]],#REF!,9,0),0)/COUNTIFS(DATA[COMBINADA],DATA[[#This Row],[COMBINADA]])</f>
        <v>0</v>
      </c>
      <c r="AM427" s="27">
        <f>IFERROR(VLOOKUP(DATA[[#This Row],[COMBINADA]],#REF!,6,0),0)</f>
        <v>0</v>
      </c>
      <c r="AN427" s="125">
        <f>IFERROR(VLOOKUP(DATA[[#This Row],[COMBINADA]],#REF!,9,0),0)/COUNTIFS(DATA[COMBINADA],DATA[[#This Row],[COMBINADA]])</f>
        <v>0</v>
      </c>
      <c r="AO427" s="27">
        <f>IFERROR(VLOOKUP(DATA[[#This Row],[COMBINADA]],#REF!,6,0),0)</f>
        <v>0</v>
      </c>
      <c r="AP427" s="125">
        <f>IFERROR(VLOOKUP(DATA[[#This Row],[COMBINADA]],#REF!,9,0),0)/COUNTIFS(DATA[COMBINADA],DATA[[#This Row],[COMBINADA]])</f>
        <v>0</v>
      </c>
      <c r="AQ42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490.09299999999996</v>
      </c>
      <c r="AR427" s="120" t="str">
        <f>IFERROR(IF(DATA[[#This Row],[estado_fact]]="FACTURADO",VLOOKUP(DATA[[#This Row],[SERIE2]]&amp;"-"&amp;DATA[[#This Row],[NUMERO]],#REF!,34,0),"NO CORRESPONDE"),"NO CORRESPONDE")</f>
        <v>NO CORRESPONDE</v>
      </c>
      <c r="AS427" s="22" t="str">
        <f>IF(DATA[[#This Row],[fecha_fs]]&gt;0,TEXT(DATA[[#This Row],[fecha_fs]],"Mmmm"),0)</f>
        <v>Marzo</v>
      </c>
      <c r="AT427" s="22" t="str">
        <f>DATA[[#This Row],[SERIE2]]&amp;"-"&amp;DATA[[#This Row],[NUMERO]]</f>
        <v>FF01-75</v>
      </c>
      <c r="AU427" s="65">
        <f>DATA[[#This Row],[TOTAL]]*DATA[[#This Row],[T.C.]]</f>
        <v>243.49</v>
      </c>
      <c r="AV427" s="6">
        <f>DATA[[#This Row],[FECHA DE VAL.]]</f>
        <v>45747</v>
      </c>
      <c r="AW427" s="6">
        <f>DATA[[#This Row],[FECHA DE EMISION]]</f>
        <v>45790</v>
      </c>
      <c r="AX427" s="6">
        <f>DATA[[#This Row],[F1]]</f>
        <v>0</v>
      </c>
      <c r="AY427" s="20">
        <f>IF(AV427-DATA[[#This Row],[fecha_fs]]&lt;0,0,AV427-DATA[[#This Row],[fecha_fs]])</f>
        <v>4</v>
      </c>
      <c r="AZ427" s="20">
        <f t="shared" si="45"/>
        <v>43</v>
      </c>
      <c r="BA427" s="20">
        <f t="shared" si="46"/>
        <v>0</v>
      </c>
      <c r="BB427" s="195">
        <f>IFERROR(SUM(DATA[[#This Row],[fs_val_ttf]:[fact_pago_ttf]]),0)</f>
        <v>47</v>
      </c>
      <c r="BC427" s="185">
        <v>45748</v>
      </c>
      <c r="BD427" s="185">
        <v>45751</v>
      </c>
      <c r="BE427" s="185">
        <v>45756</v>
      </c>
      <c r="BF427" s="185">
        <v>45758</v>
      </c>
      <c r="BG427" s="20">
        <f>IFERROR(IF(BC427-DATA[[#This Row],[fecha_fs]]&lt;0,0,BC427-DATA[[#This Row],[fecha_fs]]),0)</f>
        <v>5</v>
      </c>
      <c r="BH427" s="20">
        <f t="shared" si="47"/>
        <v>3</v>
      </c>
      <c r="BI427" s="20">
        <f t="shared" si="48"/>
        <v>5</v>
      </c>
      <c r="BJ427" s="20">
        <f t="shared" si="49"/>
        <v>2</v>
      </c>
      <c r="BK427" s="218">
        <f>IFERROR(SUM(DATA[[#This Row],[fs_fd_ttd]:[fend_fenf_ttd]]),0)</f>
        <v>15</v>
      </c>
      <c r="BL427" s="20" t="str">
        <f>IF(DATA[[#This Row],[fecha_fs]]&gt;0,TEXT(DATA[[#This Row],[fecha_fs]],"YYYY"),0)</f>
        <v>2025</v>
      </c>
      <c r="BM427" s="221" t="b">
        <v>1</v>
      </c>
      <c r="BN427" s="278">
        <f>COUNTIF(DATA[[#This Row],[tiempo_td]], "&lt;=15")</f>
        <v>1</v>
      </c>
      <c r="BO427" s="222"/>
    </row>
    <row r="428" spans="1:67" ht="30.6" customHeight="1" x14ac:dyDescent="0.25">
      <c r="A428" s="4">
        <v>20141637941</v>
      </c>
      <c r="B428" s="5" t="s">
        <v>79</v>
      </c>
      <c r="C428" s="52" t="s">
        <v>18</v>
      </c>
      <c r="D428" s="4" t="s">
        <v>120</v>
      </c>
      <c r="E428" s="5" t="s">
        <v>3</v>
      </c>
      <c r="F428" s="24">
        <v>45744</v>
      </c>
      <c r="G428" s="7" t="s">
        <v>113</v>
      </c>
      <c r="H428" s="25">
        <f t="shared" si="44"/>
        <v>1</v>
      </c>
      <c r="I428" s="67">
        <v>4300</v>
      </c>
      <c r="J428" s="8" t="s">
        <v>115</v>
      </c>
      <c r="K428" s="9" t="s">
        <v>121</v>
      </c>
      <c r="L428" s="10" t="s">
        <v>117</v>
      </c>
      <c r="M428" s="11">
        <v>1240</v>
      </c>
      <c r="N428" s="12" t="s">
        <v>125</v>
      </c>
      <c r="O428" s="6">
        <v>45747</v>
      </c>
      <c r="P428" s="110">
        <v>3376</v>
      </c>
      <c r="Q428" s="14" t="s">
        <v>85</v>
      </c>
      <c r="R428" s="15">
        <f>70+(DATA[[#This Row],[cantidad_fs]]-1000)*0.1</f>
        <v>94</v>
      </c>
      <c r="S428" s="15">
        <v>517</v>
      </c>
      <c r="T428" s="15">
        <f>DATA[[#This Row],[C. DF]]+DATA[[#This Row],[C.OPE.]]</f>
        <v>611</v>
      </c>
      <c r="U428" s="15">
        <f>DATA[[#This Row],[SUB TOTAL]]*0.18</f>
        <v>109.97999999999999</v>
      </c>
      <c r="V428" s="15">
        <f>IFERROR(ROUND(DATA[[#This Row],[SUB TOTAL]]+DATA[[#This Row],[IGV]],2),0)</f>
        <v>720.98</v>
      </c>
      <c r="W428" s="16" t="str">
        <f>IF(DATA[[#This Row],[VALORIZACIÓN ]]="-","NO CORRESPONDE",IF(OR(A428=20558226979,A428=10470707866,A428=20111157058,A428=20100226902),"NO CORRESPONDE",IF(J428="Emitida",IF(P428&gt;0,"EMITIDA","PENDIENTE"),"NO CORRESPONDE")))</f>
        <v>EMITIDA</v>
      </c>
      <c r="X428" s="29"/>
      <c r="Y428" s="17" t="s">
        <v>118</v>
      </c>
      <c r="Z428" s="30">
        <v>45749</v>
      </c>
      <c r="AA428" s="10" t="s">
        <v>150</v>
      </c>
      <c r="AB428" s="119">
        <v>12</v>
      </c>
      <c r="AC428" s="114">
        <v>30</v>
      </c>
      <c r="AD428" s="18">
        <f>DATA[[#This Row],[FECHA DE EMISION]]+DATA[[#This Row],[CONDICION DE PAGO]]</f>
        <v>45779</v>
      </c>
      <c r="AE428" s="23">
        <f>IF(DATA[[#This Row],[MONEDA]]="USD",VLOOKUP(DATA[[#This Row],[COMBINADA]],#REF!,11,0),1)</f>
        <v>1</v>
      </c>
      <c r="AF428" s="39" t="str">
        <f>IF(DATA[[#This Row],[SERIE2]]="-","NO CORRESPONDE",IF(W428="NO CORRESPONDE","NO CORRESPONDE",IF(Z428&gt;0,"FACTURADO","PENDIENTE")))</f>
        <v>FACTURADO</v>
      </c>
      <c r="AG428" s="27">
        <f>IFERROR(VLOOKUP(DATA[[#This Row],[COMBINADA]],#REF!,6,0),0)</f>
        <v>0</v>
      </c>
      <c r="AH428" s="125">
        <f>IFERROR(VLOOKUP(DATA[[#This Row],[COMBINADA]],#REF!,9,0),0)/COUNTIFS(DATA[COMBINADA],DATA[[#This Row],[COMBINADA]])</f>
        <v>0</v>
      </c>
      <c r="AI428" s="27">
        <f>IFERROR(VLOOKUP(DATA[[#This Row],[COMBINADA]],#REF!,6,0),0)</f>
        <v>0</v>
      </c>
      <c r="AJ428" s="125">
        <f>IFERROR(VLOOKUP(DATA[[#This Row],[COMBINADA]],#REF!,9,0),0)/COUNTIFS(DATA[COMBINADA],DATA[[#This Row],[COMBINADA]])</f>
        <v>0</v>
      </c>
      <c r="AK428" s="27">
        <f>IFERROR(VLOOKUP(DATA[[#This Row],[COMBINADA]],#REF!,6,0),0)</f>
        <v>0</v>
      </c>
      <c r="AL428" s="125">
        <f>IFERROR(VLOOKUP(DATA[[#This Row],[COMBINADA]],#REF!,9,0),0)/COUNTIFS(DATA[COMBINADA],DATA[[#This Row],[COMBINADA]])</f>
        <v>0</v>
      </c>
      <c r="AM428" s="27">
        <f>IFERROR(VLOOKUP(DATA[[#This Row],[COMBINADA]],#REF!,6,0),0)</f>
        <v>0</v>
      </c>
      <c r="AN428" s="125">
        <f>IFERROR(VLOOKUP(DATA[[#This Row],[COMBINADA]],#REF!,9,0),0)/COUNTIFS(DATA[COMBINADA],DATA[[#This Row],[COMBINADA]])</f>
        <v>0</v>
      </c>
      <c r="AO428" s="27">
        <f>IFERROR(VLOOKUP(DATA[[#This Row],[COMBINADA]],#REF!,6,0),0)</f>
        <v>0</v>
      </c>
      <c r="AP428" s="125">
        <f>IFERROR(VLOOKUP(DATA[[#This Row],[COMBINADA]],#REF!,9,0),0)/COUNTIFS(DATA[COMBINADA],DATA[[#This Row],[COMBINADA]])</f>
        <v>0</v>
      </c>
      <c r="AQ42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722.55333333333328</v>
      </c>
      <c r="AR428" s="26" t="str">
        <f>IFERROR(IF(DATA[[#This Row],[estado_fact]]="FACTURADO",VLOOKUP(DATA[[#This Row],[SERIE2]]&amp;"-"&amp;DATA[[#This Row],[NUMERO]],#REF!,34,0),"NO CORRESPONDE"),"NO CORRESPONDE")</f>
        <v>NO CORRESPONDE</v>
      </c>
      <c r="AS428" s="22" t="str">
        <f>IF(DATA[[#This Row],[fecha_fs]]&gt;0,TEXT(DATA[[#This Row],[fecha_fs]],"Mmmm"),0)</f>
        <v>Marzo</v>
      </c>
      <c r="AT428" s="22" t="str">
        <f>DATA[[#This Row],[SERIE2]]&amp;"-"&amp;DATA[[#This Row],[NUMERO]]</f>
        <v>FF01-12</v>
      </c>
      <c r="AU428" s="28">
        <f>DATA[[#This Row],[TOTAL]]*DATA[[#This Row],[T.C.]]</f>
        <v>720.98</v>
      </c>
      <c r="AV428" s="6">
        <f>DATA[[#This Row],[FECHA DE VAL.]]</f>
        <v>45747</v>
      </c>
      <c r="AW428" s="6">
        <f>DATA[[#This Row],[FECHA DE EMISION]]</f>
        <v>45749</v>
      </c>
      <c r="AX428" s="6">
        <f>DATA[[#This Row],[F1]]</f>
        <v>0</v>
      </c>
      <c r="AY428" s="20">
        <f>IF(AV428-DATA[[#This Row],[fecha_fs]]&lt;0,0,AV428-DATA[[#This Row],[fecha_fs]])</f>
        <v>3</v>
      </c>
      <c r="AZ428" s="20">
        <f t="shared" si="45"/>
        <v>2</v>
      </c>
      <c r="BA428" s="20">
        <f t="shared" si="46"/>
        <v>0</v>
      </c>
      <c r="BB428" s="195">
        <f>IFERROR(SUM(DATA[[#This Row],[fs_val_ttf]:[fact_pago_ttf]]),0)</f>
        <v>5</v>
      </c>
      <c r="BC428" s="185">
        <v>45744</v>
      </c>
      <c r="BD428" s="185">
        <v>45744</v>
      </c>
      <c r="BE428" s="185">
        <v>45749</v>
      </c>
      <c r="BF428" s="185">
        <v>45749</v>
      </c>
      <c r="BG428" s="20">
        <f>IFERROR(IF(BC428-DATA[[#This Row],[fecha_fs]]&lt;0,0,BC428-DATA[[#This Row],[fecha_fs]]),0)</f>
        <v>0</v>
      </c>
      <c r="BH428" s="20">
        <f t="shared" si="47"/>
        <v>0</v>
      </c>
      <c r="BI428" s="20">
        <f t="shared" si="48"/>
        <v>5</v>
      </c>
      <c r="BJ428" s="20">
        <f t="shared" si="49"/>
        <v>0</v>
      </c>
      <c r="BK428" s="218">
        <f>IFERROR(SUM(DATA[[#This Row],[fs_fd_ttd]:[fend_fenf_ttd]]),0)</f>
        <v>5</v>
      </c>
      <c r="BL428" s="20" t="str">
        <f>IF(DATA[[#This Row],[fecha_fs]]&gt;0,TEXT(DATA[[#This Row],[fecha_fs]],"YYYY"),0)</f>
        <v>2025</v>
      </c>
      <c r="BM428" s="221" t="b">
        <v>1</v>
      </c>
      <c r="BN428" s="278">
        <f>COUNTIF(DATA[[#This Row],[tiempo_td]], "&lt;=15")</f>
        <v>1</v>
      </c>
      <c r="BO428" s="222"/>
    </row>
    <row r="429" spans="1:67" ht="30.6" customHeight="1" x14ac:dyDescent="0.25">
      <c r="A429" s="4">
        <v>20100211115</v>
      </c>
      <c r="B429" s="5" t="s">
        <v>41</v>
      </c>
      <c r="C429" s="52" t="s">
        <v>18</v>
      </c>
      <c r="D429" s="4" t="s">
        <v>120</v>
      </c>
      <c r="E429" s="5" t="s">
        <v>3</v>
      </c>
      <c r="F429" s="24">
        <v>45744</v>
      </c>
      <c r="G429" s="7" t="s">
        <v>113</v>
      </c>
      <c r="H429" s="25">
        <f t="shared" si="44"/>
        <v>1</v>
      </c>
      <c r="I429" s="67">
        <v>4301</v>
      </c>
      <c r="J429" s="8" t="s">
        <v>115</v>
      </c>
      <c r="K429" s="9" t="s">
        <v>121</v>
      </c>
      <c r="L429" s="10" t="s">
        <v>117</v>
      </c>
      <c r="M429" s="11">
        <v>90</v>
      </c>
      <c r="N429" s="112" t="s">
        <v>200</v>
      </c>
      <c r="O429" s="6">
        <v>45775</v>
      </c>
      <c r="P429" s="115">
        <v>3419</v>
      </c>
      <c r="Q429" s="14" t="s">
        <v>85</v>
      </c>
      <c r="R429" s="15"/>
      <c r="S429" s="15">
        <f>(DATA[[#This Row],[cantidad_fs]]*4.37)</f>
        <v>393.3</v>
      </c>
      <c r="T429" s="15">
        <f>DATA[[#This Row],[C. DF]]+DATA[[#This Row],[C.OPE.]]</f>
        <v>393.3</v>
      </c>
      <c r="U429" s="15">
        <f>DATA[[#This Row],[SUB TOTAL]]*0.18</f>
        <v>70.793999999999997</v>
      </c>
      <c r="V429" s="15">
        <f>IFERROR(ROUND(DATA[[#This Row],[SUB TOTAL]]+DATA[[#This Row],[IGV]],2),0)</f>
        <v>464.09</v>
      </c>
      <c r="W429" s="16" t="str">
        <f>IF(DATA[[#This Row],[VALORIZACIÓN ]]="-","NO CORRESPONDE",IF(OR(A429=20558226979,A429=10470707866,A429=20111157058,A429=20100226902),"NO CORRESPONDE",IF(J429="Emitida",IF(P429&gt;0,"EMITIDA","PENDIENTE"),"NO CORRESPONDE")))</f>
        <v>EMITIDA</v>
      </c>
      <c r="X429" s="29"/>
      <c r="Y429" s="17" t="s">
        <v>118</v>
      </c>
      <c r="Z429" s="30">
        <v>45777</v>
      </c>
      <c r="AA429" s="10" t="s">
        <v>150</v>
      </c>
      <c r="AB429" s="19">
        <v>60</v>
      </c>
      <c r="AC429" s="20">
        <v>30</v>
      </c>
      <c r="AD429" s="18">
        <f>DATA[[#This Row],[FECHA DE EMISION]]+DATA[[#This Row],[CONDICION DE PAGO]]</f>
        <v>45807</v>
      </c>
      <c r="AE429" s="23">
        <f>IF(DATA[[#This Row],[MONEDA]]="USD",VLOOKUP(DATA[[#This Row],[COMBINADA]],#REF!,11,0),1)</f>
        <v>1</v>
      </c>
      <c r="AF429" s="39" t="str">
        <f>IF(DATA[[#This Row],[SERIE2]]="-","NO CORRESPONDE",IF(W429="NO CORRESPONDE","NO CORRESPONDE",IF(Z429&gt;0,"FACTURADO","PENDIENTE")))</f>
        <v>FACTURADO</v>
      </c>
      <c r="AG429" s="27">
        <f>IFERROR(VLOOKUP(DATA[[#This Row],[COMBINADA]],#REF!,6,0),0)</f>
        <v>0</v>
      </c>
      <c r="AH429" s="125">
        <f>IFERROR(VLOOKUP(DATA[[#This Row],[COMBINADA]],#REF!,9,0),0)/COUNTIFS(DATA[COMBINADA],DATA[[#This Row],[COMBINADA]])</f>
        <v>0</v>
      </c>
      <c r="AI429" s="27">
        <f>IFERROR(VLOOKUP(DATA[[#This Row],[COMBINADA]],#REF!,6,0),0)</f>
        <v>0</v>
      </c>
      <c r="AJ429" s="125">
        <f>IFERROR(VLOOKUP(DATA[[#This Row],[COMBINADA]],#REF!,9,0),0)/COUNTIFS(DATA[COMBINADA],DATA[[#This Row],[COMBINADA]])</f>
        <v>0</v>
      </c>
      <c r="AK429" s="27">
        <f>IFERROR(VLOOKUP(DATA[[#This Row],[COMBINADA]],#REF!,6,0),0)</f>
        <v>0</v>
      </c>
      <c r="AL429" s="125">
        <f>IFERROR(VLOOKUP(DATA[[#This Row],[COMBINADA]],#REF!,9,0),0)/COUNTIFS(DATA[COMBINADA],DATA[[#This Row],[COMBINADA]])</f>
        <v>0</v>
      </c>
      <c r="AM429" s="27">
        <f>IFERROR(VLOOKUP(DATA[[#This Row],[COMBINADA]],#REF!,6,0),0)</f>
        <v>0</v>
      </c>
      <c r="AN429" s="125">
        <f>IFERROR(VLOOKUP(DATA[[#This Row],[COMBINADA]],#REF!,9,0),0)/COUNTIFS(DATA[COMBINADA],DATA[[#This Row],[COMBINADA]])</f>
        <v>0</v>
      </c>
      <c r="AO429" s="27">
        <f>IFERROR(VLOOKUP(DATA[[#This Row],[COMBINADA]],#REF!,6,0),0)</f>
        <v>0</v>
      </c>
      <c r="AP429" s="125">
        <f>IFERROR(VLOOKUP(DATA[[#This Row],[COMBINADA]],#REF!,9,0),0)/COUNTIFS(DATA[COMBINADA],DATA[[#This Row],[COMBINADA]])</f>
        <v>0</v>
      </c>
      <c r="AQ42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429" s="26" t="str">
        <f>IFERROR(IF(DATA[[#This Row],[estado_fact]]="FACTURADO",VLOOKUP(DATA[[#This Row],[SERIE2]]&amp;"-"&amp;DATA[[#This Row],[NUMERO]],#REF!,34,0),"NO CORRESPONDE"),"NO CORRESPONDE")</f>
        <v>NO CORRESPONDE</v>
      </c>
      <c r="AS429" s="22" t="str">
        <f>IF(DATA[[#This Row],[fecha_fs]]&gt;0,TEXT(DATA[[#This Row],[fecha_fs]],"Mmmm"),0)</f>
        <v>Marzo</v>
      </c>
      <c r="AT429" s="22" t="str">
        <f>DATA[[#This Row],[SERIE2]]&amp;"-"&amp;DATA[[#This Row],[NUMERO]]</f>
        <v>FF01-60</v>
      </c>
      <c r="AU429" s="28">
        <f>DATA[[#This Row],[TOTAL]]*DATA[[#This Row],[T.C.]]</f>
        <v>464.09</v>
      </c>
      <c r="AV429" s="6">
        <f>DATA[[#This Row],[FECHA DE VAL.]]</f>
        <v>45775</v>
      </c>
      <c r="AW429" s="6">
        <f>DATA[[#This Row],[FECHA DE EMISION]]</f>
        <v>45777</v>
      </c>
      <c r="AX429" s="6">
        <f>DATA[[#This Row],[F1]]</f>
        <v>0</v>
      </c>
      <c r="AY429" s="20">
        <f>IF(AV429-DATA[[#This Row],[fecha_fs]]&lt;0,0,AV429-DATA[[#This Row],[fecha_fs]])</f>
        <v>31</v>
      </c>
      <c r="AZ429" s="20">
        <f t="shared" si="45"/>
        <v>2</v>
      </c>
      <c r="BA429" s="20">
        <f t="shared" si="46"/>
        <v>0</v>
      </c>
      <c r="BB429" s="195">
        <f>IFERROR(SUM(DATA[[#This Row],[fs_val_ttf]:[fact_pago_ttf]]),0)</f>
        <v>33</v>
      </c>
      <c r="BC429" s="185">
        <v>45779</v>
      </c>
      <c r="BD429" s="185">
        <v>45789</v>
      </c>
      <c r="BE429" s="185">
        <v>45796</v>
      </c>
      <c r="BF429" s="185">
        <v>45758</v>
      </c>
      <c r="BG429" s="20">
        <f>IFERROR(IF(BC429-DATA[[#This Row],[fecha_fs]]&lt;0,0,BC429-DATA[[#This Row],[fecha_fs]]),0)</f>
        <v>35</v>
      </c>
      <c r="BH429" s="20">
        <f t="shared" si="47"/>
        <v>10</v>
      </c>
      <c r="BI429" s="20">
        <f t="shared" si="48"/>
        <v>7</v>
      </c>
      <c r="BJ429" s="20">
        <f t="shared" si="49"/>
        <v>0</v>
      </c>
      <c r="BK429" s="218">
        <f>IFERROR(SUM(DATA[[#This Row],[fs_fd_ttd]:[fend_fenf_ttd]]),0)</f>
        <v>52</v>
      </c>
      <c r="BL429" s="20" t="str">
        <f>IF(DATA[[#This Row],[fecha_fs]]&gt;0,TEXT(DATA[[#This Row],[fecha_fs]],"YYYY"),0)</f>
        <v>2025</v>
      </c>
      <c r="BM429" s="221" t="b">
        <v>1</v>
      </c>
      <c r="BN429" s="278">
        <f>COUNTIF(DATA[[#This Row],[tiempo_td]], "&lt;=15")</f>
        <v>0</v>
      </c>
      <c r="BO429" s="222"/>
    </row>
    <row r="430" spans="1:67" ht="30.6" customHeight="1" x14ac:dyDescent="0.25">
      <c r="A430" s="4">
        <v>20100226902</v>
      </c>
      <c r="B430" s="5" t="s">
        <v>24</v>
      </c>
      <c r="C430" s="52" t="s">
        <v>18</v>
      </c>
      <c r="D430" s="4" t="s">
        <v>120</v>
      </c>
      <c r="E430" s="5" t="s">
        <v>3</v>
      </c>
      <c r="F430" s="24">
        <v>45744</v>
      </c>
      <c r="G430" s="7" t="s">
        <v>113</v>
      </c>
      <c r="H430" s="25">
        <f t="shared" si="44"/>
        <v>1</v>
      </c>
      <c r="I430" s="67">
        <v>4302</v>
      </c>
      <c r="J430" s="8" t="s">
        <v>115</v>
      </c>
      <c r="K430" s="9" t="s">
        <v>121</v>
      </c>
      <c r="L430" s="10" t="s">
        <v>117</v>
      </c>
      <c r="M430" s="11">
        <v>740</v>
      </c>
      <c r="N430" s="12" t="s">
        <v>127</v>
      </c>
      <c r="O430" s="40"/>
      <c r="P430" s="41" t="s">
        <v>114</v>
      </c>
      <c r="Q430" s="42"/>
      <c r="R430" s="43"/>
      <c r="S430" s="43"/>
      <c r="T430" s="43">
        <f>DATA[[#This Row],[C. DF]]+DATA[[#This Row],[C.OPE.]]</f>
        <v>0</v>
      </c>
      <c r="U430" s="43">
        <f>DATA[[#This Row],[SUB TOTAL]]*0.18</f>
        <v>0</v>
      </c>
      <c r="V430" s="43">
        <f>IFERROR(ROUND(DATA[[#This Row],[SUB TOTAL]]+DATA[[#This Row],[IGV]],2),0)</f>
        <v>0</v>
      </c>
      <c r="W430" s="58" t="str">
        <f>IF(DATA[[#This Row],[VALORIZACIÓN ]]="-","NO CORRESPONDE",IF(OR(A430=20558226979,A430=10470707866,A430=20111157058,A430=20100226902),"NO CORRESPONDE",IF(J430="Emitida",IF(P430&gt;0,"EMITIDA","PENDIENTE"),"NO CORRESPONDE")))</f>
        <v>NO CORRESPONDE</v>
      </c>
      <c r="X430" s="45"/>
      <c r="Y430" s="58" t="s">
        <v>128</v>
      </c>
      <c r="Z430" s="46"/>
      <c r="AA430" s="47"/>
      <c r="AB430" s="48"/>
      <c r="AC430" s="49"/>
      <c r="AD430" s="50">
        <f>DATA[[#This Row],[FECHA DE EMISION]]+DATA[[#This Row],[CONDICION DE PAGO]]</f>
        <v>0</v>
      </c>
      <c r="AE430" s="23">
        <f>IF(DATA[[#This Row],[MONEDA]]="USD",VLOOKUP(DATA[[#This Row],[COMBINADA]],#REF!,11,0),1)</f>
        <v>1</v>
      </c>
      <c r="AF430" s="39" t="str">
        <f>IF(DATA[[#This Row],[SERIE2]]="-","NO CORRESPONDE",IF(W430="NO CORRESPONDE","NO CORRESPONDE",IF(Z430&gt;0,"FACTURADO","PENDIENTE")))</f>
        <v>NO CORRESPONDE</v>
      </c>
      <c r="AG430" s="60">
        <f>IFERROR(VLOOKUP(DATA[[#This Row],[COMBINADA]],#REF!,6,0),0)</f>
        <v>0</v>
      </c>
      <c r="AH430" s="126">
        <f>IFERROR(VLOOKUP(DATA[[#This Row],[COMBINADA]],#REF!,9,0),0)/COUNTIFS(DATA[COMBINADA],DATA[[#This Row],[COMBINADA]])</f>
        <v>0</v>
      </c>
      <c r="AI430" s="60">
        <f>IFERROR(VLOOKUP(DATA[[#This Row],[COMBINADA]],#REF!,6,0),0)</f>
        <v>0</v>
      </c>
      <c r="AJ430" s="126">
        <f>IFERROR(VLOOKUP(DATA[[#This Row],[COMBINADA]],#REF!,9,0),0)/COUNTIFS(DATA[COMBINADA],DATA[[#This Row],[COMBINADA]])</f>
        <v>0</v>
      </c>
      <c r="AK430" s="60">
        <f>IFERROR(VLOOKUP(DATA[[#This Row],[COMBINADA]],#REF!,6,0),0)</f>
        <v>0</v>
      </c>
      <c r="AL430" s="126">
        <f>IFERROR(VLOOKUP(DATA[[#This Row],[COMBINADA]],#REF!,9,0),0)/COUNTIFS(DATA[COMBINADA],DATA[[#This Row],[COMBINADA]])</f>
        <v>0</v>
      </c>
      <c r="AM430" s="60">
        <f>IFERROR(VLOOKUP(DATA[[#This Row],[COMBINADA]],#REF!,6,0),0)</f>
        <v>0</v>
      </c>
      <c r="AN430" s="126">
        <f>IFERROR(VLOOKUP(DATA[[#This Row],[COMBINADA]],#REF!,9,0),0)/COUNTIFS(DATA[COMBINADA],DATA[[#This Row],[COMBINADA]])</f>
        <v>0</v>
      </c>
      <c r="AO430" s="60">
        <f>IFERROR(VLOOKUP(DATA[[#This Row],[COMBINADA]],#REF!,6,0),0)</f>
        <v>0</v>
      </c>
      <c r="AP430" s="126">
        <f>IFERROR(VLOOKUP(DATA[[#This Row],[COMBINADA]],#REF!,9,0),0)/COUNTIFS(DATA[COMBINADA],DATA[[#This Row],[COMBINADA]])</f>
        <v>0</v>
      </c>
      <c r="AQ430"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430" s="22" t="str">
        <f>IFERROR(IF(DATA[[#This Row],[estado_fact]]="FACTURADO",VLOOKUP(DATA[[#This Row],[SERIE2]]&amp;"-"&amp;DATA[[#This Row],[NUMERO]],#REF!,34,0),"NO CORRESPONDE"),"NO CORRESPONDE")</f>
        <v>NO CORRESPONDE</v>
      </c>
      <c r="AS430" s="22" t="str">
        <f>IF(DATA[[#This Row],[fecha_fs]]&gt;0,TEXT(DATA[[#This Row],[fecha_fs]],"Mmmm"),0)</f>
        <v>Marzo</v>
      </c>
      <c r="AT430" s="22" t="str">
        <f>DATA[[#This Row],[SERIE2]]&amp;"-"&amp;DATA[[#This Row],[NUMERO]]</f>
        <v>-</v>
      </c>
      <c r="AU430" s="28">
        <f>DATA[[#This Row],[TOTAL]]*DATA[[#This Row],[T.C.]]</f>
        <v>0</v>
      </c>
      <c r="AV430" s="6">
        <f>DATA[[#This Row],[FECHA DE VAL.]]</f>
        <v>0</v>
      </c>
      <c r="AW430" s="6">
        <f>DATA[[#This Row],[FECHA DE EMISION]]</f>
        <v>0</v>
      </c>
      <c r="AX430" s="6">
        <f>DATA[[#This Row],[F1]]</f>
        <v>0</v>
      </c>
      <c r="AY430" s="20">
        <f>IF(AV430-DATA[[#This Row],[fecha_fs]]&lt;0,0,AV430-DATA[[#This Row],[fecha_fs]])</f>
        <v>0</v>
      </c>
      <c r="AZ430" s="20">
        <f t="shared" si="45"/>
        <v>0</v>
      </c>
      <c r="BA430" s="20">
        <f t="shared" si="46"/>
        <v>0</v>
      </c>
      <c r="BB430" s="195">
        <f>IFERROR(SUM(DATA[[#This Row],[fs_val_ttf]:[fact_pago_ttf]]),0)</f>
        <v>0</v>
      </c>
      <c r="BC430" s="185">
        <v>45744</v>
      </c>
      <c r="BD430" s="185">
        <v>45744</v>
      </c>
      <c r="BE430" s="185">
        <v>45768</v>
      </c>
      <c r="BF430" s="185">
        <v>45768</v>
      </c>
      <c r="BG430" s="20">
        <f>IFERROR(IF(BC430-DATA[[#This Row],[fecha_fs]]&lt;0,0,BC430-DATA[[#This Row],[fecha_fs]]),0)</f>
        <v>0</v>
      </c>
      <c r="BH430" s="20">
        <f t="shared" si="47"/>
        <v>0</v>
      </c>
      <c r="BI430" s="20">
        <f t="shared" si="48"/>
        <v>24</v>
      </c>
      <c r="BJ430" s="20">
        <f t="shared" si="49"/>
        <v>0</v>
      </c>
      <c r="BK430" s="218">
        <f>IFERROR(SUM(DATA[[#This Row],[fs_fd_ttd]:[fend_fenf_ttd]]),0)</f>
        <v>24</v>
      </c>
      <c r="BL430" s="20" t="str">
        <f>IF(DATA[[#This Row],[fecha_fs]]&gt;0,TEXT(DATA[[#This Row],[fecha_fs]],"YYYY"),0)</f>
        <v>2025</v>
      </c>
      <c r="BM430" s="221" t="b">
        <v>1</v>
      </c>
      <c r="BN430" s="278">
        <f>COUNTIF(DATA[[#This Row],[tiempo_td]], "&lt;=15")</f>
        <v>0</v>
      </c>
      <c r="BO430" s="222"/>
    </row>
    <row r="431" spans="1:67" ht="30.6" customHeight="1" x14ac:dyDescent="0.25">
      <c r="A431" s="4">
        <v>20100192064</v>
      </c>
      <c r="B431" s="5" t="s">
        <v>60</v>
      </c>
      <c r="C431" s="52" t="s">
        <v>64</v>
      </c>
      <c r="D431" s="4" t="s">
        <v>112</v>
      </c>
      <c r="E431" s="5" t="s">
        <v>1</v>
      </c>
      <c r="F431" s="24">
        <v>45748</v>
      </c>
      <c r="G431" s="7" t="s">
        <v>113</v>
      </c>
      <c r="H431" s="25">
        <f t="shared" si="44"/>
        <v>1</v>
      </c>
      <c r="I431" s="67">
        <v>4303</v>
      </c>
      <c r="J431" s="8" t="s">
        <v>115</v>
      </c>
      <c r="K431" s="9" t="s">
        <v>136</v>
      </c>
      <c r="L431" s="10" t="s">
        <v>137</v>
      </c>
      <c r="M431" s="11">
        <v>36</v>
      </c>
      <c r="N431" s="12" t="s">
        <v>135</v>
      </c>
      <c r="O431" s="6">
        <v>45772</v>
      </c>
      <c r="P431" s="71">
        <v>3411</v>
      </c>
      <c r="Q431" s="14" t="s">
        <v>123</v>
      </c>
      <c r="R431" s="15">
        <f>DATA[[#This Row],[cantidad_fs]]*33.34</f>
        <v>1200.2400000000002</v>
      </c>
      <c r="S431" s="15"/>
      <c r="T431" s="15">
        <f>DATA[[#This Row],[C. DF]]+DATA[[#This Row],[C.OPE.]]</f>
        <v>1200.2400000000002</v>
      </c>
      <c r="U431" s="15">
        <f>DATA[[#This Row],[SUB TOTAL]]*0.18</f>
        <v>216.04320000000004</v>
      </c>
      <c r="V431" s="15">
        <f>IFERROR(ROUND(DATA[[#This Row],[SUB TOTAL]]+DATA[[#This Row],[IGV]],2),0)</f>
        <v>1416.28</v>
      </c>
      <c r="W431" s="16" t="str">
        <f>IF(DATA[[#This Row],[VALORIZACIÓN ]]="-","NO CORRESPONDE",IF(OR(A431=20558226979,A431=10470707866,A431=20111157058,A431=20100226902),"NO CORRESPONDE",IF(J431="Emitida",IF(P431&gt;0,"EMITIDA","PENDIENTE"),"NO CORRESPONDE")))</f>
        <v>EMITIDA</v>
      </c>
      <c r="X431" s="29"/>
      <c r="Y431" s="17" t="s">
        <v>118</v>
      </c>
      <c r="Z431" s="30">
        <v>45776</v>
      </c>
      <c r="AA431" s="10" t="s">
        <v>150</v>
      </c>
      <c r="AB431" s="19">
        <v>54</v>
      </c>
      <c r="AC431" s="20">
        <v>30</v>
      </c>
      <c r="AD431" s="18">
        <f>DATA[[#This Row],[FECHA DE EMISION]]+DATA[[#This Row],[CONDICION DE PAGO]]</f>
        <v>45806</v>
      </c>
      <c r="AE431" s="23" t="e">
        <f>IF(DATA[[#This Row],[MONEDA]]="USD",VLOOKUP(DATA[[#This Row],[COMBINADA]],#REF!,11,0),1)</f>
        <v>#REF!</v>
      </c>
      <c r="AF431" s="39" t="str">
        <f>IF(DATA[[#This Row],[SERIE2]]="-","NO CORRESPONDE",IF(W431="NO CORRESPONDE","NO CORRESPONDE",IF(Z431&gt;0,"FACTURADO","PENDIENTE")))</f>
        <v>FACTURADO</v>
      </c>
      <c r="AG431" s="27">
        <f>IFERROR(VLOOKUP(DATA[[#This Row],[COMBINADA]],#REF!,6,0),0)</f>
        <v>0</v>
      </c>
      <c r="AH431" s="125">
        <f>IFERROR(VLOOKUP(DATA[[#This Row],[COMBINADA]],#REF!,9,0),0)/COUNTIFS(DATA[COMBINADA],DATA[[#This Row],[COMBINADA]])</f>
        <v>0</v>
      </c>
      <c r="AI431" s="27">
        <f>IFERROR(VLOOKUP(DATA[[#This Row],[COMBINADA]],#REF!,6,0),0)</f>
        <v>0</v>
      </c>
      <c r="AJ431" s="125">
        <f>IFERROR(VLOOKUP(DATA[[#This Row],[COMBINADA]],#REF!,9,0),0)/COUNTIFS(DATA[COMBINADA],DATA[[#This Row],[COMBINADA]])</f>
        <v>0</v>
      </c>
      <c r="AK431" s="27">
        <f>IFERROR(VLOOKUP(DATA[[#This Row],[COMBINADA]],#REF!,6,0),0)</f>
        <v>0</v>
      </c>
      <c r="AL431" s="125">
        <f>IFERROR(VLOOKUP(DATA[[#This Row],[COMBINADA]],#REF!,9,0),0)/COUNTIFS(DATA[COMBINADA],DATA[[#This Row],[COMBINADA]])</f>
        <v>0</v>
      </c>
      <c r="AM431" s="27">
        <f>IFERROR(VLOOKUP(DATA[[#This Row],[COMBINADA]],#REF!,6,0),0)</f>
        <v>0</v>
      </c>
      <c r="AN431" s="125">
        <f>IFERROR(VLOOKUP(DATA[[#This Row],[COMBINADA]],#REF!,9,0),0)/COUNTIFS(DATA[COMBINADA],DATA[[#This Row],[COMBINADA]])</f>
        <v>0</v>
      </c>
      <c r="AO431" s="27">
        <f>IFERROR(VLOOKUP(DATA[[#This Row],[COMBINADA]],#REF!,6,0),0)</f>
        <v>0</v>
      </c>
      <c r="AP431" s="125">
        <f>IFERROR(VLOOKUP(DATA[[#This Row],[COMBINADA]],#REF!,9,0),0)/COUNTIFS(DATA[COMBINADA],DATA[[#This Row],[COMBINADA]])</f>
        <v>0</v>
      </c>
      <c r="AQ43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548.94894736842105</v>
      </c>
      <c r="AR431" s="26" t="str">
        <f>IFERROR(IF(DATA[[#This Row],[estado_fact]]="FACTURADO",VLOOKUP(DATA[[#This Row],[SERIE2]]&amp;"-"&amp;DATA[[#This Row],[NUMERO]],#REF!,34,0),"NO CORRESPONDE"),"NO CORRESPONDE")</f>
        <v>NO CORRESPONDE</v>
      </c>
      <c r="AS431" s="22" t="str">
        <f>IF(DATA[[#This Row],[fecha_fs]]&gt;0,TEXT(DATA[[#This Row],[fecha_fs]],"Mmmm"),0)</f>
        <v>Abril</v>
      </c>
      <c r="AT431" s="22" t="str">
        <f>DATA[[#This Row],[SERIE2]]&amp;"-"&amp;DATA[[#This Row],[NUMERO]]</f>
        <v>FF01-54</v>
      </c>
      <c r="AU431" s="28" t="e">
        <f>DATA[[#This Row],[TOTAL]]*DATA[[#This Row],[T.C.]]</f>
        <v>#REF!</v>
      </c>
      <c r="AV431" s="6">
        <f>DATA[[#This Row],[FECHA DE VAL.]]</f>
        <v>45772</v>
      </c>
      <c r="AW431" s="6">
        <f>DATA[[#This Row],[FECHA DE EMISION]]</f>
        <v>45776</v>
      </c>
      <c r="AX431" s="6">
        <f>DATA[[#This Row],[F1]]</f>
        <v>0</v>
      </c>
      <c r="AY431" s="20">
        <f>IF(AV431-DATA[[#This Row],[fecha_fs]]&lt;0,0,AV431-DATA[[#This Row],[fecha_fs]])</f>
        <v>24</v>
      </c>
      <c r="AZ431" s="20">
        <f t="shared" si="45"/>
        <v>4</v>
      </c>
      <c r="BA431" s="20">
        <f t="shared" si="46"/>
        <v>0</v>
      </c>
      <c r="BB431" s="195">
        <f>IFERROR(SUM(DATA[[#This Row],[fs_val_ttf]:[fact_pago_ttf]]),0)</f>
        <v>28</v>
      </c>
      <c r="BC431" s="185">
        <v>45758</v>
      </c>
      <c r="BD431" s="185">
        <v>45782</v>
      </c>
      <c r="BE431" s="185">
        <v>45786</v>
      </c>
      <c r="BF431" s="185">
        <v>45831</v>
      </c>
      <c r="BG431" s="20">
        <f>IFERROR(IF(BC431-DATA[[#This Row],[fecha_fs]]&lt;0,0,BC431-DATA[[#This Row],[fecha_fs]]),0)</f>
        <v>10</v>
      </c>
      <c r="BH431" s="20">
        <f t="shared" si="47"/>
        <v>24</v>
      </c>
      <c r="BI431" s="20">
        <f t="shared" si="48"/>
        <v>4</v>
      </c>
      <c r="BJ431" s="20">
        <f t="shared" si="49"/>
        <v>45</v>
      </c>
      <c r="BK431" s="218">
        <f>IFERROR(SUM(DATA[[#This Row],[fs_fd_ttd]:[fend_fenf_ttd]]),0)</f>
        <v>83</v>
      </c>
      <c r="BL431" s="20" t="str">
        <f>IF(DATA[[#This Row],[fecha_fs]]&gt;0,TEXT(DATA[[#This Row],[fecha_fs]],"YYYY"),0)</f>
        <v>2025</v>
      </c>
      <c r="BM431" s="221" t="b">
        <v>1</v>
      </c>
      <c r="BN431" s="278">
        <f>COUNTIF(DATA[[#This Row],[tiempo_td]], "&lt;=15")</f>
        <v>0</v>
      </c>
      <c r="BO431" s="222"/>
    </row>
    <row r="432" spans="1:67" ht="30.6" customHeight="1" x14ac:dyDescent="0.25">
      <c r="A432" s="4">
        <v>20120788389</v>
      </c>
      <c r="B432" s="5" t="s">
        <v>283</v>
      </c>
      <c r="C432" s="52" t="s">
        <v>18</v>
      </c>
      <c r="D432" s="4" t="s">
        <v>120</v>
      </c>
      <c r="E432" s="5" t="s">
        <v>3</v>
      </c>
      <c r="F432" s="24">
        <v>45743</v>
      </c>
      <c r="G432" s="7" t="s">
        <v>113</v>
      </c>
      <c r="H432" s="25">
        <f t="shared" si="44"/>
        <v>1</v>
      </c>
      <c r="I432" s="67">
        <v>4304</v>
      </c>
      <c r="J432" s="8" t="s">
        <v>115</v>
      </c>
      <c r="K432" s="9" t="s">
        <v>121</v>
      </c>
      <c r="L432" s="10" t="s">
        <v>117</v>
      </c>
      <c r="M432" s="11">
        <v>50</v>
      </c>
      <c r="N432" s="12" t="s">
        <v>114</v>
      </c>
      <c r="O432" s="6">
        <v>45747</v>
      </c>
      <c r="P432" s="13">
        <v>3372</v>
      </c>
      <c r="Q432" s="14" t="s">
        <v>85</v>
      </c>
      <c r="R432" s="15"/>
      <c r="S432" s="15">
        <v>670.43</v>
      </c>
      <c r="T432" s="15">
        <f>DATA[[#This Row],[C. DF]]+DATA[[#This Row],[C.OPE.]]</f>
        <v>670.43</v>
      </c>
      <c r="U432" s="15">
        <f>DATA[[#This Row],[SUB TOTAL]]*0.18</f>
        <v>120.67739999999999</v>
      </c>
      <c r="V432" s="15">
        <f>IFERROR(ROUND(DATA[[#This Row],[SUB TOTAL]]+DATA[[#This Row],[IGV]],2),0)</f>
        <v>791.11</v>
      </c>
      <c r="W432" s="16" t="str">
        <f>IF(DATA[[#This Row],[VALORIZACIÓN ]]="-","NO CORRESPONDE",IF(OR(A432=20558226979,A432=10470707866,A432=20111157058,A432=20100226902),"NO CORRESPONDE",IF(J432="Emitida",IF(P432&gt;0,"EMITIDA","PENDIENTE"),"NO CORRESPONDE")))</f>
        <v>EMITIDA</v>
      </c>
      <c r="X432" s="29"/>
      <c r="Y432" s="17" t="s">
        <v>118</v>
      </c>
      <c r="Z432" s="30">
        <v>45750</v>
      </c>
      <c r="AA432" s="10" t="s">
        <v>150</v>
      </c>
      <c r="AB432" s="19">
        <v>16</v>
      </c>
      <c r="AC432" s="20">
        <v>15</v>
      </c>
      <c r="AD432" s="18">
        <f>DATA[[#This Row],[FECHA DE EMISION]]+DATA[[#This Row],[CONDICION DE PAGO]]</f>
        <v>45765</v>
      </c>
      <c r="AE432" s="23">
        <f>IF(DATA[[#This Row],[MONEDA]]="USD",VLOOKUP(DATA[[#This Row],[COMBINADA]],#REF!,11,0),1)</f>
        <v>1</v>
      </c>
      <c r="AF432" s="39" t="str">
        <f>IF(DATA[[#This Row],[SERIE2]]="-","NO CORRESPONDE",IF(W432="NO CORRESPONDE","NO CORRESPONDE",IF(Z432&gt;0,"FACTURADO","PENDIENTE")))</f>
        <v>FACTURADO</v>
      </c>
      <c r="AG432" s="27">
        <f>IFERROR(VLOOKUP(DATA[[#This Row],[COMBINADA]],#REF!,6,0),0)</f>
        <v>0</v>
      </c>
      <c r="AH432" s="125">
        <f>IFERROR(VLOOKUP(DATA[[#This Row],[COMBINADA]],#REF!,9,0),0)/COUNTIFS(DATA[COMBINADA],DATA[[#This Row],[COMBINADA]])</f>
        <v>0</v>
      </c>
      <c r="AI432" s="27">
        <f>IFERROR(VLOOKUP(DATA[[#This Row],[COMBINADA]],#REF!,6,0),0)</f>
        <v>0</v>
      </c>
      <c r="AJ432" s="125">
        <f>IFERROR(VLOOKUP(DATA[[#This Row],[COMBINADA]],#REF!,9,0),0)/COUNTIFS(DATA[COMBINADA],DATA[[#This Row],[COMBINADA]])</f>
        <v>0</v>
      </c>
      <c r="AK432" s="27">
        <f>IFERROR(VLOOKUP(DATA[[#This Row],[COMBINADA]],#REF!,6,0),0)</f>
        <v>0</v>
      </c>
      <c r="AL432" s="125">
        <f>IFERROR(VLOOKUP(DATA[[#This Row],[COMBINADA]],#REF!,9,0),0)/COUNTIFS(DATA[COMBINADA],DATA[[#This Row],[COMBINADA]])</f>
        <v>0</v>
      </c>
      <c r="AM432" s="27">
        <f>IFERROR(VLOOKUP(DATA[[#This Row],[COMBINADA]],#REF!,6,0),0)</f>
        <v>0</v>
      </c>
      <c r="AN432" s="125">
        <f>IFERROR(VLOOKUP(DATA[[#This Row],[COMBINADA]],#REF!,9,0),0)/COUNTIFS(DATA[COMBINADA],DATA[[#This Row],[COMBINADA]])</f>
        <v>0</v>
      </c>
      <c r="AO432" s="27">
        <f>IFERROR(VLOOKUP(DATA[[#This Row],[COMBINADA]],#REF!,6,0),0)</f>
        <v>0</v>
      </c>
      <c r="AP432" s="125">
        <f>IFERROR(VLOOKUP(DATA[[#This Row],[COMBINADA]],#REF!,9,0),0)/COUNTIFS(DATA[COMBINADA],DATA[[#This Row],[COMBINADA]])</f>
        <v>0</v>
      </c>
      <c r="AQ43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791.11</v>
      </c>
      <c r="AR432" s="26" t="str">
        <f>IFERROR(IF(DATA[[#This Row],[estado_fact]]="FACTURADO",VLOOKUP(DATA[[#This Row],[SERIE2]]&amp;"-"&amp;DATA[[#This Row],[NUMERO]],#REF!,34,0),"NO CORRESPONDE"),"NO CORRESPONDE")</f>
        <v>NO CORRESPONDE</v>
      </c>
      <c r="AS432" s="22" t="str">
        <f>IF(DATA[[#This Row],[fecha_fs]]&gt;0,TEXT(DATA[[#This Row],[fecha_fs]],"Mmmm"),0)</f>
        <v>Marzo</v>
      </c>
      <c r="AT432" s="22" t="str">
        <f>DATA[[#This Row],[SERIE2]]&amp;"-"&amp;DATA[[#This Row],[NUMERO]]</f>
        <v>FF01-16</v>
      </c>
      <c r="AU432" s="28">
        <f>DATA[[#This Row],[TOTAL]]*DATA[[#This Row],[T.C.]]</f>
        <v>791.11</v>
      </c>
      <c r="AV432" s="6">
        <f>DATA[[#This Row],[FECHA DE VAL.]]</f>
        <v>45747</v>
      </c>
      <c r="AW432" s="6">
        <f>DATA[[#This Row],[FECHA DE EMISION]]</f>
        <v>45750</v>
      </c>
      <c r="AX432" s="6">
        <f>DATA[[#This Row],[F1]]</f>
        <v>0</v>
      </c>
      <c r="AY432" s="20">
        <f>IF(AV432-DATA[[#This Row],[fecha_fs]]&lt;0,0,AV432-DATA[[#This Row],[fecha_fs]])</f>
        <v>4</v>
      </c>
      <c r="AZ432" s="20">
        <f t="shared" si="45"/>
        <v>3</v>
      </c>
      <c r="BA432" s="20">
        <f t="shared" si="46"/>
        <v>0</v>
      </c>
      <c r="BB432" s="195">
        <f>IFERROR(SUM(DATA[[#This Row],[fs_val_ttf]:[fact_pago_ttf]]),0)</f>
        <v>7</v>
      </c>
      <c r="BC432" s="185">
        <v>45748</v>
      </c>
      <c r="BD432" s="185">
        <v>45751</v>
      </c>
      <c r="BE432" s="185">
        <v>45761</v>
      </c>
      <c r="BF432" s="185">
        <v>45798</v>
      </c>
      <c r="BG432" s="20">
        <f>IFERROR(IF(BC432-DATA[[#This Row],[fecha_fs]]&lt;0,0,BC432-DATA[[#This Row],[fecha_fs]]),0)</f>
        <v>5</v>
      </c>
      <c r="BH432" s="20">
        <f t="shared" si="47"/>
        <v>3</v>
      </c>
      <c r="BI432" s="20">
        <f t="shared" si="48"/>
        <v>10</v>
      </c>
      <c r="BJ432" s="20">
        <f t="shared" si="49"/>
        <v>37</v>
      </c>
      <c r="BK432" s="218">
        <f>IFERROR(SUM(DATA[[#This Row],[fs_fd_ttd]:[fend_fenf_ttd]]),0)</f>
        <v>55</v>
      </c>
      <c r="BL432" s="20" t="str">
        <f>IF(DATA[[#This Row],[fecha_fs]]&gt;0,TEXT(DATA[[#This Row],[fecha_fs]],"YYYY"),0)</f>
        <v>2025</v>
      </c>
      <c r="BM432" s="221" t="b">
        <v>0</v>
      </c>
      <c r="BN432" s="278">
        <f>COUNTIF(DATA[[#This Row],[tiempo_td]], "&lt;=15")</f>
        <v>0</v>
      </c>
      <c r="BO432" s="222"/>
    </row>
    <row r="433" spans="1:67" ht="30.6" customHeight="1" x14ac:dyDescent="0.25">
      <c r="A433" s="4">
        <v>20498185305</v>
      </c>
      <c r="B433" s="5" t="s">
        <v>53</v>
      </c>
      <c r="C433" s="52" t="s">
        <v>18</v>
      </c>
      <c r="D433" s="4" t="s">
        <v>224</v>
      </c>
      <c r="E433" s="5" t="s">
        <v>22</v>
      </c>
      <c r="F433" s="24">
        <v>45744</v>
      </c>
      <c r="G433" s="7" t="s">
        <v>113</v>
      </c>
      <c r="H433" s="25">
        <f t="shared" si="44"/>
        <v>1</v>
      </c>
      <c r="I433" s="67">
        <v>4305</v>
      </c>
      <c r="J433" s="8" t="s">
        <v>115</v>
      </c>
      <c r="K433" s="9" t="s">
        <v>225</v>
      </c>
      <c r="L433" s="10" t="s">
        <v>117</v>
      </c>
      <c r="M433" s="11">
        <v>18</v>
      </c>
      <c r="N433" s="112" t="s">
        <v>200</v>
      </c>
      <c r="O433" s="6">
        <v>45747</v>
      </c>
      <c r="P433" s="13">
        <v>3371</v>
      </c>
      <c r="Q433" s="14" t="s">
        <v>85</v>
      </c>
      <c r="R433" s="15">
        <v>291</v>
      </c>
      <c r="S433" s="15">
        <f>905.3+798</f>
        <v>1703.3</v>
      </c>
      <c r="T433" s="15">
        <f>DATA[[#This Row],[C. DF]]+DATA[[#This Row],[C.OPE.]]</f>
        <v>1994.3</v>
      </c>
      <c r="U433" s="15">
        <f>DATA[[#This Row],[SUB TOTAL]]*0.18</f>
        <v>358.97399999999999</v>
      </c>
      <c r="V433" s="15">
        <f>IFERROR(ROUND(DATA[[#This Row],[SUB TOTAL]]+DATA[[#This Row],[IGV]],2),0)</f>
        <v>2353.27</v>
      </c>
      <c r="W433" s="16" t="str">
        <f>IF(DATA[[#This Row],[VALORIZACIÓN ]]="-","NO CORRESPONDE",IF(OR(A433=20558226979,A433=10470707866,A433=20111157058,A433=20100226902),"NO CORRESPONDE",IF(J433="Emitida",IF(P433&gt;0,"EMITIDA","PENDIENTE"),"NO CORRESPONDE")))</f>
        <v>EMITIDA</v>
      </c>
      <c r="X433" s="29"/>
      <c r="Y433" s="17" t="s">
        <v>118</v>
      </c>
      <c r="Z433" s="30">
        <v>45750</v>
      </c>
      <c r="AA433" s="10" t="s">
        <v>150</v>
      </c>
      <c r="AB433" s="19">
        <v>15</v>
      </c>
      <c r="AC433" s="20">
        <v>15</v>
      </c>
      <c r="AD433" s="18">
        <f>DATA[[#This Row],[FECHA DE EMISION]]+DATA[[#This Row],[CONDICION DE PAGO]]</f>
        <v>45765</v>
      </c>
      <c r="AE433" s="23">
        <f>IF(DATA[[#This Row],[MONEDA]]="USD",VLOOKUP(DATA[[#This Row],[COMBINADA]],#REF!,11,0),1)</f>
        <v>1</v>
      </c>
      <c r="AF433" s="39" t="str">
        <f>IF(DATA[[#This Row],[SERIE2]]="-","NO CORRESPONDE",IF(W433="NO CORRESPONDE","NO CORRESPONDE",IF(Z433&gt;0,"FACTURADO","PENDIENTE")))</f>
        <v>FACTURADO</v>
      </c>
      <c r="AG433" s="27">
        <f>IFERROR(VLOOKUP(DATA[[#This Row],[COMBINADA]],#REF!,6,0),0)</f>
        <v>0</v>
      </c>
      <c r="AH433" s="125">
        <f>IFERROR(VLOOKUP(DATA[[#This Row],[COMBINADA]],#REF!,9,0),0)/COUNTIFS(DATA[COMBINADA],DATA[[#This Row],[COMBINADA]])</f>
        <v>0</v>
      </c>
      <c r="AI433" s="27">
        <f>IFERROR(VLOOKUP(DATA[[#This Row],[COMBINADA]],#REF!,6,0),0)</f>
        <v>0</v>
      </c>
      <c r="AJ433" s="125">
        <f>IFERROR(VLOOKUP(DATA[[#This Row],[COMBINADA]],#REF!,9,0),0)/COUNTIFS(DATA[COMBINADA],DATA[[#This Row],[COMBINADA]])</f>
        <v>0</v>
      </c>
      <c r="AK433" s="27">
        <f>IFERROR(VLOOKUP(DATA[[#This Row],[COMBINADA]],#REF!,6,0),0)</f>
        <v>0</v>
      </c>
      <c r="AL433" s="125">
        <f>IFERROR(VLOOKUP(DATA[[#This Row],[COMBINADA]],#REF!,9,0),0)/COUNTIFS(DATA[COMBINADA],DATA[[#This Row],[COMBINADA]])</f>
        <v>0</v>
      </c>
      <c r="AM433" s="27">
        <f>IFERROR(VLOOKUP(DATA[[#This Row],[COMBINADA]],#REF!,6,0),0)</f>
        <v>0</v>
      </c>
      <c r="AN433" s="125">
        <f>IFERROR(VLOOKUP(DATA[[#This Row],[COMBINADA]],#REF!,9,0),0)/COUNTIFS(DATA[COMBINADA],DATA[[#This Row],[COMBINADA]])</f>
        <v>0</v>
      </c>
      <c r="AO433" s="27">
        <f>IFERROR(VLOOKUP(DATA[[#This Row],[COMBINADA]],#REF!,6,0),0)</f>
        <v>0</v>
      </c>
      <c r="AP433" s="125">
        <f>IFERROR(VLOOKUP(DATA[[#This Row],[COMBINADA]],#REF!,9,0),0)/COUNTIFS(DATA[COMBINADA],DATA[[#This Row],[COMBINADA]])</f>
        <v>0</v>
      </c>
      <c r="AQ43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2353.27</v>
      </c>
      <c r="AR433" s="26" t="str">
        <f>IFERROR(IF(DATA[[#This Row],[estado_fact]]="FACTURADO",VLOOKUP(DATA[[#This Row],[SERIE2]]&amp;"-"&amp;DATA[[#This Row],[NUMERO]],#REF!,34,0),"NO CORRESPONDE"),"NO CORRESPONDE")</f>
        <v>NO CORRESPONDE</v>
      </c>
      <c r="AS433" s="22" t="str">
        <f>IF(DATA[[#This Row],[fecha_fs]]&gt;0,TEXT(DATA[[#This Row],[fecha_fs]],"Mmmm"),0)</f>
        <v>Marzo</v>
      </c>
      <c r="AT433" s="22" t="str">
        <f>DATA[[#This Row],[SERIE2]]&amp;"-"&amp;DATA[[#This Row],[NUMERO]]</f>
        <v>FF01-15</v>
      </c>
      <c r="AU433" s="28">
        <f>DATA[[#This Row],[TOTAL]]*DATA[[#This Row],[T.C.]]</f>
        <v>2353.27</v>
      </c>
      <c r="AV433" s="6">
        <f>DATA[[#This Row],[FECHA DE VAL.]]</f>
        <v>45747</v>
      </c>
      <c r="AW433" s="6">
        <f>DATA[[#This Row],[FECHA DE EMISION]]</f>
        <v>45750</v>
      </c>
      <c r="AX433" s="6">
        <f>DATA[[#This Row],[F1]]</f>
        <v>0</v>
      </c>
      <c r="AY433" s="20">
        <f>IF(AV433-DATA[[#This Row],[fecha_fs]]&lt;0,0,AV433-DATA[[#This Row],[fecha_fs]])</f>
        <v>3</v>
      </c>
      <c r="AZ433" s="20">
        <f t="shared" si="45"/>
        <v>3</v>
      </c>
      <c r="BA433" s="20">
        <f t="shared" si="46"/>
        <v>0</v>
      </c>
      <c r="BB433" s="195">
        <f>IFERROR(SUM(DATA[[#This Row],[fs_val_ttf]:[fact_pago_ttf]]),0)</f>
        <v>6</v>
      </c>
      <c r="BC433" s="185">
        <v>45744</v>
      </c>
      <c r="BD433" s="185">
        <v>45751</v>
      </c>
      <c r="BE433" s="185">
        <v>45757</v>
      </c>
      <c r="BF433" s="185">
        <v>45758</v>
      </c>
      <c r="BG433" s="20">
        <f>IFERROR(IF(BC433-DATA[[#This Row],[fecha_fs]]&lt;0,0,BC433-DATA[[#This Row],[fecha_fs]]),0)</f>
        <v>0</v>
      </c>
      <c r="BH433" s="20">
        <f t="shared" si="47"/>
        <v>7</v>
      </c>
      <c r="BI433" s="20">
        <f t="shared" si="48"/>
        <v>6</v>
      </c>
      <c r="BJ433" s="20">
        <f t="shared" si="49"/>
        <v>1</v>
      </c>
      <c r="BK433" s="218">
        <f>IFERROR(SUM(DATA[[#This Row],[fs_fd_ttd]:[fend_fenf_ttd]]),0)</f>
        <v>14</v>
      </c>
      <c r="BL433" s="20" t="str">
        <f>IF(DATA[[#This Row],[fecha_fs]]&gt;0,TEXT(DATA[[#This Row],[fecha_fs]],"YYYY"),0)</f>
        <v>2025</v>
      </c>
      <c r="BM433" s="221" t="b">
        <v>1</v>
      </c>
      <c r="BN433" s="278">
        <f>COUNTIF(DATA[[#This Row],[tiempo_td]], "&lt;=15")</f>
        <v>1</v>
      </c>
      <c r="BO433" s="222"/>
    </row>
    <row r="434" spans="1:67" ht="30.6" customHeight="1" x14ac:dyDescent="0.25">
      <c r="A434" s="4">
        <v>20100211115</v>
      </c>
      <c r="B434" s="5" t="s">
        <v>41</v>
      </c>
      <c r="C434" s="52" t="s">
        <v>18</v>
      </c>
      <c r="D434" s="4" t="s">
        <v>112</v>
      </c>
      <c r="E434" s="5" t="s">
        <v>1</v>
      </c>
      <c r="F434" s="24">
        <v>45744</v>
      </c>
      <c r="G434" s="7" t="s">
        <v>113</v>
      </c>
      <c r="H434" s="25">
        <f t="shared" si="44"/>
        <v>1</v>
      </c>
      <c r="I434" s="67">
        <v>4306</v>
      </c>
      <c r="J434" s="8" t="s">
        <v>115</v>
      </c>
      <c r="K434" s="9" t="s">
        <v>116</v>
      </c>
      <c r="L434" s="10" t="s">
        <v>117</v>
      </c>
      <c r="M434" s="11">
        <v>10</v>
      </c>
      <c r="N434" s="112" t="s">
        <v>200</v>
      </c>
      <c r="O434" s="6">
        <v>45775</v>
      </c>
      <c r="P434" s="115">
        <v>3420</v>
      </c>
      <c r="Q434" s="14" t="s">
        <v>85</v>
      </c>
      <c r="R434" s="15"/>
      <c r="S434" s="15">
        <f>(DATA[[#This Row],[cantidad_fs]]*4.57)</f>
        <v>45.7</v>
      </c>
      <c r="T434" s="15">
        <f>DATA[[#This Row],[C. DF]]+DATA[[#This Row],[C.OPE.]]</f>
        <v>45.7</v>
      </c>
      <c r="U434" s="15">
        <f>DATA[[#This Row],[SUB TOTAL]]*0.18</f>
        <v>8.2260000000000009</v>
      </c>
      <c r="V434" s="15">
        <f>IFERROR(ROUND(DATA[[#This Row],[SUB TOTAL]]+DATA[[#This Row],[IGV]],2),0)</f>
        <v>53.93</v>
      </c>
      <c r="W434" s="16" t="str">
        <f>IF(DATA[[#This Row],[VALORIZACIÓN ]]="-","NO CORRESPONDE",IF(OR(A434=20558226979,A434=10470707866,A434=20111157058,A434=20100226902),"NO CORRESPONDE",IF(J434="Emitida",IF(P434&gt;0,"EMITIDA","PENDIENTE"),"NO CORRESPONDE")))</f>
        <v>EMITIDA</v>
      </c>
      <c r="X434" s="29"/>
      <c r="Y434" s="17" t="s">
        <v>118</v>
      </c>
      <c r="Z434" s="30">
        <v>45777</v>
      </c>
      <c r="AA434" s="10" t="s">
        <v>150</v>
      </c>
      <c r="AB434" s="19">
        <v>62</v>
      </c>
      <c r="AC434" s="20">
        <v>30</v>
      </c>
      <c r="AD434" s="18">
        <f>DATA[[#This Row],[FECHA DE EMISION]]+DATA[[#This Row],[CONDICION DE PAGO]]</f>
        <v>45807</v>
      </c>
      <c r="AE434" s="23">
        <f>IF(DATA[[#This Row],[MONEDA]]="USD",VLOOKUP(DATA[[#This Row],[COMBINADA]],#REF!,11,0),1)</f>
        <v>1</v>
      </c>
      <c r="AF434" s="39" t="str">
        <f>IF(DATA[[#This Row],[SERIE2]]="-","NO CORRESPONDE",IF(W434="NO CORRESPONDE","NO CORRESPONDE",IF(Z434&gt;0,"FACTURADO","PENDIENTE")))</f>
        <v>FACTURADO</v>
      </c>
      <c r="AG434" s="27">
        <f>IFERROR(VLOOKUP(DATA[[#This Row],[COMBINADA]],#REF!,6,0),0)</f>
        <v>0</v>
      </c>
      <c r="AH434" s="125">
        <f>IFERROR(VLOOKUP(DATA[[#This Row],[COMBINADA]],#REF!,9,0),0)/COUNTIFS(DATA[COMBINADA],DATA[[#This Row],[COMBINADA]])</f>
        <v>0</v>
      </c>
      <c r="AI434" s="27">
        <f>IFERROR(VLOOKUP(DATA[[#This Row],[COMBINADA]],#REF!,6,0),0)</f>
        <v>0</v>
      </c>
      <c r="AJ434" s="125">
        <f>IFERROR(VLOOKUP(DATA[[#This Row],[COMBINADA]],#REF!,9,0),0)/COUNTIFS(DATA[COMBINADA],DATA[[#This Row],[COMBINADA]])</f>
        <v>0</v>
      </c>
      <c r="AK434" s="27">
        <f>IFERROR(VLOOKUP(DATA[[#This Row],[COMBINADA]],#REF!,6,0),0)</f>
        <v>0</v>
      </c>
      <c r="AL434" s="125">
        <f>IFERROR(VLOOKUP(DATA[[#This Row],[COMBINADA]],#REF!,9,0),0)/COUNTIFS(DATA[COMBINADA],DATA[[#This Row],[COMBINADA]])</f>
        <v>0</v>
      </c>
      <c r="AM434" s="27">
        <f>IFERROR(VLOOKUP(DATA[[#This Row],[COMBINADA]],#REF!,6,0),0)</f>
        <v>0</v>
      </c>
      <c r="AN434" s="125">
        <f>IFERROR(VLOOKUP(DATA[[#This Row],[COMBINADA]],#REF!,9,0),0)/COUNTIFS(DATA[COMBINADA],DATA[[#This Row],[COMBINADA]])</f>
        <v>0</v>
      </c>
      <c r="AO434" s="27">
        <f>IFERROR(VLOOKUP(DATA[[#This Row],[COMBINADA]],#REF!,6,0),0)</f>
        <v>0</v>
      </c>
      <c r="AP434" s="125">
        <f>IFERROR(VLOOKUP(DATA[[#This Row],[COMBINADA]],#REF!,9,0),0)/COUNTIFS(DATA[COMBINADA],DATA[[#This Row],[COMBINADA]])</f>
        <v>0</v>
      </c>
      <c r="AQ43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64.712499999999991</v>
      </c>
      <c r="AR434" s="26" t="str">
        <f>IFERROR(IF(DATA[[#This Row],[estado_fact]]="FACTURADO",VLOOKUP(DATA[[#This Row],[SERIE2]]&amp;"-"&amp;DATA[[#This Row],[NUMERO]],#REF!,34,0),"NO CORRESPONDE"),"NO CORRESPONDE")</f>
        <v>NO CORRESPONDE</v>
      </c>
      <c r="AS434" s="22" t="str">
        <f>IF(DATA[[#This Row],[fecha_fs]]&gt;0,TEXT(DATA[[#This Row],[fecha_fs]],"Mmmm"),0)</f>
        <v>Marzo</v>
      </c>
      <c r="AT434" s="22" t="str">
        <f>DATA[[#This Row],[SERIE2]]&amp;"-"&amp;DATA[[#This Row],[NUMERO]]</f>
        <v>FF01-62</v>
      </c>
      <c r="AU434" s="28">
        <f>DATA[[#This Row],[TOTAL]]*DATA[[#This Row],[T.C.]]</f>
        <v>53.93</v>
      </c>
      <c r="AV434" s="6">
        <f>DATA[[#This Row],[FECHA DE VAL.]]</f>
        <v>45775</v>
      </c>
      <c r="AW434" s="6">
        <f>DATA[[#This Row],[FECHA DE EMISION]]</f>
        <v>45777</v>
      </c>
      <c r="AX434" s="6">
        <f>DATA[[#This Row],[F1]]</f>
        <v>0</v>
      </c>
      <c r="AY434" s="20">
        <f>IF(AV434-DATA[[#This Row],[fecha_fs]]&lt;0,0,AV434-DATA[[#This Row],[fecha_fs]])</f>
        <v>31</v>
      </c>
      <c r="AZ434" s="20">
        <f t="shared" si="45"/>
        <v>2</v>
      </c>
      <c r="BA434" s="20">
        <f t="shared" si="46"/>
        <v>0</v>
      </c>
      <c r="BB434" s="195">
        <f>IFERROR(SUM(DATA[[#This Row],[fs_val_ttf]:[fact_pago_ttf]]),0)</f>
        <v>33</v>
      </c>
      <c r="BC434" s="185">
        <v>45790</v>
      </c>
      <c r="BD434" s="185">
        <v>45798</v>
      </c>
      <c r="BE434" s="185">
        <v>45803</v>
      </c>
      <c r="BF434" s="185">
        <v>45804</v>
      </c>
      <c r="BG434" s="20">
        <f>IFERROR(IF(BC434-DATA[[#This Row],[fecha_fs]]&lt;0,0,BC434-DATA[[#This Row],[fecha_fs]]),0)</f>
        <v>46</v>
      </c>
      <c r="BH434" s="20">
        <f t="shared" si="47"/>
        <v>8</v>
      </c>
      <c r="BI434" s="20">
        <f t="shared" si="48"/>
        <v>5</v>
      </c>
      <c r="BJ434" s="20">
        <f t="shared" si="49"/>
        <v>1</v>
      </c>
      <c r="BK434" s="218">
        <f>IFERROR(SUM(DATA[[#This Row],[fs_fd_ttd]:[fend_fenf_ttd]]),0)</f>
        <v>60</v>
      </c>
      <c r="BL434" s="20" t="str">
        <f>IF(DATA[[#This Row],[fecha_fs]]&gt;0,TEXT(DATA[[#This Row],[fecha_fs]],"YYYY"),0)</f>
        <v>2025</v>
      </c>
      <c r="BM434" s="221" t="b">
        <v>1</v>
      </c>
      <c r="BN434" s="278">
        <f>COUNTIF(DATA[[#This Row],[tiempo_td]], "&lt;=15")</f>
        <v>0</v>
      </c>
      <c r="BO434" s="222"/>
    </row>
    <row r="435" spans="1:67" ht="30.6" customHeight="1" x14ac:dyDescent="0.25">
      <c r="A435" s="4">
        <v>20100192064</v>
      </c>
      <c r="B435" s="5" t="s">
        <v>60</v>
      </c>
      <c r="C435" s="52" t="s">
        <v>43</v>
      </c>
      <c r="D435" s="4" t="s">
        <v>120</v>
      </c>
      <c r="E435" s="5" t="s">
        <v>3</v>
      </c>
      <c r="F435" s="24">
        <v>45748</v>
      </c>
      <c r="G435" s="7" t="s">
        <v>113</v>
      </c>
      <c r="H435" s="25">
        <f t="shared" si="44"/>
        <v>1</v>
      </c>
      <c r="I435" s="67">
        <v>4307</v>
      </c>
      <c r="J435" s="8" t="s">
        <v>115</v>
      </c>
      <c r="K435" s="9" t="s">
        <v>121</v>
      </c>
      <c r="L435" s="10" t="s">
        <v>117</v>
      </c>
      <c r="M435" s="11">
        <v>330</v>
      </c>
      <c r="N435" s="12" t="s">
        <v>125</v>
      </c>
      <c r="O435" s="6">
        <v>45772</v>
      </c>
      <c r="P435" s="71">
        <v>3407</v>
      </c>
      <c r="Q435" s="14" t="s">
        <v>123</v>
      </c>
      <c r="R435" s="15">
        <f>(DATA[[#This Row],[cantidad_fs]]/1000)*(47+174.34)</f>
        <v>73.042200000000008</v>
      </c>
      <c r="S435" s="15">
        <v>137</v>
      </c>
      <c r="T435" s="15">
        <f>DATA[[#This Row],[C. DF]]+DATA[[#This Row],[C.OPE.]]</f>
        <v>210.04220000000001</v>
      </c>
      <c r="U435" s="15">
        <f>DATA[[#This Row],[SUB TOTAL]]*0.18</f>
        <v>37.807595999999997</v>
      </c>
      <c r="V435" s="15">
        <f>IFERROR(ROUND(DATA[[#This Row],[SUB TOTAL]]+DATA[[#This Row],[IGV]],2),0)</f>
        <v>247.85</v>
      </c>
      <c r="W435" s="16" t="str">
        <f>IF(DATA[[#This Row],[VALORIZACIÓN ]]="-","NO CORRESPONDE",IF(OR(A435=20558226979,A435=10470707866,A435=20111157058,A435=20100226902),"NO CORRESPONDE",IF(J435="Emitida",IF(P435&gt;0,"EMITIDA","PENDIENTE"),"NO CORRESPONDE")))</f>
        <v>EMITIDA</v>
      </c>
      <c r="X435" s="29"/>
      <c r="Y435" s="17" t="s">
        <v>118</v>
      </c>
      <c r="Z435" s="30">
        <v>45776</v>
      </c>
      <c r="AA435" s="10" t="s">
        <v>150</v>
      </c>
      <c r="AB435" s="19">
        <v>54</v>
      </c>
      <c r="AC435" s="20">
        <v>30</v>
      </c>
      <c r="AD435" s="18">
        <f>DATA[[#This Row],[FECHA DE EMISION]]+DATA[[#This Row],[CONDICION DE PAGO]]</f>
        <v>45806</v>
      </c>
      <c r="AE435" s="23" t="e">
        <f>IF(DATA[[#This Row],[MONEDA]]="USD",VLOOKUP(DATA[[#This Row],[COMBINADA]],#REF!,11,0),1)</f>
        <v>#REF!</v>
      </c>
      <c r="AF435" s="39" t="str">
        <f>IF(DATA[[#This Row],[SERIE2]]="-","NO CORRESPONDE",IF(W435="NO CORRESPONDE","NO CORRESPONDE",IF(Z435&gt;0,"FACTURADO","PENDIENTE")))</f>
        <v>FACTURADO</v>
      </c>
      <c r="AG435" s="27">
        <f>IFERROR(VLOOKUP(DATA[[#This Row],[COMBINADA]],#REF!,6,0),0)</f>
        <v>0</v>
      </c>
      <c r="AH435" s="125">
        <f>IFERROR(VLOOKUP(DATA[[#This Row],[COMBINADA]],#REF!,9,0),0)/COUNTIFS(DATA[COMBINADA],DATA[[#This Row],[COMBINADA]])</f>
        <v>0</v>
      </c>
      <c r="AI435" s="27">
        <f>IFERROR(VLOOKUP(DATA[[#This Row],[COMBINADA]],#REF!,6,0),0)</f>
        <v>0</v>
      </c>
      <c r="AJ435" s="125">
        <f>IFERROR(VLOOKUP(DATA[[#This Row],[COMBINADA]],#REF!,9,0),0)/COUNTIFS(DATA[COMBINADA],DATA[[#This Row],[COMBINADA]])</f>
        <v>0</v>
      </c>
      <c r="AK435" s="27">
        <f>IFERROR(VLOOKUP(DATA[[#This Row],[COMBINADA]],#REF!,6,0),0)</f>
        <v>0</v>
      </c>
      <c r="AL435" s="125">
        <f>IFERROR(VLOOKUP(DATA[[#This Row],[COMBINADA]],#REF!,9,0),0)/COUNTIFS(DATA[COMBINADA],DATA[[#This Row],[COMBINADA]])</f>
        <v>0</v>
      </c>
      <c r="AM435" s="27">
        <f>IFERROR(VLOOKUP(DATA[[#This Row],[COMBINADA]],#REF!,6,0),0)</f>
        <v>0</v>
      </c>
      <c r="AN435" s="125">
        <f>IFERROR(VLOOKUP(DATA[[#This Row],[COMBINADA]],#REF!,9,0),0)/COUNTIFS(DATA[COMBINADA],DATA[[#This Row],[COMBINADA]])</f>
        <v>0</v>
      </c>
      <c r="AO435" s="27">
        <f>IFERROR(VLOOKUP(DATA[[#This Row],[COMBINADA]],#REF!,6,0),0)</f>
        <v>0</v>
      </c>
      <c r="AP435" s="125">
        <f>IFERROR(VLOOKUP(DATA[[#This Row],[COMBINADA]],#REF!,9,0),0)/COUNTIFS(DATA[COMBINADA],DATA[[#This Row],[COMBINADA]])</f>
        <v>0</v>
      </c>
      <c r="AQ43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548.94894736842105</v>
      </c>
      <c r="AR435" s="26" t="str">
        <f>IFERROR(IF(DATA[[#This Row],[estado_fact]]="FACTURADO",VLOOKUP(DATA[[#This Row],[SERIE2]]&amp;"-"&amp;DATA[[#This Row],[NUMERO]],#REF!,34,0),"NO CORRESPONDE"),"NO CORRESPONDE")</f>
        <v>NO CORRESPONDE</v>
      </c>
      <c r="AS435" s="22" t="str">
        <f>IF(DATA[[#This Row],[fecha_fs]]&gt;0,TEXT(DATA[[#This Row],[fecha_fs]],"Mmmm"),0)</f>
        <v>Abril</v>
      </c>
      <c r="AT435" s="22" t="str">
        <f>DATA[[#This Row],[SERIE2]]&amp;"-"&amp;DATA[[#This Row],[NUMERO]]</f>
        <v>FF01-54</v>
      </c>
      <c r="AU435" s="28" t="e">
        <f>DATA[[#This Row],[TOTAL]]*DATA[[#This Row],[T.C.]]</f>
        <v>#REF!</v>
      </c>
      <c r="AV435" s="6">
        <f>DATA[[#This Row],[FECHA DE VAL.]]</f>
        <v>45772</v>
      </c>
      <c r="AW435" s="6">
        <f>DATA[[#This Row],[FECHA DE EMISION]]</f>
        <v>45776</v>
      </c>
      <c r="AX435" s="6">
        <f>DATA[[#This Row],[F1]]</f>
        <v>0</v>
      </c>
      <c r="AY435" s="20">
        <f>IF(AV435-DATA[[#This Row],[fecha_fs]]&lt;0,0,AV435-DATA[[#This Row],[fecha_fs]])</f>
        <v>24</v>
      </c>
      <c r="AZ435" s="20">
        <f t="shared" si="45"/>
        <v>4</v>
      </c>
      <c r="BA435" s="20">
        <f t="shared" si="46"/>
        <v>0</v>
      </c>
      <c r="BB435" s="195">
        <f>IFERROR(SUM(DATA[[#This Row],[fs_val_ttf]:[fact_pago_ttf]]),0)</f>
        <v>28</v>
      </c>
      <c r="BC435" s="185">
        <v>45786</v>
      </c>
      <c r="BD435" s="185">
        <v>45806</v>
      </c>
      <c r="BE435" s="185">
        <v>45810</v>
      </c>
      <c r="BF435" s="185">
        <v>45831</v>
      </c>
      <c r="BG435" s="20">
        <f>IFERROR(IF(BC435-DATA[[#This Row],[fecha_fs]]&lt;0,0,BC435-DATA[[#This Row],[fecha_fs]]),0)</f>
        <v>38</v>
      </c>
      <c r="BH435" s="20">
        <f t="shared" si="47"/>
        <v>20</v>
      </c>
      <c r="BI435" s="20">
        <f t="shared" si="48"/>
        <v>4</v>
      </c>
      <c r="BJ435" s="20">
        <f t="shared" si="49"/>
        <v>21</v>
      </c>
      <c r="BK435" s="218">
        <f>IFERROR(SUM(DATA[[#This Row],[fs_fd_ttd]:[fend_fenf_ttd]]),0)</f>
        <v>83</v>
      </c>
      <c r="BL435" s="20" t="str">
        <f>IF(DATA[[#This Row],[fecha_fs]]&gt;0,TEXT(DATA[[#This Row],[fecha_fs]],"YYYY"),0)</f>
        <v>2025</v>
      </c>
      <c r="BM435" s="221" t="b">
        <v>1</v>
      </c>
      <c r="BN435" s="278">
        <f>COUNTIF(DATA[[#This Row],[tiempo_td]], "&lt;=15")</f>
        <v>0</v>
      </c>
      <c r="BO435" s="222"/>
    </row>
    <row r="436" spans="1:67" ht="30.6" customHeight="1" x14ac:dyDescent="0.25">
      <c r="A436" s="4">
        <v>20100192064</v>
      </c>
      <c r="B436" s="5" t="s">
        <v>60</v>
      </c>
      <c r="C436" s="52" t="s">
        <v>43</v>
      </c>
      <c r="D436" s="4" t="s">
        <v>112</v>
      </c>
      <c r="E436" s="5" t="s">
        <v>1</v>
      </c>
      <c r="F436" s="24">
        <v>45748</v>
      </c>
      <c r="G436" s="7" t="s">
        <v>113</v>
      </c>
      <c r="H436" s="25">
        <f t="shared" si="44"/>
        <v>1</v>
      </c>
      <c r="I436" s="67">
        <v>4308</v>
      </c>
      <c r="J436" s="8" t="s">
        <v>115</v>
      </c>
      <c r="K436" s="9" t="s">
        <v>116</v>
      </c>
      <c r="L436" s="10" t="s">
        <v>117</v>
      </c>
      <c r="M436" s="11">
        <v>930</v>
      </c>
      <c r="N436" s="12" t="s">
        <v>132</v>
      </c>
      <c r="O436" s="6">
        <v>45772</v>
      </c>
      <c r="P436" s="71">
        <v>3408</v>
      </c>
      <c r="Q436" s="14" t="s">
        <v>123</v>
      </c>
      <c r="R436" s="15">
        <f>(DATA[[#This Row],[cantidad_fs]]/1000)*(143+175.34)</f>
        <v>296.05620000000005</v>
      </c>
      <c r="S436" s="15">
        <v>137</v>
      </c>
      <c r="T436" s="15">
        <f>DATA[[#This Row],[C. DF]]+DATA[[#This Row],[C.OPE.]]</f>
        <v>433.05620000000005</v>
      </c>
      <c r="U436" s="15">
        <f>DATA[[#This Row],[SUB TOTAL]]*0.18</f>
        <v>77.950116000000008</v>
      </c>
      <c r="V436" s="15">
        <f>IFERROR(ROUND(DATA[[#This Row],[SUB TOTAL]]+DATA[[#This Row],[IGV]],2),0)</f>
        <v>511.01</v>
      </c>
      <c r="W436" s="16" t="str">
        <f>IF(DATA[[#This Row],[VALORIZACIÓN ]]="-","NO CORRESPONDE",IF(OR(A436=20558226979,A436=10470707866,A436=20111157058,A436=20100226902),"NO CORRESPONDE",IF(J436="Emitida",IF(P436&gt;0,"EMITIDA","PENDIENTE"),"NO CORRESPONDE")))</f>
        <v>EMITIDA</v>
      </c>
      <c r="X436" s="29"/>
      <c r="Y436" s="17" t="s">
        <v>118</v>
      </c>
      <c r="Z436" s="30">
        <v>45776</v>
      </c>
      <c r="AA436" s="10" t="s">
        <v>150</v>
      </c>
      <c r="AB436" s="19">
        <v>54</v>
      </c>
      <c r="AC436" s="20">
        <v>30</v>
      </c>
      <c r="AD436" s="18">
        <f>DATA[[#This Row],[FECHA DE EMISION]]+DATA[[#This Row],[CONDICION DE PAGO]]</f>
        <v>45806</v>
      </c>
      <c r="AE436" s="23" t="e">
        <f>IF(DATA[[#This Row],[MONEDA]]="USD",VLOOKUP(DATA[[#This Row],[COMBINADA]],#REF!,11,0),1)</f>
        <v>#REF!</v>
      </c>
      <c r="AF436" s="39" t="str">
        <f>IF(DATA[[#This Row],[SERIE2]]="-","NO CORRESPONDE",IF(W436="NO CORRESPONDE","NO CORRESPONDE",IF(Z436&gt;0,"FACTURADO","PENDIENTE")))</f>
        <v>FACTURADO</v>
      </c>
      <c r="AG436" s="27">
        <f>IFERROR(VLOOKUP(DATA[[#This Row],[COMBINADA]],#REF!,6,0),0)</f>
        <v>0</v>
      </c>
      <c r="AH436" s="125">
        <f>IFERROR(VLOOKUP(DATA[[#This Row],[COMBINADA]],#REF!,9,0),0)/COUNTIFS(DATA[COMBINADA],DATA[[#This Row],[COMBINADA]])</f>
        <v>0</v>
      </c>
      <c r="AI436" s="27">
        <f>IFERROR(VLOOKUP(DATA[[#This Row],[COMBINADA]],#REF!,6,0),0)</f>
        <v>0</v>
      </c>
      <c r="AJ436" s="125">
        <f>IFERROR(VLOOKUP(DATA[[#This Row],[COMBINADA]],#REF!,9,0),0)/COUNTIFS(DATA[COMBINADA],DATA[[#This Row],[COMBINADA]])</f>
        <v>0</v>
      </c>
      <c r="AK436" s="27">
        <f>IFERROR(VLOOKUP(DATA[[#This Row],[COMBINADA]],#REF!,6,0),0)</f>
        <v>0</v>
      </c>
      <c r="AL436" s="125">
        <f>IFERROR(VLOOKUP(DATA[[#This Row],[COMBINADA]],#REF!,9,0),0)/COUNTIFS(DATA[COMBINADA],DATA[[#This Row],[COMBINADA]])</f>
        <v>0</v>
      </c>
      <c r="AM436" s="27">
        <f>IFERROR(VLOOKUP(DATA[[#This Row],[COMBINADA]],#REF!,6,0),0)</f>
        <v>0</v>
      </c>
      <c r="AN436" s="125">
        <f>IFERROR(VLOOKUP(DATA[[#This Row],[COMBINADA]],#REF!,9,0),0)/COUNTIFS(DATA[COMBINADA],DATA[[#This Row],[COMBINADA]])</f>
        <v>0</v>
      </c>
      <c r="AO436" s="27">
        <f>IFERROR(VLOOKUP(DATA[[#This Row],[COMBINADA]],#REF!,6,0),0)</f>
        <v>0</v>
      </c>
      <c r="AP436" s="125">
        <f>IFERROR(VLOOKUP(DATA[[#This Row],[COMBINADA]],#REF!,9,0),0)/COUNTIFS(DATA[COMBINADA],DATA[[#This Row],[COMBINADA]])</f>
        <v>0</v>
      </c>
      <c r="AQ43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548.94894736842105</v>
      </c>
      <c r="AR436" s="26" t="str">
        <f>IFERROR(IF(DATA[[#This Row],[estado_fact]]="FACTURADO",VLOOKUP(DATA[[#This Row],[SERIE2]]&amp;"-"&amp;DATA[[#This Row],[NUMERO]],#REF!,34,0),"NO CORRESPONDE"),"NO CORRESPONDE")</f>
        <v>NO CORRESPONDE</v>
      </c>
      <c r="AS436" s="22" t="str">
        <f>IF(DATA[[#This Row],[fecha_fs]]&gt;0,TEXT(DATA[[#This Row],[fecha_fs]],"Mmmm"),0)</f>
        <v>Abril</v>
      </c>
      <c r="AT436" s="22" t="str">
        <f>DATA[[#This Row],[SERIE2]]&amp;"-"&amp;DATA[[#This Row],[NUMERO]]</f>
        <v>FF01-54</v>
      </c>
      <c r="AU436" s="28" t="e">
        <f>DATA[[#This Row],[TOTAL]]*DATA[[#This Row],[T.C.]]</f>
        <v>#REF!</v>
      </c>
      <c r="AV436" s="6">
        <f>DATA[[#This Row],[FECHA DE VAL.]]</f>
        <v>45772</v>
      </c>
      <c r="AW436" s="6">
        <f>DATA[[#This Row],[FECHA DE EMISION]]</f>
        <v>45776</v>
      </c>
      <c r="AX436" s="6">
        <f>DATA[[#This Row],[F1]]</f>
        <v>0</v>
      </c>
      <c r="AY436" s="20">
        <f>IF(AV436-DATA[[#This Row],[fecha_fs]]&lt;0,0,AV436-DATA[[#This Row],[fecha_fs]])</f>
        <v>24</v>
      </c>
      <c r="AZ436" s="20">
        <f t="shared" si="45"/>
        <v>4</v>
      </c>
      <c r="BA436" s="20">
        <f t="shared" si="46"/>
        <v>0</v>
      </c>
      <c r="BB436" s="195">
        <f>IFERROR(SUM(DATA[[#This Row],[fs_val_ttf]:[fact_pago_ttf]]),0)</f>
        <v>28</v>
      </c>
      <c r="BC436" s="185">
        <v>45761</v>
      </c>
      <c r="BD436" s="185">
        <v>45777</v>
      </c>
      <c r="BE436" s="185">
        <v>45786</v>
      </c>
      <c r="BF436" s="185">
        <v>45831</v>
      </c>
      <c r="BG436" s="20">
        <f>IFERROR(IF(BC436-DATA[[#This Row],[fecha_fs]]&lt;0,0,BC436-DATA[[#This Row],[fecha_fs]]),0)</f>
        <v>13</v>
      </c>
      <c r="BH436" s="20">
        <f t="shared" si="47"/>
        <v>16</v>
      </c>
      <c r="BI436" s="20">
        <f t="shared" si="48"/>
        <v>9</v>
      </c>
      <c r="BJ436" s="20">
        <f t="shared" si="49"/>
        <v>45</v>
      </c>
      <c r="BK436" s="218">
        <f>IFERROR(SUM(DATA[[#This Row],[fs_fd_ttd]:[fend_fenf_ttd]]),0)</f>
        <v>83</v>
      </c>
      <c r="BL436" s="20" t="str">
        <f>IF(DATA[[#This Row],[fecha_fs]]&gt;0,TEXT(DATA[[#This Row],[fecha_fs]],"YYYY"),0)</f>
        <v>2025</v>
      </c>
      <c r="BM436" s="221" t="b">
        <v>1</v>
      </c>
      <c r="BN436" s="278">
        <f>COUNTIF(DATA[[#This Row],[tiempo_td]], "&lt;=15")</f>
        <v>0</v>
      </c>
      <c r="BO436" s="222"/>
    </row>
    <row r="437" spans="1:67" ht="30.6" customHeight="1" x14ac:dyDescent="0.25">
      <c r="A437" s="4">
        <v>20170040938</v>
      </c>
      <c r="B437" s="5" t="s">
        <v>274</v>
      </c>
      <c r="C437" s="52" t="s">
        <v>40</v>
      </c>
      <c r="D437" s="4" t="s">
        <v>120</v>
      </c>
      <c r="E437" s="5" t="s">
        <v>3</v>
      </c>
      <c r="F437" s="24">
        <v>45747</v>
      </c>
      <c r="G437" s="7" t="s">
        <v>113</v>
      </c>
      <c r="H437" s="25">
        <f t="shared" si="44"/>
        <v>1</v>
      </c>
      <c r="I437" s="67">
        <v>4309</v>
      </c>
      <c r="J437" s="8" t="s">
        <v>115</v>
      </c>
      <c r="K437" s="9" t="s">
        <v>121</v>
      </c>
      <c r="L437" s="10" t="s">
        <v>117</v>
      </c>
      <c r="M437" s="11">
        <v>10330</v>
      </c>
      <c r="N437" s="12" t="s">
        <v>129</v>
      </c>
      <c r="O437" s="6">
        <v>45747</v>
      </c>
      <c r="P437" s="121">
        <v>3377</v>
      </c>
      <c r="Q437" s="14" t="s">
        <v>85</v>
      </c>
      <c r="R437" s="15">
        <f>DATA[[#This Row],[cantidad_fs]]*0.08</f>
        <v>826.4</v>
      </c>
      <c r="S437" s="15">
        <f>6777.57/2</f>
        <v>3388.7849999999999</v>
      </c>
      <c r="T437" s="15">
        <f>DATA[[#This Row],[C. DF]]+DATA[[#This Row],[C.OPE.]]</f>
        <v>4215.1849999999995</v>
      </c>
      <c r="U437" s="15">
        <f>DATA[[#This Row],[SUB TOTAL]]*0.18</f>
        <v>758.73329999999987</v>
      </c>
      <c r="V437" s="15">
        <f>IFERROR(ROUND(DATA[[#This Row],[SUB TOTAL]]+DATA[[#This Row],[IGV]],2),0)</f>
        <v>4973.92</v>
      </c>
      <c r="W437" s="16" t="str">
        <f>IF(DATA[[#This Row],[VALORIZACIÓN ]]="-","NO CORRESPONDE",IF(OR(A437=20558226979,A437=10470707866,A437=20111157058,A437=20100226902),"NO CORRESPONDE",IF(J437="Emitida",IF(P437&gt;0,"EMITIDA","PENDIENTE"),"NO CORRESPONDE")))</f>
        <v>EMITIDA</v>
      </c>
      <c r="X437" s="29" t="s">
        <v>226</v>
      </c>
      <c r="Y437" s="17" t="s">
        <v>118</v>
      </c>
      <c r="Z437" s="30">
        <v>45782</v>
      </c>
      <c r="AA437" s="10" t="s">
        <v>150</v>
      </c>
      <c r="AB437" s="19">
        <v>69</v>
      </c>
      <c r="AC437" s="20">
        <v>30</v>
      </c>
      <c r="AD437" s="18">
        <f>DATA[[#This Row],[FECHA DE EMISION]]+DATA[[#This Row],[CONDICION DE PAGO]]</f>
        <v>45812</v>
      </c>
      <c r="AE437" s="23">
        <f>IF(DATA[[#This Row],[MONEDA]]="USD",VLOOKUP(DATA[[#This Row],[COMBINADA]],#REF!,11,0),1)</f>
        <v>1</v>
      </c>
      <c r="AF437" s="39" t="str">
        <f>IF(DATA[[#This Row],[SERIE2]]="-","NO CORRESPONDE",IF(W437="NO CORRESPONDE","NO CORRESPONDE",IF(Z437&gt;0,"FACTURADO","PENDIENTE")))</f>
        <v>FACTURADO</v>
      </c>
      <c r="AG437" s="27">
        <f>IFERROR(VLOOKUP(DATA[[#This Row],[COMBINADA]],#REF!,6,0),0)</f>
        <v>0</v>
      </c>
      <c r="AH437" s="125">
        <f>IFERROR(VLOOKUP(DATA[[#This Row],[COMBINADA]],#REF!,9,0),0)/COUNTIFS(DATA[COMBINADA],DATA[[#This Row],[COMBINADA]])</f>
        <v>0</v>
      </c>
      <c r="AI437" s="27">
        <f>IFERROR(VLOOKUP(DATA[[#This Row],[COMBINADA]],#REF!,6,0),0)</f>
        <v>0</v>
      </c>
      <c r="AJ437" s="125">
        <f>IFERROR(VLOOKUP(DATA[[#This Row],[COMBINADA]],#REF!,9,0),0)/COUNTIFS(DATA[COMBINADA],DATA[[#This Row],[COMBINADA]])</f>
        <v>0</v>
      </c>
      <c r="AK437" s="27">
        <f>IFERROR(VLOOKUP(DATA[[#This Row],[COMBINADA]],#REF!,6,0),0)</f>
        <v>0</v>
      </c>
      <c r="AL437" s="125">
        <f>IFERROR(VLOOKUP(DATA[[#This Row],[COMBINADA]],#REF!,9,0),0)/COUNTIFS(DATA[COMBINADA],DATA[[#This Row],[COMBINADA]])</f>
        <v>0</v>
      </c>
      <c r="AM437" s="27">
        <f>IFERROR(VLOOKUP(DATA[[#This Row],[COMBINADA]],#REF!,6,0),0)</f>
        <v>0</v>
      </c>
      <c r="AN437" s="125">
        <f>IFERROR(VLOOKUP(DATA[[#This Row],[COMBINADA]],#REF!,9,0),0)/COUNTIFS(DATA[COMBINADA],DATA[[#This Row],[COMBINADA]])</f>
        <v>0</v>
      </c>
      <c r="AO437" s="27">
        <f>IFERROR(VLOOKUP(DATA[[#This Row],[COMBINADA]],#REF!,6,0),0)</f>
        <v>0</v>
      </c>
      <c r="AP437" s="125">
        <f>IFERROR(VLOOKUP(DATA[[#This Row],[COMBINADA]],#REF!,9,0),0)/COUNTIFS(DATA[COMBINADA],DATA[[#This Row],[COMBINADA]])</f>
        <v>0</v>
      </c>
      <c r="AQ43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4756.3249999999998</v>
      </c>
      <c r="AR437" s="26" t="str">
        <f>IFERROR(IF(DATA[[#This Row],[estado_fact]]="FACTURADO",VLOOKUP(DATA[[#This Row],[SERIE2]]&amp;"-"&amp;DATA[[#This Row],[NUMERO]],#REF!,34,0),"NO CORRESPONDE"),"NO CORRESPONDE")</f>
        <v>NO CORRESPONDE</v>
      </c>
      <c r="AS437" s="22" t="str">
        <f>IF(DATA[[#This Row],[fecha_fs]]&gt;0,TEXT(DATA[[#This Row],[fecha_fs]],"Mmmm"),0)</f>
        <v>Marzo</v>
      </c>
      <c r="AT437" s="22" t="str">
        <f>DATA[[#This Row],[SERIE2]]&amp;"-"&amp;DATA[[#This Row],[NUMERO]]</f>
        <v>FF01-69</v>
      </c>
      <c r="AU437" s="28">
        <f>DATA[[#This Row],[TOTAL]]*DATA[[#This Row],[T.C.]]</f>
        <v>4973.92</v>
      </c>
      <c r="AV437" s="6">
        <f>DATA[[#This Row],[FECHA DE VAL.]]</f>
        <v>45747</v>
      </c>
      <c r="AW437" s="6">
        <f>DATA[[#This Row],[FECHA DE EMISION]]</f>
        <v>45782</v>
      </c>
      <c r="AX437" s="6">
        <f>DATA[[#This Row],[F1]]</f>
        <v>0</v>
      </c>
      <c r="AY437" s="20">
        <f>IF(AV437-DATA[[#This Row],[fecha_fs]]&lt;0,0,AV437-DATA[[#This Row],[fecha_fs]])</f>
        <v>0</v>
      </c>
      <c r="AZ437" s="20">
        <f t="shared" si="45"/>
        <v>35</v>
      </c>
      <c r="BA437" s="20">
        <f t="shared" si="46"/>
        <v>0</v>
      </c>
      <c r="BB437" s="195">
        <f>IFERROR(SUM(DATA[[#This Row],[fs_val_ttf]:[fact_pago_ttf]]),0)</f>
        <v>35</v>
      </c>
      <c r="BC437" s="185">
        <v>45747</v>
      </c>
      <c r="BD437" s="185">
        <v>45761</v>
      </c>
      <c r="BE437" s="185">
        <v>45768</v>
      </c>
      <c r="BF437" s="185">
        <v>45796</v>
      </c>
      <c r="BG437" s="20">
        <f>IFERROR(IF(BC437-DATA[[#This Row],[fecha_fs]]&lt;0,0,BC437-DATA[[#This Row],[fecha_fs]]),0)</f>
        <v>0</v>
      </c>
      <c r="BH437" s="20">
        <f t="shared" si="47"/>
        <v>14</v>
      </c>
      <c r="BI437" s="20">
        <f t="shared" si="48"/>
        <v>7</v>
      </c>
      <c r="BJ437" s="20">
        <f t="shared" si="49"/>
        <v>28</v>
      </c>
      <c r="BK437" s="218">
        <f>IFERROR(SUM(DATA[[#This Row],[fs_fd_ttd]:[fend_fenf_ttd]]),0)</f>
        <v>49</v>
      </c>
      <c r="BL437" s="20" t="str">
        <f>IF(DATA[[#This Row],[fecha_fs]]&gt;0,TEXT(DATA[[#This Row],[fecha_fs]],"YYYY"),0)</f>
        <v>2025</v>
      </c>
      <c r="BM437" s="221" t="b">
        <v>1</v>
      </c>
      <c r="BN437" s="278">
        <f>COUNTIF(DATA[[#This Row],[tiempo_td]], "&lt;=15")</f>
        <v>0</v>
      </c>
      <c r="BO437" s="222"/>
    </row>
    <row r="438" spans="1:67" ht="30.6" customHeight="1" x14ac:dyDescent="0.25">
      <c r="A438" s="4">
        <v>20141637941</v>
      </c>
      <c r="B438" s="5" t="s">
        <v>79</v>
      </c>
      <c r="C438" s="52" t="s">
        <v>18</v>
      </c>
      <c r="D438" s="4" t="s">
        <v>120</v>
      </c>
      <c r="E438" s="5" t="s">
        <v>3</v>
      </c>
      <c r="F438" s="24">
        <v>45747</v>
      </c>
      <c r="G438" s="7" t="s">
        <v>113</v>
      </c>
      <c r="H438" s="25">
        <f t="shared" si="44"/>
        <v>1</v>
      </c>
      <c r="I438" s="67">
        <v>4310</v>
      </c>
      <c r="J438" s="8" t="s">
        <v>115</v>
      </c>
      <c r="K438" s="9" t="s">
        <v>121</v>
      </c>
      <c r="L438" s="10" t="s">
        <v>117</v>
      </c>
      <c r="M438" s="11">
        <v>1520</v>
      </c>
      <c r="N438" s="12" t="s">
        <v>125</v>
      </c>
      <c r="O438" s="6">
        <v>45747</v>
      </c>
      <c r="P438" s="110">
        <v>3376</v>
      </c>
      <c r="Q438" s="14" t="s">
        <v>85</v>
      </c>
      <c r="R438" s="15">
        <f>70+(DATA[[#This Row],[cantidad_fs]]-1000)*0.1</f>
        <v>122</v>
      </c>
      <c r="S438" s="15">
        <v>517</v>
      </c>
      <c r="T438" s="15">
        <f>DATA[[#This Row],[C. DF]]+DATA[[#This Row],[C.OPE.]]</f>
        <v>639</v>
      </c>
      <c r="U438" s="15">
        <f>DATA[[#This Row],[SUB TOTAL]]*0.18</f>
        <v>115.02</v>
      </c>
      <c r="V438" s="15">
        <f>IFERROR(ROUND(DATA[[#This Row],[SUB TOTAL]]+DATA[[#This Row],[IGV]],2),0)</f>
        <v>754.02</v>
      </c>
      <c r="W438" s="16" t="str">
        <f>IF(DATA[[#This Row],[VALORIZACIÓN ]]="-","NO CORRESPONDE",IF(OR(A438=20558226979,A438=10470707866,A438=20111157058,A438=20100226902),"NO CORRESPONDE",IF(J438="Emitida",IF(P438&gt;0,"EMITIDA","PENDIENTE"),"NO CORRESPONDE")))</f>
        <v>EMITIDA</v>
      </c>
      <c r="X438" s="29"/>
      <c r="Y438" s="17" t="s">
        <v>118</v>
      </c>
      <c r="Z438" s="30">
        <v>45749</v>
      </c>
      <c r="AA438" s="10" t="s">
        <v>150</v>
      </c>
      <c r="AB438" s="119">
        <v>12</v>
      </c>
      <c r="AC438" s="114">
        <v>30</v>
      </c>
      <c r="AD438" s="18">
        <f>DATA[[#This Row],[FECHA DE EMISION]]+DATA[[#This Row],[CONDICION DE PAGO]]</f>
        <v>45779</v>
      </c>
      <c r="AE438" s="23">
        <f>IF(DATA[[#This Row],[MONEDA]]="USD",VLOOKUP(DATA[[#This Row],[COMBINADA]],#REF!,11,0),1)</f>
        <v>1</v>
      </c>
      <c r="AF438" s="39" t="str">
        <f>IF(DATA[[#This Row],[SERIE2]]="-","NO CORRESPONDE",IF(W438="NO CORRESPONDE","NO CORRESPONDE",IF(Z438&gt;0,"FACTURADO","PENDIENTE")))</f>
        <v>FACTURADO</v>
      </c>
      <c r="AG438" s="27">
        <f>IFERROR(VLOOKUP(DATA[[#This Row],[COMBINADA]],#REF!,6,0),0)</f>
        <v>0</v>
      </c>
      <c r="AH438" s="125">
        <f>IFERROR(VLOOKUP(DATA[[#This Row],[COMBINADA]],#REF!,9,0),0)/COUNTIFS(DATA[COMBINADA],DATA[[#This Row],[COMBINADA]])</f>
        <v>0</v>
      </c>
      <c r="AI438" s="27">
        <f>IFERROR(VLOOKUP(DATA[[#This Row],[COMBINADA]],#REF!,6,0),0)</f>
        <v>0</v>
      </c>
      <c r="AJ438" s="125">
        <f>IFERROR(VLOOKUP(DATA[[#This Row],[COMBINADA]],#REF!,9,0),0)/COUNTIFS(DATA[COMBINADA],DATA[[#This Row],[COMBINADA]])</f>
        <v>0</v>
      </c>
      <c r="AK438" s="27">
        <f>IFERROR(VLOOKUP(DATA[[#This Row],[COMBINADA]],#REF!,6,0),0)</f>
        <v>0</v>
      </c>
      <c r="AL438" s="125">
        <f>IFERROR(VLOOKUP(DATA[[#This Row],[COMBINADA]],#REF!,9,0),0)/COUNTIFS(DATA[COMBINADA],DATA[[#This Row],[COMBINADA]])</f>
        <v>0</v>
      </c>
      <c r="AM438" s="27">
        <f>IFERROR(VLOOKUP(DATA[[#This Row],[COMBINADA]],#REF!,6,0),0)</f>
        <v>0</v>
      </c>
      <c r="AN438" s="125">
        <f>IFERROR(VLOOKUP(DATA[[#This Row],[COMBINADA]],#REF!,9,0),0)/COUNTIFS(DATA[COMBINADA],DATA[[#This Row],[COMBINADA]])</f>
        <v>0</v>
      </c>
      <c r="AO438" s="27">
        <f>IFERROR(VLOOKUP(DATA[[#This Row],[COMBINADA]],#REF!,6,0),0)</f>
        <v>0</v>
      </c>
      <c r="AP438" s="125">
        <f>IFERROR(VLOOKUP(DATA[[#This Row],[COMBINADA]],#REF!,9,0),0)/COUNTIFS(DATA[COMBINADA],DATA[[#This Row],[COMBINADA]])</f>
        <v>0</v>
      </c>
      <c r="AQ43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722.55333333333328</v>
      </c>
      <c r="AR438" s="26" t="str">
        <f>IFERROR(IF(DATA[[#This Row],[estado_fact]]="FACTURADO",VLOOKUP(DATA[[#This Row],[SERIE2]]&amp;"-"&amp;DATA[[#This Row],[NUMERO]],#REF!,34,0),"NO CORRESPONDE"),"NO CORRESPONDE")</f>
        <v>NO CORRESPONDE</v>
      </c>
      <c r="AS438" s="22" t="str">
        <f>IF(DATA[[#This Row],[fecha_fs]]&gt;0,TEXT(DATA[[#This Row],[fecha_fs]],"Mmmm"),0)</f>
        <v>Marzo</v>
      </c>
      <c r="AT438" s="22" t="str">
        <f>DATA[[#This Row],[SERIE2]]&amp;"-"&amp;DATA[[#This Row],[NUMERO]]</f>
        <v>FF01-12</v>
      </c>
      <c r="AU438" s="28">
        <f>DATA[[#This Row],[TOTAL]]*DATA[[#This Row],[T.C.]]</f>
        <v>754.02</v>
      </c>
      <c r="AV438" s="6">
        <f>DATA[[#This Row],[FECHA DE VAL.]]</f>
        <v>45747</v>
      </c>
      <c r="AW438" s="6">
        <f>DATA[[#This Row],[FECHA DE EMISION]]</f>
        <v>45749</v>
      </c>
      <c r="AX438" s="6">
        <f>DATA[[#This Row],[F1]]</f>
        <v>0</v>
      </c>
      <c r="AY438" s="20">
        <f>IF(AV438-DATA[[#This Row],[fecha_fs]]&lt;0,0,AV438-DATA[[#This Row],[fecha_fs]])</f>
        <v>0</v>
      </c>
      <c r="AZ438" s="20">
        <f t="shared" si="45"/>
        <v>2</v>
      </c>
      <c r="BA438" s="20">
        <f t="shared" si="46"/>
        <v>0</v>
      </c>
      <c r="BB438" s="195">
        <f>IFERROR(SUM(DATA[[#This Row],[fs_val_ttf]:[fact_pago_ttf]]),0)</f>
        <v>2</v>
      </c>
      <c r="BC438" s="185">
        <v>45747</v>
      </c>
      <c r="BD438" s="185">
        <v>45747</v>
      </c>
      <c r="BE438" s="185">
        <v>45749</v>
      </c>
      <c r="BF438" s="185">
        <v>45749</v>
      </c>
      <c r="BG438" s="20">
        <f>IFERROR(IF(BC438-DATA[[#This Row],[fecha_fs]]&lt;0,0,BC438-DATA[[#This Row],[fecha_fs]]),0)</f>
        <v>0</v>
      </c>
      <c r="BH438" s="20">
        <f t="shared" si="47"/>
        <v>0</v>
      </c>
      <c r="BI438" s="20">
        <f t="shared" si="48"/>
        <v>2</v>
      </c>
      <c r="BJ438" s="20">
        <f t="shared" si="49"/>
        <v>0</v>
      </c>
      <c r="BK438" s="218">
        <f>IFERROR(SUM(DATA[[#This Row],[fs_fd_ttd]:[fend_fenf_ttd]]),0)</f>
        <v>2</v>
      </c>
      <c r="BL438" s="20" t="str">
        <f>IF(DATA[[#This Row],[fecha_fs]]&gt;0,TEXT(DATA[[#This Row],[fecha_fs]],"YYYY"),0)</f>
        <v>2025</v>
      </c>
      <c r="BM438" s="221" t="b">
        <v>1</v>
      </c>
      <c r="BN438" s="278">
        <f>COUNTIF(DATA[[#This Row],[tiempo_td]], "&lt;=15")</f>
        <v>1</v>
      </c>
      <c r="BO438" s="222"/>
    </row>
    <row r="439" spans="1:67" ht="30.6" customHeight="1" x14ac:dyDescent="0.25">
      <c r="A439" s="4">
        <v>20100211115</v>
      </c>
      <c r="B439" s="5" t="s">
        <v>41</v>
      </c>
      <c r="C439" s="52" t="s">
        <v>18</v>
      </c>
      <c r="D439" s="4" t="s">
        <v>120</v>
      </c>
      <c r="E439" s="5" t="s">
        <v>3</v>
      </c>
      <c r="F439" s="24">
        <v>45747</v>
      </c>
      <c r="G439" s="7" t="s">
        <v>113</v>
      </c>
      <c r="H439" s="25">
        <f t="shared" si="44"/>
        <v>1</v>
      </c>
      <c r="I439" s="67">
        <v>4311</v>
      </c>
      <c r="J439" s="8" t="s">
        <v>115</v>
      </c>
      <c r="K439" s="9" t="s">
        <v>121</v>
      </c>
      <c r="L439" s="10" t="s">
        <v>117</v>
      </c>
      <c r="M439" s="11">
        <v>90</v>
      </c>
      <c r="N439" s="12" t="s">
        <v>167</v>
      </c>
      <c r="O439" s="6">
        <v>45775</v>
      </c>
      <c r="P439" s="115">
        <v>3419</v>
      </c>
      <c r="Q439" s="14" t="s">
        <v>85</v>
      </c>
      <c r="R439" s="15"/>
      <c r="S439" s="15">
        <f>(DATA[[#This Row],[cantidad_fs]]*4.37)</f>
        <v>393.3</v>
      </c>
      <c r="T439" s="15">
        <f>DATA[[#This Row],[C. DF]]+DATA[[#This Row],[C.OPE.]]</f>
        <v>393.3</v>
      </c>
      <c r="U439" s="15">
        <f>DATA[[#This Row],[SUB TOTAL]]*0.18</f>
        <v>70.793999999999997</v>
      </c>
      <c r="V439" s="15">
        <f>IFERROR(ROUND(DATA[[#This Row],[SUB TOTAL]]+DATA[[#This Row],[IGV]],2),0)</f>
        <v>464.09</v>
      </c>
      <c r="W439" s="16" t="str">
        <f>IF(DATA[[#This Row],[VALORIZACIÓN ]]="-","NO CORRESPONDE",IF(OR(A439=20558226979,A439=10470707866,A439=20111157058,A439=20100226902),"NO CORRESPONDE",IF(J439="Emitida",IF(P439&gt;0,"EMITIDA","PENDIENTE"),"NO CORRESPONDE")))</f>
        <v>EMITIDA</v>
      </c>
      <c r="X439" s="29"/>
      <c r="Y439" s="17" t="s">
        <v>118</v>
      </c>
      <c r="Z439" s="30">
        <v>45777</v>
      </c>
      <c r="AA439" s="10" t="s">
        <v>150</v>
      </c>
      <c r="AB439" s="19">
        <v>60</v>
      </c>
      <c r="AC439" s="20">
        <v>30</v>
      </c>
      <c r="AD439" s="18">
        <f>DATA[[#This Row],[FECHA DE EMISION]]+DATA[[#This Row],[CONDICION DE PAGO]]</f>
        <v>45807</v>
      </c>
      <c r="AE439" s="23">
        <f>IF(DATA[[#This Row],[MONEDA]]="USD",VLOOKUP(DATA[[#This Row],[COMBINADA]],#REF!,11,0),1)</f>
        <v>1</v>
      </c>
      <c r="AF439" s="39" t="str">
        <f>IF(DATA[[#This Row],[SERIE2]]="-","NO CORRESPONDE",IF(W439="NO CORRESPONDE","NO CORRESPONDE",IF(Z439&gt;0,"FACTURADO","PENDIENTE")))</f>
        <v>FACTURADO</v>
      </c>
      <c r="AG439" s="27">
        <f>IFERROR(VLOOKUP(DATA[[#This Row],[COMBINADA]],#REF!,6,0),0)</f>
        <v>0</v>
      </c>
      <c r="AH439" s="125">
        <f>IFERROR(VLOOKUP(DATA[[#This Row],[COMBINADA]],#REF!,9,0),0)/COUNTIFS(DATA[COMBINADA],DATA[[#This Row],[COMBINADA]])</f>
        <v>0</v>
      </c>
      <c r="AI439" s="27">
        <f>IFERROR(VLOOKUP(DATA[[#This Row],[COMBINADA]],#REF!,6,0),0)</f>
        <v>0</v>
      </c>
      <c r="AJ439" s="125">
        <f>IFERROR(VLOOKUP(DATA[[#This Row],[COMBINADA]],#REF!,9,0),0)/COUNTIFS(DATA[COMBINADA],DATA[[#This Row],[COMBINADA]])</f>
        <v>0</v>
      </c>
      <c r="AK439" s="27">
        <f>IFERROR(VLOOKUP(DATA[[#This Row],[COMBINADA]],#REF!,6,0),0)</f>
        <v>0</v>
      </c>
      <c r="AL439" s="125">
        <f>IFERROR(VLOOKUP(DATA[[#This Row],[COMBINADA]],#REF!,9,0),0)/COUNTIFS(DATA[COMBINADA],DATA[[#This Row],[COMBINADA]])</f>
        <v>0</v>
      </c>
      <c r="AM439" s="27">
        <f>IFERROR(VLOOKUP(DATA[[#This Row],[COMBINADA]],#REF!,6,0),0)</f>
        <v>0</v>
      </c>
      <c r="AN439" s="125">
        <f>IFERROR(VLOOKUP(DATA[[#This Row],[COMBINADA]],#REF!,9,0),0)/COUNTIFS(DATA[COMBINADA],DATA[[#This Row],[COMBINADA]])</f>
        <v>0</v>
      </c>
      <c r="AO439" s="27">
        <f>IFERROR(VLOOKUP(DATA[[#This Row],[COMBINADA]],#REF!,6,0),0)</f>
        <v>0</v>
      </c>
      <c r="AP439" s="125">
        <f>IFERROR(VLOOKUP(DATA[[#This Row],[COMBINADA]],#REF!,9,0),0)/COUNTIFS(DATA[COMBINADA],DATA[[#This Row],[COMBINADA]])</f>
        <v>0</v>
      </c>
      <c r="AQ43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439" s="26" t="str">
        <f>IFERROR(IF(DATA[[#This Row],[estado_fact]]="FACTURADO",VLOOKUP(DATA[[#This Row],[SERIE2]]&amp;"-"&amp;DATA[[#This Row],[NUMERO]],#REF!,34,0),"NO CORRESPONDE"),"NO CORRESPONDE")</f>
        <v>NO CORRESPONDE</v>
      </c>
      <c r="AS439" s="22" t="str">
        <f>IF(DATA[[#This Row],[fecha_fs]]&gt;0,TEXT(DATA[[#This Row],[fecha_fs]],"Mmmm"),0)</f>
        <v>Marzo</v>
      </c>
      <c r="AT439" s="22" t="str">
        <f>DATA[[#This Row],[SERIE2]]&amp;"-"&amp;DATA[[#This Row],[NUMERO]]</f>
        <v>FF01-60</v>
      </c>
      <c r="AU439" s="28">
        <f>DATA[[#This Row],[TOTAL]]*DATA[[#This Row],[T.C.]]</f>
        <v>464.09</v>
      </c>
      <c r="AV439" s="6">
        <f>DATA[[#This Row],[FECHA DE VAL.]]</f>
        <v>45775</v>
      </c>
      <c r="AW439" s="6">
        <f>DATA[[#This Row],[FECHA DE EMISION]]</f>
        <v>45777</v>
      </c>
      <c r="AX439" s="6">
        <f>DATA[[#This Row],[F1]]</f>
        <v>0</v>
      </c>
      <c r="AY439" s="20">
        <f>IF(AV439-DATA[[#This Row],[fecha_fs]]&lt;0,0,AV439-DATA[[#This Row],[fecha_fs]])</f>
        <v>28</v>
      </c>
      <c r="AZ439" s="20">
        <f t="shared" si="45"/>
        <v>2</v>
      </c>
      <c r="BA439" s="20">
        <f t="shared" si="46"/>
        <v>0</v>
      </c>
      <c r="BB439" s="195">
        <f>IFERROR(SUM(DATA[[#This Row],[fs_val_ttf]:[fact_pago_ttf]]),0)</f>
        <v>30</v>
      </c>
      <c r="BC439" s="185">
        <v>45779</v>
      </c>
      <c r="BD439" s="185">
        <v>45789</v>
      </c>
      <c r="BE439" s="185">
        <v>45796</v>
      </c>
      <c r="BF439" s="185">
        <v>45758</v>
      </c>
      <c r="BG439" s="20">
        <f>IFERROR(IF(BC439-DATA[[#This Row],[fecha_fs]]&lt;0,0,BC439-DATA[[#This Row],[fecha_fs]]),0)</f>
        <v>32</v>
      </c>
      <c r="BH439" s="20">
        <f t="shared" si="47"/>
        <v>10</v>
      </c>
      <c r="BI439" s="20">
        <f t="shared" si="48"/>
        <v>7</v>
      </c>
      <c r="BJ439" s="20">
        <f t="shared" si="49"/>
        <v>0</v>
      </c>
      <c r="BK439" s="218">
        <f>IFERROR(SUM(DATA[[#This Row],[fs_fd_ttd]:[fend_fenf_ttd]]),0)</f>
        <v>49</v>
      </c>
      <c r="BL439" s="20" t="str">
        <f>IF(DATA[[#This Row],[fecha_fs]]&gt;0,TEXT(DATA[[#This Row],[fecha_fs]],"YYYY"),0)</f>
        <v>2025</v>
      </c>
      <c r="BM439" s="221" t="b">
        <v>1</v>
      </c>
      <c r="BN439" s="278">
        <f>COUNTIF(DATA[[#This Row],[tiempo_td]], "&lt;=15")</f>
        <v>0</v>
      </c>
      <c r="BO439" s="222"/>
    </row>
    <row r="440" spans="1:67" ht="30.6" customHeight="1" x14ac:dyDescent="0.25">
      <c r="A440" s="4">
        <v>20553956324</v>
      </c>
      <c r="B440" s="5" t="s">
        <v>281</v>
      </c>
      <c r="C440" s="52" t="s">
        <v>175</v>
      </c>
      <c r="D440" s="4" t="s">
        <v>120</v>
      </c>
      <c r="E440" s="5" t="s">
        <v>3</v>
      </c>
      <c r="F440" s="24">
        <v>45747</v>
      </c>
      <c r="G440" s="7" t="s">
        <v>113</v>
      </c>
      <c r="H440" s="25">
        <f t="shared" si="44"/>
        <v>1</v>
      </c>
      <c r="I440" s="67">
        <v>4312</v>
      </c>
      <c r="J440" s="8" t="s">
        <v>115</v>
      </c>
      <c r="K440" s="9" t="s">
        <v>121</v>
      </c>
      <c r="L440" s="10" t="s">
        <v>117</v>
      </c>
      <c r="M440" s="11">
        <v>240</v>
      </c>
      <c r="N440" s="12" t="s">
        <v>132</v>
      </c>
      <c r="O440" s="6">
        <v>45747</v>
      </c>
      <c r="P440" s="109">
        <v>3370</v>
      </c>
      <c r="Q440" s="14" t="s">
        <v>85</v>
      </c>
      <c r="R440" s="15">
        <f>DATA[[#This Row],[cantidad_fs]]*0.08</f>
        <v>19.2</v>
      </c>
      <c r="S440" s="15">
        <v>395.1</v>
      </c>
      <c r="T440" s="15">
        <f>DATA[[#This Row],[C. DF]]+DATA[[#This Row],[C.OPE.]]</f>
        <v>414.3</v>
      </c>
      <c r="U440" s="15">
        <f>DATA[[#This Row],[SUB TOTAL]]*0.18</f>
        <v>74.573999999999998</v>
      </c>
      <c r="V440" s="15">
        <f>IFERROR(ROUND(DATA[[#This Row],[SUB TOTAL]]+DATA[[#This Row],[IGV]],2),0)</f>
        <v>488.87</v>
      </c>
      <c r="W440" s="16" t="str">
        <f>IF(DATA[[#This Row],[VALORIZACIÓN ]]="-","NO CORRESPONDE",IF(OR(A440=20558226979,A440=10470707866,A440=20111157058,A440=20100226902),"NO CORRESPONDE",IF(J440="Emitida",IF(P440&gt;0,"EMITIDA","PENDIENTE"),"NO CORRESPONDE")))</f>
        <v>EMITIDA</v>
      </c>
      <c r="X440" s="29"/>
      <c r="Y440" s="17" t="s">
        <v>118</v>
      </c>
      <c r="Z440" s="30">
        <v>45790</v>
      </c>
      <c r="AA440" s="10" t="s">
        <v>150</v>
      </c>
      <c r="AB440" s="19">
        <v>75</v>
      </c>
      <c r="AC440" s="20"/>
      <c r="AD440" s="18">
        <f>DATA[[#This Row],[FECHA DE EMISION]]+DATA[[#This Row],[CONDICION DE PAGO]]</f>
        <v>45790</v>
      </c>
      <c r="AE440" s="23">
        <f>IF(DATA[[#This Row],[MONEDA]]="USD",VLOOKUP(DATA[[#This Row],[COMBINADA]],#REF!,11,0),1)</f>
        <v>1</v>
      </c>
      <c r="AF440" s="39" t="str">
        <f>IF(DATA[[#This Row],[SERIE2]]="-","NO CORRESPONDE",IF(W440="NO CORRESPONDE","NO CORRESPONDE",IF(Z440&gt;0,"FACTURADO","PENDIENTE")))</f>
        <v>FACTURADO</v>
      </c>
      <c r="AG440" s="27">
        <f>IFERROR(VLOOKUP(DATA[[#This Row],[COMBINADA]],#REF!,6,0),0)</f>
        <v>0</v>
      </c>
      <c r="AH440" s="125">
        <f>IFERROR(VLOOKUP(DATA[[#This Row],[COMBINADA]],#REF!,9,0),0)/COUNTIFS(DATA[COMBINADA],DATA[[#This Row],[COMBINADA]])</f>
        <v>0</v>
      </c>
      <c r="AI440" s="27">
        <f>IFERROR(VLOOKUP(DATA[[#This Row],[COMBINADA]],#REF!,6,0),0)</f>
        <v>0</v>
      </c>
      <c r="AJ440" s="125">
        <f>IFERROR(VLOOKUP(DATA[[#This Row],[COMBINADA]],#REF!,9,0),0)/COUNTIFS(DATA[COMBINADA],DATA[[#This Row],[COMBINADA]])</f>
        <v>0</v>
      </c>
      <c r="AK440" s="27">
        <f>IFERROR(VLOOKUP(DATA[[#This Row],[COMBINADA]],#REF!,6,0),0)</f>
        <v>0</v>
      </c>
      <c r="AL440" s="125">
        <f>IFERROR(VLOOKUP(DATA[[#This Row],[COMBINADA]],#REF!,9,0),0)/COUNTIFS(DATA[COMBINADA],DATA[[#This Row],[COMBINADA]])</f>
        <v>0</v>
      </c>
      <c r="AM440" s="27">
        <f>IFERROR(VLOOKUP(DATA[[#This Row],[COMBINADA]],#REF!,6,0),0)</f>
        <v>0</v>
      </c>
      <c r="AN440" s="125">
        <f>IFERROR(VLOOKUP(DATA[[#This Row],[COMBINADA]],#REF!,9,0),0)/COUNTIFS(DATA[COMBINADA],DATA[[#This Row],[COMBINADA]])</f>
        <v>0</v>
      </c>
      <c r="AO440" s="27">
        <f>IFERROR(VLOOKUP(DATA[[#This Row],[COMBINADA]],#REF!,6,0),0)</f>
        <v>0</v>
      </c>
      <c r="AP440" s="125">
        <f>IFERROR(VLOOKUP(DATA[[#This Row],[COMBINADA]],#REF!,9,0),0)/COUNTIFS(DATA[COMBINADA],DATA[[#This Row],[COMBINADA]])</f>
        <v>0</v>
      </c>
      <c r="AQ44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490.09299999999996</v>
      </c>
      <c r="AR440" s="26" t="str">
        <f>IFERROR(IF(DATA[[#This Row],[estado_fact]]="FACTURADO",VLOOKUP(DATA[[#This Row],[SERIE2]]&amp;"-"&amp;DATA[[#This Row],[NUMERO]],#REF!,34,0),"NO CORRESPONDE"),"NO CORRESPONDE")</f>
        <v>NO CORRESPONDE</v>
      </c>
      <c r="AS440" s="22" t="str">
        <f>IF(DATA[[#This Row],[fecha_fs]]&gt;0,TEXT(DATA[[#This Row],[fecha_fs]],"Mmmm"),0)</f>
        <v>Marzo</v>
      </c>
      <c r="AT440" s="22" t="str">
        <f>DATA[[#This Row],[SERIE2]]&amp;"-"&amp;DATA[[#This Row],[NUMERO]]</f>
        <v>FF01-75</v>
      </c>
      <c r="AU440" s="28">
        <f>DATA[[#This Row],[TOTAL]]*DATA[[#This Row],[T.C.]]</f>
        <v>488.87</v>
      </c>
      <c r="AV440" s="6">
        <f>DATA[[#This Row],[FECHA DE VAL.]]</f>
        <v>45747</v>
      </c>
      <c r="AW440" s="6">
        <f>DATA[[#This Row],[FECHA DE EMISION]]</f>
        <v>45790</v>
      </c>
      <c r="AX440" s="6">
        <f>DATA[[#This Row],[F1]]</f>
        <v>0</v>
      </c>
      <c r="AY440" s="20">
        <f>IF(AV440-DATA[[#This Row],[fecha_fs]]&lt;0,0,AV440-DATA[[#This Row],[fecha_fs]])</f>
        <v>0</v>
      </c>
      <c r="AZ440" s="20">
        <f t="shared" si="45"/>
        <v>43</v>
      </c>
      <c r="BA440" s="20">
        <f t="shared" si="46"/>
        <v>0</v>
      </c>
      <c r="BB440" s="195">
        <f>IFERROR(SUM(DATA[[#This Row],[fs_val_ttf]:[fact_pago_ttf]]),0)</f>
        <v>43</v>
      </c>
      <c r="BC440" s="185">
        <v>45779</v>
      </c>
      <c r="BD440" s="185">
        <v>45789</v>
      </c>
      <c r="BE440" s="185">
        <v>45796</v>
      </c>
      <c r="BF440" s="185">
        <v>45832</v>
      </c>
      <c r="BG440" s="20">
        <f>IFERROR(IF(BC440-DATA[[#This Row],[fecha_fs]]&lt;0,0,BC440-DATA[[#This Row],[fecha_fs]]),0)</f>
        <v>32</v>
      </c>
      <c r="BH440" s="20">
        <f t="shared" si="47"/>
        <v>10</v>
      </c>
      <c r="BI440" s="20">
        <f t="shared" si="48"/>
        <v>7</v>
      </c>
      <c r="BJ440" s="20">
        <f t="shared" si="49"/>
        <v>36</v>
      </c>
      <c r="BK440" s="218">
        <f>IFERROR(SUM(DATA[[#This Row],[fs_fd_ttd]:[fend_fenf_ttd]]),0)</f>
        <v>85</v>
      </c>
      <c r="BL440" s="20" t="str">
        <f>IF(DATA[[#This Row],[fecha_fs]]&gt;0,TEXT(DATA[[#This Row],[fecha_fs]],"YYYY"),0)</f>
        <v>2025</v>
      </c>
      <c r="BM440" s="221" t="b">
        <v>1</v>
      </c>
      <c r="BN440" s="278">
        <f>COUNTIF(DATA[[#This Row],[tiempo_td]], "&lt;=15")</f>
        <v>0</v>
      </c>
      <c r="BO440" s="222"/>
    </row>
    <row r="441" spans="1:67" ht="30.6" customHeight="1" x14ac:dyDescent="0.25">
      <c r="A441" s="4">
        <v>20498459791</v>
      </c>
      <c r="B441" s="5" t="s">
        <v>49</v>
      </c>
      <c r="C441" s="52" t="s">
        <v>18</v>
      </c>
      <c r="D441" s="4" t="s">
        <v>112</v>
      </c>
      <c r="E441" s="5" t="s">
        <v>1</v>
      </c>
      <c r="F441" s="24">
        <v>45747</v>
      </c>
      <c r="G441" s="7" t="s">
        <v>113</v>
      </c>
      <c r="H441" s="25">
        <f t="shared" si="44"/>
        <v>1</v>
      </c>
      <c r="I441" s="67">
        <v>4313</v>
      </c>
      <c r="J441" s="8" t="s">
        <v>115</v>
      </c>
      <c r="K441" s="9" t="s">
        <v>116</v>
      </c>
      <c r="L441" s="10" t="s">
        <v>117</v>
      </c>
      <c r="M441" s="11">
        <v>840</v>
      </c>
      <c r="N441" s="12" t="s">
        <v>125</v>
      </c>
      <c r="O441" s="6">
        <v>45747</v>
      </c>
      <c r="P441" s="13">
        <v>3375</v>
      </c>
      <c r="Q441" s="14" t="s">
        <v>85</v>
      </c>
      <c r="R441" s="15">
        <f>DATA[[#This Row],[cantidad_fs]]*0.97</f>
        <v>814.8</v>
      </c>
      <c r="S441" s="15">
        <v>599.70000000000005</v>
      </c>
      <c r="T441" s="15">
        <f>DATA[[#This Row],[C. DF]]+DATA[[#This Row],[C.OPE.]]</f>
        <v>1414.5</v>
      </c>
      <c r="U441" s="15">
        <f>DATA[[#This Row],[SUB TOTAL]]*0.18</f>
        <v>254.60999999999999</v>
      </c>
      <c r="V441" s="15">
        <f>IFERROR(ROUND(DATA[[#This Row],[SUB TOTAL]]+DATA[[#This Row],[IGV]],2),0)</f>
        <v>1669.11</v>
      </c>
      <c r="W441" s="16" t="str">
        <f>IF(DATA[[#This Row],[VALORIZACIÓN ]]="-","NO CORRESPONDE",IF(OR(A441=20558226979,A441=10470707866,A441=20111157058,A441=20100226902),"NO CORRESPONDE",IF(J441="Emitida",IF(P441&gt;0,"EMITIDA","PENDIENTE"),"NO CORRESPONDE")))</f>
        <v>EMITIDA</v>
      </c>
      <c r="X441" s="29"/>
      <c r="Y441" s="17" t="s">
        <v>118</v>
      </c>
      <c r="Z441" s="30">
        <v>45749</v>
      </c>
      <c r="AA441" s="10" t="s">
        <v>150</v>
      </c>
      <c r="AB441" s="19">
        <v>14</v>
      </c>
      <c r="AC441" s="20">
        <v>15</v>
      </c>
      <c r="AD441" s="18">
        <f>DATA[[#This Row],[FECHA DE EMISION]]+DATA[[#This Row],[CONDICION DE PAGO]]</f>
        <v>45764</v>
      </c>
      <c r="AE441" s="23">
        <f>IF(DATA[[#This Row],[MONEDA]]="USD",VLOOKUP(DATA[[#This Row],[COMBINADA]],#REF!,11,0),1)</f>
        <v>1</v>
      </c>
      <c r="AF441" s="39" t="str">
        <f>IF(DATA[[#This Row],[SERIE2]]="-","NO CORRESPONDE",IF(W441="NO CORRESPONDE","NO CORRESPONDE",IF(Z441&gt;0,"FACTURADO","PENDIENTE")))</f>
        <v>FACTURADO</v>
      </c>
      <c r="AG441" s="27">
        <f>IFERROR(VLOOKUP(DATA[[#This Row],[COMBINADA]],#REF!,6,0),0)</f>
        <v>0</v>
      </c>
      <c r="AH441" s="125">
        <f>IFERROR(VLOOKUP(DATA[[#This Row],[COMBINADA]],#REF!,9,0),0)/COUNTIFS(DATA[COMBINADA],DATA[[#This Row],[COMBINADA]])</f>
        <v>0</v>
      </c>
      <c r="AI441" s="27">
        <f>IFERROR(VLOOKUP(DATA[[#This Row],[COMBINADA]],#REF!,6,0),0)</f>
        <v>0</v>
      </c>
      <c r="AJ441" s="125">
        <f>IFERROR(VLOOKUP(DATA[[#This Row],[COMBINADA]],#REF!,9,0),0)/COUNTIFS(DATA[COMBINADA],DATA[[#This Row],[COMBINADA]])</f>
        <v>0</v>
      </c>
      <c r="AK441" s="27">
        <f>IFERROR(VLOOKUP(DATA[[#This Row],[COMBINADA]],#REF!,6,0),0)</f>
        <v>0</v>
      </c>
      <c r="AL441" s="125">
        <f>IFERROR(VLOOKUP(DATA[[#This Row],[COMBINADA]],#REF!,9,0),0)/COUNTIFS(DATA[COMBINADA],DATA[[#This Row],[COMBINADA]])</f>
        <v>0</v>
      </c>
      <c r="AM441" s="27">
        <f>IFERROR(VLOOKUP(DATA[[#This Row],[COMBINADA]],#REF!,6,0),0)</f>
        <v>0</v>
      </c>
      <c r="AN441" s="125">
        <f>IFERROR(VLOOKUP(DATA[[#This Row],[COMBINADA]],#REF!,9,0),0)/COUNTIFS(DATA[COMBINADA],DATA[[#This Row],[COMBINADA]])</f>
        <v>0</v>
      </c>
      <c r="AO441" s="27">
        <f>IFERROR(VLOOKUP(DATA[[#This Row],[COMBINADA]],#REF!,6,0),0)</f>
        <v>0</v>
      </c>
      <c r="AP441" s="125">
        <f>IFERROR(VLOOKUP(DATA[[#This Row],[COMBINADA]],#REF!,9,0),0)/COUNTIFS(DATA[COMBINADA],DATA[[#This Row],[COMBINADA]])</f>
        <v>0</v>
      </c>
      <c r="AQ44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1669.11</v>
      </c>
      <c r="AR441" s="26" t="str">
        <f>IFERROR(IF(DATA[[#This Row],[estado_fact]]="FACTURADO",VLOOKUP(DATA[[#This Row],[SERIE2]]&amp;"-"&amp;DATA[[#This Row],[NUMERO]],#REF!,34,0),"NO CORRESPONDE"),"NO CORRESPONDE")</f>
        <v>NO CORRESPONDE</v>
      </c>
      <c r="AS441" s="22" t="str">
        <f>IF(DATA[[#This Row],[fecha_fs]]&gt;0,TEXT(DATA[[#This Row],[fecha_fs]],"Mmmm"),0)</f>
        <v>Marzo</v>
      </c>
      <c r="AT441" s="22" t="str">
        <f>DATA[[#This Row],[SERIE2]]&amp;"-"&amp;DATA[[#This Row],[NUMERO]]</f>
        <v>FF01-14</v>
      </c>
      <c r="AU441" s="28">
        <f>DATA[[#This Row],[TOTAL]]*DATA[[#This Row],[T.C.]]</f>
        <v>1669.11</v>
      </c>
      <c r="AV441" s="6">
        <f>DATA[[#This Row],[FECHA DE VAL.]]</f>
        <v>45747</v>
      </c>
      <c r="AW441" s="6">
        <f>DATA[[#This Row],[FECHA DE EMISION]]</f>
        <v>45749</v>
      </c>
      <c r="AX441" s="6">
        <f>DATA[[#This Row],[F1]]</f>
        <v>0</v>
      </c>
      <c r="AY441" s="20">
        <f>IF(AV441-DATA[[#This Row],[fecha_fs]]&lt;0,0,AV441-DATA[[#This Row],[fecha_fs]])</f>
        <v>0</v>
      </c>
      <c r="AZ441" s="20">
        <f t="shared" si="45"/>
        <v>2</v>
      </c>
      <c r="BA441" s="20">
        <f t="shared" si="46"/>
        <v>0</v>
      </c>
      <c r="BB441" s="195">
        <f>IFERROR(SUM(DATA[[#This Row],[fs_val_ttf]:[fact_pago_ttf]]),0)</f>
        <v>2</v>
      </c>
      <c r="BC441" s="185">
        <v>45756</v>
      </c>
      <c r="BD441" s="185">
        <v>45762</v>
      </c>
      <c r="BE441" s="185">
        <v>45770</v>
      </c>
      <c r="BF441" s="185">
        <v>45798</v>
      </c>
      <c r="BG441" s="20">
        <f>IFERROR(IF(BC441-DATA[[#This Row],[fecha_fs]]&lt;0,0,BC441-DATA[[#This Row],[fecha_fs]]),0)</f>
        <v>9</v>
      </c>
      <c r="BH441" s="20">
        <f t="shared" si="47"/>
        <v>6</v>
      </c>
      <c r="BI441" s="20">
        <f t="shared" si="48"/>
        <v>8</v>
      </c>
      <c r="BJ441" s="20">
        <f t="shared" si="49"/>
        <v>28</v>
      </c>
      <c r="BK441" s="218">
        <f>IFERROR(SUM(DATA[[#This Row],[fs_fd_ttd]:[fend_fenf_ttd]]),0)</f>
        <v>51</v>
      </c>
      <c r="BL441" s="20" t="str">
        <f>IF(DATA[[#This Row],[fecha_fs]]&gt;0,TEXT(DATA[[#This Row],[fecha_fs]],"YYYY"),0)</f>
        <v>2025</v>
      </c>
      <c r="BM441" s="221" t="b">
        <v>1</v>
      </c>
      <c r="BN441" s="278">
        <f>COUNTIF(DATA[[#This Row],[tiempo_td]], "&lt;=15")</f>
        <v>0</v>
      </c>
      <c r="BO441" s="222"/>
    </row>
    <row r="442" spans="1:67" ht="30.6" customHeight="1" x14ac:dyDescent="0.25">
      <c r="A442" s="4">
        <v>20170040938</v>
      </c>
      <c r="B442" s="5" t="s">
        <v>274</v>
      </c>
      <c r="C442" s="52" t="s">
        <v>40</v>
      </c>
      <c r="D442" s="4" t="s">
        <v>120</v>
      </c>
      <c r="E442" s="5" t="s">
        <v>3</v>
      </c>
      <c r="F442" s="24">
        <v>45748</v>
      </c>
      <c r="G442" s="7" t="s">
        <v>113</v>
      </c>
      <c r="H442" s="25">
        <f t="shared" si="44"/>
        <v>1</v>
      </c>
      <c r="I442" s="67">
        <v>4314</v>
      </c>
      <c r="J442" s="8" t="s">
        <v>115</v>
      </c>
      <c r="K442" s="9" t="s">
        <v>121</v>
      </c>
      <c r="L442" s="10" t="s">
        <v>117</v>
      </c>
      <c r="M442" s="11">
        <v>5720</v>
      </c>
      <c r="N442" s="12" t="s">
        <v>129</v>
      </c>
      <c r="O442" s="6">
        <v>45749</v>
      </c>
      <c r="P442" s="121">
        <v>3379</v>
      </c>
      <c r="Q442" s="14" t="s">
        <v>85</v>
      </c>
      <c r="R442" s="15">
        <f>DATA[[#This Row],[cantidad_fs]]*0.08</f>
        <v>457.6</v>
      </c>
      <c r="S442" s="15">
        <f>6777.57/2</f>
        <v>3388.7849999999999</v>
      </c>
      <c r="T442" s="15">
        <f>DATA[[#This Row],[C. DF]]+DATA[[#This Row],[C.OPE.]]</f>
        <v>3846.3849999999998</v>
      </c>
      <c r="U442" s="15">
        <f>DATA[[#This Row],[SUB TOTAL]]*0.18</f>
        <v>692.34929999999997</v>
      </c>
      <c r="V442" s="15">
        <f>IFERROR(ROUND(DATA[[#This Row],[SUB TOTAL]]+DATA[[#This Row],[IGV]],2),0)</f>
        <v>4538.7299999999996</v>
      </c>
      <c r="W442" s="16" t="str">
        <f>IF(DATA[[#This Row],[VALORIZACIÓN ]]="-","NO CORRESPONDE",IF(OR(A442=20558226979,A442=10470707866,A442=20111157058,A442=20100226902),"NO CORRESPONDE",IF(J442="Emitida",IF(P442&gt;0,"EMITIDA","PENDIENTE"),"NO CORRESPONDE")))</f>
        <v>EMITIDA</v>
      </c>
      <c r="X442" s="29"/>
      <c r="Y442" s="17" t="s">
        <v>118</v>
      </c>
      <c r="Z442" s="30">
        <v>45782</v>
      </c>
      <c r="AA442" s="10" t="s">
        <v>150</v>
      </c>
      <c r="AB442" s="19">
        <v>69</v>
      </c>
      <c r="AC442" s="20">
        <v>30</v>
      </c>
      <c r="AD442" s="18">
        <f>DATA[[#This Row],[FECHA DE EMISION]]+DATA[[#This Row],[CONDICION DE PAGO]]</f>
        <v>45812</v>
      </c>
      <c r="AE442" s="23">
        <f>IF(DATA[[#This Row],[MONEDA]]="USD",VLOOKUP(DATA[[#This Row],[COMBINADA]],#REF!,11,0),1)</f>
        <v>1</v>
      </c>
      <c r="AF442" s="39" t="str">
        <f>IF(DATA[[#This Row],[SERIE2]]="-","NO CORRESPONDE",IF(W442="NO CORRESPONDE","NO CORRESPONDE",IF(Z442&gt;0,"FACTURADO","PENDIENTE")))</f>
        <v>FACTURADO</v>
      </c>
      <c r="AG442" s="27">
        <f>IFERROR(VLOOKUP(DATA[[#This Row],[COMBINADA]],#REF!,6,0),0)</f>
        <v>0</v>
      </c>
      <c r="AH442" s="125">
        <f>IFERROR(VLOOKUP(DATA[[#This Row],[COMBINADA]],#REF!,9,0),0)/COUNTIFS(DATA[COMBINADA],DATA[[#This Row],[COMBINADA]])</f>
        <v>0</v>
      </c>
      <c r="AI442" s="27">
        <f>IFERROR(VLOOKUP(DATA[[#This Row],[COMBINADA]],#REF!,6,0),0)</f>
        <v>0</v>
      </c>
      <c r="AJ442" s="125">
        <f>IFERROR(VLOOKUP(DATA[[#This Row],[COMBINADA]],#REF!,9,0),0)/COUNTIFS(DATA[COMBINADA],DATA[[#This Row],[COMBINADA]])</f>
        <v>0</v>
      </c>
      <c r="AK442" s="27">
        <f>IFERROR(VLOOKUP(DATA[[#This Row],[COMBINADA]],#REF!,6,0),0)</f>
        <v>0</v>
      </c>
      <c r="AL442" s="125">
        <f>IFERROR(VLOOKUP(DATA[[#This Row],[COMBINADA]],#REF!,9,0),0)/COUNTIFS(DATA[COMBINADA],DATA[[#This Row],[COMBINADA]])</f>
        <v>0</v>
      </c>
      <c r="AM442" s="27">
        <f>IFERROR(VLOOKUP(DATA[[#This Row],[COMBINADA]],#REF!,6,0),0)</f>
        <v>0</v>
      </c>
      <c r="AN442" s="125">
        <f>IFERROR(VLOOKUP(DATA[[#This Row],[COMBINADA]],#REF!,9,0),0)/COUNTIFS(DATA[COMBINADA],DATA[[#This Row],[COMBINADA]])</f>
        <v>0</v>
      </c>
      <c r="AO442" s="27">
        <f>IFERROR(VLOOKUP(DATA[[#This Row],[COMBINADA]],#REF!,6,0),0)</f>
        <v>0</v>
      </c>
      <c r="AP442" s="125">
        <f>IFERROR(VLOOKUP(DATA[[#This Row],[COMBINADA]],#REF!,9,0),0)/COUNTIFS(DATA[COMBINADA],DATA[[#This Row],[COMBINADA]])</f>
        <v>0</v>
      </c>
      <c r="AQ44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4756.3249999999998</v>
      </c>
      <c r="AR442" s="26" t="str">
        <f>IFERROR(IF(DATA[[#This Row],[estado_fact]]="FACTURADO",VLOOKUP(DATA[[#This Row],[SERIE2]]&amp;"-"&amp;DATA[[#This Row],[NUMERO]],#REF!,34,0),"NO CORRESPONDE"),"NO CORRESPONDE")</f>
        <v>NO CORRESPONDE</v>
      </c>
      <c r="AS442" s="22" t="str">
        <f>IF(DATA[[#This Row],[fecha_fs]]&gt;0,TEXT(DATA[[#This Row],[fecha_fs]],"Mmmm"),0)</f>
        <v>Abril</v>
      </c>
      <c r="AT442" s="22" t="str">
        <f>DATA[[#This Row],[SERIE2]]&amp;"-"&amp;DATA[[#This Row],[NUMERO]]</f>
        <v>FF01-69</v>
      </c>
      <c r="AU442" s="28">
        <f>DATA[[#This Row],[TOTAL]]*DATA[[#This Row],[T.C.]]</f>
        <v>4538.7299999999996</v>
      </c>
      <c r="AV442" s="6">
        <f>DATA[[#This Row],[FECHA DE VAL.]]</f>
        <v>45749</v>
      </c>
      <c r="AW442" s="6">
        <f>DATA[[#This Row],[FECHA DE EMISION]]</f>
        <v>45782</v>
      </c>
      <c r="AX442" s="6">
        <f>DATA[[#This Row],[F1]]</f>
        <v>0</v>
      </c>
      <c r="AY442" s="20">
        <f>IF(AV442-DATA[[#This Row],[fecha_fs]]&lt;0,0,AV442-DATA[[#This Row],[fecha_fs]])</f>
        <v>1</v>
      </c>
      <c r="AZ442" s="20">
        <f t="shared" si="45"/>
        <v>33</v>
      </c>
      <c r="BA442" s="20">
        <f t="shared" si="46"/>
        <v>0</v>
      </c>
      <c r="BB442" s="195">
        <f>IFERROR(SUM(DATA[[#This Row],[fs_val_ttf]:[fact_pago_ttf]]),0)</f>
        <v>34</v>
      </c>
      <c r="BC442" s="185">
        <v>45748</v>
      </c>
      <c r="BD442" s="185">
        <v>45761</v>
      </c>
      <c r="BE442" s="185">
        <v>45768</v>
      </c>
      <c r="BF442" s="185">
        <v>45796</v>
      </c>
      <c r="BG442" s="20">
        <f>IFERROR(IF(BC442-DATA[[#This Row],[fecha_fs]]&lt;0,0,BC442-DATA[[#This Row],[fecha_fs]]),0)</f>
        <v>0</v>
      </c>
      <c r="BH442" s="20">
        <f t="shared" si="47"/>
        <v>13</v>
      </c>
      <c r="BI442" s="20">
        <f t="shared" si="48"/>
        <v>7</v>
      </c>
      <c r="BJ442" s="20">
        <f t="shared" si="49"/>
        <v>28</v>
      </c>
      <c r="BK442" s="218">
        <f>IFERROR(SUM(DATA[[#This Row],[fs_fd_ttd]:[fend_fenf_ttd]]),0)</f>
        <v>48</v>
      </c>
      <c r="BL442" s="20" t="str">
        <f>IF(DATA[[#This Row],[fecha_fs]]&gt;0,TEXT(DATA[[#This Row],[fecha_fs]],"YYYY"),0)</f>
        <v>2025</v>
      </c>
      <c r="BM442" s="221" t="b">
        <v>1</v>
      </c>
      <c r="BN442" s="278">
        <f>COUNTIF(DATA[[#This Row],[tiempo_td]], "&lt;=15")</f>
        <v>0</v>
      </c>
      <c r="BO442" s="222"/>
    </row>
    <row r="443" spans="1:67" ht="30.6" customHeight="1" x14ac:dyDescent="0.25">
      <c r="A443" s="4">
        <v>20100192064</v>
      </c>
      <c r="B443" s="5" t="s">
        <v>60</v>
      </c>
      <c r="C443" s="52" t="s">
        <v>65</v>
      </c>
      <c r="D443" s="4" t="s">
        <v>120</v>
      </c>
      <c r="E443" s="5" t="s">
        <v>3</v>
      </c>
      <c r="F443" s="24">
        <v>45748</v>
      </c>
      <c r="G443" s="7" t="s">
        <v>142</v>
      </c>
      <c r="H443" s="25">
        <f t="shared" si="44"/>
        <v>2</v>
      </c>
      <c r="I443" s="67">
        <v>1067</v>
      </c>
      <c r="J443" s="8" t="s">
        <v>115</v>
      </c>
      <c r="K443" s="9" t="s">
        <v>121</v>
      </c>
      <c r="L443" s="10" t="s">
        <v>117</v>
      </c>
      <c r="M443" s="11">
        <v>950</v>
      </c>
      <c r="N443" s="12" t="s">
        <v>215</v>
      </c>
      <c r="O443" s="6">
        <v>45772</v>
      </c>
      <c r="P443" s="71">
        <v>3412</v>
      </c>
      <c r="Q443" s="14" t="s">
        <v>123</v>
      </c>
      <c r="R443" s="15">
        <f>(DATA[[#This Row],[cantidad_fs]]/1000)*(37+81.01)</f>
        <v>112.1095</v>
      </c>
      <c r="S443" s="15">
        <v>103.6</v>
      </c>
      <c r="T443" s="15">
        <f>DATA[[#This Row],[C. DF]]+DATA[[#This Row],[C.OPE.]]</f>
        <v>215.70949999999999</v>
      </c>
      <c r="U443" s="15">
        <f>DATA[[#This Row],[SUB TOTAL]]*0.18</f>
        <v>38.827709999999996</v>
      </c>
      <c r="V443" s="15">
        <f>IFERROR(ROUND(DATA[[#This Row],[SUB TOTAL]]+DATA[[#This Row],[IGV]],2),0)</f>
        <v>254.54</v>
      </c>
      <c r="W443" s="16" t="str">
        <f>IF(DATA[[#This Row],[VALORIZACIÓN ]]="-","NO CORRESPONDE",IF(OR(A443=20558226979,A443=10470707866,A443=20111157058,A443=20100226902),"NO CORRESPONDE",IF(J443="Emitida",IF(P443&gt;0,"EMITIDA","PENDIENTE"),"NO CORRESPONDE")))</f>
        <v>EMITIDA</v>
      </c>
      <c r="X443" s="29"/>
      <c r="Y443" s="17" t="s">
        <v>118</v>
      </c>
      <c r="Z443" s="30">
        <v>45777</v>
      </c>
      <c r="AA443" s="10" t="s">
        <v>150</v>
      </c>
      <c r="AB443" s="19">
        <v>59</v>
      </c>
      <c r="AC443" s="20">
        <v>30</v>
      </c>
      <c r="AD443" s="18">
        <f>DATA[[#This Row],[FECHA DE EMISION]]+DATA[[#This Row],[CONDICION DE PAGO]]</f>
        <v>45807</v>
      </c>
      <c r="AE443" s="23" t="e">
        <f>IF(DATA[[#This Row],[MONEDA]]="USD",VLOOKUP(DATA[[#This Row],[COMBINADA]],#REF!,11,0),1)</f>
        <v>#REF!</v>
      </c>
      <c r="AF443" s="39" t="str">
        <f>IF(DATA[[#This Row],[SERIE2]]="-","NO CORRESPONDE",IF(W443="NO CORRESPONDE","NO CORRESPONDE",IF(Z443&gt;0,"FACTURADO","PENDIENTE")))</f>
        <v>FACTURADO</v>
      </c>
      <c r="AG443" s="27">
        <f>IFERROR(VLOOKUP(DATA[[#This Row],[COMBINADA]],#REF!,6,0),0)</f>
        <v>0</v>
      </c>
      <c r="AH443" s="125">
        <f>IFERROR(VLOOKUP(DATA[[#This Row],[COMBINADA]],#REF!,9,0),0)/COUNTIFS(DATA[COMBINADA],DATA[[#This Row],[COMBINADA]])</f>
        <v>0</v>
      </c>
      <c r="AI443" s="27">
        <f>IFERROR(VLOOKUP(DATA[[#This Row],[COMBINADA]],#REF!,6,0),0)</f>
        <v>0</v>
      </c>
      <c r="AJ443" s="125">
        <f>IFERROR(VLOOKUP(DATA[[#This Row],[COMBINADA]],#REF!,9,0),0)/COUNTIFS(DATA[COMBINADA],DATA[[#This Row],[COMBINADA]])</f>
        <v>0</v>
      </c>
      <c r="AK443" s="27">
        <f>IFERROR(VLOOKUP(DATA[[#This Row],[COMBINADA]],#REF!,6,0),0)</f>
        <v>0</v>
      </c>
      <c r="AL443" s="125">
        <f>IFERROR(VLOOKUP(DATA[[#This Row],[COMBINADA]],#REF!,9,0),0)/COUNTIFS(DATA[COMBINADA],DATA[[#This Row],[COMBINADA]])</f>
        <v>0</v>
      </c>
      <c r="AM443" s="27">
        <f>IFERROR(VLOOKUP(DATA[[#This Row],[COMBINADA]],#REF!,6,0),0)</f>
        <v>0</v>
      </c>
      <c r="AN443" s="125">
        <f>IFERROR(VLOOKUP(DATA[[#This Row],[COMBINADA]],#REF!,9,0),0)/COUNTIFS(DATA[COMBINADA],DATA[[#This Row],[COMBINADA]])</f>
        <v>0</v>
      </c>
      <c r="AO443" s="27">
        <f>IFERROR(VLOOKUP(DATA[[#This Row],[COMBINADA]],#REF!,6,0),0)</f>
        <v>0</v>
      </c>
      <c r="AP443" s="125">
        <f>IFERROR(VLOOKUP(DATA[[#This Row],[COMBINADA]],#REF!,9,0),0)/COUNTIFS(DATA[COMBINADA],DATA[[#This Row],[COMBINADA]])</f>
        <v>0</v>
      </c>
      <c r="AQ44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538.72300000000007</v>
      </c>
      <c r="AR443" s="26" t="str">
        <f>IFERROR(IF(DATA[[#This Row],[estado_fact]]="FACTURADO",VLOOKUP(DATA[[#This Row],[SERIE2]]&amp;"-"&amp;DATA[[#This Row],[NUMERO]],#REF!,34,0),"NO CORRESPONDE"),"NO CORRESPONDE")</f>
        <v>NO CORRESPONDE</v>
      </c>
      <c r="AS443" s="22" t="str">
        <f>IF(DATA[[#This Row],[fecha_fs]]&gt;0,TEXT(DATA[[#This Row],[fecha_fs]],"Mmmm"),0)</f>
        <v>Abril</v>
      </c>
      <c r="AT443" s="22" t="str">
        <f>DATA[[#This Row],[SERIE2]]&amp;"-"&amp;DATA[[#This Row],[NUMERO]]</f>
        <v>FF01-59</v>
      </c>
      <c r="AU443" s="28" t="e">
        <f>DATA[[#This Row],[TOTAL]]*DATA[[#This Row],[T.C.]]</f>
        <v>#REF!</v>
      </c>
      <c r="AV443" s="6">
        <f>DATA[[#This Row],[FECHA DE VAL.]]</f>
        <v>45772</v>
      </c>
      <c r="AW443" s="6">
        <f>DATA[[#This Row],[FECHA DE EMISION]]</f>
        <v>45777</v>
      </c>
      <c r="AX443" s="6">
        <f>DATA[[#This Row],[F1]]</f>
        <v>0</v>
      </c>
      <c r="AY443" s="20">
        <f>IF(AV443-DATA[[#This Row],[fecha_fs]]&lt;0,0,AV443-DATA[[#This Row],[fecha_fs]])</f>
        <v>24</v>
      </c>
      <c r="AZ443" s="20">
        <f t="shared" si="45"/>
        <v>5</v>
      </c>
      <c r="BA443" s="20">
        <f t="shared" si="46"/>
        <v>0</v>
      </c>
      <c r="BB443" s="195">
        <f>IFERROR(SUM(DATA[[#This Row],[fs_val_ttf]:[fact_pago_ttf]]),0)</f>
        <v>29</v>
      </c>
      <c r="BC443" s="185">
        <v>45749</v>
      </c>
      <c r="BD443" s="185">
        <v>45777</v>
      </c>
      <c r="BE443" s="185">
        <v>45786</v>
      </c>
      <c r="BF443" s="185">
        <v>45798</v>
      </c>
      <c r="BG443" s="20">
        <f>IFERROR(IF(BC443-DATA[[#This Row],[fecha_fs]]&lt;0,0,BC443-DATA[[#This Row],[fecha_fs]]),0)</f>
        <v>1</v>
      </c>
      <c r="BH443" s="20">
        <f t="shared" si="47"/>
        <v>28</v>
      </c>
      <c r="BI443" s="20">
        <f t="shared" si="48"/>
        <v>9</v>
      </c>
      <c r="BJ443" s="20">
        <f t="shared" si="49"/>
        <v>12</v>
      </c>
      <c r="BK443" s="218">
        <f>IFERROR(SUM(DATA[[#This Row],[fs_fd_ttd]:[fend_fenf_ttd]]),0)</f>
        <v>50</v>
      </c>
      <c r="BL443" s="20" t="str">
        <f>IF(DATA[[#This Row],[fecha_fs]]&gt;0,TEXT(DATA[[#This Row],[fecha_fs]],"YYYY"),0)</f>
        <v>2025</v>
      </c>
      <c r="BM443" s="221" t="b">
        <v>1</v>
      </c>
      <c r="BN443" s="278">
        <f>COUNTIF(DATA[[#This Row],[tiempo_td]], "&lt;=15")</f>
        <v>0</v>
      </c>
      <c r="BO443" s="222"/>
    </row>
    <row r="444" spans="1:67" ht="30.6" customHeight="1" x14ac:dyDescent="0.25">
      <c r="A444" s="4">
        <v>20100192064</v>
      </c>
      <c r="B444" s="5" t="s">
        <v>60</v>
      </c>
      <c r="C444" s="52" t="s">
        <v>65</v>
      </c>
      <c r="D444" s="4" t="s">
        <v>112</v>
      </c>
      <c r="E444" s="5" t="s">
        <v>1</v>
      </c>
      <c r="F444" s="24">
        <v>45748</v>
      </c>
      <c r="G444" s="7" t="s">
        <v>142</v>
      </c>
      <c r="H444" s="25">
        <f t="shared" si="44"/>
        <v>2</v>
      </c>
      <c r="I444" s="67">
        <v>1068</v>
      </c>
      <c r="J444" s="8" t="s">
        <v>115</v>
      </c>
      <c r="K444" s="9" t="s">
        <v>116</v>
      </c>
      <c r="L444" s="10" t="s">
        <v>117</v>
      </c>
      <c r="M444" s="11">
        <v>3660</v>
      </c>
      <c r="N444" s="12" t="s">
        <v>180</v>
      </c>
      <c r="O444" s="6">
        <v>45772</v>
      </c>
      <c r="P444" s="71">
        <v>3413</v>
      </c>
      <c r="Q444" s="14" t="s">
        <v>123</v>
      </c>
      <c r="R444" s="15">
        <f>(DATA[[#This Row],[cantidad_fs]]/1000)*(147+81.01)</f>
        <v>834.51660000000004</v>
      </c>
      <c r="S444" s="15">
        <v>103.6</v>
      </c>
      <c r="T444" s="15">
        <f>DATA[[#This Row],[C. DF]]+DATA[[#This Row],[C.OPE.]]</f>
        <v>938.11660000000006</v>
      </c>
      <c r="U444" s="15">
        <f>DATA[[#This Row],[SUB TOTAL]]*0.18</f>
        <v>168.86098799999999</v>
      </c>
      <c r="V444" s="15">
        <f>IFERROR(ROUND(DATA[[#This Row],[SUB TOTAL]]+DATA[[#This Row],[IGV]],2),0)</f>
        <v>1106.98</v>
      </c>
      <c r="W444" s="16" t="str">
        <f>IF(DATA[[#This Row],[VALORIZACIÓN ]]="-","NO CORRESPONDE",IF(OR(A444=20558226979,A444=10470707866,A444=20111157058,A444=20100226902),"NO CORRESPONDE",IF(J444="Emitida",IF(P444&gt;0,"EMITIDA","PENDIENTE"),"NO CORRESPONDE")))</f>
        <v>EMITIDA</v>
      </c>
      <c r="X444" s="29"/>
      <c r="Y444" s="17" t="s">
        <v>118</v>
      </c>
      <c r="Z444" s="30">
        <v>45777</v>
      </c>
      <c r="AA444" s="10" t="s">
        <v>150</v>
      </c>
      <c r="AB444" s="19">
        <v>59</v>
      </c>
      <c r="AC444" s="20">
        <v>30</v>
      </c>
      <c r="AD444" s="18">
        <f>DATA[[#This Row],[FECHA DE EMISION]]+DATA[[#This Row],[CONDICION DE PAGO]]</f>
        <v>45807</v>
      </c>
      <c r="AE444" s="23" t="e">
        <f>IF(DATA[[#This Row],[MONEDA]]="USD",VLOOKUP(DATA[[#This Row],[COMBINADA]],#REF!,11,0),1)</f>
        <v>#REF!</v>
      </c>
      <c r="AF444" s="39" t="str">
        <f>IF(DATA[[#This Row],[SERIE2]]="-","NO CORRESPONDE",IF(W444="NO CORRESPONDE","NO CORRESPONDE",IF(Z444&gt;0,"FACTURADO","PENDIENTE")))</f>
        <v>FACTURADO</v>
      </c>
      <c r="AG444" s="27">
        <f>IFERROR(VLOOKUP(DATA[[#This Row],[COMBINADA]],#REF!,6,0),0)</f>
        <v>0</v>
      </c>
      <c r="AH444" s="125">
        <f>IFERROR(VLOOKUP(DATA[[#This Row],[COMBINADA]],#REF!,9,0),0)/COUNTIFS(DATA[COMBINADA],DATA[[#This Row],[COMBINADA]])</f>
        <v>0</v>
      </c>
      <c r="AI444" s="27">
        <f>IFERROR(VLOOKUP(DATA[[#This Row],[COMBINADA]],#REF!,6,0),0)</f>
        <v>0</v>
      </c>
      <c r="AJ444" s="125">
        <f>IFERROR(VLOOKUP(DATA[[#This Row],[COMBINADA]],#REF!,9,0),0)/COUNTIFS(DATA[COMBINADA],DATA[[#This Row],[COMBINADA]])</f>
        <v>0</v>
      </c>
      <c r="AK444" s="27">
        <f>IFERROR(VLOOKUP(DATA[[#This Row],[COMBINADA]],#REF!,6,0),0)</f>
        <v>0</v>
      </c>
      <c r="AL444" s="125">
        <f>IFERROR(VLOOKUP(DATA[[#This Row],[COMBINADA]],#REF!,9,0),0)/COUNTIFS(DATA[COMBINADA],DATA[[#This Row],[COMBINADA]])</f>
        <v>0</v>
      </c>
      <c r="AM444" s="27">
        <f>IFERROR(VLOOKUP(DATA[[#This Row],[COMBINADA]],#REF!,6,0),0)</f>
        <v>0</v>
      </c>
      <c r="AN444" s="125">
        <f>IFERROR(VLOOKUP(DATA[[#This Row],[COMBINADA]],#REF!,9,0),0)/COUNTIFS(DATA[COMBINADA],DATA[[#This Row],[COMBINADA]])</f>
        <v>0</v>
      </c>
      <c r="AO444" s="27">
        <f>IFERROR(VLOOKUP(DATA[[#This Row],[COMBINADA]],#REF!,6,0),0)</f>
        <v>0</v>
      </c>
      <c r="AP444" s="125">
        <f>IFERROR(VLOOKUP(DATA[[#This Row],[COMBINADA]],#REF!,9,0),0)/COUNTIFS(DATA[COMBINADA],DATA[[#This Row],[COMBINADA]])</f>
        <v>0</v>
      </c>
      <c r="AQ44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538.72300000000007</v>
      </c>
      <c r="AR444" s="26" t="str">
        <f>IFERROR(IF(DATA[[#This Row],[estado_fact]]="FACTURADO",VLOOKUP(DATA[[#This Row],[SERIE2]]&amp;"-"&amp;DATA[[#This Row],[NUMERO]],#REF!,34,0),"NO CORRESPONDE"),"NO CORRESPONDE")</f>
        <v>NO CORRESPONDE</v>
      </c>
      <c r="AS444" s="22" t="str">
        <f>IF(DATA[[#This Row],[fecha_fs]]&gt;0,TEXT(DATA[[#This Row],[fecha_fs]],"Mmmm"),0)</f>
        <v>Abril</v>
      </c>
      <c r="AT444" s="22" t="str">
        <f>DATA[[#This Row],[SERIE2]]&amp;"-"&amp;DATA[[#This Row],[NUMERO]]</f>
        <v>FF01-59</v>
      </c>
      <c r="AU444" s="28" t="e">
        <f>DATA[[#This Row],[TOTAL]]*DATA[[#This Row],[T.C.]]</f>
        <v>#REF!</v>
      </c>
      <c r="AV444" s="6">
        <f>DATA[[#This Row],[FECHA DE VAL.]]</f>
        <v>45772</v>
      </c>
      <c r="AW444" s="6">
        <f>DATA[[#This Row],[FECHA DE EMISION]]</f>
        <v>45777</v>
      </c>
      <c r="AX444" s="6">
        <f>DATA[[#This Row],[F1]]</f>
        <v>0</v>
      </c>
      <c r="AY444" s="20">
        <f>IF(AV444-DATA[[#This Row],[fecha_fs]]&lt;0,0,AV444-DATA[[#This Row],[fecha_fs]])</f>
        <v>24</v>
      </c>
      <c r="AZ444" s="20">
        <f t="shared" si="45"/>
        <v>5</v>
      </c>
      <c r="BA444" s="20">
        <f t="shared" si="46"/>
        <v>0</v>
      </c>
      <c r="BB444" s="195">
        <f>IFERROR(SUM(DATA[[#This Row],[fs_val_ttf]:[fact_pago_ttf]]),0)</f>
        <v>29</v>
      </c>
      <c r="BC444" s="185">
        <v>45748</v>
      </c>
      <c r="BD444" s="185">
        <v>45751</v>
      </c>
      <c r="BE444" s="185">
        <v>45785</v>
      </c>
      <c r="BF444" s="185">
        <v>45798</v>
      </c>
      <c r="BG444" s="20">
        <f>IFERROR(IF(BC444-DATA[[#This Row],[fecha_fs]]&lt;0,0,BC444-DATA[[#This Row],[fecha_fs]]),0)</f>
        <v>0</v>
      </c>
      <c r="BH444" s="20">
        <f t="shared" si="47"/>
        <v>3</v>
      </c>
      <c r="BI444" s="20">
        <f t="shared" si="48"/>
        <v>34</v>
      </c>
      <c r="BJ444" s="20">
        <f t="shared" si="49"/>
        <v>13</v>
      </c>
      <c r="BK444" s="218">
        <f>IFERROR(SUM(DATA[[#This Row],[fs_fd_ttd]:[fend_fenf_ttd]]),0)</f>
        <v>50</v>
      </c>
      <c r="BL444" s="20" t="str">
        <f>IF(DATA[[#This Row],[fecha_fs]]&gt;0,TEXT(DATA[[#This Row],[fecha_fs]],"YYYY"),0)</f>
        <v>2025</v>
      </c>
      <c r="BM444" s="221" t="b">
        <v>1</v>
      </c>
      <c r="BN444" s="278">
        <f>COUNTIF(DATA[[#This Row],[tiempo_td]], "&lt;=15")</f>
        <v>0</v>
      </c>
      <c r="BO444" s="222"/>
    </row>
    <row r="445" spans="1:67" ht="30.6" customHeight="1" x14ac:dyDescent="0.25">
      <c r="A445" s="4">
        <v>20558353814</v>
      </c>
      <c r="B445" s="5" t="s">
        <v>275</v>
      </c>
      <c r="C445" s="52" t="s">
        <v>194</v>
      </c>
      <c r="D445" s="4" t="s">
        <v>290</v>
      </c>
      <c r="E445" s="5" t="s">
        <v>294</v>
      </c>
      <c r="F445" s="24">
        <v>45748</v>
      </c>
      <c r="G445" s="7" t="s">
        <v>142</v>
      </c>
      <c r="H445" s="25">
        <f t="shared" ref="H445:H508" si="50">IF(G445="","",IF(G445="LIM",2,1))</f>
        <v>2</v>
      </c>
      <c r="I445" s="67">
        <v>1069</v>
      </c>
      <c r="J445" s="8" t="s">
        <v>115</v>
      </c>
      <c r="K445" s="9" t="s">
        <v>195</v>
      </c>
      <c r="L445" s="10" t="s">
        <v>117</v>
      </c>
      <c r="M445" s="11">
        <v>3370</v>
      </c>
      <c r="N445" s="12" t="s">
        <v>180</v>
      </c>
      <c r="O445" s="6">
        <v>45749</v>
      </c>
      <c r="P445" s="13">
        <v>3380</v>
      </c>
      <c r="Q445" s="14" t="s">
        <v>85</v>
      </c>
      <c r="R445" s="15">
        <v>350</v>
      </c>
      <c r="S445" s="15">
        <v>1762</v>
      </c>
      <c r="T445" s="15">
        <f>DATA[[#This Row],[C. DF]]+DATA[[#This Row],[C.OPE.]]</f>
        <v>2112</v>
      </c>
      <c r="U445" s="15">
        <f>DATA[[#This Row],[SUB TOTAL]]*0.18</f>
        <v>380.15999999999997</v>
      </c>
      <c r="V445" s="15">
        <f>IFERROR(ROUND(DATA[[#This Row],[SUB TOTAL]]+DATA[[#This Row],[IGV]],2),0)</f>
        <v>2492.16</v>
      </c>
      <c r="W445" s="16" t="str">
        <f>IF(DATA[[#This Row],[VALORIZACIÓN ]]="-","NO CORRESPONDE",IF(OR(A445=20558226979,A445=10470707866,A445=20111157058,A445=20100226902),"NO CORRESPONDE",IF(J445="Emitida",IF(P445&gt;0,"EMITIDA","PENDIENTE"),"NO CORRESPONDE")))</f>
        <v>EMITIDA</v>
      </c>
      <c r="X445" s="29"/>
      <c r="Y445" s="17" t="s">
        <v>118</v>
      </c>
      <c r="Z445" s="30">
        <v>45762</v>
      </c>
      <c r="AA445" s="10" t="s">
        <v>150</v>
      </c>
      <c r="AB445" s="19">
        <v>34</v>
      </c>
      <c r="AC445" s="20">
        <v>15</v>
      </c>
      <c r="AD445" s="18">
        <f>DATA[[#This Row],[FECHA DE EMISION]]+DATA[[#This Row],[CONDICION DE PAGO]]</f>
        <v>45777</v>
      </c>
      <c r="AE445" s="23">
        <f>IF(DATA[[#This Row],[MONEDA]]="USD",VLOOKUP(DATA[[#This Row],[COMBINADA]],#REF!,11,0),1)</f>
        <v>1</v>
      </c>
      <c r="AF445" s="39" t="str">
        <f>IF(DATA[[#This Row],[SERIE2]]="-","NO CORRESPONDE",IF(W445="NO CORRESPONDE","NO CORRESPONDE",IF(Z445&gt;0,"FACTURADO","PENDIENTE")))</f>
        <v>FACTURADO</v>
      </c>
      <c r="AG445" s="27">
        <f>IFERROR(VLOOKUP(DATA[[#This Row],[COMBINADA]],#REF!,6,0),0)</f>
        <v>0</v>
      </c>
      <c r="AH445" s="125">
        <f>IFERROR(VLOOKUP(DATA[[#This Row],[COMBINADA]],#REF!,9,0),0)/COUNTIFS(DATA[COMBINADA],DATA[[#This Row],[COMBINADA]])</f>
        <v>0</v>
      </c>
      <c r="AI445" s="27">
        <f>IFERROR(VLOOKUP(DATA[[#This Row],[COMBINADA]],#REF!,6,0),0)</f>
        <v>0</v>
      </c>
      <c r="AJ445" s="125">
        <f>IFERROR(VLOOKUP(DATA[[#This Row],[COMBINADA]],#REF!,9,0),0)/COUNTIFS(DATA[COMBINADA],DATA[[#This Row],[COMBINADA]])</f>
        <v>0</v>
      </c>
      <c r="AK445" s="27">
        <f>IFERROR(VLOOKUP(DATA[[#This Row],[COMBINADA]],#REF!,6,0),0)</f>
        <v>0</v>
      </c>
      <c r="AL445" s="125">
        <f>IFERROR(VLOOKUP(DATA[[#This Row],[COMBINADA]],#REF!,9,0),0)/COUNTIFS(DATA[COMBINADA],DATA[[#This Row],[COMBINADA]])</f>
        <v>0</v>
      </c>
      <c r="AM445" s="27">
        <f>IFERROR(VLOOKUP(DATA[[#This Row],[COMBINADA]],#REF!,6,0),0)</f>
        <v>0</v>
      </c>
      <c r="AN445" s="125">
        <f>IFERROR(VLOOKUP(DATA[[#This Row],[COMBINADA]],#REF!,9,0),0)/COUNTIFS(DATA[COMBINADA],DATA[[#This Row],[COMBINADA]])</f>
        <v>0</v>
      </c>
      <c r="AO445" s="27">
        <f>IFERROR(VLOOKUP(DATA[[#This Row],[COMBINADA]],#REF!,6,0),0)</f>
        <v>0</v>
      </c>
      <c r="AP445" s="125">
        <f>IFERROR(VLOOKUP(DATA[[#This Row],[COMBINADA]],#REF!,9,0),0)/COUNTIFS(DATA[COMBINADA],DATA[[#This Row],[COMBINADA]])</f>
        <v>0</v>
      </c>
      <c r="AQ44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2492.16</v>
      </c>
      <c r="AR445" s="26" t="str">
        <f>IFERROR(IF(DATA[[#This Row],[estado_fact]]="FACTURADO",VLOOKUP(DATA[[#This Row],[SERIE2]]&amp;"-"&amp;DATA[[#This Row],[NUMERO]],#REF!,34,0),"NO CORRESPONDE"),"NO CORRESPONDE")</f>
        <v>NO CORRESPONDE</v>
      </c>
      <c r="AS445" s="22" t="str">
        <f>IF(DATA[[#This Row],[fecha_fs]]&gt;0,TEXT(DATA[[#This Row],[fecha_fs]],"Mmmm"),0)</f>
        <v>Abril</v>
      </c>
      <c r="AT445" s="22" t="str">
        <f>DATA[[#This Row],[SERIE2]]&amp;"-"&amp;DATA[[#This Row],[NUMERO]]</f>
        <v>FF01-34</v>
      </c>
      <c r="AU445" s="28">
        <f>DATA[[#This Row],[TOTAL]]*DATA[[#This Row],[T.C.]]</f>
        <v>2492.16</v>
      </c>
      <c r="AV445" s="6">
        <f>DATA[[#This Row],[FECHA DE VAL.]]</f>
        <v>45749</v>
      </c>
      <c r="AW445" s="6">
        <f>DATA[[#This Row],[FECHA DE EMISION]]</f>
        <v>45762</v>
      </c>
      <c r="AX445" s="6">
        <f>DATA[[#This Row],[F1]]</f>
        <v>0</v>
      </c>
      <c r="AY445" s="20">
        <f>IF(AV445-DATA[[#This Row],[fecha_fs]]&lt;0,0,AV445-DATA[[#This Row],[fecha_fs]])</f>
        <v>1</v>
      </c>
      <c r="AZ445" s="20">
        <f t="shared" si="45"/>
        <v>13</v>
      </c>
      <c r="BA445" s="20">
        <f t="shared" si="46"/>
        <v>0</v>
      </c>
      <c r="BB445" s="195">
        <f>IFERROR(SUM(DATA[[#This Row],[fs_val_ttf]:[fact_pago_ttf]]),0)</f>
        <v>14</v>
      </c>
      <c r="BC445" s="185">
        <v>45758</v>
      </c>
      <c r="BD445" s="185">
        <v>45777</v>
      </c>
      <c r="BE445" s="185">
        <v>45786</v>
      </c>
      <c r="BF445" s="185">
        <v>45798</v>
      </c>
      <c r="BG445" s="20">
        <f>IFERROR(IF(BC445-DATA[[#This Row],[fecha_fs]]&lt;0,0,BC445-DATA[[#This Row],[fecha_fs]]),0)</f>
        <v>10</v>
      </c>
      <c r="BH445" s="20">
        <f t="shared" si="47"/>
        <v>19</v>
      </c>
      <c r="BI445" s="20">
        <f t="shared" si="48"/>
        <v>9</v>
      </c>
      <c r="BJ445" s="20">
        <f t="shared" si="49"/>
        <v>12</v>
      </c>
      <c r="BK445" s="218">
        <f>IFERROR(SUM(DATA[[#This Row],[fs_fd_ttd]:[fend_fenf_ttd]]),0)</f>
        <v>50</v>
      </c>
      <c r="BL445" s="20" t="str">
        <f>IF(DATA[[#This Row],[fecha_fs]]&gt;0,TEXT(DATA[[#This Row],[fecha_fs]],"YYYY"),0)</f>
        <v>2025</v>
      </c>
      <c r="BM445" s="221" t="b">
        <v>1</v>
      </c>
      <c r="BN445" s="278">
        <f>COUNTIF(DATA[[#This Row],[tiempo_td]], "&lt;=15")</f>
        <v>0</v>
      </c>
      <c r="BO445" s="222"/>
    </row>
    <row r="446" spans="1:67" ht="30" customHeight="1" x14ac:dyDescent="0.25">
      <c r="A446" s="4"/>
      <c r="B446" s="5" t="s">
        <v>0</v>
      </c>
      <c r="C446" s="52"/>
      <c r="D446" s="4"/>
      <c r="E446" s="5" t="s">
        <v>0</v>
      </c>
      <c r="F446" s="24">
        <v>45747</v>
      </c>
      <c r="G446" s="7" t="s">
        <v>113</v>
      </c>
      <c r="H446" s="25">
        <f t="shared" si="50"/>
        <v>1</v>
      </c>
      <c r="I446" s="67">
        <v>4315</v>
      </c>
      <c r="J446" s="8" t="s">
        <v>173</v>
      </c>
      <c r="K446" s="9"/>
      <c r="L446" s="10"/>
      <c r="M446" s="111"/>
      <c r="N446" s="112"/>
      <c r="O446" s="6"/>
      <c r="P446" s="13" t="s">
        <v>114</v>
      </c>
      <c r="Q446" s="14"/>
      <c r="R446" s="43"/>
      <c r="S446" s="43"/>
      <c r="T446" s="56">
        <f>DATA[[#This Row],[C. DF]]+DATA[[#This Row],[C.OPE.]]</f>
        <v>0</v>
      </c>
      <c r="U446" s="73">
        <f>DATA[[#This Row],[SUB TOTAL]]*0.18</f>
        <v>0</v>
      </c>
      <c r="V446" s="45">
        <f>IFERROR(ROUND(DATA[[#This Row],[SUB TOTAL]]+DATA[[#This Row],[IGV]],2),0)</f>
        <v>0</v>
      </c>
      <c r="W446" s="58" t="str">
        <f>IF(DATA[[#This Row],[VALORIZACIÓN ]]="-","NO CORRESPONDE",IF(OR(A446=20558226979,A446=10470707866,A446=20111157058,A446=20100226902),"NO CORRESPONDE",IF(J446="Emitida",IF(P446&gt;0,"EMITIDA","PENDIENTE"),"NO CORRESPONDE")))</f>
        <v>NO CORRESPONDE</v>
      </c>
      <c r="X446" s="46"/>
      <c r="Y446" s="17" t="s">
        <v>128</v>
      </c>
      <c r="Z446" s="48"/>
      <c r="AA446" s="49"/>
      <c r="AB446" s="50"/>
      <c r="AC446" s="51"/>
      <c r="AD446" s="59">
        <f>DATA[[#This Row],[FECHA DE EMISION]]+DATA[[#This Row],[CONDICION DE PAGO]]</f>
        <v>0</v>
      </c>
      <c r="AE446" s="23">
        <f>IF(DATA[[#This Row],[MONEDA]]="USD",VLOOKUP(DATA[[#This Row],[COMBINADA]],#REF!,11,0),1)</f>
        <v>1</v>
      </c>
      <c r="AF446" s="39" t="str">
        <f>IF(DATA[[#This Row],[SERIE2]]="-","NO CORRESPONDE",IF(W446="NO CORRESPONDE","NO CORRESPONDE",IF(Z446&gt;0,"FACTURADO","PENDIENTE")))</f>
        <v>NO CORRESPONDE</v>
      </c>
      <c r="AG446" s="61">
        <f>IFERROR(VLOOKUP(DATA[[#This Row],[COMBINADA]],#REF!,6,0),0)</f>
        <v>0</v>
      </c>
      <c r="AH446" s="62">
        <f>IFERROR(VLOOKUP(DATA[[#This Row],[COMBINADA]],#REF!,9,0),0)/COUNTIFS(DATA[COMBINADA],DATA[[#This Row],[COMBINADA]])</f>
        <v>0</v>
      </c>
      <c r="AI446" s="61">
        <f>IFERROR(VLOOKUP(DATA[[#This Row],[COMBINADA]],#REF!,6,0),0)</f>
        <v>0</v>
      </c>
      <c r="AJ446" s="62">
        <f>IFERROR(VLOOKUP(DATA[[#This Row],[COMBINADA]],#REF!,9,0),0)/COUNTIFS(DATA[COMBINADA],DATA[[#This Row],[COMBINADA]])</f>
        <v>0</v>
      </c>
      <c r="AK446" s="61">
        <f>IFERROR(VLOOKUP(DATA[[#This Row],[COMBINADA]],#REF!,6,0),0)</f>
        <v>0</v>
      </c>
      <c r="AL446" s="62">
        <f>IFERROR(VLOOKUP(DATA[[#This Row],[COMBINADA]],#REF!,9,0),0)/COUNTIFS(DATA[COMBINADA],DATA[[#This Row],[COMBINADA]])</f>
        <v>0</v>
      </c>
      <c r="AM446" s="61">
        <f>IFERROR(VLOOKUP(DATA[[#This Row],[COMBINADA]],#REF!,6,0),0)</f>
        <v>0</v>
      </c>
      <c r="AN446" s="62">
        <f>IFERROR(VLOOKUP(DATA[[#This Row],[COMBINADA]],#REF!,9,0),0)/COUNTIFS(DATA[COMBINADA],DATA[[#This Row],[COMBINADA]])</f>
        <v>0</v>
      </c>
      <c r="AO446" s="61">
        <f>IFERROR(VLOOKUP(DATA[[#This Row],[COMBINADA]],#REF!,6,0),0)</f>
        <v>0</v>
      </c>
      <c r="AP446" s="62">
        <f>IFERROR(VLOOKUP(DATA[[#This Row],[COMBINADA]],#REF!,9,0),0)/COUNTIFS(DATA[COMBINADA],DATA[[#This Row],[COMBINADA]])</f>
        <v>0</v>
      </c>
      <c r="AQ446"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446" s="22" t="str">
        <f>IFERROR(IF(DATA[[#This Row],[estado_fact]]="FACTURADO",VLOOKUP(DATA[[#This Row],[SERIE2]]&amp;"-"&amp;DATA[[#This Row],[NUMERO]],#REF!,34,0),"NO CORRESPONDE"),"NO CORRESPONDE")</f>
        <v>NO CORRESPONDE</v>
      </c>
      <c r="AS446" s="198" t="str">
        <f>IF(DATA[[#This Row],[fecha_fs]]&gt;0,TEXT(DATA[[#This Row],[fecha_fs]],"Mmmm"),0)</f>
        <v>Marzo</v>
      </c>
      <c r="AT446" s="199" t="str">
        <f>DATA[[#This Row],[SERIE2]]&amp;"-"&amp;DATA[[#This Row],[NUMERO]]</f>
        <v>-</v>
      </c>
      <c r="AU446" s="198">
        <f>DATA[[#This Row],[TOTAL]]*DATA[[#This Row],[T.C.]]</f>
        <v>0</v>
      </c>
      <c r="AV446" s="40">
        <f>DATA[[#This Row],[FECHA DE VAL.]]</f>
        <v>0</v>
      </c>
      <c r="AW446" s="40">
        <f>DATA[[#This Row],[FECHA DE EMISION]]</f>
        <v>0</v>
      </c>
      <c r="AX446" s="40">
        <f>DATA[[#This Row],[F1]]</f>
        <v>0</v>
      </c>
      <c r="AY446" s="49">
        <f>IF(AV446-DATA[[#This Row],[fecha_fs]]&lt;0,0,AV446-DATA[[#This Row],[fecha_fs]])</f>
        <v>0</v>
      </c>
      <c r="AZ446" s="49">
        <f t="shared" ref="AZ446:AZ509" si="51">IF(AW446-AV446&lt;0,0,AW446-AV446)</f>
        <v>0</v>
      </c>
      <c r="BA446" s="49">
        <f t="shared" ref="BA446:BA509" si="52">IF(AX446-AW446&lt;0,0,AX446-AW446)</f>
        <v>0</v>
      </c>
      <c r="BB446" s="195">
        <f>IFERROR(SUM(DATA[[#This Row],[fs_val_ttf]:[fact_pago_ttf]]),0)</f>
        <v>0</v>
      </c>
      <c r="BC446" s="202"/>
      <c r="BD446" s="202"/>
      <c r="BE446" s="202"/>
      <c r="BF446" s="202"/>
      <c r="BG446" s="49">
        <f>IFERROR(IF(BC446-DATA[[#This Row],[fecha_fs]]&lt;0,0,BC446-DATA[[#This Row],[fecha_fs]]),0)</f>
        <v>0</v>
      </c>
      <c r="BH446" s="49">
        <f t="shared" si="47"/>
        <v>0</v>
      </c>
      <c r="BI446" s="49">
        <f t="shared" si="48"/>
        <v>0</v>
      </c>
      <c r="BJ446" s="49">
        <f t="shared" si="49"/>
        <v>0</v>
      </c>
      <c r="BK446" s="218">
        <f>IFERROR(SUM(DATA[[#This Row],[fs_fd_ttd]:[fend_fenf_ttd]]),0)</f>
        <v>0</v>
      </c>
      <c r="BL446" s="20" t="str">
        <f>IF(DATA[[#This Row],[fecha_fs]]&gt;0,TEXT(DATA[[#This Row],[fecha_fs]],"YYYY"),0)</f>
        <v>2025</v>
      </c>
      <c r="BM446" s="221" t="b">
        <v>0</v>
      </c>
      <c r="BN446" s="278"/>
      <c r="BO446" s="222"/>
    </row>
    <row r="447" spans="1:67" ht="30.6" customHeight="1" x14ac:dyDescent="0.25">
      <c r="A447" s="4">
        <v>20141637941</v>
      </c>
      <c r="B447" s="5" t="s">
        <v>79</v>
      </c>
      <c r="C447" s="52" t="s">
        <v>18</v>
      </c>
      <c r="D447" s="4" t="s">
        <v>120</v>
      </c>
      <c r="E447" s="5" t="s">
        <v>3</v>
      </c>
      <c r="F447" s="24">
        <v>45749</v>
      </c>
      <c r="G447" s="7" t="s">
        <v>113</v>
      </c>
      <c r="H447" s="25">
        <f t="shared" si="50"/>
        <v>1</v>
      </c>
      <c r="I447" s="67">
        <v>4316</v>
      </c>
      <c r="J447" s="8" t="s">
        <v>115</v>
      </c>
      <c r="K447" s="9" t="s">
        <v>121</v>
      </c>
      <c r="L447" s="10" t="s">
        <v>117</v>
      </c>
      <c r="M447" s="11">
        <v>1080</v>
      </c>
      <c r="N447" s="12" t="s">
        <v>125</v>
      </c>
      <c r="O447" s="6">
        <v>45758</v>
      </c>
      <c r="P447" s="110">
        <v>3392</v>
      </c>
      <c r="Q447" s="14" t="s">
        <v>85</v>
      </c>
      <c r="R447" s="15">
        <f>70+(DATA[[#This Row],[cantidad_fs]]-1000)*0.1</f>
        <v>78</v>
      </c>
      <c r="S447" s="15">
        <v>517</v>
      </c>
      <c r="T447" s="15">
        <f>DATA[[#This Row],[C. DF]]+DATA[[#This Row],[C.OPE.]]</f>
        <v>595</v>
      </c>
      <c r="U447" s="15">
        <f>DATA[[#This Row],[SUB TOTAL]]*0.18</f>
        <v>107.1</v>
      </c>
      <c r="V447" s="15">
        <f>IFERROR(ROUND(DATA[[#This Row],[SUB TOTAL]]+DATA[[#This Row],[IGV]],2),0)</f>
        <v>702.1</v>
      </c>
      <c r="W447" s="16" t="str">
        <f>IF(DATA[[#This Row],[VALORIZACIÓN ]]="-","NO CORRESPONDE",IF(OR(A447=20558226979,A447=10470707866,A447=20111157058,A447=20100226902),"NO CORRESPONDE",IF(J447="Emitida",IF(P447&gt;0,"EMITIDA","PENDIENTE"),"NO CORRESPONDE")))</f>
        <v>EMITIDA</v>
      </c>
      <c r="X447" s="29"/>
      <c r="Y447" s="17" t="s">
        <v>118</v>
      </c>
      <c r="Z447" s="30">
        <v>45763</v>
      </c>
      <c r="AA447" s="10" t="s">
        <v>150</v>
      </c>
      <c r="AB447" s="19">
        <v>40</v>
      </c>
      <c r="AC447" s="20">
        <v>30</v>
      </c>
      <c r="AD447" s="18">
        <f>DATA[[#This Row],[FECHA DE EMISION]]+DATA[[#This Row],[CONDICION DE PAGO]]</f>
        <v>45793</v>
      </c>
      <c r="AE447" s="23">
        <f>IF(DATA[[#This Row],[MONEDA]]="USD",VLOOKUP(DATA[[#This Row],[COMBINADA]],#REF!,11,0),1)</f>
        <v>1</v>
      </c>
      <c r="AF447" s="39" t="str">
        <f>IF(DATA[[#This Row],[SERIE2]]="-","NO CORRESPONDE",IF(W447="NO CORRESPONDE","NO CORRESPONDE",IF(Z447&gt;0,"FACTURADO","PENDIENTE")))</f>
        <v>FACTURADO</v>
      </c>
      <c r="AG447" s="27">
        <f>IFERROR(VLOOKUP(DATA[[#This Row],[COMBINADA]],#REF!,6,0),0)</f>
        <v>0</v>
      </c>
      <c r="AH447" s="125">
        <f>IFERROR(VLOOKUP(DATA[[#This Row],[COMBINADA]],#REF!,9,0),0)/COUNTIFS(DATA[COMBINADA],DATA[[#This Row],[COMBINADA]])</f>
        <v>0</v>
      </c>
      <c r="AI447" s="27">
        <f>IFERROR(VLOOKUP(DATA[[#This Row],[COMBINADA]],#REF!,6,0),0)</f>
        <v>0</v>
      </c>
      <c r="AJ447" s="125">
        <f>IFERROR(VLOOKUP(DATA[[#This Row],[COMBINADA]],#REF!,9,0),0)/COUNTIFS(DATA[COMBINADA],DATA[[#This Row],[COMBINADA]])</f>
        <v>0</v>
      </c>
      <c r="AK447" s="27">
        <f>IFERROR(VLOOKUP(DATA[[#This Row],[COMBINADA]],#REF!,6,0),0)</f>
        <v>0</v>
      </c>
      <c r="AL447" s="125">
        <f>IFERROR(VLOOKUP(DATA[[#This Row],[COMBINADA]],#REF!,9,0),0)/COUNTIFS(DATA[COMBINADA],DATA[[#This Row],[COMBINADA]])</f>
        <v>0</v>
      </c>
      <c r="AM447" s="27">
        <f>IFERROR(VLOOKUP(DATA[[#This Row],[COMBINADA]],#REF!,6,0),0)</f>
        <v>0</v>
      </c>
      <c r="AN447" s="125">
        <f>IFERROR(VLOOKUP(DATA[[#This Row],[COMBINADA]],#REF!,9,0),0)/COUNTIFS(DATA[COMBINADA],DATA[[#This Row],[COMBINADA]])</f>
        <v>0</v>
      </c>
      <c r="AO447" s="27">
        <f>IFERROR(VLOOKUP(DATA[[#This Row],[COMBINADA]],#REF!,6,0),0)</f>
        <v>0</v>
      </c>
      <c r="AP447" s="125">
        <f>IFERROR(VLOOKUP(DATA[[#This Row],[COMBINADA]],#REF!,9,0),0)/COUNTIFS(DATA[COMBINADA],DATA[[#This Row],[COMBINADA]])</f>
        <v>0</v>
      </c>
      <c r="AQ44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732.30800000000011</v>
      </c>
      <c r="AR447" s="26" t="str">
        <f>IFERROR(IF(DATA[[#This Row],[estado_fact]]="FACTURADO",VLOOKUP(DATA[[#This Row],[SERIE2]]&amp;"-"&amp;DATA[[#This Row],[NUMERO]],#REF!,34,0),"NO CORRESPONDE"),"NO CORRESPONDE")</f>
        <v>NO CORRESPONDE</v>
      </c>
      <c r="AS447" s="22" t="str">
        <f>IF(DATA[[#This Row],[fecha_fs]]&gt;0,TEXT(DATA[[#This Row],[fecha_fs]],"Mmmm"),0)</f>
        <v>Abril</v>
      </c>
      <c r="AT447" s="22" t="str">
        <f>DATA[[#This Row],[SERIE2]]&amp;"-"&amp;DATA[[#This Row],[NUMERO]]</f>
        <v>FF01-40</v>
      </c>
      <c r="AU447" s="28">
        <f>DATA[[#This Row],[TOTAL]]*DATA[[#This Row],[T.C.]]</f>
        <v>702.1</v>
      </c>
      <c r="AV447" s="6">
        <f>DATA[[#This Row],[FECHA DE VAL.]]</f>
        <v>45758</v>
      </c>
      <c r="AW447" s="6">
        <f>DATA[[#This Row],[FECHA DE EMISION]]</f>
        <v>45763</v>
      </c>
      <c r="AX447" s="6">
        <f>DATA[[#This Row],[F1]]</f>
        <v>0</v>
      </c>
      <c r="AY447" s="20">
        <f>IF(AV447-DATA[[#This Row],[fecha_fs]]&lt;0,0,AV447-DATA[[#This Row],[fecha_fs]])</f>
        <v>9</v>
      </c>
      <c r="AZ447" s="20">
        <f t="shared" si="51"/>
        <v>5</v>
      </c>
      <c r="BA447" s="20">
        <f t="shared" si="52"/>
        <v>0</v>
      </c>
      <c r="BB447" s="195">
        <f>IFERROR(SUM(DATA[[#This Row],[fs_val_ttf]:[fact_pago_ttf]]),0)</f>
        <v>14</v>
      </c>
      <c r="BC447" s="185">
        <v>45749</v>
      </c>
      <c r="BD447" s="185">
        <v>45749</v>
      </c>
      <c r="BE447" s="185">
        <v>45763</v>
      </c>
      <c r="BF447" s="185">
        <v>45763</v>
      </c>
      <c r="BG447" s="20">
        <f>IFERROR(IF(BC447-DATA[[#This Row],[fecha_fs]]&lt;0,0,BC447-DATA[[#This Row],[fecha_fs]]),0)</f>
        <v>0</v>
      </c>
      <c r="BH447" s="20">
        <f t="shared" si="47"/>
        <v>0</v>
      </c>
      <c r="BI447" s="20">
        <f t="shared" si="48"/>
        <v>14</v>
      </c>
      <c r="BJ447" s="20">
        <f t="shared" si="49"/>
        <v>0</v>
      </c>
      <c r="BK447" s="218">
        <f>IFERROR(SUM(DATA[[#This Row],[fs_fd_ttd]:[fend_fenf_ttd]]),0)</f>
        <v>14</v>
      </c>
      <c r="BL447" s="20" t="str">
        <f>IF(DATA[[#This Row],[fecha_fs]]&gt;0,TEXT(DATA[[#This Row],[fecha_fs]],"YYYY"),0)</f>
        <v>2025</v>
      </c>
      <c r="BM447" s="221" t="b">
        <v>1</v>
      </c>
      <c r="BN447" s="278">
        <f>COUNTIF(DATA[[#This Row],[tiempo_td]], "&lt;=15")</f>
        <v>1</v>
      </c>
      <c r="BO447" s="222"/>
    </row>
    <row r="448" spans="1:67" ht="30.6" customHeight="1" x14ac:dyDescent="0.25">
      <c r="A448" s="4">
        <v>20509128686</v>
      </c>
      <c r="B448" s="5" t="s">
        <v>34</v>
      </c>
      <c r="C448" s="52" t="s">
        <v>227</v>
      </c>
      <c r="D448" s="4" t="s">
        <v>139</v>
      </c>
      <c r="E448" s="5" t="s">
        <v>23</v>
      </c>
      <c r="F448" s="24">
        <v>45748</v>
      </c>
      <c r="G448" s="7" t="s">
        <v>113</v>
      </c>
      <c r="H448" s="25">
        <f t="shared" si="50"/>
        <v>1</v>
      </c>
      <c r="I448" s="67">
        <v>4317</v>
      </c>
      <c r="J448" s="8" t="s">
        <v>115</v>
      </c>
      <c r="K448" s="9" t="s">
        <v>153</v>
      </c>
      <c r="L448" s="10" t="s">
        <v>117</v>
      </c>
      <c r="M448" s="11">
        <v>8330</v>
      </c>
      <c r="N448" s="12" t="s">
        <v>228</v>
      </c>
      <c r="O448" s="6">
        <v>45749</v>
      </c>
      <c r="P448" s="13">
        <v>3381</v>
      </c>
      <c r="Q448" s="14" t="s">
        <v>85</v>
      </c>
      <c r="R448" s="74"/>
      <c r="S448" s="56">
        <v>5172.45</v>
      </c>
      <c r="T448" s="15">
        <f>DATA[[#This Row],[C. DF]]+DATA[[#This Row],[C.OPE.]]</f>
        <v>5172.45</v>
      </c>
      <c r="U448" s="15">
        <f>DATA[[#This Row],[SUB TOTAL]]*0.18</f>
        <v>931.04099999999994</v>
      </c>
      <c r="V448" s="15">
        <f>IFERROR(ROUND(DATA[[#This Row],[SUB TOTAL]]+DATA[[#This Row],[IGV]],2),0)</f>
        <v>6103.49</v>
      </c>
      <c r="W448" s="16" t="str">
        <f>IF(DATA[[#This Row],[VALORIZACIÓN ]]="-","NO CORRESPONDE",IF(OR(A448=20558226979,A448=10470707866,A448=20111157058,A448=20100226902),"NO CORRESPONDE",IF(J448="Emitida",IF(P448&gt;0,"EMITIDA","PENDIENTE"),"NO CORRESPONDE")))</f>
        <v>EMITIDA</v>
      </c>
      <c r="X448" s="29"/>
      <c r="Y448" s="17" t="s">
        <v>118</v>
      </c>
      <c r="Z448" s="30">
        <v>45763</v>
      </c>
      <c r="AA448" s="10" t="s">
        <v>150</v>
      </c>
      <c r="AB448" s="19">
        <v>37</v>
      </c>
      <c r="AC448" s="20">
        <v>7</v>
      </c>
      <c r="AD448" s="18">
        <f>DATA[[#This Row],[FECHA DE EMISION]]+DATA[[#This Row],[CONDICION DE PAGO]]</f>
        <v>45770</v>
      </c>
      <c r="AE448" s="23">
        <f>IF(DATA[[#This Row],[MONEDA]]="USD",VLOOKUP(DATA[[#This Row],[COMBINADA]],#REF!,11,0),1)</f>
        <v>1</v>
      </c>
      <c r="AF448" s="39" t="str">
        <f>IF(DATA[[#This Row],[SERIE2]]="-","NO CORRESPONDE",IF(W448="NO CORRESPONDE","NO CORRESPONDE",IF(Z448&gt;0,"FACTURADO","PENDIENTE")))</f>
        <v>FACTURADO</v>
      </c>
      <c r="AG448" s="27">
        <f>IFERROR(VLOOKUP(DATA[[#This Row],[COMBINADA]],#REF!,6,0),0)</f>
        <v>0</v>
      </c>
      <c r="AH448" s="125">
        <f>IFERROR(VLOOKUP(DATA[[#This Row],[COMBINADA]],#REF!,9,0),0)/COUNTIFS(DATA[COMBINADA],DATA[[#This Row],[COMBINADA]])</f>
        <v>0</v>
      </c>
      <c r="AI448" s="27">
        <f>IFERROR(VLOOKUP(DATA[[#This Row],[COMBINADA]],#REF!,6,0),0)</f>
        <v>0</v>
      </c>
      <c r="AJ448" s="125">
        <f>IFERROR(VLOOKUP(DATA[[#This Row],[COMBINADA]],#REF!,9,0),0)/COUNTIFS(DATA[COMBINADA],DATA[[#This Row],[COMBINADA]])</f>
        <v>0</v>
      </c>
      <c r="AK448" s="27">
        <f>IFERROR(VLOOKUP(DATA[[#This Row],[COMBINADA]],#REF!,6,0),0)</f>
        <v>0</v>
      </c>
      <c r="AL448" s="125">
        <f>IFERROR(VLOOKUP(DATA[[#This Row],[COMBINADA]],#REF!,9,0),0)/COUNTIFS(DATA[COMBINADA],DATA[[#This Row],[COMBINADA]])</f>
        <v>0</v>
      </c>
      <c r="AM448" s="27">
        <f>IFERROR(VLOOKUP(DATA[[#This Row],[COMBINADA]],#REF!,6,0),0)</f>
        <v>0</v>
      </c>
      <c r="AN448" s="125">
        <f>IFERROR(VLOOKUP(DATA[[#This Row],[COMBINADA]],#REF!,9,0),0)/COUNTIFS(DATA[COMBINADA],DATA[[#This Row],[COMBINADA]])</f>
        <v>0</v>
      </c>
      <c r="AO448" s="27">
        <f>IFERROR(VLOOKUP(DATA[[#This Row],[COMBINADA]],#REF!,6,0),0)</f>
        <v>0</v>
      </c>
      <c r="AP448" s="125">
        <f>IFERROR(VLOOKUP(DATA[[#This Row],[COMBINADA]],#REF!,9,0),0)/COUNTIFS(DATA[COMBINADA],DATA[[#This Row],[COMBINADA]])</f>
        <v>0</v>
      </c>
      <c r="AQ44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6103.49</v>
      </c>
      <c r="AR448" s="26" t="str">
        <f>IFERROR(IF(DATA[[#This Row],[estado_fact]]="FACTURADO",VLOOKUP(DATA[[#This Row],[SERIE2]]&amp;"-"&amp;DATA[[#This Row],[NUMERO]],#REF!,34,0),"NO CORRESPONDE"),"NO CORRESPONDE")</f>
        <v>NO CORRESPONDE</v>
      </c>
      <c r="AS448" s="22" t="str">
        <f>IF(DATA[[#This Row],[fecha_fs]]&gt;0,TEXT(DATA[[#This Row],[fecha_fs]],"Mmmm"),0)</f>
        <v>Abril</v>
      </c>
      <c r="AT448" s="22" t="str">
        <f>DATA[[#This Row],[SERIE2]]&amp;"-"&amp;DATA[[#This Row],[NUMERO]]</f>
        <v>FF01-37</v>
      </c>
      <c r="AU448" s="28">
        <f>DATA[[#This Row],[TOTAL]]*DATA[[#This Row],[T.C.]]</f>
        <v>6103.49</v>
      </c>
      <c r="AV448" s="6">
        <f>DATA[[#This Row],[FECHA DE VAL.]]</f>
        <v>45749</v>
      </c>
      <c r="AW448" s="6">
        <f>DATA[[#This Row],[FECHA DE EMISION]]</f>
        <v>45763</v>
      </c>
      <c r="AX448" s="6">
        <f>DATA[[#This Row],[F1]]</f>
        <v>0</v>
      </c>
      <c r="AY448" s="20">
        <f>IF(AV448-DATA[[#This Row],[fecha_fs]]&lt;0,0,AV448-DATA[[#This Row],[fecha_fs]])</f>
        <v>1</v>
      </c>
      <c r="AZ448" s="20">
        <f t="shared" si="51"/>
        <v>14</v>
      </c>
      <c r="BA448" s="20">
        <f t="shared" si="52"/>
        <v>0</v>
      </c>
      <c r="BB448" s="195">
        <f>IFERROR(SUM(DATA[[#This Row],[fs_val_ttf]:[fact_pago_ttf]]),0)</f>
        <v>15</v>
      </c>
      <c r="BC448" s="185" t="s">
        <v>292</v>
      </c>
      <c r="BD448" s="185" t="s">
        <v>292</v>
      </c>
      <c r="BE448" s="185" t="s">
        <v>292</v>
      </c>
      <c r="BF448" s="185" t="s">
        <v>292</v>
      </c>
      <c r="BG448" s="20">
        <f>IFERROR(IF(BC448-DATA[[#This Row],[fecha_fs]]&lt;0,0,BC448-DATA[[#This Row],[fecha_fs]]),0)</f>
        <v>0</v>
      </c>
      <c r="BH448" s="20">
        <f t="shared" si="47"/>
        <v>0</v>
      </c>
      <c r="BI448" s="20">
        <f t="shared" si="48"/>
        <v>0</v>
      </c>
      <c r="BJ448" s="20">
        <f t="shared" si="49"/>
        <v>0</v>
      </c>
      <c r="BK448" s="218">
        <f>IFERROR(SUM(DATA[[#This Row],[fs_fd_ttd]:[fend_fenf_ttd]]),0)</f>
        <v>0</v>
      </c>
      <c r="BL448" s="20" t="str">
        <f>IF(DATA[[#This Row],[fecha_fs]]&gt;0,TEXT(DATA[[#This Row],[fecha_fs]],"YYYY"),0)</f>
        <v>2025</v>
      </c>
      <c r="BM448" s="221" t="b">
        <v>1</v>
      </c>
      <c r="BN448" s="278">
        <f>COUNTIF(DATA[[#This Row],[tiempo_td]], "&lt;=15")</f>
        <v>1</v>
      </c>
      <c r="BO448" s="222"/>
    </row>
    <row r="449" spans="1:67" ht="30.6" customHeight="1" x14ac:dyDescent="0.25">
      <c r="A449" s="4">
        <v>20100055237</v>
      </c>
      <c r="B449" s="5" t="s">
        <v>21</v>
      </c>
      <c r="C449" s="52" t="s">
        <v>138</v>
      </c>
      <c r="D449" s="4" t="s">
        <v>139</v>
      </c>
      <c r="E449" s="5" t="s">
        <v>23</v>
      </c>
      <c r="F449" s="24">
        <v>45748</v>
      </c>
      <c r="G449" s="7" t="s">
        <v>113</v>
      </c>
      <c r="H449" s="25">
        <f t="shared" si="50"/>
        <v>1</v>
      </c>
      <c r="I449" s="67">
        <v>4318</v>
      </c>
      <c r="J449" s="8" t="s">
        <v>115</v>
      </c>
      <c r="K449" s="9" t="s">
        <v>121</v>
      </c>
      <c r="L449" s="10" t="s">
        <v>117</v>
      </c>
      <c r="M449" s="11">
        <v>180</v>
      </c>
      <c r="N449" s="12" t="s">
        <v>167</v>
      </c>
      <c r="O449" s="6">
        <v>45776</v>
      </c>
      <c r="P449" s="54">
        <v>3423</v>
      </c>
      <c r="Q449" s="14" t="s">
        <v>85</v>
      </c>
      <c r="R449" s="74"/>
      <c r="S449" s="15">
        <v>297.92</v>
      </c>
      <c r="T449" s="15">
        <f>DATA[[#This Row],[C. DF]]+DATA[[#This Row],[C.OPE.]]</f>
        <v>297.92</v>
      </c>
      <c r="U449" s="15">
        <f>DATA[[#This Row],[SUB TOTAL]]*0.18</f>
        <v>53.625599999999999</v>
      </c>
      <c r="V449" s="15">
        <f>IFERROR(ROUND(DATA[[#This Row],[SUB TOTAL]]+DATA[[#This Row],[IGV]],2),0)</f>
        <v>351.55</v>
      </c>
      <c r="W449" s="16" t="str">
        <f>IF(DATA[[#This Row],[VALORIZACIÓN ]]="-","NO CORRESPONDE",IF(OR(A449=20558226979,A449=10470707866,A449=20111157058,A449=20100226902),"NO CORRESPONDE",IF(J449="Emitida",IF(P449&gt;0,"EMITIDA","PENDIENTE"),"NO CORRESPONDE")))</f>
        <v>EMITIDA</v>
      </c>
      <c r="X449" s="29"/>
      <c r="Y449" s="17" t="s">
        <v>118</v>
      </c>
      <c r="Z449" s="30">
        <v>45812</v>
      </c>
      <c r="AA449" s="10" t="s">
        <v>150</v>
      </c>
      <c r="AB449" s="19">
        <v>104</v>
      </c>
      <c r="AC449" s="20">
        <v>30</v>
      </c>
      <c r="AD449" s="18">
        <f>DATA[[#This Row],[FECHA DE EMISION]]+DATA[[#This Row],[CONDICION DE PAGO]]</f>
        <v>45842</v>
      </c>
      <c r="AE449" s="23">
        <f>IF(DATA[[#This Row],[MONEDA]]="USD",VLOOKUP(DATA[[#This Row],[COMBINADA]],#REF!,11,0),1)</f>
        <v>1</v>
      </c>
      <c r="AF449" s="39" t="str">
        <f>IF(DATA[[#This Row],[SERIE2]]="-","NO CORRESPONDE",IF(W449="NO CORRESPONDE","NO CORRESPONDE",IF(Z449&gt;0,"FACTURADO","PENDIENTE")))</f>
        <v>FACTURADO</v>
      </c>
      <c r="AG449" s="27">
        <f>IFERROR(VLOOKUP(DATA[[#This Row],[COMBINADA]],#REF!,6,0),0)</f>
        <v>0</v>
      </c>
      <c r="AH449" s="125">
        <f>IFERROR(VLOOKUP(DATA[[#This Row],[COMBINADA]],#REF!,9,0),0)/COUNTIFS(DATA[COMBINADA],DATA[[#This Row],[COMBINADA]])</f>
        <v>0</v>
      </c>
      <c r="AI449" s="27">
        <f>IFERROR(VLOOKUP(DATA[[#This Row],[COMBINADA]],#REF!,6,0),0)</f>
        <v>0</v>
      </c>
      <c r="AJ449" s="125">
        <f>IFERROR(VLOOKUP(DATA[[#This Row],[COMBINADA]],#REF!,9,0),0)/COUNTIFS(DATA[COMBINADA],DATA[[#This Row],[COMBINADA]])</f>
        <v>0</v>
      </c>
      <c r="AK449" s="27">
        <f>IFERROR(VLOOKUP(DATA[[#This Row],[COMBINADA]],#REF!,6,0),0)</f>
        <v>0</v>
      </c>
      <c r="AL449" s="125">
        <f>IFERROR(VLOOKUP(DATA[[#This Row],[COMBINADA]],#REF!,9,0),0)/COUNTIFS(DATA[COMBINADA],DATA[[#This Row],[COMBINADA]])</f>
        <v>0</v>
      </c>
      <c r="AM449" s="27">
        <f>IFERROR(VLOOKUP(DATA[[#This Row],[COMBINADA]],#REF!,6,0),0)</f>
        <v>0</v>
      </c>
      <c r="AN449" s="125">
        <f>IFERROR(VLOOKUP(DATA[[#This Row],[COMBINADA]],#REF!,9,0),0)/COUNTIFS(DATA[COMBINADA],DATA[[#This Row],[COMBINADA]])</f>
        <v>0</v>
      </c>
      <c r="AO449" s="27">
        <f>IFERROR(VLOOKUP(DATA[[#This Row],[COMBINADA]],#REF!,6,0),0)</f>
        <v>0</v>
      </c>
      <c r="AP449" s="125">
        <f>IFERROR(VLOOKUP(DATA[[#This Row],[COMBINADA]],#REF!,9,0),0)/COUNTIFS(DATA[COMBINADA],DATA[[#This Row],[COMBINADA]])</f>
        <v>0</v>
      </c>
      <c r="AQ44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449" s="26" t="str">
        <f>IFERROR(IF(DATA[[#This Row],[estado_fact]]="FACTURADO",VLOOKUP(DATA[[#This Row],[SERIE2]]&amp;"-"&amp;DATA[[#This Row],[NUMERO]],#REF!,34,0),"NO CORRESPONDE"),"NO CORRESPONDE")</f>
        <v>NO CORRESPONDE</v>
      </c>
      <c r="AS449" s="22" t="str">
        <f>IF(DATA[[#This Row],[fecha_fs]]&gt;0,TEXT(DATA[[#This Row],[fecha_fs]],"Mmmm"),0)</f>
        <v>Abril</v>
      </c>
      <c r="AT449" s="22" t="str">
        <f>DATA[[#This Row],[SERIE2]]&amp;"-"&amp;DATA[[#This Row],[NUMERO]]</f>
        <v>FF01-104</v>
      </c>
      <c r="AU449" s="28">
        <f>DATA[[#This Row],[TOTAL]]*DATA[[#This Row],[T.C.]]</f>
        <v>351.55</v>
      </c>
      <c r="AV449" s="6">
        <f>DATA[[#This Row],[FECHA DE VAL.]]</f>
        <v>45776</v>
      </c>
      <c r="AW449" s="6">
        <f>DATA[[#This Row],[FECHA DE EMISION]]</f>
        <v>45812</v>
      </c>
      <c r="AX449" s="6">
        <f>DATA[[#This Row],[F1]]</f>
        <v>0</v>
      </c>
      <c r="AY449" s="20">
        <f>IF(AV449-DATA[[#This Row],[fecha_fs]]&lt;0,0,AV449-DATA[[#This Row],[fecha_fs]])</f>
        <v>28</v>
      </c>
      <c r="AZ449" s="20">
        <f t="shared" si="51"/>
        <v>36</v>
      </c>
      <c r="BA449" s="20">
        <f t="shared" si="52"/>
        <v>0</v>
      </c>
      <c r="BB449" s="195">
        <f>IFERROR(SUM(DATA[[#This Row],[fs_val_ttf]:[fact_pago_ttf]]),0)</f>
        <v>64</v>
      </c>
      <c r="BC449" s="185">
        <v>45748</v>
      </c>
      <c r="BD449" s="185">
        <v>45748</v>
      </c>
      <c r="BE449" s="185">
        <v>45782</v>
      </c>
      <c r="BF449" s="185">
        <v>45782</v>
      </c>
      <c r="BG449" s="20">
        <f>IFERROR(IF(BC449-DATA[[#This Row],[fecha_fs]]&lt;0,0,BC449-DATA[[#This Row],[fecha_fs]]),0)</f>
        <v>0</v>
      </c>
      <c r="BH449" s="20">
        <f t="shared" si="47"/>
        <v>0</v>
      </c>
      <c r="BI449" s="20">
        <f t="shared" si="48"/>
        <v>34</v>
      </c>
      <c r="BJ449" s="20">
        <f t="shared" si="49"/>
        <v>0</v>
      </c>
      <c r="BK449" s="218">
        <f>IFERROR(SUM(DATA[[#This Row],[fs_fd_ttd]:[fend_fenf_ttd]]),0)</f>
        <v>34</v>
      </c>
      <c r="BL449" s="20" t="str">
        <f>IF(DATA[[#This Row],[fecha_fs]]&gt;0,TEXT(DATA[[#This Row],[fecha_fs]],"YYYY"),0)</f>
        <v>2025</v>
      </c>
      <c r="BM449" s="221" t="b">
        <v>1</v>
      </c>
      <c r="BN449" s="278">
        <f>COUNTIF(DATA[[#This Row],[tiempo_td]], "&lt;=15")</f>
        <v>0</v>
      </c>
      <c r="BO449" s="222"/>
    </row>
    <row r="450" spans="1:67" ht="30.6" customHeight="1" x14ac:dyDescent="0.25">
      <c r="A450" s="4">
        <v>20454186002</v>
      </c>
      <c r="B450" s="5" t="s">
        <v>25</v>
      </c>
      <c r="C450" s="52" t="s">
        <v>18</v>
      </c>
      <c r="D450" s="4" t="s">
        <v>120</v>
      </c>
      <c r="E450" s="5" t="s">
        <v>3</v>
      </c>
      <c r="F450" s="24">
        <v>45748</v>
      </c>
      <c r="G450" s="7" t="s">
        <v>113</v>
      </c>
      <c r="H450" s="25">
        <f t="shared" si="50"/>
        <v>1</v>
      </c>
      <c r="I450" s="67">
        <v>4319</v>
      </c>
      <c r="J450" s="8" t="s">
        <v>115</v>
      </c>
      <c r="K450" s="9" t="s">
        <v>121</v>
      </c>
      <c r="L450" s="10" t="s">
        <v>117</v>
      </c>
      <c r="M450" s="11">
        <v>4920</v>
      </c>
      <c r="N450" s="12" t="s">
        <v>209</v>
      </c>
      <c r="O450" s="6">
        <v>45749</v>
      </c>
      <c r="P450" s="13">
        <v>3382</v>
      </c>
      <c r="Q450" s="14" t="s">
        <v>85</v>
      </c>
      <c r="R450" s="56">
        <v>1485.02</v>
      </c>
      <c r="S450" s="56">
        <f>(DATA[[#This Row],[cantidad_fs]]-3000)*0.49</f>
        <v>940.8</v>
      </c>
      <c r="T450" s="15">
        <f>DATA[[#This Row],[C. DF]]+DATA[[#This Row],[C.OPE.]]</f>
        <v>2425.8199999999997</v>
      </c>
      <c r="U450" s="15">
        <f>DATA[[#This Row],[SUB TOTAL]]*0.18</f>
        <v>436.64759999999995</v>
      </c>
      <c r="V450" s="15">
        <f>IFERROR(ROUND(DATA[[#This Row],[SUB TOTAL]]+DATA[[#This Row],[IGV]],2),0)</f>
        <v>2862.47</v>
      </c>
      <c r="W450" s="16" t="str">
        <f>IF(DATA[[#This Row],[VALORIZACIÓN ]]="-","NO CORRESPONDE",IF(OR(A450=20558226979,A450=10470707866,A450=20111157058,A450=20100226902),"NO CORRESPONDE",IF(J450="Emitida",IF(P450&gt;0,"EMITIDA","PENDIENTE"),"NO CORRESPONDE")))</f>
        <v>EMITIDA</v>
      </c>
      <c r="X450" s="29"/>
      <c r="Y450" s="17" t="s">
        <v>118</v>
      </c>
      <c r="Z450" s="30">
        <v>45763</v>
      </c>
      <c r="AA450" s="10" t="s">
        <v>150</v>
      </c>
      <c r="AB450" s="19">
        <v>35</v>
      </c>
      <c r="AC450" s="20">
        <v>7</v>
      </c>
      <c r="AD450" s="18">
        <f>DATA[[#This Row],[FECHA DE EMISION]]+DATA[[#This Row],[CONDICION DE PAGO]]</f>
        <v>45770</v>
      </c>
      <c r="AE450" s="23">
        <f>IF(DATA[[#This Row],[MONEDA]]="USD",VLOOKUP(DATA[[#This Row],[COMBINADA]],#REF!,11,0),1)</f>
        <v>1</v>
      </c>
      <c r="AF450" s="39" t="str">
        <f>IF(DATA[[#This Row],[SERIE2]]="-","NO CORRESPONDE",IF(W450="NO CORRESPONDE","NO CORRESPONDE",IF(Z450&gt;0,"FACTURADO","PENDIENTE")))</f>
        <v>FACTURADO</v>
      </c>
      <c r="AG450" s="27">
        <f>IFERROR(VLOOKUP(DATA[[#This Row],[COMBINADA]],#REF!,6,0),0)</f>
        <v>0</v>
      </c>
      <c r="AH450" s="125">
        <f>IFERROR(VLOOKUP(DATA[[#This Row],[COMBINADA]],#REF!,9,0),0)/COUNTIFS(DATA[COMBINADA],DATA[[#This Row],[COMBINADA]])</f>
        <v>0</v>
      </c>
      <c r="AI450" s="27">
        <f>IFERROR(VLOOKUP(DATA[[#This Row],[COMBINADA]],#REF!,6,0),0)</f>
        <v>0</v>
      </c>
      <c r="AJ450" s="125">
        <f>IFERROR(VLOOKUP(DATA[[#This Row],[COMBINADA]],#REF!,9,0),0)/COUNTIFS(DATA[COMBINADA],DATA[[#This Row],[COMBINADA]])</f>
        <v>0</v>
      </c>
      <c r="AK450" s="27">
        <f>IFERROR(VLOOKUP(DATA[[#This Row],[COMBINADA]],#REF!,6,0),0)</f>
        <v>0</v>
      </c>
      <c r="AL450" s="125">
        <f>IFERROR(VLOOKUP(DATA[[#This Row],[COMBINADA]],#REF!,9,0),0)/COUNTIFS(DATA[COMBINADA],DATA[[#This Row],[COMBINADA]])</f>
        <v>0</v>
      </c>
      <c r="AM450" s="27">
        <f>IFERROR(VLOOKUP(DATA[[#This Row],[COMBINADA]],#REF!,6,0),0)</f>
        <v>0</v>
      </c>
      <c r="AN450" s="125">
        <f>IFERROR(VLOOKUP(DATA[[#This Row],[COMBINADA]],#REF!,9,0),0)/COUNTIFS(DATA[COMBINADA],DATA[[#This Row],[COMBINADA]])</f>
        <v>0</v>
      </c>
      <c r="AO450" s="27">
        <f>IFERROR(VLOOKUP(DATA[[#This Row],[COMBINADA]],#REF!,6,0),0)</f>
        <v>0</v>
      </c>
      <c r="AP450" s="125">
        <f>IFERROR(VLOOKUP(DATA[[#This Row],[COMBINADA]],#REF!,9,0),0)/COUNTIFS(DATA[COMBINADA],DATA[[#This Row],[COMBINADA]])</f>
        <v>0</v>
      </c>
      <c r="AQ45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2862.47</v>
      </c>
      <c r="AR450" s="26" t="str">
        <f>IFERROR(IF(DATA[[#This Row],[estado_fact]]="FACTURADO",VLOOKUP(DATA[[#This Row],[SERIE2]]&amp;"-"&amp;DATA[[#This Row],[NUMERO]],#REF!,34,0),"NO CORRESPONDE"),"NO CORRESPONDE")</f>
        <v>NO CORRESPONDE</v>
      </c>
      <c r="AS450" s="22" t="str">
        <f>IF(DATA[[#This Row],[fecha_fs]]&gt;0,TEXT(DATA[[#This Row],[fecha_fs]],"Mmmm"),0)</f>
        <v>Abril</v>
      </c>
      <c r="AT450" s="22" t="str">
        <f>DATA[[#This Row],[SERIE2]]&amp;"-"&amp;DATA[[#This Row],[NUMERO]]</f>
        <v>FF01-35</v>
      </c>
      <c r="AU450" s="28">
        <f>DATA[[#This Row],[TOTAL]]*DATA[[#This Row],[T.C.]]</f>
        <v>2862.47</v>
      </c>
      <c r="AV450" s="6">
        <f>DATA[[#This Row],[FECHA DE VAL.]]</f>
        <v>45749</v>
      </c>
      <c r="AW450" s="6">
        <f>DATA[[#This Row],[FECHA DE EMISION]]</f>
        <v>45763</v>
      </c>
      <c r="AX450" s="6">
        <f>DATA[[#This Row],[F1]]</f>
        <v>0</v>
      </c>
      <c r="AY450" s="20">
        <f>IF(AV450-DATA[[#This Row],[fecha_fs]]&lt;0,0,AV450-DATA[[#This Row],[fecha_fs]])</f>
        <v>1</v>
      </c>
      <c r="AZ450" s="20">
        <f t="shared" si="51"/>
        <v>14</v>
      </c>
      <c r="BA450" s="20">
        <f t="shared" si="52"/>
        <v>0</v>
      </c>
      <c r="BB450" s="195">
        <f>IFERROR(SUM(DATA[[#This Row],[fs_val_ttf]:[fact_pago_ttf]]),0)</f>
        <v>15</v>
      </c>
      <c r="BC450" s="187">
        <v>45748</v>
      </c>
      <c r="BD450" s="187">
        <v>45777</v>
      </c>
      <c r="BE450" s="187">
        <v>45789</v>
      </c>
      <c r="BF450" s="185">
        <v>45797</v>
      </c>
      <c r="BG450" s="20">
        <f>IFERROR(IF(BC450-DATA[[#This Row],[fecha_fs]]&lt;0,0,BC450-DATA[[#This Row],[fecha_fs]]),0)</f>
        <v>0</v>
      </c>
      <c r="BH450" s="20">
        <f t="shared" si="47"/>
        <v>29</v>
      </c>
      <c r="BI450" s="20">
        <f t="shared" si="48"/>
        <v>12</v>
      </c>
      <c r="BJ450" s="20">
        <f t="shared" si="49"/>
        <v>8</v>
      </c>
      <c r="BK450" s="218">
        <f>IFERROR(SUM(DATA[[#This Row],[fs_fd_ttd]:[fend_fenf_ttd]]),0)</f>
        <v>49</v>
      </c>
      <c r="BL450" s="20" t="str">
        <f>IF(DATA[[#This Row],[fecha_fs]]&gt;0,TEXT(DATA[[#This Row],[fecha_fs]],"YYYY"),0)</f>
        <v>2025</v>
      </c>
      <c r="BM450" s="221" t="b">
        <v>1</v>
      </c>
      <c r="BN450" s="278">
        <f>COUNTIF(DATA[[#This Row],[tiempo_td]], "&lt;=15")</f>
        <v>0</v>
      </c>
      <c r="BO450" s="222"/>
    </row>
    <row r="451" spans="1:67" ht="30.6" customHeight="1" x14ac:dyDescent="0.25">
      <c r="A451" s="4">
        <v>20100192064</v>
      </c>
      <c r="B451" s="5" t="s">
        <v>60</v>
      </c>
      <c r="C451" s="52" t="s">
        <v>65</v>
      </c>
      <c r="D451" s="4" t="s">
        <v>120</v>
      </c>
      <c r="E451" s="5" t="s">
        <v>3</v>
      </c>
      <c r="F451" s="24">
        <v>45749</v>
      </c>
      <c r="G451" s="7" t="s">
        <v>142</v>
      </c>
      <c r="H451" s="25">
        <f t="shared" si="50"/>
        <v>2</v>
      </c>
      <c r="I451" s="67">
        <v>1070</v>
      </c>
      <c r="J451" s="8" t="s">
        <v>115</v>
      </c>
      <c r="K451" s="9" t="s">
        <v>121</v>
      </c>
      <c r="L451" s="10" t="s">
        <v>117</v>
      </c>
      <c r="M451" s="11">
        <v>1080</v>
      </c>
      <c r="N451" s="12" t="s">
        <v>180</v>
      </c>
      <c r="O451" s="6">
        <v>45772</v>
      </c>
      <c r="P451" s="71">
        <v>3412</v>
      </c>
      <c r="Q451" s="14" t="s">
        <v>123</v>
      </c>
      <c r="R451" s="15">
        <f>(DATA[[#This Row],[cantidad_fs]]/1000)*(37+81.01)</f>
        <v>127.45080000000002</v>
      </c>
      <c r="S451" s="15">
        <v>103.6</v>
      </c>
      <c r="T451" s="15">
        <f>DATA[[#This Row],[C. DF]]+DATA[[#This Row],[C.OPE.]]</f>
        <v>231.05080000000001</v>
      </c>
      <c r="U451" s="15">
        <f>DATA[[#This Row],[SUB TOTAL]]*0.18</f>
        <v>41.589143999999997</v>
      </c>
      <c r="V451" s="15">
        <f>IFERROR(ROUND(DATA[[#This Row],[SUB TOTAL]]+DATA[[#This Row],[IGV]],2),0)</f>
        <v>272.64</v>
      </c>
      <c r="W451" s="16" t="str">
        <f>IF(DATA[[#This Row],[VALORIZACIÓN ]]="-","NO CORRESPONDE",IF(OR(A451=20558226979,A451=10470707866,A451=20111157058,A451=20100226902),"NO CORRESPONDE",IF(J451="Emitida",IF(P451&gt;0,"EMITIDA","PENDIENTE"),"NO CORRESPONDE")))</f>
        <v>EMITIDA</v>
      </c>
      <c r="X451" s="29"/>
      <c r="Y451" s="17" t="s">
        <v>118</v>
      </c>
      <c r="Z451" s="30">
        <v>45777</v>
      </c>
      <c r="AA451" s="10" t="s">
        <v>150</v>
      </c>
      <c r="AB451" s="19">
        <v>59</v>
      </c>
      <c r="AC451" s="20">
        <v>30</v>
      </c>
      <c r="AD451" s="18">
        <f>DATA[[#This Row],[FECHA DE EMISION]]+DATA[[#This Row],[CONDICION DE PAGO]]</f>
        <v>45807</v>
      </c>
      <c r="AE451" s="23" t="e">
        <f>IF(DATA[[#This Row],[MONEDA]]="USD",VLOOKUP(DATA[[#This Row],[COMBINADA]],#REF!,11,0),1)</f>
        <v>#REF!</v>
      </c>
      <c r="AF451" s="39" t="str">
        <f>IF(DATA[[#This Row],[SERIE2]]="-","NO CORRESPONDE",IF(W451="NO CORRESPONDE","NO CORRESPONDE",IF(Z451&gt;0,"FACTURADO","PENDIENTE")))</f>
        <v>FACTURADO</v>
      </c>
      <c r="AG451" s="27">
        <f>IFERROR(VLOOKUP(DATA[[#This Row],[COMBINADA]],#REF!,6,0),0)</f>
        <v>0</v>
      </c>
      <c r="AH451" s="125">
        <f>IFERROR(VLOOKUP(DATA[[#This Row],[COMBINADA]],#REF!,9,0),0)/COUNTIFS(DATA[COMBINADA],DATA[[#This Row],[COMBINADA]])</f>
        <v>0</v>
      </c>
      <c r="AI451" s="27">
        <f>IFERROR(VLOOKUP(DATA[[#This Row],[COMBINADA]],#REF!,6,0),0)</f>
        <v>0</v>
      </c>
      <c r="AJ451" s="125">
        <f>IFERROR(VLOOKUP(DATA[[#This Row],[COMBINADA]],#REF!,9,0),0)/COUNTIFS(DATA[COMBINADA],DATA[[#This Row],[COMBINADA]])</f>
        <v>0</v>
      </c>
      <c r="AK451" s="27">
        <f>IFERROR(VLOOKUP(DATA[[#This Row],[COMBINADA]],#REF!,6,0),0)</f>
        <v>0</v>
      </c>
      <c r="AL451" s="125">
        <f>IFERROR(VLOOKUP(DATA[[#This Row],[COMBINADA]],#REF!,9,0),0)/COUNTIFS(DATA[COMBINADA],DATA[[#This Row],[COMBINADA]])</f>
        <v>0</v>
      </c>
      <c r="AM451" s="27">
        <f>IFERROR(VLOOKUP(DATA[[#This Row],[COMBINADA]],#REF!,6,0),0)</f>
        <v>0</v>
      </c>
      <c r="AN451" s="125">
        <f>IFERROR(VLOOKUP(DATA[[#This Row],[COMBINADA]],#REF!,9,0),0)/COUNTIFS(DATA[COMBINADA],DATA[[#This Row],[COMBINADA]])</f>
        <v>0</v>
      </c>
      <c r="AO451" s="27">
        <f>IFERROR(VLOOKUP(DATA[[#This Row],[COMBINADA]],#REF!,6,0),0)</f>
        <v>0</v>
      </c>
      <c r="AP451" s="125">
        <f>IFERROR(VLOOKUP(DATA[[#This Row],[COMBINADA]],#REF!,9,0),0)/COUNTIFS(DATA[COMBINADA],DATA[[#This Row],[COMBINADA]])</f>
        <v>0</v>
      </c>
      <c r="AQ45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538.72300000000007</v>
      </c>
      <c r="AR451" s="26" t="str">
        <f>IFERROR(IF(DATA[[#This Row],[estado_fact]]="FACTURADO",VLOOKUP(DATA[[#This Row],[SERIE2]]&amp;"-"&amp;DATA[[#This Row],[NUMERO]],#REF!,34,0),"NO CORRESPONDE"),"NO CORRESPONDE")</f>
        <v>NO CORRESPONDE</v>
      </c>
      <c r="AS451" s="22" t="str">
        <f>IF(DATA[[#This Row],[fecha_fs]]&gt;0,TEXT(DATA[[#This Row],[fecha_fs]],"Mmmm"),0)</f>
        <v>Abril</v>
      </c>
      <c r="AT451" s="22" t="str">
        <f>DATA[[#This Row],[SERIE2]]&amp;"-"&amp;DATA[[#This Row],[NUMERO]]</f>
        <v>FF01-59</v>
      </c>
      <c r="AU451" s="28" t="e">
        <f>DATA[[#This Row],[TOTAL]]*DATA[[#This Row],[T.C.]]</f>
        <v>#REF!</v>
      </c>
      <c r="AV451" s="6">
        <f>DATA[[#This Row],[FECHA DE VAL.]]</f>
        <v>45772</v>
      </c>
      <c r="AW451" s="6">
        <f>DATA[[#This Row],[FECHA DE EMISION]]</f>
        <v>45777</v>
      </c>
      <c r="AX451" s="6">
        <f>DATA[[#This Row],[F1]]</f>
        <v>0</v>
      </c>
      <c r="AY451" s="20">
        <f>IF(AV451-DATA[[#This Row],[fecha_fs]]&lt;0,0,AV451-DATA[[#This Row],[fecha_fs]])</f>
        <v>23</v>
      </c>
      <c r="AZ451" s="20">
        <f t="shared" si="51"/>
        <v>5</v>
      </c>
      <c r="BA451" s="20">
        <f t="shared" si="52"/>
        <v>0</v>
      </c>
      <c r="BB451" s="195">
        <f>IFERROR(SUM(DATA[[#This Row],[fs_val_ttf]:[fact_pago_ttf]]),0)</f>
        <v>28</v>
      </c>
      <c r="BC451" s="185">
        <v>45749</v>
      </c>
      <c r="BD451" s="185">
        <v>45777</v>
      </c>
      <c r="BE451" s="185">
        <v>45786</v>
      </c>
      <c r="BF451" s="185">
        <v>45798</v>
      </c>
      <c r="BG451" s="20">
        <f>IFERROR(IF(BC451-DATA[[#This Row],[fecha_fs]]&lt;0,0,BC451-DATA[[#This Row],[fecha_fs]]),0)</f>
        <v>0</v>
      </c>
      <c r="BH451" s="20">
        <f t="shared" si="47"/>
        <v>28</v>
      </c>
      <c r="BI451" s="20">
        <f t="shared" si="48"/>
        <v>9</v>
      </c>
      <c r="BJ451" s="20">
        <f t="shared" si="49"/>
        <v>12</v>
      </c>
      <c r="BK451" s="218">
        <f>IFERROR(SUM(DATA[[#This Row],[fs_fd_ttd]:[fend_fenf_ttd]]),0)</f>
        <v>49</v>
      </c>
      <c r="BL451" s="20" t="str">
        <f>IF(DATA[[#This Row],[fecha_fs]]&gt;0,TEXT(DATA[[#This Row],[fecha_fs]],"YYYY"),0)</f>
        <v>2025</v>
      </c>
      <c r="BM451" s="221" t="b">
        <v>1</v>
      </c>
      <c r="BN451" s="278">
        <f>COUNTIF(DATA[[#This Row],[tiempo_td]], "&lt;=15")</f>
        <v>0</v>
      </c>
      <c r="BO451" s="222"/>
    </row>
    <row r="452" spans="1:67" ht="30" customHeight="1" x14ac:dyDescent="0.25">
      <c r="A452" s="4"/>
      <c r="B452" s="5" t="s">
        <v>0</v>
      </c>
      <c r="C452" s="52"/>
      <c r="D452" s="4"/>
      <c r="E452" s="5" t="s">
        <v>0</v>
      </c>
      <c r="F452" s="24">
        <v>45750</v>
      </c>
      <c r="G452" s="7" t="s">
        <v>142</v>
      </c>
      <c r="H452" s="25">
        <f t="shared" si="50"/>
        <v>2</v>
      </c>
      <c r="I452" s="67">
        <v>1071</v>
      </c>
      <c r="J452" s="8" t="s">
        <v>151</v>
      </c>
      <c r="K452" s="9"/>
      <c r="L452" s="10"/>
      <c r="M452" s="111"/>
      <c r="N452" s="112"/>
      <c r="O452" s="6"/>
      <c r="P452" s="13" t="s">
        <v>114</v>
      </c>
      <c r="Q452" s="14"/>
      <c r="R452" s="43"/>
      <c r="S452" s="43"/>
      <c r="T452" s="56">
        <f>DATA[[#This Row],[C. DF]]+DATA[[#This Row],[C.OPE.]]</f>
        <v>0</v>
      </c>
      <c r="U452" s="73">
        <f>DATA[[#This Row],[SUB TOTAL]]*0.18</f>
        <v>0</v>
      </c>
      <c r="V452" s="45">
        <f>IFERROR(ROUND(DATA[[#This Row],[SUB TOTAL]]+DATA[[#This Row],[IGV]],2),0)</f>
        <v>0</v>
      </c>
      <c r="W452" s="58" t="str">
        <f>IF(DATA[[#This Row],[VALORIZACIÓN ]]="-","NO CORRESPONDE",IF(OR(A452=20558226979,A452=10470707866,A452=20111157058,A452=20100226902),"NO CORRESPONDE",IF(J452="Emitida",IF(P452&gt;0,"EMITIDA","PENDIENTE"),"NO CORRESPONDE")))</f>
        <v>NO CORRESPONDE</v>
      </c>
      <c r="X452" s="46"/>
      <c r="Y452" s="17" t="s">
        <v>128</v>
      </c>
      <c r="Z452" s="48"/>
      <c r="AA452" s="49"/>
      <c r="AB452" s="50"/>
      <c r="AC452" s="51"/>
      <c r="AD452" s="59">
        <f>DATA[[#This Row],[FECHA DE EMISION]]+DATA[[#This Row],[CONDICION DE PAGO]]</f>
        <v>0</v>
      </c>
      <c r="AE452" s="23">
        <f>IF(DATA[[#This Row],[MONEDA]]="USD",VLOOKUP(DATA[[#This Row],[COMBINADA]],#REF!,11,0),1)</f>
        <v>1</v>
      </c>
      <c r="AF452" s="39" t="str">
        <f>IF(DATA[[#This Row],[SERIE2]]="-","NO CORRESPONDE",IF(W452="NO CORRESPONDE","NO CORRESPONDE",IF(Z452&gt;0,"FACTURADO","PENDIENTE")))</f>
        <v>NO CORRESPONDE</v>
      </c>
      <c r="AG452" s="61">
        <f>IFERROR(VLOOKUP(DATA[[#This Row],[COMBINADA]],#REF!,6,0),0)</f>
        <v>0</v>
      </c>
      <c r="AH452" s="62">
        <f>IFERROR(VLOOKUP(DATA[[#This Row],[COMBINADA]],#REF!,9,0),0)/COUNTIFS(DATA[COMBINADA],DATA[[#This Row],[COMBINADA]])</f>
        <v>0</v>
      </c>
      <c r="AI452" s="61">
        <f>IFERROR(VLOOKUP(DATA[[#This Row],[COMBINADA]],#REF!,6,0),0)</f>
        <v>0</v>
      </c>
      <c r="AJ452" s="62">
        <f>IFERROR(VLOOKUP(DATA[[#This Row],[COMBINADA]],#REF!,9,0),0)/COUNTIFS(DATA[COMBINADA],DATA[[#This Row],[COMBINADA]])</f>
        <v>0</v>
      </c>
      <c r="AK452" s="61">
        <f>IFERROR(VLOOKUP(DATA[[#This Row],[COMBINADA]],#REF!,6,0),0)</f>
        <v>0</v>
      </c>
      <c r="AL452" s="62">
        <f>IFERROR(VLOOKUP(DATA[[#This Row],[COMBINADA]],#REF!,9,0),0)/COUNTIFS(DATA[COMBINADA],DATA[[#This Row],[COMBINADA]])</f>
        <v>0</v>
      </c>
      <c r="AM452" s="61">
        <f>IFERROR(VLOOKUP(DATA[[#This Row],[COMBINADA]],#REF!,6,0),0)</f>
        <v>0</v>
      </c>
      <c r="AN452" s="62">
        <f>IFERROR(VLOOKUP(DATA[[#This Row],[COMBINADA]],#REF!,9,0),0)/COUNTIFS(DATA[COMBINADA],DATA[[#This Row],[COMBINADA]])</f>
        <v>0</v>
      </c>
      <c r="AO452" s="61">
        <f>IFERROR(VLOOKUP(DATA[[#This Row],[COMBINADA]],#REF!,6,0),0)</f>
        <v>0</v>
      </c>
      <c r="AP452" s="62">
        <f>IFERROR(VLOOKUP(DATA[[#This Row],[COMBINADA]],#REF!,9,0),0)/COUNTIFS(DATA[COMBINADA],DATA[[#This Row],[COMBINADA]])</f>
        <v>0</v>
      </c>
      <c r="AQ452"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452" s="22" t="str">
        <f>IFERROR(IF(DATA[[#This Row],[estado_fact]]="FACTURADO",VLOOKUP(DATA[[#This Row],[SERIE2]]&amp;"-"&amp;DATA[[#This Row],[NUMERO]],#REF!,34,0),"NO CORRESPONDE"),"NO CORRESPONDE")</f>
        <v>NO CORRESPONDE</v>
      </c>
      <c r="AS452" s="198" t="str">
        <f>IF(DATA[[#This Row],[fecha_fs]]&gt;0,TEXT(DATA[[#This Row],[fecha_fs]],"Mmmm"),0)</f>
        <v>Abril</v>
      </c>
      <c r="AT452" s="199" t="str">
        <f>DATA[[#This Row],[SERIE2]]&amp;"-"&amp;DATA[[#This Row],[NUMERO]]</f>
        <v>-</v>
      </c>
      <c r="AU452" s="198">
        <f>DATA[[#This Row],[TOTAL]]*DATA[[#This Row],[T.C.]]</f>
        <v>0</v>
      </c>
      <c r="AV452" s="40">
        <f>DATA[[#This Row],[FECHA DE VAL.]]</f>
        <v>0</v>
      </c>
      <c r="AW452" s="40">
        <f>DATA[[#This Row],[FECHA DE EMISION]]</f>
        <v>0</v>
      </c>
      <c r="AX452" s="40">
        <f>DATA[[#This Row],[F1]]</f>
        <v>0</v>
      </c>
      <c r="AY452" s="49">
        <f>IF(AV452-DATA[[#This Row],[fecha_fs]]&lt;0,0,AV452-DATA[[#This Row],[fecha_fs]])</f>
        <v>0</v>
      </c>
      <c r="AZ452" s="49">
        <f t="shared" si="51"/>
        <v>0</v>
      </c>
      <c r="BA452" s="49">
        <f t="shared" si="52"/>
        <v>0</v>
      </c>
      <c r="BB452" s="195">
        <f>IFERROR(SUM(DATA[[#This Row],[fs_val_ttf]:[fact_pago_ttf]]),0)</f>
        <v>0</v>
      </c>
      <c r="BC452" s="200"/>
      <c r="BD452" s="200"/>
      <c r="BE452" s="200"/>
      <c r="BF452" s="200"/>
      <c r="BG452" s="49">
        <f>IFERROR(IF(BC452-DATA[[#This Row],[fecha_fs]]&lt;0,0,BC452-DATA[[#This Row],[fecha_fs]]),0)</f>
        <v>0</v>
      </c>
      <c r="BH452" s="49">
        <f t="shared" si="47"/>
        <v>0</v>
      </c>
      <c r="BI452" s="49">
        <f t="shared" si="48"/>
        <v>0</v>
      </c>
      <c r="BJ452" s="49">
        <f t="shared" si="49"/>
        <v>0</v>
      </c>
      <c r="BK452" s="218">
        <f>IFERROR(SUM(DATA[[#This Row],[fs_fd_ttd]:[fend_fenf_ttd]]),0)</f>
        <v>0</v>
      </c>
      <c r="BL452" s="20" t="str">
        <f>IF(DATA[[#This Row],[fecha_fs]]&gt;0,TEXT(DATA[[#This Row],[fecha_fs]],"YYYY"),0)</f>
        <v>2025</v>
      </c>
      <c r="BM452" s="221" t="b">
        <v>0</v>
      </c>
      <c r="BN452" s="278"/>
      <c r="BO452" s="222"/>
    </row>
    <row r="453" spans="1:67" ht="30.6" customHeight="1" x14ac:dyDescent="0.25">
      <c r="A453" s="4">
        <v>20100211115</v>
      </c>
      <c r="B453" s="5" t="s">
        <v>41</v>
      </c>
      <c r="C453" s="52" t="s">
        <v>18</v>
      </c>
      <c r="D453" s="4" t="s">
        <v>120</v>
      </c>
      <c r="E453" s="5" t="s">
        <v>3</v>
      </c>
      <c r="F453" s="24">
        <v>45749</v>
      </c>
      <c r="G453" s="7" t="s">
        <v>113</v>
      </c>
      <c r="H453" s="25">
        <f t="shared" si="50"/>
        <v>1</v>
      </c>
      <c r="I453" s="67">
        <v>4320</v>
      </c>
      <c r="J453" s="8" t="s">
        <v>115</v>
      </c>
      <c r="K453" s="9" t="s">
        <v>121</v>
      </c>
      <c r="L453" s="10" t="s">
        <v>117</v>
      </c>
      <c r="M453" s="11">
        <v>90</v>
      </c>
      <c r="N453" s="12" t="s">
        <v>167</v>
      </c>
      <c r="O453" s="6">
        <v>45775</v>
      </c>
      <c r="P453" s="115">
        <v>3419</v>
      </c>
      <c r="Q453" s="14" t="s">
        <v>85</v>
      </c>
      <c r="R453" s="74"/>
      <c r="S453" s="15">
        <f>(DATA[[#This Row],[cantidad_fs]]*4.37)</f>
        <v>393.3</v>
      </c>
      <c r="T453" s="15">
        <f>DATA[[#This Row],[C. DF]]+DATA[[#This Row],[C.OPE.]]</f>
        <v>393.3</v>
      </c>
      <c r="U453" s="15">
        <f>DATA[[#This Row],[SUB TOTAL]]*0.18</f>
        <v>70.793999999999997</v>
      </c>
      <c r="V453" s="15">
        <f>IFERROR(ROUND(DATA[[#This Row],[SUB TOTAL]]+DATA[[#This Row],[IGV]],2),0)</f>
        <v>464.09</v>
      </c>
      <c r="W453" s="16" t="str">
        <f>IF(DATA[[#This Row],[VALORIZACIÓN ]]="-","NO CORRESPONDE",IF(OR(A453=20558226979,A453=10470707866,A453=20111157058,A453=20100226902),"NO CORRESPONDE",IF(J453="Emitida",IF(P453&gt;0,"EMITIDA","PENDIENTE"),"NO CORRESPONDE")))</f>
        <v>EMITIDA</v>
      </c>
      <c r="X453" s="29"/>
      <c r="Y453" s="17" t="s">
        <v>118</v>
      </c>
      <c r="Z453" s="30">
        <v>45777</v>
      </c>
      <c r="AA453" s="10" t="s">
        <v>150</v>
      </c>
      <c r="AB453" s="19">
        <v>60</v>
      </c>
      <c r="AC453" s="20">
        <v>30</v>
      </c>
      <c r="AD453" s="18">
        <f>DATA[[#This Row],[FECHA DE EMISION]]+DATA[[#This Row],[CONDICION DE PAGO]]</f>
        <v>45807</v>
      </c>
      <c r="AE453" s="23">
        <f>IF(DATA[[#This Row],[MONEDA]]="USD",VLOOKUP(DATA[[#This Row],[COMBINADA]],#REF!,11,0),1)</f>
        <v>1</v>
      </c>
      <c r="AF453" s="39" t="str">
        <f>IF(DATA[[#This Row],[SERIE2]]="-","NO CORRESPONDE",IF(W453="NO CORRESPONDE","NO CORRESPONDE",IF(Z453&gt;0,"FACTURADO","PENDIENTE")))</f>
        <v>FACTURADO</v>
      </c>
      <c r="AG453" s="27">
        <f>IFERROR(VLOOKUP(DATA[[#This Row],[COMBINADA]],#REF!,6,0),0)</f>
        <v>0</v>
      </c>
      <c r="AH453" s="125">
        <f>IFERROR(VLOOKUP(DATA[[#This Row],[COMBINADA]],#REF!,9,0),0)/COUNTIFS(DATA[COMBINADA],DATA[[#This Row],[COMBINADA]])</f>
        <v>0</v>
      </c>
      <c r="AI453" s="27">
        <f>IFERROR(VLOOKUP(DATA[[#This Row],[COMBINADA]],#REF!,6,0),0)</f>
        <v>0</v>
      </c>
      <c r="AJ453" s="125">
        <f>IFERROR(VLOOKUP(DATA[[#This Row],[COMBINADA]],#REF!,9,0),0)/COUNTIFS(DATA[COMBINADA],DATA[[#This Row],[COMBINADA]])</f>
        <v>0</v>
      </c>
      <c r="AK453" s="27">
        <f>IFERROR(VLOOKUP(DATA[[#This Row],[COMBINADA]],#REF!,6,0),0)</f>
        <v>0</v>
      </c>
      <c r="AL453" s="125">
        <f>IFERROR(VLOOKUP(DATA[[#This Row],[COMBINADA]],#REF!,9,0),0)/COUNTIFS(DATA[COMBINADA],DATA[[#This Row],[COMBINADA]])</f>
        <v>0</v>
      </c>
      <c r="AM453" s="27">
        <f>IFERROR(VLOOKUP(DATA[[#This Row],[COMBINADA]],#REF!,6,0),0)</f>
        <v>0</v>
      </c>
      <c r="AN453" s="125">
        <f>IFERROR(VLOOKUP(DATA[[#This Row],[COMBINADA]],#REF!,9,0),0)/COUNTIFS(DATA[COMBINADA],DATA[[#This Row],[COMBINADA]])</f>
        <v>0</v>
      </c>
      <c r="AO453" s="27">
        <f>IFERROR(VLOOKUP(DATA[[#This Row],[COMBINADA]],#REF!,6,0),0)</f>
        <v>0</v>
      </c>
      <c r="AP453" s="125">
        <f>IFERROR(VLOOKUP(DATA[[#This Row],[COMBINADA]],#REF!,9,0),0)/COUNTIFS(DATA[COMBINADA],DATA[[#This Row],[COMBINADA]])</f>
        <v>0</v>
      </c>
      <c r="AQ45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453" s="26" t="str">
        <f>IFERROR(IF(DATA[[#This Row],[estado_fact]]="FACTURADO",VLOOKUP(DATA[[#This Row],[SERIE2]]&amp;"-"&amp;DATA[[#This Row],[NUMERO]],#REF!,34,0),"NO CORRESPONDE"),"NO CORRESPONDE")</f>
        <v>NO CORRESPONDE</v>
      </c>
      <c r="AS453" s="22" t="str">
        <f>IF(DATA[[#This Row],[fecha_fs]]&gt;0,TEXT(DATA[[#This Row],[fecha_fs]],"Mmmm"),0)</f>
        <v>Abril</v>
      </c>
      <c r="AT453" s="22" t="str">
        <f>DATA[[#This Row],[SERIE2]]&amp;"-"&amp;DATA[[#This Row],[NUMERO]]</f>
        <v>FF01-60</v>
      </c>
      <c r="AU453" s="28">
        <f>DATA[[#This Row],[TOTAL]]*DATA[[#This Row],[T.C.]]</f>
        <v>464.09</v>
      </c>
      <c r="AV453" s="6">
        <f>DATA[[#This Row],[FECHA DE VAL.]]</f>
        <v>45775</v>
      </c>
      <c r="AW453" s="6">
        <f>DATA[[#This Row],[FECHA DE EMISION]]</f>
        <v>45777</v>
      </c>
      <c r="AX453" s="6">
        <f>DATA[[#This Row],[F1]]</f>
        <v>0</v>
      </c>
      <c r="AY453" s="20">
        <f>IF(AV453-DATA[[#This Row],[fecha_fs]]&lt;0,0,AV453-DATA[[#This Row],[fecha_fs]])</f>
        <v>26</v>
      </c>
      <c r="AZ453" s="20">
        <f t="shared" si="51"/>
        <v>2</v>
      </c>
      <c r="BA453" s="20">
        <f t="shared" si="52"/>
        <v>0</v>
      </c>
      <c r="BB453" s="195">
        <f>IFERROR(SUM(DATA[[#This Row],[fs_val_ttf]:[fact_pago_ttf]]),0)</f>
        <v>28</v>
      </c>
      <c r="BC453" s="184">
        <v>45779</v>
      </c>
      <c r="BD453" s="184">
        <v>45789</v>
      </c>
      <c r="BE453" s="184">
        <v>45796</v>
      </c>
      <c r="BF453" s="184">
        <v>45798</v>
      </c>
      <c r="BG453" s="20">
        <f>IFERROR(IF(BC453-DATA[[#This Row],[fecha_fs]]&lt;0,0,BC453-DATA[[#This Row],[fecha_fs]]),0)</f>
        <v>30</v>
      </c>
      <c r="BH453" s="20">
        <f t="shared" si="47"/>
        <v>10</v>
      </c>
      <c r="BI453" s="20">
        <f t="shared" si="48"/>
        <v>7</v>
      </c>
      <c r="BJ453" s="20">
        <f t="shared" si="49"/>
        <v>2</v>
      </c>
      <c r="BK453" s="218">
        <f>IFERROR(SUM(DATA[[#This Row],[fs_fd_ttd]:[fend_fenf_ttd]]),0)</f>
        <v>49</v>
      </c>
      <c r="BL453" s="20" t="str">
        <f>IF(DATA[[#This Row],[fecha_fs]]&gt;0,TEXT(DATA[[#This Row],[fecha_fs]],"YYYY"),0)</f>
        <v>2025</v>
      </c>
      <c r="BM453" s="221" t="b">
        <v>1</v>
      </c>
      <c r="BN453" s="278">
        <f>COUNTIF(DATA[[#This Row],[tiempo_td]], "&lt;=15")</f>
        <v>0</v>
      </c>
      <c r="BO453" s="222"/>
    </row>
    <row r="454" spans="1:67" ht="30.6" customHeight="1" x14ac:dyDescent="0.25">
      <c r="A454" s="4">
        <v>20553956324</v>
      </c>
      <c r="B454" s="5" t="s">
        <v>281</v>
      </c>
      <c r="C454" s="52" t="s">
        <v>175</v>
      </c>
      <c r="D454" s="4" t="s">
        <v>120</v>
      </c>
      <c r="E454" s="5" t="s">
        <v>3</v>
      </c>
      <c r="F454" s="24">
        <v>45749</v>
      </c>
      <c r="G454" s="7" t="s">
        <v>113</v>
      </c>
      <c r="H454" s="25">
        <f t="shared" si="50"/>
        <v>1</v>
      </c>
      <c r="I454" s="67">
        <v>4321</v>
      </c>
      <c r="J454" s="8" t="s">
        <v>115</v>
      </c>
      <c r="K454" s="9" t="s">
        <v>121</v>
      </c>
      <c r="L454" s="10" t="s">
        <v>117</v>
      </c>
      <c r="M454" s="11">
        <v>160</v>
      </c>
      <c r="N454" s="12" t="s">
        <v>132</v>
      </c>
      <c r="O454" s="6">
        <v>45775</v>
      </c>
      <c r="P454" s="109">
        <v>3422</v>
      </c>
      <c r="Q454" s="14" t="s">
        <v>85</v>
      </c>
      <c r="R454" s="15">
        <f>DATA[[#This Row],[cantidad_fs]]*0.08</f>
        <v>12.8</v>
      </c>
      <c r="S454" s="15">
        <v>395.1</v>
      </c>
      <c r="T454" s="15">
        <f>DATA[[#This Row],[C. DF]]+DATA[[#This Row],[C.OPE.]]</f>
        <v>407.90000000000003</v>
      </c>
      <c r="U454" s="15">
        <f>DATA[[#This Row],[SUB TOTAL]]*0.18</f>
        <v>73.421999999999997</v>
      </c>
      <c r="V454" s="15">
        <f>IFERROR(ROUND(DATA[[#This Row],[SUB TOTAL]]+DATA[[#This Row],[IGV]],2),0)</f>
        <v>481.32</v>
      </c>
      <c r="W454" s="16" t="str">
        <f>IF(DATA[[#This Row],[VALORIZACIÓN ]]="-","NO CORRESPONDE",IF(OR(A454=20558226979,A454=10470707866,A454=20111157058,A454=20100226902),"NO CORRESPONDE",IF(J454="Emitida",IF(P454&gt;0,"EMITIDA","PENDIENTE"),"NO CORRESPONDE")))</f>
        <v>EMITIDA</v>
      </c>
      <c r="X454" s="29"/>
      <c r="Y454" s="17" t="s">
        <v>118</v>
      </c>
      <c r="Z454" s="30">
        <v>45790</v>
      </c>
      <c r="AA454" s="10" t="s">
        <v>150</v>
      </c>
      <c r="AB454" s="19">
        <v>76</v>
      </c>
      <c r="AC454" s="20"/>
      <c r="AD454" s="18">
        <f>DATA[[#This Row],[FECHA DE EMISION]]+DATA[[#This Row],[CONDICION DE PAGO]]</f>
        <v>45790</v>
      </c>
      <c r="AE454" s="23">
        <f>IF(DATA[[#This Row],[MONEDA]]="USD",VLOOKUP(DATA[[#This Row],[COMBINADA]],#REF!,11,0),1)</f>
        <v>1</v>
      </c>
      <c r="AF454" s="39" t="str">
        <f>IF(DATA[[#This Row],[SERIE2]]="-","NO CORRESPONDE",IF(W454="NO CORRESPONDE","NO CORRESPONDE",IF(Z454&gt;0,"FACTURADO","PENDIENTE")))</f>
        <v>FACTURADO</v>
      </c>
      <c r="AG454" s="27">
        <f>IFERROR(VLOOKUP(DATA[[#This Row],[COMBINADA]],#REF!,6,0),0)</f>
        <v>0</v>
      </c>
      <c r="AH454" s="125">
        <f>IFERROR(VLOOKUP(DATA[[#This Row],[COMBINADA]],#REF!,9,0),0)/COUNTIFS(DATA[COMBINADA],DATA[[#This Row],[COMBINADA]])</f>
        <v>0</v>
      </c>
      <c r="AI454" s="27">
        <f>IFERROR(VLOOKUP(DATA[[#This Row],[COMBINADA]],#REF!,6,0),0)</f>
        <v>0</v>
      </c>
      <c r="AJ454" s="125">
        <f>IFERROR(VLOOKUP(DATA[[#This Row],[COMBINADA]],#REF!,9,0),0)/COUNTIFS(DATA[COMBINADA],DATA[[#This Row],[COMBINADA]])</f>
        <v>0</v>
      </c>
      <c r="AK454" s="27">
        <f>IFERROR(VLOOKUP(DATA[[#This Row],[COMBINADA]],#REF!,6,0),0)</f>
        <v>0</v>
      </c>
      <c r="AL454" s="125">
        <f>IFERROR(VLOOKUP(DATA[[#This Row],[COMBINADA]],#REF!,9,0),0)/COUNTIFS(DATA[COMBINADA],DATA[[#This Row],[COMBINADA]])</f>
        <v>0</v>
      </c>
      <c r="AM454" s="27">
        <f>IFERROR(VLOOKUP(DATA[[#This Row],[COMBINADA]],#REF!,6,0),0)</f>
        <v>0</v>
      </c>
      <c r="AN454" s="125">
        <f>IFERROR(VLOOKUP(DATA[[#This Row],[COMBINADA]],#REF!,9,0),0)/COUNTIFS(DATA[COMBINADA],DATA[[#This Row],[COMBINADA]])</f>
        <v>0</v>
      </c>
      <c r="AO454" s="27">
        <f>IFERROR(VLOOKUP(DATA[[#This Row],[COMBINADA]],#REF!,6,0),0)</f>
        <v>0</v>
      </c>
      <c r="AP454" s="125">
        <f>IFERROR(VLOOKUP(DATA[[#This Row],[COMBINADA]],#REF!,9,0),0)/COUNTIFS(DATA[COMBINADA],DATA[[#This Row],[COMBINADA]])</f>
        <v>0</v>
      </c>
      <c r="AQ45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481.00750000000011</v>
      </c>
      <c r="AR454" s="26" t="str">
        <f>IFERROR(IF(DATA[[#This Row],[estado_fact]]="FACTURADO",VLOOKUP(DATA[[#This Row],[SERIE2]]&amp;"-"&amp;DATA[[#This Row],[NUMERO]],#REF!,34,0),"NO CORRESPONDE"),"NO CORRESPONDE")</f>
        <v>NO CORRESPONDE</v>
      </c>
      <c r="AS454" s="22" t="str">
        <f>IF(DATA[[#This Row],[fecha_fs]]&gt;0,TEXT(DATA[[#This Row],[fecha_fs]],"Mmmm"),0)</f>
        <v>Abril</v>
      </c>
      <c r="AT454" s="22" t="str">
        <f>DATA[[#This Row],[SERIE2]]&amp;"-"&amp;DATA[[#This Row],[NUMERO]]</f>
        <v>FF01-76</v>
      </c>
      <c r="AU454" s="28">
        <f>DATA[[#This Row],[TOTAL]]*DATA[[#This Row],[T.C.]]</f>
        <v>481.32</v>
      </c>
      <c r="AV454" s="6">
        <f>DATA[[#This Row],[FECHA DE VAL.]]</f>
        <v>45775</v>
      </c>
      <c r="AW454" s="6">
        <f>DATA[[#This Row],[FECHA DE EMISION]]</f>
        <v>45790</v>
      </c>
      <c r="AX454" s="6">
        <f>DATA[[#This Row],[F1]]</f>
        <v>0</v>
      </c>
      <c r="AY454" s="20">
        <f>IF(AV454-DATA[[#This Row],[fecha_fs]]&lt;0,0,AV454-DATA[[#This Row],[fecha_fs]])</f>
        <v>26</v>
      </c>
      <c r="AZ454" s="20">
        <f t="shared" si="51"/>
        <v>15</v>
      </c>
      <c r="BA454" s="20">
        <f t="shared" si="52"/>
        <v>0</v>
      </c>
      <c r="BB454" s="195">
        <f>IFERROR(SUM(DATA[[#This Row],[fs_val_ttf]:[fact_pago_ttf]]),0)</f>
        <v>41</v>
      </c>
      <c r="BC454" s="185">
        <v>45779</v>
      </c>
      <c r="BD454" s="185">
        <v>45789</v>
      </c>
      <c r="BE454" s="185">
        <v>45796</v>
      </c>
      <c r="BF454" s="185">
        <v>45832</v>
      </c>
      <c r="BG454" s="20">
        <f>IFERROR(IF(BC454-DATA[[#This Row],[fecha_fs]]&lt;0,0,BC454-DATA[[#This Row],[fecha_fs]]),0)</f>
        <v>30</v>
      </c>
      <c r="BH454" s="20">
        <f t="shared" ref="BH454:BH517" si="53">IFERROR(IF(BD454-BC454&lt;0,0,BD454-BC454),0)</f>
        <v>10</v>
      </c>
      <c r="BI454" s="20">
        <f t="shared" ref="BI454:BI517" si="54">IFERROR(IF(BE454-BD454&lt;0,0,BE454-BD454),0)</f>
        <v>7</v>
      </c>
      <c r="BJ454" s="20">
        <f t="shared" ref="BJ454:BJ517" si="55">IFERROR(IF(BF454-BE454&lt;0,0,BF454-BE454),0)</f>
        <v>36</v>
      </c>
      <c r="BK454" s="218">
        <f>IFERROR(SUM(DATA[[#This Row],[fs_fd_ttd]:[fend_fenf_ttd]]),0)</f>
        <v>83</v>
      </c>
      <c r="BL454" s="20" t="str">
        <f>IF(DATA[[#This Row],[fecha_fs]]&gt;0,TEXT(DATA[[#This Row],[fecha_fs]],"YYYY"),0)</f>
        <v>2025</v>
      </c>
      <c r="BM454" s="221" t="b">
        <v>1</v>
      </c>
      <c r="BN454" s="278">
        <f>COUNTIF(DATA[[#This Row],[tiempo_td]], "&lt;=15")</f>
        <v>0</v>
      </c>
      <c r="BO454" s="222"/>
    </row>
    <row r="455" spans="1:67" ht="30.6" customHeight="1" x14ac:dyDescent="0.25">
      <c r="A455" s="4">
        <v>20100192064</v>
      </c>
      <c r="B455" s="5" t="s">
        <v>60</v>
      </c>
      <c r="C455" s="52" t="s">
        <v>43</v>
      </c>
      <c r="D455" s="4" t="s">
        <v>112</v>
      </c>
      <c r="E455" s="5" t="s">
        <v>1</v>
      </c>
      <c r="F455" s="24">
        <v>45749</v>
      </c>
      <c r="G455" s="7" t="s">
        <v>113</v>
      </c>
      <c r="H455" s="25">
        <f t="shared" si="50"/>
        <v>1</v>
      </c>
      <c r="I455" s="67">
        <v>4322</v>
      </c>
      <c r="J455" s="8" t="s">
        <v>115</v>
      </c>
      <c r="K455" s="9" t="s">
        <v>116</v>
      </c>
      <c r="L455" s="10" t="s">
        <v>117</v>
      </c>
      <c r="M455" s="11">
        <v>1050</v>
      </c>
      <c r="N455" s="12" t="s">
        <v>125</v>
      </c>
      <c r="O455" s="6">
        <v>45772</v>
      </c>
      <c r="P455" s="71">
        <v>3408</v>
      </c>
      <c r="Q455" s="14" t="s">
        <v>123</v>
      </c>
      <c r="R455" s="15">
        <f>(DATA[[#This Row],[cantidad_fs]]/1000)*(143+175.34)</f>
        <v>334.25700000000006</v>
      </c>
      <c r="S455" s="15">
        <v>137</v>
      </c>
      <c r="T455" s="15">
        <f>DATA[[#This Row],[C. DF]]+DATA[[#This Row],[C.OPE.]]</f>
        <v>471.25700000000006</v>
      </c>
      <c r="U455" s="15">
        <f>DATA[[#This Row],[SUB TOTAL]]*0.18</f>
        <v>84.826260000000005</v>
      </c>
      <c r="V455" s="15">
        <f>IFERROR(ROUND(DATA[[#This Row],[SUB TOTAL]]+DATA[[#This Row],[IGV]],2),0)</f>
        <v>556.08000000000004</v>
      </c>
      <c r="W455" s="16" t="str">
        <f>IF(DATA[[#This Row],[VALORIZACIÓN ]]="-","NO CORRESPONDE",IF(OR(A455=20558226979,A455=10470707866,A455=20111157058,A455=20100226902),"NO CORRESPONDE",IF(J455="Emitida",IF(P455&gt;0,"EMITIDA","PENDIENTE"),"NO CORRESPONDE")))</f>
        <v>EMITIDA</v>
      </c>
      <c r="X455" s="29"/>
      <c r="Y455" s="17" t="s">
        <v>118</v>
      </c>
      <c r="Z455" s="30">
        <v>45776</v>
      </c>
      <c r="AA455" s="10" t="s">
        <v>150</v>
      </c>
      <c r="AB455" s="19">
        <v>54</v>
      </c>
      <c r="AC455" s="20">
        <v>30</v>
      </c>
      <c r="AD455" s="18">
        <f>DATA[[#This Row],[FECHA DE EMISION]]+DATA[[#This Row],[CONDICION DE PAGO]]</f>
        <v>45806</v>
      </c>
      <c r="AE455" s="23" t="e">
        <f>IF(DATA[[#This Row],[MONEDA]]="USD",VLOOKUP(DATA[[#This Row],[COMBINADA]],#REF!,11,0),1)</f>
        <v>#REF!</v>
      </c>
      <c r="AF455" s="39" t="str">
        <f>IF(DATA[[#This Row],[SERIE2]]="-","NO CORRESPONDE",IF(W455="NO CORRESPONDE","NO CORRESPONDE",IF(Z455&gt;0,"FACTURADO","PENDIENTE")))</f>
        <v>FACTURADO</v>
      </c>
      <c r="AG455" s="27">
        <f>IFERROR(VLOOKUP(DATA[[#This Row],[COMBINADA]],#REF!,6,0),0)</f>
        <v>0</v>
      </c>
      <c r="AH455" s="125">
        <f>IFERROR(VLOOKUP(DATA[[#This Row],[COMBINADA]],#REF!,9,0),0)/COUNTIFS(DATA[COMBINADA],DATA[[#This Row],[COMBINADA]])</f>
        <v>0</v>
      </c>
      <c r="AI455" s="27">
        <f>IFERROR(VLOOKUP(DATA[[#This Row],[COMBINADA]],#REF!,6,0),0)</f>
        <v>0</v>
      </c>
      <c r="AJ455" s="125">
        <f>IFERROR(VLOOKUP(DATA[[#This Row],[COMBINADA]],#REF!,9,0),0)/COUNTIFS(DATA[COMBINADA],DATA[[#This Row],[COMBINADA]])</f>
        <v>0</v>
      </c>
      <c r="AK455" s="27">
        <f>IFERROR(VLOOKUP(DATA[[#This Row],[COMBINADA]],#REF!,6,0),0)</f>
        <v>0</v>
      </c>
      <c r="AL455" s="125">
        <f>IFERROR(VLOOKUP(DATA[[#This Row],[COMBINADA]],#REF!,9,0),0)/COUNTIFS(DATA[COMBINADA],DATA[[#This Row],[COMBINADA]])</f>
        <v>0</v>
      </c>
      <c r="AM455" s="27">
        <f>IFERROR(VLOOKUP(DATA[[#This Row],[COMBINADA]],#REF!,6,0),0)</f>
        <v>0</v>
      </c>
      <c r="AN455" s="125">
        <f>IFERROR(VLOOKUP(DATA[[#This Row],[COMBINADA]],#REF!,9,0),0)/COUNTIFS(DATA[COMBINADA],DATA[[#This Row],[COMBINADA]])</f>
        <v>0</v>
      </c>
      <c r="AO455" s="27">
        <f>IFERROR(VLOOKUP(DATA[[#This Row],[COMBINADA]],#REF!,6,0),0)</f>
        <v>0</v>
      </c>
      <c r="AP455" s="125">
        <f>IFERROR(VLOOKUP(DATA[[#This Row],[COMBINADA]],#REF!,9,0),0)/COUNTIFS(DATA[COMBINADA],DATA[[#This Row],[COMBINADA]])</f>
        <v>0</v>
      </c>
      <c r="AQ45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548.94894736842105</v>
      </c>
      <c r="AR455" s="26" t="str">
        <f>IFERROR(IF(DATA[[#This Row],[estado_fact]]="FACTURADO",VLOOKUP(DATA[[#This Row],[SERIE2]]&amp;"-"&amp;DATA[[#This Row],[NUMERO]],#REF!,34,0),"NO CORRESPONDE"),"NO CORRESPONDE")</f>
        <v>NO CORRESPONDE</v>
      </c>
      <c r="AS455" s="22" t="str">
        <f>IF(DATA[[#This Row],[fecha_fs]]&gt;0,TEXT(DATA[[#This Row],[fecha_fs]],"Mmmm"),0)</f>
        <v>Abril</v>
      </c>
      <c r="AT455" s="22" t="str">
        <f>DATA[[#This Row],[SERIE2]]&amp;"-"&amp;DATA[[#This Row],[NUMERO]]</f>
        <v>FF01-54</v>
      </c>
      <c r="AU455" s="28" t="e">
        <f>DATA[[#This Row],[TOTAL]]*DATA[[#This Row],[T.C.]]</f>
        <v>#REF!</v>
      </c>
      <c r="AV455" s="6">
        <f>DATA[[#This Row],[FECHA DE VAL.]]</f>
        <v>45772</v>
      </c>
      <c r="AW455" s="6">
        <f>DATA[[#This Row],[FECHA DE EMISION]]</f>
        <v>45776</v>
      </c>
      <c r="AX455" s="6">
        <f>DATA[[#This Row],[F1]]</f>
        <v>0</v>
      </c>
      <c r="AY455" s="20">
        <f>IF(AV455-DATA[[#This Row],[fecha_fs]]&lt;0,0,AV455-DATA[[#This Row],[fecha_fs]])</f>
        <v>23</v>
      </c>
      <c r="AZ455" s="20">
        <f t="shared" si="51"/>
        <v>4</v>
      </c>
      <c r="BA455" s="20">
        <f t="shared" si="52"/>
        <v>0</v>
      </c>
      <c r="BB455" s="195">
        <f>IFERROR(SUM(DATA[[#This Row],[fs_val_ttf]:[fact_pago_ttf]]),0)</f>
        <v>27</v>
      </c>
      <c r="BC455" s="185">
        <v>45761</v>
      </c>
      <c r="BD455" s="185">
        <v>45777</v>
      </c>
      <c r="BE455" s="185">
        <v>45786</v>
      </c>
      <c r="BF455" s="185">
        <v>45831</v>
      </c>
      <c r="BG455" s="20">
        <f>IFERROR(IF(BC455-DATA[[#This Row],[fecha_fs]]&lt;0,0,BC455-DATA[[#This Row],[fecha_fs]]),0)</f>
        <v>12</v>
      </c>
      <c r="BH455" s="20">
        <f t="shared" si="53"/>
        <v>16</v>
      </c>
      <c r="BI455" s="20">
        <f t="shared" si="54"/>
        <v>9</v>
      </c>
      <c r="BJ455" s="20">
        <f t="shared" si="55"/>
        <v>45</v>
      </c>
      <c r="BK455" s="218">
        <f>IFERROR(SUM(DATA[[#This Row],[fs_fd_ttd]:[fend_fenf_ttd]]),0)</f>
        <v>82</v>
      </c>
      <c r="BL455" s="20" t="str">
        <f>IF(DATA[[#This Row],[fecha_fs]]&gt;0,TEXT(DATA[[#This Row],[fecha_fs]],"YYYY"),0)</f>
        <v>2025</v>
      </c>
      <c r="BM455" s="221" t="b">
        <v>1</v>
      </c>
      <c r="BN455" s="278">
        <f>COUNTIF(DATA[[#This Row],[tiempo_td]], "&lt;=15")</f>
        <v>0</v>
      </c>
      <c r="BO455" s="222"/>
    </row>
    <row r="456" spans="1:67" ht="30.6" customHeight="1" x14ac:dyDescent="0.25">
      <c r="A456" s="4">
        <v>20100192064</v>
      </c>
      <c r="B456" s="5" t="s">
        <v>60</v>
      </c>
      <c r="C456" s="52" t="s">
        <v>43</v>
      </c>
      <c r="D456" s="4" t="s">
        <v>120</v>
      </c>
      <c r="E456" s="5" t="s">
        <v>3</v>
      </c>
      <c r="F456" s="24">
        <v>45749</v>
      </c>
      <c r="G456" s="7" t="s">
        <v>113</v>
      </c>
      <c r="H456" s="25">
        <f t="shared" si="50"/>
        <v>1</v>
      </c>
      <c r="I456" s="67">
        <v>4323</v>
      </c>
      <c r="J456" s="8" t="s">
        <v>115</v>
      </c>
      <c r="K456" s="9" t="s">
        <v>121</v>
      </c>
      <c r="L456" s="10" t="s">
        <v>117</v>
      </c>
      <c r="M456" s="11">
        <v>530</v>
      </c>
      <c r="N456" s="12" t="s">
        <v>132</v>
      </c>
      <c r="O456" s="6">
        <v>45772</v>
      </c>
      <c r="P456" s="71">
        <v>3407</v>
      </c>
      <c r="Q456" s="14" t="s">
        <v>123</v>
      </c>
      <c r="R456" s="15">
        <f>(DATA[[#This Row],[cantidad_fs]]/1000)*(47+174.34)</f>
        <v>117.31020000000001</v>
      </c>
      <c r="S456" s="15">
        <v>137</v>
      </c>
      <c r="T456" s="15">
        <f>DATA[[#This Row],[C. DF]]+DATA[[#This Row],[C.OPE.]]</f>
        <v>254.31020000000001</v>
      </c>
      <c r="U456" s="15">
        <f>DATA[[#This Row],[SUB TOTAL]]*0.18</f>
        <v>45.775835999999998</v>
      </c>
      <c r="V456" s="15">
        <f>IFERROR(ROUND(DATA[[#This Row],[SUB TOTAL]]+DATA[[#This Row],[IGV]],2),0)</f>
        <v>300.08999999999997</v>
      </c>
      <c r="W456" s="16" t="str">
        <f>IF(DATA[[#This Row],[VALORIZACIÓN ]]="-","NO CORRESPONDE",IF(OR(A456=20558226979,A456=10470707866,A456=20111157058,A456=20100226902),"NO CORRESPONDE",IF(J456="Emitida",IF(P456&gt;0,"EMITIDA","PENDIENTE"),"NO CORRESPONDE")))</f>
        <v>EMITIDA</v>
      </c>
      <c r="X456" s="29"/>
      <c r="Y456" s="17" t="s">
        <v>118</v>
      </c>
      <c r="Z456" s="30">
        <v>45776</v>
      </c>
      <c r="AA456" s="10" t="s">
        <v>150</v>
      </c>
      <c r="AB456" s="19">
        <v>54</v>
      </c>
      <c r="AC456" s="20">
        <v>30</v>
      </c>
      <c r="AD456" s="18">
        <f>DATA[[#This Row],[FECHA DE EMISION]]+DATA[[#This Row],[CONDICION DE PAGO]]</f>
        <v>45806</v>
      </c>
      <c r="AE456" s="23" t="e">
        <f>IF(DATA[[#This Row],[MONEDA]]="USD",VLOOKUP(DATA[[#This Row],[COMBINADA]],#REF!,11,0),1)</f>
        <v>#REF!</v>
      </c>
      <c r="AF456" s="39" t="str">
        <f>IF(DATA[[#This Row],[SERIE2]]="-","NO CORRESPONDE",IF(W456="NO CORRESPONDE","NO CORRESPONDE",IF(Z456&gt;0,"FACTURADO","PENDIENTE")))</f>
        <v>FACTURADO</v>
      </c>
      <c r="AG456" s="27">
        <f>IFERROR(VLOOKUP(DATA[[#This Row],[COMBINADA]],#REF!,6,0),0)</f>
        <v>0</v>
      </c>
      <c r="AH456" s="125">
        <f>IFERROR(VLOOKUP(DATA[[#This Row],[COMBINADA]],#REF!,9,0),0)/COUNTIFS(DATA[COMBINADA],DATA[[#This Row],[COMBINADA]])</f>
        <v>0</v>
      </c>
      <c r="AI456" s="27">
        <f>IFERROR(VLOOKUP(DATA[[#This Row],[COMBINADA]],#REF!,6,0),0)</f>
        <v>0</v>
      </c>
      <c r="AJ456" s="125">
        <f>IFERROR(VLOOKUP(DATA[[#This Row],[COMBINADA]],#REF!,9,0),0)/COUNTIFS(DATA[COMBINADA],DATA[[#This Row],[COMBINADA]])</f>
        <v>0</v>
      </c>
      <c r="AK456" s="27">
        <f>IFERROR(VLOOKUP(DATA[[#This Row],[COMBINADA]],#REF!,6,0),0)</f>
        <v>0</v>
      </c>
      <c r="AL456" s="125">
        <f>IFERROR(VLOOKUP(DATA[[#This Row],[COMBINADA]],#REF!,9,0),0)/COUNTIFS(DATA[COMBINADA],DATA[[#This Row],[COMBINADA]])</f>
        <v>0</v>
      </c>
      <c r="AM456" s="27">
        <f>IFERROR(VLOOKUP(DATA[[#This Row],[COMBINADA]],#REF!,6,0),0)</f>
        <v>0</v>
      </c>
      <c r="AN456" s="125">
        <f>IFERROR(VLOOKUP(DATA[[#This Row],[COMBINADA]],#REF!,9,0),0)/COUNTIFS(DATA[COMBINADA],DATA[[#This Row],[COMBINADA]])</f>
        <v>0</v>
      </c>
      <c r="AO456" s="27">
        <f>IFERROR(VLOOKUP(DATA[[#This Row],[COMBINADA]],#REF!,6,0),0)</f>
        <v>0</v>
      </c>
      <c r="AP456" s="125">
        <f>IFERROR(VLOOKUP(DATA[[#This Row],[COMBINADA]],#REF!,9,0),0)/COUNTIFS(DATA[COMBINADA],DATA[[#This Row],[COMBINADA]])</f>
        <v>0</v>
      </c>
      <c r="AQ45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548.94894736842105</v>
      </c>
      <c r="AR456" s="26" t="str">
        <f>IFERROR(IF(DATA[[#This Row],[estado_fact]]="FACTURADO",VLOOKUP(DATA[[#This Row],[SERIE2]]&amp;"-"&amp;DATA[[#This Row],[NUMERO]],#REF!,34,0),"NO CORRESPONDE"),"NO CORRESPONDE")</f>
        <v>NO CORRESPONDE</v>
      </c>
      <c r="AS456" s="22" t="str">
        <f>IF(DATA[[#This Row],[fecha_fs]]&gt;0,TEXT(DATA[[#This Row],[fecha_fs]],"Mmmm"),0)</f>
        <v>Abril</v>
      </c>
      <c r="AT456" s="22" t="str">
        <f>DATA[[#This Row],[SERIE2]]&amp;"-"&amp;DATA[[#This Row],[NUMERO]]</f>
        <v>FF01-54</v>
      </c>
      <c r="AU456" s="28" t="e">
        <f>DATA[[#This Row],[TOTAL]]*DATA[[#This Row],[T.C.]]</f>
        <v>#REF!</v>
      </c>
      <c r="AV456" s="6">
        <f>DATA[[#This Row],[FECHA DE VAL.]]</f>
        <v>45772</v>
      </c>
      <c r="AW456" s="6">
        <f>DATA[[#This Row],[FECHA DE EMISION]]</f>
        <v>45776</v>
      </c>
      <c r="AX456" s="6">
        <f>DATA[[#This Row],[F1]]</f>
        <v>0</v>
      </c>
      <c r="AY456" s="20">
        <f>IF(AV456-DATA[[#This Row],[fecha_fs]]&lt;0,0,AV456-DATA[[#This Row],[fecha_fs]])</f>
        <v>23</v>
      </c>
      <c r="AZ456" s="20">
        <f t="shared" si="51"/>
        <v>4</v>
      </c>
      <c r="BA456" s="20">
        <f t="shared" si="52"/>
        <v>0</v>
      </c>
      <c r="BB456" s="195">
        <f>IFERROR(SUM(DATA[[#This Row],[fs_val_ttf]:[fact_pago_ttf]]),0)</f>
        <v>27</v>
      </c>
      <c r="BC456" s="185">
        <v>45786</v>
      </c>
      <c r="BD456" s="185">
        <v>45806</v>
      </c>
      <c r="BE456" s="185">
        <v>45810</v>
      </c>
      <c r="BF456" s="185">
        <v>45831</v>
      </c>
      <c r="BG456" s="20">
        <f>IFERROR(IF(BC456-DATA[[#This Row],[fecha_fs]]&lt;0,0,BC456-DATA[[#This Row],[fecha_fs]]),0)</f>
        <v>37</v>
      </c>
      <c r="BH456" s="20">
        <f t="shared" si="53"/>
        <v>20</v>
      </c>
      <c r="BI456" s="20">
        <f t="shared" si="54"/>
        <v>4</v>
      </c>
      <c r="BJ456" s="20">
        <f t="shared" si="55"/>
        <v>21</v>
      </c>
      <c r="BK456" s="218">
        <f>IFERROR(SUM(DATA[[#This Row],[fs_fd_ttd]:[fend_fenf_ttd]]),0)</f>
        <v>82</v>
      </c>
      <c r="BL456" s="20" t="str">
        <f>IF(DATA[[#This Row],[fecha_fs]]&gt;0,TEXT(DATA[[#This Row],[fecha_fs]],"YYYY"),0)</f>
        <v>2025</v>
      </c>
      <c r="BM456" s="221" t="b">
        <v>1</v>
      </c>
      <c r="BN456" s="278">
        <f>COUNTIF(DATA[[#This Row],[tiempo_td]], "&lt;=15")</f>
        <v>0</v>
      </c>
      <c r="BO456" s="222"/>
    </row>
    <row r="457" spans="1:67" ht="30.6" customHeight="1" x14ac:dyDescent="0.25">
      <c r="A457" s="4">
        <v>20454186002</v>
      </c>
      <c r="B457" s="5" t="s">
        <v>25</v>
      </c>
      <c r="C457" s="52" t="s">
        <v>26</v>
      </c>
      <c r="D457" s="4" t="s">
        <v>120</v>
      </c>
      <c r="E457" s="5" t="s">
        <v>3</v>
      </c>
      <c r="F457" s="24">
        <v>45750</v>
      </c>
      <c r="G457" s="7" t="s">
        <v>113</v>
      </c>
      <c r="H457" s="25">
        <f t="shared" si="50"/>
        <v>1</v>
      </c>
      <c r="I457" s="67">
        <v>4324</v>
      </c>
      <c r="J457" s="8" t="s">
        <v>115</v>
      </c>
      <c r="K457" s="9" t="s">
        <v>121</v>
      </c>
      <c r="L457" s="10" t="s">
        <v>117</v>
      </c>
      <c r="M457" s="11">
        <v>1490</v>
      </c>
      <c r="N457" s="12" t="s">
        <v>229</v>
      </c>
      <c r="O457" s="6">
        <v>45751</v>
      </c>
      <c r="P457" s="13">
        <v>3383</v>
      </c>
      <c r="Q457" s="14" t="s">
        <v>85</v>
      </c>
      <c r="R457" s="15">
        <v>2487.7399999999998</v>
      </c>
      <c r="S457" s="74"/>
      <c r="T457" s="15">
        <f>DATA[[#This Row],[C. DF]]+DATA[[#This Row],[C.OPE.]]</f>
        <v>2487.7399999999998</v>
      </c>
      <c r="U457" s="15">
        <f>DATA[[#This Row],[SUB TOTAL]]*0.18</f>
        <v>447.79319999999996</v>
      </c>
      <c r="V457" s="15">
        <f>IFERROR(ROUND(DATA[[#This Row],[SUB TOTAL]]+DATA[[#This Row],[IGV]],2),0)</f>
        <v>2935.53</v>
      </c>
      <c r="W457" s="16" t="str">
        <f>IF(DATA[[#This Row],[VALORIZACIÓN ]]="-","NO CORRESPONDE",IF(OR(A457=20558226979,A457=10470707866,A457=20111157058,A457=20100226902),"NO CORRESPONDE",IF(J457="Emitida",IF(P457&gt;0,"EMITIDA","PENDIENTE"),"NO CORRESPONDE")))</f>
        <v>EMITIDA</v>
      </c>
      <c r="X457" s="29"/>
      <c r="Y457" s="17" t="s">
        <v>118</v>
      </c>
      <c r="Z457" s="30">
        <v>45763</v>
      </c>
      <c r="AA457" s="10" t="s">
        <v>150</v>
      </c>
      <c r="AB457" s="19">
        <v>36</v>
      </c>
      <c r="AC457" s="20">
        <v>5</v>
      </c>
      <c r="AD457" s="18">
        <f>DATA[[#This Row],[FECHA DE EMISION]]+DATA[[#This Row],[CONDICION DE PAGO]]</f>
        <v>45768</v>
      </c>
      <c r="AE457" s="23">
        <f>IF(DATA[[#This Row],[MONEDA]]="USD",VLOOKUP(DATA[[#This Row],[COMBINADA]],#REF!,11,0),1)</f>
        <v>1</v>
      </c>
      <c r="AF457" s="39" t="str">
        <f>IF(DATA[[#This Row],[SERIE2]]="-","NO CORRESPONDE",IF(W457="NO CORRESPONDE","NO CORRESPONDE",IF(Z457&gt;0,"FACTURADO","PENDIENTE")))</f>
        <v>FACTURADO</v>
      </c>
      <c r="AG457" s="27">
        <f>IFERROR(VLOOKUP(DATA[[#This Row],[COMBINADA]],#REF!,6,0),0)</f>
        <v>0</v>
      </c>
      <c r="AH457" s="125">
        <f>IFERROR(VLOOKUP(DATA[[#This Row],[COMBINADA]],#REF!,9,0),0)/COUNTIFS(DATA[COMBINADA],DATA[[#This Row],[COMBINADA]])</f>
        <v>0</v>
      </c>
      <c r="AI457" s="27">
        <f>IFERROR(VLOOKUP(DATA[[#This Row],[COMBINADA]],#REF!,6,0),0)</f>
        <v>0</v>
      </c>
      <c r="AJ457" s="125">
        <f>IFERROR(VLOOKUP(DATA[[#This Row],[COMBINADA]],#REF!,9,0),0)/COUNTIFS(DATA[COMBINADA],DATA[[#This Row],[COMBINADA]])</f>
        <v>0</v>
      </c>
      <c r="AK457" s="27">
        <f>IFERROR(VLOOKUP(DATA[[#This Row],[COMBINADA]],#REF!,6,0),0)</f>
        <v>0</v>
      </c>
      <c r="AL457" s="125">
        <f>IFERROR(VLOOKUP(DATA[[#This Row],[COMBINADA]],#REF!,9,0),0)/COUNTIFS(DATA[COMBINADA],DATA[[#This Row],[COMBINADA]])</f>
        <v>0</v>
      </c>
      <c r="AM457" s="27">
        <f>IFERROR(VLOOKUP(DATA[[#This Row],[COMBINADA]],#REF!,6,0),0)</f>
        <v>0</v>
      </c>
      <c r="AN457" s="125">
        <f>IFERROR(VLOOKUP(DATA[[#This Row],[COMBINADA]],#REF!,9,0),0)/COUNTIFS(DATA[COMBINADA],DATA[[#This Row],[COMBINADA]])</f>
        <v>0</v>
      </c>
      <c r="AO457" s="27">
        <f>IFERROR(VLOOKUP(DATA[[#This Row],[COMBINADA]],#REF!,6,0),0)</f>
        <v>0</v>
      </c>
      <c r="AP457" s="125">
        <f>IFERROR(VLOOKUP(DATA[[#This Row],[COMBINADA]],#REF!,9,0),0)/COUNTIFS(DATA[COMBINADA],DATA[[#This Row],[COMBINADA]])</f>
        <v>0</v>
      </c>
      <c r="AQ45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2935.53</v>
      </c>
      <c r="AR457" s="26" t="str">
        <f>IFERROR(IF(DATA[[#This Row],[estado_fact]]="FACTURADO",VLOOKUP(DATA[[#This Row],[SERIE2]]&amp;"-"&amp;DATA[[#This Row],[NUMERO]],#REF!,34,0),"NO CORRESPONDE"),"NO CORRESPONDE")</f>
        <v>NO CORRESPONDE</v>
      </c>
      <c r="AS457" s="22" t="str">
        <f>IF(DATA[[#This Row],[fecha_fs]]&gt;0,TEXT(DATA[[#This Row],[fecha_fs]],"Mmmm"),0)</f>
        <v>Abril</v>
      </c>
      <c r="AT457" s="22" t="str">
        <f>DATA[[#This Row],[SERIE2]]&amp;"-"&amp;DATA[[#This Row],[NUMERO]]</f>
        <v>FF01-36</v>
      </c>
      <c r="AU457" s="28">
        <f>DATA[[#This Row],[TOTAL]]*DATA[[#This Row],[T.C.]]</f>
        <v>2935.53</v>
      </c>
      <c r="AV457" s="6">
        <f>DATA[[#This Row],[FECHA DE VAL.]]</f>
        <v>45751</v>
      </c>
      <c r="AW457" s="6">
        <f>DATA[[#This Row],[FECHA DE EMISION]]</f>
        <v>45763</v>
      </c>
      <c r="AX457" s="6">
        <f>DATA[[#This Row],[F1]]</f>
        <v>0</v>
      </c>
      <c r="AY457" s="20">
        <f>IF(AV457-DATA[[#This Row],[fecha_fs]]&lt;0,0,AV457-DATA[[#This Row],[fecha_fs]])</f>
        <v>1</v>
      </c>
      <c r="AZ457" s="20">
        <f t="shared" si="51"/>
        <v>12</v>
      </c>
      <c r="BA457" s="20">
        <f t="shared" si="52"/>
        <v>0</v>
      </c>
      <c r="BB457" s="195">
        <f>IFERROR(SUM(DATA[[#This Row],[fs_val_ttf]:[fact_pago_ttf]]),0)</f>
        <v>13</v>
      </c>
      <c r="BC457" s="185">
        <v>45755</v>
      </c>
      <c r="BD457" s="185">
        <v>45777</v>
      </c>
      <c r="BE457" s="185">
        <v>45789</v>
      </c>
      <c r="BF457" s="185">
        <v>45797</v>
      </c>
      <c r="BG457" s="20">
        <f>IFERROR(IF(BC457-DATA[[#This Row],[fecha_fs]]&lt;0,0,BC457-DATA[[#This Row],[fecha_fs]]),0)</f>
        <v>5</v>
      </c>
      <c r="BH457" s="20">
        <f t="shared" si="53"/>
        <v>22</v>
      </c>
      <c r="BI457" s="20">
        <f t="shared" si="54"/>
        <v>12</v>
      </c>
      <c r="BJ457" s="20">
        <f t="shared" si="55"/>
        <v>8</v>
      </c>
      <c r="BK457" s="218">
        <f>IFERROR(SUM(DATA[[#This Row],[fs_fd_ttd]:[fend_fenf_ttd]]),0)</f>
        <v>47</v>
      </c>
      <c r="BL457" s="20" t="str">
        <f>IF(DATA[[#This Row],[fecha_fs]]&gt;0,TEXT(DATA[[#This Row],[fecha_fs]],"YYYY"),0)</f>
        <v>2025</v>
      </c>
      <c r="BM457" s="221" t="b">
        <v>1</v>
      </c>
      <c r="BN457" s="278">
        <f>COUNTIF(DATA[[#This Row],[tiempo_td]], "&lt;=15")</f>
        <v>0</v>
      </c>
      <c r="BO457" s="222"/>
    </row>
    <row r="458" spans="1:67" ht="30.6" customHeight="1" x14ac:dyDescent="0.25">
      <c r="A458" s="4">
        <v>20509128686</v>
      </c>
      <c r="B458" s="5" t="s">
        <v>34</v>
      </c>
      <c r="C458" s="52" t="s">
        <v>227</v>
      </c>
      <c r="D458" s="4" t="s">
        <v>139</v>
      </c>
      <c r="E458" s="5" t="s">
        <v>23</v>
      </c>
      <c r="F458" s="24">
        <v>45750</v>
      </c>
      <c r="G458" s="7" t="s">
        <v>113</v>
      </c>
      <c r="H458" s="25">
        <f t="shared" si="50"/>
        <v>1</v>
      </c>
      <c r="I458" s="67">
        <v>4325</v>
      </c>
      <c r="J458" s="8" t="s">
        <v>115</v>
      </c>
      <c r="K458" s="9" t="s">
        <v>153</v>
      </c>
      <c r="L458" s="10" t="s">
        <v>117</v>
      </c>
      <c r="M458" s="11">
        <v>3920</v>
      </c>
      <c r="N458" s="12" t="s">
        <v>129</v>
      </c>
      <c r="O458" s="6">
        <v>45751</v>
      </c>
      <c r="P458" s="13">
        <v>3384</v>
      </c>
      <c r="Q458" s="14" t="s">
        <v>85</v>
      </c>
      <c r="R458" s="74"/>
      <c r="S458" s="56">
        <v>3023.83</v>
      </c>
      <c r="T458" s="15">
        <f>DATA[[#This Row],[C. DF]]+DATA[[#This Row],[C.OPE.]]</f>
        <v>3023.83</v>
      </c>
      <c r="U458" s="15">
        <f>DATA[[#This Row],[SUB TOTAL]]*0.18</f>
        <v>544.2894</v>
      </c>
      <c r="V458" s="15">
        <f>IFERROR(ROUND(DATA[[#This Row],[SUB TOTAL]]+DATA[[#This Row],[IGV]],2),0)</f>
        <v>3568.12</v>
      </c>
      <c r="W458" s="16" t="str">
        <f>IF(DATA[[#This Row],[VALORIZACIÓN ]]="-","NO CORRESPONDE",IF(OR(A458=20558226979,A458=10470707866,A458=20111157058,A458=20100226902),"NO CORRESPONDE",IF(J458="Emitida",IF(P458&gt;0,"EMITIDA","PENDIENTE"),"NO CORRESPONDE")))</f>
        <v>EMITIDA</v>
      </c>
      <c r="X458" s="29"/>
      <c r="Y458" s="17" t="s">
        <v>118</v>
      </c>
      <c r="Z458" s="30">
        <v>45763</v>
      </c>
      <c r="AA458" s="10" t="s">
        <v>150</v>
      </c>
      <c r="AB458" s="19">
        <v>38</v>
      </c>
      <c r="AC458" s="20">
        <v>7</v>
      </c>
      <c r="AD458" s="18">
        <f>DATA[[#This Row],[FECHA DE EMISION]]+DATA[[#This Row],[CONDICION DE PAGO]]</f>
        <v>45770</v>
      </c>
      <c r="AE458" s="23">
        <f>IF(DATA[[#This Row],[MONEDA]]="USD",VLOOKUP(DATA[[#This Row],[COMBINADA]],#REF!,11,0),1)</f>
        <v>1</v>
      </c>
      <c r="AF458" s="39" t="str">
        <f>IF(DATA[[#This Row],[SERIE2]]="-","NO CORRESPONDE",IF(W458="NO CORRESPONDE","NO CORRESPONDE",IF(Z458&gt;0,"FACTURADO","PENDIENTE")))</f>
        <v>FACTURADO</v>
      </c>
      <c r="AG458" s="27">
        <f>IFERROR(VLOOKUP(DATA[[#This Row],[COMBINADA]],#REF!,6,0),0)</f>
        <v>0</v>
      </c>
      <c r="AH458" s="125">
        <f>IFERROR(VLOOKUP(DATA[[#This Row],[COMBINADA]],#REF!,9,0),0)/COUNTIFS(DATA[COMBINADA],DATA[[#This Row],[COMBINADA]])</f>
        <v>0</v>
      </c>
      <c r="AI458" s="27">
        <f>IFERROR(VLOOKUP(DATA[[#This Row],[COMBINADA]],#REF!,6,0),0)</f>
        <v>0</v>
      </c>
      <c r="AJ458" s="125">
        <f>IFERROR(VLOOKUP(DATA[[#This Row],[COMBINADA]],#REF!,9,0),0)/COUNTIFS(DATA[COMBINADA],DATA[[#This Row],[COMBINADA]])</f>
        <v>0</v>
      </c>
      <c r="AK458" s="27">
        <f>IFERROR(VLOOKUP(DATA[[#This Row],[COMBINADA]],#REF!,6,0),0)</f>
        <v>0</v>
      </c>
      <c r="AL458" s="125">
        <f>IFERROR(VLOOKUP(DATA[[#This Row],[COMBINADA]],#REF!,9,0),0)/COUNTIFS(DATA[COMBINADA],DATA[[#This Row],[COMBINADA]])</f>
        <v>0</v>
      </c>
      <c r="AM458" s="27">
        <f>IFERROR(VLOOKUP(DATA[[#This Row],[COMBINADA]],#REF!,6,0),0)</f>
        <v>0</v>
      </c>
      <c r="AN458" s="125">
        <f>IFERROR(VLOOKUP(DATA[[#This Row],[COMBINADA]],#REF!,9,0),0)/COUNTIFS(DATA[COMBINADA],DATA[[#This Row],[COMBINADA]])</f>
        <v>0</v>
      </c>
      <c r="AO458" s="27">
        <f>IFERROR(VLOOKUP(DATA[[#This Row],[COMBINADA]],#REF!,6,0),0)</f>
        <v>0</v>
      </c>
      <c r="AP458" s="125">
        <f>IFERROR(VLOOKUP(DATA[[#This Row],[COMBINADA]],#REF!,9,0),0)/COUNTIFS(DATA[COMBINADA],DATA[[#This Row],[COMBINADA]])</f>
        <v>0</v>
      </c>
      <c r="AQ45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3568.12</v>
      </c>
      <c r="AR458" s="26" t="str">
        <f>IFERROR(IF(DATA[[#This Row],[estado_fact]]="FACTURADO",VLOOKUP(DATA[[#This Row],[SERIE2]]&amp;"-"&amp;DATA[[#This Row],[NUMERO]],#REF!,34,0),"NO CORRESPONDE"),"NO CORRESPONDE")</f>
        <v>NO CORRESPONDE</v>
      </c>
      <c r="AS458" s="22" t="str">
        <f>IF(DATA[[#This Row],[fecha_fs]]&gt;0,TEXT(DATA[[#This Row],[fecha_fs]],"Mmmm"),0)</f>
        <v>Abril</v>
      </c>
      <c r="AT458" s="22" t="str">
        <f>DATA[[#This Row],[SERIE2]]&amp;"-"&amp;DATA[[#This Row],[NUMERO]]</f>
        <v>FF01-38</v>
      </c>
      <c r="AU458" s="28">
        <f>DATA[[#This Row],[TOTAL]]*DATA[[#This Row],[T.C.]]</f>
        <v>3568.12</v>
      </c>
      <c r="AV458" s="6">
        <f>DATA[[#This Row],[FECHA DE VAL.]]</f>
        <v>45751</v>
      </c>
      <c r="AW458" s="6">
        <f>DATA[[#This Row],[FECHA DE EMISION]]</f>
        <v>45763</v>
      </c>
      <c r="AX458" s="6">
        <f>DATA[[#This Row],[F1]]</f>
        <v>0</v>
      </c>
      <c r="AY458" s="20">
        <f>IF(AV458-DATA[[#This Row],[fecha_fs]]&lt;0,0,AV458-DATA[[#This Row],[fecha_fs]])</f>
        <v>1</v>
      </c>
      <c r="AZ458" s="20">
        <f t="shared" si="51"/>
        <v>12</v>
      </c>
      <c r="BA458" s="20">
        <f t="shared" si="52"/>
        <v>0</v>
      </c>
      <c r="BB458" s="195">
        <f>IFERROR(SUM(DATA[[#This Row],[fs_val_ttf]:[fact_pago_ttf]]),0)</f>
        <v>13</v>
      </c>
      <c r="BC458" s="185" t="s">
        <v>292</v>
      </c>
      <c r="BD458" s="185" t="s">
        <v>292</v>
      </c>
      <c r="BE458" s="185" t="s">
        <v>292</v>
      </c>
      <c r="BF458" s="185" t="s">
        <v>292</v>
      </c>
      <c r="BG458" s="20">
        <f>IFERROR(IF(BC458-DATA[[#This Row],[fecha_fs]]&lt;0,0,BC458-DATA[[#This Row],[fecha_fs]]),0)</f>
        <v>0</v>
      </c>
      <c r="BH458" s="20">
        <f t="shared" si="53"/>
        <v>0</v>
      </c>
      <c r="BI458" s="20">
        <f t="shared" si="54"/>
        <v>0</v>
      </c>
      <c r="BJ458" s="20">
        <f t="shared" si="55"/>
        <v>0</v>
      </c>
      <c r="BK458" s="218">
        <f>IFERROR(SUM(DATA[[#This Row],[fs_fd_ttd]:[fend_fenf_ttd]]),0)</f>
        <v>0</v>
      </c>
      <c r="BL458" s="20" t="str">
        <f>IF(DATA[[#This Row],[fecha_fs]]&gt;0,TEXT(DATA[[#This Row],[fecha_fs]],"YYYY"),0)</f>
        <v>2025</v>
      </c>
      <c r="BM458" s="221" t="b">
        <v>1</v>
      </c>
      <c r="BN458" s="278">
        <f>COUNTIF(DATA[[#This Row],[tiempo_td]], "&lt;=15")</f>
        <v>1</v>
      </c>
      <c r="BO458" s="222"/>
    </row>
    <row r="459" spans="1:67" ht="30.6" customHeight="1" x14ac:dyDescent="0.25">
      <c r="A459" s="4">
        <v>20100055237</v>
      </c>
      <c r="B459" s="5" t="s">
        <v>21</v>
      </c>
      <c r="C459" s="52" t="s">
        <v>138</v>
      </c>
      <c r="D459" s="4" t="s">
        <v>139</v>
      </c>
      <c r="E459" s="5" t="s">
        <v>23</v>
      </c>
      <c r="F459" s="24">
        <v>45750</v>
      </c>
      <c r="G459" s="7" t="s">
        <v>113</v>
      </c>
      <c r="H459" s="25">
        <f t="shared" si="50"/>
        <v>1</v>
      </c>
      <c r="I459" s="67">
        <v>4326</v>
      </c>
      <c r="J459" s="8" t="s">
        <v>115</v>
      </c>
      <c r="K459" s="9" t="s">
        <v>121</v>
      </c>
      <c r="L459" s="10" t="s">
        <v>117</v>
      </c>
      <c r="M459" s="11">
        <v>30</v>
      </c>
      <c r="N459" s="12" t="s">
        <v>132</v>
      </c>
      <c r="O459" s="6">
        <v>45776</v>
      </c>
      <c r="P459" s="54">
        <v>3423</v>
      </c>
      <c r="Q459" s="14" t="s">
        <v>85</v>
      </c>
      <c r="R459" s="74"/>
      <c r="S459" s="15">
        <v>297.92</v>
      </c>
      <c r="T459" s="15">
        <f>DATA[[#This Row],[C. DF]]+DATA[[#This Row],[C.OPE.]]</f>
        <v>297.92</v>
      </c>
      <c r="U459" s="15">
        <f>DATA[[#This Row],[SUB TOTAL]]*0.18</f>
        <v>53.625599999999999</v>
      </c>
      <c r="V459" s="15">
        <f>IFERROR(ROUND(DATA[[#This Row],[SUB TOTAL]]+DATA[[#This Row],[IGV]],2),0)</f>
        <v>351.55</v>
      </c>
      <c r="W459" s="16" t="str">
        <f>IF(DATA[[#This Row],[VALORIZACIÓN ]]="-","NO CORRESPONDE",IF(OR(A459=20558226979,A459=10470707866,A459=20111157058,A459=20100226902),"NO CORRESPONDE",IF(J459="Emitida",IF(P459&gt;0,"EMITIDA","PENDIENTE"),"NO CORRESPONDE")))</f>
        <v>EMITIDA</v>
      </c>
      <c r="X459" s="29"/>
      <c r="Y459" s="17" t="s">
        <v>118</v>
      </c>
      <c r="Z459" s="30">
        <v>45812</v>
      </c>
      <c r="AA459" s="10" t="s">
        <v>150</v>
      </c>
      <c r="AB459" s="19">
        <v>104</v>
      </c>
      <c r="AC459" s="20">
        <v>30</v>
      </c>
      <c r="AD459" s="18">
        <f>DATA[[#This Row],[FECHA DE EMISION]]+DATA[[#This Row],[CONDICION DE PAGO]]</f>
        <v>45842</v>
      </c>
      <c r="AE459" s="23">
        <f>IF(DATA[[#This Row],[MONEDA]]="USD",VLOOKUP(DATA[[#This Row],[COMBINADA]],#REF!,11,0),1)</f>
        <v>1</v>
      </c>
      <c r="AF459" s="39" t="str">
        <f>IF(DATA[[#This Row],[SERIE2]]="-","NO CORRESPONDE",IF(W459="NO CORRESPONDE","NO CORRESPONDE",IF(Z459&gt;0,"FACTURADO","PENDIENTE")))</f>
        <v>FACTURADO</v>
      </c>
      <c r="AG459" s="27">
        <f>IFERROR(VLOOKUP(DATA[[#This Row],[COMBINADA]],#REF!,6,0),0)</f>
        <v>0</v>
      </c>
      <c r="AH459" s="125">
        <f>IFERROR(VLOOKUP(DATA[[#This Row],[COMBINADA]],#REF!,9,0),0)/COUNTIFS(DATA[COMBINADA],DATA[[#This Row],[COMBINADA]])</f>
        <v>0</v>
      </c>
      <c r="AI459" s="27">
        <f>IFERROR(VLOOKUP(DATA[[#This Row],[COMBINADA]],#REF!,6,0),0)</f>
        <v>0</v>
      </c>
      <c r="AJ459" s="125">
        <f>IFERROR(VLOOKUP(DATA[[#This Row],[COMBINADA]],#REF!,9,0),0)/COUNTIFS(DATA[COMBINADA],DATA[[#This Row],[COMBINADA]])</f>
        <v>0</v>
      </c>
      <c r="AK459" s="27">
        <f>IFERROR(VLOOKUP(DATA[[#This Row],[COMBINADA]],#REF!,6,0),0)</f>
        <v>0</v>
      </c>
      <c r="AL459" s="125">
        <f>IFERROR(VLOOKUP(DATA[[#This Row],[COMBINADA]],#REF!,9,0),0)/COUNTIFS(DATA[COMBINADA],DATA[[#This Row],[COMBINADA]])</f>
        <v>0</v>
      </c>
      <c r="AM459" s="27">
        <f>IFERROR(VLOOKUP(DATA[[#This Row],[COMBINADA]],#REF!,6,0),0)</f>
        <v>0</v>
      </c>
      <c r="AN459" s="125">
        <f>IFERROR(VLOOKUP(DATA[[#This Row],[COMBINADA]],#REF!,9,0),0)/COUNTIFS(DATA[COMBINADA],DATA[[#This Row],[COMBINADA]])</f>
        <v>0</v>
      </c>
      <c r="AO459" s="27">
        <f>IFERROR(VLOOKUP(DATA[[#This Row],[COMBINADA]],#REF!,6,0),0)</f>
        <v>0</v>
      </c>
      <c r="AP459" s="125">
        <f>IFERROR(VLOOKUP(DATA[[#This Row],[COMBINADA]],#REF!,9,0),0)/COUNTIFS(DATA[COMBINADA],DATA[[#This Row],[COMBINADA]])</f>
        <v>0</v>
      </c>
      <c r="AQ45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459" s="26" t="str">
        <f>IFERROR(IF(DATA[[#This Row],[estado_fact]]="FACTURADO",VLOOKUP(DATA[[#This Row],[SERIE2]]&amp;"-"&amp;DATA[[#This Row],[NUMERO]],#REF!,34,0),"NO CORRESPONDE"),"NO CORRESPONDE")</f>
        <v>NO CORRESPONDE</v>
      </c>
      <c r="AS459" s="22" t="str">
        <f>IF(DATA[[#This Row],[fecha_fs]]&gt;0,TEXT(DATA[[#This Row],[fecha_fs]],"Mmmm"),0)</f>
        <v>Abril</v>
      </c>
      <c r="AT459" s="22" t="str">
        <f>DATA[[#This Row],[SERIE2]]&amp;"-"&amp;DATA[[#This Row],[NUMERO]]</f>
        <v>FF01-104</v>
      </c>
      <c r="AU459" s="28">
        <f>DATA[[#This Row],[TOTAL]]*DATA[[#This Row],[T.C.]]</f>
        <v>351.55</v>
      </c>
      <c r="AV459" s="6">
        <f>DATA[[#This Row],[FECHA DE VAL.]]</f>
        <v>45776</v>
      </c>
      <c r="AW459" s="6">
        <f>DATA[[#This Row],[FECHA DE EMISION]]</f>
        <v>45812</v>
      </c>
      <c r="AX459" s="6">
        <f>DATA[[#This Row],[F1]]</f>
        <v>0</v>
      </c>
      <c r="AY459" s="20">
        <f>IF(AV459-DATA[[#This Row],[fecha_fs]]&lt;0,0,AV459-DATA[[#This Row],[fecha_fs]])</f>
        <v>26</v>
      </c>
      <c r="AZ459" s="20">
        <f t="shared" si="51"/>
        <v>36</v>
      </c>
      <c r="BA459" s="20">
        <f t="shared" si="52"/>
        <v>0</v>
      </c>
      <c r="BB459" s="195">
        <f>IFERROR(SUM(DATA[[#This Row],[fs_val_ttf]:[fact_pago_ttf]]),0)</f>
        <v>62</v>
      </c>
      <c r="BC459" s="185">
        <v>45750</v>
      </c>
      <c r="BD459" s="185">
        <v>45750</v>
      </c>
      <c r="BE459" s="185">
        <v>45782</v>
      </c>
      <c r="BF459" s="185">
        <v>45782</v>
      </c>
      <c r="BG459" s="20">
        <f>IFERROR(IF(BC459-DATA[[#This Row],[fecha_fs]]&lt;0,0,BC459-DATA[[#This Row],[fecha_fs]]),0)</f>
        <v>0</v>
      </c>
      <c r="BH459" s="20">
        <f t="shared" si="53"/>
        <v>0</v>
      </c>
      <c r="BI459" s="20">
        <f t="shared" si="54"/>
        <v>32</v>
      </c>
      <c r="BJ459" s="20">
        <f t="shared" si="55"/>
        <v>0</v>
      </c>
      <c r="BK459" s="218">
        <f>IFERROR(SUM(DATA[[#This Row],[fs_fd_ttd]:[fend_fenf_ttd]]),0)</f>
        <v>32</v>
      </c>
      <c r="BL459" s="20" t="str">
        <f>IF(DATA[[#This Row],[fecha_fs]]&gt;0,TEXT(DATA[[#This Row],[fecha_fs]],"YYYY"),0)</f>
        <v>2025</v>
      </c>
      <c r="BM459" s="221" t="b">
        <v>1</v>
      </c>
      <c r="BN459" s="278">
        <f>COUNTIF(DATA[[#This Row],[tiempo_td]], "&lt;=15")</f>
        <v>0</v>
      </c>
      <c r="BO459" s="222"/>
    </row>
    <row r="460" spans="1:67" ht="30.6" customHeight="1" x14ac:dyDescent="0.25">
      <c r="A460" s="4">
        <v>20496535066</v>
      </c>
      <c r="B460" s="5" t="s">
        <v>36</v>
      </c>
      <c r="C460" s="52" t="s">
        <v>230</v>
      </c>
      <c r="D460" s="4" t="s">
        <v>120</v>
      </c>
      <c r="E460" s="5" t="s">
        <v>3</v>
      </c>
      <c r="F460" s="24">
        <v>45750</v>
      </c>
      <c r="G460" s="7" t="s">
        <v>113</v>
      </c>
      <c r="H460" s="25">
        <f t="shared" si="50"/>
        <v>1</v>
      </c>
      <c r="I460" s="67">
        <v>4327</v>
      </c>
      <c r="J460" s="8" t="s">
        <v>115</v>
      </c>
      <c r="K460" s="9" t="s">
        <v>121</v>
      </c>
      <c r="L460" s="10" t="s">
        <v>117</v>
      </c>
      <c r="M460" s="11">
        <v>50</v>
      </c>
      <c r="N460" s="12" t="s">
        <v>125</v>
      </c>
      <c r="O460" s="6">
        <v>45763</v>
      </c>
      <c r="P460" s="13">
        <v>3395</v>
      </c>
      <c r="Q460" s="14" t="s">
        <v>85</v>
      </c>
      <c r="R460" s="15">
        <v>154</v>
      </c>
      <c r="S460" s="15">
        <f>1383.68/2</f>
        <v>691.84</v>
      </c>
      <c r="T460" s="15">
        <f>DATA[[#This Row],[C. DF]]+DATA[[#This Row],[C.OPE.]]</f>
        <v>845.84</v>
      </c>
      <c r="U460" s="15">
        <f>DATA[[#This Row],[SUB TOTAL]]*0.18</f>
        <v>152.25120000000001</v>
      </c>
      <c r="V460" s="15">
        <f>IFERROR(ROUND(DATA[[#This Row],[SUB TOTAL]]+DATA[[#This Row],[IGV]],2),0)</f>
        <v>998.09</v>
      </c>
      <c r="W460" s="16" t="str">
        <f>IF(DATA[[#This Row],[VALORIZACIÓN ]]="-","NO CORRESPONDE",IF(OR(A460=20558226979,A460=10470707866,A460=20111157058,A460=20100226902),"NO CORRESPONDE",IF(J460="Emitida",IF(P460&gt;0,"EMITIDA","PENDIENTE"),"NO CORRESPONDE")))</f>
        <v>EMITIDA</v>
      </c>
      <c r="X460" s="29" t="s">
        <v>231</v>
      </c>
      <c r="Y460" s="17" t="s">
        <v>118</v>
      </c>
      <c r="Z460" s="30">
        <v>45852</v>
      </c>
      <c r="AA460" s="10" t="s">
        <v>150</v>
      </c>
      <c r="AB460" s="19">
        <v>178</v>
      </c>
      <c r="AC460" s="20">
        <v>15</v>
      </c>
      <c r="AD460" s="18">
        <f>DATA[[#This Row],[FECHA DE EMISION]]+DATA[[#This Row],[CONDICION DE PAGO]]</f>
        <v>45867</v>
      </c>
      <c r="AE460" s="23">
        <f>IF(DATA[[#This Row],[MONEDA]]="USD",VLOOKUP(DATA[[#This Row],[COMBINADA]],#REF!,11,0),1)</f>
        <v>1</v>
      </c>
      <c r="AF460" s="39" t="str">
        <f>IF(DATA[[#This Row],[SERIE2]]="-","NO CORRESPONDE",IF(W460="NO CORRESPONDE","NO CORRESPONDE",IF(Z460&gt;0,"FACTURADO","PENDIENTE")))</f>
        <v>FACTURADO</v>
      </c>
      <c r="AG460" s="27">
        <f>IFERROR(VLOOKUP(DATA[[#This Row],[COMBINADA]],#REF!,6,0),0)</f>
        <v>0</v>
      </c>
      <c r="AH460" s="125">
        <f>IFERROR(VLOOKUP(DATA[[#This Row],[COMBINADA]],#REF!,9,0),0)/COUNTIFS(DATA[COMBINADA],DATA[[#This Row],[COMBINADA]])</f>
        <v>0</v>
      </c>
      <c r="AI460" s="27">
        <f>IFERROR(VLOOKUP(DATA[[#This Row],[COMBINADA]],#REF!,6,0),0)</f>
        <v>0</v>
      </c>
      <c r="AJ460" s="125">
        <f>IFERROR(VLOOKUP(DATA[[#This Row],[COMBINADA]],#REF!,9,0),0)/COUNTIFS(DATA[COMBINADA],DATA[[#This Row],[COMBINADA]])</f>
        <v>0</v>
      </c>
      <c r="AK460" s="27">
        <f>IFERROR(VLOOKUP(DATA[[#This Row],[COMBINADA]],#REF!,6,0),0)</f>
        <v>0</v>
      </c>
      <c r="AL460" s="125">
        <f>IFERROR(VLOOKUP(DATA[[#This Row],[COMBINADA]],#REF!,9,0),0)/COUNTIFS(DATA[COMBINADA],DATA[[#This Row],[COMBINADA]])</f>
        <v>0</v>
      </c>
      <c r="AM460" s="27">
        <f>IFERROR(VLOOKUP(DATA[[#This Row],[COMBINADA]],#REF!,6,0),0)</f>
        <v>0</v>
      </c>
      <c r="AN460" s="125">
        <f>IFERROR(VLOOKUP(DATA[[#This Row],[COMBINADA]],#REF!,9,0),0)/COUNTIFS(DATA[COMBINADA],DATA[[#This Row],[COMBINADA]])</f>
        <v>0</v>
      </c>
      <c r="AO460" s="27">
        <f>IFERROR(VLOOKUP(DATA[[#This Row],[COMBINADA]],#REF!,6,0),0)</f>
        <v>0</v>
      </c>
      <c r="AP460" s="125">
        <f>IFERROR(VLOOKUP(DATA[[#This Row],[COMBINADA]],#REF!,9,0),0)/COUNTIFS(DATA[COMBINADA],DATA[[#This Row],[COMBINADA]])</f>
        <v>0</v>
      </c>
      <c r="AQ46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1048.83</v>
      </c>
      <c r="AR460" s="26" t="str">
        <f>IFERROR(IF(DATA[[#This Row],[estado_fact]]="FACTURADO",VLOOKUP(DATA[[#This Row],[SERIE2]]&amp;"-"&amp;DATA[[#This Row],[NUMERO]],#REF!,34,0),"NO CORRESPONDE"),"NO CORRESPONDE")</f>
        <v>NO CORRESPONDE</v>
      </c>
      <c r="AS460" s="22" t="str">
        <f>IF(DATA[[#This Row],[fecha_fs]]&gt;0,TEXT(DATA[[#This Row],[fecha_fs]],"Mmmm"),0)</f>
        <v>Abril</v>
      </c>
      <c r="AT460" s="22" t="str">
        <f>DATA[[#This Row],[SERIE2]]&amp;"-"&amp;DATA[[#This Row],[NUMERO]]</f>
        <v>FF01-178</v>
      </c>
      <c r="AU460" s="28">
        <f>DATA[[#This Row],[TOTAL]]*DATA[[#This Row],[T.C.]]</f>
        <v>998.09</v>
      </c>
      <c r="AV460" s="6">
        <f>DATA[[#This Row],[FECHA DE VAL.]]</f>
        <v>45763</v>
      </c>
      <c r="AW460" s="6">
        <f>DATA[[#This Row],[FECHA DE EMISION]]</f>
        <v>45852</v>
      </c>
      <c r="AX460" s="6">
        <f>DATA[[#This Row],[F1]]</f>
        <v>0</v>
      </c>
      <c r="AY460" s="20">
        <f>IF(AV460-DATA[[#This Row],[fecha_fs]]&lt;0,0,AV460-DATA[[#This Row],[fecha_fs]])</f>
        <v>13</v>
      </c>
      <c r="AZ460" s="20">
        <f t="shared" si="51"/>
        <v>89</v>
      </c>
      <c r="BA460" s="20">
        <f t="shared" si="52"/>
        <v>0</v>
      </c>
      <c r="BB460" s="195">
        <f>IFERROR(SUM(DATA[[#This Row],[fs_val_ttf]:[fact_pago_ttf]]),0)</f>
        <v>102</v>
      </c>
      <c r="BC460" s="185">
        <v>45757</v>
      </c>
      <c r="BD460" s="185">
        <v>45789</v>
      </c>
      <c r="BE460" s="185">
        <v>45797</v>
      </c>
      <c r="BF460" s="185">
        <v>45798</v>
      </c>
      <c r="BG460" s="20">
        <f>IFERROR(IF(BC460-DATA[[#This Row],[fecha_fs]]&lt;0,0,BC460-DATA[[#This Row],[fecha_fs]]),0)</f>
        <v>7</v>
      </c>
      <c r="BH460" s="20">
        <f t="shared" si="53"/>
        <v>32</v>
      </c>
      <c r="BI460" s="20">
        <f t="shared" si="54"/>
        <v>8</v>
      </c>
      <c r="BJ460" s="20">
        <f t="shared" si="55"/>
        <v>1</v>
      </c>
      <c r="BK460" s="218">
        <f>IFERROR(SUM(DATA[[#This Row],[fs_fd_ttd]:[fend_fenf_ttd]]),0)</f>
        <v>48</v>
      </c>
      <c r="BL460" s="20" t="str">
        <f>IF(DATA[[#This Row],[fecha_fs]]&gt;0,TEXT(DATA[[#This Row],[fecha_fs]],"YYYY"),0)</f>
        <v>2025</v>
      </c>
      <c r="BM460" s="221" t="b">
        <v>1</v>
      </c>
      <c r="BN460" s="278">
        <f>COUNTIF(DATA[[#This Row],[tiempo_td]], "&lt;=15")</f>
        <v>0</v>
      </c>
      <c r="BO460" s="222"/>
    </row>
    <row r="461" spans="1:67" ht="30.6" customHeight="1" x14ac:dyDescent="0.25">
      <c r="A461" s="4">
        <v>20496535066</v>
      </c>
      <c r="B461" s="5" t="s">
        <v>36</v>
      </c>
      <c r="C461" s="52" t="s">
        <v>230</v>
      </c>
      <c r="D461" s="4" t="s">
        <v>112</v>
      </c>
      <c r="E461" s="5" t="s">
        <v>1</v>
      </c>
      <c r="F461" s="24">
        <v>45750</v>
      </c>
      <c r="G461" s="7" t="s">
        <v>113</v>
      </c>
      <c r="H461" s="25">
        <f t="shared" si="50"/>
        <v>1</v>
      </c>
      <c r="I461" s="67">
        <v>4328</v>
      </c>
      <c r="J461" s="8" t="s">
        <v>115</v>
      </c>
      <c r="K461" s="9" t="s">
        <v>116</v>
      </c>
      <c r="L461" s="10" t="s">
        <v>117</v>
      </c>
      <c r="M461" s="11">
        <v>6</v>
      </c>
      <c r="N461" s="12" t="s">
        <v>125</v>
      </c>
      <c r="O461" s="6">
        <v>45763</v>
      </c>
      <c r="P461" s="13">
        <v>3395</v>
      </c>
      <c r="Q461" s="14" t="s">
        <v>85</v>
      </c>
      <c r="R461" s="15">
        <v>240</v>
      </c>
      <c r="S461" s="15">
        <f>1383.68/2</f>
        <v>691.84</v>
      </c>
      <c r="T461" s="15">
        <f>DATA[[#This Row],[C. DF]]+DATA[[#This Row],[C.OPE.]]</f>
        <v>931.84</v>
      </c>
      <c r="U461" s="15">
        <f>DATA[[#This Row],[SUB TOTAL]]*0.18</f>
        <v>167.7312</v>
      </c>
      <c r="V461" s="15">
        <f>IFERROR(ROUND(DATA[[#This Row],[SUB TOTAL]]+DATA[[#This Row],[IGV]],2),0)</f>
        <v>1099.57</v>
      </c>
      <c r="W461" s="16" t="str">
        <f>IF(DATA[[#This Row],[VALORIZACIÓN ]]="-","NO CORRESPONDE",IF(OR(A461=20558226979,A461=10470707866,A461=20111157058,A461=20100226902),"NO CORRESPONDE",IF(J461="Emitida",IF(P461&gt;0,"EMITIDA","PENDIENTE"),"NO CORRESPONDE")))</f>
        <v>EMITIDA</v>
      </c>
      <c r="X461" s="29" t="s">
        <v>231</v>
      </c>
      <c r="Y461" s="17" t="s">
        <v>118</v>
      </c>
      <c r="Z461" s="30">
        <v>45852</v>
      </c>
      <c r="AA461" s="10" t="s">
        <v>150</v>
      </c>
      <c r="AB461" s="19">
        <v>178</v>
      </c>
      <c r="AC461" s="20">
        <v>15</v>
      </c>
      <c r="AD461" s="18">
        <f>DATA[[#This Row],[FECHA DE EMISION]]+DATA[[#This Row],[CONDICION DE PAGO]]</f>
        <v>45867</v>
      </c>
      <c r="AE461" s="23">
        <f>IF(DATA[[#This Row],[MONEDA]]="USD",VLOOKUP(DATA[[#This Row],[COMBINADA]],#REF!,11,0),1)</f>
        <v>1</v>
      </c>
      <c r="AF461" s="39" t="str">
        <f>IF(DATA[[#This Row],[SERIE2]]="-","NO CORRESPONDE",IF(W461="NO CORRESPONDE","NO CORRESPONDE",IF(Z461&gt;0,"FACTURADO","PENDIENTE")))</f>
        <v>FACTURADO</v>
      </c>
      <c r="AG461" s="27">
        <f>IFERROR(VLOOKUP(DATA[[#This Row],[COMBINADA]],#REF!,6,0),0)</f>
        <v>0</v>
      </c>
      <c r="AH461" s="125">
        <f>IFERROR(VLOOKUP(DATA[[#This Row],[COMBINADA]],#REF!,9,0),0)/COUNTIFS(DATA[COMBINADA],DATA[[#This Row],[COMBINADA]])</f>
        <v>0</v>
      </c>
      <c r="AI461" s="27">
        <f>IFERROR(VLOOKUP(DATA[[#This Row],[COMBINADA]],#REF!,6,0),0)</f>
        <v>0</v>
      </c>
      <c r="AJ461" s="125">
        <f>IFERROR(VLOOKUP(DATA[[#This Row],[COMBINADA]],#REF!,9,0),0)/COUNTIFS(DATA[COMBINADA],DATA[[#This Row],[COMBINADA]])</f>
        <v>0</v>
      </c>
      <c r="AK461" s="27">
        <f>IFERROR(VLOOKUP(DATA[[#This Row],[COMBINADA]],#REF!,6,0),0)</f>
        <v>0</v>
      </c>
      <c r="AL461" s="125">
        <f>IFERROR(VLOOKUP(DATA[[#This Row],[COMBINADA]],#REF!,9,0),0)/COUNTIFS(DATA[COMBINADA],DATA[[#This Row],[COMBINADA]])</f>
        <v>0</v>
      </c>
      <c r="AM461" s="27">
        <f>IFERROR(VLOOKUP(DATA[[#This Row],[COMBINADA]],#REF!,6,0),0)</f>
        <v>0</v>
      </c>
      <c r="AN461" s="125">
        <f>IFERROR(VLOOKUP(DATA[[#This Row],[COMBINADA]],#REF!,9,0),0)/COUNTIFS(DATA[COMBINADA],DATA[[#This Row],[COMBINADA]])</f>
        <v>0</v>
      </c>
      <c r="AO461" s="27">
        <f>IFERROR(VLOOKUP(DATA[[#This Row],[COMBINADA]],#REF!,6,0),0)</f>
        <v>0</v>
      </c>
      <c r="AP461" s="125">
        <f>IFERROR(VLOOKUP(DATA[[#This Row],[COMBINADA]],#REF!,9,0),0)/COUNTIFS(DATA[COMBINADA],DATA[[#This Row],[COMBINADA]])</f>
        <v>0</v>
      </c>
      <c r="AQ46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1048.83</v>
      </c>
      <c r="AR461" s="26" t="str">
        <f>IFERROR(IF(DATA[[#This Row],[estado_fact]]="FACTURADO",VLOOKUP(DATA[[#This Row],[SERIE2]]&amp;"-"&amp;DATA[[#This Row],[NUMERO]],#REF!,34,0),"NO CORRESPONDE"),"NO CORRESPONDE")</f>
        <v>NO CORRESPONDE</v>
      </c>
      <c r="AS461" s="22" t="str">
        <f>IF(DATA[[#This Row],[fecha_fs]]&gt;0,TEXT(DATA[[#This Row],[fecha_fs]],"Mmmm"),0)</f>
        <v>Abril</v>
      </c>
      <c r="AT461" s="22" t="str">
        <f>DATA[[#This Row],[SERIE2]]&amp;"-"&amp;DATA[[#This Row],[NUMERO]]</f>
        <v>FF01-178</v>
      </c>
      <c r="AU461" s="28">
        <f>DATA[[#This Row],[TOTAL]]*DATA[[#This Row],[T.C.]]</f>
        <v>1099.57</v>
      </c>
      <c r="AV461" s="6">
        <f>DATA[[#This Row],[FECHA DE VAL.]]</f>
        <v>45763</v>
      </c>
      <c r="AW461" s="6">
        <f>DATA[[#This Row],[FECHA DE EMISION]]</f>
        <v>45852</v>
      </c>
      <c r="AX461" s="6">
        <f>DATA[[#This Row],[F1]]</f>
        <v>0</v>
      </c>
      <c r="AY461" s="20">
        <f>IF(AV461-DATA[[#This Row],[fecha_fs]]&lt;0,0,AV461-DATA[[#This Row],[fecha_fs]])</f>
        <v>13</v>
      </c>
      <c r="AZ461" s="20">
        <f t="shared" si="51"/>
        <v>89</v>
      </c>
      <c r="BA461" s="20">
        <f t="shared" si="52"/>
        <v>0</v>
      </c>
      <c r="BB461" s="195">
        <f>IFERROR(SUM(DATA[[#This Row],[fs_val_ttf]:[fact_pago_ttf]]),0)</f>
        <v>102</v>
      </c>
      <c r="BC461" s="185">
        <v>45756</v>
      </c>
      <c r="BD461" s="185">
        <v>45789</v>
      </c>
      <c r="BE461" s="185">
        <v>45797</v>
      </c>
      <c r="BF461" s="185">
        <v>45798</v>
      </c>
      <c r="BG461" s="20">
        <f>IFERROR(IF(BC461-DATA[[#This Row],[fecha_fs]]&lt;0,0,BC461-DATA[[#This Row],[fecha_fs]]),0)</f>
        <v>6</v>
      </c>
      <c r="BH461" s="20">
        <f t="shared" si="53"/>
        <v>33</v>
      </c>
      <c r="BI461" s="20">
        <f t="shared" si="54"/>
        <v>8</v>
      </c>
      <c r="BJ461" s="20">
        <f t="shared" si="55"/>
        <v>1</v>
      </c>
      <c r="BK461" s="218">
        <f>IFERROR(SUM(DATA[[#This Row],[fs_fd_ttd]:[fend_fenf_ttd]]),0)</f>
        <v>48</v>
      </c>
      <c r="BL461" s="20" t="str">
        <f>IF(DATA[[#This Row],[fecha_fs]]&gt;0,TEXT(DATA[[#This Row],[fecha_fs]],"YYYY"),0)</f>
        <v>2025</v>
      </c>
      <c r="BM461" s="221" t="b">
        <v>1</v>
      </c>
      <c r="BN461" s="278">
        <f>COUNTIF(DATA[[#This Row],[tiempo_td]], "&lt;=15")</f>
        <v>0</v>
      </c>
      <c r="BO461" s="222"/>
    </row>
    <row r="462" spans="1:67" ht="30.6" customHeight="1" x14ac:dyDescent="0.25">
      <c r="A462" s="4">
        <v>20496535066</v>
      </c>
      <c r="B462" s="5" t="s">
        <v>36</v>
      </c>
      <c r="C462" s="52" t="s">
        <v>230</v>
      </c>
      <c r="D462" s="4" t="s">
        <v>120</v>
      </c>
      <c r="E462" s="5" t="s">
        <v>3</v>
      </c>
      <c r="F462" s="24">
        <v>45750</v>
      </c>
      <c r="G462" s="7" t="s">
        <v>113</v>
      </c>
      <c r="H462" s="25">
        <f t="shared" si="50"/>
        <v>1</v>
      </c>
      <c r="I462" s="67">
        <v>4329</v>
      </c>
      <c r="J462" s="8" t="s">
        <v>115</v>
      </c>
      <c r="K462" s="9" t="s">
        <v>121</v>
      </c>
      <c r="L462" s="10" t="s">
        <v>117</v>
      </c>
      <c r="M462" s="11">
        <v>19350</v>
      </c>
      <c r="N462" s="12" t="s">
        <v>233</v>
      </c>
      <c r="O462" s="6">
        <v>45777</v>
      </c>
      <c r="P462" s="122">
        <v>3430</v>
      </c>
      <c r="Q462" s="14" t="s">
        <v>85</v>
      </c>
      <c r="R462" s="15">
        <f>DATA[[#This Row],[cantidad_fs]]*0.08</f>
        <v>1548</v>
      </c>
      <c r="S462" s="15">
        <f>2945/2</f>
        <v>1472.5</v>
      </c>
      <c r="T462" s="15">
        <f>DATA[[#This Row],[C. DF]]+DATA[[#This Row],[C.OPE.]]</f>
        <v>3020.5</v>
      </c>
      <c r="U462" s="15">
        <f>DATA[[#This Row],[SUB TOTAL]]*0.18</f>
        <v>543.68999999999994</v>
      </c>
      <c r="V462" s="15">
        <f>IFERROR(ROUND(DATA[[#This Row],[SUB TOTAL]]+DATA[[#This Row],[IGV]],2),0)</f>
        <v>3564.19</v>
      </c>
      <c r="W462" s="16" t="str">
        <f>IF(DATA[[#This Row],[VALORIZACIÓN ]]="-","NO CORRESPONDE",IF(OR(A462=20558226979,A462=10470707866,A462=20111157058,A462=20100226902),"NO CORRESPONDE",IF(J462="Emitida",IF(P462&gt;0,"EMITIDA","PENDIENTE"),"NO CORRESPONDE")))</f>
        <v>EMITIDA</v>
      </c>
      <c r="X462" s="29" t="s">
        <v>231</v>
      </c>
      <c r="Y462" s="17" t="s">
        <v>118</v>
      </c>
      <c r="Z462" s="30">
        <v>45831</v>
      </c>
      <c r="AA462" s="10" t="s">
        <v>150</v>
      </c>
      <c r="AB462" s="19">
        <v>129</v>
      </c>
      <c r="AC462" s="20">
        <v>15</v>
      </c>
      <c r="AD462" s="18">
        <f>DATA[[#This Row],[FECHA DE EMISION]]+DATA[[#This Row],[CONDICION DE PAGO]]</f>
        <v>45846</v>
      </c>
      <c r="AE462" s="23">
        <f>IF(DATA[[#This Row],[MONEDA]]="USD",VLOOKUP(DATA[[#This Row],[COMBINADA]],#REF!,11,0),1)</f>
        <v>1</v>
      </c>
      <c r="AF462" s="39" t="str">
        <f>IF(DATA[[#This Row],[SERIE2]]="-","NO CORRESPONDE",IF(W462="NO CORRESPONDE","NO CORRESPONDE",IF(Z462&gt;0,"FACTURADO","PENDIENTE")))</f>
        <v>FACTURADO</v>
      </c>
      <c r="AG462" s="27">
        <f>IFERROR(VLOOKUP(DATA[[#This Row],[COMBINADA]],#REF!,6,0),0)</f>
        <v>0</v>
      </c>
      <c r="AH462" s="125">
        <f>IFERROR(VLOOKUP(DATA[[#This Row],[COMBINADA]],#REF!,9,0),0)/COUNTIFS(DATA[COMBINADA],DATA[[#This Row],[COMBINADA]])</f>
        <v>0</v>
      </c>
      <c r="AI462" s="27">
        <f>IFERROR(VLOOKUP(DATA[[#This Row],[COMBINADA]],#REF!,6,0),0)</f>
        <v>0</v>
      </c>
      <c r="AJ462" s="125">
        <f>IFERROR(VLOOKUP(DATA[[#This Row],[COMBINADA]],#REF!,9,0),0)/COUNTIFS(DATA[COMBINADA],DATA[[#This Row],[COMBINADA]])</f>
        <v>0</v>
      </c>
      <c r="AK462" s="27">
        <f>IFERROR(VLOOKUP(DATA[[#This Row],[COMBINADA]],#REF!,6,0),0)</f>
        <v>0</v>
      </c>
      <c r="AL462" s="125">
        <f>IFERROR(VLOOKUP(DATA[[#This Row],[COMBINADA]],#REF!,9,0),0)/COUNTIFS(DATA[COMBINADA],DATA[[#This Row],[COMBINADA]])</f>
        <v>0</v>
      </c>
      <c r="AM462" s="27">
        <f>IFERROR(VLOOKUP(DATA[[#This Row],[COMBINADA]],#REF!,6,0),0)</f>
        <v>0</v>
      </c>
      <c r="AN462" s="125">
        <f>IFERROR(VLOOKUP(DATA[[#This Row],[COMBINADA]],#REF!,9,0),0)/COUNTIFS(DATA[COMBINADA],DATA[[#This Row],[COMBINADA]])</f>
        <v>0</v>
      </c>
      <c r="AO462" s="27">
        <f>IFERROR(VLOOKUP(DATA[[#This Row],[COMBINADA]],#REF!,6,0),0)</f>
        <v>0</v>
      </c>
      <c r="AP462" s="125">
        <f>IFERROR(VLOOKUP(DATA[[#This Row],[COMBINADA]],#REF!,9,0),0)/COUNTIFS(DATA[COMBINADA],DATA[[#This Row],[COMBINADA]])</f>
        <v>0</v>
      </c>
      <c r="AQ46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2924</v>
      </c>
      <c r="AR462" s="26" t="str">
        <f>IFERROR(IF(DATA[[#This Row],[estado_fact]]="FACTURADO",VLOOKUP(DATA[[#This Row],[SERIE2]]&amp;"-"&amp;DATA[[#This Row],[NUMERO]],#REF!,34,0),"NO CORRESPONDE"),"NO CORRESPONDE")</f>
        <v>NO CORRESPONDE</v>
      </c>
      <c r="AS462" s="22" t="str">
        <f>IF(DATA[[#This Row],[fecha_fs]]&gt;0,TEXT(DATA[[#This Row],[fecha_fs]],"Mmmm"),0)</f>
        <v>Abril</v>
      </c>
      <c r="AT462" s="22" t="str">
        <f>DATA[[#This Row],[SERIE2]]&amp;"-"&amp;DATA[[#This Row],[NUMERO]]</f>
        <v>FF01-129</v>
      </c>
      <c r="AU462" s="28">
        <f>DATA[[#This Row],[TOTAL]]*DATA[[#This Row],[T.C.]]</f>
        <v>3564.19</v>
      </c>
      <c r="AV462" s="6">
        <f>DATA[[#This Row],[FECHA DE VAL.]]</f>
        <v>45777</v>
      </c>
      <c r="AW462" s="6">
        <f>DATA[[#This Row],[FECHA DE EMISION]]</f>
        <v>45831</v>
      </c>
      <c r="AX462" s="6">
        <f>DATA[[#This Row],[F1]]</f>
        <v>0</v>
      </c>
      <c r="AY462" s="20">
        <f>IF(AV462-DATA[[#This Row],[fecha_fs]]&lt;0,0,AV462-DATA[[#This Row],[fecha_fs]])</f>
        <v>27</v>
      </c>
      <c r="AZ462" s="20">
        <f t="shared" si="51"/>
        <v>54</v>
      </c>
      <c r="BA462" s="20">
        <f t="shared" si="52"/>
        <v>0</v>
      </c>
      <c r="BB462" s="195">
        <f>IFERROR(SUM(DATA[[#This Row],[fs_val_ttf]:[fact_pago_ttf]]),0)</f>
        <v>81</v>
      </c>
      <c r="BC462" s="185">
        <v>45755</v>
      </c>
      <c r="BD462" s="185">
        <v>45789</v>
      </c>
      <c r="BE462" s="185">
        <v>45797</v>
      </c>
      <c r="BF462" s="185">
        <v>45798</v>
      </c>
      <c r="BG462" s="20">
        <f>IFERROR(IF(BC462-DATA[[#This Row],[fecha_fs]]&lt;0,0,BC462-DATA[[#This Row],[fecha_fs]]),0)</f>
        <v>5</v>
      </c>
      <c r="BH462" s="20">
        <f t="shared" si="53"/>
        <v>34</v>
      </c>
      <c r="BI462" s="20">
        <f t="shared" si="54"/>
        <v>8</v>
      </c>
      <c r="BJ462" s="20">
        <f t="shared" si="55"/>
        <v>1</v>
      </c>
      <c r="BK462" s="218">
        <f>IFERROR(SUM(DATA[[#This Row],[fs_fd_ttd]:[fend_fenf_ttd]]),0)</f>
        <v>48</v>
      </c>
      <c r="BL462" s="20" t="str">
        <f>IF(DATA[[#This Row],[fecha_fs]]&gt;0,TEXT(DATA[[#This Row],[fecha_fs]],"YYYY"),0)</f>
        <v>2025</v>
      </c>
      <c r="BM462" s="221" t="b">
        <v>1</v>
      </c>
      <c r="BN462" s="278">
        <f>COUNTIF(DATA[[#This Row],[tiempo_td]], "&lt;=15")</f>
        <v>0</v>
      </c>
      <c r="BO462" s="222"/>
    </row>
    <row r="463" spans="1:67" ht="30.6" customHeight="1" x14ac:dyDescent="0.25">
      <c r="A463" s="4">
        <v>20141637941</v>
      </c>
      <c r="B463" s="5" t="s">
        <v>79</v>
      </c>
      <c r="C463" s="52" t="s">
        <v>18</v>
      </c>
      <c r="D463" s="4" t="s">
        <v>120</v>
      </c>
      <c r="E463" s="5" t="s">
        <v>3</v>
      </c>
      <c r="F463" s="24">
        <v>45750</v>
      </c>
      <c r="G463" s="7" t="s">
        <v>113</v>
      </c>
      <c r="H463" s="25">
        <f t="shared" si="50"/>
        <v>1</v>
      </c>
      <c r="I463" s="67">
        <v>4330</v>
      </c>
      <c r="J463" s="8" t="s">
        <v>115</v>
      </c>
      <c r="K463" s="9" t="s">
        <v>121</v>
      </c>
      <c r="L463" s="10" t="s">
        <v>117</v>
      </c>
      <c r="M463" s="11">
        <v>1200</v>
      </c>
      <c r="N463" s="12" t="s">
        <v>125</v>
      </c>
      <c r="O463" s="6">
        <v>45758</v>
      </c>
      <c r="P463" s="110">
        <v>3392</v>
      </c>
      <c r="Q463" s="14" t="s">
        <v>85</v>
      </c>
      <c r="R463" s="15">
        <f>70+(DATA[[#This Row],[cantidad_fs]]-1000)*0.1</f>
        <v>90</v>
      </c>
      <c r="S463" s="15">
        <v>517</v>
      </c>
      <c r="T463" s="15">
        <f>DATA[[#This Row],[C. DF]]+DATA[[#This Row],[C.OPE.]]</f>
        <v>607</v>
      </c>
      <c r="U463" s="15">
        <f>DATA[[#This Row],[SUB TOTAL]]*0.18</f>
        <v>109.25999999999999</v>
      </c>
      <c r="V463" s="15">
        <f>IFERROR(ROUND(DATA[[#This Row],[SUB TOTAL]]+DATA[[#This Row],[IGV]],2),0)</f>
        <v>716.26</v>
      </c>
      <c r="W463" s="16" t="str">
        <f>IF(DATA[[#This Row],[VALORIZACIÓN ]]="-","NO CORRESPONDE",IF(OR(A463=20558226979,A463=10470707866,A463=20111157058,A463=20100226902),"NO CORRESPONDE",IF(J463="Emitida",IF(P463&gt;0,"EMITIDA","PENDIENTE"),"NO CORRESPONDE")))</f>
        <v>EMITIDA</v>
      </c>
      <c r="X463" s="29"/>
      <c r="Y463" s="17" t="s">
        <v>118</v>
      </c>
      <c r="Z463" s="30">
        <v>45763</v>
      </c>
      <c r="AA463" s="10" t="s">
        <v>150</v>
      </c>
      <c r="AB463" s="19">
        <v>40</v>
      </c>
      <c r="AC463" s="20">
        <v>30</v>
      </c>
      <c r="AD463" s="18">
        <f>DATA[[#This Row],[FECHA DE EMISION]]+DATA[[#This Row],[CONDICION DE PAGO]]</f>
        <v>45793</v>
      </c>
      <c r="AE463" s="23">
        <f>IF(DATA[[#This Row],[MONEDA]]="USD",VLOOKUP(DATA[[#This Row],[COMBINADA]],#REF!,11,0),1)</f>
        <v>1</v>
      </c>
      <c r="AF463" s="39" t="str">
        <f>IF(DATA[[#This Row],[SERIE2]]="-","NO CORRESPONDE",IF(W463="NO CORRESPONDE","NO CORRESPONDE",IF(Z463&gt;0,"FACTURADO","PENDIENTE")))</f>
        <v>FACTURADO</v>
      </c>
      <c r="AG463" s="27">
        <f>IFERROR(VLOOKUP(DATA[[#This Row],[COMBINADA]],#REF!,6,0),0)</f>
        <v>0</v>
      </c>
      <c r="AH463" s="125">
        <f>IFERROR(VLOOKUP(DATA[[#This Row],[COMBINADA]],#REF!,9,0),0)/COUNTIFS(DATA[COMBINADA],DATA[[#This Row],[COMBINADA]])</f>
        <v>0</v>
      </c>
      <c r="AI463" s="27">
        <f>IFERROR(VLOOKUP(DATA[[#This Row],[COMBINADA]],#REF!,6,0),0)</f>
        <v>0</v>
      </c>
      <c r="AJ463" s="125">
        <f>IFERROR(VLOOKUP(DATA[[#This Row],[COMBINADA]],#REF!,9,0),0)/COUNTIFS(DATA[COMBINADA],DATA[[#This Row],[COMBINADA]])</f>
        <v>0</v>
      </c>
      <c r="AK463" s="27">
        <f>IFERROR(VLOOKUP(DATA[[#This Row],[COMBINADA]],#REF!,6,0),0)</f>
        <v>0</v>
      </c>
      <c r="AL463" s="125">
        <f>IFERROR(VLOOKUP(DATA[[#This Row],[COMBINADA]],#REF!,9,0),0)/COUNTIFS(DATA[COMBINADA],DATA[[#This Row],[COMBINADA]])</f>
        <v>0</v>
      </c>
      <c r="AM463" s="27">
        <f>IFERROR(VLOOKUP(DATA[[#This Row],[COMBINADA]],#REF!,6,0),0)</f>
        <v>0</v>
      </c>
      <c r="AN463" s="125">
        <f>IFERROR(VLOOKUP(DATA[[#This Row],[COMBINADA]],#REF!,9,0),0)/COUNTIFS(DATA[COMBINADA],DATA[[#This Row],[COMBINADA]])</f>
        <v>0</v>
      </c>
      <c r="AO463" s="27">
        <f>IFERROR(VLOOKUP(DATA[[#This Row],[COMBINADA]],#REF!,6,0),0)</f>
        <v>0</v>
      </c>
      <c r="AP463" s="125">
        <f>IFERROR(VLOOKUP(DATA[[#This Row],[COMBINADA]],#REF!,9,0),0)/COUNTIFS(DATA[COMBINADA],DATA[[#This Row],[COMBINADA]])</f>
        <v>0</v>
      </c>
      <c r="AQ46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732.30800000000011</v>
      </c>
      <c r="AR463" s="26" t="str">
        <f>IFERROR(IF(DATA[[#This Row],[estado_fact]]="FACTURADO",VLOOKUP(DATA[[#This Row],[SERIE2]]&amp;"-"&amp;DATA[[#This Row],[NUMERO]],#REF!,34,0),"NO CORRESPONDE"),"NO CORRESPONDE")</f>
        <v>NO CORRESPONDE</v>
      </c>
      <c r="AS463" s="22" t="str">
        <f>IF(DATA[[#This Row],[fecha_fs]]&gt;0,TEXT(DATA[[#This Row],[fecha_fs]],"Mmmm"),0)</f>
        <v>Abril</v>
      </c>
      <c r="AT463" s="22" t="str">
        <f>DATA[[#This Row],[SERIE2]]&amp;"-"&amp;DATA[[#This Row],[NUMERO]]</f>
        <v>FF01-40</v>
      </c>
      <c r="AU463" s="28">
        <f>DATA[[#This Row],[TOTAL]]*DATA[[#This Row],[T.C.]]</f>
        <v>716.26</v>
      </c>
      <c r="AV463" s="6">
        <f>DATA[[#This Row],[FECHA DE VAL.]]</f>
        <v>45758</v>
      </c>
      <c r="AW463" s="6">
        <f>DATA[[#This Row],[FECHA DE EMISION]]</f>
        <v>45763</v>
      </c>
      <c r="AX463" s="6">
        <f>DATA[[#This Row],[F1]]</f>
        <v>0</v>
      </c>
      <c r="AY463" s="20">
        <f>IF(AV463-DATA[[#This Row],[fecha_fs]]&lt;0,0,AV463-DATA[[#This Row],[fecha_fs]])</f>
        <v>8</v>
      </c>
      <c r="AZ463" s="20">
        <f t="shared" si="51"/>
        <v>5</v>
      </c>
      <c r="BA463" s="20">
        <f t="shared" si="52"/>
        <v>0</v>
      </c>
      <c r="BB463" s="195">
        <f>IFERROR(SUM(DATA[[#This Row],[fs_val_ttf]:[fact_pago_ttf]]),0)</f>
        <v>13</v>
      </c>
      <c r="BC463" s="187">
        <v>45750</v>
      </c>
      <c r="BD463" s="187">
        <v>45750</v>
      </c>
      <c r="BE463" s="187">
        <v>45763</v>
      </c>
      <c r="BF463" s="187">
        <v>45763</v>
      </c>
      <c r="BG463" s="20">
        <f>IFERROR(IF(BC463-DATA[[#This Row],[fecha_fs]]&lt;0,0,BC463-DATA[[#This Row],[fecha_fs]]),0)</f>
        <v>0</v>
      </c>
      <c r="BH463" s="20">
        <f t="shared" si="53"/>
        <v>0</v>
      </c>
      <c r="BI463" s="20">
        <f t="shared" si="54"/>
        <v>13</v>
      </c>
      <c r="BJ463" s="20">
        <f t="shared" si="55"/>
        <v>0</v>
      </c>
      <c r="BK463" s="218">
        <f>IFERROR(SUM(DATA[[#This Row],[fs_fd_ttd]:[fend_fenf_ttd]]),0)</f>
        <v>13</v>
      </c>
      <c r="BL463" s="20" t="str">
        <f>IF(DATA[[#This Row],[fecha_fs]]&gt;0,TEXT(DATA[[#This Row],[fecha_fs]],"YYYY"),0)</f>
        <v>2025</v>
      </c>
      <c r="BM463" s="221" t="b">
        <v>1</v>
      </c>
      <c r="BN463" s="278">
        <f>COUNTIF(DATA[[#This Row],[tiempo_td]], "&lt;=15")</f>
        <v>1</v>
      </c>
      <c r="BO463" s="222"/>
    </row>
    <row r="464" spans="1:67" ht="30.6" customHeight="1" x14ac:dyDescent="0.25">
      <c r="A464" s="4">
        <v>20100192064</v>
      </c>
      <c r="B464" s="5" t="s">
        <v>60</v>
      </c>
      <c r="C464" s="52" t="s">
        <v>66</v>
      </c>
      <c r="D464" s="4" t="s">
        <v>120</v>
      </c>
      <c r="E464" s="5" t="s">
        <v>3</v>
      </c>
      <c r="F464" s="24">
        <v>45750</v>
      </c>
      <c r="G464" s="7" t="s">
        <v>142</v>
      </c>
      <c r="H464" s="25">
        <f t="shared" si="50"/>
        <v>2</v>
      </c>
      <c r="I464" s="67">
        <v>1072</v>
      </c>
      <c r="J464" s="8" t="s">
        <v>115</v>
      </c>
      <c r="K464" s="9" t="s">
        <v>169</v>
      </c>
      <c r="L464" s="10" t="s">
        <v>117</v>
      </c>
      <c r="M464" s="11">
        <v>1610</v>
      </c>
      <c r="N464" s="12" t="s">
        <v>143</v>
      </c>
      <c r="O464" s="6">
        <v>45772</v>
      </c>
      <c r="P464" s="71">
        <v>3417</v>
      </c>
      <c r="Q464" s="14" t="s">
        <v>123</v>
      </c>
      <c r="R464" s="75"/>
      <c r="S464" s="15">
        <f>227</f>
        <v>227</v>
      </c>
      <c r="T464" s="15">
        <f>DATA[[#This Row],[C. DF]]+DATA[[#This Row],[C.OPE.]]</f>
        <v>227</v>
      </c>
      <c r="U464" s="15">
        <f>DATA[[#This Row],[SUB TOTAL]]*0.18</f>
        <v>40.86</v>
      </c>
      <c r="V464" s="15">
        <f>IFERROR(ROUND(DATA[[#This Row],[SUB TOTAL]]+DATA[[#This Row],[IGV]],2),0)</f>
        <v>267.86</v>
      </c>
      <c r="W464" s="16" t="str">
        <f>IF(DATA[[#This Row],[VALORIZACIÓN ]]="-","NO CORRESPONDE",IF(OR(A464=20558226979,A464=10470707866,A464=20111157058,A464=20100226902),"NO CORRESPONDE",IF(J464="Emitida",IF(P464&gt;0,"EMITIDA","PENDIENTE"),"NO CORRESPONDE")))</f>
        <v>EMITIDA</v>
      </c>
      <c r="X464" s="29"/>
      <c r="Y464" s="17" t="s">
        <v>118</v>
      </c>
      <c r="Z464" s="30">
        <v>45777</v>
      </c>
      <c r="AA464" s="10" t="s">
        <v>150</v>
      </c>
      <c r="AB464" s="19">
        <v>59</v>
      </c>
      <c r="AC464" s="20">
        <v>30</v>
      </c>
      <c r="AD464" s="18">
        <f>DATA[[#This Row],[FECHA DE EMISION]]+DATA[[#This Row],[CONDICION DE PAGO]]</f>
        <v>45807</v>
      </c>
      <c r="AE464" s="23" t="e">
        <f>IF(DATA[[#This Row],[MONEDA]]="USD",VLOOKUP(DATA[[#This Row],[COMBINADA]],#REF!,11,0),1)</f>
        <v>#REF!</v>
      </c>
      <c r="AF464" s="39" t="str">
        <f>IF(DATA[[#This Row],[SERIE2]]="-","NO CORRESPONDE",IF(W464="NO CORRESPONDE","NO CORRESPONDE",IF(Z464&gt;0,"FACTURADO","PENDIENTE")))</f>
        <v>FACTURADO</v>
      </c>
      <c r="AG464" s="27">
        <f>IFERROR(VLOOKUP(DATA[[#This Row],[COMBINADA]],#REF!,6,0),0)</f>
        <v>0</v>
      </c>
      <c r="AH464" s="125">
        <f>IFERROR(VLOOKUP(DATA[[#This Row],[COMBINADA]],#REF!,9,0),0)/COUNTIFS(DATA[COMBINADA],DATA[[#This Row],[COMBINADA]])</f>
        <v>0</v>
      </c>
      <c r="AI464" s="27">
        <f>IFERROR(VLOOKUP(DATA[[#This Row],[COMBINADA]],#REF!,6,0),0)</f>
        <v>0</v>
      </c>
      <c r="AJ464" s="125">
        <f>IFERROR(VLOOKUP(DATA[[#This Row],[COMBINADA]],#REF!,9,0),0)/COUNTIFS(DATA[COMBINADA],DATA[[#This Row],[COMBINADA]])</f>
        <v>0</v>
      </c>
      <c r="AK464" s="27">
        <f>IFERROR(VLOOKUP(DATA[[#This Row],[COMBINADA]],#REF!,6,0),0)</f>
        <v>0</v>
      </c>
      <c r="AL464" s="125">
        <f>IFERROR(VLOOKUP(DATA[[#This Row],[COMBINADA]],#REF!,9,0),0)/COUNTIFS(DATA[COMBINADA],DATA[[#This Row],[COMBINADA]])</f>
        <v>0</v>
      </c>
      <c r="AM464" s="27">
        <f>IFERROR(VLOOKUP(DATA[[#This Row],[COMBINADA]],#REF!,6,0),0)</f>
        <v>0</v>
      </c>
      <c r="AN464" s="125">
        <f>IFERROR(VLOOKUP(DATA[[#This Row],[COMBINADA]],#REF!,9,0),0)/COUNTIFS(DATA[COMBINADA],DATA[[#This Row],[COMBINADA]])</f>
        <v>0</v>
      </c>
      <c r="AO464" s="27">
        <f>IFERROR(VLOOKUP(DATA[[#This Row],[COMBINADA]],#REF!,6,0),0)</f>
        <v>0</v>
      </c>
      <c r="AP464" s="125">
        <f>IFERROR(VLOOKUP(DATA[[#This Row],[COMBINADA]],#REF!,9,0),0)/COUNTIFS(DATA[COMBINADA],DATA[[#This Row],[COMBINADA]])</f>
        <v>0</v>
      </c>
      <c r="AQ46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538.72300000000007</v>
      </c>
      <c r="AR464" s="26" t="str">
        <f>IFERROR(IF(DATA[[#This Row],[estado_fact]]="FACTURADO",VLOOKUP(DATA[[#This Row],[SERIE2]]&amp;"-"&amp;DATA[[#This Row],[NUMERO]],#REF!,34,0),"NO CORRESPONDE"),"NO CORRESPONDE")</f>
        <v>NO CORRESPONDE</v>
      </c>
      <c r="AS464" s="22" t="str">
        <f>IF(DATA[[#This Row],[fecha_fs]]&gt;0,TEXT(DATA[[#This Row],[fecha_fs]],"Mmmm"),0)</f>
        <v>Abril</v>
      </c>
      <c r="AT464" s="22" t="str">
        <f>DATA[[#This Row],[SERIE2]]&amp;"-"&amp;DATA[[#This Row],[NUMERO]]</f>
        <v>FF01-59</v>
      </c>
      <c r="AU464" s="28" t="e">
        <f>DATA[[#This Row],[TOTAL]]*DATA[[#This Row],[T.C.]]</f>
        <v>#REF!</v>
      </c>
      <c r="AV464" s="6">
        <f>DATA[[#This Row],[FECHA DE VAL.]]</f>
        <v>45772</v>
      </c>
      <c r="AW464" s="6">
        <f>DATA[[#This Row],[FECHA DE EMISION]]</f>
        <v>45777</v>
      </c>
      <c r="AX464" s="6">
        <f>DATA[[#This Row],[F1]]</f>
        <v>0</v>
      </c>
      <c r="AY464" s="20">
        <f>IF(AV464-DATA[[#This Row],[fecha_fs]]&lt;0,0,AV464-DATA[[#This Row],[fecha_fs]])</f>
        <v>22</v>
      </c>
      <c r="AZ464" s="20">
        <f t="shared" si="51"/>
        <v>5</v>
      </c>
      <c r="BA464" s="20">
        <f t="shared" si="52"/>
        <v>0</v>
      </c>
      <c r="BB464" s="195">
        <f>IFERROR(SUM(DATA[[#This Row],[fs_val_ttf]:[fact_pago_ttf]]),0)</f>
        <v>27</v>
      </c>
      <c r="BC464" s="185">
        <v>45750</v>
      </c>
      <c r="BD464" s="185">
        <v>45750</v>
      </c>
      <c r="BE464" s="185">
        <v>45786</v>
      </c>
      <c r="BF464" s="185">
        <v>45797</v>
      </c>
      <c r="BG464" s="20">
        <f>IFERROR(IF(BC464-DATA[[#This Row],[fecha_fs]]&lt;0,0,BC464-DATA[[#This Row],[fecha_fs]]),0)</f>
        <v>0</v>
      </c>
      <c r="BH464" s="20">
        <f t="shared" si="53"/>
        <v>0</v>
      </c>
      <c r="BI464" s="20">
        <f t="shared" si="54"/>
        <v>36</v>
      </c>
      <c r="BJ464" s="20">
        <f t="shared" si="55"/>
        <v>11</v>
      </c>
      <c r="BK464" s="218">
        <f>IFERROR(SUM(DATA[[#This Row],[fs_fd_ttd]:[fend_fenf_ttd]]),0)</f>
        <v>47</v>
      </c>
      <c r="BL464" s="20" t="str">
        <f>IF(DATA[[#This Row],[fecha_fs]]&gt;0,TEXT(DATA[[#This Row],[fecha_fs]],"YYYY"),0)</f>
        <v>2025</v>
      </c>
      <c r="BM464" s="221" t="b">
        <v>1</v>
      </c>
      <c r="BN464" s="278">
        <f>COUNTIF(DATA[[#This Row],[tiempo_td]], "&lt;=15")</f>
        <v>0</v>
      </c>
      <c r="BO464" s="222"/>
    </row>
    <row r="465" spans="1:67" ht="30.6" customHeight="1" x14ac:dyDescent="0.25">
      <c r="A465" s="4">
        <v>20100211115</v>
      </c>
      <c r="B465" s="5" t="s">
        <v>41</v>
      </c>
      <c r="C465" s="52" t="s">
        <v>18</v>
      </c>
      <c r="D465" s="4" t="s">
        <v>120</v>
      </c>
      <c r="E465" s="5" t="s">
        <v>3</v>
      </c>
      <c r="F465" s="24">
        <v>45751</v>
      </c>
      <c r="G465" s="7" t="s">
        <v>113</v>
      </c>
      <c r="H465" s="25">
        <f t="shared" si="50"/>
        <v>1</v>
      </c>
      <c r="I465" s="67">
        <v>4331</v>
      </c>
      <c r="J465" s="8" t="s">
        <v>115</v>
      </c>
      <c r="K465" s="9" t="s">
        <v>121</v>
      </c>
      <c r="L465" s="10" t="s">
        <v>117</v>
      </c>
      <c r="M465" s="11">
        <v>90</v>
      </c>
      <c r="N465" s="12" t="s">
        <v>132</v>
      </c>
      <c r="O465" s="6">
        <v>45775</v>
      </c>
      <c r="P465" s="115">
        <v>3419</v>
      </c>
      <c r="Q465" s="14" t="s">
        <v>85</v>
      </c>
      <c r="R465" s="74"/>
      <c r="S465" s="15">
        <f>(DATA[[#This Row],[cantidad_fs]]*4.37)</f>
        <v>393.3</v>
      </c>
      <c r="T465" s="15">
        <f>DATA[[#This Row],[C. DF]]+DATA[[#This Row],[C.OPE.]]</f>
        <v>393.3</v>
      </c>
      <c r="U465" s="15">
        <f>DATA[[#This Row],[SUB TOTAL]]*0.18</f>
        <v>70.793999999999997</v>
      </c>
      <c r="V465" s="15">
        <f>IFERROR(ROUND(DATA[[#This Row],[SUB TOTAL]]+DATA[[#This Row],[IGV]],2),0)</f>
        <v>464.09</v>
      </c>
      <c r="W465" s="16" t="str">
        <f>IF(DATA[[#This Row],[VALORIZACIÓN ]]="-","NO CORRESPONDE",IF(OR(A465=20558226979,A465=10470707866,A465=20111157058,A465=20100226902),"NO CORRESPONDE",IF(J465="Emitida",IF(P465&gt;0,"EMITIDA","PENDIENTE"),"NO CORRESPONDE")))</f>
        <v>EMITIDA</v>
      </c>
      <c r="X465" s="29"/>
      <c r="Y465" s="17" t="s">
        <v>118</v>
      </c>
      <c r="Z465" s="30">
        <v>45777</v>
      </c>
      <c r="AA465" s="10" t="s">
        <v>150</v>
      </c>
      <c r="AB465" s="19">
        <v>60</v>
      </c>
      <c r="AC465" s="20">
        <v>30</v>
      </c>
      <c r="AD465" s="18">
        <f>DATA[[#This Row],[FECHA DE EMISION]]+DATA[[#This Row],[CONDICION DE PAGO]]</f>
        <v>45807</v>
      </c>
      <c r="AE465" s="23">
        <f>IF(DATA[[#This Row],[MONEDA]]="USD",VLOOKUP(DATA[[#This Row],[COMBINADA]],#REF!,11,0),1)</f>
        <v>1</v>
      </c>
      <c r="AF465" s="39" t="str">
        <f>IF(DATA[[#This Row],[SERIE2]]="-","NO CORRESPONDE",IF(W465="NO CORRESPONDE","NO CORRESPONDE",IF(Z465&gt;0,"FACTURADO","PENDIENTE")))</f>
        <v>FACTURADO</v>
      </c>
      <c r="AG465" s="27">
        <f>IFERROR(VLOOKUP(DATA[[#This Row],[COMBINADA]],#REF!,6,0),0)</f>
        <v>0</v>
      </c>
      <c r="AH465" s="125">
        <f>IFERROR(VLOOKUP(DATA[[#This Row],[COMBINADA]],#REF!,9,0),0)/COUNTIFS(DATA[COMBINADA],DATA[[#This Row],[COMBINADA]])</f>
        <v>0</v>
      </c>
      <c r="AI465" s="27">
        <f>IFERROR(VLOOKUP(DATA[[#This Row],[COMBINADA]],#REF!,6,0),0)</f>
        <v>0</v>
      </c>
      <c r="AJ465" s="125">
        <f>IFERROR(VLOOKUP(DATA[[#This Row],[COMBINADA]],#REF!,9,0),0)/COUNTIFS(DATA[COMBINADA],DATA[[#This Row],[COMBINADA]])</f>
        <v>0</v>
      </c>
      <c r="AK465" s="27">
        <f>IFERROR(VLOOKUP(DATA[[#This Row],[COMBINADA]],#REF!,6,0),0)</f>
        <v>0</v>
      </c>
      <c r="AL465" s="125">
        <f>IFERROR(VLOOKUP(DATA[[#This Row],[COMBINADA]],#REF!,9,0),0)/COUNTIFS(DATA[COMBINADA],DATA[[#This Row],[COMBINADA]])</f>
        <v>0</v>
      </c>
      <c r="AM465" s="27">
        <f>IFERROR(VLOOKUP(DATA[[#This Row],[COMBINADA]],#REF!,6,0),0)</f>
        <v>0</v>
      </c>
      <c r="AN465" s="125">
        <f>IFERROR(VLOOKUP(DATA[[#This Row],[COMBINADA]],#REF!,9,0),0)/COUNTIFS(DATA[COMBINADA],DATA[[#This Row],[COMBINADA]])</f>
        <v>0</v>
      </c>
      <c r="AO465" s="27">
        <f>IFERROR(VLOOKUP(DATA[[#This Row],[COMBINADA]],#REF!,6,0),0)</f>
        <v>0</v>
      </c>
      <c r="AP465" s="125">
        <f>IFERROR(VLOOKUP(DATA[[#This Row],[COMBINADA]],#REF!,9,0),0)/COUNTIFS(DATA[COMBINADA],DATA[[#This Row],[COMBINADA]])</f>
        <v>0</v>
      </c>
      <c r="AQ46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465" s="26" t="str">
        <f>IFERROR(IF(DATA[[#This Row],[estado_fact]]="FACTURADO",VLOOKUP(DATA[[#This Row],[SERIE2]]&amp;"-"&amp;DATA[[#This Row],[NUMERO]],#REF!,34,0),"NO CORRESPONDE"),"NO CORRESPONDE")</f>
        <v>NO CORRESPONDE</v>
      </c>
      <c r="AS465" s="22" t="str">
        <f>IF(DATA[[#This Row],[fecha_fs]]&gt;0,TEXT(DATA[[#This Row],[fecha_fs]],"Mmmm"),0)</f>
        <v>Abril</v>
      </c>
      <c r="AT465" s="22" t="str">
        <f>DATA[[#This Row],[SERIE2]]&amp;"-"&amp;DATA[[#This Row],[NUMERO]]</f>
        <v>FF01-60</v>
      </c>
      <c r="AU465" s="28">
        <f>DATA[[#This Row],[TOTAL]]*DATA[[#This Row],[T.C.]]</f>
        <v>464.09</v>
      </c>
      <c r="AV465" s="6">
        <f>DATA[[#This Row],[FECHA DE VAL.]]</f>
        <v>45775</v>
      </c>
      <c r="AW465" s="6">
        <f>DATA[[#This Row],[FECHA DE EMISION]]</f>
        <v>45777</v>
      </c>
      <c r="AX465" s="6">
        <f>DATA[[#This Row],[F1]]</f>
        <v>0</v>
      </c>
      <c r="AY465" s="20">
        <f>IF(AV465-DATA[[#This Row],[fecha_fs]]&lt;0,0,AV465-DATA[[#This Row],[fecha_fs]])</f>
        <v>24</v>
      </c>
      <c r="AZ465" s="20">
        <f t="shared" si="51"/>
        <v>2</v>
      </c>
      <c r="BA465" s="20">
        <f t="shared" si="52"/>
        <v>0</v>
      </c>
      <c r="BB465" s="195">
        <f>IFERROR(SUM(DATA[[#This Row],[fs_val_ttf]:[fact_pago_ttf]]),0)</f>
        <v>26</v>
      </c>
      <c r="BC465" s="184">
        <v>45779</v>
      </c>
      <c r="BD465" s="184">
        <v>45789</v>
      </c>
      <c r="BE465" s="184">
        <v>45796</v>
      </c>
      <c r="BF465" s="184">
        <v>45798</v>
      </c>
      <c r="BG465" s="20">
        <f>IFERROR(IF(BC465-DATA[[#This Row],[fecha_fs]]&lt;0,0,BC465-DATA[[#This Row],[fecha_fs]]),0)</f>
        <v>28</v>
      </c>
      <c r="BH465" s="20">
        <f t="shared" si="53"/>
        <v>10</v>
      </c>
      <c r="BI465" s="20">
        <f t="shared" si="54"/>
        <v>7</v>
      </c>
      <c r="BJ465" s="20">
        <f t="shared" si="55"/>
        <v>2</v>
      </c>
      <c r="BK465" s="218">
        <f>IFERROR(SUM(DATA[[#This Row],[fs_fd_ttd]:[fend_fenf_ttd]]),0)</f>
        <v>47</v>
      </c>
      <c r="BL465" s="20" t="str">
        <f>IF(DATA[[#This Row],[fecha_fs]]&gt;0,TEXT(DATA[[#This Row],[fecha_fs]],"YYYY"),0)</f>
        <v>2025</v>
      </c>
      <c r="BM465" s="221" t="b">
        <v>1</v>
      </c>
      <c r="BN465" s="278">
        <f>COUNTIF(DATA[[#This Row],[tiempo_td]], "&lt;=15")</f>
        <v>0</v>
      </c>
      <c r="BO465" s="222"/>
    </row>
    <row r="466" spans="1:67" ht="30.6" customHeight="1" x14ac:dyDescent="0.25">
      <c r="A466" s="4">
        <v>20553956324</v>
      </c>
      <c r="B466" s="5" t="s">
        <v>281</v>
      </c>
      <c r="C466" s="52" t="s">
        <v>175</v>
      </c>
      <c r="D466" s="4" t="s">
        <v>120</v>
      </c>
      <c r="E466" s="5" t="s">
        <v>3</v>
      </c>
      <c r="F466" s="24">
        <v>45751</v>
      </c>
      <c r="G466" s="7" t="s">
        <v>113</v>
      </c>
      <c r="H466" s="25">
        <f t="shared" si="50"/>
        <v>1</v>
      </c>
      <c r="I466" s="67">
        <v>4332</v>
      </c>
      <c r="J466" s="8" t="s">
        <v>115</v>
      </c>
      <c r="K466" s="9" t="s">
        <v>121</v>
      </c>
      <c r="L466" s="10" t="s">
        <v>117</v>
      </c>
      <c r="M466" s="11">
        <v>200</v>
      </c>
      <c r="N466" s="12" t="s">
        <v>132</v>
      </c>
      <c r="O466" s="6">
        <v>45775</v>
      </c>
      <c r="P466" s="109">
        <v>3422</v>
      </c>
      <c r="Q466" s="14" t="s">
        <v>85</v>
      </c>
      <c r="R466" s="15">
        <f>DATA[[#This Row],[cantidad_fs]]*0.08</f>
        <v>16</v>
      </c>
      <c r="S466" s="15">
        <v>395.1</v>
      </c>
      <c r="T466" s="15">
        <f>DATA[[#This Row],[C. DF]]+DATA[[#This Row],[C.OPE.]]</f>
        <v>411.1</v>
      </c>
      <c r="U466" s="15">
        <f>DATA[[#This Row],[SUB TOTAL]]*0.18</f>
        <v>73.998000000000005</v>
      </c>
      <c r="V466" s="15">
        <f>IFERROR(ROUND(DATA[[#This Row],[SUB TOTAL]]+DATA[[#This Row],[IGV]],2),0)</f>
        <v>485.1</v>
      </c>
      <c r="W466" s="16" t="str">
        <f>IF(DATA[[#This Row],[VALORIZACIÓN ]]="-","NO CORRESPONDE",IF(OR(A466=20558226979,A466=10470707866,A466=20111157058,A466=20100226902),"NO CORRESPONDE",IF(J466="Emitida",IF(P466&gt;0,"EMITIDA","PENDIENTE"),"NO CORRESPONDE")))</f>
        <v>EMITIDA</v>
      </c>
      <c r="X466" s="29"/>
      <c r="Y466" s="17" t="s">
        <v>118</v>
      </c>
      <c r="Z466" s="30">
        <v>45790</v>
      </c>
      <c r="AA466" s="10" t="s">
        <v>150</v>
      </c>
      <c r="AB466" s="19">
        <v>76</v>
      </c>
      <c r="AC466" s="20"/>
      <c r="AD466" s="18">
        <f>DATA[[#This Row],[FECHA DE EMISION]]+DATA[[#This Row],[CONDICION DE PAGO]]</f>
        <v>45790</v>
      </c>
      <c r="AE466" s="23">
        <f>IF(DATA[[#This Row],[MONEDA]]="USD",VLOOKUP(DATA[[#This Row],[COMBINADA]],#REF!,11,0),1)</f>
        <v>1</v>
      </c>
      <c r="AF466" s="39" t="str">
        <f>IF(DATA[[#This Row],[SERIE2]]="-","NO CORRESPONDE",IF(W466="NO CORRESPONDE","NO CORRESPONDE",IF(Z466&gt;0,"FACTURADO","PENDIENTE")))</f>
        <v>FACTURADO</v>
      </c>
      <c r="AG466" s="27">
        <f>IFERROR(VLOOKUP(DATA[[#This Row],[COMBINADA]],#REF!,6,0),0)</f>
        <v>0</v>
      </c>
      <c r="AH466" s="125">
        <f>IFERROR(VLOOKUP(DATA[[#This Row],[COMBINADA]],#REF!,9,0),0)/COUNTIFS(DATA[COMBINADA],DATA[[#This Row],[COMBINADA]])</f>
        <v>0</v>
      </c>
      <c r="AI466" s="27">
        <f>IFERROR(VLOOKUP(DATA[[#This Row],[COMBINADA]],#REF!,6,0),0)</f>
        <v>0</v>
      </c>
      <c r="AJ466" s="125">
        <f>IFERROR(VLOOKUP(DATA[[#This Row],[COMBINADA]],#REF!,9,0),0)/COUNTIFS(DATA[COMBINADA],DATA[[#This Row],[COMBINADA]])</f>
        <v>0</v>
      </c>
      <c r="AK466" s="27">
        <f>IFERROR(VLOOKUP(DATA[[#This Row],[COMBINADA]],#REF!,6,0),0)</f>
        <v>0</v>
      </c>
      <c r="AL466" s="125">
        <f>IFERROR(VLOOKUP(DATA[[#This Row],[COMBINADA]],#REF!,9,0),0)/COUNTIFS(DATA[COMBINADA],DATA[[#This Row],[COMBINADA]])</f>
        <v>0</v>
      </c>
      <c r="AM466" s="27">
        <f>IFERROR(VLOOKUP(DATA[[#This Row],[COMBINADA]],#REF!,6,0),0)</f>
        <v>0</v>
      </c>
      <c r="AN466" s="125">
        <f>IFERROR(VLOOKUP(DATA[[#This Row],[COMBINADA]],#REF!,9,0),0)/COUNTIFS(DATA[COMBINADA],DATA[[#This Row],[COMBINADA]])</f>
        <v>0</v>
      </c>
      <c r="AO466" s="27">
        <f>IFERROR(VLOOKUP(DATA[[#This Row],[COMBINADA]],#REF!,6,0),0)</f>
        <v>0</v>
      </c>
      <c r="AP466" s="125">
        <f>IFERROR(VLOOKUP(DATA[[#This Row],[COMBINADA]],#REF!,9,0),0)/COUNTIFS(DATA[COMBINADA],DATA[[#This Row],[COMBINADA]])</f>
        <v>0</v>
      </c>
      <c r="AQ46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481.00750000000011</v>
      </c>
      <c r="AR466" s="26" t="str">
        <f>IFERROR(IF(DATA[[#This Row],[estado_fact]]="FACTURADO",VLOOKUP(DATA[[#This Row],[SERIE2]]&amp;"-"&amp;DATA[[#This Row],[NUMERO]],#REF!,34,0),"NO CORRESPONDE"),"NO CORRESPONDE")</f>
        <v>NO CORRESPONDE</v>
      </c>
      <c r="AS466" s="22" t="str">
        <f>IF(DATA[[#This Row],[fecha_fs]]&gt;0,TEXT(DATA[[#This Row],[fecha_fs]],"Mmmm"),0)</f>
        <v>Abril</v>
      </c>
      <c r="AT466" s="22" t="str">
        <f>DATA[[#This Row],[SERIE2]]&amp;"-"&amp;DATA[[#This Row],[NUMERO]]</f>
        <v>FF01-76</v>
      </c>
      <c r="AU466" s="28">
        <f>DATA[[#This Row],[TOTAL]]*DATA[[#This Row],[T.C.]]</f>
        <v>485.1</v>
      </c>
      <c r="AV466" s="6">
        <f>DATA[[#This Row],[FECHA DE VAL.]]</f>
        <v>45775</v>
      </c>
      <c r="AW466" s="6">
        <f>DATA[[#This Row],[FECHA DE EMISION]]</f>
        <v>45790</v>
      </c>
      <c r="AX466" s="6">
        <f>DATA[[#This Row],[F1]]</f>
        <v>0</v>
      </c>
      <c r="AY466" s="20">
        <f>IF(AV466-DATA[[#This Row],[fecha_fs]]&lt;0,0,AV466-DATA[[#This Row],[fecha_fs]])</f>
        <v>24</v>
      </c>
      <c r="AZ466" s="20">
        <f t="shared" si="51"/>
        <v>15</v>
      </c>
      <c r="BA466" s="20">
        <f t="shared" si="52"/>
        <v>0</v>
      </c>
      <c r="BB466" s="195">
        <f>IFERROR(SUM(DATA[[#This Row],[fs_val_ttf]:[fact_pago_ttf]]),0)</f>
        <v>39</v>
      </c>
      <c r="BC466" s="185">
        <v>45779</v>
      </c>
      <c r="BD466" s="185">
        <v>45789</v>
      </c>
      <c r="BE466" s="185">
        <v>45796</v>
      </c>
      <c r="BF466" s="185">
        <v>45832</v>
      </c>
      <c r="BG466" s="20">
        <f>IFERROR(IF(BC466-DATA[[#This Row],[fecha_fs]]&lt;0,0,BC466-DATA[[#This Row],[fecha_fs]]),0)</f>
        <v>28</v>
      </c>
      <c r="BH466" s="20">
        <f t="shared" si="53"/>
        <v>10</v>
      </c>
      <c r="BI466" s="20">
        <f t="shared" si="54"/>
        <v>7</v>
      </c>
      <c r="BJ466" s="20">
        <f t="shared" si="55"/>
        <v>36</v>
      </c>
      <c r="BK466" s="218">
        <f>IFERROR(SUM(DATA[[#This Row],[fs_fd_ttd]:[fend_fenf_ttd]]),0)</f>
        <v>81</v>
      </c>
      <c r="BL466" s="20" t="str">
        <f>IF(DATA[[#This Row],[fecha_fs]]&gt;0,TEXT(DATA[[#This Row],[fecha_fs]],"YYYY"),0)</f>
        <v>2025</v>
      </c>
      <c r="BM466" s="221" t="b">
        <v>1</v>
      </c>
      <c r="BN466" s="278">
        <f>COUNTIF(DATA[[#This Row],[tiempo_td]], "&lt;=15")</f>
        <v>0</v>
      </c>
      <c r="BO466" s="222"/>
    </row>
    <row r="467" spans="1:67" ht="30.6" customHeight="1" x14ac:dyDescent="0.25">
      <c r="A467" s="4">
        <v>20100192064</v>
      </c>
      <c r="B467" s="5" t="s">
        <v>60</v>
      </c>
      <c r="C467" s="52" t="s">
        <v>64</v>
      </c>
      <c r="D467" s="4" t="s">
        <v>112</v>
      </c>
      <c r="E467" s="5" t="s">
        <v>1</v>
      </c>
      <c r="F467" s="24">
        <v>45751</v>
      </c>
      <c r="G467" s="7" t="s">
        <v>113</v>
      </c>
      <c r="H467" s="25">
        <f t="shared" si="50"/>
        <v>1</v>
      </c>
      <c r="I467" s="67">
        <v>4333</v>
      </c>
      <c r="J467" s="8" t="s">
        <v>115</v>
      </c>
      <c r="K467" s="9" t="s">
        <v>136</v>
      </c>
      <c r="L467" s="10" t="s">
        <v>137</v>
      </c>
      <c r="M467" s="11">
        <v>30</v>
      </c>
      <c r="N467" s="12" t="s">
        <v>135</v>
      </c>
      <c r="O467" s="6">
        <v>45772</v>
      </c>
      <c r="P467" s="71">
        <v>3411</v>
      </c>
      <c r="Q467" s="14" t="s">
        <v>123</v>
      </c>
      <c r="R467" s="15">
        <f>DATA[[#This Row],[cantidad_fs]]*33.34</f>
        <v>1000.2</v>
      </c>
      <c r="S467" s="74"/>
      <c r="T467" s="15">
        <f>DATA[[#This Row],[C. DF]]+DATA[[#This Row],[C.OPE.]]</f>
        <v>1000.2</v>
      </c>
      <c r="U467" s="15">
        <f>DATA[[#This Row],[SUB TOTAL]]*0.18</f>
        <v>180.036</v>
      </c>
      <c r="V467" s="15">
        <f>IFERROR(ROUND(DATA[[#This Row],[SUB TOTAL]]+DATA[[#This Row],[IGV]],2),0)</f>
        <v>1180.24</v>
      </c>
      <c r="W467" s="16" t="str">
        <f>IF(DATA[[#This Row],[VALORIZACIÓN ]]="-","NO CORRESPONDE",IF(OR(A467=20558226979,A467=10470707866,A467=20111157058,A467=20100226902),"NO CORRESPONDE",IF(J467="Emitida",IF(P467&gt;0,"EMITIDA","PENDIENTE"),"NO CORRESPONDE")))</f>
        <v>EMITIDA</v>
      </c>
      <c r="X467" s="29"/>
      <c r="Y467" s="17" t="s">
        <v>118</v>
      </c>
      <c r="Z467" s="30">
        <v>45776</v>
      </c>
      <c r="AA467" s="10" t="s">
        <v>150</v>
      </c>
      <c r="AB467" s="19">
        <v>54</v>
      </c>
      <c r="AC467" s="20">
        <v>30</v>
      </c>
      <c r="AD467" s="18">
        <f>DATA[[#This Row],[FECHA DE EMISION]]+DATA[[#This Row],[CONDICION DE PAGO]]</f>
        <v>45806</v>
      </c>
      <c r="AE467" s="23" t="e">
        <f>IF(DATA[[#This Row],[MONEDA]]="USD",VLOOKUP(DATA[[#This Row],[COMBINADA]],#REF!,11,0),1)</f>
        <v>#REF!</v>
      </c>
      <c r="AF467" s="39" t="str">
        <f>IF(DATA[[#This Row],[SERIE2]]="-","NO CORRESPONDE",IF(W467="NO CORRESPONDE","NO CORRESPONDE",IF(Z467&gt;0,"FACTURADO","PENDIENTE")))</f>
        <v>FACTURADO</v>
      </c>
      <c r="AG467" s="27">
        <f>IFERROR(VLOOKUP(DATA[[#This Row],[COMBINADA]],#REF!,6,0),0)</f>
        <v>0</v>
      </c>
      <c r="AH467" s="125">
        <f>IFERROR(VLOOKUP(DATA[[#This Row],[COMBINADA]],#REF!,9,0),0)/COUNTIFS(DATA[COMBINADA],DATA[[#This Row],[COMBINADA]])</f>
        <v>0</v>
      </c>
      <c r="AI467" s="27">
        <f>IFERROR(VLOOKUP(DATA[[#This Row],[COMBINADA]],#REF!,6,0),0)</f>
        <v>0</v>
      </c>
      <c r="AJ467" s="125">
        <f>IFERROR(VLOOKUP(DATA[[#This Row],[COMBINADA]],#REF!,9,0),0)/COUNTIFS(DATA[COMBINADA],DATA[[#This Row],[COMBINADA]])</f>
        <v>0</v>
      </c>
      <c r="AK467" s="27">
        <f>IFERROR(VLOOKUP(DATA[[#This Row],[COMBINADA]],#REF!,6,0),0)</f>
        <v>0</v>
      </c>
      <c r="AL467" s="125">
        <f>IFERROR(VLOOKUP(DATA[[#This Row],[COMBINADA]],#REF!,9,0),0)/COUNTIFS(DATA[COMBINADA],DATA[[#This Row],[COMBINADA]])</f>
        <v>0</v>
      </c>
      <c r="AM467" s="27">
        <f>IFERROR(VLOOKUP(DATA[[#This Row],[COMBINADA]],#REF!,6,0),0)</f>
        <v>0</v>
      </c>
      <c r="AN467" s="125">
        <f>IFERROR(VLOOKUP(DATA[[#This Row],[COMBINADA]],#REF!,9,0),0)/COUNTIFS(DATA[COMBINADA],DATA[[#This Row],[COMBINADA]])</f>
        <v>0</v>
      </c>
      <c r="AO467" s="27">
        <f>IFERROR(VLOOKUP(DATA[[#This Row],[COMBINADA]],#REF!,6,0),0)</f>
        <v>0</v>
      </c>
      <c r="AP467" s="125">
        <f>IFERROR(VLOOKUP(DATA[[#This Row],[COMBINADA]],#REF!,9,0),0)/COUNTIFS(DATA[COMBINADA],DATA[[#This Row],[COMBINADA]])</f>
        <v>0</v>
      </c>
      <c r="AQ46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548.94894736842105</v>
      </c>
      <c r="AR467" s="26" t="str">
        <f>IFERROR(IF(DATA[[#This Row],[estado_fact]]="FACTURADO",VLOOKUP(DATA[[#This Row],[SERIE2]]&amp;"-"&amp;DATA[[#This Row],[NUMERO]],#REF!,34,0),"NO CORRESPONDE"),"NO CORRESPONDE")</f>
        <v>NO CORRESPONDE</v>
      </c>
      <c r="AS467" s="22" t="str">
        <f>IF(DATA[[#This Row],[fecha_fs]]&gt;0,TEXT(DATA[[#This Row],[fecha_fs]],"Mmmm"),0)</f>
        <v>Abril</v>
      </c>
      <c r="AT467" s="22" t="str">
        <f>DATA[[#This Row],[SERIE2]]&amp;"-"&amp;DATA[[#This Row],[NUMERO]]</f>
        <v>FF01-54</v>
      </c>
      <c r="AU467" s="28" t="e">
        <f>DATA[[#This Row],[TOTAL]]*DATA[[#This Row],[T.C.]]</f>
        <v>#REF!</v>
      </c>
      <c r="AV467" s="6">
        <f>DATA[[#This Row],[FECHA DE VAL.]]</f>
        <v>45772</v>
      </c>
      <c r="AW467" s="6">
        <f>DATA[[#This Row],[FECHA DE EMISION]]</f>
        <v>45776</v>
      </c>
      <c r="AX467" s="6">
        <f>DATA[[#This Row],[F1]]</f>
        <v>0</v>
      </c>
      <c r="AY467" s="20">
        <f>IF(AV467-DATA[[#This Row],[fecha_fs]]&lt;0,0,AV467-DATA[[#This Row],[fecha_fs]])</f>
        <v>21</v>
      </c>
      <c r="AZ467" s="20">
        <f t="shared" si="51"/>
        <v>4</v>
      </c>
      <c r="BA467" s="20">
        <f t="shared" si="52"/>
        <v>0</v>
      </c>
      <c r="BB467" s="195">
        <f>IFERROR(SUM(DATA[[#This Row],[fs_val_ttf]:[fact_pago_ttf]]),0)</f>
        <v>25</v>
      </c>
      <c r="BC467" s="185">
        <v>45758</v>
      </c>
      <c r="BD467" s="185">
        <v>45782</v>
      </c>
      <c r="BE467" s="185">
        <v>45786</v>
      </c>
      <c r="BF467" s="185">
        <v>45831</v>
      </c>
      <c r="BG467" s="20">
        <f>IFERROR(IF(BC467-DATA[[#This Row],[fecha_fs]]&lt;0,0,BC467-DATA[[#This Row],[fecha_fs]]),0)</f>
        <v>7</v>
      </c>
      <c r="BH467" s="20">
        <f t="shared" si="53"/>
        <v>24</v>
      </c>
      <c r="BI467" s="20">
        <f t="shared" si="54"/>
        <v>4</v>
      </c>
      <c r="BJ467" s="20">
        <f t="shared" si="55"/>
        <v>45</v>
      </c>
      <c r="BK467" s="218">
        <f>IFERROR(SUM(DATA[[#This Row],[fs_fd_ttd]:[fend_fenf_ttd]]),0)</f>
        <v>80</v>
      </c>
      <c r="BL467" s="20" t="str">
        <f>IF(DATA[[#This Row],[fecha_fs]]&gt;0,TEXT(DATA[[#This Row],[fecha_fs]],"YYYY"),0)</f>
        <v>2025</v>
      </c>
      <c r="BM467" s="221" t="b">
        <v>1</v>
      </c>
      <c r="BN467" s="278">
        <f>COUNTIF(DATA[[#This Row],[tiempo_td]], "&lt;=15")</f>
        <v>0</v>
      </c>
      <c r="BO467" s="222"/>
    </row>
    <row r="468" spans="1:67" ht="30" customHeight="1" x14ac:dyDescent="0.25">
      <c r="A468" s="4">
        <v>20133208292</v>
      </c>
      <c r="B468" s="5" t="s">
        <v>32</v>
      </c>
      <c r="C468" s="52" t="s">
        <v>33</v>
      </c>
      <c r="D468" s="4" t="s">
        <v>112</v>
      </c>
      <c r="E468" s="5" t="s">
        <v>1</v>
      </c>
      <c r="F468" s="24">
        <v>45750</v>
      </c>
      <c r="G468" s="7" t="s">
        <v>113</v>
      </c>
      <c r="H468" s="25">
        <f t="shared" si="50"/>
        <v>1</v>
      </c>
      <c r="I468" s="67">
        <v>4334</v>
      </c>
      <c r="J468" s="8" t="s">
        <v>115</v>
      </c>
      <c r="K468" s="9" t="s">
        <v>116</v>
      </c>
      <c r="L468" s="10" t="s">
        <v>117</v>
      </c>
      <c r="M468" s="111">
        <v>1630</v>
      </c>
      <c r="N468" s="112" t="s">
        <v>132</v>
      </c>
      <c r="O468" s="6">
        <v>45747</v>
      </c>
      <c r="P468" s="13">
        <v>3378</v>
      </c>
      <c r="Q468" s="14" t="s">
        <v>85</v>
      </c>
      <c r="R468" s="56">
        <f>DATA[[#This Row],[cantidad_fs]]*0.97</f>
        <v>1581.1</v>
      </c>
      <c r="S468" s="56">
        <v>2460.17</v>
      </c>
      <c r="T468" s="56">
        <f>DATA[[#This Row],[C. DF]]+DATA[[#This Row],[C.OPE.]]</f>
        <v>4041.27</v>
      </c>
      <c r="U468" s="56">
        <f>DATA[[#This Row],[SUB TOTAL]]*0.18</f>
        <v>727.42859999999996</v>
      </c>
      <c r="V468" s="56">
        <f>IFERROR(ROUND(DATA[[#This Row],[SUB TOTAL]]+DATA[[#This Row],[IGV]],2),0)</f>
        <v>4768.7</v>
      </c>
      <c r="W468" s="58" t="str">
        <f>IF(DATA[[#This Row],[VALORIZACIÓN ]]="-","NO CORRESPONDE",IF(OR(A468=20558226979,A468=10470707866,A468=20111157058,A468=20100226902),"NO CORRESPONDE",IF(J468="Emitida",IF(P468&gt;0,"EMITIDA","PENDIENTE"),"NO CORRESPONDE")))</f>
        <v>EMITIDA</v>
      </c>
      <c r="X468" s="46"/>
      <c r="Y468" s="17" t="s">
        <v>118</v>
      </c>
      <c r="Z468" s="30">
        <v>45768</v>
      </c>
      <c r="AA468" s="10" t="s">
        <v>150</v>
      </c>
      <c r="AB468" s="119">
        <v>41</v>
      </c>
      <c r="AC468" s="114">
        <v>15</v>
      </c>
      <c r="AD468" s="18">
        <f>DATA[[#This Row],[FECHA DE EMISION]]+DATA[[#This Row],[CONDICION DE PAGO]]</f>
        <v>45783</v>
      </c>
      <c r="AE468" s="23">
        <f>IF(DATA[[#This Row],[MONEDA]]="USD",VLOOKUP(DATA[[#This Row],[COMBINADA]],#REF!,11,0),1)</f>
        <v>1</v>
      </c>
      <c r="AF468" s="39" t="str">
        <f>IF(DATA[[#This Row],[SERIE2]]="-","NO CORRESPONDE",IF(W468="NO CORRESPONDE","NO CORRESPONDE",IF(Z468&gt;0,"FACTURADO","PENDIENTE")))</f>
        <v>FACTURADO</v>
      </c>
      <c r="AG468" s="61">
        <f>IFERROR(VLOOKUP(DATA[[#This Row],[COMBINADA]],#REF!,6,0),0)</f>
        <v>0</v>
      </c>
      <c r="AH468" s="62">
        <f>IFERROR(VLOOKUP(DATA[[#This Row],[COMBINADA]],#REF!,9,0),0)/COUNTIFS(DATA[COMBINADA],DATA[[#This Row],[COMBINADA]])</f>
        <v>0</v>
      </c>
      <c r="AI468" s="61">
        <f>IFERROR(VLOOKUP(DATA[[#This Row],[COMBINADA]],#REF!,6,0),0)</f>
        <v>0</v>
      </c>
      <c r="AJ468" s="62">
        <f>IFERROR(VLOOKUP(DATA[[#This Row],[COMBINADA]],#REF!,9,0),0)/COUNTIFS(DATA[COMBINADA],DATA[[#This Row],[COMBINADA]])</f>
        <v>0</v>
      </c>
      <c r="AK468" s="61">
        <f>IFERROR(VLOOKUP(DATA[[#This Row],[COMBINADA]],#REF!,6,0),0)</f>
        <v>0</v>
      </c>
      <c r="AL468" s="62">
        <f>IFERROR(VLOOKUP(DATA[[#This Row],[COMBINADA]],#REF!,9,0),0)/COUNTIFS(DATA[COMBINADA],DATA[[#This Row],[COMBINADA]])</f>
        <v>0</v>
      </c>
      <c r="AM468" s="61">
        <f>IFERROR(VLOOKUP(DATA[[#This Row],[COMBINADA]],#REF!,6,0),0)</f>
        <v>0</v>
      </c>
      <c r="AN468" s="62">
        <f>IFERROR(VLOOKUP(DATA[[#This Row],[COMBINADA]],#REF!,9,0),0)/COUNTIFS(DATA[COMBINADA],DATA[[#This Row],[COMBINADA]])</f>
        <v>0</v>
      </c>
      <c r="AO468" s="61">
        <f>IFERROR(VLOOKUP(DATA[[#This Row],[COMBINADA]],#REF!,6,0),0)</f>
        <v>0</v>
      </c>
      <c r="AP468" s="62">
        <f>IFERROR(VLOOKUP(DATA[[#This Row],[COMBINADA]],#REF!,9,0),0)/COUNTIFS(DATA[COMBINADA],DATA[[#This Row],[COMBINADA]])</f>
        <v>0</v>
      </c>
      <c r="AQ468"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4768.7</v>
      </c>
      <c r="AR468" s="22" t="str">
        <f>IFERROR(IF(DATA[[#This Row],[estado_fact]]="FACTURADO",VLOOKUP(DATA[[#This Row],[SERIE2]]&amp;"-"&amp;DATA[[#This Row],[NUMERO]],#REF!,34,0),"NO CORRESPONDE"),"NO CORRESPONDE")</f>
        <v>NO CORRESPONDE</v>
      </c>
      <c r="AS468" s="198" t="str">
        <f>IF(DATA[[#This Row],[fecha_fs]]&gt;0,TEXT(DATA[[#This Row],[fecha_fs]],"Mmmm"),0)</f>
        <v>Abril</v>
      </c>
      <c r="AT468" s="199" t="str">
        <f>DATA[[#This Row],[SERIE2]]&amp;"-"&amp;DATA[[#This Row],[NUMERO]]</f>
        <v>FF01-41</v>
      </c>
      <c r="AU468" s="198">
        <f>DATA[[#This Row],[TOTAL]]*DATA[[#This Row],[T.C.]]</f>
        <v>4768.7</v>
      </c>
      <c r="AV468" s="40">
        <f>DATA[[#This Row],[FECHA DE VAL.]]</f>
        <v>45747</v>
      </c>
      <c r="AW468" s="40">
        <f>DATA[[#This Row],[FECHA DE EMISION]]</f>
        <v>45768</v>
      </c>
      <c r="AX468" s="40">
        <f>DATA[[#This Row],[F1]]</f>
        <v>0</v>
      </c>
      <c r="AY468" s="49">
        <f>IF(AV468-DATA[[#This Row],[fecha_fs]]&lt;0,0,AV468-DATA[[#This Row],[fecha_fs]])</f>
        <v>0</v>
      </c>
      <c r="AZ468" s="49">
        <f t="shared" si="51"/>
        <v>21</v>
      </c>
      <c r="BA468" s="49">
        <f t="shared" si="52"/>
        <v>0</v>
      </c>
      <c r="BB468" s="195">
        <f>IFERROR(SUM(DATA[[#This Row],[fs_val_ttf]:[fact_pago_ttf]]),0)</f>
        <v>21</v>
      </c>
      <c r="BC468" s="185">
        <v>45763</v>
      </c>
      <c r="BD468" s="185">
        <v>45772</v>
      </c>
      <c r="BE468" s="185">
        <v>45786</v>
      </c>
      <c r="BF468" s="185">
        <v>45798</v>
      </c>
      <c r="BG468" s="20">
        <f>IFERROR(IF(BC468-DATA[[#This Row],[fecha_fs]]&lt;0,0,BC468-DATA[[#This Row],[fecha_fs]]),0)</f>
        <v>13</v>
      </c>
      <c r="BH468" s="20">
        <f t="shared" si="53"/>
        <v>9</v>
      </c>
      <c r="BI468" s="20">
        <f t="shared" si="54"/>
        <v>14</v>
      </c>
      <c r="BJ468" s="20">
        <f t="shared" si="55"/>
        <v>12</v>
      </c>
      <c r="BK468" s="218">
        <f>IFERROR(SUM(DATA[[#This Row],[fs_fd_ttd]:[fend_fenf_ttd]]),0)</f>
        <v>48</v>
      </c>
      <c r="BL468" s="20" t="str">
        <f>IF(DATA[[#This Row],[fecha_fs]]&gt;0,TEXT(DATA[[#This Row],[fecha_fs]],"YYYY"),0)</f>
        <v>2025</v>
      </c>
      <c r="BM468" s="221" t="b">
        <v>1</v>
      </c>
      <c r="BN468" s="278">
        <f>COUNTIF(DATA[[#This Row],[tiempo_td]], "&lt;=15")</f>
        <v>0</v>
      </c>
      <c r="BO468" s="222"/>
    </row>
    <row r="469" spans="1:67" ht="30.6" customHeight="1" x14ac:dyDescent="0.25">
      <c r="A469" s="4">
        <v>20100211115</v>
      </c>
      <c r="B469" s="5" t="s">
        <v>41</v>
      </c>
      <c r="C469" s="52" t="s">
        <v>18</v>
      </c>
      <c r="D469" s="4" t="s">
        <v>112</v>
      </c>
      <c r="E469" s="5" t="s">
        <v>1</v>
      </c>
      <c r="F469" s="24">
        <v>45751</v>
      </c>
      <c r="G469" s="7" t="s">
        <v>113</v>
      </c>
      <c r="H469" s="25">
        <f t="shared" si="50"/>
        <v>1</v>
      </c>
      <c r="I469" s="67">
        <v>4335</v>
      </c>
      <c r="J469" s="8" t="s">
        <v>115</v>
      </c>
      <c r="K469" s="9" t="s">
        <v>116</v>
      </c>
      <c r="L469" s="10" t="s">
        <v>117</v>
      </c>
      <c r="M469" s="11">
        <v>10</v>
      </c>
      <c r="N469" s="12" t="s">
        <v>167</v>
      </c>
      <c r="O469" s="6">
        <v>45775</v>
      </c>
      <c r="P469" s="115">
        <v>3420</v>
      </c>
      <c r="Q469" s="14" t="s">
        <v>85</v>
      </c>
      <c r="R469" s="74"/>
      <c r="S469" s="15">
        <f>(DATA[[#This Row],[cantidad_fs]]*4.57)</f>
        <v>45.7</v>
      </c>
      <c r="T469" s="15">
        <f>DATA[[#This Row],[C. DF]]+DATA[[#This Row],[C.OPE.]]</f>
        <v>45.7</v>
      </c>
      <c r="U469" s="15">
        <f>DATA[[#This Row],[SUB TOTAL]]*0.18</f>
        <v>8.2260000000000009</v>
      </c>
      <c r="V469" s="15">
        <f>IFERROR(ROUND(DATA[[#This Row],[SUB TOTAL]]+DATA[[#This Row],[IGV]],2),0)</f>
        <v>53.93</v>
      </c>
      <c r="W469" s="16" t="str">
        <f>IF(DATA[[#This Row],[VALORIZACIÓN ]]="-","NO CORRESPONDE",IF(OR(A469=20558226979,A469=10470707866,A469=20111157058,A469=20100226902),"NO CORRESPONDE",IF(J469="Emitida",IF(P469&gt;0,"EMITIDA","PENDIENTE"),"NO CORRESPONDE")))</f>
        <v>EMITIDA</v>
      </c>
      <c r="X469" s="29"/>
      <c r="Y469" s="17" t="s">
        <v>118</v>
      </c>
      <c r="Z469" s="30">
        <v>45777</v>
      </c>
      <c r="AA469" s="10" t="s">
        <v>150</v>
      </c>
      <c r="AB469" s="19">
        <v>62</v>
      </c>
      <c r="AC469" s="20">
        <v>30</v>
      </c>
      <c r="AD469" s="18">
        <f>DATA[[#This Row],[FECHA DE EMISION]]+DATA[[#This Row],[CONDICION DE PAGO]]</f>
        <v>45807</v>
      </c>
      <c r="AE469" s="23">
        <f>IF(DATA[[#This Row],[MONEDA]]="USD",VLOOKUP(DATA[[#This Row],[COMBINADA]],#REF!,11,0),1)</f>
        <v>1</v>
      </c>
      <c r="AF469" s="39" t="str">
        <f>IF(DATA[[#This Row],[SERIE2]]="-","NO CORRESPONDE",IF(W469="NO CORRESPONDE","NO CORRESPONDE",IF(Z469&gt;0,"FACTURADO","PENDIENTE")))</f>
        <v>FACTURADO</v>
      </c>
      <c r="AG469" s="27">
        <f>IFERROR(VLOOKUP(DATA[[#This Row],[COMBINADA]],#REF!,6,0),0)</f>
        <v>0</v>
      </c>
      <c r="AH469" s="125">
        <f>IFERROR(VLOOKUP(DATA[[#This Row],[COMBINADA]],#REF!,9,0),0)/COUNTIFS(DATA[COMBINADA],DATA[[#This Row],[COMBINADA]])</f>
        <v>0</v>
      </c>
      <c r="AI469" s="27">
        <f>IFERROR(VLOOKUP(DATA[[#This Row],[COMBINADA]],#REF!,6,0),0)</f>
        <v>0</v>
      </c>
      <c r="AJ469" s="125">
        <f>IFERROR(VLOOKUP(DATA[[#This Row],[COMBINADA]],#REF!,9,0),0)/COUNTIFS(DATA[COMBINADA],DATA[[#This Row],[COMBINADA]])</f>
        <v>0</v>
      </c>
      <c r="AK469" s="27">
        <f>IFERROR(VLOOKUP(DATA[[#This Row],[COMBINADA]],#REF!,6,0),0)</f>
        <v>0</v>
      </c>
      <c r="AL469" s="125">
        <f>IFERROR(VLOOKUP(DATA[[#This Row],[COMBINADA]],#REF!,9,0),0)/COUNTIFS(DATA[COMBINADA],DATA[[#This Row],[COMBINADA]])</f>
        <v>0</v>
      </c>
      <c r="AM469" s="27">
        <f>IFERROR(VLOOKUP(DATA[[#This Row],[COMBINADA]],#REF!,6,0),0)</f>
        <v>0</v>
      </c>
      <c r="AN469" s="125">
        <f>IFERROR(VLOOKUP(DATA[[#This Row],[COMBINADA]],#REF!,9,0),0)/COUNTIFS(DATA[COMBINADA],DATA[[#This Row],[COMBINADA]])</f>
        <v>0</v>
      </c>
      <c r="AO469" s="27">
        <f>IFERROR(VLOOKUP(DATA[[#This Row],[COMBINADA]],#REF!,6,0),0)</f>
        <v>0</v>
      </c>
      <c r="AP469" s="125">
        <f>IFERROR(VLOOKUP(DATA[[#This Row],[COMBINADA]],#REF!,9,0),0)/COUNTIFS(DATA[COMBINADA],DATA[[#This Row],[COMBINADA]])</f>
        <v>0</v>
      </c>
      <c r="AQ46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64.712499999999991</v>
      </c>
      <c r="AR469" s="26" t="str">
        <f>IFERROR(IF(DATA[[#This Row],[estado_fact]]="FACTURADO",VLOOKUP(DATA[[#This Row],[SERIE2]]&amp;"-"&amp;DATA[[#This Row],[NUMERO]],#REF!,34,0),"NO CORRESPONDE"),"NO CORRESPONDE")</f>
        <v>NO CORRESPONDE</v>
      </c>
      <c r="AS469" s="22" t="str">
        <f>IF(DATA[[#This Row],[fecha_fs]]&gt;0,TEXT(DATA[[#This Row],[fecha_fs]],"Mmmm"),0)</f>
        <v>Abril</v>
      </c>
      <c r="AT469" s="22" t="str">
        <f>DATA[[#This Row],[SERIE2]]&amp;"-"&amp;DATA[[#This Row],[NUMERO]]</f>
        <v>FF01-62</v>
      </c>
      <c r="AU469" s="28">
        <f>DATA[[#This Row],[TOTAL]]*DATA[[#This Row],[T.C.]]</f>
        <v>53.93</v>
      </c>
      <c r="AV469" s="6">
        <f>DATA[[#This Row],[FECHA DE VAL.]]</f>
        <v>45775</v>
      </c>
      <c r="AW469" s="6">
        <f>DATA[[#This Row],[FECHA DE EMISION]]</f>
        <v>45777</v>
      </c>
      <c r="AX469" s="6">
        <f>DATA[[#This Row],[F1]]</f>
        <v>0</v>
      </c>
      <c r="AY469" s="20">
        <f>IF(AV469-DATA[[#This Row],[fecha_fs]]&lt;0,0,AV469-DATA[[#This Row],[fecha_fs]])</f>
        <v>24</v>
      </c>
      <c r="AZ469" s="20">
        <f t="shared" si="51"/>
        <v>2</v>
      </c>
      <c r="BA469" s="20">
        <f t="shared" si="52"/>
        <v>0</v>
      </c>
      <c r="BB469" s="195">
        <f>IFERROR(SUM(DATA[[#This Row],[fs_val_ttf]:[fact_pago_ttf]]),0)</f>
        <v>26</v>
      </c>
      <c r="BC469" s="185">
        <v>45790</v>
      </c>
      <c r="BD469" s="185">
        <v>45798</v>
      </c>
      <c r="BE469" s="185">
        <v>45803</v>
      </c>
      <c r="BF469" s="185">
        <v>45804</v>
      </c>
      <c r="BG469" s="20">
        <f>IFERROR(IF(BC469-DATA[[#This Row],[fecha_fs]]&lt;0,0,BC469-DATA[[#This Row],[fecha_fs]]),0)</f>
        <v>39</v>
      </c>
      <c r="BH469" s="20">
        <f t="shared" si="53"/>
        <v>8</v>
      </c>
      <c r="BI469" s="20">
        <f t="shared" si="54"/>
        <v>5</v>
      </c>
      <c r="BJ469" s="20">
        <f t="shared" si="55"/>
        <v>1</v>
      </c>
      <c r="BK469" s="218">
        <f>IFERROR(SUM(DATA[[#This Row],[fs_fd_ttd]:[fend_fenf_ttd]]),0)</f>
        <v>53</v>
      </c>
      <c r="BL469" s="20" t="str">
        <f>IF(DATA[[#This Row],[fecha_fs]]&gt;0,TEXT(DATA[[#This Row],[fecha_fs]],"YYYY"),0)</f>
        <v>2025</v>
      </c>
      <c r="BM469" s="221" t="b">
        <v>1</v>
      </c>
      <c r="BN469" s="278">
        <f>COUNTIF(DATA[[#This Row],[tiempo_td]], "&lt;=15")</f>
        <v>0</v>
      </c>
      <c r="BO469" s="222"/>
    </row>
    <row r="470" spans="1:67" ht="30.6" customHeight="1" x14ac:dyDescent="0.25">
      <c r="A470" s="4">
        <v>20141637941</v>
      </c>
      <c r="B470" s="5" t="s">
        <v>79</v>
      </c>
      <c r="C470" s="52" t="s">
        <v>18</v>
      </c>
      <c r="D470" s="4" t="s">
        <v>120</v>
      </c>
      <c r="E470" s="5" t="s">
        <v>3</v>
      </c>
      <c r="F470" s="24">
        <v>45754</v>
      </c>
      <c r="G470" s="7" t="s">
        <v>113</v>
      </c>
      <c r="H470" s="25">
        <f t="shared" si="50"/>
        <v>1</v>
      </c>
      <c r="I470" s="67">
        <v>4336</v>
      </c>
      <c r="J470" s="8" t="s">
        <v>115</v>
      </c>
      <c r="K470" s="9" t="s">
        <v>121</v>
      </c>
      <c r="L470" s="10" t="s">
        <v>117</v>
      </c>
      <c r="M470" s="11">
        <v>1550</v>
      </c>
      <c r="N470" s="12" t="s">
        <v>125</v>
      </c>
      <c r="O470" s="6">
        <v>45758</v>
      </c>
      <c r="P470" s="110">
        <v>3392</v>
      </c>
      <c r="Q470" s="14" t="s">
        <v>85</v>
      </c>
      <c r="R470" s="15">
        <f>70+(DATA[[#This Row],[cantidad_fs]]-1000)*0.1</f>
        <v>125</v>
      </c>
      <c r="S470" s="15">
        <v>517</v>
      </c>
      <c r="T470" s="15">
        <f>DATA[[#This Row],[C. DF]]+DATA[[#This Row],[C.OPE.]]</f>
        <v>642</v>
      </c>
      <c r="U470" s="15">
        <f>DATA[[#This Row],[SUB TOTAL]]*0.18</f>
        <v>115.56</v>
      </c>
      <c r="V470" s="15">
        <f>IFERROR(ROUND(DATA[[#This Row],[SUB TOTAL]]+DATA[[#This Row],[IGV]],2),0)</f>
        <v>757.56</v>
      </c>
      <c r="W470" s="16" t="str">
        <f>IF(DATA[[#This Row],[VALORIZACIÓN ]]="-","NO CORRESPONDE",IF(OR(A470=20558226979,A470=10470707866,A470=20111157058,A470=20100226902),"NO CORRESPONDE",IF(J470="Emitida",IF(P470&gt;0,"EMITIDA","PENDIENTE"),"NO CORRESPONDE")))</f>
        <v>EMITIDA</v>
      </c>
      <c r="X470" s="29"/>
      <c r="Y470" s="17" t="s">
        <v>118</v>
      </c>
      <c r="Z470" s="30">
        <v>45763</v>
      </c>
      <c r="AA470" s="10" t="s">
        <v>150</v>
      </c>
      <c r="AB470" s="19">
        <v>40</v>
      </c>
      <c r="AC470" s="20">
        <v>30</v>
      </c>
      <c r="AD470" s="18">
        <f>DATA[[#This Row],[FECHA DE EMISION]]+DATA[[#This Row],[CONDICION DE PAGO]]</f>
        <v>45793</v>
      </c>
      <c r="AE470" s="23">
        <f>IF(DATA[[#This Row],[MONEDA]]="USD",VLOOKUP(DATA[[#This Row],[COMBINADA]],#REF!,11,0),1)</f>
        <v>1</v>
      </c>
      <c r="AF470" s="39" t="str">
        <f>IF(DATA[[#This Row],[SERIE2]]="-","NO CORRESPONDE",IF(W470="NO CORRESPONDE","NO CORRESPONDE",IF(Z470&gt;0,"FACTURADO","PENDIENTE")))</f>
        <v>FACTURADO</v>
      </c>
      <c r="AG470" s="27">
        <f>IFERROR(VLOOKUP(DATA[[#This Row],[COMBINADA]],#REF!,6,0),0)</f>
        <v>0</v>
      </c>
      <c r="AH470" s="125">
        <f>IFERROR(VLOOKUP(DATA[[#This Row],[COMBINADA]],#REF!,9,0),0)/COUNTIFS(DATA[COMBINADA],DATA[[#This Row],[COMBINADA]])</f>
        <v>0</v>
      </c>
      <c r="AI470" s="27">
        <f>IFERROR(VLOOKUP(DATA[[#This Row],[COMBINADA]],#REF!,6,0),0)</f>
        <v>0</v>
      </c>
      <c r="AJ470" s="125">
        <f>IFERROR(VLOOKUP(DATA[[#This Row],[COMBINADA]],#REF!,9,0),0)/COUNTIFS(DATA[COMBINADA],DATA[[#This Row],[COMBINADA]])</f>
        <v>0</v>
      </c>
      <c r="AK470" s="27">
        <f>IFERROR(VLOOKUP(DATA[[#This Row],[COMBINADA]],#REF!,6,0),0)</f>
        <v>0</v>
      </c>
      <c r="AL470" s="125">
        <f>IFERROR(VLOOKUP(DATA[[#This Row],[COMBINADA]],#REF!,9,0),0)/COUNTIFS(DATA[COMBINADA],DATA[[#This Row],[COMBINADA]])</f>
        <v>0</v>
      </c>
      <c r="AM470" s="27">
        <f>IFERROR(VLOOKUP(DATA[[#This Row],[COMBINADA]],#REF!,6,0),0)</f>
        <v>0</v>
      </c>
      <c r="AN470" s="125">
        <f>IFERROR(VLOOKUP(DATA[[#This Row],[COMBINADA]],#REF!,9,0),0)/COUNTIFS(DATA[COMBINADA],DATA[[#This Row],[COMBINADA]])</f>
        <v>0</v>
      </c>
      <c r="AO470" s="27">
        <f>IFERROR(VLOOKUP(DATA[[#This Row],[COMBINADA]],#REF!,6,0),0)</f>
        <v>0</v>
      </c>
      <c r="AP470" s="125">
        <f>IFERROR(VLOOKUP(DATA[[#This Row],[COMBINADA]],#REF!,9,0),0)/COUNTIFS(DATA[COMBINADA],DATA[[#This Row],[COMBINADA]])</f>
        <v>0</v>
      </c>
      <c r="AQ47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732.30800000000011</v>
      </c>
      <c r="AR470" s="26" t="str">
        <f>IFERROR(IF(DATA[[#This Row],[estado_fact]]="FACTURADO",VLOOKUP(DATA[[#This Row],[SERIE2]]&amp;"-"&amp;DATA[[#This Row],[NUMERO]],#REF!,34,0),"NO CORRESPONDE"),"NO CORRESPONDE")</f>
        <v>NO CORRESPONDE</v>
      </c>
      <c r="AS470" s="22" t="str">
        <f>IF(DATA[[#This Row],[fecha_fs]]&gt;0,TEXT(DATA[[#This Row],[fecha_fs]],"Mmmm"),0)</f>
        <v>Abril</v>
      </c>
      <c r="AT470" s="22" t="str">
        <f>DATA[[#This Row],[SERIE2]]&amp;"-"&amp;DATA[[#This Row],[NUMERO]]</f>
        <v>FF01-40</v>
      </c>
      <c r="AU470" s="28">
        <f>DATA[[#This Row],[TOTAL]]*DATA[[#This Row],[T.C.]]</f>
        <v>757.56</v>
      </c>
      <c r="AV470" s="6">
        <f>DATA[[#This Row],[FECHA DE VAL.]]</f>
        <v>45758</v>
      </c>
      <c r="AW470" s="6">
        <f>DATA[[#This Row],[FECHA DE EMISION]]</f>
        <v>45763</v>
      </c>
      <c r="AX470" s="6">
        <f>DATA[[#This Row],[F1]]</f>
        <v>0</v>
      </c>
      <c r="AY470" s="20">
        <f>IF(AV470-DATA[[#This Row],[fecha_fs]]&lt;0,0,AV470-DATA[[#This Row],[fecha_fs]])</f>
        <v>4</v>
      </c>
      <c r="AZ470" s="20">
        <f t="shared" si="51"/>
        <v>5</v>
      </c>
      <c r="BA470" s="20">
        <f t="shared" si="52"/>
        <v>0</v>
      </c>
      <c r="BB470" s="195">
        <f>IFERROR(SUM(DATA[[#This Row],[fs_val_ttf]:[fact_pago_ttf]]),0)</f>
        <v>9</v>
      </c>
      <c r="BC470" s="185">
        <v>45754</v>
      </c>
      <c r="BD470" s="185">
        <v>45754</v>
      </c>
      <c r="BE470" s="185">
        <v>45763</v>
      </c>
      <c r="BF470" s="185">
        <v>45763</v>
      </c>
      <c r="BG470" s="20">
        <f>IFERROR(IF(BC470-DATA[[#This Row],[fecha_fs]]&lt;0,0,BC470-DATA[[#This Row],[fecha_fs]]),0)</f>
        <v>0</v>
      </c>
      <c r="BH470" s="20">
        <f t="shared" si="53"/>
        <v>0</v>
      </c>
      <c r="BI470" s="20">
        <f t="shared" si="54"/>
        <v>9</v>
      </c>
      <c r="BJ470" s="20">
        <f t="shared" si="55"/>
        <v>0</v>
      </c>
      <c r="BK470" s="218">
        <f>IFERROR(SUM(DATA[[#This Row],[fs_fd_ttd]:[fend_fenf_ttd]]),0)</f>
        <v>9</v>
      </c>
      <c r="BL470" s="20" t="str">
        <f>IF(DATA[[#This Row],[fecha_fs]]&gt;0,TEXT(DATA[[#This Row],[fecha_fs]],"YYYY"),0)</f>
        <v>2025</v>
      </c>
      <c r="BM470" s="221" t="b">
        <v>1</v>
      </c>
      <c r="BN470" s="278">
        <f>COUNTIF(DATA[[#This Row],[tiempo_td]], "&lt;=15")</f>
        <v>1</v>
      </c>
      <c r="BO470" s="222"/>
    </row>
    <row r="471" spans="1:67" ht="30.6" customHeight="1" x14ac:dyDescent="0.25">
      <c r="A471" s="4">
        <v>20100226902</v>
      </c>
      <c r="B471" s="5" t="s">
        <v>24</v>
      </c>
      <c r="C471" s="52" t="s">
        <v>18</v>
      </c>
      <c r="D471" s="4" t="s">
        <v>120</v>
      </c>
      <c r="E471" s="5" t="s">
        <v>3</v>
      </c>
      <c r="F471" s="24">
        <v>45754</v>
      </c>
      <c r="G471" s="7" t="s">
        <v>113</v>
      </c>
      <c r="H471" s="25">
        <f t="shared" si="50"/>
        <v>1</v>
      </c>
      <c r="I471" s="67">
        <v>4337</v>
      </c>
      <c r="J471" s="8" t="s">
        <v>115</v>
      </c>
      <c r="K471" s="9" t="s">
        <v>121</v>
      </c>
      <c r="L471" s="10" t="s">
        <v>117</v>
      </c>
      <c r="M471" s="11">
        <v>420</v>
      </c>
      <c r="N471" s="12" t="s">
        <v>127</v>
      </c>
      <c r="O471" s="40"/>
      <c r="P471" s="41" t="s">
        <v>114</v>
      </c>
      <c r="Q471" s="42"/>
      <c r="R471" s="43"/>
      <c r="S471" s="43"/>
      <c r="T471" s="43">
        <f>DATA[[#This Row],[C. DF]]+DATA[[#This Row],[C.OPE.]]</f>
        <v>0</v>
      </c>
      <c r="U471" s="43">
        <f>DATA[[#This Row],[SUB TOTAL]]*0.18</f>
        <v>0</v>
      </c>
      <c r="V471" s="43">
        <f>IFERROR(ROUND(DATA[[#This Row],[SUB TOTAL]]+DATA[[#This Row],[IGV]],2),0)</f>
        <v>0</v>
      </c>
      <c r="W471" s="58" t="str">
        <f>IF(DATA[[#This Row],[VALORIZACIÓN ]]="-","NO CORRESPONDE",IF(OR(A471=20558226979,A471=10470707866,A471=20111157058,A471=20100226902),"NO CORRESPONDE",IF(J471="Emitida",IF(P471&gt;0,"EMITIDA","PENDIENTE"),"NO CORRESPONDE")))</f>
        <v>NO CORRESPONDE</v>
      </c>
      <c r="X471" s="45"/>
      <c r="Y471" s="58" t="s">
        <v>128</v>
      </c>
      <c r="Z471" s="46"/>
      <c r="AA471" s="47"/>
      <c r="AB471" s="48"/>
      <c r="AC471" s="49"/>
      <c r="AD471" s="50">
        <f>DATA[[#This Row],[FECHA DE EMISION]]+DATA[[#This Row],[CONDICION DE PAGO]]</f>
        <v>0</v>
      </c>
      <c r="AE471" s="23">
        <f>IF(DATA[[#This Row],[MONEDA]]="USD",VLOOKUP(DATA[[#This Row],[COMBINADA]],#REF!,11,0),1)</f>
        <v>1</v>
      </c>
      <c r="AF471" s="39" t="str">
        <f>IF(DATA[[#This Row],[SERIE2]]="-","NO CORRESPONDE",IF(W471="NO CORRESPONDE","NO CORRESPONDE",IF(Z471&gt;0,"FACTURADO","PENDIENTE")))</f>
        <v>NO CORRESPONDE</v>
      </c>
      <c r="AG471" s="60">
        <f>IFERROR(VLOOKUP(DATA[[#This Row],[COMBINADA]],#REF!,6,0),0)</f>
        <v>0</v>
      </c>
      <c r="AH471" s="126">
        <f>IFERROR(VLOOKUP(DATA[[#This Row],[COMBINADA]],#REF!,9,0),0)/COUNTIFS(DATA[COMBINADA],DATA[[#This Row],[COMBINADA]])</f>
        <v>0</v>
      </c>
      <c r="AI471" s="60">
        <f>IFERROR(VLOOKUP(DATA[[#This Row],[COMBINADA]],#REF!,6,0),0)</f>
        <v>0</v>
      </c>
      <c r="AJ471" s="126">
        <f>IFERROR(VLOOKUP(DATA[[#This Row],[COMBINADA]],#REF!,9,0),0)/COUNTIFS(DATA[COMBINADA],DATA[[#This Row],[COMBINADA]])</f>
        <v>0</v>
      </c>
      <c r="AK471" s="60">
        <f>IFERROR(VLOOKUP(DATA[[#This Row],[COMBINADA]],#REF!,6,0),0)</f>
        <v>0</v>
      </c>
      <c r="AL471" s="126">
        <f>IFERROR(VLOOKUP(DATA[[#This Row],[COMBINADA]],#REF!,9,0),0)/COUNTIFS(DATA[COMBINADA],DATA[[#This Row],[COMBINADA]])</f>
        <v>0</v>
      </c>
      <c r="AM471" s="60">
        <f>IFERROR(VLOOKUP(DATA[[#This Row],[COMBINADA]],#REF!,6,0),0)</f>
        <v>0</v>
      </c>
      <c r="AN471" s="126">
        <f>IFERROR(VLOOKUP(DATA[[#This Row],[COMBINADA]],#REF!,9,0),0)/COUNTIFS(DATA[COMBINADA],DATA[[#This Row],[COMBINADA]])</f>
        <v>0</v>
      </c>
      <c r="AO471" s="60">
        <f>IFERROR(VLOOKUP(DATA[[#This Row],[COMBINADA]],#REF!,6,0),0)</f>
        <v>0</v>
      </c>
      <c r="AP471" s="126">
        <f>IFERROR(VLOOKUP(DATA[[#This Row],[COMBINADA]],#REF!,9,0),0)/COUNTIFS(DATA[COMBINADA],DATA[[#This Row],[COMBINADA]])</f>
        <v>0</v>
      </c>
      <c r="AQ471"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471" s="22" t="str">
        <f>IFERROR(IF(DATA[[#This Row],[estado_fact]]="FACTURADO",VLOOKUP(DATA[[#This Row],[SERIE2]]&amp;"-"&amp;DATA[[#This Row],[NUMERO]],#REF!,34,0),"NO CORRESPONDE"),"NO CORRESPONDE")</f>
        <v>NO CORRESPONDE</v>
      </c>
      <c r="AS471" s="22" t="str">
        <f>IF(DATA[[#This Row],[fecha_fs]]&gt;0,TEXT(DATA[[#This Row],[fecha_fs]],"Mmmm"),0)</f>
        <v>Abril</v>
      </c>
      <c r="AT471" s="22" t="str">
        <f>DATA[[#This Row],[SERIE2]]&amp;"-"&amp;DATA[[#This Row],[NUMERO]]</f>
        <v>-</v>
      </c>
      <c r="AU471" s="28">
        <f>DATA[[#This Row],[TOTAL]]*DATA[[#This Row],[T.C.]]</f>
        <v>0</v>
      </c>
      <c r="AV471" s="6">
        <f>DATA[[#This Row],[FECHA DE VAL.]]</f>
        <v>0</v>
      </c>
      <c r="AW471" s="6">
        <f>DATA[[#This Row],[FECHA DE EMISION]]</f>
        <v>0</v>
      </c>
      <c r="AX471" s="6">
        <f>DATA[[#This Row],[F1]]</f>
        <v>0</v>
      </c>
      <c r="AY471" s="20">
        <f>IF(AV471-DATA[[#This Row],[fecha_fs]]&lt;0,0,AV471-DATA[[#This Row],[fecha_fs]])</f>
        <v>0</v>
      </c>
      <c r="AZ471" s="20">
        <f t="shared" si="51"/>
        <v>0</v>
      </c>
      <c r="BA471" s="20">
        <f t="shared" si="52"/>
        <v>0</v>
      </c>
      <c r="BB471" s="195">
        <f>IFERROR(SUM(DATA[[#This Row],[fs_val_ttf]:[fact_pago_ttf]]),0)</f>
        <v>0</v>
      </c>
      <c r="BC471" s="185">
        <v>45754</v>
      </c>
      <c r="BD471" s="185">
        <v>45754</v>
      </c>
      <c r="BE471" s="185">
        <v>45783</v>
      </c>
      <c r="BF471" s="185">
        <v>45783</v>
      </c>
      <c r="BG471" s="20">
        <f>IFERROR(IF(BC471-DATA[[#This Row],[fecha_fs]]&lt;0,0,BC471-DATA[[#This Row],[fecha_fs]]),0)</f>
        <v>0</v>
      </c>
      <c r="BH471" s="20">
        <f t="shared" si="53"/>
        <v>0</v>
      </c>
      <c r="BI471" s="20">
        <f t="shared" si="54"/>
        <v>29</v>
      </c>
      <c r="BJ471" s="20">
        <f t="shared" si="55"/>
        <v>0</v>
      </c>
      <c r="BK471" s="218">
        <f>IFERROR(SUM(DATA[[#This Row],[fs_fd_ttd]:[fend_fenf_ttd]]),0)</f>
        <v>29</v>
      </c>
      <c r="BL471" s="20" t="str">
        <f>IF(DATA[[#This Row],[fecha_fs]]&gt;0,TEXT(DATA[[#This Row],[fecha_fs]],"YYYY"),0)</f>
        <v>2025</v>
      </c>
      <c r="BM471" s="221" t="b">
        <v>1</v>
      </c>
      <c r="BN471" s="278">
        <f>COUNTIF(DATA[[#This Row],[tiempo_td]], "&lt;=15")</f>
        <v>0</v>
      </c>
      <c r="BO471" s="222"/>
    </row>
    <row r="472" spans="1:67" ht="30.6" customHeight="1" x14ac:dyDescent="0.25">
      <c r="A472" s="4">
        <v>20496535066</v>
      </c>
      <c r="B472" s="5" t="s">
        <v>36</v>
      </c>
      <c r="C472" s="52" t="s">
        <v>230</v>
      </c>
      <c r="D472" s="4" t="s">
        <v>120</v>
      </c>
      <c r="E472" s="5" t="s">
        <v>3</v>
      </c>
      <c r="F472" s="24">
        <v>45751</v>
      </c>
      <c r="G472" s="7" t="s">
        <v>113</v>
      </c>
      <c r="H472" s="25">
        <f t="shared" si="50"/>
        <v>1</v>
      </c>
      <c r="I472" s="67">
        <v>4338</v>
      </c>
      <c r="J472" s="8" t="s">
        <v>115</v>
      </c>
      <c r="K472" s="9" t="s">
        <v>121</v>
      </c>
      <c r="L472" s="10" t="s">
        <v>117</v>
      </c>
      <c r="M472" s="11">
        <v>22290</v>
      </c>
      <c r="N472" s="12" t="s">
        <v>233</v>
      </c>
      <c r="O472" s="6">
        <v>45777</v>
      </c>
      <c r="P472" s="122">
        <v>3430</v>
      </c>
      <c r="Q472" s="14" t="s">
        <v>85</v>
      </c>
      <c r="R472" s="15">
        <f>DATA[[#This Row],[cantidad_fs]]*0.08</f>
        <v>1783.2</v>
      </c>
      <c r="S472" s="15">
        <f>2945/2</f>
        <v>1472.5</v>
      </c>
      <c r="T472" s="15">
        <f>DATA[[#This Row],[C. DF]]+DATA[[#This Row],[C.OPE.]]</f>
        <v>3255.7</v>
      </c>
      <c r="U472" s="15">
        <f>DATA[[#This Row],[SUB TOTAL]]*0.18</f>
        <v>586.02599999999995</v>
      </c>
      <c r="V472" s="15">
        <f>IFERROR(ROUND(DATA[[#This Row],[SUB TOTAL]]+DATA[[#This Row],[IGV]],2),0)</f>
        <v>3841.73</v>
      </c>
      <c r="W472" s="16" t="str">
        <f>IF(DATA[[#This Row],[VALORIZACIÓN ]]="-","NO CORRESPONDE",IF(OR(A472=20558226979,A472=10470707866,A472=20111157058,A472=20100226902),"NO CORRESPONDE",IF(J472="Emitida",IF(P472&gt;0,"EMITIDA","PENDIENTE"),"NO CORRESPONDE")))</f>
        <v>EMITIDA</v>
      </c>
      <c r="X472" s="29" t="s">
        <v>231</v>
      </c>
      <c r="Y472" s="17" t="s">
        <v>118</v>
      </c>
      <c r="Z472" s="30">
        <v>45831</v>
      </c>
      <c r="AA472" s="10" t="s">
        <v>150</v>
      </c>
      <c r="AB472" s="19">
        <v>129</v>
      </c>
      <c r="AC472" s="20">
        <v>15</v>
      </c>
      <c r="AD472" s="18">
        <f>DATA[[#This Row],[FECHA DE EMISION]]+DATA[[#This Row],[CONDICION DE PAGO]]</f>
        <v>45846</v>
      </c>
      <c r="AE472" s="23">
        <f>IF(DATA[[#This Row],[MONEDA]]="USD",VLOOKUP(DATA[[#This Row],[COMBINADA]],#REF!,11,0),1)</f>
        <v>1</v>
      </c>
      <c r="AF472" s="39" t="str">
        <f>IF(DATA[[#This Row],[SERIE2]]="-","NO CORRESPONDE",IF(W472="NO CORRESPONDE","NO CORRESPONDE",IF(Z472&gt;0,"FACTURADO","PENDIENTE")))</f>
        <v>FACTURADO</v>
      </c>
      <c r="AG472" s="27">
        <f>IFERROR(VLOOKUP(DATA[[#This Row],[COMBINADA]],#REF!,6,0),0)</f>
        <v>0</v>
      </c>
      <c r="AH472" s="125">
        <f>IFERROR(VLOOKUP(DATA[[#This Row],[COMBINADA]],#REF!,9,0),0)/COUNTIFS(DATA[COMBINADA],DATA[[#This Row],[COMBINADA]])</f>
        <v>0</v>
      </c>
      <c r="AI472" s="27">
        <f>IFERROR(VLOOKUP(DATA[[#This Row],[COMBINADA]],#REF!,6,0),0)</f>
        <v>0</v>
      </c>
      <c r="AJ472" s="125">
        <f>IFERROR(VLOOKUP(DATA[[#This Row],[COMBINADA]],#REF!,9,0),0)/COUNTIFS(DATA[COMBINADA],DATA[[#This Row],[COMBINADA]])</f>
        <v>0</v>
      </c>
      <c r="AK472" s="27">
        <f>IFERROR(VLOOKUP(DATA[[#This Row],[COMBINADA]],#REF!,6,0),0)</f>
        <v>0</v>
      </c>
      <c r="AL472" s="125">
        <f>IFERROR(VLOOKUP(DATA[[#This Row],[COMBINADA]],#REF!,9,0),0)/COUNTIFS(DATA[COMBINADA],DATA[[#This Row],[COMBINADA]])</f>
        <v>0</v>
      </c>
      <c r="AM472" s="27">
        <f>IFERROR(VLOOKUP(DATA[[#This Row],[COMBINADA]],#REF!,6,0),0)</f>
        <v>0</v>
      </c>
      <c r="AN472" s="125">
        <f>IFERROR(VLOOKUP(DATA[[#This Row],[COMBINADA]],#REF!,9,0),0)/COUNTIFS(DATA[COMBINADA],DATA[[#This Row],[COMBINADA]])</f>
        <v>0</v>
      </c>
      <c r="AO472" s="27">
        <f>IFERROR(VLOOKUP(DATA[[#This Row],[COMBINADA]],#REF!,6,0),0)</f>
        <v>0</v>
      </c>
      <c r="AP472" s="125">
        <f>IFERROR(VLOOKUP(DATA[[#This Row],[COMBINADA]],#REF!,9,0),0)/COUNTIFS(DATA[COMBINADA],DATA[[#This Row],[COMBINADA]])</f>
        <v>0</v>
      </c>
      <c r="AQ47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2924</v>
      </c>
      <c r="AR472" s="26" t="str">
        <f>IFERROR(IF(DATA[[#This Row],[estado_fact]]="FACTURADO",VLOOKUP(DATA[[#This Row],[SERIE2]]&amp;"-"&amp;DATA[[#This Row],[NUMERO]],#REF!,34,0),"NO CORRESPONDE"),"NO CORRESPONDE")</f>
        <v>NO CORRESPONDE</v>
      </c>
      <c r="AS472" s="22" t="str">
        <f>IF(DATA[[#This Row],[fecha_fs]]&gt;0,TEXT(DATA[[#This Row],[fecha_fs]],"Mmmm"),0)</f>
        <v>Abril</v>
      </c>
      <c r="AT472" s="22" t="str">
        <f>DATA[[#This Row],[SERIE2]]&amp;"-"&amp;DATA[[#This Row],[NUMERO]]</f>
        <v>FF01-129</v>
      </c>
      <c r="AU472" s="28">
        <f>DATA[[#This Row],[TOTAL]]*DATA[[#This Row],[T.C.]]</f>
        <v>3841.73</v>
      </c>
      <c r="AV472" s="6">
        <f>DATA[[#This Row],[FECHA DE VAL.]]</f>
        <v>45777</v>
      </c>
      <c r="AW472" s="6">
        <f>DATA[[#This Row],[FECHA DE EMISION]]</f>
        <v>45831</v>
      </c>
      <c r="AX472" s="6">
        <f>DATA[[#This Row],[F1]]</f>
        <v>0</v>
      </c>
      <c r="AY472" s="20">
        <f>IF(AV472-DATA[[#This Row],[fecha_fs]]&lt;0,0,AV472-DATA[[#This Row],[fecha_fs]])</f>
        <v>26</v>
      </c>
      <c r="AZ472" s="20">
        <f t="shared" si="51"/>
        <v>54</v>
      </c>
      <c r="BA472" s="20">
        <f t="shared" si="52"/>
        <v>0</v>
      </c>
      <c r="BB472" s="195">
        <f>IFERROR(SUM(DATA[[#This Row],[fs_val_ttf]:[fact_pago_ttf]]),0)</f>
        <v>80</v>
      </c>
      <c r="BC472" s="185">
        <v>45757</v>
      </c>
      <c r="BD472" s="185">
        <v>45789</v>
      </c>
      <c r="BE472" s="185">
        <v>45797</v>
      </c>
      <c r="BF472" s="185">
        <v>45798</v>
      </c>
      <c r="BG472" s="20">
        <f>IFERROR(IF(BC472-DATA[[#This Row],[fecha_fs]]&lt;0,0,BC472-DATA[[#This Row],[fecha_fs]]),0)</f>
        <v>6</v>
      </c>
      <c r="BH472" s="20">
        <f t="shared" si="53"/>
        <v>32</v>
      </c>
      <c r="BI472" s="20">
        <f t="shared" si="54"/>
        <v>8</v>
      </c>
      <c r="BJ472" s="20">
        <f t="shared" si="55"/>
        <v>1</v>
      </c>
      <c r="BK472" s="218">
        <f>IFERROR(SUM(DATA[[#This Row],[fs_fd_ttd]:[fend_fenf_ttd]]),0)</f>
        <v>47</v>
      </c>
      <c r="BL472" s="20" t="str">
        <f>IF(DATA[[#This Row],[fecha_fs]]&gt;0,TEXT(DATA[[#This Row],[fecha_fs]],"YYYY"),0)</f>
        <v>2025</v>
      </c>
      <c r="BM472" s="221" t="b">
        <v>1</v>
      </c>
      <c r="BN472" s="278">
        <f>COUNTIF(DATA[[#This Row],[tiempo_td]], "&lt;=15")</f>
        <v>0</v>
      </c>
      <c r="BO472" s="222"/>
    </row>
    <row r="473" spans="1:67" ht="30.6" customHeight="1" x14ac:dyDescent="0.25">
      <c r="A473" s="4">
        <v>20100211115</v>
      </c>
      <c r="B473" s="5" t="s">
        <v>41</v>
      </c>
      <c r="C473" s="52" t="s">
        <v>18</v>
      </c>
      <c r="D473" s="4" t="s">
        <v>120</v>
      </c>
      <c r="E473" s="5" t="s">
        <v>3</v>
      </c>
      <c r="F473" s="24">
        <v>45754</v>
      </c>
      <c r="G473" s="7" t="s">
        <v>113</v>
      </c>
      <c r="H473" s="25">
        <f t="shared" si="50"/>
        <v>1</v>
      </c>
      <c r="I473" s="67">
        <v>4339</v>
      </c>
      <c r="J473" s="8" t="s">
        <v>115</v>
      </c>
      <c r="K473" s="9" t="s">
        <v>121</v>
      </c>
      <c r="L473" s="10" t="s">
        <v>117</v>
      </c>
      <c r="M473" s="11">
        <v>90</v>
      </c>
      <c r="N473" s="12" t="s">
        <v>132</v>
      </c>
      <c r="O473" s="6">
        <v>45775</v>
      </c>
      <c r="P473" s="115">
        <v>3419</v>
      </c>
      <c r="Q473" s="14" t="s">
        <v>85</v>
      </c>
      <c r="R473" s="15"/>
      <c r="S473" s="15">
        <f>(DATA[[#This Row],[cantidad_fs]]*4.37)</f>
        <v>393.3</v>
      </c>
      <c r="T473" s="15">
        <f>DATA[[#This Row],[C. DF]]+DATA[[#This Row],[C.OPE.]]</f>
        <v>393.3</v>
      </c>
      <c r="U473" s="15">
        <f>DATA[[#This Row],[SUB TOTAL]]*0.18</f>
        <v>70.793999999999997</v>
      </c>
      <c r="V473" s="15">
        <f>IFERROR(ROUND(DATA[[#This Row],[SUB TOTAL]]+DATA[[#This Row],[IGV]],2),0)</f>
        <v>464.09</v>
      </c>
      <c r="W473" s="16" t="str">
        <f>IF(DATA[[#This Row],[VALORIZACIÓN ]]="-","NO CORRESPONDE",IF(OR(A473=20558226979,A473=10470707866,A473=20111157058,A473=20100226902),"NO CORRESPONDE",IF(J473="Emitida",IF(P473&gt;0,"EMITIDA","PENDIENTE"),"NO CORRESPONDE")))</f>
        <v>EMITIDA</v>
      </c>
      <c r="X473" s="29"/>
      <c r="Y473" s="17" t="s">
        <v>118</v>
      </c>
      <c r="Z473" s="30">
        <v>45777</v>
      </c>
      <c r="AA473" s="10" t="s">
        <v>150</v>
      </c>
      <c r="AB473" s="19">
        <v>60</v>
      </c>
      <c r="AC473" s="20">
        <v>30</v>
      </c>
      <c r="AD473" s="18">
        <f>DATA[[#This Row],[FECHA DE EMISION]]+DATA[[#This Row],[CONDICION DE PAGO]]</f>
        <v>45807</v>
      </c>
      <c r="AE473" s="23">
        <f>IF(DATA[[#This Row],[MONEDA]]="USD",VLOOKUP(DATA[[#This Row],[COMBINADA]],#REF!,11,0),1)</f>
        <v>1</v>
      </c>
      <c r="AF473" s="39" t="str">
        <f>IF(DATA[[#This Row],[SERIE2]]="-","NO CORRESPONDE",IF(W473="NO CORRESPONDE","NO CORRESPONDE",IF(Z473&gt;0,"FACTURADO","PENDIENTE")))</f>
        <v>FACTURADO</v>
      </c>
      <c r="AG473" s="27">
        <f>IFERROR(VLOOKUP(DATA[[#This Row],[COMBINADA]],#REF!,6,0),0)</f>
        <v>0</v>
      </c>
      <c r="AH473" s="125">
        <f>IFERROR(VLOOKUP(DATA[[#This Row],[COMBINADA]],#REF!,9,0),0)/COUNTIFS(DATA[COMBINADA],DATA[[#This Row],[COMBINADA]])</f>
        <v>0</v>
      </c>
      <c r="AI473" s="27">
        <f>IFERROR(VLOOKUP(DATA[[#This Row],[COMBINADA]],#REF!,6,0),0)</f>
        <v>0</v>
      </c>
      <c r="AJ473" s="125">
        <f>IFERROR(VLOOKUP(DATA[[#This Row],[COMBINADA]],#REF!,9,0),0)/COUNTIFS(DATA[COMBINADA],DATA[[#This Row],[COMBINADA]])</f>
        <v>0</v>
      </c>
      <c r="AK473" s="27">
        <f>IFERROR(VLOOKUP(DATA[[#This Row],[COMBINADA]],#REF!,6,0),0)</f>
        <v>0</v>
      </c>
      <c r="AL473" s="125">
        <f>IFERROR(VLOOKUP(DATA[[#This Row],[COMBINADA]],#REF!,9,0),0)/COUNTIFS(DATA[COMBINADA],DATA[[#This Row],[COMBINADA]])</f>
        <v>0</v>
      </c>
      <c r="AM473" s="27">
        <f>IFERROR(VLOOKUP(DATA[[#This Row],[COMBINADA]],#REF!,6,0),0)</f>
        <v>0</v>
      </c>
      <c r="AN473" s="125">
        <f>IFERROR(VLOOKUP(DATA[[#This Row],[COMBINADA]],#REF!,9,0),0)/COUNTIFS(DATA[COMBINADA],DATA[[#This Row],[COMBINADA]])</f>
        <v>0</v>
      </c>
      <c r="AO473" s="27">
        <f>IFERROR(VLOOKUP(DATA[[#This Row],[COMBINADA]],#REF!,6,0),0)</f>
        <v>0</v>
      </c>
      <c r="AP473" s="125">
        <f>IFERROR(VLOOKUP(DATA[[#This Row],[COMBINADA]],#REF!,9,0),0)/COUNTIFS(DATA[COMBINADA],DATA[[#This Row],[COMBINADA]])</f>
        <v>0</v>
      </c>
      <c r="AQ47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473" s="26" t="str">
        <f>IFERROR(IF(DATA[[#This Row],[estado_fact]]="FACTURADO",VLOOKUP(DATA[[#This Row],[SERIE2]]&amp;"-"&amp;DATA[[#This Row],[NUMERO]],#REF!,34,0),"NO CORRESPONDE"),"NO CORRESPONDE")</f>
        <v>NO CORRESPONDE</v>
      </c>
      <c r="AS473" s="22" t="str">
        <f>IF(DATA[[#This Row],[fecha_fs]]&gt;0,TEXT(DATA[[#This Row],[fecha_fs]],"Mmmm"),0)</f>
        <v>Abril</v>
      </c>
      <c r="AT473" s="22" t="str">
        <f>DATA[[#This Row],[SERIE2]]&amp;"-"&amp;DATA[[#This Row],[NUMERO]]</f>
        <v>FF01-60</v>
      </c>
      <c r="AU473" s="28">
        <f>DATA[[#This Row],[TOTAL]]*DATA[[#This Row],[T.C.]]</f>
        <v>464.09</v>
      </c>
      <c r="AV473" s="6">
        <f>DATA[[#This Row],[FECHA DE VAL.]]</f>
        <v>45775</v>
      </c>
      <c r="AW473" s="6">
        <f>DATA[[#This Row],[FECHA DE EMISION]]</f>
        <v>45777</v>
      </c>
      <c r="AX473" s="6">
        <f>DATA[[#This Row],[F1]]</f>
        <v>0</v>
      </c>
      <c r="AY473" s="20">
        <f>IF(AV473-DATA[[#This Row],[fecha_fs]]&lt;0,0,AV473-DATA[[#This Row],[fecha_fs]])</f>
        <v>21</v>
      </c>
      <c r="AZ473" s="20">
        <f t="shared" si="51"/>
        <v>2</v>
      </c>
      <c r="BA473" s="20">
        <f t="shared" si="52"/>
        <v>0</v>
      </c>
      <c r="BB473" s="195">
        <f>IFERROR(SUM(DATA[[#This Row],[fs_val_ttf]:[fact_pago_ttf]]),0)</f>
        <v>23</v>
      </c>
      <c r="BC473" s="185">
        <v>45779</v>
      </c>
      <c r="BD473" s="185">
        <v>45789</v>
      </c>
      <c r="BE473" s="185">
        <v>45796</v>
      </c>
      <c r="BF473" s="184">
        <v>45798</v>
      </c>
      <c r="BG473" s="20">
        <f>IFERROR(IF(BC473-DATA[[#This Row],[fecha_fs]]&lt;0,0,BC473-DATA[[#This Row],[fecha_fs]]),0)</f>
        <v>25</v>
      </c>
      <c r="BH473" s="20">
        <f t="shared" si="53"/>
        <v>10</v>
      </c>
      <c r="BI473" s="20">
        <f t="shared" si="54"/>
        <v>7</v>
      </c>
      <c r="BJ473" s="20">
        <f t="shared" si="55"/>
        <v>2</v>
      </c>
      <c r="BK473" s="218">
        <f>IFERROR(SUM(DATA[[#This Row],[fs_fd_ttd]:[fend_fenf_ttd]]),0)</f>
        <v>44</v>
      </c>
      <c r="BL473" s="20" t="str">
        <f>IF(DATA[[#This Row],[fecha_fs]]&gt;0,TEXT(DATA[[#This Row],[fecha_fs]],"YYYY"),0)</f>
        <v>2025</v>
      </c>
      <c r="BM473" s="221" t="b">
        <v>1</v>
      </c>
      <c r="BN473" s="278">
        <f>COUNTIF(DATA[[#This Row],[tiempo_td]], "&lt;=15")</f>
        <v>0</v>
      </c>
      <c r="BO473" s="222"/>
    </row>
    <row r="474" spans="1:67" ht="30.6" customHeight="1" x14ac:dyDescent="0.25">
      <c r="A474" s="4">
        <v>20553956324</v>
      </c>
      <c r="B474" s="5" t="s">
        <v>281</v>
      </c>
      <c r="C474" s="52" t="s">
        <v>175</v>
      </c>
      <c r="D474" s="4" t="s">
        <v>120</v>
      </c>
      <c r="E474" s="5" t="s">
        <v>3</v>
      </c>
      <c r="F474" s="24">
        <v>45754</v>
      </c>
      <c r="G474" s="7" t="s">
        <v>113</v>
      </c>
      <c r="H474" s="25">
        <f t="shared" si="50"/>
        <v>1</v>
      </c>
      <c r="I474" s="67">
        <v>4340</v>
      </c>
      <c r="J474" s="8" t="s">
        <v>115</v>
      </c>
      <c r="K474" s="9" t="s">
        <v>121</v>
      </c>
      <c r="L474" s="10" t="s">
        <v>117</v>
      </c>
      <c r="M474" s="11">
        <v>30</v>
      </c>
      <c r="N474" s="12" t="s">
        <v>132</v>
      </c>
      <c r="O474" s="6">
        <v>45775</v>
      </c>
      <c r="P474" s="109">
        <v>3422</v>
      </c>
      <c r="Q474" s="14" t="s">
        <v>85</v>
      </c>
      <c r="R474" s="15">
        <f>DATA[[#This Row],[cantidad_fs]]*0.08</f>
        <v>2.4</v>
      </c>
      <c r="S474" s="15">
        <v>395.1</v>
      </c>
      <c r="T474" s="15">
        <f>DATA[[#This Row],[C. DF]]+DATA[[#This Row],[C.OPE.]]</f>
        <v>397.5</v>
      </c>
      <c r="U474" s="15">
        <f>DATA[[#This Row],[SUB TOTAL]]*0.18</f>
        <v>71.55</v>
      </c>
      <c r="V474" s="15">
        <f>IFERROR(ROUND(DATA[[#This Row],[SUB TOTAL]]+DATA[[#This Row],[IGV]],2),0)</f>
        <v>469.05</v>
      </c>
      <c r="W474" s="16" t="str">
        <f>IF(DATA[[#This Row],[VALORIZACIÓN ]]="-","NO CORRESPONDE",IF(OR(A474=20558226979,A474=10470707866,A474=20111157058,A474=20100226902),"NO CORRESPONDE",IF(J474="Emitida",IF(P474&gt;0,"EMITIDA","PENDIENTE"),"NO CORRESPONDE")))</f>
        <v>EMITIDA</v>
      </c>
      <c r="X474" s="29"/>
      <c r="Y474" s="17" t="s">
        <v>118</v>
      </c>
      <c r="Z474" s="30">
        <v>45790</v>
      </c>
      <c r="AA474" s="10" t="s">
        <v>150</v>
      </c>
      <c r="AB474" s="19">
        <v>76</v>
      </c>
      <c r="AC474" s="20"/>
      <c r="AD474" s="18">
        <f>DATA[[#This Row],[FECHA DE EMISION]]+DATA[[#This Row],[CONDICION DE PAGO]]</f>
        <v>45790</v>
      </c>
      <c r="AE474" s="23">
        <f>IF(DATA[[#This Row],[MONEDA]]="USD",VLOOKUP(DATA[[#This Row],[COMBINADA]],#REF!,11,0),1)</f>
        <v>1</v>
      </c>
      <c r="AF474" s="39" t="str">
        <f>IF(DATA[[#This Row],[SERIE2]]="-","NO CORRESPONDE",IF(W474="NO CORRESPONDE","NO CORRESPONDE",IF(Z474&gt;0,"FACTURADO","PENDIENTE")))</f>
        <v>FACTURADO</v>
      </c>
      <c r="AG474" s="27">
        <f>IFERROR(VLOOKUP(DATA[[#This Row],[COMBINADA]],#REF!,6,0),0)</f>
        <v>0</v>
      </c>
      <c r="AH474" s="125">
        <f>IFERROR(VLOOKUP(DATA[[#This Row],[COMBINADA]],#REF!,9,0),0)/COUNTIFS(DATA[COMBINADA],DATA[[#This Row],[COMBINADA]])</f>
        <v>0</v>
      </c>
      <c r="AI474" s="27">
        <f>IFERROR(VLOOKUP(DATA[[#This Row],[COMBINADA]],#REF!,6,0),0)</f>
        <v>0</v>
      </c>
      <c r="AJ474" s="125">
        <f>IFERROR(VLOOKUP(DATA[[#This Row],[COMBINADA]],#REF!,9,0),0)/COUNTIFS(DATA[COMBINADA],DATA[[#This Row],[COMBINADA]])</f>
        <v>0</v>
      </c>
      <c r="AK474" s="27">
        <f>IFERROR(VLOOKUP(DATA[[#This Row],[COMBINADA]],#REF!,6,0),0)</f>
        <v>0</v>
      </c>
      <c r="AL474" s="125">
        <f>IFERROR(VLOOKUP(DATA[[#This Row],[COMBINADA]],#REF!,9,0),0)/COUNTIFS(DATA[COMBINADA],DATA[[#This Row],[COMBINADA]])</f>
        <v>0</v>
      </c>
      <c r="AM474" s="27">
        <f>IFERROR(VLOOKUP(DATA[[#This Row],[COMBINADA]],#REF!,6,0),0)</f>
        <v>0</v>
      </c>
      <c r="AN474" s="125">
        <f>IFERROR(VLOOKUP(DATA[[#This Row],[COMBINADA]],#REF!,9,0),0)/COUNTIFS(DATA[COMBINADA],DATA[[#This Row],[COMBINADA]])</f>
        <v>0</v>
      </c>
      <c r="AO474" s="27">
        <f>IFERROR(VLOOKUP(DATA[[#This Row],[COMBINADA]],#REF!,6,0),0)</f>
        <v>0</v>
      </c>
      <c r="AP474" s="125">
        <f>IFERROR(VLOOKUP(DATA[[#This Row],[COMBINADA]],#REF!,9,0),0)/COUNTIFS(DATA[COMBINADA],DATA[[#This Row],[COMBINADA]])</f>
        <v>0</v>
      </c>
      <c r="AQ47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481.00750000000011</v>
      </c>
      <c r="AR474" s="26" t="str">
        <f>IFERROR(IF(DATA[[#This Row],[estado_fact]]="FACTURADO",VLOOKUP(DATA[[#This Row],[SERIE2]]&amp;"-"&amp;DATA[[#This Row],[NUMERO]],#REF!,34,0),"NO CORRESPONDE"),"NO CORRESPONDE")</f>
        <v>NO CORRESPONDE</v>
      </c>
      <c r="AS474" s="22" t="str">
        <f>IF(DATA[[#This Row],[fecha_fs]]&gt;0,TEXT(DATA[[#This Row],[fecha_fs]],"Mmmm"),0)</f>
        <v>Abril</v>
      </c>
      <c r="AT474" s="22" t="str">
        <f>DATA[[#This Row],[SERIE2]]&amp;"-"&amp;DATA[[#This Row],[NUMERO]]</f>
        <v>FF01-76</v>
      </c>
      <c r="AU474" s="28">
        <f>DATA[[#This Row],[TOTAL]]*DATA[[#This Row],[T.C.]]</f>
        <v>469.05</v>
      </c>
      <c r="AV474" s="6">
        <f>DATA[[#This Row],[FECHA DE VAL.]]</f>
        <v>45775</v>
      </c>
      <c r="AW474" s="6">
        <f>DATA[[#This Row],[FECHA DE EMISION]]</f>
        <v>45790</v>
      </c>
      <c r="AX474" s="6">
        <f>DATA[[#This Row],[F1]]</f>
        <v>0</v>
      </c>
      <c r="AY474" s="20">
        <f>IF(AV474-DATA[[#This Row],[fecha_fs]]&lt;0,0,AV474-DATA[[#This Row],[fecha_fs]])</f>
        <v>21</v>
      </c>
      <c r="AZ474" s="20">
        <f t="shared" si="51"/>
        <v>15</v>
      </c>
      <c r="BA474" s="20">
        <f t="shared" si="52"/>
        <v>0</v>
      </c>
      <c r="BB474" s="195">
        <f>IFERROR(SUM(DATA[[#This Row],[fs_val_ttf]:[fact_pago_ttf]]),0)</f>
        <v>36</v>
      </c>
      <c r="BC474" s="185">
        <v>45779</v>
      </c>
      <c r="BD474" s="185">
        <v>45789</v>
      </c>
      <c r="BE474" s="185">
        <v>45796</v>
      </c>
      <c r="BF474" s="185">
        <v>45832</v>
      </c>
      <c r="BG474" s="20">
        <f>IFERROR(IF(BC474-DATA[[#This Row],[fecha_fs]]&lt;0,0,BC474-DATA[[#This Row],[fecha_fs]]),0)</f>
        <v>25</v>
      </c>
      <c r="BH474" s="20">
        <f t="shared" si="53"/>
        <v>10</v>
      </c>
      <c r="BI474" s="20">
        <f t="shared" si="54"/>
        <v>7</v>
      </c>
      <c r="BJ474" s="20">
        <f t="shared" si="55"/>
        <v>36</v>
      </c>
      <c r="BK474" s="218">
        <f>IFERROR(SUM(DATA[[#This Row],[fs_fd_ttd]:[fend_fenf_ttd]]),0)</f>
        <v>78</v>
      </c>
      <c r="BL474" s="20" t="str">
        <f>IF(DATA[[#This Row],[fecha_fs]]&gt;0,TEXT(DATA[[#This Row],[fecha_fs]],"YYYY"),0)</f>
        <v>2025</v>
      </c>
      <c r="BM474" s="221" t="b">
        <v>1</v>
      </c>
      <c r="BN474" s="278">
        <f>COUNTIF(DATA[[#This Row],[tiempo_td]], "&lt;=15")</f>
        <v>0</v>
      </c>
      <c r="BO474" s="222"/>
    </row>
    <row r="475" spans="1:67" ht="29.25" customHeight="1" x14ac:dyDescent="0.25">
      <c r="A475" s="4">
        <v>20419158462</v>
      </c>
      <c r="B475" s="5" t="s">
        <v>2</v>
      </c>
      <c r="C475" s="52" t="s">
        <v>210</v>
      </c>
      <c r="D475" s="4" t="s">
        <v>120</v>
      </c>
      <c r="E475" s="5" t="s">
        <v>3</v>
      </c>
      <c r="F475" s="87">
        <v>45754</v>
      </c>
      <c r="G475" s="88" t="s">
        <v>113</v>
      </c>
      <c r="H475" s="89">
        <f t="shared" si="50"/>
        <v>1</v>
      </c>
      <c r="I475" s="67">
        <v>4341</v>
      </c>
      <c r="J475" s="90" t="s">
        <v>115</v>
      </c>
      <c r="K475" s="91" t="s">
        <v>121</v>
      </c>
      <c r="L475" s="92" t="s">
        <v>117</v>
      </c>
      <c r="M475" s="93">
        <v>1907</v>
      </c>
      <c r="N475" s="12" t="s">
        <v>125</v>
      </c>
      <c r="O475" s="6">
        <v>45770</v>
      </c>
      <c r="P475" s="83">
        <v>3397</v>
      </c>
      <c r="Q475" s="14" t="s">
        <v>85</v>
      </c>
      <c r="R475" s="15">
        <f>DATA[[#This Row],[cantidad_fs]]*0.67</f>
        <v>1277.69</v>
      </c>
      <c r="S475" s="15">
        <v>839.7</v>
      </c>
      <c r="T475" s="15">
        <f>DATA[[#This Row],[C. DF]]+DATA[[#This Row],[C.OPE.]]</f>
        <v>2117.3900000000003</v>
      </c>
      <c r="U475" s="15">
        <f>DATA[[#This Row],[SUB TOTAL]]*0.18</f>
        <v>381.13020000000006</v>
      </c>
      <c r="V475" s="292">
        <f>IFERROR(ROUND(DATA[[#This Row],[SUB TOTAL]]+DATA[[#This Row],[IGV]],2),0)</f>
        <v>2498.52</v>
      </c>
      <c r="W475" s="16" t="str">
        <f>IF(DATA[[#This Row],[VALORIZACIÓN ]]="-","NO CORRESPONDE",IF(OR(A475=20558226979,A475=10470707866,A475=20111157058,A475=20100226902),"NO CORRESPONDE",IF(J475="Emitida",IF(P475&gt;0,"EMITIDA","PENDIENTE"),"NO CORRESPONDE")))</f>
        <v>EMITIDA</v>
      </c>
      <c r="X475" s="29" t="s">
        <v>234</v>
      </c>
      <c r="Y475" s="17" t="s">
        <v>118</v>
      </c>
      <c r="Z475" s="30">
        <v>45965</v>
      </c>
      <c r="AA475" s="10" t="s">
        <v>150</v>
      </c>
      <c r="AB475" s="19">
        <v>322</v>
      </c>
      <c r="AC475" s="20">
        <v>2</v>
      </c>
      <c r="AD475" s="18">
        <f>DATA[[#This Row],[FECHA DE EMISION]]+DATA[[#This Row],[CONDICION DE PAGO]]</f>
        <v>45967</v>
      </c>
      <c r="AE475" s="23">
        <f>IF(DATA[[#This Row],[MONEDA]]="USD",VLOOKUP(DATA[[#This Row],[COMBINADA]],#REF!,11,0),1)</f>
        <v>1</v>
      </c>
      <c r="AF475" s="39" t="str">
        <f>IF(DATA[[#This Row],[SERIE2]]="-","NO CORRESPONDE",IF(W475="NO CORRESPONDE","NO CORRESPONDE",IF(Z475&gt;0,"FACTURADO","PENDIENTE")))</f>
        <v>FACTURADO</v>
      </c>
      <c r="AG475" s="27">
        <f>IFERROR(VLOOKUP(DATA[[#This Row],[COMBINADA]],#REF!,6,0),0)</f>
        <v>0</v>
      </c>
      <c r="AH475" s="125">
        <f>IFERROR(VLOOKUP(DATA[[#This Row],[COMBINADA]],#REF!,9,0),0)/COUNTIFS(DATA[COMBINADA],DATA[[#This Row],[COMBINADA]])</f>
        <v>0</v>
      </c>
      <c r="AI475" s="27">
        <f>IFERROR(VLOOKUP(DATA[[#This Row],[COMBINADA]],#REF!,6,0),0)</f>
        <v>0</v>
      </c>
      <c r="AJ475" s="125">
        <f>IFERROR(VLOOKUP(DATA[[#This Row],[COMBINADA]],#REF!,9,0),0)/COUNTIFS(DATA[COMBINADA],DATA[[#This Row],[COMBINADA]])</f>
        <v>0</v>
      </c>
      <c r="AK475" s="27">
        <f>IFERROR(VLOOKUP(DATA[[#This Row],[COMBINADA]],#REF!,6,0),0)</f>
        <v>0</v>
      </c>
      <c r="AL475" s="125">
        <f>IFERROR(VLOOKUP(DATA[[#This Row],[COMBINADA]],#REF!,9,0),0)/COUNTIFS(DATA[COMBINADA],DATA[[#This Row],[COMBINADA]])</f>
        <v>0</v>
      </c>
      <c r="AM475" s="27">
        <f>IFERROR(VLOOKUP(DATA[[#This Row],[COMBINADA]],#REF!,6,0),0)</f>
        <v>0</v>
      </c>
      <c r="AN475" s="125">
        <f>IFERROR(VLOOKUP(DATA[[#This Row],[COMBINADA]],#REF!,9,0),0)/COUNTIFS(DATA[COMBINADA],DATA[[#This Row],[COMBINADA]])</f>
        <v>0</v>
      </c>
      <c r="AO475" s="27">
        <f>IFERROR(VLOOKUP(DATA[[#This Row],[COMBINADA]],#REF!,6,0),0)</f>
        <v>0</v>
      </c>
      <c r="AP475" s="125">
        <f>IFERROR(VLOOKUP(DATA[[#This Row],[COMBINADA]],#REF!,9,0),0)/COUNTIFS(DATA[COMBINADA],DATA[[#This Row],[COMBINADA]])</f>
        <v>0</v>
      </c>
      <c r="AQ47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2498.52</v>
      </c>
      <c r="AR475" s="26" t="str">
        <f>IFERROR(IF(DATA[[#This Row],[estado_fact]]="FACTURADO",VLOOKUP(DATA[[#This Row],[SERIE2]]&amp;"-"&amp;DATA[[#This Row],[NUMERO]],#REF!,34,0),"NO CORRESPONDE"),"NO CORRESPONDE")</f>
        <v>NO CORRESPONDE</v>
      </c>
      <c r="AS475" s="22" t="str">
        <f>IF(DATA[[#This Row],[fecha_fs]]&gt;0,TEXT(DATA[[#This Row],[fecha_fs]],"Mmmm"),0)</f>
        <v>Abril</v>
      </c>
      <c r="AT475" s="22" t="str">
        <f>DATA[[#This Row],[SERIE2]]&amp;"-"&amp;DATA[[#This Row],[NUMERO]]</f>
        <v>FF01-322</v>
      </c>
      <c r="AU475" s="28">
        <f>DATA[[#This Row],[TOTAL]]*DATA[[#This Row],[T.C.]]</f>
        <v>2498.52</v>
      </c>
      <c r="AV475" s="6">
        <f>DATA[[#This Row],[FECHA DE VAL.]]</f>
        <v>45770</v>
      </c>
      <c r="AW475" s="6">
        <f>DATA[[#This Row],[FECHA DE EMISION]]</f>
        <v>45965</v>
      </c>
      <c r="AX475" s="6">
        <f>DATA[[#This Row],[F1]]</f>
        <v>0</v>
      </c>
      <c r="AY475" s="20">
        <f>IF(AV475-DATA[[#This Row],[fecha_fs]]&lt;0,0,AV475-DATA[[#This Row],[fecha_fs]])</f>
        <v>16</v>
      </c>
      <c r="AZ475" s="20">
        <f t="shared" si="51"/>
        <v>195</v>
      </c>
      <c r="BA475" s="20">
        <f t="shared" si="52"/>
        <v>0</v>
      </c>
      <c r="BB475" s="195">
        <f>IFERROR(SUM(DATA[[#This Row],[fs_val_ttf]:[fact_pago_ttf]]),0)</f>
        <v>211</v>
      </c>
      <c r="BC475" s="185">
        <v>45757</v>
      </c>
      <c r="BD475" s="185">
        <v>45761</v>
      </c>
      <c r="BE475" s="185">
        <v>45793</v>
      </c>
      <c r="BF475" s="185">
        <v>45798</v>
      </c>
      <c r="BG475" s="20">
        <f>IFERROR(IF(BC475-DATA[[#This Row],[fecha_fs]]&lt;0,0,BC475-DATA[[#This Row],[fecha_fs]]),0)</f>
        <v>3</v>
      </c>
      <c r="BH475" s="20">
        <f t="shared" si="53"/>
        <v>4</v>
      </c>
      <c r="BI475" s="20">
        <f t="shared" si="54"/>
        <v>32</v>
      </c>
      <c r="BJ475" s="20">
        <f t="shared" si="55"/>
        <v>5</v>
      </c>
      <c r="BK475" s="218">
        <f>IFERROR(SUM(DATA[[#This Row],[fs_fd_ttd]:[fend_fenf_ttd]]),0)</f>
        <v>44</v>
      </c>
      <c r="BL475" s="20" t="str">
        <f>IF(DATA[[#This Row],[fecha_fs]]&gt;0,TEXT(DATA[[#This Row],[fecha_fs]],"YYYY"),0)</f>
        <v>2025</v>
      </c>
      <c r="BM475" s="221" t="b">
        <v>1</v>
      </c>
      <c r="BN475" s="278">
        <f>COUNTIF(DATA[[#This Row],[tiempo_td]], "&lt;=15")</f>
        <v>0</v>
      </c>
      <c r="BO475" s="222"/>
    </row>
    <row r="476" spans="1:67" ht="30.6" customHeight="1" x14ac:dyDescent="0.25">
      <c r="A476" s="4">
        <v>20100192064</v>
      </c>
      <c r="B476" s="5" t="s">
        <v>60</v>
      </c>
      <c r="C476" s="52" t="s">
        <v>43</v>
      </c>
      <c r="D476" s="4" t="s">
        <v>112</v>
      </c>
      <c r="E476" s="5" t="s">
        <v>1</v>
      </c>
      <c r="F476" s="24">
        <v>45754</v>
      </c>
      <c r="G476" s="7" t="s">
        <v>113</v>
      </c>
      <c r="H476" s="25">
        <f t="shared" si="50"/>
        <v>1</v>
      </c>
      <c r="I476" s="67">
        <v>4342</v>
      </c>
      <c r="J476" s="8" t="s">
        <v>115</v>
      </c>
      <c r="K476" s="9" t="s">
        <v>116</v>
      </c>
      <c r="L476" s="10" t="s">
        <v>117</v>
      </c>
      <c r="M476" s="11">
        <v>450</v>
      </c>
      <c r="N476" s="12" t="s">
        <v>167</v>
      </c>
      <c r="O476" s="6">
        <v>45772</v>
      </c>
      <c r="P476" s="71">
        <v>3408</v>
      </c>
      <c r="Q476" s="14" t="s">
        <v>123</v>
      </c>
      <c r="R476" s="15">
        <f>(DATA[[#This Row],[cantidad_fs]]/1000)*(143+175.34)</f>
        <v>143.25300000000001</v>
      </c>
      <c r="S476" s="15">
        <v>137</v>
      </c>
      <c r="T476" s="15">
        <f>DATA[[#This Row],[C. DF]]+DATA[[#This Row],[C.OPE.]]</f>
        <v>280.25300000000004</v>
      </c>
      <c r="U476" s="15">
        <f>DATA[[#This Row],[SUB TOTAL]]*0.18</f>
        <v>50.445540000000008</v>
      </c>
      <c r="V476" s="15">
        <f>IFERROR(ROUND(DATA[[#This Row],[SUB TOTAL]]+DATA[[#This Row],[IGV]],2),0)</f>
        <v>330.7</v>
      </c>
      <c r="W476" s="16" t="str">
        <f>IF(DATA[[#This Row],[VALORIZACIÓN ]]="-","NO CORRESPONDE",IF(OR(A476=20558226979,A476=10470707866,A476=20111157058,A476=20100226902),"NO CORRESPONDE",IF(J476="Emitida",IF(P476&gt;0,"EMITIDA","PENDIENTE"),"NO CORRESPONDE")))</f>
        <v>EMITIDA</v>
      </c>
      <c r="X476" s="29"/>
      <c r="Y476" s="17" t="s">
        <v>118</v>
      </c>
      <c r="Z476" s="30">
        <v>45776</v>
      </c>
      <c r="AA476" s="10" t="s">
        <v>150</v>
      </c>
      <c r="AB476" s="19">
        <v>54</v>
      </c>
      <c r="AC476" s="20">
        <v>30</v>
      </c>
      <c r="AD476" s="18">
        <f>DATA[[#This Row],[FECHA DE EMISION]]+DATA[[#This Row],[CONDICION DE PAGO]]</f>
        <v>45806</v>
      </c>
      <c r="AE476" s="23" t="e">
        <f>IF(DATA[[#This Row],[MONEDA]]="USD",VLOOKUP(DATA[[#This Row],[COMBINADA]],#REF!,11,0),1)</f>
        <v>#REF!</v>
      </c>
      <c r="AF476" s="39" t="str">
        <f>IF(DATA[[#This Row],[SERIE2]]="-","NO CORRESPONDE",IF(W476="NO CORRESPONDE","NO CORRESPONDE",IF(Z476&gt;0,"FACTURADO","PENDIENTE")))</f>
        <v>FACTURADO</v>
      </c>
      <c r="AG476" s="27">
        <f>IFERROR(VLOOKUP(DATA[[#This Row],[COMBINADA]],#REF!,6,0),0)</f>
        <v>0</v>
      </c>
      <c r="AH476" s="125">
        <f>IFERROR(VLOOKUP(DATA[[#This Row],[COMBINADA]],#REF!,9,0),0)/COUNTIFS(DATA[COMBINADA],DATA[[#This Row],[COMBINADA]])</f>
        <v>0</v>
      </c>
      <c r="AI476" s="27">
        <f>IFERROR(VLOOKUP(DATA[[#This Row],[COMBINADA]],#REF!,6,0),0)</f>
        <v>0</v>
      </c>
      <c r="AJ476" s="125">
        <f>IFERROR(VLOOKUP(DATA[[#This Row],[COMBINADA]],#REF!,9,0),0)/COUNTIFS(DATA[COMBINADA],DATA[[#This Row],[COMBINADA]])</f>
        <v>0</v>
      </c>
      <c r="AK476" s="27">
        <f>IFERROR(VLOOKUP(DATA[[#This Row],[COMBINADA]],#REF!,6,0),0)</f>
        <v>0</v>
      </c>
      <c r="AL476" s="125">
        <f>IFERROR(VLOOKUP(DATA[[#This Row],[COMBINADA]],#REF!,9,0),0)/COUNTIFS(DATA[COMBINADA],DATA[[#This Row],[COMBINADA]])</f>
        <v>0</v>
      </c>
      <c r="AM476" s="27">
        <f>IFERROR(VLOOKUP(DATA[[#This Row],[COMBINADA]],#REF!,6,0),0)</f>
        <v>0</v>
      </c>
      <c r="AN476" s="125">
        <f>IFERROR(VLOOKUP(DATA[[#This Row],[COMBINADA]],#REF!,9,0),0)/COUNTIFS(DATA[COMBINADA],DATA[[#This Row],[COMBINADA]])</f>
        <v>0</v>
      </c>
      <c r="AO476" s="27">
        <f>IFERROR(VLOOKUP(DATA[[#This Row],[COMBINADA]],#REF!,6,0),0)</f>
        <v>0</v>
      </c>
      <c r="AP476" s="125">
        <f>IFERROR(VLOOKUP(DATA[[#This Row],[COMBINADA]],#REF!,9,0),0)/COUNTIFS(DATA[COMBINADA],DATA[[#This Row],[COMBINADA]])</f>
        <v>0</v>
      </c>
      <c r="AQ47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548.94894736842105</v>
      </c>
      <c r="AR476" s="26" t="str">
        <f>IFERROR(IF(DATA[[#This Row],[estado_fact]]="FACTURADO",VLOOKUP(DATA[[#This Row],[SERIE2]]&amp;"-"&amp;DATA[[#This Row],[NUMERO]],#REF!,34,0),"NO CORRESPONDE"),"NO CORRESPONDE")</f>
        <v>NO CORRESPONDE</v>
      </c>
      <c r="AS476" s="22" t="str">
        <f>IF(DATA[[#This Row],[fecha_fs]]&gt;0,TEXT(DATA[[#This Row],[fecha_fs]],"Mmmm"),0)</f>
        <v>Abril</v>
      </c>
      <c r="AT476" s="22" t="str">
        <f>DATA[[#This Row],[SERIE2]]&amp;"-"&amp;DATA[[#This Row],[NUMERO]]</f>
        <v>FF01-54</v>
      </c>
      <c r="AU476" s="28" t="e">
        <f>DATA[[#This Row],[TOTAL]]*DATA[[#This Row],[T.C.]]</f>
        <v>#REF!</v>
      </c>
      <c r="AV476" s="6">
        <f>DATA[[#This Row],[FECHA DE VAL.]]</f>
        <v>45772</v>
      </c>
      <c r="AW476" s="6">
        <f>DATA[[#This Row],[FECHA DE EMISION]]</f>
        <v>45776</v>
      </c>
      <c r="AX476" s="6">
        <f>DATA[[#This Row],[F1]]</f>
        <v>0</v>
      </c>
      <c r="AY476" s="20">
        <f>IF(AV476-DATA[[#This Row],[fecha_fs]]&lt;0,0,AV476-DATA[[#This Row],[fecha_fs]])</f>
        <v>18</v>
      </c>
      <c r="AZ476" s="20">
        <f t="shared" si="51"/>
        <v>4</v>
      </c>
      <c r="BA476" s="20">
        <f t="shared" si="52"/>
        <v>0</v>
      </c>
      <c r="BB476" s="195">
        <f>IFERROR(SUM(DATA[[#This Row],[fs_val_ttf]:[fact_pago_ttf]]),0)</f>
        <v>22</v>
      </c>
      <c r="BC476" s="185">
        <v>45761</v>
      </c>
      <c r="BD476" s="185">
        <v>45777</v>
      </c>
      <c r="BE476" s="185">
        <v>45786</v>
      </c>
      <c r="BF476" s="185">
        <v>45831</v>
      </c>
      <c r="BG476" s="20">
        <f>IFERROR(IF(BC476-DATA[[#This Row],[fecha_fs]]&lt;0,0,BC476-DATA[[#This Row],[fecha_fs]]),0)</f>
        <v>7</v>
      </c>
      <c r="BH476" s="20">
        <f t="shared" si="53"/>
        <v>16</v>
      </c>
      <c r="BI476" s="20">
        <f t="shared" si="54"/>
        <v>9</v>
      </c>
      <c r="BJ476" s="20">
        <f t="shared" si="55"/>
        <v>45</v>
      </c>
      <c r="BK476" s="218">
        <f>IFERROR(SUM(DATA[[#This Row],[fs_fd_ttd]:[fend_fenf_ttd]]),0)</f>
        <v>77</v>
      </c>
      <c r="BL476" s="20" t="str">
        <f>IF(DATA[[#This Row],[fecha_fs]]&gt;0,TEXT(DATA[[#This Row],[fecha_fs]],"YYYY"),0)</f>
        <v>2025</v>
      </c>
      <c r="BM476" s="221" t="b">
        <v>1</v>
      </c>
      <c r="BN476" s="278">
        <f>COUNTIF(DATA[[#This Row],[tiempo_td]], "&lt;=15")</f>
        <v>0</v>
      </c>
      <c r="BO476" s="222"/>
    </row>
    <row r="477" spans="1:67" ht="30.6" customHeight="1" x14ac:dyDescent="0.25">
      <c r="A477" s="4">
        <v>20454186002</v>
      </c>
      <c r="B477" s="5" t="s">
        <v>25</v>
      </c>
      <c r="C477" s="52" t="s">
        <v>18</v>
      </c>
      <c r="D477" s="4" t="s">
        <v>112</v>
      </c>
      <c r="E477" s="5" t="s">
        <v>1</v>
      </c>
      <c r="F477" s="24">
        <v>45754</v>
      </c>
      <c r="G477" s="7" t="s">
        <v>113</v>
      </c>
      <c r="H477" s="25">
        <f t="shared" si="50"/>
        <v>1</v>
      </c>
      <c r="I477" s="67">
        <v>4343</v>
      </c>
      <c r="J477" s="8" t="s">
        <v>115</v>
      </c>
      <c r="K477" s="9" t="s">
        <v>116</v>
      </c>
      <c r="L477" s="10" t="s">
        <v>117</v>
      </c>
      <c r="M477" s="11">
        <v>270</v>
      </c>
      <c r="N477" s="12" t="s">
        <v>235</v>
      </c>
      <c r="O477" s="6"/>
      <c r="P477" s="13" t="s">
        <v>114</v>
      </c>
      <c r="Q477" s="14"/>
      <c r="R477" s="15"/>
      <c r="S477" s="15"/>
      <c r="T477" s="15">
        <f>DATA[[#This Row],[C. DF]]+DATA[[#This Row],[C.OPE.]]</f>
        <v>0</v>
      </c>
      <c r="U477" s="15">
        <f>DATA[[#This Row],[SUB TOTAL]]*0.18</f>
        <v>0</v>
      </c>
      <c r="V477" s="15">
        <f>IFERROR(ROUND(DATA[[#This Row],[SUB TOTAL]]+DATA[[#This Row],[IGV]],2),0)</f>
        <v>0</v>
      </c>
      <c r="W477" s="16" t="str">
        <f>IF(DATA[[#This Row],[VALORIZACIÓN ]]="-","NO CORRESPONDE",IF(OR(A477=20558226979,A477=10470707866,A477=20111157058,A477=20100226902),"NO CORRESPONDE",IF(J477="Emitida",IF(P477&gt;0,"EMITIDA","PENDIENTE"),"NO CORRESPONDE")))</f>
        <v>NO CORRESPONDE</v>
      </c>
      <c r="X477" s="29" t="s">
        <v>216</v>
      </c>
      <c r="Y477" s="17" t="s">
        <v>128</v>
      </c>
      <c r="Z477" s="30"/>
      <c r="AA477" s="10"/>
      <c r="AB477" s="19"/>
      <c r="AC477" s="20"/>
      <c r="AD477" s="18">
        <f>DATA[[#This Row],[FECHA DE EMISION]]+DATA[[#This Row],[CONDICION DE PAGO]]</f>
        <v>0</v>
      </c>
      <c r="AE477" s="23">
        <f>IF(DATA[[#This Row],[MONEDA]]="USD",VLOOKUP(DATA[[#This Row],[COMBINADA]],#REF!,11,0),1)</f>
        <v>1</v>
      </c>
      <c r="AF477" s="39" t="str">
        <f>IF(DATA[[#This Row],[SERIE2]]="-","NO CORRESPONDE",IF(W477="NO CORRESPONDE","NO CORRESPONDE",IF(Z477&gt;0,"FACTURADO","PENDIENTE")))</f>
        <v>NO CORRESPONDE</v>
      </c>
      <c r="AG477" s="27">
        <f>IFERROR(VLOOKUP(DATA[[#This Row],[COMBINADA]],#REF!,6,0),0)</f>
        <v>0</v>
      </c>
      <c r="AH477" s="125">
        <f>IFERROR(VLOOKUP(DATA[[#This Row],[COMBINADA]],#REF!,9,0),0)/COUNTIFS(DATA[COMBINADA],DATA[[#This Row],[COMBINADA]])</f>
        <v>0</v>
      </c>
      <c r="AI477" s="27">
        <f>IFERROR(VLOOKUP(DATA[[#This Row],[COMBINADA]],#REF!,6,0),0)</f>
        <v>0</v>
      </c>
      <c r="AJ477" s="125">
        <f>IFERROR(VLOOKUP(DATA[[#This Row],[COMBINADA]],#REF!,9,0),0)/COUNTIFS(DATA[COMBINADA],DATA[[#This Row],[COMBINADA]])</f>
        <v>0</v>
      </c>
      <c r="AK477" s="27">
        <f>IFERROR(VLOOKUP(DATA[[#This Row],[COMBINADA]],#REF!,6,0),0)</f>
        <v>0</v>
      </c>
      <c r="AL477" s="125">
        <f>IFERROR(VLOOKUP(DATA[[#This Row],[COMBINADA]],#REF!,9,0),0)/COUNTIFS(DATA[COMBINADA],DATA[[#This Row],[COMBINADA]])</f>
        <v>0</v>
      </c>
      <c r="AM477" s="27">
        <f>IFERROR(VLOOKUP(DATA[[#This Row],[COMBINADA]],#REF!,6,0),0)</f>
        <v>0</v>
      </c>
      <c r="AN477" s="125">
        <f>IFERROR(VLOOKUP(DATA[[#This Row],[COMBINADA]],#REF!,9,0),0)/COUNTIFS(DATA[COMBINADA],DATA[[#This Row],[COMBINADA]])</f>
        <v>0</v>
      </c>
      <c r="AO477" s="27">
        <f>IFERROR(VLOOKUP(DATA[[#This Row],[COMBINADA]],#REF!,6,0),0)</f>
        <v>0</v>
      </c>
      <c r="AP477" s="125">
        <f>IFERROR(VLOOKUP(DATA[[#This Row],[COMBINADA]],#REF!,9,0),0)/COUNTIFS(DATA[COMBINADA],DATA[[#This Row],[COMBINADA]])</f>
        <v>0</v>
      </c>
      <c r="AQ47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477" s="26" t="str">
        <f>IFERROR(IF(DATA[[#This Row],[estado_fact]]="FACTURADO",VLOOKUP(DATA[[#This Row],[SERIE2]]&amp;"-"&amp;DATA[[#This Row],[NUMERO]],#REF!,34,0),"NO CORRESPONDE"),"NO CORRESPONDE")</f>
        <v>NO CORRESPONDE</v>
      </c>
      <c r="AS477" s="22" t="str">
        <f>IF(DATA[[#This Row],[fecha_fs]]&gt;0,TEXT(DATA[[#This Row],[fecha_fs]],"Mmmm"),0)</f>
        <v>Abril</v>
      </c>
      <c r="AT477" s="22" t="str">
        <f>DATA[[#This Row],[SERIE2]]&amp;"-"&amp;DATA[[#This Row],[NUMERO]]</f>
        <v>-</v>
      </c>
      <c r="AU477" s="28">
        <f>DATA[[#This Row],[TOTAL]]*DATA[[#This Row],[T.C.]]</f>
        <v>0</v>
      </c>
      <c r="AV477" s="6">
        <f>DATA[[#This Row],[FECHA DE VAL.]]</f>
        <v>0</v>
      </c>
      <c r="AW477" s="6">
        <f>DATA[[#This Row],[FECHA DE EMISION]]</f>
        <v>0</v>
      </c>
      <c r="AX477" s="6">
        <f>DATA[[#This Row],[F1]]</f>
        <v>0</v>
      </c>
      <c r="AY477" s="20">
        <f>IF(AV477-DATA[[#This Row],[fecha_fs]]&lt;0,0,AV477-DATA[[#This Row],[fecha_fs]])</f>
        <v>0</v>
      </c>
      <c r="AZ477" s="20">
        <f t="shared" si="51"/>
        <v>0</v>
      </c>
      <c r="BA477" s="20">
        <f t="shared" si="52"/>
        <v>0</v>
      </c>
      <c r="BB477" s="195">
        <f>IFERROR(SUM(DATA[[#This Row],[fs_val_ttf]:[fact_pago_ttf]]),0)</f>
        <v>0</v>
      </c>
      <c r="BC477" s="185">
        <v>45767</v>
      </c>
      <c r="BD477" s="185">
        <v>45798</v>
      </c>
      <c r="BE477" s="185">
        <v>45810</v>
      </c>
      <c r="BF477" s="185">
        <v>45824</v>
      </c>
      <c r="BG477" s="20">
        <f>IFERROR(IF(BC477-DATA[[#This Row],[fecha_fs]]&lt;0,0,BC477-DATA[[#This Row],[fecha_fs]]),0)</f>
        <v>13</v>
      </c>
      <c r="BH477" s="20">
        <f t="shared" si="53"/>
        <v>31</v>
      </c>
      <c r="BI477" s="20">
        <f t="shared" si="54"/>
        <v>12</v>
      </c>
      <c r="BJ477" s="20">
        <f t="shared" si="55"/>
        <v>14</v>
      </c>
      <c r="BK477" s="218">
        <f>IFERROR(SUM(DATA[[#This Row],[fs_fd_ttd]:[fend_fenf_ttd]]),0)</f>
        <v>70</v>
      </c>
      <c r="BL477" s="20" t="str">
        <f>IF(DATA[[#This Row],[fecha_fs]]&gt;0,TEXT(DATA[[#This Row],[fecha_fs]],"YYYY"),0)</f>
        <v>2025</v>
      </c>
      <c r="BM477" s="221" t="b">
        <v>0</v>
      </c>
      <c r="BN477" s="278">
        <f>COUNTIF(DATA[[#This Row],[tiempo_td]], "&lt;=15")</f>
        <v>0</v>
      </c>
      <c r="BO477" s="222"/>
    </row>
    <row r="478" spans="1:67" ht="30.6" customHeight="1" x14ac:dyDescent="0.25">
      <c r="A478" s="4">
        <v>20553956324</v>
      </c>
      <c r="B478" s="5" t="s">
        <v>281</v>
      </c>
      <c r="C478" s="52" t="s">
        <v>175</v>
      </c>
      <c r="D478" s="4" t="s">
        <v>112</v>
      </c>
      <c r="E478" s="5" t="s">
        <v>1</v>
      </c>
      <c r="F478" s="24">
        <v>45754</v>
      </c>
      <c r="G478" s="7" t="s">
        <v>113</v>
      </c>
      <c r="H478" s="25">
        <f t="shared" si="50"/>
        <v>1</v>
      </c>
      <c r="I478" s="67">
        <v>4344</v>
      </c>
      <c r="J478" s="8" t="s">
        <v>115</v>
      </c>
      <c r="K478" s="9" t="s">
        <v>116</v>
      </c>
      <c r="L478" s="10" t="s">
        <v>117</v>
      </c>
      <c r="M478" s="11">
        <v>30</v>
      </c>
      <c r="N478" s="12" t="s">
        <v>132</v>
      </c>
      <c r="O478" s="6">
        <v>45775</v>
      </c>
      <c r="P478" s="109">
        <v>3422</v>
      </c>
      <c r="Q478" s="14" t="s">
        <v>85</v>
      </c>
      <c r="R478" s="15">
        <f>DATA[[#This Row],[cantidad_fs]]*0.08</f>
        <v>2.4</v>
      </c>
      <c r="S478" s="15">
        <f>395.1</f>
        <v>395.1</v>
      </c>
      <c r="T478" s="15">
        <f>DATA[[#This Row],[C. DF]]+DATA[[#This Row],[C.OPE.]]</f>
        <v>397.5</v>
      </c>
      <c r="U478" s="15">
        <f>DATA[[#This Row],[SUB TOTAL]]*0.18</f>
        <v>71.55</v>
      </c>
      <c r="V478" s="15">
        <f>IFERROR(ROUND(DATA[[#This Row],[SUB TOTAL]]+DATA[[#This Row],[IGV]],2),0)</f>
        <v>469.05</v>
      </c>
      <c r="W478" s="16" t="str">
        <f>IF(DATA[[#This Row],[VALORIZACIÓN ]]="-","NO CORRESPONDE",IF(OR(A478=20558226979,A478=10470707866,A478=20111157058,A478=20100226902),"NO CORRESPONDE",IF(J478="Emitida",IF(P478&gt;0,"EMITIDA","PENDIENTE"),"NO CORRESPONDE")))</f>
        <v>EMITIDA</v>
      </c>
      <c r="X478" s="29"/>
      <c r="Y478" s="17" t="s">
        <v>118</v>
      </c>
      <c r="Z478" s="30">
        <v>45790</v>
      </c>
      <c r="AA478" s="10" t="s">
        <v>150</v>
      </c>
      <c r="AB478" s="19">
        <v>76</v>
      </c>
      <c r="AC478" s="20"/>
      <c r="AD478" s="18">
        <f>DATA[[#This Row],[FECHA DE EMISION]]+DATA[[#This Row],[CONDICION DE PAGO]]</f>
        <v>45790</v>
      </c>
      <c r="AE478" s="23">
        <f>IF(DATA[[#This Row],[MONEDA]]="USD",VLOOKUP(DATA[[#This Row],[COMBINADA]],#REF!,11,0),1)</f>
        <v>1</v>
      </c>
      <c r="AF478" s="39" t="str">
        <f>IF(DATA[[#This Row],[SERIE2]]="-","NO CORRESPONDE",IF(W478="NO CORRESPONDE","NO CORRESPONDE",IF(Z478&gt;0,"FACTURADO","PENDIENTE")))</f>
        <v>FACTURADO</v>
      </c>
      <c r="AG478" s="27">
        <f>IFERROR(VLOOKUP(DATA[[#This Row],[COMBINADA]],#REF!,6,0),0)</f>
        <v>0</v>
      </c>
      <c r="AH478" s="125">
        <f>IFERROR(VLOOKUP(DATA[[#This Row],[COMBINADA]],#REF!,9,0),0)/COUNTIFS(DATA[COMBINADA],DATA[[#This Row],[COMBINADA]])</f>
        <v>0</v>
      </c>
      <c r="AI478" s="27">
        <f>IFERROR(VLOOKUP(DATA[[#This Row],[COMBINADA]],#REF!,6,0),0)</f>
        <v>0</v>
      </c>
      <c r="AJ478" s="125">
        <f>IFERROR(VLOOKUP(DATA[[#This Row],[COMBINADA]],#REF!,9,0),0)/COUNTIFS(DATA[COMBINADA],DATA[[#This Row],[COMBINADA]])</f>
        <v>0</v>
      </c>
      <c r="AK478" s="27">
        <f>IFERROR(VLOOKUP(DATA[[#This Row],[COMBINADA]],#REF!,6,0),0)</f>
        <v>0</v>
      </c>
      <c r="AL478" s="125">
        <f>IFERROR(VLOOKUP(DATA[[#This Row],[COMBINADA]],#REF!,9,0),0)/COUNTIFS(DATA[COMBINADA],DATA[[#This Row],[COMBINADA]])</f>
        <v>0</v>
      </c>
      <c r="AM478" s="27">
        <f>IFERROR(VLOOKUP(DATA[[#This Row],[COMBINADA]],#REF!,6,0),0)</f>
        <v>0</v>
      </c>
      <c r="AN478" s="125">
        <f>IFERROR(VLOOKUP(DATA[[#This Row],[COMBINADA]],#REF!,9,0),0)/COUNTIFS(DATA[COMBINADA],DATA[[#This Row],[COMBINADA]])</f>
        <v>0</v>
      </c>
      <c r="AO478" s="27">
        <f>IFERROR(VLOOKUP(DATA[[#This Row],[COMBINADA]],#REF!,6,0),0)</f>
        <v>0</v>
      </c>
      <c r="AP478" s="125">
        <f>IFERROR(VLOOKUP(DATA[[#This Row],[COMBINADA]],#REF!,9,0),0)/COUNTIFS(DATA[COMBINADA],DATA[[#This Row],[COMBINADA]])</f>
        <v>0</v>
      </c>
      <c r="AQ47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481.00750000000011</v>
      </c>
      <c r="AR478" s="26" t="str">
        <f>IFERROR(IF(DATA[[#This Row],[estado_fact]]="FACTURADO",VLOOKUP(DATA[[#This Row],[SERIE2]]&amp;"-"&amp;DATA[[#This Row],[NUMERO]],#REF!,34,0),"NO CORRESPONDE"),"NO CORRESPONDE")</f>
        <v>NO CORRESPONDE</v>
      </c>
      <c r="AS478" s="22" t="str">
        <f>IF(DATA[[#This Row],[fecha_fs]]&gt;0,TEXT(DATA[[#This Row],[fecha_fs]],"Mmmm"),0)</f>
        <v>Abril</v>
      </c>
      <c r="AT478" s="22" t="str">
        <f>DATA[[#This Row],[SERIE2]]&amp;"-"&amp;DATA[[#This Row],[NUMERO]]</f>
        <v>FF01-76</v>
      </c>
      <c r="AU478" s="28">
        <f>DATA[[#This Row],[TOTAL]]*DATA[[#This Row],[T.C.]]</f>
        <v>469.05</v>
      </c>
      <c r="AV478" s="6">
        <f>DATA[[#This Row],[FECHA DE VAL.]]</f>
        <v>45775</v>
      </c>
      <c r="AW478" s="6">
        <f>DATA[[#This Row],[FECHA DE EMISION]]</f>
        <v>45790</v>
      </c>
      <c r="AX478" s="6">
        <f>DATA[[#This Row],[F1]]</f>
        <v>0</v>
      </c>
      <c r="AY478" s="20">
        <f>IF(AV478-DATA[[#This Row],[fecha_fs]]&lt;0,0,AV478-DATA[[#This Row],[fecha_fs]])</f>
        <v>21</v>
      </c>
      <c r="AZ478" s="20">
        <f t="shared" si="51"/>
        <v>15</v>
      </c>
      <c r="BA478" s="20">
        <f t="shared" si="52"/>
        <v>0</v>
      </c>
      <c r="BB478" s="195">
        <f>IFERROR(SUM(DATA[[#This Row],[fs_val_ttf]:[fact_pago_ttf]]),0)</f>
        <v>36</v>
      </c>
      <c r="BC478" s="185">
        <v>45790</v>
      </c>
      <c r="BD478" s="185">
        <v>45798</v>
      </c>
      <c r="BE478" s="185">
        <v>45810</v>
      </c>
      <c r="BF478" s="185">
        <v>45832</v>
      </c>
      <c r="BG478" s="20">
        <f>IFERROR(IF(BC478-DATA[[#This Row],[fecha_fs]]&lt;0,0,BC478-DATA[[#This Row],[fecha_fs]]),0)</f>
        <v>36</v>
      </c>
      <c r="BH478" s="20">
        <f t="shared" si="53"/>
        <v>8</v>
      </c>
      <c r="BI478" s="20">
        <f t="shared" si="54"/>
        <v>12</v>
      </c>
      <c r="BJ478" s="20">
        <f t="shared" si="55"/>
        <v>22</v>
      </c>
      <c r="BK478" s="218">
        <f>IFERROR(SUM(DATA[[#This Row],[fs_fd_ttd]:[fend_fenf_ttd]]),0)</f>
        <v>78</v>
      </c>
      <c r="BL478" s="20" t="str">
        <f>IF(DATA[[#This Row],[fecha_fs]]&gt;0,TEXT(DATA[[#This Row],[fecha_fs]],"YYYY"),0)</f>
        <v>2025</v>
      </c>
      <c r="BM478" s="221" t="b">
        <v>1</v>
      </c>
      <c r="BN478" s="278">
        <f>COUNTIF(DATA[[#This Row],[tiempo_td]], "&lt;=15")</f>
        <v>0</v>
      </c>
      <c r="BO478" s="222"/>
    </row>
    <row r="479" spans="1:67" ht="30.6" customHeight="1" x14ac:dyDescent="0.25">
      <c r="A479" s="4">
        <v>20100192064</v>
      </c>
      <c r="B479" s="5" t="s">
        <v>60</v>
      </c>
      <c r="C479" s="52" t="s">
        <v>43</v>
      </c>
      <c r="D479" s="4" t="s">
        <v>120</v>
      </c>
      <c r="E479" s="5" t="s">
        <v>3</v>
      </c>
      <c r="F479" s="24">
        <v>45754</v>
      </c>
      <c r="G479" s="7" t="s">
        <v>113</v>
      </c>
      <c r="H479" s="25">
        <f t="shared" si="50"/>
        <v>1</v>
      </c>
      <c r="I479" s="67">
        <v>4345</v>
      </c>
      <c r="J479" s="8" t="s">
        <v>115</v>
      </c>
      <c r="K479" s="9" t="s">
        <v>121</v>
      </c>
      <c r="L479" s="10" t="s">
        <v>117</v>
      </c>
      <c r="M479" s="11">
        <v>1820</v>
      </c>
      <c r="N479" s="12" t="s">
        <v>122</v>
      </c>
      <c r="O479" s="6">
        <v>45772</v>
      </c>
      <c r="P479" s="71">
        <v>3407</v>
      </c>
      <c r="Q479" s="14" t="s">
        <v>123</v>
      </c>
      <c r="R479" s="15">
        <f>(DATA[[#This Row],[cantidad_fs]]/1000)*(47+174.34)</f>
        <v>402.83879999999999</v>
      </c>
      <c r="S479" s="15">
        <v>137</v>
      </c>
      <c r="T479" s="15">
        <f>DATA[[#This Row],[C. DF]]+DATA[[#This Row],[C.OPE.]]</f>
        <v>539.83879999999999</v>
      </c>
      <c r="U479" s="15">
        <f>DATA[[#This Row],[SUB TOTAL]]*0.18</f>
        <v>97.17098399999999</v>
      </c>
      <c r="V479" s="15">
        <f>IFERROR(ROUND(DATA[[#This Row],[SUB TOTAL]]+DATA[[#This Row],[IGV]],2),0)</f>
        <v>637.01</v>
      </c>
      <c r="W479" s="16" t="str">
        <f>IF(DATA[[#This Row],[VALORIZACIÓN ]]="-","NO CORRESPONDE",IF(OR(A479=20558226979,A479=10470707866,A479=20111157058,A479=20100226902),"NO CORRESPONDE",IF(J479="Emitida",IF(P479&gt;0,"EMITIDA","PENDIENTE"),"NO CORRESPONDE")))</f>
        <v>EMITIDA</v>
      </c>
      <c r="X479" s="29"/>
      <c r="Y479" s="17" t="s">
        <v>118</v>
      </c>
      <c r="Z479" s="30">
        <v>45776</v>
      </c>
      <c r="AA479" s="10" t="s">
        <v>150</v>
      </c>
      <c r="AB479" s="19">
        <v>54</v>
      </c>
      <c r="AC479" s="20">
        <v>30</v>
      </c>
      <c r="AD479" s="18">
        <f>DATA[[#This Row],[FECHA DE EMISION]]+DATA[[#This Row],[CONDICION DE PAGO]]</f>
        <v>45806</v>
      </c>
      <c r="AE479" s="23" t="e">
        <f>IF(DATA[[#This Row],[MONEDA]]="USD",VLOOKUP(DATA[[#This Row],[COMBINADA]],#REF!,11,0),1)</f>
        <v>#REF!</v>
      </c>
      <c r="AF479" s="39" t="str">
        <f>IF(DATA[[#This Row],[SERIE2]]="-","NO CORRESPONDE",IF(W479="NO CORRESPONDE","NO CORRESPONDE",IF(Z479&gt;0,"FACTURADO","PENDIENTE")))</f>
        <v>FACTURADO</v>
      </c>
      <c r="AG479" s="27">
        <f>IFERROR(VLOOKUP(DATA[[#This Row],[COMBINADA]],#REF!,6,0),0)</f>
        <v>0</v>
      </c>
      <c r="AH479" s="125">
        <f>IFERROR(VLOOKUP(DATA[[#This Row],[COMBINADA]],#REF!,9,0),0)/COUNTIFS(DATA[COMBINADA],DATA[[#This Row],[COMBINADA]])</f>
        <v>0</v>
      </c>
      <c r="AI479" s="27">
        <f>IFERROR(VLOOKUP(DATA[[#This Row],[COMBINADA]],#REF!,6,0),0)</f>
        <v>0</v>
      </c>
      <c r="AJ479" s="125">
        <f>IFERROR(VLOOKUP(DATA[[#This Row],[COMBINADA]],#REF!,9,0),0)/COUNTIFS(DATA[COMBINADA],DATA[[#This Row],[COMBINADA]])</f>
        <v>0</v>
      </c>
      <c r="AK479" s="27">
        <f>IFERROR(VLOOKUP(DATA[[#This Row],[COMBINADA]],#REF!,6,0),0)</f>
        <v>0</v>
      </c>
      <c r="AL479" s="125">
        <f>IFERROR(VLOOKUP(DATA[[#This Row],[COMBINADA]],#REF!,9,0),0)/COUNTIFS(DATA[COMBINADA],DATA[[#This Row],[COMBINADA]])</f>
        <v>0</v>
      </c>
      <c r="AM479" s="27">
        <f>IFERROR(VLOOKUP(DATA[[#This Row],[COMBINADA]],#REF!,6,0),0)</f>
        <v>0</v>
      </c>
      <c r="AN479" s="125">
        <f>IFERROR(VLOOKUP(DATA[[#This Row],[COMBINADA]],#REF!,9,0),0)/COUNTIFS(DATA[COMBINADA],DATA[[#This Row],[COMBINADA]])</f>
        <v>0</v>
      </c>
      <c r="AO479" s="27">
        <f>IFERROR(VLOOKUP(DATA[[#This Row],[COMBINADA]],#REF!,6,0),0)</f>
        <v>0</v>
      </c>
      <c r="AP479" s="125">
        <f>IFERROR(VLOOKUP(DATA[[#This Row],[COMBINADA]],#REF!,9,0),0)/COUNTIFS(DATA[COMBINADA],DATA[[#This Row],[COMBINADA]])</f>
        <v>0</v>
      </c>
      <c r="AQ47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548.94894736842105</v>
      </c>
      <c r="AR479" s="26" t="str">
        <f>IFERROR(IF(DATA[[#This Row],[estado_fact]]="FACTURADO",VLOOKUP(DATA[[#This Row],[SERIE2]]&amp;"-"&amp;DATA[[#This Row],[NUMERO]],#REF!,34,0),"NO CORRESPONDE"),"NO CORRESPONDE")</f>
        <v>NO CORRESPONDE</v>
      </c>
      <c r="AS479" s="22" t="str">
        <f>IF(DATA[[#This Row],[fecha_fs]]&gt;0,TEXT(DATA[[#This Row],[fecha_fs]],"Mmmm"),0)</f>
        <v>Abril</v>
      </c>
      <c r="AT479" s="22" t="str">
        <f>DATA[[#This Row],[SERIE2]]&amp;"-"&amp;DATA[[#This Row],[NUMERO]]</f>
        <v>FF01-54</v>
      </c>
      <c r="AU479" s="28" t="e">
        <f>DATA[[#This Row],[TOTAL]]*DATA[[#This Row],[T.C.]]</f>
        <v>#REF!</v>
      </c>
      <c r="AV479" s="6">
        <f>DATA[[#This Row],[FECHA DE VAL.]]</f>
        <v>45772</v>
      </c>
      <c r="AW479" s="6">
        <f>DATA[[#This Row],[FECHA DE EMISION]]</f>
        <v>45776</v>
      </c>
      <c r="AX479" s="6">
        <f>DATA[[#This Row],[F1]]</f>
        <v>0</v>
      </c>
      <c r="AY479" s="20">
        <f>IF(AV479-DATA[[#This Row],[fecha_fs]]&lt;0,0,AV479-DATA[[#This Row],[fecha_fs]])</f>
        <v>18</v>
      </c>
      <c r="AZ479" s="20">
        <f t="shared" si="51"/>
        <v>4</v>
      </c>
      <c r="BA479" s="20">
        <f t="shared" si="52"/>
        <v>0</v>
      </c>
      <c r="BB479" s="195">
        <f>IFERROR(SUM(DATA[[#This Row],[fs_val_ttf]:[fact_pago_ttf]]),0)</f>
        <v>22</v>
      </c>
      <c r="BC479" s="185">
        <v>45786</v>
      </c>
      <c r="BD479" s="185">
        <v>45806</v>
      </c>
      <c r="BE479" s="185">
        <v>45810</v>
      </c>
      <c r="BF479" s="185">
        <v>45831</v>
      </c>
      <c r="BG479" s="20">
        <f>IFERROR(IF(BC479-DATA[[#This Row],[fecha_fs]]&lt;0,0,BC479-DATA[[#This Row],[fecha_fs]]),0)</f>
        <v>32</v>
      </c>
      <c r="BH479" s="20">
        <f t="shared" si="53"/>
        <v>20</v>
      </c>
      <c r="BI479" s="20">
        <f t="shared" si="54"/>
        <v>4</v>
      </c>
      <c r="BJ479" s="20">
        <f t="shared" si="55"/>
        <v>21</v>
      </c>
      <c r="BK479" s="218">
        <f>IFERROR(SUM(DATA[[#This Row],[fs_fd_ttd]:[fend_fenf_ttd]]),0)</f>
        <v>77</v>
      </c>
      <c r="BL479" s="20" t="str">
        <f>IF(DATA[[#This Row],[fecha_fs]]&gt;0,TEXT(DATA[[#This Row],[fecha_fs]],"YYYY"),0)</f>
        <v>2025</v>
      </c>
      <c r="BM479" s="221" t="b">
        <v>1</v>
      </c>
      <c r="BN479" s="278">
        <f>COUNTIF(DATA[[#This Row],[tiempo_td]], "&lt;=15")</f>
        <v>0</v>
      </c>
      <c r="BO479" s="222"/>
    </row>
    <row r="480" spans="1:67" ht="30.6" customHeight="1" x14ac:dyDescent="0.25">
      <c r="A480" s="4">
        <v>20100055237</v>
      </c>
      <c r="B480" s="5" t="s">
        <v>21</v>
      </c>
      <c r="C480" s="52" t="s">
        <v>138</v>
      </c>
      <c r="D480" s="4" t="s">
        <v>139</v>
      </c>
      <c r="E480" s="5" t="s">
        <v>23</v>
      </c>
      <c r="F480" s="24">
        <v>45755</v>
      </c>
      <c r="G480" s="7" t="s">
        <v>113</v>
      </c>
      <c r="H480" s="25">
        <f t="shared" si="50"/>
        <v>1</v>
      </c>
      <c r="I480" s="67">
        <v>4346</v>
      </c>
      <c r="J480" s="8" t="s">
        <v>115</v>
      </c>
      <c r="K480" s="9" t="s">
        <v>121</v>
      </c>
      <c r="L480" s="10" t="s">
        <v>117</v>
      </c>
      <c r="M480" s="11">
        <v>200</v>
      </c>
      <c r="N480" s="12" t="s">
        <v>167</v>
      </c>
      <c r="O480" s="6">
        <v>45776</v>
      </c>
      <c r="P480" s="54">
        <v>3423</v>
      </c>
      <c r="Q480" s="14" t="s">
        <v>85</v>
      </c>
      <c r="R480" s="15"/>
      <c r="S480" s="15">
        <v>297.92</v>
      </c>
      <c r="T480" s="15">
        <f>DATA[[#This Row],[C. DF]]+DATA[[#This Row],[C.OPE.]]</f>
        <v>297.92</v>
      </c>
      <c r="U480" s="15">
        <f>DATA[[#This Row],[SUB TOTAL]]*0.18</f>
        <v>53.625599999999999</v>
      </c>
      <c r="V480" s="15">
        <f>IFERROR(ROUND(DATA[[#This Row],[SUB TOTAL]]+DATA[[#This Row],[IGV]],2),0)</f>
        <v>351.55</v>
      </c>
      <c r="W480" s="16" t="str">
        <f>IF(DATA[[#This Row],[VALORIZACIÓN ]]="-","NO CORRESPONDE",IF(OR(A480=20558226979,A480=10470707866,A480=20111157058,A480=20100226902),"NO CORRESPONDE",IF(J480="Emitida",IF(P480&gt;0,"EMITIDA","PENDIENTE"),"NO CORRESPONDE")))</f>
        <v>EMITIDA</v>
      </c>
      <c r="X480" s="29"/>
      <c r="Y480" s="17" t="s">
        <v>118</v>
      </c>
      <c r="Z480" s="30">
        <v>45812</v>
      </c>
      <c r="AA480" s="10" t="s">
        <v>150</v>
      </c>
      <c r="AB480" s="19">
        <v>104</v>
      </c>
      <c r="AC480" s="20">
        <v>30</v>
      </c>
      <c r="AD480" s="18">
        <f>DATA[[#This Row],[FECHA DE EMISION]]+DATA[[#This Row],[CONDICION DE PAGO]]</f>
        <v>45842</v>
      </c>
      <c r="AE480" s="23">
        <f>IF(DATA[[#This Row],[MONEDA]]="USD",VLOOKUP(DATA[[#This Row],[COMBINADA]],#REF!,11,0),1)</f>
        <v>1</v>
      </c>
      <c r="AF480" s="39" t="str">
        <f>IF(DATA[[#This Row],[SERIE2]]="-","NO CORRESPONDE",IF(W480="NO CORRESPONDE","NO CORRESPONDE",IF(Z480&gt;0,"FACTURADO","PENDIENTE")))</f>
        <v>FACTURADO</v>
      </c>
      <c r="AG480" s="27">
        <f>IFERROR(VLOOKUP(DATA[[#This Row],[COMBINADA]],#REF!,6,0),0)</f>
        <v>0</v>
      </c>
      <c r="AH480" s="125">
        <f>IFERROR(VLOOKUP(DATA[[#This Row],[COMBINADA]],#REF!,9,0),0)/COUNTIFS(DATA[COMBINADA],DATA[[#This Row],[COMBINADA]])</f>
        <v>0</v>
      </c>
      <c r="AI480" s="27">
        <f>IFERROR(VLOOKUP(DATA[[#This Row],[COMBINADA]],#REF!,6,0),0)</f>
        <v>0</v>
      </c>
      <c r="AJ480" s="125">
        <f>IFERROR(VLOOKUP(DATA[[#This Row],[COMBINADA]],#REF!,9,0),0)/COUNTIFS(DATA[COMBINADA],DATA[[#This Row],[COMBINADA]])</f>
        <v>0</v>
      </c>
      <c r="AK480" s="27">
        <f>IFERROR(VLOOKUP(DATA[[#This Row],[COMBINADA]],#REF!,6,0),0)</f>
        <v>0</v>
      </c>
      <c r="AL480" s="125">
        <f>IFERROR(VLOOKUP(DATA[[#This Row],[COMBINADA]],#REF!,9,0),0)/COUNTIFS(DATA[COMBINADA],DATA[[#This Row],[COMBINADA]])</f>
        <v>0</v>
      </c>
      <c r="AM480" s="27">
        <f>IFERROR(VLOOKUP(DATA[[#This Row],[COMBINADA]],#REF!,6,0),0)</f>
        <v>0</v>
      </c>
      <c r="AN480" s="125">
        <f>IFERROR(VLOOKUP(DATA[[#This Row],[COMBINADA]],#REF!,9,0),0)/COUNTIFS(DATA[COMBINADA],DATA[[#This Row],[COMBINADA]])</f>
        <v>0</v>
      </c>
      <c r="AO480" s="27">
        <f>IFERROR(VLOOKUP(DATA[[#This Row],[COMBINADA]],#REF!,6,0),0)</f>
        <v>0</v>
      </c>
      <c r="AP480" s="125">
        <f>IFERROR(VLOOKUP(DATA[[#This Row],[COMBINADA]],#REF!,9,0),0)/COUNTIFS(DATA[COMBINADA],DATA[[#This Row],[COMBINADA]])</f>
        <v>0</v>
      </c>
      <c r="AQ48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480" s="26" t="str">
        <f>IFERROR(IF(DATA[[#This Row],[estado_fact]]="FACTURADO",VLOOKUP(DATA[[#This Row],[SERIE2]]&amp;"-"&amp;DATA[[#This Row],[NUMERO]],#REF!,34,0),"NO CORRESPONDE"),"NO CORRESPONDE")</f>
        <v>NO CORRESPONDE</v>
      </c>
      <c r="AS480" s="22" t="str">
        <f>IF(DATA[[#This Row],[fecha_fs]]&gt;0,TEXT(DATA[[#This Row],[fecha_fs]],"Mmmm"),0)</f>
        <v>Abril</v>
      </c>
      <c r="AT480" s="22" t="str">
        <f>DATA[[#This Row],[SERIE2]]&amp;"-"&amp;DATA[[#This Row],[NUMERO]]</f>
        <v>FF01-104</v>
      </c>
      <c r="AU480" s="28">
        <f>DATA[[#This Row],[TOTAL]]*DATA[[#This Row],[T.C.]]</f>
        <v>351.55</v>
      </c>
      <c r="AV480" s="6">
        <f>DATA[[#This Row],[FECHA DE VAL.]]</f>
        <v>45776</v>
      </c>
      <c r="AW480" s="6">
        <f>DATA[[#This Row],[FECHA DE EMISION]]</f>
        <v>45812</v>
      </c>
      <c r="AX480" s="6">
        <f>DATA[[#This Row],[F1]]</f>
        <v>0</v>
      </c>
      <c r="AY480" s="20">
        <f>IF(AV480-DATA[[#This Row],[fecha_fs]]&lt;0,0,AV480-DATA[[#This Row],[fecha_fs]])</f>
        <v>21</v>
      </c>
      <c r="AZ480" s="20">
        <f t="shared" si="51"/>
        <v>36</v>
      </c>
      <c r="BA480" s="20">
        <f t="shared" si="52"/>
        <v>0</v>
      </c>
      <c r="BB480" s="195">
        <f>IFERROR(SUM(DATA[[#This Row],[fs_val_ttf]:[fact_pago_ttf]]),0)</f>
        <v>57</v>
      </c>
      <c r="BC480" s="185">
        <v>45755</v>
      </c>
      <c r="BD480" s="185">
        <v>45755</v>
      </c>
      <c r="BE480" s="185">
        <v>45782</v>
      </c>
      <c r="BF480" s="185">
        <v>45782</v>
      </c>
      <c r="BG480" s="20">
        <f>IFERROR(IF(BC480-DATA[[#This Row],[fecha_fs]]&lt;0,0,BC480-DATA[[#This Row],[fecha_fs]]),0)</f>
        <v>0</v>
      </c>
      <c r="BH480" s="20">
        <f t="shared" si="53"/>
        <v>0</v>
      </c>
      <c r="BI480" s="20">
        <f t="shared" si="54"/>
        <v>27</v>
      </c>
      <c r="BJ480" s="20">
        <f t="shared" si="55"/>
        <v>0</v>
      </c>
      <c r="BK480" s="218">
        <f>IFERROR(SUM(DATA[[#This Row],[fs_fd_ttd]:[fend_fenf_ttd]]),0)</f>
        <v>27</v>
      </c>
      <c r="BL480" s="20" t="str">
        <f>IF(DATA[[#This Row],[fecha_fs]]&gt;0,TEXT(DATA[[#This Row],[fecha_fs]],"YYYY"),0)</f>
        <v>2025</v>
      </c>
      <c r="BM480" s="221" t="b">
        <v>1</v>
      </c>
      <c r="BN480" s="278">
        <f>COUNTIF(DATA[[#This Row],[tiempo_td]], "&lt;=15")</f>
        <v>0</v>
      </c>
      <c r="BO480" s="222"/>
    </row>
    <row r="481" spans="1:67" ht="30.6" customHeight="1" x14ac:dyDescent="0.25">
      <c r="A481" s="4">
        <v>20505675836</v>
      </c>
      <c r="B481" s="5" t="s">
        <v>42</v>
      </c>
      <c r="C481" s="52" t="s">
        <v>43</v>
      </c>
      <c r="D481" s="4" t="s">
        <v>112</v>
      </c>
      <c r="E481" s="5" t="s">
        <v>1</v>
      </c>
      <c r="F481" s="24">
        <v>45755</v>
      </c>
      <c r="G481" s="7" t="s">
        <v>113</v>
      </c>
      <c r="H481" s="25">
        <f t="shared" si="50"/>
        <v>1</v>
      </c>
      <c r="I481" s="67">
        <v>4347</v>
      </c>
      <c r="J481" s="8" t="s">
        <v>115</v>
      </c>
      <c r="K481" s="9" t="s">
        <v>116</v>
      </c>
      <c r="L481" s="10" t="s">
        <v>117</v>
      </c>
      <c r="M481" s="11">
        <v>1070</v>
      </c>
      <c r="N481" s="12" t="s">
        <v>122</v>
      </c>
      <c r="O481" s="6">
        <v>45772</v>
      </c>
      <c r="P481" s="71">
        <v>3402</v>
      </c>
      <c r="Q481" s="14" t="s">
        <v>85</v>
      </c>
      <c r="R481" s="15">
        <f>(DATA[[#This Row],[cantidad_fs]]-600)*0.97</f>
        <v>455.9</v>
      </c>
      <c r="S481" s="15">
        <v>1427.2</v>
      </c>
      <c r="T481" s="15">
        <f>DATA[[#This Row],[C. DF]]+DATA[[#This Row],[C.OPE.]]</f>
        <v>1883.1</v>
      </c>
      <c r="U481" s="15">
        <f>DATA[[#This Row],[SUB TOTAL]]*0.18</f>
        <v>338.95799999999997</v>
      </c>
      <c r="V481" s="15">
        <f>IFERROR(ROUND(DATA[[#This Row],[SUB TOTAL]]+DATA[[#This Row],[IGV]],2),0)</f>
        <v>2222.06</v>
      </c>
      <c r="W481" s="16" t="str">
        <f>IF(DATA[[#This Row],[VALORIZACIÓN ]]="-","NO CORRESPONDE",IF(OR(A481=20558226979,A481=10470707866,A481=20111157058,A481=20100226902),"NO CORRESPONDE",IF(J481="Emitida",IF(P481&gt;0,"EMITIDA","PENDIENTE"),"NO CORRESPONDE")))</f>
        <v>EMITIDA</v>
      </c>
      <c r="X481" s="29"/>
      <c r="Y481" s="17" t="s">
        <v>118</v>
      </c>
      <c r="Z481" s="30">
        <v>45818</v>
      </c>
      <c r="AA481" s="10" t="s">
        <v>150</v>
      </c>
      <c r="AB481" s="19">
        <v>112</v>
      </c>
      <c r="AC481" s="20">
        <v>30</v>
      </c>
      <c r="AD481" s="18">
        <f>DATA[[#This Row],[FECHA DE EMISION]]+DATA[[#This Row],[CONDICION DE PAGO]]</f>
        <v>45848</v>
      </c>
      <c r="AE481" s="23">
        <f>IF(DATA[[#This Row],[MONEDA]]="USD",VLOOKUP(DATA[[#This Row],[COMBINADA]],#REF!,11,0),1)</f>
        <v>1</v>
      </c>
      <c r="AF481" s="39" t="str">
        <f>IF(DATA[[#This Row],[SERIE2]]="-","NO CORRESPONDE",IF(W481="NO CORRESPONDE","NO CORRESPONDE",IF(Z481&gt;0,"FACTURADO","PENDIENTE")))</f>
        <v>FACTURADO</v>
      </c>
      <c r="AG481" s="27">
        <f>IFERROR(VLOOKUP(DATA[[#This Row],[COMBINADA]],#REF!,6,0),0)</f>
        <v>0</v>
      </c>
      <c r="AH481" s="125">
        <f>IFERROR(VLOOKUP(DATA[[#This Row],[COMBINADA]],#REF!,9,0),0)/COUNTIFS(DATA[COMBINADA],DATA[[#This Row],[COMBINADA]])</f>
        <v>0</v>
      </c>
      <c r="AI481" s="27">
        <f>IFERROR(VLOOKUP(DATA[[#This Row],[COMBINADA]],#REF!,6,0),0)</f>
        <v>0</v>
      </c>
      <c r="AJ481" s="125">
        <f>IFERROR(VLOOKUP(DATA[[#This Row],[COMBINADA]],#REF!,9,0),0)/COUNTIFS(DATA[COMBINADA],DATA[[#This Row],[COMBINADA]])</f>
        <v>0</v>
      </c>
      <c r="AK481" s="27">
        <f>IFERROR(VLOOKUP(DATA[[#This Row],[COMBINADA]],#REF!,6,0),0)</f>
        <v>0</v>
      </c>
      <c r="AL481" s="125">
        <f>IFERROR(VLOOKUP(DATA[[#This Row],[COMBINADA]],#REF!,9,0),0)/COUNTIFS(DATA[COMBINADA],DATA[[#This Row],[COMBINADA]])</f>
        <v>0</v>
      </c>
      <c r="AM481" s="27">
        <f>IFERROR(VLOOKUP(DATA[[#This Row],[COMBINADA]],#REF!,6,0),0)</f>
        <v>0</v>
      </c>
      <c r="AN481" s="125">
        <f>IFERROR(VLOOKUP(DATA[[#This Row],[COMBINADA]],#REF!,9,0),0)/COUNTIFS(DATA[COMBINADA],DATA[[#This Row],[COMBINADA]])</f>
        <v>0</v>
      </c>
      <c r="AO481" s="27">
        <f>IFERROR(VLOOKUP(DATA[[#This Row],[COMBINADA]],#REF!,6,0),0)</f>
        <v>0</v>
      </c>
      <c r="AP481" s="125">
        <f>IFERROR(VLOOKUP(DATA[[#This Row],[COMBINADA]],#REF!,9,0),0)/COUNTIFS(DATA[COMBINADA],DATA[[#This Row],[COMBINADA]])</f>
        <v>0</v>
      </c>
      <c r="AQ48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2496.2433333333333</v>
      </c>
      <c r="AR481" s="26" t="str">
        <f>IFERROR(IF(DATA[[#This Row],[estado_fact]]="FACTURADO",VLOOKUP(DATA[[#This Row],[SERIE2]]&amp;"-"&amp;DATA[[#This Row],[NUMERO]],#REF!,34,0),"NO CORRESPONDE"),"NO CORRESPONDE")</f>
        <v>NO CORRESPONDE</v>
      </c>
      <c r="AS481" s="22" t="str">
        <f>IF(DATA[[#This Row],[fecha_fs]]&gt;0,TEXT(DATA[[#This Row],[fecha_fs]],"Mmmm"),0)</f>
        <v>Abril</v>
      </c>
      <c r="AT481" s="22" t="str">
        <f>DATA[[#This Row],[SERIE2]]&amp;"-"&amp;DATA[[#This Row],[NUMERO]]</f>
        <v>FF01-112</v>
      </c>
      <c r="AU481" s="28">
        <f>DATA[[#This Row],[TOTAL]]*DATA[[#This Row],[T.C.]]</f>
        <v>2222.06</v>
      </c>
      <c r="AV481" s="6">
        <f>DATA[[#This Row],[FECHA DE VAL.]]</f>
        <v>45772</v>
      </c>
      <c r="AW481" s="6">
        <f>DATA[[#This Row],[FECHA DE EMISION]]</f>
        <v>45818</v>
      </c>
      <c r="AX481" s="6">
        <f>DATA[[#This Row],[F1]]</f>
        <v>0</v>
      </c>
      <c r="AY481" s="20">
        <f>IF(AV481-DATA[[#This Row],[fecha_fs]]&lt;0,0,AV481-DATA[[#This Row],[fecha_fs]])</f>
        <v>17</v>
      </c>
      <c r="AZ481" s="20">
        <f t="shared" si="51"/>
        <v>46</v>
      </c>
      <c r="BA481" s="20">
        <f t="shared" si="52"/>
        <v>0</v>
      </c>
      <c r="BB481" s="195">
        <f>IFERROR(SUM(DATA[[#This Row],[fs_val_ttf]:[fact_pago_ttf]]),0)</f>
        <v>63</v>
      </c>
      <c r="BC481" s="185">
        <v>45761</v>
      </c>
      <c r="BD481" s="185">
        <v>45777</v>
      </c>
      <c r="BE481" s="185">
        <v>45789</v>
      </c>
      <c r="BF481" s="185">
        <v>45814</v>
      </c>
      <c r="BG481" s="20">
        <f>IFERROR(IF(BC481-DATA[[#This Row],[fecha_fs]]&lt;0,0,BC481-DATA[[#This Row],[fecha_fs]]),0)</f>
        <v>6</v>
      </c>
      <c r="BH481" s="20">
        <f t="shared" si="53"/>
        <v>16</v>
      </c>
      <c r="BI481" s="20">
        <f t="shared" si="54"/>
        <v>12</v>
      </c>
      <c r="BJ481" s="20">
        <f t="shared" si="55"/>
        <v>25</v>
      </c>
      <c r="BK481" s="218">
        <f>IFERROR(SUM(DATA[[#This Row],[fs_fd_ttd]:[fend_fenf_ttd]]),0)</f>
        <v>59</v>
      </c>
      <c r="BL481" s="20" t="str">
        <f>IF(DATA[[#This Row],[fecha_fs]]&gt;0,TEXT(DATA[[#This Row],[fecha_fs]],"YYYY"),0)</f>
        <v>2025</v>
      </c>
      <c r="BM481" s="221" t="b">
        <v>1</v>
      </c>
      <c r="BN481" s="278">
        <f>COUNTIF(DATA[[#This Row],[tiempo_td]], "&lt;=15")</f>
        <v>0</v>
      </c>
      <c r="BO481" s="222"/>
    </row>
    <row r="482" spans="1:67" ht="30.6" customHeight="1" x14ac:dyDescent="0.25">
      <c r="A482" s="4">
        <v>20100383919</v>
      </c>
      <c r="B482" s="5" t="s">
        <v>72</v>
      </c>
      <c r="C482" s="52" t="s">
        <v>43</v>
      </c>
      <c r="D482" s="4" t="s">
        <v>112</v>
      </c>
      <c r="E482" s="5" t="s">
        <v>1</v>
      </c>
      <c r="F482" s="24">
        <v>45755</v>
      </c>
      <c r="G482" s="7" t="s">
        <v>113</v>
      </c>
      <c r="H482" s="25">
        <f t="shared" si="50"/>
        <v>1</v>
      </c>
      <c r="I482" s="67">
        <v>4348</v>
      </c>
      <c r="J482" s="8" t="s">
        <v>115</v>
      </c>
      <c r="K482" s="9" t="s">
        <v>116</v>
      </c>
      <c r="L482" s="10" t="s">
        <v>117</v>
      </c>
      <c r="M482" s="11">
        <v>430</v>
      </c>
      <c r="N482" s="12" t="s">
        <v>167</v>
      </c>
      <c r="O482" s="6">
        <v>45757</v>
      </c>
      <c r="P482" s="13">
        <v>3387</v>
      </c>
      <c r="Q482" s="14" t="s">
        <v>85</v>
      </c>
      <c r="R482" s="15">
        <f>DATA[[#This Row],[cantidad_fs]]*0.97</f>
        <v>417.09999999999997</v>
      </c>
      <c r="S482" s="15">
        <v>699</v>
      </c>
      <c r="T482" s="15">
        <f>DATA[[#This Row],[C. DF]]+DATA[[#This Row],[C.OPE.]]</f>
        <v>1116.0999999999999</v>
      </c>
      <c r="U482" s="15">
        <f>DATA[[#This Row],[SUB TOTAL]]*0.18</f>
        <v>200.89799999999997</v>
      </c>
      <c r="V482" s="15">
        <f>IFERROR(ROUND(DATA[[#This Row],[SUB TOTAL]]+DATA[[#This Row],[IGV]],2),0)</f>
        <v>1317</v>
      </c>
      <c r="W482" s="16" t="str">
        <f>IF(DATA[[#This Row],[VALORIZACIÓN ]]="-","NO CORRESPONDE",IF(OR(A482=20558226979,A482=10470707866,A482=20111157058,A482=20100226902),"NO CORRESPONDE",IF(J482="Emitida",IF(P482&gt;0,"EMITIDA","PENDIENTE"),"NO CORRESPONDE")))</f>
        <v>EMITIDA</v>
      </c>
      <c r="X482" s="29"/>
      <c r="Y482" s="17" t="s">
        <v>118</v>
      </c>
      <c r="Z482" s="30">
        <v>45769</v>
      </c>
      <c r="AA482" s="10" t="s">
        <v>150</v>
      </c>
      <c r="AB482" s="19">
        <v>43</v>
      </c>
      <c r="AC482" s="20">
        <v>15</v>
      </c>
      <c r="AD482" s="18">
        <f>DATA[[#This Row],[FECHA DE EMISION]]+DATA[[#This Row],[CONDICION DE PAGO]]</f>
        <v>45784</v>
      </c>
      <c r="AE482" s="23">
        <f>IF(DATA[[#This Row],[MONEDA]]="USD",VLOOKUP(DATA[[#This Row],[COMBINADA]],#REF!,11,0),1)</f>
        <v>1</v>
      </c>
      <c r="AF482" s="39" t="str">
        <f>IF(DATA[[#This Row],[SERIE2]]="-","NO CORRESPONDE",IF(W482="NO CORRESPONDE","NO CORRESPONDE",IF(Z482&gt;0,"FACTURADO","PENDIENTE")))</f>
        <v>FACTURADO</v>
      </c>
      <c r="AG482" s="27">
        <f>IFERROR(VLOOKUP(DATA[[#This Row],[COMBINADA]],#REF!,6,0),0)</f>
        <v>0</v>
      </c>
      <c r="AH482" s="125">
        <f>IFERROR(VLOOKUP(DATA[[#This Row],[COMBINADA]],#REF!,9,0),0)/COUNTIFS(DATA[COMBINADA],DATA[[#This Row],[COMBINADA]])</f>
        <v>0</v>
      </c>
      <c r="AI482" s="27">
        <f>IFERROR(VLOOKUP(DATA[[#This Row],[COMBINADA]],#REF!,6,0),0)</f>
        <v>0</v>
      </c>
      <c r="AJ482" s="125">
        <f>IFERROR(VLOOKUP(DATA[[#This Row],[COMBINADA]],#REF!,9,0),0)/COUNTIFS(DATA[COMBINADA],DATA[[#This Row],[COMBINADA]])</f>
        <v>0</v>
      </c>
      <c r="AK482" s="27">
        <f>IFERROR(VLOOKUP(DATA[[#This Row],[COMBINADA]],#REF!,6,0),0)</f>
        <v>0</v>
      </c>
      <c r="AL482" s="125">
        <f>IFERROR(VLOOKUP(DATA[[#This Row],[COMBINADA]],#REF!,9,0),0)/COUNTIFS(DATA[COMBINADA],DATA[[#This Row],[COMBINADA]])</f>
        <v>0</v>
      </c>
      <c r="AM482" s="27">
        <f>IFERROR(VLOOKUP(DATA[[#This Row],[COMBINADA]],#REF!,6,0),0)</f>
        <v>0</v>
      </c>
      <c r="AN482" s="125">
        <f>IFERROR(VLOOKUP(DATA[[#This Row],[COMBINADA]],#REF!,9,0),0)/COUNTIFS(DATA[COMBINADA],DATA[[#This Row],[COMBINADA]])</f>
        <v>0</v>
      </c>
      <c r="AO482" s="27">
        <f>IFERROR(VLOOKUP(DATA[[#This Row],[COMBINADA]],#REF!,6,0),0)</f>
        <v>0</v>
      </c>
      <c r="AP482" s="125">
        <f>IFERROR(VLOOKUP(DATA[[#This Row],[COMBINADA]],#REF!,9,0),0)/COUNTIFS(DATA[COMBINADA],DATA[[#This Row],[COMBINADA]])</f>
        <v>0</v>
      </c>
      <c r="AQ48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1317</v>
      </c>
      <c r="AR482" s="26" t="str">
        <f>IFERROR(IF(DATA[[#This Row],[estado_fact]]="FACTURADO",VLOOKUP(DATA[[#This Row],[SERIE2]]&amp;"-"&amp;DATA[[#This Row],[NUMERO]],#REF!,34,0),"NO CORRESPONDE"),"NO CORRESPONDE")</f>
        <v>NO CORRESPONDE</v>
      </c>
      <c r="AS482" s="22" t="str">
        <f>IF(DATA[[#This Row],[fecha_fs]]&gt;0,TEXT(DATA[[#This Row],[fecha_fs]],"Mmmm"),0)</f>
        <v>Abril</v>
      </c>
      <c r="AT482" s="22" t="str">
        <f>DATA[[#This Row],[SERIE2]]&amp;"-"&amp;DATA[[#This Row],[NUMERO]]</f>
        <v>FF01-43</v>
      </c>
      <c r="AU482" s="28">
        <f>DATA[[#This Row],[TOTAL]]*DATA[[#This Row],[T.C.]]</f>
        <v>1317</v>
      </c>
      <c r="AV482" s="6">
        <f>DATA[[#This Row],[FECHA DE VAL.]]</f>
        <v>45757</v>
      </c>
      <c r="AW482" s="6">
        <f>DATA[[#This Row],[FECHA DE EMISION]]</f>
        <v>45769</v>
      </c>
      <c r="AX482" s="6">
        <f>DATA[[#This Row],[F1]]</f>
        <v>0</v>
      </c>
      <c r="AY482" s="20">
        <f>IF(AV482-DATA[[#This Row],[fecha_fs]]&lt;0,0,AV482-DATA[[#This Row],[fecha_fs]])</f>
        <v>2</v>
      </c>
      <c r="AZ482" s="20">
        <f t="shared" si="51"/>
        <v>12</v>
      </c>
      <c r="BA482" s="20">
        <f t="shared" si="52"/>
        <v>0</v>
      </c>
      <c r="BB482" s="195">
        <f>IFERROR(SUM(DATA[[#This Row],[fs_val_ttf]:[fact_pago_ttf]]),0)</f>
        <v>14</v>
      </c>
      <c r="BC482" s="185">
        <v>45763</v>
      </c>
      <c r="BD482" s="185">
        <v>45772</v>
      </c>
      <c r="BE482" s="185">
        <v>45789</v>
      </c>
      <c r="BF482" s="185">
        <v>45881</v>
      </c>
      <c r="BG482" s="20">
        <f>IFERROR(IF(BC482-DATA[[#This Row],[fecha_fs]]&lt;0,0,BC482-DATA[[#This Row],[fecha_fs]]),0)</f>
        <v>8</v>
      </c>
      <c r="BH482" s="20">
        <f t="shared" si="53"/>
        <v>9</v>
      </c>
      <c r="BI482" s="20">
        <f t="shared" si="54"/>
        <v>17</v>
      </c>
      <c r="BJ482" s="20">
        <f t="shared" si="55"/>
        <v>92</v>
      </c>
      <c r="BK482" s="218">
        <f>IFERROR(SUM(DATA[[#This Row],[fs_fd_ttd]:[fend_fenf_ttd]]),0)</f>
        <v>126</v>
      </c>
      <c r="BL482" s="20" t="str">
        <f>IF(DATA[[#This Row],[fecha_fs]]&gt;0,TEXT(DATA[[#This Row],[fecha_fs]],"YYYY"),0)</f>
        <v>2025</v>
      </c>
      <c r="BM482" s="221" t="b">
        <v>1</v>
      </c>
      <c r="BN482" s="278">
        <f>COUNTIF(DATA[[#This Row],[tiempo_td]], "&lt;=15")</f>
        <v>0</v>
      </c>
      <c r="BO482" s="222"/>
    </row>
    <row r="483" spans="1:67" ht="30.6" customHeight="1" x14ac:dyDescent="0.25">
      <c r="A483" s="4">
        <v>20456012427</v>
      </c>
      <c r="B483" s="5" t="s">
        <v>54</v>
      </c>
      <c r="C483" s="52" t="s">
        <v>236</v>
      </c>
      <c r="D483" s="4" t="s">
        <v>112</v>
      </c>
      <c r="E483" s="5" t="s">
        <v>1</v>
      </c>
      <c r="F483" s="24">
        <v>45755</v>
      </c>
      <c r="G483" s="7" t="s">
        <v>113</v>
      </c>
      <c r="H483" s="25">
        <f t="shared" si="50"/>
        <v>1</v>
      </c>
      <c r="I483" s="67">
        <v>4349</v>
      </c>
      <c r="J483" s="8" t="s">
        <v>115</v>
      </c>
      <c r="K483" s="9" t="s">
        <v>116</v>
      </c>
      <c r="L483" s="10" t="s">
        <v>117</v>
      </c>
      <c r="M483" s="11">
        <v>80</v>
      </c>
      <c r="N483" s="12" t="s">
        <v>114</v>
      </c>
      <c r="O483" s="6">
        <v>45757</v>
      </c>
      <c r="P483" s="13">
        <v>3388</v>
      </c>
      <c r="Q483" s="14" t="s">
        <v>85</v>
      </c>
      <c r="R483" s="15">
        <f>DATA[[#This Row],[cantidad_fs]]*1</f>
        <v>80</v>
      </c>
      <c r="S483" s="15">
        <v>270</v>
      </c>
      <c r="T483" s="15">
        <f>DATA[[#This Row],[C. DF]]+DATA[[#This Row],[C.OPE.]]</f>
        <v>350</v>
      </c>
      <c r="U483" s="15">
        <f>DATA[[#This Row],[SUB TOTAL]]*0.18</f>
        <v>63</v>
      </c>
      <c r="V483" s="15">
        <f>IFERROR(ROUND(DATA[[#This Row],[SUB TOTAL]]+DATA[[#This Row],[IGV]],2),0)</f>
        <v>413</v>
      </c>
      <c r="W483" s="16" t="str">
        <f>IF(DATA[[#This Row],[VALORIZACIÓN ]]="-","NO CORRESPONDE",IF(OR(A483=20558226979,A483=10470707866,A483=20111157058,A483=20100226902),"NO CORRESPONDE",IF(J483="Emitida",IF(P483&gt;0,"EMITIDA","PENDIENTE"),"NO CORRESPONDE")))</f>
        <v>EMITIDA</v>
      </c>
      <c r="X483" s="29"/>
      <c r="Y483" s="17" t="s">
        <v>118</v>
      </c>
      <c r="Z483" s="30">
        <v>45768</v>
      </c>
      <c r="AA483" s="10" t="s">
        <v>150</v>
      </c>
      <c r="AB483" s="19">
        <v>42</v>
      </c>
      <c r="AC483" s="20">
        <v>15</v>
      </c>
      <c r="AD483" s="18">
        <f>DATA[[#This Row],[FECHA DE EMISION]]+DATA[[#This Row],[CONDICION DE PAGO]]</f>
        <v>45783</v>
      </c>
      <c r="AE483" s="23">
        <f>IF(DATA[[#This Row],[MONEDA]]="USD",VLOOKUP(DATA[[#This Row],[COMBINADA]],#REF!,11,0),1)</f>
        <v>1</v>
      </c>
      <c r="AF483" s="39" t="str">
        <f>IF(DATA[[#This Row],[SERIE2]]="-","NO CORRESPONDE",IF(W483="NO CORRESPONDE","NO CORRESPONDE",IF(Z483&gt;0,"FACTURADO","PENDIENTE")))</f>
        <v>FACTURADO</v>
      </c>
      <c r="AG483" s="27">
        <f>IFERROR(VLOOKUP(DATA[[#This Row],[COMBINADA]],#REF!,6,0),0)</f>
        <v>0</v>
      </c>
      <c r="AH483" s="125">
        <f>IFERROR(VLOOKUP(DATA[[#This Row],[COMBINADA]],#REF!,9,0),0)/COUNTIFS(DATA[COMBINADA],DATA[[#This Row],[COMBINADA]])</f>
        <v>0</v>
      </c>
      <c r="AI483" s="27">
        <f>IFERROR(VLOOKUP(DATA[[#This Row],[COMBINADA]],#REF!,6,0),0)</f>
        <v>0</v>
      </c>
      <c r="AJ483" s="125">
        <f>IFERROR(VLOOKUP(DATA[[#This Row],[COMBINADA]],#REF!,9,0),0)/COUNTIFS(DATA[COMBINADA],DATA[[#This Row],[COMBINADA]])</f>
        <v>0</v>
      </c>
      <c r="AK483" s="27">
        <f>IFERROR(VLOOKUP(DATA[[#This Row],[COMBINADA]],#REF!,6,0),0)</f>
        <v>0</v>
      </c>
      <c r="AL483" s="125">
        <f>IFERROR(VLOOKUP(DATA[[#This Row],[COMBINADA]],#REF!,9,0),0)/COUNTIFS(DATA[COMBINADA],DATA[[#This Row],[COMBINADA]])</f>
        <v>0</v>
      </c>
      <c r="AM483" s="27">
        <f>IFERROR(VLOOKUP(DATA[[#This Row],[COMBINADA]],#REF!,6,0),0)</f>
        <v>0</v>
      </c>
      <c r="AN483" s="125">
        <f>IFERROR(VLOOKUP(DATA[[#This Row],[COMBINADA]],#REF!,9,0),0)/COUNTIFS(DATA[COMBINADA],DATA[[#This Row],[COMBINADA]])</f>
        <v>0</v>
      </c>
      <c r="AO483" s="27">
        <f>IFERROR(VLOOKUP(DATA[[#This Row],[COMBINADA]],#REF!,6,0),0)</f>
        <v>0</v>
      </c>
      <c r="AP483" s="125">
        <f>IFERROR(VLOOKUP(DATA[[#This Row],[COMBINADA]],#REF!,9,0),0)/COUNTIFS(DATA[COMBINADA],DATA[[#This Row],[COMBINADA]])</f>
        <v>0</v>
      </c>
      <c r="AQ48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466.1</v>
      </c>
      <c r="AR483" s="26" t="str">
        <f>IFERROR(IF(DATA[[#This Row],[estado_fact]]="FACTURADO",VLOOKUP(DATA[[#This Row],[SERIE2]]&amp;"-"&amp;DATA[[#This Row],[NUMERO]],#REF!,34,0),"NO CORRESPONDE"),"NO CORRESPONDE")</f>
        <v>NO CORRESPONDE</v>
      </c>
      <c r="AS483" s="22" t="str">
        <f>IF(DATA[[#This Row],[fecha_fs]]&gt;0,TEXT(DATA[[#This Row],[fecha_fs]],"Mmmm"),0)</f>
        <v>Abril</v>
      </c>
      <c r="AT483" s="22" t="str">
        <f>DATA[[#This Row],[SERIE2]]&amp;"-"&amp;DATA[[#This Row],[NUMERO]]</f>
        <v>FF01-42</v>
      </c>
      <c r="AU483" s="28">
        <f>DATA[[#This Row],[TOTAL]]*DATA[[#This Row],[T.C.]]</f>
        <v>413</v>
      </c>
      <c r="AV483" s="6">
        <f>DATA[[#This Row],[FECHA DE VAL.]]</f>
        <v>45757</v>
      </c>
      <c r="AW483" s="6">
        <f>DATA[[#This Row],[FECHA DE EMISION]]</f>
        <v>45768</v>
      </c>
      <c r="AX483" s="6">
        <f>DATA[[#This Row],[F1]]</f>
        <v>0</v>
      </c>
      <c r="AY483" s="20">
        <f>IF(AV483-DATA[[#This Row],[fecha_fs]]&lt;0,0,AV483-DATA[[#This Row],[fecha_fs]])</f>
        <v>2</v>
      </c>
      <c r="AZ483" s="20">
        <f t="shared" si="51"/>
        <v>11</v>
      </c>
      <c r="BA483" s="20">
        <f t="shared" si="52"/>
        <v>0</v>
      </c>
      <c r="BB483" s="195">
        <f>IFERROR(SUM(DATA[[#This Row],[fs_val_ttf]:[fact_pago_ttf]]),0)</f>
        <v>13</v>
      </c>
      <c r="BC483" s="185">
        <v>45761</v>
      </c>
      <c r="BD483" s="185">
        <v>45777</v>
      </c>
      <c r="BE483" s="185">
        <v>45782</v>
      </c>
      <c r="BF483" s="185">
        <v>45784</v>
      </c>
      <c r="BG483" s="20">
        <f>IFERROR(IF(BC483-DATA[[#This Row],[fecha_fs]]&lt;0,0,BC483-DATA[[#This Row],[fecha_fs]]),0)</f>
        <v>6</v>
      </c>
      <c r="BH483" s="20">
        <f t="shared" si="53"/>
        <v>16</v>
      </c>
      <c r="BI483" s="20">
        <f t="shared" si="54"/>
        <v>5</v>
      </c>
      <c r="BJ483" s="20">
        <f t="shared" si="55"/>
        <v>2</v>
      </c>
      <c r="BK483" s="218">
        <f>IFERROR(SUM(DATA[[#This Row],[fs_fd_ttd]:[fend_fenf_ttd]]),0)</f>
        <v>29</v>
      </c>
      <c r="BL483" s="20" t="str">
        <f>IF(DATA[[#This Row],[fecha_fs]]&gt;0,TEXT(DATA[[#This Row],[fecha_fs]],"YYYY"),0)</f>
        <v>2025</v>
      </c>
      <c r="BM483" s="221" t="b">
        <v>1</v>
      </c>
      <c r="BN483" s="278">
        <f>COUNTIF(DATA[[#This Row],[tiempo_td]], "&lt;=15")</f>
        <v>0</v>
      </c>
      <c r="BO483" s="222"/>
    </row>
    <row r="484" spans="1:67" ht="30.6" customHeight="1" x14ac:dyDescent="0.25">
      <c r="A484" s="4">
        <v>20455977330</v>
      </c>
      <c r="B484" s="5" t="s">
        <v>284</v>
      </c>
      <c r="C484" s="52" t="s">
        <v>237</v>
      </c>
      <c r="D484" s="4" t="s">
        <v>112</v>
      </c>
      <c r="E484" s="5" t="s">
        <v>1</v>
      </c>
      <c r="F484" s="24">
        <v>45755</v>
      </c>
      <c r="G484" s="7" t="s">
        <v>113</v>
      </c>
      <c r="H484" s="25">
        <f t="shared" si="50"/>
        <v>1</v>
      </c>
      <c r="I484" s="67">
        <v>4350</v>
      </c>
      <c r="J484" s="8" t="s">
        <v>115</v>
      </c>
      <c r="K484" s="9" t="s">
        <v>116</v>
      </c>
      <c r="L484" s="10" t="s">
        <v>117</v>
      </c>
      <c r="M484" s="11">
        <v>160</v>
      </c>
      <c r="N484" s="12" t="s">
        <v>114</v>
      </c>
      <c r="O484" s="6">
        <v>45757</v>
      </c>
      <c r="P484" s="13">
        <v>3389</v>
      </c>
      <c r="Q484" s="14" t="s">
        <v>85</v>
      </c>
      <c r="R484" s="15"/>
      <c r="S484" s="15">
        <v>817</v>
      </c>
      <c r="T484" s="15">
        <f>DATA[[#This Row],[C. DF]]+DATA[[#This Row],[C.OPE.]]</f>
        <v>817</v>
      </c>
      <c r="U484" s="15">
        <f>DATA[[#This Row],[SUB TOTAL]]*0.18</f>
        <v>147.06</v>
      </c>
      <c r="V484" s="15">
        <f>IFERROR(ROUND(DATA[[#This Row],[SUB TOTAL]]+DATA[[#This Row],[IGV]],2),0)</f>
        <v>964.06</v>
      </c>
      <c r="W484" s="16" t="str">
        <f>IF(DATA[[#This Row],[VALORIZACIÓN ]]="-","NO CORRESPONDE",IF(OR(A484=20558226979,A484=10470707866,A484=20111157058,A484=20100226902),"NO CORRESPONDE",IF(J484="Emitida",IF(P484&gt;0,"EMITIDA","PENDIENTE"),"NO CORRESPONDE")))</f>
        <v>EMITIDA</v>
      </c>
      <c r="X484" s="29"/>
      <c r="Y484" s="17" t="s">
        <v>118</v>
      </c>
      <c r="Z484" s="30">
        <v>45757</v>
      </c>
      <c r="AA484" s="10" t="s">
        <v>150</v>
      </c>
      <c r="AB484" s="19">
        <v>24</v>
      </c>
      <c r="AC484" s="20">
        <v>0</v>
      </c>
      <c r="AD484" s="18">
        <f>DATA[[#This Row],[FECHA DE EMISION]]+DATA[[#This Row],[CONDICION DE PAGO]]</f>
        <v>45757</v>
      </c>
      <c r="AE484" s="23">
        <f>IF(DATA[[#This Row],[MONEDA]]="USD",VLOOKUP(DATA[[#This Row],[COMBINADA]],#REF!,11,0),1)</f>
        <v>1</v>
      </c>
      <c r="AF484" s="39" t="str">
        <f>IF(DATA[[#This Row],[SERIE2]]="-","NO CORRESPONDE",IF(W484="NO CORRESPONDE","NO CORRESPONDE",IF(Z484&gt;0,"FACTURADO","PENDIENTE")))</f>
        <v>FACTURADO</v>
      </c>
      <c r="AG484" s="27">
        <f>IFERROR(VLOOKUP(DATA[[#This Row],[COMBINADA]],#REF!,6,0),0)</f>
        <v>0</v>
      </c>
      <c r="AH484" s="125">
        <f>IFERROR(VLOOKUP(DATA[[#This Row],[COMBINADA]],#REF!,9,0),0)/COUNTIFS(DATA[COMBINADA],DATA[[#This Row],[COMBINADA]])</f>
        <v>0</v>
      </c>
      <c r="AI484" s="27">
        <f>IFERROR(VLOOKUP(DATA[[#This Row],[COMBINADA]],#REF!,6,0),0)</f>
        <v>0</v>
      </c>
      <c r="AJ484" s="125">
        <f>IFERROR(VLOOKUP(DATA[[#This Row],[COMBINADA]],#REF!,9,0),0)/COUNTIFS(DATA[COMBINADA],DATA[[#This Row],[COMBINADA]])</f>
        <v>0</v>
      </c>
      <c r="AK484" s="27">
        <f>IFERROR(VLOOKUP(DATA[[#This Row],[COMBINADA]],#REF!,6,0),0)</f>
        <v>0</v>
      </c>
      <c r="AL484" s="125">
        <f>IFERROR(VLOOKUP(DATA[[#This Row],[COMBINADA]],#REF!,9,0),0)/COUNTIFS(DATA[COMBINADA],DATA[[#This Row],[COMBINADA]])</f>
        <v>0</v>
      </c>
      <c r="AM484" s="27">
        <f>IFERROR(VLOOKUP(DATA[[#This Row],[COMBINADA]],#REF!,6,0),0)</f>
        <v>0</v>
      </c>
      <c r="AN484" s="125">
        <f>IFERROR(VLOOKUP(DATA[[#This Row],[COMBINADA]],#REF!,9,0),0)/COUNTIFS(DATA[COMBINADA],DATA[[#This Row],[COMBINADA]])</f>
        <v>0</v>
      </c>
      <c r="AO484" s="27">
        <f>IFERROR(VLOOKUP(DATA[[#This Row],[COMBINADA]],#REF!,6,0),0)</f>
        <v>0</v>
      </c>
      <c r="AP484" s="125">
        <f>IFERROR(VLOOKUP(DATA[[#This Row],[COMBINADA]],#REF!,9,0),0)/COUNTIFS(DATA[COMBINADA],DATA[[#This Row],[COMBINADA]])</f>
        <v>0</v>
      </c>
      <c r="AQ48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964.06</v>
      </c>
      <c r="AR484" s="26" t="str">
        <f>IFERROR(IF(DATA[[#This Row],[estado_fact]]="FACTURADO",VLOOKUP(DATA[[#This Row],[SERIE2]]&amp;"-"&amp;DATA[[#This Row],[NUMERO]],#REF!,34,0),"NO CORRESPONDE"),"NO CORRESPONDE")</f>
        <v>NO CORRESPONDE</v>
      </c>
      <c r="AS484" s="22" t="str">
        <f>IF(DATA[[#This Row],[fecha_fs]]&gt;0,TEXT(DATA[[#This Row],[fecha_fs]],"Mmmm"),0)</f>
        <v>Abril</v>
      </c>
      <c r="AT484" s="22" t="str">
        <f>DATA[[#This Row],[SERIE2]]&amp;"-"&amp;DATA[[#This Row],[NUMERO]]</f>
        <v>FF01-24</v>
      </c>
      <c r="AU484" s="28">
        <f>DATA[[#This Row],[TOTAL]]*DATA[[#This Row],[T.C.]]</f>
        <v>964.06</v>
      </c>
      <c r="AV484" s="6">
        <f>DATA[[#This Row],[FECHA DE VAL.]]</f>
        <v>45757</v>
      </c>
      <c r="AW484" s="6">
        <f>DATA[[#This Row],[FECHA DE EMISION]]</f>
        <v>45757</v>
      </c>
      <c r="AX484" s="6">
        <f>DATA[[#This Row],[F1]]</f>
        <v>0</v>
      </c>
      <c r="AY484" s="20">
        <f>IF(AV484-DATA[[#This Row],[fecha_fs]]&lt;0,0,AV484-DATA[[#This Row],[fecha_fs]])</f>
        <v>2</v>
      </c>
      <c r="AZ484" s="20">
        <f t="shared" si="51"/>
        <v>0</v>
      </c>
      <c r="BA484" s="20">
        <f t="shared" si="52"/>
        <v>0</v>
      </c>
      <c r="BB484" s="195">
        <f>IFERROR(SUM(DATA[[#This Row],[fs_val_ttf]:[fact_pago_ttf]]),0)</f>
        <v>2</v>
      </c>
      <c r="BC484" s="185">
        <v>45763</v>
      </c>
      <c r="BD484" s="185">
        <v>45772</v>
      </c>
      <c r="BE484" s="185">
        <v>45791</v>
      </c>
      <c r="BF484" s="185">
        <v>45798</v>
      </c>
      <c r="BG484" s="20">
        <f>IFERROR(IF(BC484-DATA[[#This Row],[fecha_fs]]&lt;0,0,BC484-DATA[[#This Row],[fecha_fs]]),0)</f>
        <v>8</v>
      </c>
      <c r="BH484" s="20">
        <f t="shared" si="53"/>
        <v>9</v>
      </c>
      <c r="BI484" s="20">
        <f t="shared" si="54"/>
        <v>19</v>
      </c>
      <c r="BJ484" s="20">
        <f t="shared" si="55"/>
        <v>7</v>
      </c>
      <c r="BK484" s="218">
        <f>IFERROR(SUM(DATA[[#This Row],[fs_fd_ttd]:[fend_fenf_ttd]]),0)</f>
        <v>43</v>
      </c>
      <c r="BL484" s="20" t="str">
        <f>IF(DATA[[#This Row],[fecha_fs]]&gt;0,TEXT(DATA[[#This Row],[fecha_fs]],"YYYY"),0)</f>
        <v>2025</v>
      </c>
      <c r="BM484" s="221" t="b">
        <v>1</v>
      </c>
      <c r="BN484" s="278">
        <f>COUNTIF(DATA[[#This Row],[tiempo_td]], "&lt;=15")</f>
        <v>0</v>
      </c>
      <c r="BO484" s="222"/>
    </row>
    <row r="485" spans="1:67" ht="30.6" customHeight="1" x14ac:dyDescent="0.25">
      <c r="A485" s="4">
        <v>20100226902</v>
      </c>
      <c r="B485" s="5" t="s">
        <v>24</v>
      </c>
      <c r="C485" s="52" t="s">
        <v>18</v>
      </c>
      <c r="D485" s="4" t="s">
        <v>120</v>
      </c>
      <c r="E485" s="5" t="s">
        <v>3</v>
      </c>
      <c r="F485" s="24">
        <v>45756</v>
      </c>
      <c r="G485" s="7" t="s">
        <v>113</v>
      </c>
      <c r="H485" s="25">
        <f t="shared" si="50"/>
        <v>1</v>
      </c>
      <c r="I485" s="67">
        <v>4351</v>
      </c>
      <c r="J485" s="8" t="s">
        <v>115</v>
      </c>
      <c r="K485" s="9" t="s">
        <v>121</v>
      </c>
      <c r="L485" s="10" t="s">
        <v>117</v>
      </c>
      <c r="M485" s="11">
        <v>620</v>
      </c>
      <c r="N485" s="12" t="s">
        <v>127</v>
      </c>
      <c r="O485" s="40"/>
      <c r="P485" s="41" t="s">
        <v>114</v>
      </c>
      <c r="Q485" s="42"/>
      <c r="R485" s="43"/>
      <c r="S485" s="43"/>
      <c r="T485" s="43">
        <f>DATA[[#This Row],[C. DF]]+DATA[[#This Row],[C.OPE.]]</f>
        <v>0</v>
      </c>
      <c r="U485" s="43">
        <f>DATA[[#This Row],[SUB TOTAL]]*0.18</f>
        <v>0</v>
      </c>
      <c r="V485" s="43">
        <f>IFERROR(ROUND(DATA[[#This Row],[SUB TOTAL]]+DATA[[#This Row],[IGV]],2),0)</f>
        <v>0</v>
      </c>
      <c r="W485" s="58" t="str">
        <f>IF(DATA[[#This Row],[VALORIZACIÓN ]]="-","NO CORRESPONDE",IF(OR(A485=20558226979,A485=10470707866,A485=20111157058,A485=20100226902),"NO CORRESPONDE",IF(J485="Emitida",IF(P485&gt;0,"EMITIDA","PENDIENTE"),"NO CORRESPONDE")))</f>
        <v>NO CORRESPONDE</v>
      </c>
      <c r="X485" s="45"/>
      <c r="Y485" s="58" t="s">
        <v>128</v>
      </c>
      <c r="Z485" s="46"/>
      <c r="AA485" s="47"/>
      <c r="AB485" s="48"/>
      <c r="AC485" s="49"/>
      <c r="AD485" s="50">
        <f>DATA[[#This Row],[FECHA DE EMISION]]+DATA[[#This Row],[CONDICION DE PAGO]]</f>
        <v>0</v>
      </c>
      <c r="AE485" s="23">
        <f>IF(DATA[[#This Row],[MONEDA]]="USD",VLOOKUP(DATA[[#This Row],[COMBINADA]],#REF!,11,0),1)</f>
        <v>1</v>
      </c>
      <c r="AF485" s="39" t="str">
        <f>IF(DATA[[#This Row],[SERIE2]]="-","NO CORRESPONDE",IF(W485="NO CORRESPONDE","NO CORRESPONDE",IF(Z485&gt;0,"FACTURADO","PENDIENTE")))</f>
        <v>NO CORRESPONDE</v>
      </c>
      <c r="AG485" s="60">
        <f>IFERROR(VLOOKUP(DATA[[#This Row],[COMBINADA]],#REF!,6,0),0)</f>
        <v>0</v>
      </c>
      <c r="AH485" s="126">
        <f>IFERROR(VLOOKUP(DATA[[#This Row],[COMBINADA]],#REF!,9,0),0)/COUNTIFS(DATA[COMBINADA],DATA[[#This Row],[COMBINADA]])</f>
        <v>0</v>
      </c>
      <c r="AI485" s="60">
        <f>IFERROR(VLOOKUP(DATA[[#This Row],[COMBINADA]],#REF!,6,0),0)</f>
        <v>0</v>
      </c>
      <c r="AJ485" s="126">
        <f>IFERROR(VLOOKUP(DATA[[#This Row],[COMBINADA]],#REF!,9,0),0)/COUNTIFS(DATA[COMBINADA],DATA[[#This Row],[COMBINADA]])</f>
        <v>0</v>
      </c>
      <c r="AK485" s="60">
        <f>IFERROR(VLOOKUP(DATA[[#This Row],[COMBINADA]],#REF!,6,0),0)</f>
        <v>0</v>
      </c>
      <c r="AL485" s="126">
        <f>IFERROR(VLOOKUP(DATA[[#This Row],[COMBINADA]],#REF!,9,0),0)/COUNTIFS(DATA[COMBINADA],DATA[[#This Row],[COMBINADA]])</f>
        <v>0</v>
      </c>
      <c r="AM485" s="60">
        <f>IFERROR(VLOOKUP(DATA[[#This Row],[COMBINADA]],#REF!,6,0),0)</f>
        <v>0</v>
      </c>
      <c r="AN485" s="126">
        <f>IFERROR(VLOOKUP(DATA[[#This Row],[COMBINADA]],#REF!,9,0),0)/COUNTIFS(DATA[COMBINADA],DATA[[#This Row],[COMBINADA]])</f>
        <v>0</v>
      </c>
      <c r="AO485" s="60">
        <f>IFERROR(VLOOKUP(DATA[[#This Row],[COMBINADA]],#REF!,6,0),0)</f>
        <v>0</v>
      </c>
      <c r="AP485" s="126">
        <f>IFERROR(VLOOKUP(DATA[[#This Row],[COMBINADA]],#REF!,9,0),0)/COUNTIFS(DATA[COMBINADA],DATA[[#This Row],[COMBINADA]])</f>
        <v>0</v>
      </c>
      <c r="AQ485"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485" s="22" t="str">
        <f>IFERROR(IF(DATA[[#This Row],[estado_fact]]="FACTURADO",VLOOKUP(DATA[[#This Row],[SERIE2]]&amp;"-"&amp;DATA[[#This Row],[NUMERO]],#REF!,34,0),"NO CORRESPONDE"),"NO CORRESPONDE")</f>
        <v>NO CORRESPONDE</v>
      </c>
      <c r="AS485" s="22" t="str">
        <f>IF(DATA[[#This Row],[fecha_fs]]&gt;0,TEXT(DATA[[#This Row],[fecha_fs]],"Mmmm"),0)</f>
        <v>Abril</v>
      </c>
      <c r="AT485" s="22" t="str">
        <f>DATA[[#This Row],[SERIE2]]&amp;"-"&amp;DATA[[#This Row],[NUMERO]]</f>
        <v>-</v>
      </c>
      <c r="AU485" s="28">
        <f>DATA[[#This Row],[TOTAL]]*DATA[[#This Row],[T.C.]]</f>
        <v>0</v>
      </c>
      <c r="AV485" s="6">
        <f>DATA[[#This Row],[FECHA DE VAL.]]</f>
        <v>0</v>
      </c>
      <c r="AW485" s="6">
        <f>DATA[[#This Row],[FECHA DE EMISION]]</f>
        <v>0</v>
      </c>
      <c r="AX485" s="6">
        <f>DATA[[#This Row],[F1]]</f>
        <v>0</v>
      </c>
      <c r="AY485" s="20">
        <f>IF(AV485-DATA[[#This Row],[fecha_fs]]&lt;0,0,AV485-DATA[[#This Row],[fecha_fs]])</f>
        <v>0</v>
      </c>
      <c r="AZ485" s="20">
        <f t="shared" si="51"/>
        <v>0</v>
      </c>
      <c r="BA485" s="20">
        <f t="shared" si="52"/>
        <v>0</v>
      </c>
      <c r="BB485" s="195">
        <f>IFERROR(SUM(DATA[[#This Row],[fs_val_ttf]:[fact_pago_ttf]]),0)</f>
        <v>0</v>
      </c>
      <c r="BC485" s="185">
        <v>45756</v>
      </c>
      <c r="BD485" s="185">
        <v>45756</v>
      </c>
      <c r="BE485" s="185">
        <v>45783</v>
      </c>
      <c r="BF485" s="185">
        <v>45783</v>
      </c>
      <c r="BG485" s="20">
        <f>IFERROR(IF(BC485-DATA[[#This Row],[fecha_fs]]&lt;0,0,BC485-DATA[[#This Row],[fecha_fs]]),0)</f>
        <v>0</v>
      </c>
      <c r="BH485" s="20">
        <f t="shared" si="53"/>
        <v>0</v>
      </c>
      <c r="BI485" s="20">
        <f t="shared" si="54"/>
        <v>27</v>
      </c>
      <c r="BJ485" s="20">
        <f t="shared" si="55"/>
        <v>0</v>
      </c>
      <c r="BK485" s="218">
        <f>IFERROR(SUM(DATA[[#This Row],[fs_fd_ttd]:[fend_fenf_ttd]]),0)</f>
        <v>27</v>
      </c>
      <c r="BL485" s="20" t="str">
        <f>IF(DATA[[#This Row],[fecha_fs]]&gt;0,TEXT(DATA[[#This Row],[fecha_fs]],"YYYY"),0)</f>
        <v>2025</v>
      </c>
      <c r="BM485" s="221" t="b">
        <v>1</v>
      </c>
      <c r="BN485" s="278">
        <f>COUNTIF(DATA[[#This Row],[tiempo_td]], "&lt;=15")</f>
        <v>0</v>
      </c>
      <c r="BO485" s="222"/>
    </row>
    <row r="486" spans="1:67" ht="30.6" customHeight="1" x14ac:dyDescent="0.25">
      <c r="A486" s="4">
        <v>20141637941</v>
      </c>
      <c r="B486" s="5" t="s">
        <v>79</v>
      </c>
      <c r="C486" s="52" t="s">
        <v>18</v>
      </c>
      <c r="D486" s="4" t="s">
        <v>120</v>
      </c>
      <c r="E486" s="5" t="s">
        <v>3</v>
      </c>
      <c r="F486" s="24">
        <v>45756</v>
      </c>
      <c r="G486" s="7" t="s">
        <v>113</v>
      </c>
      <c r="H486" s="25">
        <f t="shared" si="50"/>
        <v>1</v>
      </c>
      <c r="I486" s="67">
        <v>4352</v>
      </c>
      <c r="J486" s="8" t="s">
        <v>115</v>
      </c>
      <c r="K486" s="9" t="s">
        <v>121</v>
      </c>
      <c r="L486" s="10" t="s">
        <v>117</v>
      </c>
      <c r="M486" s="11">
        <v>1450</v>
      </c>
      <c r="N486" s="12" t="s">
        <v>125</v>
      </c>
      <c r="O486" s="6">
        <v>45758</v>
      </c>
      <c r="P486" s="110">
        <v>3392</v>
      </c>
      <c r="Q486" s="14" t="s">
        <v>85</v>
      </c>
      <c r="R486" s="15">
        <f>70+(DATA[[#This Row],[cantidad_fs]]-1000)*0.1</f>
        <v>115</v>
      </c>
      <c r="S486" s="15">
        <v>517</v>
      </c>
      <c r="T486" s="15">
        <f>DATA[[#This Row],[C. DF]]+DATA[[#This Row],[C.OPE.]]</f>
        <v>632</v>
      </c>
      <c r="U486" s="15">
        <f>DATA[[#This Row],[SUB TOTAL]]*0.18</f>
        <v>113.75999999999999</v>
      </c>
      <c r="V486" s="15">
        <f>IFERROR(ROUND(DATA[[#This Row],[SUB TOTAL]]+DATA[[#This Row],[IGV]],2),0)</f>
        <v>745.76</v>
      </c>
      <c r="W486" s="16" t="str">
        <f>IF(DATA[[#This Row],[VALORIZACIÓN ]]="-","NO CORRESPONDE",IF(OR(A486=20558226979,A486=10470707866,A486=20111157058,A486=20100226902),"NO CORRESPONDE",IF(J486="Emitida",IF(P486&gt;0,"EMITIDA","PENDIENTE"),"NO CORRESPONDE")))</f>
        <v>EMITIDA</v>
      </c>
      <c r="X486" s="29"/>
      <c r="Y486" s="17" t="s">
        <v>118</v>
      </c>
      <c r="Z486" s="30">
        <v>45763</v>
      </c>
      <c r="AA486" s="10" t="s">
        <v>150</v>
      </c>
      <c r="AB486" s="19">
        <v>40</v>
      </c>
      <c r="AC486" s="20">
        <v>30</v>
      </c>
      <c r="AD486" s="18">
        <f>DATA[[#This Row],[FECHA DE EMISION]]+DATA[[#This Row],[CONDICION DE PAGO]]</f>
        <v>45793</v>
      </c>
      <c r="AE486" s="23">
        <f>IF(DATA[[#This Row],[MONEDA]]="USD",VLOOKUP(DATA[[#This Row],[COMBINADA]],#REF!,11,0),1)</f>
        <v>1</v>
      </c>
      <c r="AF486" s="39" t="str">
        <f>IF(DATA[[#This Row],[SERIE2]]="-","NO CORRESPONDE",IF(W486="NO CORRESPONDE","NO CORRESPONDE",IF(Z486&gt;0,"FACTURADO","PENDIENTE")))</f>
        <v>FACTURADO</v>
      </c>
      <c r="AG486" s="27">
        <f>IFERROR(VLOOKUP(DATA[[#This Row],[COMBINADA]],#REF!,6,0),0)</f>
        <v>0</v>
      </c>
      <c r="AH486" s="125">
        <f>IFERROR(VLOOKUP(DATA[[#This Row],[COMBINADA]],#REF!,9,0),0)/COUNTIFS(DATA[COMBINADA],DATA[[#This Row],[COMBINADA]])</f>
        <v>0</v>
      </c>
      <c r="AI486" s="27">
        <f>IFERROR(VLOOKUP(DATA[[#This Row],[COMBINADA]],#REF!,6,0),0)</f>
        <v>0</v>
      </c>
      <c r="AJ486" s="125">
        <f>IFERROR(VLOOKUP(DATA[[#This Row],[COMBINADA]],#REF!,9,0),0)/COUNTIFS(DATA[COMBINADA],DATA[[#This Row],[COMBINADA]])</f>
        <v>0</v>
      </c>
      <c r="AK486" s="27">
        <f>IFERROR(VLOOKUP(DATA[[#This Row],[COMBINADA]],#REF!,6,0),0)</f>
        <v>0</v>
      </c>
      <c r="AL486" s="125">
        <f>IFERROR(VLOOKUP(DATA[[#This Row],[COMBINADA]],#REF!,9,0),0)/COUNTIFS(DATA[COMBINADA],DATA[[#This Row],[COMBINADA]])</f>
        <v>0</v>
      </c>
      <c r="AM486" s="27">
        <f>IFERROR(VLOOKUP(DATA[[#This Row],[COMBINADA]],#REF!,6,0),0)</f>
        <v>0</v>
      </c>
      <c r="AN486" s="125">
        <f>IFERROR(VLOOKUP(DATA[[#This Row],[COMBINADA]],#REF!,9,0),0)/COUNTIFS(DATA[COMBINADA],DATA[[#This Row],[COMBINADA]])</f>
        <v>0</v>
      </c>
      <c r="AO486" s="27">
        <f>IFERROR(VLOOKUP(DATA[[#This Row],[COMBINADA]],#REF!,6,0),0)</f>
        <v>0</v>
      </c>
      <c r="AP486" s="125">
        <f>IFERROR(VLOOKUP(DATA[[#This Row],[COMBINADA]],#REF!,9,0),0)/COUNTIFS(DATA[COMBINADA],DATA[[#This Row],[COMBINADA]])</f>
        <v>0</v>
      </c>
      <c r="AQ48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732.30800000000011</v>
      </c>
      <c r="AR486" s="26" t="str">
        <f>IFERROR(IF(DATA[[#This Row],[estado_fact]]="FACTURADO",VLOOKUP(DATA[[#This Row],[SERIE2]]&amp;"-"&amp;DATA[[#This Row],[NUMERO]],#REF!,34,0),"NO CORRESPONDE"),"NO CORRESPONDE")</f>
        <v>NO CORRESPONDE</v>
      </c>
      <c r="AS486" s="22" t="str">
        <f>IF(DATA[[#This Row],[fecha_fs]]&gt;0,TEXT(DATA[[#This Row],[fecha_fs]],"Mmmm"),0)</f>
        <v>Abril</v>
      </c>
      <c r="AT486" s="22" t="str">
        <f>DATA[[#This Row],[SERIE2]]&amp;"-"&amp;DATA[[#This Row],[NUMERO]]</f>
        <v>FF01-40</v>
      </c>
      <c r="AU486" s="28">
        <f>DATA[[#This Row],[TOTAL]]*DATA[[#This Row],[T.C.]]</f>
        <v>745.76</v>
      </c>
      <c r="AV486" s="6">
        <f>DATA[[#This Row],[FECHA DE VAL.]]</f>
        <v>45758</v>
      </c>
      <c r="AW486" s="6">
        <f>DATA[[#This Row],[FECHA DE EMISION]]</f>
        <v>45763</v>
      </c>
      <c r="AX486" s="6">
        <f>DATA[[#This Row],[F1]]</f>
        <v>0</v>
      </c>
      <c r="AY486" s="20">
        <f>IF(AV486-DATA[[#This Row],[fecha_fs]]&lt;0,0,AV486-DATA[[#This Row],[fecha_fs]])</f>
        <v>2</v>
      </c>
      <c r="AZ486" s="20">
        <f t="shared" si="51"/>
        <v>5</v>
      </c>
      <c r="BA486" s="20">
        <f t="shared" si="52"/>
        <v>0</v>
      </c>
      <c r="BB486" s="195">
        <f>IFERROR(SUM(DATA[[#This Row],[fs_val_ttf]:[fact_pago_ttf]]),0)</f>
        <v>7</v>
      </c>
      <c r="BC486" s="185">
        <v>45756</v>
      </c>
      <c r="BD486" s="185">
        <v>45756</v>
      </c>
      <c r="BE486" s="185">
        <v>45763</v>
      </c>
      <c r="BF486" s="185">
        <v>45763</v>
      </c>
      <c r="BG486" s="20">
        <f>IFERROR(IF(BC486-DATA[[#This Row],[fecha_fs]]&lt;0,0,BC486-DATA[[#This Row],[fecha_fs]]),0)</f>
        <v>0</v>
      </c>
      <c r="BH486" s="20">
        <f t="shared" si="53"/>
        <v>0</v>
      </c>
      <c r="BI486" s="20">
        <f t="shared" si="54"/>
        <v>7</v>
      </c>
      <c r="BJ486" s="20">
        <f t="shared" si="55"/>
        <v>0</v>
      </c>
      <c r="BK486" s="218">
        <f>IFERROR(SUM(DATA[[#This Row],[fs_fd_ttd]:[fend_fenf_ttd]]),0)</f>
        <v>7</v>
      </c>
      <c r="BL486" s="20" t="str">
        <f>IF(DATA[[#This Row],[fecha_fs]]&gt;0,TEXT(DATA[[#This Row],[fecha_fs]],"YYYY"),0)</f>
        <v>2025</v>
      </c>
      <c r="BM486" s="221" t="b">
        <v>1</v>
      </c>
      <c r="BN486" s="278">
        <f>COUNTIF(DATA[[#This Row],[tiempo_td]], "&lt;=15")</f>
        <v>1</v>
      </c>
      <c r="BO486" s="222"/>
    </row>
    <row r="487" spans="1:67" ht="30.6" customHeight="1" x14ac:dyDescent="0.25">
      <c r="A487" s="4">
        <v>20100211115</v>
      </c>
      <c r="B487" s="5" t="s">
        <v>41</v>
      </c>
      <c r="C487" s="52" t="s">
        <v>18</v>
      </c>
      <c r="D487" s="4" t="s">
        <v>120</v>
      </c>
      <c r="E487" s="5" t="s">
        <v>3</v>
      </c>
      <c r="F487" s="24">
        <v>45756</v>
      </c>
      <c r="G487" s="7" t="s">
        <v>113</v>
      </c>
      <c r="H487" s="25">
        <f t="shared" si="50"/>
        <v>1</v>
      </c>
      <c r="I487" s="67">
        <v>4353</v>
      </c>
      <c r="J487" s="8" t="s">
        <v>115</v>
      </c>
      <c r="K487" s="9" t="s">
        <v>121</v>
      </c>
      <c r="L487" s="10" t="s">
        <v>117</v>
      </c>
      <c r="M487" s="11">
        <v>90</v>
      </c>
      <c r="N487" s="12" t="s">
        <v>167</v>
      </c>
      <c r="O487" s="6">
        <v>45775</v>
      </c>
      <c r="P487" s="115">
        <v>3419</v>
      </c>
      <c r="Q487" s="14" t="s">
        <v>85</v>
      </c>
      <c r="R487" s="15"/>
      <c r="S487" s="15">
        <f>(DATA[[#This Row],[cantidad_fs]]*4.37)</f>
        <v>393.3</v>
      </c>
      <c r="T487" s="15">
        <f>DATA[[#This Row],[C. DF]]+DATA[[#This Row],[C.OPE.]]</f>
        <v>393.3</v>
      </c>
      <c r="U487" s="15">
        <f>DATA[[#This Row],[SUB TOTAL]]*0.18</f>
        <v>70.793999999999997</v>
      </c>
      <c r="V487" s="15">
        <f>IFERROR(ROUND(DATA[[#This Row],[SUB TOTAL]]+DATA[[#This Row],[IGV]],2),0)</f>
        <v>464.09</v>
      </c>
      <c r="W487" s="16" t="str">
        <f>IF(DATA[[#This Row],[VALORIZACIÓN ]]="-","NO CORRESPONDE",IF(OR(A487=20558226979,A487=10470707866,A487=20111157058,A487=20100226902),"NO CORRESPONDE",IF(J487="Emitida",IF(P487&gt;0,"EMITIDA","PENDIENTE"),"NO CORRESPONDE")))</f>
        <v>EMITIDA</v>
      </c>
      <c r="X487" s="29"/>
      <c r="Y487" s="17" t="s">
        <v>118</v>
      </c>
      <c r="Z487" s="30">
        <v>45777</v>
      </c>
      <c r="AA487" s="10" t="s">
        <v>150</v>
      </c>
      <c r="AB487" s="19">
        <v>60</v>
      </c>
      <c r="AC487" s="20">
        <v>30</v>
      </c>
      <c r="AD487" s="18">
        <f>DATA[[#This Row],[FECHA DE EMISION]]+DATA[[#This Row],[CONDICION DE PAGO]]</f>
        <v>45807</v>
      </c>
      <c r="AE487" s="23">
        <f>IF(DATA[[#This Row],[MONEDA]]="USD",VLOOKUP(DATA[[#This Row],[COMBINADA]],#REF!,11,0),1)</f>
        <v>1</v>
      </c>
      <c r="AF487" s="39" t="str">
        <f>IF(DATA[[#This Row],[SERIE2]]="-","NO CORRESPONDE",IF(W487="NO CORRESPONDE","NO CORRESPONDE",IF(Z487&gt;0,"FACTURADO","PENDIENTE")))</f>
        <v>FACTURADO</v>
      </c>
      <c r="AG487" s="27">
        <f>IFERROR(VLOOKUP(DATA[[#This Row],[COMBINADA]],#REF!,6,0),0)</f>
        <v>0</v>
      </c>
      <c r="AH487" s="125">
        <f>IFERROR(VLOOKUP(DATA[[#This Row],[COMBINADA]],#REF!,9,0),0)/COUNTIFS(DATA[COMBINADA],DATA[[#This Row],[COMBINADA]])</f>
        <v>0</v>
      </c>
      <c r="AI487" s="27">
        <f>IFERROR(VLOOKUP(DATA[[#This Row],[COMBINADA]],#REF!,6,0),0)</f>
        <v>0</v>
      </c>
      <c r="AJ487" s="125">
        <f>IFERROR(VLOOKUP(DATA[[#This Row],[COMBINADA]],#REF!,9,0),0)/COUNTIFS(DATA[COMBINADA],DATA[[#This Row],[COMBINADA]])</f>
        <v>0</v>
      </c>
      <c r="AK487" s="27">
        <f>IFERROR(VLOOKUP(DATA[[#This Row],[COMBINADA]],#REF!,6,0),0)</f>
        <v>0</v>
      </c>
      <c r="AL487" s="125">
        <f>IFERROR(VLOOKUP(DATA[[#This Row],[COMBINADA]],#REF!,9,0),0)/COUNTIFS(DATA[COMBINADA],DATA[[#This Row],[COMBINADA]])</f>
        <v>0</v>
      </c>
      <c r="AM487" s="27">
        <f>IFERROR(VLOOKUP(DATA[[#This Row],[COMBINADA]],#REF!,6,0),0)</f>
        <v>0</v>
      </c>
      <c r="AN487" s="125">
        <f>IFERROR(VLOOKUP(DATA[[#This Row],[COMBINADA]],#REF!,9,0),0)/COUNTIFS(DATA[COMBINADA],DATA[[#This Row],[COMBINADA]])</f>
        <v>0</v>
      </c>
      <c r="AO487" s="27">
        <f>IFERROR(VLOOKUP(DATA[[#This Row],[COMBINADA]],#REF!,6,0),0)</f>
        <v>0</v>
      </c>
      <c r="AP487" s="125">
        <f>IFERROR(VLOOKUP(DATA[[#This Row],[COMBINADA]],#REF!,9,0),0)/COUNTIFS(DATA[COMBINADA],DATA[[#This Row],[COMBINADA]])</f>
        <v>0</v>
      </c>
      <c r="AQ48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487" s="26" t="str">
        <f>IFERROR(IF(DATA[[#This Row],[estado_fact]]="FACTURADO",VLOOKUP(DATA[[#This Row],[SERIE2]]&amp;"-"&amp;DATA[[#This Row],[NUMERO]],#REF!,34,0),"NO CORRESPONDE"),"NO CORRESPONDE")</f>
        <v>NO CORRESPONDE</v>
      </c>
      <c r="AS487" s="22" t="str">
        <f>IF(DATA[[#This Row],[fecha_fs]]&gt;0,TEXT(DATA[[#This Row],[fecha_fs]],"Mmmm"),0)</f>
        <v>Abril</v>
      </c>
      <c r="AT487" s="22" t="str">
        <f>DATA[[#This Row],[SERIE2]]&amp;"-"&amp;DATA[[#This Row],[NUMERO]]</f>
        <v>FF01-60</v>
      </c>
      <c r="AU487" s="28">
        <f>DATA[[#This Row],[TOTAL]]*DATA[[#This Row],[T.C.]]</f>
        <v>464.09</v>
      </c>
      <c r="AV487" s="6">
        <f>DATA[[#This Row],[FECHA DE VAL.]]</f>
        <v>45775</v>
      </c>
      <c r="AW487" s="6">
        <f>DATA[[#This Row],[FECHA DE EMISION]]</f>
        <v>45777</v>
      </c>
      <c r="AX487" s="6">
        <f>DATA[[#This Row],[F1]]</f>
        <v>0</v>
      </c>
      <c r="AY487" s="20">
        <f>IF(AV487-DATA[[#This Row],[fecha_fs]]&lt;0,0,AV487-DATA[[#This Row],[fecha_fs]])</f>
        <v>19</v>
      </c>
      <c r="AZ487" s="20">
        <f t="shared" si="51"/>
        <v>2</v>
      </c>
      <c r="BA487" s="20">
        <f t="shared" si="52"/>
        <v>0</v>
      </c>
      <c r="BB487" s="195">
        <f>IFERROR(SUM(DATA[[#This Row],[fs_val_ttf]:[fact_pago_ttf]]),0)</f>
        <v>21</v>
      </c>
      <c r="BC487" s="185">
        <v>45779</v>
      </c>
      <c r="BD487" s="185">
        <v>45796</v>
      </c>
      <c r="BE487" s="185">
        <v>45796</v>
      </c>
      <c r="BF487" s="184">
        <v>45798</v>
      </c>
      <c r="BG487" s="20">
        <f>IFERROR(IF(BC487-DATA[[#This Row],[fecha_fs]]&lt;0,0,BC487-DATA[[#This Row],[fecha_fs]]),0)</f>
        <v>23</v>
      </c>
      <c r="BH487" s="20">
        <f t="shared" si="53"/>
        <v>17</v>
      </c>
      <c r="BI487" s="20">
        <f t="shared" si="54"/>
        <v>0</v>
      </c>
      <c r="BJ487" s="20">
        <f t="shared" si="55"/>
        <v>2</v>
      </c>
      <c r="BK487" s="218">
        <f>IFERROR(SUM(DATA[[#This Row],[fs_fd_ttd]:[fend_fenf_ttd]]),0)</f>
        <v>42</v>
      </c>
      <c r="BL487" s="20" t="str">
        <f>IF(DATA[[#This Row],[fecha_fs]]&gt;0,TEXT(DATA[[#This Row],[fecha_fs]],"YYYY"),0)</f>
        <v>2025</v>
      </c>
      <c r="BM487" s="221" t="b">
        <v>1</v>
      </c>
      <c r="BN487" s="278">
        <f>COUNTIF(DATA[[#This Row],[tiempo_td]], "&lt;=15")</f>
        <v>0</v>
      </c>
      <c r="BO487" s="222"/>
    </row>
    <row r="488" spans="1:67" ht="30.6" customHeight="1" x14ac:dyDescent="0.25">
      <c r="A488" s="4">
        <v>20553956324</v>
      </c>
      <c r="B488" s="5" t="s">
        <v>281</v>
      </c>
      <c r="C488" s="52" t="s">
        <v>175</v>
      </c>
      <c r="D488" s="4" t="s">
        <v>120</v>
      </c>
      <c r="E488" s="5" t="s">
        <v>3</v>
      </c>
      <c r="F488" s="24">
        <v>45756</v>
      </c>
      <c r="G488" s="7" t="s">
        <v>113</v>
      </c>
      <c r="H488" s="25">
        <f t="shared" si="50"/>
        <v>1</v>
      </c>
      <c r="I488" s="67">
        <v>4354</v>
      </c>
      <c r="J488" s="8" t="s">
        <v>115</v>
      </c>
      <c r="K488" s="9" t="s">
        <v>121</v>
      </c>
      <c r="L488" s="10" t="s">
        <v>117</v>
      </c>
      <c r="M488" s="11">
        <v>140</v>
      </c>
      <c r="N488" s="12" t="s">
        <v>167</v>
      </c>
      <c r="O488" s="6">
        <v>45775</v>
      </c>
      <c r="P488" s="109">
        <v>3422</v>
      </c>
      <c r="Q488" s="14" t="s">
        <v>85</v>
      </c>
      <c r="R488" s="15">
        <f>DATA[[#This Row],[cantidad_fs]]*0.08</f>
        <v>11.200000000000001</v>
      </c>
      <c r="S488" s="15">
        <v>395.1</v>
      </c>
      <c r="T488" s="15">
        <f>DATA[[#This Row],[C. DF]]+DATA[[#This Row],[C.OPE.]]</f>
        <v>406.3</v>
      </c>
      <c r="U488" s="15">
        <f>DATA[[#This Row],[SUB TOTAL]]*0.18</f>
        <v>73.134</v>
      </c>
      <c r="V488" s="15">
        <f>IFERROR(ROUND(DATA[[#This Row],[SUB TOTAL]]+DATA[[#This Row],[IGV]],2),0)</f>
        <v>479.43</v>
      </c>
      <c r="W488" s="16" t="str">
        <f>IF(DATA[[#This Row],[VALORIZACIÓN ]]="-","NO CORRESPONDE",IF(OR(A488=20558226979,A488=10470707866,A488=20111157058,A488=20100226902),"NO CORRESPONDE",IF(J488="Emitida",IF(P488&gt;0,"EMITIDA","PENDIENTE"),"NO CORRESPONDE")))</f>
        <v>EMITIDA</v>
      </c>
      <c r="X488" s="29"/>
      <c r="Y488" s="17" t="s">
        <v>118</v>
      </c>
      <c r="Z488" s="30">
        <v>45790</v>
      </c>
      <c r="AA488" s="10" t="s">
        <v>150</v>
      </c>
      <c r="AB488" s="19">
        <v>76</v>
      </c>
      <c r="AC488" s="20"/>
      <c r="AD488" s="18">
        <f>DATA[[#This Row],[FECHA DE EMISION]]+DATA[[#This Row],[CONDICION DE PAGO]]</f>
        <v>45790</v>
      </c>
      <c r="AE488" s="23">
        <f>IF(DATA[[#This Row],[MONEDA]]="USD",VLOOKUP(DATA[[#This Row],[COMBINADA]],#REF!,11,0),1)</f>
        <v>1</v>
      </c>
      <c r="AF488" s="39" t="str">
        <f>IF(DATA[[#This Row],[SERIE2]]="-","NO CORRESPONDE",IF(W488="NO CORRESPONDE","NO CORRESPONDE",IF(Z488&gt;0,"FACTURADO","PENDIENTE")))</f>
        <v>FACTURADO</v>
      </c>
      <c r="AG488" s="27">
        <f>IFERROR(VLOOKUP(DATA[[#This Row],[COMBINADA]],#REF!,6,0),0)</f>
        <v>0</v>
      </c>
      <c r="AH488" s="125">
        <f>IFERROR(VLOOKUP(DATA[[#This Row],[COMBINADA]],#REF!,9,0),0)/COUNTIFS(DATA[COMBINADA],DATA[[#This Row],[COMBINADA]])</f>
        <v>0</v>
      </c>
      <c r="AI488" s="27">
        <f>IFERROR(VLOOKUP(DATA[[#This Row],[COMBINADA]],#REF!,6,0),0)</f>
        <v>0</v>
      </c>
      <c r="AJ488" s="125">
        <f>IFERROR(VLOOKUP(DATA[[#This Row],[COMBINADA]],#REF!,9,0),0)/COUNTIFS(DATA[COMBINADA],DATA[[#This Row],[COMBINADA]])</f>
        <v>0</v>
      </c>
      <c r="AK488" s="27">
        <f>IFERROR(VLOOKUP(DATA[[#This Row],[COMBINADA]],#REF!,6,0),0)</f>
        <v>0</v>
      </c>
      <c r="AL488" s="125">
        <f>IFERROR(VLOOKUP(DATA[[#This Row],[COMBINADA]],#REF!,9,0),0)/COUNTIFS(DATA[COMBINADA],DATA[[#This Row],[COMBINADA]])</f>
        <v>0</v>
      </c>
      <c r="AM488" s="27">
        <f>IFERROR(VLOOKUP(DATA[[#This Row],[COMBINADA]],#REF!,6,0),0)</f>
        <v>0</v>
      </c>
      <c r="AN488" s="125">
        <f>IFERROR(VLOOKUP(DATA[[#This Row],[COMBINADA]],#REF!,9,0),0)/COUNTIFS(DATA[COMBINADA],DATA[[#This Row],[COMBINADA]])</f>
        <v>0</v>
      </c>
      <c r="AO488" s="27">
        <f>IFERROR(VLOOKUP(DATA[[#This Row],[COMBINADA]],#REF!,6,0),0)</f>
        <v>0</v>
      </c>
      <c r="AP488" s="125">
        <f>IFERROR(VLOOKUP(DATA[[#This Row],[COMBINADA]],#REF!,9,0),0)/COUNTIFS(DATA[COMBINADA],DATA[[#This Row],[COMBINADA]])</f>
        <v>0</v>
      </c>
      <c r="AQ48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481.00750000000011</v>
      </c>
      <c r="AR488" s="26" t="str">
        <f>IFERROR(IF(DATA[[#This Row],[estado_fact]]="FACTURADO",VLOOKUP(DATA[[#This Row],[SERIE2]]&amp;"-"&amp;DATA[[#This Row],[NUMERO]],#REF!,34,0),"NO CORRESPONDE"),"NO CORRESPONDE")</f>
        <v>NO CORRESPONDE</v>
      </c>
      <c r="AS488" s="22" t="str">
        <f>IF(DATA[[#This Row],[fecha_fs]]&gt;0,TEXT(DATA[[#This Row],[fecha_fs]],"Mmmm"),0)</f>
        <v>Abril</v>
      </c>
      <c r="AT488" s="22" t="str">
        <f>DATA[[#This Row],[SERIE2]]&amp;"-"&amp;DATA[[#This Row],[NUMERO]]</f>
        <v>FF01-76</v>
      </c>
      <c r="AU488" s="28">
        <f>DATA[[#This Row],[TOTAL]]*DATA[[#This Row],[T.C.]]</f>
        <v>479.43</v>
      </c>
      <c r="AV488" s="6">
        <f>DATA[[#This Row],[FECHA DE VAL.]]</f>
        <v>45775</v>
      </c>
      <c r="AW488" s="6">
        <f>DATA[[#This Row],[FECHA DE EMISION]]</f>
        <v>45790</v>
      </c>
      <c r="AX488" s="6">
        <f>DATA[[#This Row],[F1]]</f>
        <v>0</v>
      </c>
      <c r="AY488" s="20">
        <f>IF(AV488-DATA[[#This Row],[fecha_fs]]&lt;0,0,AV488-DATA[[#This Row],[fecha_fs]])</f>
        <v>19</v>
      </c>
      <c r="AZ488" s="20">
        <f t="shared" si="51"/>
        <v>15</v>
      </c>
      <c r="BA488" s="20">
        <f t="shared" si="52"/>
        <v>0</v>
      </c>
      <c r="BB488" s="195">
        <f>IFERROR(SUM(DATA[[#This Row],[fs_val_ttf]:[fact_pago_ttf]]),0)</f>
        <v>34</v>
      </c>
      <c r="BC488" s="185">
        <v>45779</v>
      </c>
      <c r="BD488" s="185">
        <v>45789</v>
      </c>
      <c r="BE488" s="185">
        <v>45796</v>
      </c>
      <c r="BF488" s="185">
        <v>45832</v>
      </c>
      <c r="BG488" s="20">
        <f>IFERROR(IF(BC488-DATA[[#This Row],[fecha_fs]]&lt;0,0,BC488-DATA[[#This Row],[fecha_fs]]),0)</f>
        <v>23</v>
      </c>
      <c r="BH488" s="20">
        <f t="shared" si="53"/>
        <v>10</v>
      </c>
      <c r="BI488" s="20">
        <f t="shared" si="54"/>
        <v>7</v>
      </c>
      <c r="BJ488" s="20">
        <f t="shared" si="55"/>
        <v>36</v>
      </c>
      <c r="BK488" s="218">
        <f>IFERROR(SUM(DATA[[#This Row],[fs_fd_ttd]:[fend_fenf_ttd]]),0)</f>
        <v>76</v>
      </c>
      <c r="BL488" s="20" t="str">
        <f>IF(DATA[[#This Row],[fecha_fs]]&gt;0,TEXT(DATA[[#This Row],[fecha_fs]],"YYYY"),0)</f>
        <v>2025</v>
      </c>
      <c r="BM488" s="221" t="b">
        <v>1</v>
      </c>
      <c r="BN488" s="278">
        <f>COUNTIF(DATA[[#This Row],[tiempo_td]], "&lt;=15")</f>
        <v>0</v>
      </c>
      <c r="BO488" s="222"/>
    </row>
    <row r="489" spans="1:67" ht="30.6" customHeight="1" x14ac:dyDescent="0.25">
      <c r="A489" s="4">
        <v>20456012427</v>
      </c>
      <c r="B489" s="5" t="s">
        <v>54</v>
      </c>
      <c r="C489" s="52" t="s">
        <v>55</v>
      </c>
      <c r="D489" s="4" t="s">
        <v>112</v>
      </c>
      <c r="E489" s="5" t="s">
        <v>1</v>
      </c>
      <c r="F489" s="24">
        <v>45755</v>
      </c>
      <c r="G489" s="7" t="s">
        <v>113</v>
      </c>
      <c r="H489" s="25">
        <f t="shared" si="50"/>
        <v>1</v>
      </c>
      <c r="I489" s="67">
        <v>4355</v>
      </c>
      <c r="J489" s="8" t="s">
        <v>115</v>
      </c>
      <c r="K489" s="9" t="s">
        <v>116</v>
      </c>
      <c r="L489" s="10" t="s">
        <v>117</v>
      </c>
      <c r="M489" s="11">
        <v>170</v>
      </c>
      <c r="N489" s="12" t="s">
        <v>114</v>
      </c>
      <c r="O489" s="6">
        <v>45757</v>
      </c>
      <c r="P489" s="13">
        <v>3388</v>
      </c>
      <c r="Q489" s="14" t="s">
        <v>85</v>
      </c>
      <c r="R489" s="15">
        <f>DATA[[#This Row],[cantidad_fs]]*1</f>
        <v>170</v>
      </c>
      <c r="S489" s="15">
        <v>270</v>
      </c>
      <c r="T489" s="15">
        <f>DATA[[#This Row],[C. DF]]+DATA[[#This Row],[C.OPE.]]</f>
        <v>440</v>
      </c>
      <c r="U489" s="15">
        <f>DATA[[#This Row],[SUB TOTAL]]*0.18</f>
        <v>79.2</v>
      </c>
      <c r="V489" s="15">
        <f>IFERROR(ROUND(DATA[[#This Row],[SUB TOTAL]]+DATA[[#This Row],[IGV]],2),0)</f>
        <v>519.20000000000005</v>
      </c>
      <c r="W489" s="16" t="str">
        <f>IF(DATA[[#This Row],[VALORIZACIÓN ]]="-","NO CORRESPONDE",IF(OR(A489=20558226979,A489=10470707866,A489=20111157058,A489=20100226902),"NO CORRESPONDE",IF(J489="Emitida",IF(P489&gt;0,"EMITIDA","PENDIENTE"),"NO CORRESPONDE")))</f>
        <v>EMITIDA</v>
      </c>
      <c r="X489" s="29"/>
      <c r="Y489" s="17" t="s">
        <v>118</v>
      </c>
      <c r="Z489" s="30">
        <v>45768</v>
      </c>
      <c r="AA489" s="10" t="s">
        <v>150</v>
      </c>
      <c r="AB489" s="19">
        <v>42</v>
      </c>
      <c r="AC489" s="20">
        <v>15</v>
      </c>
      <c r="AD489" s="18">
        <f>DATA[[#This Row],[FECHA DE EMISION]]+DATA[[#This Row],[CONDICION DE PAGO]]</f>
        <v>45783</v>
      </c>
      <c r="AE489" s="23">
        <f>IF(DATA[[#This Row],[MONEDA]]="USD",VLOOKUP(DATA[[#This Row],[COMBINADA]],#REF!,11,0),1)</f>
        <v>1</v>
      </c>
      <c r="AF489" s="39" t="str">
        <f>IF(DATA[[#This Row],[SERIE2]]="-","NO CORRESPONDE",IF(W489="NO CORRESPONDE","NO CORRESPONDE",IF(Z489&gt;0,"FACTURADO","PENDIENTE")))</f>
        <v>FACTURADO</v>
      </c>
      <c r="AG489" s="27">
        <f>IFERROR(VLOOKUP(DATA[[#This Row],[COMBINADA]],#REF!,6,0),0)</f>
        <v>0</v>
      </c>
      <c r="AH489" s="125">
        <f>IFERROR(VLOOKUP(DATA[[#This Row],[COMBINADA]],#REF!,9,0),0)/COUNTIFS(DATA[COMBINADA],DATA[[#This Row],[COMBINADA]])</f>
        <v>0</v>
      </c>
      <c r="AI489" s="27">
        <f>IFERROR(VLOOKUP(DATA[[#This Row],[COMBINADA]],#REF!,6,0),0)</f>
        <v>0</v>
      </c>
      <c r="AJ489" s="125">
        <f>IFERROR(VLOOKUP(DATA[[#This Row],[COMBINADA]],#REF!,9,0),0)/COUNTIFS(DATA[COMBINADA],DATA[[#This Row],[COMBINADA]])</f>
        <v>0</v>
      </c>
      <c r="AK489" s="27">
        <f>IFERROR(VLOOKUP(DATA[[#This Row],[COMBINADA]],#REF!,6,0),0)</f>
        <v>0</v>
      </c>
      <c r="AL489" s="125">
        <f>IFERROR(VLOOKUP(DATA[[#This Row],[COMBINADA]],#REF!,9,0),0)/COUNTIFS(DATA[COMBINADA],DATA[[#This Row],[COMBINADA]])</f>
        <v>0</v>
      </c>
      <c r="AM489" s="27">
        <f>IFERROR(VLOOKUP(DATA[[#This Row],[COMBINADA]],#REF!,6,0),0)</f>
        <v>0</v>
      </c>
      <c r="AN489" s="125">
        <f>IFERROR(VLOOKUP(DATA[[#This Row],[COMBINADA]],#REF!,9,0),0)/COUNTIFS(DATA[COMBINADA],DATA[[#This Row],[COMBINADA]])</f>
        <v>0</v>
      </c>
      <c r="AO489" s="27">
        <f>IFERROR(VLOOKUP(DATA[[#This Row],[COMBINADA]],#REF!,6,0),0)</f>
        <v>0</v>
      </c>
      <c r="AP489" s="125">
        <f>IFERROR(VLOOKUP(DATA[[#This Row],[COMBINADA]],#REF!,9,0),0)/COUNTIFS(DATA[COMBINADA],DATA[[#This Row],[COMBINADA]])</f>
        <v>0</v>
      </c>
      <c r="AQ48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466.1</v>
      </c>
      <c r="AR489" s="26" t="str">
        <f>IFERROR(IF(DATA[[#This Row],[estado_fact]]="FACTURADO",VLOOKUP(DATA[[#This Row],[SERIE2]]&amp;"-"&amp;DATA[[#This Row],[NUMERO]],#REF!,34,0),"NO CORRESPONDE"),"NO CORRESPONDE")</f>
        <v>NO CORRESPONDE</v>
      </c>
      <c r="AS489" s="22" t="str">
        <f>IF(DATA[[#This Row],[fecha_fs]]&gt;0,TEXT(DATA[[#This Row],[fecha_fs]],"Mmmm"),0)</f>
        <v>Abril</v>
      </c>
      <c r="AT489" s="22" t="str">
        <f>DATA[[#This Row],[SERIE2]]&amp;"-"&amp;DATA[[#This Row],[NUMERO]]</f>
        <v>FF01-42</v>
      </c>
      <c r="AU489" s="28">
        <f>DATA[[#This Row],[TOTAL]]*DATA[[#This Row],[T.C.]]</f>
        <v>519.20000000000005</v>
      </c>
      <c r="AV489" s="6">
        <f>DATA[[#This Row],[FECHA DE VAL.]]</f>
        <v>45757</v>
      </c>
      <c r="AW489" s="6">
        <f>DATA[[#This Row],[FECHA DE EMISION]]</f>
        <v>45768</v>
      </c>
      <c r="AX489" s="6">
        <f>DATA[[#This Row],[F1]]</f>
        <v>0</v>
      </c>
      <c r="AY489" s="20">
        <f>IF(AV489-DATA[[#This Row],[fecha_fs]]&lt;0,0,AV489-DATA[[#This Row],[fecha_fs]])</f>
        <v>2</v>
      </c>
      <c r="AZ489" s="20">
        <f t="shared" si="51"/>
        <v>11</v>
      </c>
      <c r="BA489" s="20">
        <f t="shared" si="52"/>
        <v>0</v>
      </c>
      <c r="BB489" s="195">
        <f>IFERROR(SUM(DATA[[#This Row],[fs_val_ttf]:[fact_pago_ttf]]),0)</f>
        <v>13</v>
      </c>
      <c r="BC489" s="185">
        <v>45761</v>
      </c>
      <c r="BD489" s="185">
        <v>45777</v>
      </c>
      <c r="BE489" s="185">
        <v>45782</v>
      </c>
      <c r="BF489" s="185">
        <v>45784</v>
      </c>
      <c r="BG489" s="20">
        <f>IFERROR(IF(BC489-DATA[[#This Row],[fecha_fs]]&lt;0,0,BC489-DATA[[#This Row],[fecha_fs]]),0)</f>
        <v>6</v>
      </c>
      <c r="BH489" s="20">
        <f t="shared" si="53"/>
        <v>16</v>
      </c>
      <c r="BI489" s="20">
        <f t="shared" si="54"/>
        <v>5</v>
      </c>
      <c r="BJ489" s="20">
        <f t="shared" si="55"/>
        <v>2</v>
      </c>
      <c r="BK489" s="218">
        <f>IFERROR(SUM(DATA[[#This Row],[fs_fd_ttd]:[fend_fenf_ttd]]),0)</f>
        <v>29</v>
      </c>
      <c r="BL489" s="20" t="str">
        <f>IF(DATA[[#This Row],[fecha_fs]]&gt;0,TEXT(DATA[[#This Row],[fecha_fs]],"YYYY"),0)</f>
        <v>2025</v>
      </c>
      <c r="BM489" s="221" t="b">
        <v>1</v>
      </c>
      <c r="BN489" s="278">
        <f>COUNTIF(DATA[[#This Row],[tiempo_td]], "&lt;=15")</f>
        <v>0</v>
      </c>
      <c r="BO489" s="222"/>
    </row>
    <row r="490" spans="1:67" ht="30" customHeight="1" x14ac:dyDescent="0.25">
      <c r="A490" s="4"/>
      <c r="B490" s="5" t="s">
        <v>0</v>
      </c>
      <c r="C490" s="52"/>
      <c r="D490" s="4"/>
      <c r="E490" s="5" t="s">
        <v>0</v>
      </c>
      <c r="F490" s="24">
        <v>45756</v>
      </c>
      <c r="G490" s="7" t="s">
        <v>113</v>
      </c>
      <c r="H490" s="25">
        <f t="shared" si="50"/>
        <v>1</v>
      </c>
      <c r="I490" s="67">
        <v>4356</v>
      </c>
      <c r="J490" s="8" t="s">
        <v>173</v>
      </c>
      <c r="K490" s="9"/>
      <c r="L490" s="10"/>
      <c r="M490" s="111"/>
      <c r="N490" s="112"/>
      <c r="O490" s="6"/>
      <c r="P490" s="13" t="s">
        <v>114</v>
      </c>
      <c r="Q490" s="14"/>
      <c r="R490" s="43"/>
      <c r="S490" s="43"/>
      <c r="T490" s="15">
        <f>DATA[[#This Row],[C. DF]]+DATA[[#This Row],[C.OPE.]]</f>
        <v>0</v>
      </c>
      <c r="U490" s="73">
        <f>DATA[[#This Row],[SUB TOTAL]]*0.18</f>
        <v>0</v>
      </c>
      <c r="V490" s="45">
        <f>IFERROR(ROUND(DATA[[#This Row],[SUB TOTAL]]+DATA[[#This Row],[IGV]],2),0)</f>
        <v>0</v>
      </c>
      <c r="W490" s="16" t="str">
        <f>IF(DATA[[#This Row],[VALORIZACIÓN ]]="-","NO CORRESPONDE",IF(OR(A490=20558226979,A490=10470707866,A490=20111157058,A490=20100226902),"NO CORRESPONDE",IF(J490="Emitida",IF(P490&gt;0,"EMITIDA","PENDIENTE"),"NO CORRESPONDE")))</f>
        <v>NO CORRESPONDE</v>
      </c>
      <c r="X490" s="46"/>
      <c r="Y490" s="17" t="s">
        <v>128</v>
      </c>
      <c r="Z490" s="48"/>
      <c r="AA490" s="49"/>
      <c r="AB490" s="50"/>
      <c r="AC490" s="51"/>
      <c r="AD490" s="59">
        <f>DATA[[#This Row],[FECHA DE EMISION]]+DATA[[#This Row],[CONDICION DE PAGO]]</f>
        <v>0</v>
      </c>
      <c r="AE490" s="23">
        <f>IF(DATA[[#This Row],[MONEDA]]="USD",VLOOKUP(DATA[[#This Row],[COMBINADA]],#REF!,11,0),1)</f>
        <v>1</v>
      </c>
      <c r="AF490" s="39" t="str">
        <f>IF(DATA[[#This Row],[SERIE2]]="-","NO CORRESPONDE",IF(W490="NO CORRESPONDE","NO CORRESPONDE",IF(Z490&gt;0,"FACTURADO","PENDIENTE")))</f>
        <v>NO CORRESPONDE</v>
      </c>
      <c r="AG490" s="61">
        <f>IFERROR(VLOOKUP(DATA[[#This Row],[COMBINADA]],#REF!,6,0),0)</f>
        <v>0</v>
      </c>
      <c r="AH490" s="62">
        <f>IFERROR(VLOOKUP(DATA[[#This Row],[COMBINADA]],#REF!,9,0),0)/COUNTIFS(DATA[COMBINADA],DATA[[#This Row],[COMBINADA]])</f>
        <v>0</v>
      </c>
      <c r="AI490" s="61">
        <f>IFERROR(VLOOKUP(DATA[[#This Row],[COMBINADA]],#REF!,6,0),0)</f>
        <v>0</v>
      </c>
      <c r="AJ490" s="62">
        <f>IFERROR(VLOOKUP(DATA[[#This Row],[COMBINADA]],#REF!,9,0),0)/COUNTIFS(DATA[COMBINADA],DATA[[#This Row],[COMBINADA]])</f>
        <v>0</v>
      </c>
      <c r="AK490" s="61">
        <f>IFERROR(VLOOKUP(DATA[[#This Row],[COMBINADA]],#REF!,6,0),0)</f>
        <v>0</v>
      </c>
      <c r="AL490" s="62">
        <f>IFERROR(VLOOKUP(DATA[[#This Row],[COMBINADA]],#REF!,9,0),0)/COUNTIFS(DATA[COMBINADA],DATA[[#This Row],[COMBINADA]])</f>
        <v>0</v>
      </c>
      <c r="AM490" s="61">
        <f>IFERROR(VLOOKUP(DATA[[#This Row],[COMBINADA]],#REF!,6,0),0)</f>
        <v>0</v>
      </c>
      <c r="AN490" s="62">
        <f>IFERROR(VLOOKUP(DATA[[#This Row],[COMBINADA]],#REF!,9,0),0)/COUNTIFS(DATA[COMBINADA],DATA[[#This Row],[COMBINADA]])</f>
        <v>0</v>
      </c>
      <c r="AO490" s="61">
        <f>IFERROR(VLOOKUP(DATA[[#This Row],[COMBINADA]],#REF!,6,0),0)</f>
        <v>0</v>
      </c>
      <c r="AP490" s="62">
        <f>IFERROR(VLOOKUP(DATA[[#This Row],[COMBINADA]],#REF!,9,0),0)/COUNTIFS(DATA[COMBINADA],DATA[[#This Row],[COMBINADA]])</f>
        <v>0</v>
      </c>
      <c r="AQ490"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490" s="22" t="str">
        <f>IFERROR(IF(DATA[[#This Row],[estado_fact]]="FACTURADO",VLOOKUP(DATA[[#This Row],[SERIE2]]&amp;"-"&amp;DATA[[#This Row],[NUMERO]],#REF!,34,0),"NO CORRESPONDE"),"NO CORRESPONDE")</f>
        <v>NO CORRESPONDE</v>
      </c>
      <c r="AS490" s="198" t="str">
        <f>IF(DATA[[#This Row],[fecha_fs]]&gt;0,TEXT(DATA[[#This Row],[fecha_fs]],"Mmmm"),0)</f>
        <v>Abril</v>
      </c>
      <c r="AT490" s="199" t="str">
        <f>DATA[[#This Row],[SERIE2]]&amp;"-"&amp;DATA[[#This Row],[NUMERO]]</f>
        <v>-</v>
      </c>
      <c r="AU490" s="198">
        <f>DATA[[#This Row],[TOTAL]]*DATA[[#This Row],[T.C.]]</f>
        <v>0</v>
      </c>
      <c r="AV490" s="40">
        <f>DATA[[#This Row],[FECHA DE VAL.]]</f>
        <v>0</v>
      </c>
      <c r="AW490" s="40">
        <f>DATA[[#This Row],[FECHA DE EMISION]]</f>
        <v>0</v>
      </c>
      <c r="AX490" s="40">
        <f>DATA[[#This Row],[F1]]</f>
        <v>0</v>
      </c>
      <c r="AY490" s="49">
        <f>IF(AV490-DATA[[#This Row],[fecha_fs]]&lt;0,0,AV490-DATA[[#This Row],[fecha_fs]])</f>
        <v>0</v>
      </c>
      <c r="AZ490" s="49">
        <f t="shared" si="51"/>
        <v>0</v>
      </c>
      <c r="BA490" s="49">
        <f t="shared" si="52"/>
        <v>0</v>
      </c>
      <c r="BB490" s="195">
        <f>IFERROR(SUM(DATA[[#This Row],[fs_val_ttf]:[fact_pago_ttf]]),0)</f>
        <v>0</v>
      </c>
      <c r="BC490" s="200"/>
      <c r="BD490" s="200"/>
      <c r="BE490" s="200"/>
      <c r="BF490" s="200"/>
      <c r="BG490" s="49">
        <f>IFERROR(IF(BC490-DATA[[#This Row],[fecha_fs]]&lt;0,0,BC490-DATA[[#This Row],[fecha_fs]]),0)</f>
        <v>0</v>
      </c>
      <c r="BH490" s="49">
        <f t="shared" si="53"/>
        <v>0</v>
      </c>
      <c r="BI490" s="49">
        <f t="shared" si="54"/>
        <v>0</v>
      </c>
      <c r="BJ490" s="49">
        <f t="shared" si="55"/>
        <v>0</v>
      </c>
      <c r="BK490" s="218">
        <f>IFERROR(SUM(DATA[[#This Row],[fs_fd_ttd]:[fend_fenf_ttd]]),0)</f>
        <v>0</v>
      </c>
      <c r="BL490" s="20" t="str">
        <f>IF(DATA[[#This Row],[fecha_fs]]&gt;0,TEXT(DATA[[#This Row],[fecha_fs]],"YYYY"),0)</f>
        <v>2025</v>
      </c>
      <c r="BM490" s="221" t="b">
        <v>0</v>
      </c>
      <c r="BN490" s="278"/>
      <c r="BO490" s="222"/>
    </row>
    <row r="491" spans="1:67" ht="30.6" customHeight="1" x14ac:dyDescent="0.25">
      <c r="A491" s="4">
        <v>20419158462</v>
      </c>
      <c r="B491" s="5" t="s">
        <v>2</v>
      </c>
      <c r="C491" s="52" t="s">
        <v>199</v>
      </c>
      <c r="D491" s="4" t="s">
        <v>120</v>
      </c>
      <c r="E491" s="5" t="s">
        <v>3</v>
      </c>
      <c r="F491" s="24">
        <v>45757</v>
      </c>
      <c r="G491" s="7" t="s">
        <v>113</v>
      </c>
      <c r="H491" s="25">
        <f t="shared" si="50"/>
        <v>1</v>
      </c>
      <c r="I491" s="67">
        <v>4357</v>
      </c>
      <c r="J491" s="8" t="s">
        <v>115</v>
      </c>
      <c r="K491" s="9" t="s">
        <v>156</v>
      </c>
      <c r="L491" s="10" t="s">
        <v>117</v>
      </c>
      <c r="M491" s="11">
        <v>530</v>
      </c>
      <c r="N491" s="12" t="s">
        <v>125</v>
      </c>
      <c r="O491" s="6">
        <v>45770</v>
      </c>
      <c r="P491" s="83">
        <v>3398</v>
      </c>
      <c r="Q491" s="14" t="s">
        <v>85</v>
      </c>
      <c r="R491" s="74"/>
      <c r="S491" s="15">
        <f>1429.7/2</f>
        <v>714.85</v>
      </c>
      <c r="T491" s="15">
        <f>DATA[[#This Row],[C. DF]]+DATA[[#This Row],[C.OPE.]]</f>
        <v>714.85</v>
      </c>
      <c r="U491" s="15">
        <f>DATA[[#This Row],[SUB TOTAL]]*0.18</f>
        <v>128.673</v>
      </c>
      <c r="V491" s="15">
        <f>IFERROR(ROUND(DATA[[#This Row],[SUB TOTAL]]+DATA[[#This Row],[IGV]],2),0)</f>
        <v>843.52</v>
      </c>
      <c r="W491" s="16" t="str">
        <f>IF(DATA[[#This Row],[VALORIZACIÓN ]]="-","NO CORRESPONDE",IF(OR(A491=20558226979,A491=10470707866,A491=20111157058,A491=20100226902),"NO CORRESPONDE",IF(J491="Emitida",IF(P491&gt;0,"EMITIDA","PENDIENTE"),"NO CORRESPONDE")))</f>
        <v>EMITIDA</v>
      </c>
      <c r="X491" s="29"/>
      <c r="Y491" s="17" t="s">
        <v>118</v>
      </c>
      <c r="Z491" s="30">
        <v>45790</v>
      </c>
      <c r="AA491" s="10" t="s">
        <v>150</v>
      </c>
      <c r="AB491" s="19">
        <v>74</v>
      </c>
      <c r="AC491" s="20">
        <v>30</v>
      </c>
      <c r="AD491" s="18">
        <f>DATA[[#This Row],[FECHA DE EMISION]]+DATA[[#This Row],[CONDICION DE PAGO]]</f>
        <v>45820</v>
      </c>
      <c r="AE491" s="23">
        <f>IF(DATA[[#This Row],[MONEDA]]="USD",VLOOKUP(DATA[[#This Row],[COMBINADA]],#REF!,11,0),1)</f>
        <v>1</v>
      </c>
      <c r="AF491" s="39" t="str">
        <f>IF(DATA[[#This Row],[SERIE2]]="-","NO CORRESPONDE",IF(W491="NO CORRESPONDE","NO CORRESPONDE",IF(Z491&gt;0,"FACTURADO","PENDIENTE")))</f>
        <v>FACTURADO</v>
      </c>
      <c r="AG491" s="27">
        <f>IFERROR(VLOOKUP(DATA[[#This Row],[COMBINADA]],#REF!,6,0),0)</f>
        <v>0</v>
      </c>
      <c r="AH491" s="125">
        <f>IFERROR(VLOOKUP(DATA[[#This Row],[COMBINADA]],#REF!,9,0),0)/COUNTIFS(DATA[COMBINADA],DATA[[#This Row],[COMBINADA]])</f>
        <v>0</v>
      </c>
      <c r="AI491" s="27">
        <f>IFERROR(VLOOKUP(DATA[[#This Row],[COMBINADA]],#REF!,6,0),0)</f>
        <v>0</v>
      </c>
      <c r="AJ491" s="125">
        <f>IFERROR(VLOOKUP(DATA[[#This Row],[COMBINADA]],#REF!,9,0),0)/COUNTIFS(DATA[COMBINADA],DATA[[#This Row],[COMBINADA]])</f>
        <v>0</v>
      </c>
      <c r="AK491" s="27">
        <f>IFERROR(VLOOKUP(DATA[[#This Row],[COMBINADA]],#REF!,6,0),0)</f>
        <v>0</v>
      </c>
      <c r="AL491" s="125">
        <f>IFERROR(VLOOKUP(DATA[[#This Row],[COMBINADA]],#REF!,9,0),0)/COUNTIFS(DATA[COMBINADA],DATA[[#This Row],[COMBINADA]])</f>
        <v>0</v>
      </c>
      <c r="AM491" s="27">
        <f>IFERROR(VLOOKUP(DATA[[#This Row],[COMBINADA]],#REF!,6,0),0)</f>
        <v>0</v>
      </c>
      <c r="AN491" s="125">
        <f>IFERROR(VLOOKUP(DATA[[#This Row],[COMBINADA]],#REF!,9,0),0)/COUNTIFS(DATA[COMBINADA],DATA[[#This Row],[COMBINADA]])</f>
        <v>0</v>
      </c>
      <c r="AO491" s="27">
        <f>IFERROR(VLOOKUP(DATA[[#This Row],[COMBINADA]],#REF!,6,0),0)</f>
        <v>0</v>
      </c>
      <c r="AP491" s="125">
        <f>IFERROR(VLOOKUP(DATA[[#This Row],[COMBINADA]],#REF!,9,0),0)/COUNTIFS(DATA[COMBINADA],DATA[[#This Row],[COMBINADA]])</f>
        <v>0</v>
      </c>
      <c r="AQ49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491" s="26" t="str">
        <f>IFERROR(IF(DATA[[#This Row],[estado_fact]]="FACTURADO",VLOOKUP(DATA[[#This Row],[SERIE2]]&amp;"-"&amp;DATA[[#This Row],[NUMERO]],#REF!,34,0),"NO CORRESPONDE"),"NO CORRESPONDE")</f>
        <v>NO CORRESPONDE</v>
      </c>
      <c r="AS491" s="22" t="str">
        <f>IF(DATA[[#This Row],[fecha_fs]]&gt;0,TEXT(DATA[[#This Row],[fecha_fs]],"Mmmm"),0)</f>
        <v>Abril</v>
      </c>
      <c r="AT491" s="22" t="str">
        <f>DATA[[#This Row],[SERIE2]]&amp;"-"&amp;DATA[[#This Row],[NUMERO]]</f>
        <v>FF01-74</v>
      </c>
      <c r="AU491" s="28">
        <f>DATA[[#This Row],[TOTAL]]*DATA[[#This Row],[T.C.]]</f>
        <v>843.52</v>
      </c>
      <c r="AV491" s="6">
        <f>DATA[[#This Row],[FECHA DE VAL.]]</f>
        <v>45770</v>
      </c>
      <c r="AW491" s="6">
        <f>DATA[[#This Row],[FECHA DE EMISION]]</f>
        <v>45790</v>
      </c>
      <c r="AX491" s="6">
        <f>DATA[[#This Row],[F1]]</f>
        <v>0</v>
      </c>
      <c r="AY491" s="20">
        <f>IF(AV491-DATA[[#This Row],[fecha_fs]]&lt;0,0,AV491-DATA[[#This Row],[fecha_fs]])</f>
        <v>13</v>
      </c>
      <c r="AZ491" s="20">
        <f t="shared" si="51"/>
        <v>20</v>
      </c>
      <c r="BA491" s="20">
        <f t="shared" si="52"/>
        <v>0</v>
      </c>
      <c r="BB491" s="195">
        <f>IFERROR(SUM(DATA[[#This Row],[fs_val_ttf]:[fact_pago_ttf]]),0)</f>
        <v>33</v>
      </c>
      <c r="BC491" s="187">
        <v>45757</v>
      </c>
      <c r="BD491" s="187">
        <v>45757</v>
      </c>
      <c r="BE491" s="187">
        <v>45783</v>
      </c>
      <c r="BF491" s="187">
        <v>45783</v>
      </c>
      <c r="BG491" s="20">
        <f>IFERROR(IF(BC491-DATA[[#This Row],[fecha_fs]]&lt;0,0,BC491-DATA[[#This Row],[fecha_fs]]),0)</f>
        <v>0</v>
      </c>
      <c r="BH491" s="20">
        <f t="shared" si="53"/>
        <v>0</v>
      </c>
      <c r="BI491" s="20">
        <f t="shared" si="54"/>
        <v>26</v>
      </c>
      <c r="BJ491" s="20">
        <f t="shared" si="55"/>
        <v>0</v>
      </c>
      <c r="BK491" s="218">
        <f>IFERROR(SUM(DATA[[#This Row],[fs_fd_ttd]:[fend_fenf_ttd]]),0)</f>
        <v>26</v>
      </c>
      <c r="BL491" s="20" t="str">
        <f>IF(DATA[[#This Row],[fecha_fs]]&gt;0,TEXT(DATA[[#This Row],[fecha_fs]],"YYYY"),0)</f>
        <v>2025</v>
      </c>
      <c r="BM491" s="221" t="b">
        <v>1</v>
      </c>
      <c r="BN491" s="278">
        <f>COUNTIF(DATA[[#This Row],[tiempo_td]], "&lt;=15")</f>
        <v>0</v>
      </c>
      <c r="BO491" s="222"/>
    </row>
    <row r="492" spans="1:67" ht="30.6" customHeight="1" x14ac:dyDescent="0.25">
      <c r="A492" s="4">
        <v>20100192064</v>
      </c>
      <c r="B492" s="5" t="s">
        <v>60</v>
      </c>
      <c r="C492" s="52" t="s">
        <v>65</v>
      </c>
      <c r="D492" s="4" t="s">
        <v>120</v>
      </c>
      <c r="E492" s="5" t="s">
        <v>3</v>
      </c>
      <c r="F492" s="24">
        <v>45757</v>
      </c>
      <c r="G492" s="7" t="s">
        <v>142</v>
      </c>
      <c r="H492" s="25">
        <f t="shared" si="50"/>
        <v>2</v>
      </c>
      <c r="I492" s="67">
        <v>1073</v>
      </c>
      <c r="J492" s="8" t="s">
        <v>115</v>
      </c>
      <c r="K492" s="9" t="s">
        <v>121</v>
      </c>
      <c r="L492" s="10" t="s">
        <v>117</v>
      </c>
      <c r="M492" s="11">
        <v>560</v>
      </c>
      <c r="N492" s="12" t="s">
        <v>238</v>
      </c>
      <c r="O492" s="6">
        <v>45772</v>
      </c>
      <c r="P492" s="71">
        <v>3412</v>
      </c>
      <c r="Q492" s="14" t="s">
        <v>123</v>
      </c>
      <c r="R492" s="15">
        <f>(DATA[[#This Row],[cantidad_fs]]/1000)*(37+81.01)</f>
        <v>66.085600000000014</v>
      </c>
      <c r="S492" s="15">
        <v>103.6</v>
      </c>
      <c r="T492" s="15">
        <f>DATA[[#This Row],[C. DF]]+DATA[[#This Row],[C.OPE.]]</f>
        <v>169.68560000000002</v>
      </c>
      <c r="U492" s="15">
        <f>DATA[[#This Row],[SUB TOTAL]]*0.18</f>
        <v>30.543408000000003</v>
      </c>
      <c r="V492" s="15">
        <f>IFERROR(ROUND(DATA[[#This Row],[SUB TOTAL]]+DATA[[#This Row],[IGV]],2),0)</f>
        <v>200.23</v>
      </c>
      <c r="W492" s="16" t="str">
        <f>IF(DATA[[#This Row],[VALORIZACIÓN ]]="-","NO CORRESPONDE",IF(OR(A492=20558226979,A492=10470707866,A492=20111157058,A492=20100226902),"NO CORRESPONDE",IF(J492="Emitida",IF(P492&gt;0,"EMITIDA","PENDIENTE"),"NO CORRESPONDE")))</f>
        <v>EMITIDA</v>
      </c>
      <c r="X492" s="29"/>
      <c r="Y492" s="17" t="s">
        <v>118</v>
      </c>
      <c r="Z492" s="30">
        <v>45777</v>
      </c>
      <c r="AA492" s="10" t="s">
        <v>150</v>
      </c>
      <c r="AB492" s="19">
        <v>59</v>
      </c>
      <c r="AC492" s="20">
        <v>30</v>
      </c>
      <c r="AD492" s="18">
        <f>DATA[[#This Row],[FECHA DE EMISION]]+DATA[[#This Row],[CONDICION DE PAGO]]</f>
        <v>45807</v>
      </c>
      <c r="AE492" s="23" t="e">
        <f>IF(DATA[[#This Row],[MONEDA]]="USD",VLOOKUP(DATA[[#This Row],[COMBINADA]],#REF!,11,0),1)</f>
        <v>#REF!</v>
      </c>
      <c r="AF492" s="39" t="str">
        <f>IF(DATA[[#This Row],[SERIE2]]="-","NO CORRESPONDE",IF(W492="NO CORRESPONDE","NO CORRESPONDE",IF(Z492&gt;0,"FACTURADO","PENDIENTE")))</f>
        <v>FACTURADO</v>
      </c>
      <c r="AG492" s="27">
        <f>IFERROR(VLOOKUP(DATA[[#This Row],[COMBINADA]],#REF!,6,0),0)</f>
        <v>0</v>
      </c>
      <c r="AH492" s="125">
        <f>IFERROR(VLOOKUP(DATA[[#This Row],[COMBINADA]],#REF!,9,0),0)/COUNTIFS(DATA[COMBINADA],DATA[[#This Row],[COMBINADA]])</f>
        <v>0</v>
      </c>
      <c r="AI492" s="27">
        <f>IFERROR(VLOOKUP(DATA[[#This Row],[COMBINADA]],#REF!,6,0),0)</f>
        <v>0</v>
      </c>
      <c r="AJ492" s="125">
        <f>IFERROR(VLOOKUP(DATA[[#This Row],[COMBINADA]],#REF!,9,0),0)/COUNTIFS(DATA[COMBINADA],DATA[[#This Row],[COMBINADA]])</f>
        <v>0</v>
      </c>
      <c r="AK492" s="27">
        <f>IFERROR(VLOOKUP(DATA[[#This Row],[COMBINADA]],#REF!,6,0),0)</f>
        <v>0</v>
      </c>
      <c r="AL492" s="125">
        <f>IFERROR(VLOOKUP(DATA[[#This Row],[COMBINADA]],#REF!,9,0),0)/COUNTIFS(DATA[COMBINADA],DATA[[#This Row],[COMBINADA]])</f>
        <v>0</v>
      </c>
      <c r="AM492" s="27">
        <f>IFERROR(VLOOKUP(DATA[[#This Row],[COMBINADA]],#REF!,6,0),0)</f>
        <v>0</v>
      </c>
      <c r="AN492" s="125">
        <f>IFERROR(VLOOKUP(DATA[[#This Row],[COMBINADA]],#REF!,9,0),0)/COUNTIFS(DATA[COMBINADA],DATA[[#This Row],[COMBINADA]])</f>
        <v>0</v>
      </c>
      <c r="AO492" s="27">
        <f>IFERROR(VLOOKUP(DATA[[#This Row],[COMBINADA]],#REF!,6,0),0)</f>
        <v>0</v>
      </c>
      <c r="AP492" s="125">
        <f>IFERROR(VLOOKUP(DATA[[#This Row],[COMBINADA]],#REF!,9,0),0)/COUNTIFS(DATA[COMBINADA],DATA[[#This Row],[COMBINADA]])</f>
        <v>0</v>
      </c>
      <c r="AQ49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538.72300000000007</v>
      </c>
      <c r="AR492" s="26" t="str">
        <f>IFERROR(IF(DATA[[#This Row],[estado_fact]]="FACTURADO",VLOOKUP(DATA[[#This Row],[SERIE2]]&amp;"-"&amp;DATA[[#This Row],[NUMERO]],#REF!,34,0),"NO CORRESPONDE"),"NO CORRESPONDE")</f>
        <v>NO CORRESPONDE</v>
      </c>
      <c r="AS492" s="22" t="str">
        <f>IF(DATA[[#This Row],[fecha_fs]]&gt;0,TEXT(DATA[[#This Row],[fecha_fs]],"Mmmm"),0)</f>
        <v>Abril</v>
      </c>
      <c r="AT492" s="22" t="str">
        <f>DATA[[#This Row],[SERIE2]]&amp;"-"&amp;DATA[[#This Row],[NUMERO]]</f>
        <v>FF01-59</v>
      </c>
      <c r="AU492" s="28" t="e">
        <f>DATA[[#This Row],[TOTAL]]*DATA[[#This Row],[T.C.]]</f>
        <v>#REF!</v>
      </c>
      <c r="AV492" s="6">
        <f>DATA[[#This Row],[FECHA DE VAL.]]</f>
        <v>45772</v>
      </c>
      <c r="AW492" s="6">
        <f>DATA[[#This Row],[FECHA DE EMISION]]</f>
        <v>45777</v>
      </c>
      <c r="AX492" s="6">
        <f>DATA[[#This Row],[F1]]</f>
        <v>0</v>
      </c>
      <c r="AY492" s="20">
        <f>IF(AV492-DATA[[#This Row],[fecha_fs]]&lt;0,0,AV492-DATA[[#This Row],[fecha_fs]])</f>
        <v>15</v>
      </c>
      <c r="AZ492" s="20">
        <f t="shared" si="51"/>
        <v>5</v>
      </c>
      <c r="BA492" s="20">
        <f t="shared" si="52"/>
        <v>0</v>
      </c>
      <c r="BB492" s="195">
        <f>IFERROR(SUM(DATA[[#This Row],[fs_val_ttf]:[fact_pago_ttf]]),0)</f>
        <v>20</v>
      </c>
      <c r="BC492" s="185">
        <v>45768</v>
      </c>
      <c r="BD492" s="185">
        <v>45777</v>
      </c>
      <c r="BE492" s="185">
        <v>45786</v>
      </c>
      <c r="BF492" s="185">
        <v>45797</v>
      </c>
      <c r="BG492" s="20">
        <f>IFERROR(IF(BC492-DATA[[#This Row],[fecha_fs]]&lt;0,0,BC492-DATA[[#This Row],[fecha_fs]]),0)</f>
        <v>11</v>
      </c>
      <c r="BH492" s="20">
        <f t="shared" si="53"/>
        <v>9</v>
      </c>
      <c r="BI492" s="20">
        <f t="shared" si="54"/>
        <v>9</v>
      </c>
      <c r="BJ492" s="20">
        <f t="shared" si="55"/>
        <v>11</v>
      </c>
      <c r="BK492" s="218">
        <f>IFERROR(SUM(DATA[[#This Row],[fs_fd_ttd]:[fend_fenf_ttd]]),0)</f>
        <v>40</v>
      </c>
      <c r="BL492" s="20" t="str">
        <f>IF(DATA[[#This Row],[fecha_fs]]&gt;0,TEXT(DATA[[#This Row],[fecha_fs]],"YYYY"),0)</f>
        <v>2025</v>
      </c>
      <c r="BM492" s="221" t="b">
        <v>1</v>
      </c>
      <c r="BN492" s="278">
        <f>COUNTIF(DATA[[#This Row],[tiempo_td]], "&lt;=15")</f>
        <v>0</v>
      </c>
      <c r="BO492" s="222"/>
    </row>
    <row r="493" spans="1:67" ht="30.6" customHeight="1" x14ac:dyDescent="0.25">
      <c r="A493" s="4">
        <v>20100055237</v>
      </c>
      <c r="B493" s="5" t="s">
        <v>21</v>
      </c>
      <c r="C493" s="52" t="s">
        <v>138</v>
      </c>
      <c r="D493" s="4" t="s">
        <v>139</v>
      </c>
      <c r="E493" s="5" t="s">
        <v>23</v>
      </c>
      <c r="F493" s="24">
        <v>45757</v>
      </c>
      <c r="G493" s="7" t="s">
        <v>113</v>
      </c>
      <c r="H493" s="25">
        <f t="shared" si="50"/>
        <v>1</v>
      </c>
      <c r="I493" s="67">
        <v>4358</v>
      </c>
      <c r="J493" s="8" t="s">
        <v>115</v>
      </c>
      <c r="K493" s="9" t="s">
        <v>121</v>
      </c>
      <c r="L493" s="10" t="s">
        <v>117</v>
      </c>
      <c r="M493" s="11">
        <v>40</v>
      </c>
      <c r="N493" s="12" t="s">
        <v>125</v>
      </c>
      <c r="O493" s="6">
        <v>45776</v>
      </c>
      <c r="P493" s="54">
        <v>3423</v>
      </c>
      <c r="Q493" s="14" t="s">
        <v>85</v>
      </c>
      <c r="R493" s="74"/>
      <c r="S493" s="15">
        <v>297.92</v>
      </c>
      <c r="T493" s="15">
        <f>DATA[[#This Row],[C. DF]]+DATA[[#This Row],[C.OPE.]]</f>
        <v>297.92</v>
      </c>
      <c r="U493" s="15">
        <f>DATA[[#This Row],[SUB TOTAL]]*0.18</f>
        <v>53.625599999999999</v>
      </c>
      <c r="V493" s="15">
        <f>IFERROR(ROUND(DATA[[#This Row],[SUB TOTAL]]+DATA[[#This Row],[IGV]],2),0)</f>
        <v>351.55</v>
      </c>
      <c r="W493" s="16" t="str">
        <f>IF(DATA[[#This Row],[VALORIZACIÓN ]]="-","NO CORRESPONDE",IF(OR(A493=20558226979,A493=10470707866,A493=20111157058,A493=20100226902),"NO CORRESPONDE",IF(J493="Emitida",IF(P493&gt;0,"EMITIDA","PENDIENTE"),"NO CORRESPONDE")))</f>
        <v>EMITIDA</v>
      </c>
      <c r="X493" s="29"/>
      <c r="Y493" s="17" t="s">
        <v>118</v>
      </c>
      <c r="Z493" s="30">
        <v>45812</v>
      </c>
      <c r="AA493" s="10" t="s">
        <v>150</v>
      </c>
      <c r="AB493" s="19">
        <v>104</v>
      </c>
      <c r="AC493" s="20">
        <v>30</v>
      </c>
      <c r="AD493" s="18">
        <f>DATA[[#This Row],[FECHA DE EMISION]]+DATA[[#This Row],[CONDICION DE PAGO]]</f>
        <v>45842</v>
      </c>
      <c r="AE493" s="23">
        <f>IF(DATA[[#This Row],[MONEDA]]="USD",VLOOKUP(DATA[[#This Row],[COMBINADA]],#REF!,11,0),1)</f>
        <v>1</v>
      </c>
      <c r="AF493" s="39" t="str">
        <f>IF(DATA[[#This Row],[SERIE2]]="-","NO CORRESPONDE",IF(W493="NO CORRESPONDE","NO CORRESPONDE",IF(Z493&gt;0,"FACTURADO","PENDIENTE")))</f>
        <v>FACTURADO</v>
      </c>
      <c r="AG493" s="27">
        <f>IFERROR(VLOOKUP(DATA[[#This Row],[COMBINADA]],#REF!,6,0),0)</f>
        <v>0</v>
      </c>
      <c r="AH493" s="125">
        <f>IFERROR(VLOOKUP(DATA[[#This Row],[COMBINADA]],#REF!,9,0),0)/COUNTIFS(DATA[COMBINADA],DATA[[#This Row],[COMBINADA]])</f>
        <v>0</v>
      </c>
      <c r="AI493" s="27">
        <f>IFERROR(VLOOKUP(DATA[[#This Row],[COMBINADA]],#REF!,6,0),0)</f>
        <v>0</v>
      </c>
      <c r="AJ493" s="125">
        <f>IFERROR(VLOOKUP(DATA[[#This Row],[COMBINADA]],#REF!,9,0),0)/COUNTIFS(DATA[COMBINADA],DATA[[#This Row],[COMBINADA]])</f>
        <v>0</v>
      </c>
      <c r="AK493" s="27">
        <f>IFERROR(VLOOKUP(DATA[[#This Row],[COMBINADA]],#REF!,6,0),0)</f>
        <v>0</v>
      </c>
      <c r="AL493" s="125">
        <f>IFERROR(VLOOKUP(DATA[[#This Row],[COMBINADA]],#REF!,9,0),0)/COUNTIFS(DATA[COMBINADA],DATA[[#This Row],[COMBINADA]])</f>
        <v>0</v>
      </c>
      <c r="AM493" s="27">
        <f>IFERROR(VLOOKUP(DATA[[#This Row],[COMBINADA]],#REF!,6,0),0)</f>
        <v>0</v>
      </c>
      <c r="AN493" s="125">
        <f>IFERROR(VLOOKUP(DATA[[#This Row],[COMBINADA]],#REF!,9,0),0)/COUNTIFS(DATA[COMBINADA],DATA[[#This Row],[COMBINADA]])</f>
        <v>0</v>
      </c>
      <c r="AO493" s="27">
        <f>IFERROR(VLOOKUP(DATA[[#This Row],[COMBINADA]],#REF!,6,0),0)</f>
        <v>0</v>
      </c>
      <c r="AP493" s="125">
        <f>IFERROR(VLOOKUP(DATA[[#This Row],[COMBINADA]],#REF!,9,0),0)/COUNTIFS(DATA[COMBINADA],DATA[[#This Row],[COMBINADA]])</f>
        <v>0</v>
      </c>
      <c r="AQ49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493" s="26" t="str">
        <f>IFERROR(IF(DATA[[#This Row],[estado_fact]]="FACTURADO",VLOOKUP(DATA[[#This Row],[SERIE2]]&amp;"-"&amp;DATA[[#This Row],[NUMERO]],#REF!,34,0),"NO CORRESPONDE"),"NO CORRESPONDE")</f>
        <v>NO CORRESPONDE</v>
      </c>
      <c r="AS493" s="22" t="str">
        <f>IF(DATA[[#This Row],[fecha_fs]]&gt;0,TEXT(DATA[[#This Row],[fecha_fs]],"Mmmm"),0)</f>
        <v>Abril</v>
      </c>
      <c r="AT493" s="22" t="str">
        <f>DATA[[#This Row],[SERIE2]]&amp;"-"&amp;DATA[[#This Row],[NUMERO]]</f>
        <v>FF01-104</v>
      </c>
      <c r="AU493" s="28">
        <f>DATA[[#This Row],[TOTAL]]*DATA[[#This Row],[T.C.]]</f>
        <v>351.55</v>
      </c>
      <c r="AV493" s="6">
        <f>DATA[[#This Row],[FECHA DE VAL.]]</f>
        <v>45776</v>
      </c>
      <c r="AW493" s="6">
        <f>DATA[[#This Row],[FECHA DE EMISION]]</f>
        <v>45812</v>
      </c>
      <c r="AX493" s="6">
        <f>DATA[[#This Row],[F1]]</f>
        <v>0</v>
      </c>
      <c r="AY493" s="20">
        <f>IF(AV493-DATA[[#This Row],[fecha_fs]]&lt;0,0,AV493-DATA[[#This Row],[fecha_fs]])</f>
        <v>19</v>
      </c>
      <c r="AZ493" s="20">
        <f t="shared" si="51"/>
        <v>36</v>
      </c>
      <c r="BA493" s="20">
        <f t="shared" si="52"/>
        <v>0</v>
      </c>
      <c r="BB493" s="195">
        <f>IFERROR(SUM(DATA[[#This Row],[fs_val_ttf]:[fact_pago_ttf]]),0)</f>
        <v>55</v>
      </c>
      <c r="BC493" s="184">
        <v>45757</v>
      </c>
      <c r="BD493" s="184">
        <v>45757</v>
      </c>
      <c r="BE493" s="184">
        <v>45782</v>
      </c>
      <c r="BF493" s="184">
        <v>45782</v>
      </c>
      <c r="BG493" s="20">
        <f>IFERROR(IF(BC493-DATA[[#This Row],[fecha_fs]]&lt;0,0,BC493-DATA[[#This Row],[fecha_fs]]),0)</f>
        <v>0</v>
      </c>
      <c r="BH493" s="20">
        <f t="shared" si="53"/>
        <v>0</v>
      </c>
      <c r="BI493" s="20">
        <f t="shared" si="54"/>
        <v>25</v>
      </c>
      <c r="BJ493" s="20">
        <f t="shared" si="55"/>
        <v>0</v>
      </c>
      <c r="BK493" s="218">
        <f>IFERROR(SUM(DATA[[#This Row],[fs_fd_ttd]:[fend_fenf_ttd]]),0)</f>
        <v>25</v>
      </c>
      <c r="BL493" s="20" t="str">
        <f>IF(DATA[[#This Row],[fecha_fs]]&gt;0,TEXT(DATA[[#This Row],[fecha_fs]],"YYYY"),0)</f>
        <v>2025</v>
      </c>
      <c r="BM493" s="221" t="b">
        <v>1</v>
      </c>
      <c r="BN493" s="278">
        <f>COUNTIF(DATA[[#This Row],[tiempo_td]], "&lt;=15")</f>
        <v>0</v>
      </c>
      <c r="BO493" s="222"/>
    </row>
    <row r="494" spans="1:67" ht="30.6" customHeight="1" x14ac:dyDescent="0.25">
      <c r="A494" s="4">
        <v>20419158462</v>
      </c>
      <c r="B494" s="5" t="s">
        <v>2</v>
      </c>
      <c r="C494" s="52" t="s">
        <v>201</v>
      </c>
      <c r="D494" s="4" t="s">
        <v>120</v>
      </c>
      <c r="E494" s="5" t="s">
        <v>3</v>
      </c>
      <c r="F494" s="24">
        <v>45757</v>
      </c>
      <c r="G494" s="7" t="s">
        <v>113</v>
      </c>
      <c r="H494" s="25">
        <f t="shared" si="50"/>
        <v>1</v>
      </c>
      <c r="I494" s="67">
        <v>4359</v>
      </c>
      <c r="J494" s="8" t="s">
        <v>115</v>
      </c>
      <c r="K494" s="9" t="s">
        <v>156</v>
      </c>
      <c r="L494" s="10" t="s">
        <v>117</v>
      </c>
      <c r="M494" s="11">
        <v>560</v>
      </c>
      <c r="N494" s="12" t="s">
        <v>125</v>
      </c>
      <c r="O494" s="6">
        <v>45770</v>
      </c>
      <c r="P494" s="83">
        <v>3398</v>
      </c>
      <c r="Q494" s="14" t="s">
        <v>85</v>
      </c>
      <c r="R494" s="74"/>
      <c r="S494" s="15">
        <f>1429.7/2</f>
        <v>714.85</v>
      </c>
      <c r="T494" s="15">
        <f>DATA[[#This Row],[C. DF]]+DATA[[#This Row],[C.OPE.]]</f>
        <v>714.85</v>
      </c>
      <c r="U494" s="15">
        <f>DATA[[#This Row],[SUB TOTAL]]*0.18</f>
        <v>128.673</v>
      </c>
      <c r="V494" s="15">
        <f>IFERROR(ROUND(DATA[[#This Row],[SUB TOTAL]]+DATA[[#This Row],[IGV]],2),0)</f>
        <v>843.52</v>
      </c>
      <c r="W494" s="16" t="str">
        <f>IF(DATA[[#This Row],[VALORIZACIÓN ]]="-","NO CORRESPONDE",IF(OR(A494=20558226979,A494=10470707866,A494=20111157058,A494=20100226902),"NO CORRESPONDE",IF(J494="Emitida",IF(P494&gt;0,"EMITIDA","PENDIENTE"),"NO CORRESPONDE")))</f>
        <v>EMITIDA</v>
      </c>
      <c r="X494" s="29"/>
      <c r="Y494" s="17" t="s">
        <v>118</v>
      </c>
      <c r="Z494" s="30">
        <v>45790</v>
      </c>
      <c r="AA494" s="10" t="s">
        <v>150</v>
      </c>
      <c r="AB494" s="19">
        <v>74</v>
      </c>
      <c r="AC494" s="20">
        <v>30</v>
      </c>
      <c r="AD494" s="18">
        <f>DATA[[#This Row],[FECHA DE EMISION]]+DATA[[#This Row],[CONDICION DE PAGO]]</f>
        <v>45820</v>
      </c>
      <c r="AE494" s="23">
        <f>IF(DATA[[#This Row],[MONEDA]]="USD",VLOOKUP(DATA[[#This Row],[COMBINADA]],#REF!,11,0),1)</f>
        <v>1</v>
      </c>
      <c r="AF494" s="39" t="str">
        <f>IF(DATA[[#This Row],[SERIE2]]="-","NO CORRESPONDE",IF(W494="NO CORRESPONDE","NO CORRESPONDE",IF(Z494&gt;0,"FACTURADO","PENDIENTE")))</f>
        <v>FACTURADO</v>
      </c>
      <c r="AG494" s="27">
        <f>IFERROR(VLOOKUP(DATA[[#This Row],[COMBINADA]],#REF!,6,0),0)</f>
        <v>0</v>
      </c>
      <c r="AH494" s="125">
        <f>IFERROR(VLOOKUP(DATA[[#This Row],[COMBINADA]],#REF!,9,0),0)/COUNTIFS(DATA[COMBINADA],DATA[[#This Row],[COMBINADA]])</f>
        <v>0</v>
      </c>
      <c r="AI494" s="27">
        <f>IFERROR(VLOOKUP(DATA[[#This Row],[COMBINADA]],#REF!,6,0),0)</f>
        <v>0</v>
      </c>
      <c r="AJ494" s="125">
        <f>IFERROR(VLOOKUP(DATA[[#This Row],[COMBINADA]],#REF!,9,0),0)/COUNTIFS(DATA[COMBINADA],DATA[[#This Row],[COMBINADA]])</f>
        <v>0</v>
      </c>
      <c r="AK494" s="27">
        <f>IFERROR(VLOOKUP(DATA[[#This Row],[COMBINADA]],#REF!,6,0),0)</f>
        <v>0</v>
      </c>
      <c r="AL494" s="125">
        <f>IFERROR(VLOOKUP(DATA[[#This Row],[COMBINADA]],#REF!,9,0),0)/COUNTIFS(DATA[COMBINADA],DATA[[#This Row],[COMBINADA]])</f>
        <v>0</v>
      </c>
      <c r="AM494" s="27">
        <f>IFERROR(VLOOKUP(DATA[[#This Row],[COMBINADA]],#REF!,6,0),0)</f>
        <v>0</v>
      </c>
      <c r="AN494" s="125">
        <f>IFERROR(VLOOKUP(DATA[[#This Row],[COMBINADA]],#REF!,9,0),0)/COUNTIFS(DATA[COMBINADA],DATA[[#This Row],[COMBINADA]])</f>
        <v>0</v>
      </c>
      <c r="AO494" s="27">
        <f>IFERROR(VLOOKUP(DATA[[#This Row],[COMBINADA]],#REF!,6,0),0)</f>
        <v>0</v>
      </c>
      <c r="AP494" s="125">
        <f>IFERROR(VLOOKUP(DATA[[#This Row],[COMBINADA]],#REF!,9,0),0)/COUNTIFS(DATA[COMBINADA],DATA[[#This Row],[COMBINADA]])</f>
        <v>0</v>
      </c>
      <c r="AQ49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494" s="26" t="str">
        <f>IFERROR(IF(DATA[[#This Row],[estado_fact]]="FACTURADO",VLOOKUP(DATA[[#This Row],[SERIE2]]&amp;"-"&amp;DATA[[#This Row],[NUMERO]],#REF!,34,0),"NO CORRESPONDE"),"NO CORRESPONDE")</f>
        <v>NO CORRESPONDE</v>
      </c>
      <c r="AS494" s="22" t="str">
        <f>IF(DATA[[#This Row],[fecha_fs]]&gt;0,TEXT(DATA[[#This Row],[fecha_fs]],"Mmmm"),0)</f>
        <v>Abril</v>
      </c>
      <c r="AT494" s="22" t="str">
        <f>DATA[[#This Row],[SERIE2]]&amp;"-"&amp;DATA[[#This Row],[NUMERO]]</f>
        <v>FF01-74</v>
      </c>
      <c r="AU494" s="28">
        <f>DATA[[#This Row],[TOTAL]]*DATA[[#This Row],[T.C.]]</f>
        <v>843.52</v>
      </c>
      <c r="AV494" s="6">
        <f>DATA[[#This Row],[FECHA DE VAL.]]</f>
        <v>45770</v>
      </c>
      <c r="AW494" s="6">
        <f>DATA[[#This Row],[FECHA DE EMISION]]</f>
        <v>45790</v>
      </c>
      <c r="AX494" s="6">
        <f>DATA[[#This Row],[F1]]</f>
        <v>0</v>
      </c>
      <c r="AY494" s="20">
        <f>IF(AV494-DATA[[#This Row],[fecha_fs]]&lt;0,0,AV494-DATA[[#This Row],[fecha_fs]])</f>
        <v>13</v>
      </c>
      <c r="AZ494" s="20">
        <f t="shared" si="51"/>
        <v>20</v>
      </c>
      <c r="BA494" s="20">
        <f t="shared" si="52"/>
        <v>0</v>
      </c>
      <c r="BB494" s="195">
        <f>IFERROR(SUM(DATA[[#This Row],[fs_val_ttf]:[fact_pago_ttf]]),0)</f>
        <v>33</v>
      </c>
      <c r="BC494" s="185">
        <v>45757</v>
      </c>
      <c r="BD494" s="185">
        <v>45757</v>
      </c>
      <c r="BE494" s="185">
        <v>45783</v>
      </c>
      <c r="BF494" s="185">
        <v>45783</v>
      </c>
      <c r="BG494" s="20">
        <f>IFERROR(IF(BC494-DATA[[#This Row],[fecha_fs]]&lt;0,0,BC494-DATA[[#This Row],[fecha_fs]]),0)</f>
        <v>0</v>
      </c>
      <c r="BH494" s="20">
        <f t="shared" si="53"/>
        <v>0</v>
      </c>
      <c r="BI494" s="20">
        <f t="shared" si="54"/>
        <v>26</v>
      </c>
      <c r="BJ494" s="20">
        <f t="shared" si="55"/>
        <v>0</v>
      </c>
      <c r="BK494" s="218">
        <f>IFERROR(SUM(DATA[[#This Row],[fs_fd_ttd]:[fend_fenf_ttd]]),0)</f>
        <v>26</v>
      </c>
      <c r="BL494" s="20" t="str">
        <f>IF(DATA[[#This Row],[fecha_fs]]&gt;0,TEXT(DATA[[#This Row],[fecha_fs]],"YYYY"),0)</f>
        <v>2025</v>
      </c>
      <c r="BM494" s="221" t="b">
        <v>1</v>
      </c>
      <c r="BN494" s="278">
        <f>COUNTIF(DATA[[#This Row],[tiempo_td]], "&lt;=15")</f>
        <v>0</v>
      </c>
      <c r="BO494" s="222"/>
    </row>
    <row r="495" spans="1:67" ht="30.6" customHeight="1" x14ac:dyDescent="0.25">
      <c r="A495" s="4">
        <v>20100226902</v>
      </c>
      <c r="B495" s="5" t="s">
        <v>24</v>
      </c>
      <c r="C495" s="52" t="s">
        <v>18</v>
      </c>
      <c r="D495" s="4" t="s">
        <v>120</v>
      </c>
      <c r="E495" s="5" t="s">
        <v>3</v>
      </c>
      <c r="F495" s="24">
        <v>45758</v>
      </c>
      <c r="G495" s="7" t="s">
        <v>113</v>
      </c>
      <c r="H495" s="25">
        <f t="shared" si="50"/>
        <v>1</v>
      </c>
      <c r="I495" s="67">
        <v>4360</v>
      </c>
      <c r="J495" s="8" t="s">
        <v>115</v>
      </c>
      <c r="K495" s="9" t="s">
        <v>121</v>
      </c>
      <c r="L495" s="10" t="s">
        <v>117</v>
      </c>
      <c r="M495" s="11">
        <v>510</v>
      </c>
      <c r="N495" s="12" t="s">
        <v>127</v>
      </c>
      <c r="O495" s="40"/>
      <c r="P495" s="41" t="s">
        <v>114</v>
      </c>
      <c r="Q495" s="42"/>
      <c r="R495" s="43"/>
      <c r="S495" s="43"/>
      <c r="T495" s="43">
        <f>DATA[[#This Row],[C. DF]]+DATA[[#This Row],[C.OPE.]]</f>
        <v>0</v>
      </c>
      <c r="U495" s="43">
        <f>DATA[[#This Row],[SUB TOTAL]]*0.18</f>
        <v>0</v>
      </c>
      <c r="V495" s="43">
        <f>IFERROR(ROUND(DATA[[#This Row],[SUB TOTAL]]+DATA[[#This Row],[IGV]],2),0)</f>
        <v>0</v>
      </c>
      <c r="W495" s="58" t="str">
        <f>IF(DATA[[#This Row],[VALORIZACIÓN ]]="-","NO CORRESPONDE",IF(OR(A495=20558226979,A495=10470707866,A495=20111157058,A495=20100226902),"NO CORRESPONDE",IF(J495="Emitida",IF(P495&gt;0,"EMITIDA","PENDIENTE"),"NO CORRESPONDE")))</f>
        <v>NO CORRESPONDE</v>
      </c>
      <c r="X495" s="45"/>
      <c r="Y495" s="58" t="s">
        <v>128</v>
      </c>
      <c r="Z495" s="46"/>
      <c r="AA495" s="47"/>
      <c r="AB495" s="48"/>
      <c r="AC495" s="49"/>
      <c r="AD495" s="50">
        <f>DATA[[#This Row],[FECHA DE EMISION]]+DATA[[#This Row],[CONDICION DE PAGO]]</f>
        <v>0</v>
      </c>
      <c r="AE495" s="23">
        <f>IF(DATA[[#This Row],[MONEDA]]="USD",VLOOKUP(DATA[[#This Row],[COMBINADA]],#REF!,11,0),1)</f>
        <v>1</v>
      </c>
      <c r="AF495" s="39" t="str">
        <f>IF(DATA[[#This Row],[SERIE2]]="-","NO CORRESPONDE",IF(W495="NO CORRESPONDE","NO CORRESPONDE",IF(Z495&gt;0,"FACTURADO","PENDIENTE")))</f>
        <v>NO CORRESPONDE</v>
      </c>
      <c r="AG495" s="60">
        <f>IFERROR(VLOOKUP(DATA[[#This Row],[COMBINADA]],#REF!,6,0),0)</f>
        <v>0</v>
      </c>
      <c r="AH495" s="126">
        <f>IFERROR(VLOOKUP(DATA[[#This Row],[COMBINADA]],#REF!,9,0),0)/COUNTIFS(DATA[COMBINADA],DATA[[#This Row],[COMBINADA]])</f>
        <v>0</v>
      </c>
      <c r="AI495" s="60">
        <f>IFERROR(VLOOKUP(DATA[[#This Row],[COMBINADA]],#REF!,6,0),0)</f>
        <v>0</v>
      </c>
      <c r="AJ495" s="126">
        <f>IFERROR(VLOOKUP(DATA[[#This Row],[COMBINADA]],#REF!,9,0),0)/COUNTIFS(DATA[COMBINADA],DATA[[#This Row],[COMBINADA]])</f>
        <v>0</v>
      </c>
      <c r="AK495" s="60">
        <f>IFERROR(VLOOKUP(DATA[[#This Row],[COMBINADA]],#REF!,6,0),0)</f>
        <v>0</v>
      </c>
      <c r="AL495" s="126">
        <f>IFERROR(VLOOKUP(DATA[[#This Row],[COMBINADA]],#REF!,9,0),0)/COUNTIFS(DATA[COMBINADA],DATA[[#This Row],[COMBINADA]])</f>
        <v>0</v>
      </c>
      <c r="AM495" s="60">
        <f>IFERROR(VLOOKUP(DATA[[#This Row],[COMBINADA]],#REF!,6,0),0)</f>
        <v>0</v>
      </c>
      <c r="AN495" s="126">
        <f>IFERROR(VLOOKUP(DATA[[#This Row],[COMBINADA]],#REF!,9,0),0)/COUNTIFS(DATA[COMBINADA],DATA[[#This Row],[COMBINADA]])</f>
        <v>0</v>
      </c>
      <c r="AO495" s="60">
        <f>IFERROR(VLOOKUP(DATA[[#This Row],[COMBINADA]],#REF!,6,0),0)</f>
        <v>0</v>
      </c>
      <c r="AP495" s="126">
        <f>IFERROR(VLOOKUP(DATA[[#This Row],[COMBINADA]],#REF!,9,0),0)/COUNTIFS(DATA[COMBINADA],DATA[[#This Row],[COMBINADA]])</f>
        <v>0</v>
      </c>
      <c r="AQ495"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495" s="22" t="str">
        <f>IFERROR(IF(DATA[[#This Row],[estado_fact]]="FACTURADO",VLOOKUP(DATA[[#This Row],[SERIE2]]&amp;"-"&amp;DATA[[#This Row],[NUMERO]],#REF!,34,0),"NO CORRESPONDE"),"NO CORRESPONDE")</f>
        <v>NO CORRESPONDE</v>
      </c>
      <c r="AS495" s="22" t="str">
        <f>IF(DATA[[#This Row],[fecha_fs]]&gt;0,TEXT(DATA[[#This Row],[fecha_fs]],"Mmmm"),0)</f>
        <v>Abril</v>
      </c>
      <c r="AT495" s="22" t="str">
        <f>DATA[[#This Row],[SERIE2]]&amp;"-"&amp;DATA[[#This Row],[NUMERO]]</f>
        <v>-</v>
      </c>
      <c r="AU495" s="28">
        <f>DATA[[#This Row],[TOTAL]]*DATA[[#This Row],[T.C.]]</f>
        <v>0</v>
      </c>
      <c r="AV495" s="6">
        <f>DATA[[#This Row],[FECHA DE VAL.]]</f>
        <v>0</v>
      </c>
      <c r="AW495" s="6">
        <f>DATA[[#This Row],[FECHA DE EMISION]]</f>
        <v>0</v>
      </c>
      <c r="AX495" s="6">
        <f>DATA[[#This Row],[F1]]</f>
        <v>0</v>
      </c>
      <c r="AY495" s="20">
        <f>IF(AV495-DATA[[#This Row],[fecha_fs]]&lt;0,0,AV495-DATA[[#This Row],[fecha_fs]])</f>
        <v>0</v>
      </c>
      <c r="AZ495" s="20">
        <f t="shared" si="51"/>
        <v>0</v>
      </c>
      <c r="BA495" s="20">
        <f t="shared" si="52"/>
        <v>0</v>
      </c>
      <c r="BB495" s="195">
        <f>IFERROR(SUM(DATA[[#This Row],[fs_val_ttf]:[fact_pago_ttf]]),0)</f>
        <v>0</v>
      </c>
      <c r="BC495" s="185">
        <v>45758</v>
      </c>
      <c r="BD495" s="185">
        <v>45758</v>
      </c>
      <c r="BE495" s="185">
        <v>45783</v>
      </c>
      <c r="BF495" s="185">
        <v>45783</v>
      </c>
      <c r="BG495" s="20">
        <f>IFERROR(IF(BC495-DATA[[#This Row],[fecha_fs]]&lt;0,0,BC495-DATA[[#This Row],[fecha_fs]]),0)</f>
        <v>0</v>
      </c>
      <c r="BH495" s="20">
        <f t="shared" si="53"/>
        <v>0</v>
      </c>
      <c r="BI495" s="20">
        <f t="shared" si="54"/>
        <v>25</v>
      </c>
      <c r="BJ495" s="20">
        <f t="shared" si="55"/>
        <v>0</v>
      </c>
      <c r="BK495" s="218">
        <f>IFERROR(SUM(DATA[[#This Row],[fs_fd_ttd]:[fend_fenf_ttd]]),0)</f>
        <v>25</v>
      </c>
      <c r="BL495" s="20" t="str">
        <f>IF(DATA[[#This Row],[fecha_fs]]&gt;0,TEXT(DATA[[#This Row],[fecha_fs]],"YYYY"),0)</f>
        <v>2025</v>
      </c>
      <c r="BM495" s="221" t="b">
        <v>1</v>
      </c>
      <c r="BN495" s="278">
        <f>COUNTIF(DATA[[#This Row],[tiempo_td]], "&lt;=15")</f>
        <v>0</v>
      </c>
      <c r="BO495" s="222"/>
    </row>
    <row r="496" spans="1:67" ht="30.6" customHeight="1" x14ac:dyDescent="0.25">
      <c r="A496" s="4">
        <v>20601852927</v>
      </c>
      <c r="B496" s="5" t="s">
        <v>285</v>
      </c>
      <c r="C496" s="52" t="s">
        <v>111</v>
      </c>
      <c r="D496" s="4" t="s">
        <v>112</v>
      </c>
      <c r="E496" s="5" t="s">
        <v>1</v>
      </c>
      <c r="F496" s="24">
        <v>45757</v>
      </c>
      <c r="G496" s="7" t="s">
        <v>113</v>
      </c>
      <c r="H496" s="25">
        <f t="shared" si="50"/>
        <v>1</v>
      </c>
      <c r="I496" s="67">
        <v>4361</v>
      </c>
      <c r="J496" s="8" t="s">
        <v>115</v>
      </c>
      <c r="K496" s="9" t="s">
        <v>116</v>
      </c>
      <c r="L496" s="10" t="s">
        <v>117</v>
      </c>
      <c r="M496" s="11">
        <v>370</v>
      </c>
      <c r="N496" s="12" t="s">
        <v>132</v>
      </c>
      <c r="O496" s="6">
        <v>45757</v>
      </c>
      <c r="P496" s="13">
        <v>3386</v>
      </c>
      <c r="Q496" s="14" t="s">
        <v>85</v>
      </c>
      <c r="R496" s="56">
        <v>450</v>
      </c>
      <c r="S496" s="56">
        <v>4842.7700000000004</v>
      </c>
      <c r="T496" s="15">
        <f>DATA[[#This Row],[C. DF]]+DATA[[#This Row],[C.OPE.]]</f>
        <v>5292.77</v>
      </c>
      <c r="U496" s="15">
        <f>DATA[[#This Row],[SUB TOTAL]]*0.18</f>
        <v>952.69860000000006</v>
      </c>
      <c r="V496" s="15">
        <f>IFERROR(ROUND(DATA[[#This Row],[SUB TOTAL]]+DATA[[#This Row],[IGV]],2),0)</f>
        <v>6245.47</v>
      </c>
      <c r="W496" s="16" t="str">
        <f>IF(DATA[[#This Row],[VALORIZACIÓN ]]="-","NO CORRESPONDE",IF(OR(A496=20558226979,A496=10470707866,A496=20111157058,A496=20100226902),"NO CORRESPONDE",IF(J496="Emitida",IF(P496&gt;0,"EMITIDA","PENDIENTE"),"NO CORRESPONDE")))</f>
        <v>EMITIDA</v>
      </c>
      <c r="X496" s="29"/>
      <c r="Y496" s="17" t="s">
        <v>118</v>
      </c>
      <c r="Z496" s="30">
        <v>45772</v>
      </c>
      <c r="AA496" s="10" t="s">
        <v>150</v>
      </c>
      <c r="AB496" s="19">
        <v>52</v>
      </c>
      <c r="AC496" s="20">
        <v>0</v>
      </c>
      <c r="AD496" s="18">
        <f>DATA[[#This Row],[FECHA DE EMISION]]+DATA[[#This Row],[CONDICION DE PAGO]]</f>
        <v>45772</v>
      </c>
      <c r="AE496" s="23">
        <f>IF(DATA[[#This Row],[MONEDA]]="USD",VLOOKUP(DATA[[#This Row],[COMBINADA]],#REF!,11,0),1)</f>
        <v>1</v>
      </c>
      <c r="AF496" s="39" t="str">
        <f>IF(DATA[[#This Row],[SERIE2]]="-","NO CORRESPONDE",IF(W496="NO CORRESPONDE","NO CORRESPONDE",IF(Z496&gt;0,"FACTURADO","PENDIENTE")))</f>
        <v>FACTURADO</v>
      </c>
      <c r="AG496" s="27">
        <f>IFERROR(VLOOKUP(DATA[[#This Row],[COMBINADA]],#REF!,6,0),0)</f>
        <v>0</v>
      </c>
      <c r="AH496" s="125">
        <f>IFERROR(VLOOKUP(DATA[[#This Row],[COMBINADA]],#REF!,9,0),0)/COUNTIFS(DATA[COMBINADA],DATA[[#This Row],[COMBINADA]])</f>
        <v>0</v>
      </c>
      <c r="AI496" s="27">
        <f>IFERROR(VLOOKUP(DATA[[#This Row],[COMBINADA]],#REF!,6,0),0)</f>
        <v>0</v>
      </c>
      <c r="AJ496" s="125">
        <f>IFERROR(VLOOKUP(DATA[[#This Row],[COMBINADA]],#REF!,9,0),0)/COUNTIFS(DATA[COMBINADA],DATA[[#This Row],[COMBINADA]])</f>
        <v>0</v>
      </c>
      <c r="AK496" s="27">
        <f>IFERROR(VLOOKUP(DATA[[#This Row],[COMBINADA]],#REF!,6,0),0)</f>
        <v>0</v>
      </c>
      <c r="AL496" s="125">
        <f>IFERROR(VLOOKUP(DATA[[#This Row],[COMBINADA]],#REF!,9,0),0)/COUNTIFS(DATA[COMBINADA],DATA[[#This Row],[COMBINADA]])</f>
        <v>0</v>
      </c>
      <c r="AM496" s="27">
        <f>IFERROR(VLOOKUP(DATA[[#This Row],[COMBINADA]],#REF!,6,0),0)</f>
        <v>0</v>
      </c>
      <c r="AN496" s="125">
        <f>IFERROR(VLOOKUP(DATA[[#This Row],[COMBINADA]],#REF!,9,0),0)/COUNTIFS(DATA[COMBINADA],DATA[[#This Row],[COMBINADA]])</f>
        <v>0</v>
      </c>
      <c r="AO496" s="27">
        <f>IFERROR(VLOOKUP(DATA[[#This Row],[COMBINADA]],#REF!,6,0),0)</f>
        <v>0</v>
      </c>
      <c r="AP496" s="125">
        <f>IFERROR(VLOOKUP(DATA[[#This Row],[COMBINADA]],#REF!,9,0),0)/COUNTIFS(DATA[COMBINADA],DATA[[#This Row],[COMBINADA]])</f>
        <v>0</v>
      </c>
      <c r="AQ49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6245.47</v>
      </c>
      <c r="AR496" s="26" t="str">
        <f>IFERROR(IF(DATA[[#This Row],[estado_fact]]="FACTURADO",VLOOKUP(DATA[[#This Row],[SERIE2]]&amp;"-"&amp;DATA[[#This Row],[NUMERO]],#REF!,34,0),"NO CORRESPONDE"),"NO CORRESPONDE")</f>
        <v>NO CORRESPONDE</v>
      </c>
      <c r="AS496" s="22" t="str">
        <f>IF(DATA[[#This Row],[fecha_fs]]&gt;0,TEXT(DATA[[#This Row],[fecha_fs]],"Mmmm"),0)</f>
        <v>Abril</v>
      </c>
      <c r="AT496" s="22" t="str">
        <f>DATA[[#This Row],[SERIE2]]&amp;"-"&amp;DATA[[#This Row],[NUMERO]]</f>
        <v>FF01-52</v>
      </c>
      <c r="AU496" s="28">
        <f>DATA[[#This Row],[TOTAL]]*DATA[[#This Row],[T.C.]]</f>
        <v>6245.47</v>
      </c>
      <c r="AV496" s="6">
        <f>DATA[[#This Row],[FECHA DE VAL.]]</f>
        <v>45757</v>
      </c>
      <c r="AW496" s="6">
        <f>DATA[[#This Row],[FECHA DE EMISION]]</f>
        <v>45772</v>
      </c>
      <c r="AX496" s="6">
        <f>DATA[[#This Row],[F1]]</f>
        <v>0</v>
      </c>
      <c r="AY496" s="20">
        <f>IF(AV496-DATA[[#This Row],[fecha_fs]]&lt;0,0,AV496-DATA[[#This Row],[fecha_fs]])</f>
        <v>0</v>
      </c>
      <c r="AZ496" s="20">
        <f t="shared" si="51"/>
        <v>15</v>
      </c>
      <c r="BA496" s="20">
        <f t="shared" si="52"/>
        <v>0</v>
      </c>
      <c r="BB496" s="195">
        <f>IFERROR(SUM(DATA[[#This Row],[fs_val_ttf]:[fact_pago_ttf]]),0)</f>
        <v>15</v>
      </c>
      <c r="BC496" s="185">
        <v>45771</v>
      </c>
      <c r="BD496" s="185">
        <v>45772</v>
      </c>
      <c r="BE496" s="185">
        <v>45791</v>
      </c>
      <c r="BF496" s="185">
        <v>45791</v>
      </c>
      <c r="BG496" s="20">
        <f>IFERROR(IF(BC496-DATA[[#This Row],[fecha_fs]]&lt;0,0,BC496-DATA[[#This Row],[fecha_fs]]),0)</f>
        <v>14</v>
      </c>
      <c r="BH496" s="20">
        <f t="shared" si="53"/>
        <v>1</v>
      </c>
      <c r="BI496" s="20">
        <f t="shared" si="54"/>
        <v>19</v>
      </c>
      <c r="BJ496" s="20">
        <f t="shared" si="55"/>
        <v>0</v>
      </c>
      <c r="BK496" s="218">
        <f>IFERROR(SUM(DATA[[#This Row],[fs_fd_ttd]:[fend_fenf_ttd]]),0)</f>
        <v>34</v>
      </c>
      <c r="BL496" s="20" t="str">
        <f>IF(DATA[[#This Row],[fecha_fs]]&gt;0,TEXT(DATA[[#This Row],[fecha_fs]],"YYYY"),0)</f>
        <v>2025</v>
      </c>
      <c r="BM496" s="221" t="b">
        <v>1</v>
      </c>
      <c r="BN496" s="278">
        <f>COUNTIF(DATA[[#This Row],[tiempo_td]], "&lt;=15")</f>
        <v>0</v>
      </c>
      <c r="BO496" s="222"/>
    </row>
    <row r="497" spans="1:67" ht="30.6" customHeight="1" x14ac:dyDescent="0.25">
      <c r="A497" s="4">
        <v>20141637941</v>
      </c>
      <c r="B497" s="5" t="s">
        <v>79</v>
      </c>
      <c r="C497" s="52" t="s">
        <v>18</v>
      </c>
      <c r="D497" s="4" t="s">
        <v>120</v>
      </c>
      <c r="E497" s="5" t="s">
        <v>3</v>
      </c>
      <c r="F497" s="24">
        <v>45758</v>
      </c>
      <c r="G497" s="7" t="s">
        <v>113</v>
      </c>
      <c r="H497" s="25">
        <f t="shared" si="50"/>
        <v>1</v>
      </c>
      <c r="I497" s="67">
        <v>4362</v>
      </c>
      <c r="J497" s="8" t="s">
        <v>115</v>
      </c>
      <c r="K497" s="9" t="s">
        <v>121</v>
      </c>
      <c r="L497" s="10" t="s">
        <v>117</v>
      </c>
      <c r="M497" s="11">
        <v>1400</v>
      </c>
      <c r="N497" s="12" t="s">
        <v>125</v>
      </c>
      <c r="O497" s="6">
        <v>45758</v>
      </c>
      <c r="P497" s="110">
        <v>3392</v>
      </c>
      <c r="Q497" s="14" t="s">
        <v>85</v>
      </c>
      <c r="R497" s="15">
        <f>70+(DATA[[#This Row],[cantidad_fs]]-1000)*0.1</f>
        <v>110</v>
      </c>
      <c r="S497" s="15">
        <v>517</v>
      </c>
      <c r="T497" s="15">
        <f>DATA[[#This Row],[C. DF]]+DATA[[#This Row],[C.OPE.]]</f>
        <v>627</v>
      </c>
      <c r="U497" s="15">
        <f>DATA[[#This Row],[SUB TOTAL]]*0.18</f>
        <v>112.86</v>
      </c>
      <c r="V497" s="15">
        <f>IFERROR(ROUND(DATA[[#This Row],[SUB TOTAL]]+DATA[[#This Row],[IGV]],2),0)</f>
        <v>739.86</v>
      </c>
      <c r="W497" s="16" t="str">
        <f>IF(DATA[[#This Row],[VALORIZACIÓN ]]="-","NO CORRESPONDE",IF(OR(A497=20558226979,A497=10470707866,A497=20111157058,A497=20100226902),"NO CORRESPONDE",IF(J497="Emitida",IF(P497&gt;0,"EMITIDA","PENDIENTE"),"NO CORRESPONDE")))</f>
        <v>EMITIDA</v>
      </c>
      <c r="X497" s="29"/>
      <c r="Y497" s="17" t="s">
        <v>118</v>
      </c>
      <c r="Z497" s="30">
        <v>45763</v>
      </c>
      <c r="AA497" s="10" t="s">
        <v>150</v>
      </c>
      <c r="AB497" s="19">
        <v>40</v>
      </c>
      <c r="AC497" s="20">
        <v>30</v>
      </c>
      <c r="AD497" s="18">
        <f>DATA[[#This Row],[FECHA DE EMISION]]+DATA[[#This Row],[CONDICION DE PAGO]]</f>
        <v>45793</v>
      </c>
      <c r="AE497" s="23">
        <f>IF(DATA[[#This Row],[MONEDA]]="USD",VLOOKUP(DATA[[#This Row],[COMBINADA]],#REF!,11,0),1)</f>
        <v>1</v>
      </c>
      <c r="AF497" s="39" t="str">
        <f>IF(DATA[[#This Row],[SERIE2]]="-","NO CORRESPONDE",IF(W497="NO CORRESPONDE","NO CORRESPONDE",IF(Z497&gt;0,"FACTURADO","PENDIENTE")))</f>
        <v>FACTURADO</v>
      </c>
      <c r="AG497" s="27">
        <f>IFERROR(VLOOKUP(DATA[[#This Row],[COMBINADA]],#REF!,6,0),0)</f>
        <v>0</v>
      </c>
      <c r="AH497" s="125">
        <f>IFERROR(VLOOKUP(DATA[[#This Row],[COMBINADA]],#REF!,9,0),0)/COUNTIFS(DATA[COMBINADA],DATA[[#This Row],[COMBINADA]])</f>
        <v>0</v>
      </c>
      <c r="AI497" s="27">
        <f>IFERROR(VLOOKUP(DATA[[#This Row],[COMBINADA]],#REF!,6,0),0)</f>
        <v>0</v>
      </c>
      <c r="AJ497" s="125">
        <f>IFERROR(VLOOKUP(DATA[[#This Row],[COMBINADA]],#REF!,9,0),0)/COUNTIFS(DATA[COMBINADA],DATA[[#This Row],[COMBINADA]])</f>
        <v>0</v>
      </c>
      <c r="AK497" s="27">
        <f>IFERROR(VLOOKUP(DATA[[#This Row],[COMBINADA]],#REF!,6,0),0)</f>
        <v>0</v>
      </c>
      <c r="AL497" s="125">
        <f>IFERROR(VLOOKUP(DATA[[#This Row],[COMBINADA]],#REF!,9,0),0)/COUNTIFS(DATA[COMBINADA],DATA[[#This Row],[COMBINADA]])</f>
        <v>0</v>
      </c>
      <c r="AM497" s="27">
        <f>IFERROR(VLOOKUP(DATA[[#This Row],[COMBINADA]],#REF!,6,0),0)</f>
        <v>0</v>
      </c>
      <c r="AN497" s="125">
        <f>IFERROR(VLOOKUP(DATA[[#This Row],[COMBINADA]],#REF!,9,0),0)/COUNTIFS(DATA[COMBINADA],DATA[[#This Row],[COMBINADA]])</f>
        <v>0</v>
      </c>
      <c r="AO497" s="27">
        <f>IFERROR(VLOOKUP(DATA[[#This Row],[COMBINADA]],#REF!,6,0),0)</f>
        <v>0</v>
      </c>
      <c r="AP497" s="125">
        <f>IFERROR(VLOOKUP(DATA[[#This Row],[COMBINADA]],#REF!,9,0),0)/COUNTIFS(DATA[COMBINADA],DATA[[#This Row],[COMBINADA]])</f>
        <v>0</v>
      </c>
      <c r="AQ49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732.30800000000011</v>
      </c>
      <c r="AR497" s="26" t="str">
        <f>IFERROR(IF(DATA[[#This Row],[estado_fact]]="FACTURADO",VLOOKUP(DATA[[#This Row],[SERIE2]]&amp;"-"&amp;DATA[[#This Row],[NUMERO]],#REF!,34,0),"NO CORRESPONDE"),"NO CORRESPONDE")</f>
        <v>NO CORRESPONDE</v>
      </c>
      <c r="AS497" s="22" t="str">
        <f>IF(DATA[[#This Row],[fecha_fs]]&gt;0,TEXT(DATA[[#This Row],[fecha_fs]],"Mmmm"),0)</f>
        <v>Abril</v>
      </c>
      <c r="AT497" s="22" t="str">
        <f>DATA[[#This Row],[SERIE2]]&amp;"-"&amp;DATA[[#This Row],[NUMERO]]</f>
        <v>FF01-40</v>
      </c>
      <c r="AU497" s="28">
        <f>DATA[[#This Row],[TOTAL]]*DATA[[#This Row],[T.C.]]</f>
        <v>739.86</v>
      </c>
      <c r="AV497" s="6">
        <f>DATA[[#This Row],[FECHA DE VAL.]]</f>
        <v>45758</v>
      </c>
      <c r="AW497" s="6">
        <f>DATA[[#This Row],[FECHA DE EMISION]]</f>
        <v>45763</v>
      </c>
      <c r="AX497" s="6">
        <f>DATA[[#This Row],[F1]]</f>
        <v>0</v>
      </c>
      <c r="AY497" s="20">
        <f>IF(AV497-DATA[[#This Row],[fecha_fs]]&lt;0,0,AV497-DATA[[#This Row],[fecha_fs]])</f>
        <v>0</v>
      </c>
      <c r="AZ497" s="20">
        <f t="shared" si="51"/>
        <v>5</v>
      </c>
      <c r="BA497" s="20">
        <f t="shared" si="52"/>
        <v>0</v>
      </c>
      <c r="BB497" s="195">
        <f>IFERROR(SUM(DATA[[#This Row],[fs_val_ttf]:[fact_pago_ttf]]),0)</f>
        <v>5</v>
      </c>
      <c r="BC497" s="185">
        <v>45758</v>
      </c>
      <c r="BD497" s="185">
        <v>45758</v>
      </c>
      <c r="BE497" s="185">
        <v>45763</v>
      </c>
      <c r="BF497" s="185">
        <v>45763</v>
      </c>
      <c r="BG497" s="20">
        <f>IFERROR(IF(BC497-DATA[[#This Row],[fecha_fs]]&lt;0,0,BC497-DATA[[#This Row],[fecha_fs]]),0)</f>
        <v>0</v>
      </c>
      <c r="BH497" s="20">
        <f t="shared" si="53"/>
        <v>0</v>
      </c>
      <c r="BI497" s="20">
        <f t="shared" si="54"/>
        <v>5</v>
      </c>
      <c r="BJ497" s="20">
        <f t="shared" si="55"/>
        <v>0</v>
      </c>
      <c r="BK497" s="218">
        <f>IFERROR(SUM(DATA[[#This Row],[fs_fd_ttd]:[fend_fenf_ttd]]),0)</f>
        <v>5</v>
      </c>
      <c r="BL497" s="20" t="str">
        <f>IF(DATA[[#This Row],[fecha_fs]]&gt;0,TEXT(DATA[[#This Row],[fecha_fs]],"YYYY"),0)</f>
        <v>2025</v>
      </c>
      <c r="BM497" s="221" t="b">
        <v>1</v>
      </c>
      <c r="BN497" s="278">
        <f>COUNTIF(DATA[[#This Row],[tiempo_td]], "&lt;=15")</f>
        <v>1</v>
      </c>
      <c r="BO497" s="222"/>
    </row>
    <row r="498" spans="1:67" ht="30.6" customHeight="1" x14ac:dyDescent="0.25">
      <c r="A498" s="4">
        <v>20558226979</v>
      </c>
      <c r="B498" s="5" t="s">
        <v>45</v>
      </c>
      <c r="C498" s="52" t="s">
        <v>18</v>
      </c>
      <c r="D498" s="4" t="s">
        <v>120</v>
      </c>
      <c r="E498" s="5" t="s">
        <v>3</v>
      </c>
      <c r="F498" s="24">
        <v>45758</v>
      </c>
      <c r="G498" s="7" t="s">
        <v>113</v>
      </c>
      <c r="H498" s="25">
        <f t="shared" si="50"/>
        <v>1</v>
      </c>
      <c r="I498" s="67">
        <v>4363</v>
      </c>
      <c r="J498" s="8" t="s">
        <v>115</v>
      </c>
      <c r="K498" s="9" t="s">
        <v>148</v>
      </c>
      <c r="L498" s="10" t="s">
        <v>117</v>
      </c>
      <c r="M498" s="11">
        <v>4500</v>
      </c>
      <c r="N498" s="12" t="s">
        <v>114</v>
      </c>
      <c r="O498" s="40"/>
      <c r="P498" s="41" t="s">
        <v>114</v>
      </c>
      <c r="Q498" s="42"/>
      <c r="R498" s="123"/>
      <c r="S498" s="123"/>
      <c r="T498" s="43">
        <f>DATA[[#This Row],[C. DF]]+DATA[[#This Row],[C.OPE.]]</f>
        <v>0</v>
      </c>
      <c r="U498" s="43">
        <f>DATA[[#This Row],[SUB TOTAL]]*0.18</f>
        <v>0</v>
      </c>
      <c r="V498" s="43">
        <f>IFERROR(ROUND(DATA[[#This Row],[SUB TOTAL]]+DATA[[#This Row],[IGV]],2),0)</f>
        <v>0</v>
      </c>
      <c r="W498" s="16" t="str">
        <f>IF(DATA[[#This Row],[VALORIZACIÓN ]]="-","NO CORRESPONDE",IF(OR(A498=20558226979,A498=10470707866,A498=20111157058,A498=20100226902),"NO CORRESPONDE",IF(J498="Emitida",IF(P498&gt;0,"EMITIDA","PENDIENTE"),"NO CORRESPONDE")))</f>
        <v>NO CORRESPONDE</v>
      </c>
      <c r="X498" s="29"/>
      <c r="Y498" s="17" t="s">
        <v>128</v>
      </c>
      <c r="Z498" s="30"/>
      <c r="AA498" s="10"/>
      <c r="AB498" s="19"/>
      <c r="AC498" s="20"/>
      <c r="AD498" s="18">
        <f>DATA[[#This Row],[FECHA DE EMISION]]+DATA[[#This Row],[CONDICION DE PAGO]]</f>
        <v>0</v>
      </c>
      <c r="AE498" s="23">
        <f>IF(DATA[[#This Row],[MONEDA]]="USD",VLOOKUP(DATA[[#This Row],[COMBINADA]],#REF!,11,0),1)</f>
        <v>1</v>
      </c>
      <c r="AF498" s="39" t="str">
        <f>IF(DATA[[#This Row],[SERIE2]]="-","NO CORRESPONDE",IF(W498="NO CORRESPONDE","NO CORRESPONDE",IF(Z498&gt;0,"FACTURADO","PENDIENTE")))</f>
        <v>NO CORRESPONDE</v>
      </c>
      <c r="AG498" s="27">
        <f>IFERROR(VLOOKUP(DATA[[#This Row],[COMBINADA]],#REF!,6,0),0)</f>
        <v>0</v>
      </c>
      <c r="AH498" s="125">
        <f>IFERROR(VLOOKUP(DATA[[#This Row],[COMBINADA]],#REF!,9,0),0)/COUNTIFS(DATA[COMBINADA],DATA[[#This Row],[COMBINADA]])</f>
        <v>0</v>
      </c>
      <c r="AI498" s="27">
        <f>IFERROR(VLOOKUP(DATA[[#This Row],[COMBINADA]],#REF!,6,0),0)</f>
        <v>0</v>
      </c>
      <c r="AJ498" s="125">
        <f>IFERROR(VLOOKUP(DATA[[#This Row],[COMBINADA]],#REF!,9,0),0)/COUNTIFS(DATA[COMBINADA],DATA[[#This Row],[COMBINADA]])</f>
        <v>0</v>
      </c>
      <c r="AK498" s="27">
        <f>IFERROR(VLOOKUP(DATA[[#This Row],[COMBINADA]],#REF!,6,0),0)</f>
        <v>0</v>
      </c>
      <c r="AL498" s="125">
        <f>IFERROR(VLOOKUP(DATA[[#This Row],[COMBINADA]],#REF!,9,0),0)/COUNTIFS(DATA[COMBINADA],DATA[[#This Row],[COMBINADA]])</f>
        <v>0</v>
      </c>
      <c r="AM498" s="27">
        <f>IFERROR(VLOOKUP(DATA[[#This Row],[COMBINADA]],#REF!,6,0),0)</f>
        <v>0</v>
      </c>
      <c r="AN498" s="125">
        <f>IFERROR(VLOOKUP(DATA[[#This Row],[COMBINADA]],#REF!,9,0),0)/COUNTIFS(DATA[COMBINADA],DATA[[#This Row],[COMBINADA]])</f>
        <v>0</v>
      </c>
      <c r="AO498" s="27">
        <f>IFERROR(VLOOKUP(DATA[[#This Row],[COMBINADA]],#REF!,6,0),0)</f>
        <v>0</v>
      </c>
      <c r="AP498" s="125">
        <f>IFERROR(VLOOKUP(DATA[[#This Row],[COMBINADA]],#REF!,9,0),0)/COUNTIFS(DATA[COMBINADA],DATA[[#This Row],[COMBINADA]])</f>
        <v>0</v>
      </c>
      <c r="AQ49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498" s="26" t="str">
        <f>IFERROR(IF(DATA[[#This Row],[estado_fact]]="FACTURADO",VLOOKUP(DATA[[#This Row],[SERIE2]]&amp;"-"&amp;DATA[[#This Row],[NUMERO]],#REF!,34,0),"NO CORRESPONDE"),"NO CORRESPONDE")</f>
        <v>NO CORRESPONDE</v>
      </c>
      <c r="AS498" s="22" t="str">
        <f>IF(DATA[[#This Row],[fecha_fs]]&gt;0,TEXT(DATA[[#This Row],[fecha_fs]],"Mmmm"),0)</f>
        <v>Abril</v>
      </c>
      <c r="AT498" s="22" t="str">
        <f>DATA[[#This Row],[SERIE2]]&amp;"-"&amp;DATA[[#This Row],[NUMERO]]</f>
        <v>-</v>
      </c>
      <c r="AU498" s="28">
        <f>DATA[[#This Row],[TOTAL]]*DATA[[#This Row],[T.C.]]</f>
        <v>0</v>
      </c>
      <c r="AV498" s="6">
        <f>DATA[[#This Row],[FECHA DE VAL.]]</f>
        <v>0</v>
      </c>
      <c r="AW498" s="6">
        <f>DATA[[#This Row],[FECHA DE EMISION]]</f>
        <v>0</v>
      </c>
      <c r="AX498" s="6">
        <f>DATA[[#This Row],[F1]]</f>
        <v>0</v>
      </c>
      <c r="AY498" s="20">
        <f>IF(AV498-DATA[[#This Row],[fecha_fs]]&lt;0,0,AV498-DATA[[#This Row],[fecha_fs]])</f>
        <v>0</v>
      </c>
      <c r="AZ498" s="20">
        <f t="shared" si="51"/>
        <v>0</v>
      </c>
      <c r="BA498" s="20">
        <f t="shared" si="52"/>
        <v>0</v>
      </c>
      <c r="BB498" s="195">
        <f>IFERROR(SUM(DATA[[#This Row],[fs_val_ttf]:[fact_pago_ttf]]),0)</f>
        <v>0</v>
      </c>
      <c r="BC498" s="185">
        <v>45758</v>
      </c>
      <c r="BD498" s="185">
        <v>45758</v>
      </c>
      <c r="BE498" s="185">
        <v>45793</v>
      </c>
      <c r="BF498" s="185">
        <v>45793</v>
      </c>
      <c r="BG498" s="20">
        <f>IFERROR(IF(BC498-DATA[[#This Row],[fecha_fs]]&lt;0,0,BC498-DATA[[#This Row],[fecha_fs]]),0)</f>
        <v>0</v>
      </c>
      <c r="BH498" s="20">
        <f t="shared" si="53"/>
        <v>0</v>
      </c>
      <c r="BI498" s="20">
        <f t="shared" si="54"/>
        <v>35</v>
      </c>
      <c r="BJ498" s="20">
        <f t="shared" si="55"/>
        <v>0</v>
      </c>
      <c r="BK498" s="218">
        <f>IFERROR(SUM(DATA[[#This Row],[fs_fd_ttd]:[fend_fenf_ttd]]),0)</f>
        <v>35</v>
      </c>
      <c r="BL498" s="20" t="str">
        <f>IF(DATA[[#This Row],[fecha_fs]]&gt;0,TEXT(DATA[[#This Row],[fecha_fs]],"YYYY"),0)</f>
        <v>2025</v>
      </c>
      <c r="BM498" s="221" t="b">
        <v>1</v>
      </c>
      <c r="BN498" s="278">
        <f>COUNTIF(DATA[[#This Row],[tiempo_td]], "&lt;=15")</f>
        <v>0</v>
      </c>
      <c r="BO498" s="222"/>
    </row>
    <row r="499" spans="1:67" ht="30.6" customHeight="1" x14ac:dyDescent="0.25">
      <c r="A499" s="4">
        <v>20100211115</v>
      </c>
      <c r="B499" s="5" t="s">
        <v>41</v>
      </c>
      <c r="C499" s="52" t="s">
        <v>18</v>
      </c>
      <c r="D499" s="4" t="s">
        <v>120</v>
      </c>
      <c r="E499" s="5" t="s">
        <v>3</v>
      </c>
      <c r="F499" s="24">
        <v>45758</v>
      </c>
      <c r="G499" s="7" t="s">
        <v>113</v>
      </c>
      <c r="H499" s="25">
        <f t="shared" si="50"/>
        <v>1</v>
      </c>
      <c r="I499" s="67">
        <v>4364</v>
      </c>
      <c r="J499" s="8" t="s">
        <v>115</v>
      </c>
      <c r="K499" s="9" t="s">
        <v>121</v>
      </c>
      <c r="L499" s="10" t="s">
        <v>117</v>
      </c>
      <c r="M499" s="11">
        <v>90</v>
      </c>
      <c r="N499" s="112" t="s">
        <v>200</v>
      </c>
      <c r="O499" s="6">
        <v>45775</v>
      </c>
      <c r="P499" s="115">
        <v>3419</v>
      </c>
      <c r="Q499" s="14" t="s">
        <v>85</v>
      </c>
      <c r="R499" s="74"/>
      <c r="S499" s="15">
        <f>(DATA[[#This Row],[cantidad_fs]]*4.37)</f>
        <v>393.3</v>
      </c>
      <c r="T499" s="15">
        <f>DATA[[#This Row],[C. DF]]+DATA[[#This Row],[C.OPE.]]</f>
        <v>393.3</v>
      </c>
      <c r="U499" s="15">
        <f>DATA[[#This Row],[SUB TOTAL]]*0.18</f>
        <v>70.793999999999997</v>
      </c>
      <c r="V499" s="15">
        <f>IFERROR(ROUND(DATA[[#This Row],[SUB TOTAL]]+DATA[[#This Row],[IGV]],2),0)</f>
        <v>464.09</v>
      </c>
      <c r="W499" s="16" t="str">
        <f>IF(DATA[[#This Row],[VALORIZACIÓN ]]="-","NO CORRESPONDE",IF(OR(A499=20558226979,A499=10470707866,A499=20111157058,A499=20100226902),"NO CORRESPONDE",IF(J499="Emitida",IF(P499&gt;0,"EMITIDA","PENDIENTE"),"NO CORRESPONDE")))</f>
        <v>EMITIDA</v>
      </c>
      <c r="X499" s="29"/>
      <c r="Y499" s="17" t="s">
        <v>118</v>
      </c>
      <c r="Z499" s="30">
        <v>45777</v>
      </c>
      <c r="AA499" s="10" t="s">
        <v>150</v>
      </c>
      <c r="AB499" s="19">
        <v>60</v>
      </c>
      <c r="AC499" s="20">
        <v>30</v>
      </c>
      <c r="AD499" s="18">
        <f>DATA[[#This Row],[FECHA DE EMISION]]+DATA[[#This Row],[CONDICION DE PAGO]]</f>
        <v>45807</v>
      </c>
      <c r="AE499" s="23">
        <f>IF(DATA[[#This Row],[MONEDA]]="USD",VLOOKUP(DATA[[#This Row],[COMBINADA]],#REF!,11,0),1)</f>
        <v>1</v>
      </c>
      <c r="AF499" s="39" t="str">
        <f>IF(DATA[[#This Row],[SERIE2]]="-","NO CORRESPONDE",IF(W499="NO CORRESPONDE","NO CORRESPONDE",IF(Z499&gt;0,"FACTURADO","PENDIENTE")))</f>
        <v>FACTURADO</v>
      </c>
      <c r="AG499" s="27">
        <f>IFERROR(VLOOKUP(DATA[[#This Row],[COMBINADA]],#REF!,6,0),0)</f>
        <v>0</v>
      </c>
      <c r="AH499" s="125">
        <f>IFERROR(VLOOKUP(DATA[[#This Row],[COMBINADA]],#REF!,9,0),0)/COUNTIFS(DATA[COMBINADA],DATA[[#This Row],[COMBINADA]])</f>
        <v>0</v>
      </c>
      <c r="AI499" s="27">
        <f>IFERROR(VLOOKUP(DATA[[#This Row],[COMBINADA]],#REF!,6,0),0)</f>
        <v>0</v>
      </c>
      <c r="AJ499" s="125">
        <f>IFERROR(VLOOKUP(DATA[[#This Row],[COMBINADA]],#REF!,9,0),0)/COUNTIFS(DATA[COMBINADA],DATA[[#This Row],[COMBINADA]])</f>
        <v>0</v>
      </c>
      <c r="AK499" s="27">
        <f>IFERROR(VLOOKUP(DATA[[#This Row],[COMBINADA]],#REF!,6,0),0)</f>
        <v>0</v>
      </c>
      <c r="AL499" s="125">
        <f>IFERROR(VLOOKUP(DATA[[#This Row],[COMBINADA]],#REF!,9,0),0)/COUNTIFS(DATA[COMBINADA],DATA[[#This Row],[COMBINADA]])</f>
        <v>0</v>
      </c>
      <c r="AM499" s="27">
        <f>IFERROR(VLOOKUP(DATA[[#This Row],[COMBINADA]],#REF!,6,0),0)</f>
        <v>0</v>
      </c>
      <c r="AN499" s="125">
        <f>IFERROR(VLOOKUP(DATA[[#This Row],[COMBINADA]],#REF!,9,0),0)/COUNTIFS(DATA[COMBINADA],DATA[[#This Row],[COMBINADA]])</f>
        <v>0</v>
      </c>
      <c r="AO499" s="27">
        <f>IFERROR(VLOOKUP(DATA[[#This Row],[COMBINADA]],#REF!,6,0),0)</f>
        <v>0</v>
      </c>
      <c r="AP499" s="125">
        <f>IFERROR(VLOOKUP(DATA[[#This Row],[COMBINADA]],#REF!,9,0),0)/COUNTIFS(DATA[COMBINADA],DATA[[#This Row],[COMBINADA]])</f>
        <v>0</v>
      </c>
      <c r="AQ49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499" s="26" t="str">
        <f>IFERROR(IF(DATA[[#This Row],[estado_fact]]="FACTURADO",VLOOKUP(DATA[[#This Row],[SERIE2]]&amp;"-"&amp;DATA[[#This Row],[NUMERO]],#REF!,34,0),"NO CORRESPONDE"),"NO CORRESPONDE")</f>
        <v>NO CORRESPONDE</v>
      </c>
      <c r="AS499" s="22" t="str">
        <f>IF(DATA[[#This Row],[fecha_fs]]&gt;0,TEXT(DATA[[#This Row],[fecha_fs]],"Mmmm"),0)</f>
        <v>Abril</v>
      </c>
      <c r="AT499" s="22" t="str">
        <f>DATA[[#This Row],[SERIE2]]&amp;"-"&amp;DATA[[#This Row],[NUMERO]]</f>
        <v>FF01-60</v>
      </c>
      <c r="AU499" s="28">
        <f>DATA[[#This Row],[TOTAL]]*DATA[[#This Row],[T.C.]]</f>
        <v>464.09</v>
      </c>
      <c r="AV499" s="6">
        <f>DATA[[#This Row],[FECHA DE VAL.]]</f>
        <v>45775</v>
      </c>
      <c r="AW499" s="6">
        <f>DATA[[#This Row],[FECHA DE EMISION]]</f>
        <v>45777</v>
      </c>
      <c r="AX499" s="6">
        <f>DATA[[#This Row],[F1]]</f>
        <v>0</v>
      </c>
      <c r="AY499" s="20">
        <f>IF(AV499-DATA[[#This Row],[fecha_fs]]&lt;0,0,AV499-DATA[[#This Row],[fecha_fs]])</f>
        <v>17</v>
      </c>
      <c r="AZ499" s="20">
        <f t="shared" si="51"/>
        <v>2</v>
      </c>
      <c r="BA499" s="20">
        <f t="shared" si="52"/>
        <v>0</v>
      </c>
      <c r="BB499" s="195">
        <f>IFERROR(SUM(DATA[[#This Row],[fs_val_ttf]:[fact_pago_ttf]]),0)</f>
        <v>19</v>
      </c>
      <c r="BC499" s="185">
        <v>45779</v>
      </c>
      <c r="BD499" s="185">
        <v>45789</v>
      </c>
      <c r="BE499" s="185">
        <v>45796</v>
      </c>
      <c r="BF499" s="184">
        <v>45798</v>
      </c>
      <c r="BG499" s="20">
        <f>IFERROR(IF(BC499-DATA[[#This Row],[fecha_fs]]&lt;0,0,BC499-DATA[[#This Row],[fecha_fs]]),0)</f>
        <v>21</v>
      </c>
      <c r="BH499" s="20">
        <f t="shared" si="53"/>
        <v>10</v>
      </c>
      <c r="BI499" s="20">
        <f t="shared" si="54"/>
        <v>7</v>
      </c>
      <c r="BJ499" s="20">
        <f t="shared" si="55"/>
        <v>2</v>
      </c>
      <c r="BK499" s="218">
        <f>IFERROR(SUM(DATA[[#This Row],[fs_fd_ttd]:[fend_fenf_ttd]]),0)</f>
        <v>40</v>
      </c>
      <c r="BL499" s="20" t="str">
        <f>IF(DATA[[#This Row],[fecha_fs]]&gt;0,TEXT(DATA[[#This Row],[fecha_fs]],"YYYY"),0)</f>
        <v>2025</v>
      </c>
      <c r="BM499" s="221" t="b">
        <v>1</v>
      </c>
      <c r="BN499" s="278">
        <f>COUNTIF(DATA[[#This Row],[tiempo_td]], "&lt;=15")</f>
        <v>0</v>
      </c>
      <c r="BO499" s="222"/>
    </row>
    <row r="500" spans="1:67" ht="30.6" customHeight="1" x14ac:dyDescent="0.25">
      <c r="A500" s="4">
        <v>20553956324</v>
      </c>
      <c r="B500" s="5" t="s">
        <v>281</v>
      </c>
      <c r="C500" s="52" t="s">
        <v>175</v>
      </c>
      <c r="D500" s="4" t="s">
        <v>120</v>
      </c>
      <c r="E500" s="5" t="s">
        <v>3</v>
      </c>
      <c r="F500" s="24">
        <v>45758</v>
      </c>
      <c r="G500" s="7" t="s">
        <v>113</v>
      </c>
      <c r="H500" s="25">
        <f t="shared" si="50"/>
        <v>1</v>
      </c>
      <c r="I500" s="67">
        <v>4365</v>
      </c>
      <c r="J500" s="8" t="s">
        <v>115</v>
      </c>
      <c r="K500" s="9" t="s">
        <v>121</v>
      </c>
      <c r="L500" s="10" t="s">
        <v>117</v>
      </c>
      <c r="M500" s="11">
        <v>150</v>
      </c>
      <c r="N500" s="112" t="s">
        <v>200</v>
      </c>
      <c r="O500" s="6">
        <v>45775</v>
      </c>
      <c r="P500" s="109">
        <v>3422</v>
      </c>
      <c r="Q500" s="14" t="s">
        <v>85</v>
      </c>
      <c r="R500" s="15">
        <f>DATA[[#This Row],[cantidad_fs]]*0.08</f>
        <v>12</v>
      </c>
      <c r="S500" s="15">
        <v>395.1</v>
      </c>
      <c r="T500" s="15">
        <f>DATA[[#This Row],[C. DF]]+DATA[[#This Row],[C.OPE.]]</f>
        <v>407.1</v>
      </c>
      <c r="U500" s="15">
        <f>DATA[[#This Row],[SUB TOTAL]]*0.18</f>
        <v>73.278000000000006</v>
      </c>
      <c r="V500" s="15">
        <f>IFERROR(ROUND(DATA[[#This Row],[SUB TOTAL]]+DATA[[#This Row],[IGV]],2),0)</f>
        <v>480.38</v>
      </c>
      <c r="W500" s="16" t="str">
        <f>IF(DATA[[#This Row],[VALORIZACIÓN ]]="-","NO CORRESPONDE",IF(OR(A500=20558226979,A500=10470707866,A500=20111157058,A500=20100226902),"NO CORRESPONDE",IF(J500="Emitida",IF(P500&gt;0,"EMITIDA","PENDIENTE"),"NO CORRESPONDE")))</f>
        <v>EMITIDA</v>
      </c>
      <c r="X500" s="29"/>
      <c r="Y500" s="17" t="s">
        <v>118</v>
      </c>
      <c r="Z500" s="30">
        <v>45790</v>
      </c>
      <c r="AA500" s="10" t="s">
        <v>150</v>
      </c>
      <c r="AB500" s="19">
        <v>76</v>
      </c>
      <c r="AC500" s="20"/>
      <c r="AD500" s="18">
        <f>DATA[[#This Row],[FECHA DE EMISION]]+DATA[[#This Row],[CONDICION DE PAGO]]</f>
        <v>45790</v>
      </c>
      <c r="AE500" s="23">
        <f>IF(DATA[[#This Row],[MONEDA]]="USD",VLOOKUP(DATA[[#This Row],[COMBINADA]],#REF!,11,0),1)</f>
        <v>1</v>
      </c>
      <c r="AF500" s="39" t="str">
        <f>IF(DATA[[#This Row],[SERIE2]]="-","NO CORRESPONDE",IF(W500="NO CORRESPONDE","NO CORRESPONDE",IF(Z500&gt;0,"FACTURADO","PENDIENTE")))</f>
        <v>FACTURADO</v>
      </c>
      <c r="AG500" s="27">
        <f>IFERROR(VLOOKUP(DATA[[#This Row],[COMBINADA]],#REF!,6,0),0)</f>
        <v>0</v>
      </c>
      <c r="AH500" s="125">
        <f>IFERROR(VLOOKUP(DATA[[#This Row],[COMBINADA]],#REF!,9,0),0)/COUNTIFS(DATA[COMBINADA],DATA[[#This Row],[COMBINADA]])</f>
        <v>0</v>
      </c>
      <c r="AI500" s="27">
        <f>IFERROR(VLOOKUP(DATA[[#This Row],[COMBINADA]],#REF!,6,0),0)</f>
        <v>0</v>
      </c>
      <c r="AJ500" s="125">
        <f>IFERROR(VLOOKUP(DATA[[#This Row],[COMBINADA]],#REF!,9,0),0)/COUNTIFS(DATA[COMBINADA],DATA[[#This Row],[COMBINADA]])</f>
        <v>0</v>
      </c>
      <c r="AK500" s="27">
        <f>IFERROR(VLOOKUP(DATA[[#This Row],[COMBINADA]],#REF!,6,0),0)</f>
        <v>0</v>
      </c>
      <c r="AL500" s="125">
        <f>IFERROR(VLOOKUP(DATA[[#This Row],[COMBINADA]],#REF!,9,0),0)/COUNTIFS(DATA[COMBINADA],DATA[[#This Row],[COMBINADA]])</f>
        <v>0</v>
      </c>
      <c r="AM500" s="27">
        <f>IFERROR(VLOOKUP(DATA[[#This Row],[COMBINADA]],#REF!,6,0),0)</f>
        <v>0</v>
      </c>
      <c r="AN500" s="125">
        <f>IFERROR(VLOOKUP(DATA[[#This Row],[COMBINADA]],#REF!,9,0),0)/COUNTIFS(DATA[COMBINADA],DATA[[#This Row],[COMBINADA]])</f>
        <v>0</v>
      </c>
      <c r="AO500" s="27">
        <f>IFERROR(VLOOKUP(DATA[[#This Row],[COMBINADA]],#REF!,6,0),0)</f>
        <v>0</v>
      </c>
      <c r="AP500" s="125">
        <f>IFERROR(VLOOKUP(DATA[[#This Row],[COMBINADA]],#REF!,9,0),0)/COUNTIFS(DATA[COMBINADA],DATA[[#This Row],[COMBINADA]])</f>
        <v>0</v>
      </c>
      <c r="AQ50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481.00750000000011</v>
      </c>
      <c r="AR500" s="26" t="str">
        <f>IFERROR(IF(DATA[[#This Row],[estado_fact]]="FACTURADO",VLOOKUP(DATA[[#This Row],[SERIE2]]&amp;"-"&amp;DATA[[#This Row],[NUMERO]],#REF!,34,0),"NO CORRESPONDE"),"NO CORRESPONDE")</f>
        <v>NO CORRESPONDE</v>
      </c>
      <c r="AS500" s="22" t="str">
        <f>IF(DATA[[#This Row],[fecha_fs]]&gt;0,TEXT(DATA[[#This Row],[fecha_fs]],"Mmmm"),0)</f>
        <v>Abril</v>
      </c>
      <c r="AT500" s="22" t="str">
        <f>DATA[[#This Row],[SERIE2]]&amp;"-"&amp;DATA[[#This Row],[NUMERO]]</f>
        <v>FF01-76</v>
      </c>
      <c r="AU500" s="28">
        <f>DATA[[#This Row],[TOTAL]]*DATA[[#This Row],[T.C.]]</f>
        <v>480.38</v>
      </c>
      <c r="AV500" s="6">
        <f>DATA[[#This Row],[FECHA DE VAL.]]</f>
        <v>45775</v>
      </c>
      <c r="AW500" s="6">
        <f>DATA[[#This Row],[FECHA DE EMISION]]</f>
        <v>45790</v>
      </c>
      <c r="AX500" s="6">
        <f>DATA[[#This Row],[F1]]</f>
        <v>0</v>
      </c>
      <c r="AY500" s="20">
        <f>IF(AV500-DATA[[#This Row],[fecha_fs]]&lt;0,0,AV500-DATA[[#This Row],[fecha_fs]])</f>
        <v>17</v>
      </c>
      <c r="AZ500" s="20">
        <f t="shared" si="51"/>
        <v>15</v>
      </c>
      <c r="BA500" s="20">
        <f t="shared" si="52"/>
        <v>0</v>
      </c>
      <c r="BB500" s="195">
        <f>IFERROR(SUM(DATA[[#This Row],[fs_val_ttf]:[fact_pago_ttf]]),0)</f>
        <v>32</v>
      </c>
      <c r="BC500" s="185">
        <v>45779</v>
      </c>
      <c r="BD500" s="185">
        <v>45789</v>
      </c>
      <c r="BE500" s="185">
        <v>45793</v>
      </c>
      <c r="BF500" s="185">
        <v>45832</v>
      </c>
      <c r="BG500" s="20">
        <f>IFERROR(IF(BC500-DATA[[#This Row],[fecha_fs]]&lt;0,0,BC500-DATA[[#This Row],[fecha_fs]]),0)</f>
        <v>21</v>
      </c>
      <c r="BH500" s="20">
        <f t="shared" si="53"/>
        <v>10</v>
      </c>
      <c r="BI500" s="20">
        <f t="shared" si="54"/>
        <v>4</v>
      </c>
      <c r="BJ500" s="20">
        <f t="shared" si="55"/>
        <v>39</v>
      </c>
      <c r="BK500" s="218">
        <f>IFERROR(SUM(DATA[[#This Row],[fs_fd_ttd]:[fend_fenf_ttd]]),0)</f>
        <v>74</v>
      </c>
      <c r="BL500" s="20" t="str">
        <f>IF(DATA[[#This Row],[fecha_fs]]&gt;0,TEXT(DATA[[#This Row],[fecha_fs]],"YYYY"),0)</f>
        <v>2025</v>
      </c>
      <c r="BM500" s="221" t="b">
        <v>1</v>
      </c>
      <c r="BN500" s="278">
        <f>COUNTIF(DATA[[#This Row],[tiempo_td]], "&lt;=15")</f>
        <v>0</v>
      </c>
      <c r="BO500" s="222"/>
    </row>
    <row r="501" spans="1:67" ht="30.6" customHeight="1" x14ac:dyDescent="0.25">
      <c r="A501" s="4">
        <v>20100211115</v>
      </c>
      <c r="B501" s="5" t="s">
        <v>41</v>
      </c>
      <c r="C501" s="52" t="s">
        <v>18</v>
      </c>
      <c r="D501" s="4" t="s">
        <v>112</v>
      </c>
      <c r="E501" s="5" t="s">
        <v>1</v>
      </c>
      <c r="F501" s="24">
        <v>45758</v>
      </c>
      <c r="G501" s="7" t="s">
        <v>113</v>
      </c>
      <c r="H501" s="25">
        <f t="shared" si="50"/>
        <v>1</v>
      </c>
      <c r="I501" s="67">
        <v>4366</v>
      </c>
      <c r="J501" s="8" t="s">
        <v>115</v>
      </c>
      <c r="K501" s="9" t="s">
        <v>116</v>
      </c>
      <c r="L501" s="10" t="s">
        <v>117</v>
      </c>
      <c r="M501" s="11">
        <v>9</v>
      </c>
      <c r="N501" s="112" t="s">
        <v>200</v>
      </c>
      <c r="O501" s="6">
        <v>45775</v>
      </c>
      <c r="P501" s="115">
        <v>3420</v>
      </c>
      <c r="Q501" s="14" t="s">
        <v>85</v>
      </c>
      <c r="R501" s="74"/>
      <c r="S501" s="15">
        <f>(DATA[[#This Row],[cantidad_fs]]*4.57)</f>
        <v>41.13</v>
      </c>
      <c r="T501" s="15">
        <f>DATA[[#This Row],[C. DF]]+DATA[[#This Row],[C.OPE.]]</f>
        <v>41.13</v>
      </c>
      <c r="U501" s="15">
        <f>DATA[[#This Row],[SUB TOTAL]]*0.18</f>
        <v>7.4034000000000004</v>
      </c>
      <c r="V501" s="15">
        <f>IFERROR(ROUND(DATA[[#This Row],[SUB TOTAL]]+DATA[[#This Row],[IGV]],2),0)</f>
        <v>48.53</v>
      </c>
      <c r="W501" s="16" t="str">
        <f>IF(DATA[[#This Row],[VALORIZACIÓN ]]="-","NO CORRESPONDE",IF(OR(A501=20558226979,A501=10470707866,A501=20111157058,A501=20100226902),"NO CORRESPONDE",IF(J501="Emitida",IF(P501&gt;0,"EMITIDA","PENDIENTE"),"NO CORRESPONDE")))</f>
        <v>EMITIDA</v>
      </c>
      <c r="X501" s="29"/>
      <c r="Y501" s="17" t="s">
        <v>118</v>
      </c>
      <c r="Z501" s="30">
        <v>45777</v>
      </c>
      <c r="AA501" s="10" t="s">
        <v>150</v>
      </c>
      <c r="AB501" s="19">
        <v>62</v>
      </c>
      <c r="AC501" s="20">
        <v>30</v>
      </c>
      <c r="AD501" s="18">
        <f>DATA[[#This Row],[FECHA DE EMISION]]+DATA[[#This Row],[CONDICION DE PAGO]]</f>
        <v>45807</v>
      </c>
      <c r="AE501" s="23">
        <f>IF(DATA[[#This Row],[MONEDA]]="USD",VLOOKUP(DATA[[#This Row],[COMBINADA]],#REF!,11,0),1)</f>
        <v>1</v>
      </c>
      <c r="AF501" s="39" t="str">
        <f>IF(DATA[[#This Row],[SERIE2]]="-","NO CORRESPONDE",IF(W501="NO CORRESPONDE","NO CORRESPONDE",IF(Z501&gt;0,"FACTURADO","PENDIENTE")))</f>
        <v>FACTURADO</v>
      </c>
      <c r="AG501" s="27">
        <f>IFERROR(VLOOKUP(DATA[[#This Row],[COMBINADA]],#REF!,6,0),0)</f>
        <v>0</v>
      </c>
      <c r="AH501" s="125">
        <f>IFERROR(VLOOKUP(DATA[[#This Row],[COMBINADA]],#REF!,9,0),0)/COUNTIFS(DATA[COMBINADA],DATA[[#This Row],[COMBINADA]])</f>
        <v>0</v>
      </c>
      <c r="AI501" s="27">
        <f>IFERROR(VLOOKUP(DATA[[#This Row],[COMBINADA]],#REF!,6,0),0)</f>
        <v>0</v>
      </c>
      <c r="AJ501" s="125">
        <f>IFERROR(VLOOKUP(DATA[[#This Row],[COMBINADA]],#REF!,9,0),0)/COUNTIFS(DATA[COMBINADA],DATA[[#This Row],[COMBINADA]])</f>
        <v>0</v>
      </c>
      <c r="AK501" s="27">
        <f>IFERROR(VLOOKUP(DATA[[#This Row],[COMBINADA]],#REF!,6,0),0)</f>
        <v>0</v>
      </c>
      <c r="AL501" s="125">
        <f>IFERROR(VLOOKUP(DATA[[#This Row],[COMBINADA]],#REF!,9,0),0)/COUNTIFS(DATA[COMBINADA],DATA[[#This Row],[COMBINADA]])</f>
        <v>0</v>
      </c>
      <c r="AM501" s="27">
        <f>IFERROR(VLOOKUP(DATA[[#This Row],[COMBINADA]],#REF!,6,0),0)</f>
        <v>0</v>
      </c>
      <c r="AN501" s="125">
        <f>IFERROR(VLOOKUP(DATA[[#This Row],[COMBINADA]],#REF!,9,0),0)/COUNTIFS(DATA[COMBINADA],DATA[[#This Row],[COMBINADA]])</f>
        <v>0</v>
      </c>
      <c r="AO501" s="27">
        <f>IFERROR(VLOOKUP(DATA[[#This Row],[COMBINADA]],#REF!,6,0),0)</f>
        <v>0</v>
      </c>
      <c r="AP501" s="125">
        <f>IFERROR(VLOOKUP(DATA[[#This Row],[COMBINADA]],#REF!,9,0),0)/COUNTIFS(DATA[COMBINADA],DATA[[#This Row],[COMBINADA]])</f>
        <v>0</v>
      </c>
      <c r="AQ50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64.712499999999991</v>
      </c>
      <c r="AR501" s="26" t="str">
        <f>IFERROR(IF(DATA[[#This Row],[estado_fact]]="FACTURADO",VLOOKUP(DATA[[#This Row],[SERIE2]]&amp;"-"&amp;DATA[[#This Row],[NUMERO]],#REF!,34,0),"NO CORRESPONDE"),"NO CORRESPONDE")</f>
        <v>NO CORRESPONDE</v>
      </c>
      <c r="AS501" s="22" t="str">
        <f>IF(DATA[[#This Row],[fecha_fs]]&gt;0,TEXT(DATA[[#This Row],[fecha_fs]],"Mmmm"),0)</f>
        <v>Abril</v>
      </c>
      <c r="AT501" s="22" t="str">
        <f>DATA[[#This Row],[SERIE2]]&amp;"-"&amp;DATA[[#This Row],[NUMERO]]</f>
        <v>FF01-62</v>
      </c>
      <c r="AU501" s="28">
        <f>DATA[[#This Row],[TOTAL]]*DATA[[#This Row],[T.C.]]</f>
        <v>48.53</v>
      </c>
      <c r="AV501" s="6">
        <f>DATA[[#This Row],[FECHA DE VAL.]]</f>
        <v>45775</v>
      </c>
      <c r="AW501" s="6">
        <f>DATA[[#This Row],[FECHA DE EMISION]]</f>
        <v>45777</v>
      </c>
      <c r="AX501" s="6">
        <f>DATA[[#This Row],[F1]]</f>
        <v>0</v>
      </c>
      <c r="AY501" s="20">
        <f>IF(AV501-DATA[[#This Row],[fecha_fs]]&lt;0,0,AV501-DATA[[#This Row],[fecha_fs]])</f>
        <v>17</v>
      </c>
      <c r="AZ501" s="20">
        <f t="shared" si="51"/>
        <v>2</v>
      </c>
      <c r="BA501" s="20">
        <f t="shared" si="52"/>
        <v>0</v>
      </c>
      <c r="BB501" s="195">
        <f>IFERROR(SUM(DATA[[#This Row],[fs_val_ttf]:[fact_pago_ttf]]),0)</f>
        <v>19</v>
      </c>
      <c r="BC501" s="185">
        <v>45790</v>
      </c>
      <c r="BD501" s="185">
        <v>45798</v>
      </c>
      <c r="BE501" s="185">
        <v>45803</v>
      </c>
      <c r="BF501" s="185">
        <v>45804</v>
      </c>
      <c r="BG501" s="20">
        <f>IFERROR(IF(BC501-DATA[[#This Row],[fecha_fs]]&lt;0,0,BC501-DATA[[#This Row],[fecha_fs]]),0)</f>
        <v>32</v>
      </c>
      <c r="BH501" s="20">
        <f t="shared" si="53"/>
        <v>8</v>
      </c>
      <c r="BI501" s="20">
        <f t="shared" si="54"/>
        <v>5</v>
      </c>
      <c r="BJ501" s="20">
        <f t="shared" si="55"/>
        <v>1</v>
      </c>
      <c r="BK501" s="218">
        <f>IFERROR(SUM(DATA[[#This Row],[fs_fd_ttd]:[fend_fenf_ttd]]),0)</f>
        <v>46</v>
      </c>
      <c r="BL501" s="20" t="str">
        <f>IF(DATA[[#This Row],[fecha_fs]]&gt;0,TEXT(DATA[[#This Row],[fecha_fs]],"YYYY"),0)</f>
        <v>2025</v>
      </c>
      <c r="BM501" s="221" t="b">
        <v>1</v>
      </c>
      <c r="BN501" s="278">
        <f>COUNTIF(DATA[[#This Row],[tiempo_td]], "&lt;=15")</f>
        <v>0</v>
      </c>
      <c r="BO501" s="222"/>
    </row>
    <row r="502" spans="1:67" ht="30.6" customHeight="1" x14ac:dyDescent="0.25">
      <c r="A502" s="4">
        <v>20100192064</v>
      </c>
      <c r="B502" s="5" t="s">
        <v>60</v>
      </c>
      <c r="C502" s="52" t="s">
        <v>43</v>
      </c>
      <c r="D502" s="4" t="s">
        <v>120</v>
      </c>
      <c r="E502" s="5" t="s">
        <v>3</v>
      </c>
      <c r="F502" s="24">
        <v>45758</v>
      </c>
      <c r="G502" s="7" t="s">
        <v>113</v>
      </c>
      <c r="H502" s="25">
        <f t="shared" si="50"/>
        <v>1</v>
      </c>
      <c r="I502" s="67">
        <v>4367</v>
      </c>
      <c r="J502" s="8" t="s">
        <v>115</v>
      </c>
      <c r="K502" s="9" t="s">
        <v>121</v>
      </c>
      <c r="L502" s="10" t="s">
        <v>117</v>
      </c>
      <c r="M502" s="11">
        <v>920</v>
      </c>
      <c r="N502" s="12" t="s">
        <v>167</v>
      </c>
      <c r="O502" s="6">
        <v>45772</v>
      </c>
      <c r="P502" s="71">
        <v>3407</v>
      </c>
      <c r="Q502" s="14" t="s">
        <v>123</v>
      </c>
      <c r="R502" s="15">
        <f>(DATA[[#This Row],[cantidad_fs]]/1000)*(47+174.34)</f>
        <v>203.6328</v>
      </c>
      <c r="S502" s="15">
        <v>137</v>
      </c>
      <c r="T502" s="15">
        <f>DATA[[#This Row],[C. DF]]+DATA[[#This Row],[C.OPE.]]</f>
        <v>340.63279999999997</v>
      </c>
      <c r="U502" s="15">
        <f>DATA[[#This Row],[SUB TOTAL]]*0.18</f>
        <v>61.313903999999994</v>
      </c>
      <c r="V502" s="15">
        <f>IFERROR(ROUND(DATA[[#This Row],[SUB TOTAL]]+DATA[[#This Row],[IGV]],2),0)</f>
        <v>401.95</v>
      </c>
      <c r="W502" s="16" t="str">
        <f>IF(DATA[[#This Row],[VALORIZACIÓN ]]="-","NO CORRESPONDE",IF(OR(A502=20558226979,A502=10470707866,A502=20111157058,A502=20100226902),"NO CORRESPONDE",IF(J502="Emitida",IF(P502&gt;0,"EMITIDA","PENDIENTE"),"NO CORRESPONDE")))</f>
        <v>EMITIDA</v>
      </c>
      <c r="X502" s="29"/>
      <c r="Y502" s="17" t="s">
        <v>118</v>
      </c>
      <c r="Z502" s="30">
        <v>45776</v>
      </c>
      <c r="AA502" s="10" t="s">
        <v>150</v>
      </c>
      <c r="AB502" s="19">
        <v>54</v>
      </c>
      <c r="AC502" s="20">
        <v>30</v>
      </c>
      <c r="AD502" s="18">
        <f>DATA[[#This Row],[FECHA DE EMISION]]+DATA[[#This Row],[CONDICION DE PAGO]]</f>
        <v>45806</v>
      </c>
      <c r="AE502" s="23" t="e">
        <f>IF(DATA[[#This Row],[MONEDA]]="USD",VLOOKUP(DATA[[#This Row],[COMBINADA]],#REF!,11,0),1)</f>
        <v>#REF!</v>
      </c>
      <c r="AF502" s="39" t="str">
        <f>IF(DATA[[#This Row],[SERIE2]]="-","NO CORRESPONDE",IF(W502="NO CORRESPONDE","NO CORRESPONDE",IF(Z502&gt;0,"FACTURADO","PENDIENTE")))</f>
        <v>FACTURADO</v>
      </c>
      <c r="AG502" s="27">
        <f>IFERROR(VLOOKUP(DATA[[#This Row],[COMBINADA]],#REF!,6,0),0)</f>
        <v>0</v>
      </c>
      <c r="AH502" s="125">
        <f>IFERROR(VLOOKUP(DATA[[#This Row],[COMBINADA]],#REF!,9,0),0)/COUNTIFS(DATA[COMBINADA],DATA[[#This Row],[COMBINADA]])</f>
        <v>0</v>
      </c>
      <c r="AI502" s="27">
        <f>IFERROR(VLOOKUP(DATA[[#This Row],[COMBINADA]],#REF!,6,0),0)</f>
        <v>0</v>
      </c>
      <c r="AJ502" s="125">
        <f>IFERROR(VLOOKUP(DATA[[#This Row],[COMBINADA]],#REF!,9,0),0)/COUNTIFS(DATA[COMBINADA],DATA[[#This Row],[COMBINADA]])</f>
        <v>0</v>
      </c>
      <c r="AK502" s="27">
        <f>IFERROR(VLOOKUP(DATA[[#This Row],[COMBINADA]],#REF!,6,0),0)</f>
        <v>0</v>
      </c>
      <c r="AL502" s="125">
        <f>IFERROR(VLOOKUP(DATA[[#This Row],[COMBINADA]],#REF!,9,0),0)/COUNTIFS(DATA[COMBINADA],DATA[[#This Row],[COMBINADA]])</f>
        <v>0</v>
      </c>
      <c r="AM502" s="27">
        <f>IFERROR(VLOOKUP(DATA[[#This Row],[COMBINADA]],#REF!,6,0),0)</f>
        <v>0</v>
      </c>
      <c r="AN502" s="125">
        <f>IFERROR(VLOOKUP(DATA[[#This Row],[COMBINADA]],#REF!,9,0),0)/COUNTIFS(DATA[COMBINADA],DATA[[#This Row],[COMBINADA]])</f>
        <v>0</v>
      </c>
      <c r="AO502" s="27">
        <f>IFERROR(VLOOKUP(DATA[[#This Row],[COMBINADA]],#REF!,6,0),0)</f>
        <v>0</v>
      </c>
      <c r="AP502" s="125">
        <f>IFERROR(VLOOKUP(DATA[[#This Row],[COMBINADA]],#REF!,9,0),0)/COUNTIFS(DATA[COMBINADA],DATA[[#This Row],[COMBINADA]])</f>
        <v>0</v>
      </c>
      <c r="AQ50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548.94894736842105</v>
      </c>
      <c r="AR502" s="26" t="str">
        <f>IFERROR(IF(DATA[[#This Row],[estado_fact]]="FACTURADO",VLOOKUP(DATA[[#This Row],[SERIE2]]&amp;"-"&amp;DATA[[#This Row],[NUMERO]],#REF!,34,0),"NO CORRESPONDE"),"NO CORRESPONDE")</f>
        <v>NO CORRESPONDE</v>
      </c>
      <c r="AS502" s="22" t="str">
        <f>IF(DATA[[#This Row],[fecha_fs]]&gt;0,TEXT(DATA[[#This Row],[fecha_fs]],"Mmmm"),0)</f>
        <v>Abril</v>
      </c>
      <c r="AT502" s="22" t="str">
        <f>DATA[[#This Row],[SERIE2]]&amp;"-"&amp;DATA[[#This Row],[NUMERO]]</f>
        <v>FF01-54</v>
      </c>
      <c r="AU502" s="28" t="e">
        <f>DATA[[#This Row],[TOTAL]]*DATA[[#This Row],[T.C.]]</f>
        <v>#REF!</v>
      </c>
      <c r="AV502" s="6">
        <f>DATA[[#This Row],[FECHA DE VAL.]]</f>
        <v>45772</v>
      </c>
      <c r="AW502" s="6">
        <f>DATA[[#This Row],[FECHA DE EMISION]]</f>
        <v>45776</v>
      </c>
      <c r="AX502" s="6">
        <f>DATA[[#This Row],[F1]]</f>
        <v>0</v>
      </c>
      <c r="AY502" s="20">
        <f>IF(AV502-DATA[[#This Row],[fecha_fs]]&lt;0,0,AV502-DATA[[#This Row],[fecha_fs]])</f>
        <v>14</v>
      </c>
      <c r="AZ502" s="20">
        <f t="shared" si="51"/>
        <v>4</v>
      </c>
      <c r="BA502" s="20">
        <f t="shared" si="52"/>
        <v>0</v>
      </c>
      <c r="BB502" s="195">
        <f>IFERROR(SUM(DATA[[#This Row],[fs_val_ttf]:[fact_pago_ttf]]),0)</f>
        <v>18</v>
      </c>
      <c r="BC502" s="185">
        <v>45786</v>
      </c>
      <c r="BD502" s="185">
        <v>45806</v>
      </c>
      <c r="BE502" s="185">
        <v>45810</v>
      </c>
      <c r="BF502" s="185">
        <v>45831</v>
      </c>
      <c r="BG502" s="20">
        <f>IFERROR(IF(BC502-DATA[[#This Row],[fecha_fs]]&lt;0,0,BC502-DATA[[#This Row],[fecha_fs]]),0)</f>
        <v>28</v>
      </c>
      <c r="BH502" s="20">
        <f t="shared" si="53"/>
        <v>20</v>
      </c>
      <c r="BI502" s="20">
        <f t="shared" si="54"/>
        <v>4</v>
      </c>
      <c r="BJ502" s="20">
        <f t="shared" si="55"/>
        <v>21</v>
      </c>
      <c r="BK502" s="218">
        <f>IFERROR(SUM(DATA[[#This Row],[fs_fd_ttd]:[fend_fenf_ttd]]),0)</f>
        <v>73</v>
      </c>
      <c r="BL502" s="20" t="str">
        <f>IF(DATA[[#This Row],[fecha_fs]]&gt;0,TEXT(DATA[[#This Row],[fecha_fs]],"YYYY"),0)</f>
        <v>2025</v>
      </c>
      <c r="BM502" s="221" t="b">
        <v>1</v>
      </c>
      <c r="BN502" s="278">
        <f>COUNTIF(DATA[[#This Row],[tiempo_td]], "&lt;=15")</f>
        <v>0</v>
      </c>
      <c r="BO502" s="222"/>
    </row>
    <row r="503" spans="1:67" ht="30.6" customHeight="1" x14ac:dyDescent="0.25">
      <c r="A503" s="4">
        <v>20100192064</v>
      </c>
      <c r="B503" s="5" t="s">
        <v>60</v>
      </c>
      <c r="C503" s="52" t="s">
        <v>43</v>
      </c>
      <c r="D503" s="4" t="s">
        <v>112</v>
      </c>
      <c r="E503" s="5" t="s">
        <v>1</v>
      </c>
      <c r="F503" s="24">
        <v>45758</v>
      </c>
      <c r="G503" s="7" t="s">
        <v>113</v>
      </c>
      <c r="H503" s="25">
        <f t="shared" si="50"/>
        <v>1</v>
      </c>
      <c r="I503" s="67">
        <v>4368</v>
      </c>
      <c r="J503" s="8" t="s">
        <v>115</v>
      </c>
      <c r="K503" s="9" t="s">
        <v>116</v>
      </c>
      <c r="L503" s="10" t="s">
        <v>117</v>
      </c>
      <c r="M503" s="11">
        <v>550</v>
      </c>
      <c r="N503" s="12" t="s">
        <v>132</v>
      </c>
      <c r="O503" s="6">
        <v>45772</v>
      </c>
      <c r="P503" s="71">
        <v>3408</v>
      </c>
      <c r="Q503" s="14" t="s">
        <v>123</v>
      </c>
      <c r="R503" s="15">
        <f>(DATA[[#This Row],[cantidad_fs]]/1000)*(143+175.34)</f>
        <v>175.08700000000002</v>
      </c>
      <c r="S503" s="15">
        <v>137</v>
      </c>
      <c r="T503" s="15">
        <f>DATA[[#This Row],[C. DF]]+DATA[[#This Row],[C.OPE.]]</f>
        <v>312.08699999999999</v>
      </c>
      <c r="U503" s="15">
        <f>DATA[[#This Row],[SUB TOTAL]]*0.18</f>
        <v>56.175659999999993</v>
      </c>
      <c r="V503" s="15">
        <f>IFERROR(ROUND(DATA[[#This Row],[SUB TOTAL]]+DATA[[#This Row],[IGV]],2),0)</f>
        <v>368.26</v>
      </c>
      <c r="W503" s="16" t="str">
        <f>IF(DATA[[#This Row],[VALORIZACIÓN ]]="-","NO CORRESPONDE",IF(OR(A503=20558226979,A503=10470707866,A503=20111157058,A503=20100226902),"NO CORRESPONDE",IF(J503="Emitida",IF(P503&gt;0,"EMITIDA","PENDIENTE"),"NO CORRESPONDE")))</f>
        <v>EMITIDA</v>
      </c>
      <c r="X503" s="29"/>
      <c r="Y503" s="17" t="s">
        <v>118</v>
      </c>
      <c r="Z503" s="30">
        <v>45776</v>
      </c>
      <c r="AA503" s="10" t="s">
        <v>150</v>
      </c>
      <c r="AB503" s="19">
        <v>54</v>
      </c>
      <c r="AC503" s="20">
        <v>30</v>
      </c>
      <c r="AD503" s="18">
        <f>DATA[[#This Row],[FECHA DE EMISION]]+DATA[[#This Row],[CONDICION DE PAGO]]</f>
        <v>45806</v>
      </c>
      <c r="AE503" s="23" t="e">
        <f>IF(DATA[[#This Row],[MONEDA]]="USD",VLOOKUP(DATA[[#This Row],[COMBINADA]],#REF!,11,0),1)</f>
        <v>#REF!</v>
      </c>
      <c r="AF503" s="39" t="str">
        <f>IF(DATA[[#This Row],[SERIE2]]="-","NO CORRESPONDE",IF(W503="NO CORRESPONDE","NO CORRESPONDE",IF(Z503&gt;0,"FACTURADO","PENDIENTE")))</f>
        <v>FACTURADO</v>
      </c>
      <c r="AG503" s="27">
        <f>IFERROR(VLOOKUP(DATA[[#This Row],[COMBINADA]],#REF!,6,0),0)</f>
        <v>0</v>
      </c>
      <c r="AH503" s="125">
        <f>IFERROR(VLOOKUP(DATA[[#This Row],[COMBINADA]],#REF!,9,0),0)/COUNTIFS(DATA[COMBINADA],DATA[[#This Row],[COMBINADA]])</f>
        <v>0</v>
      </c>
      <c r="AI503" s="27">
        <f>IFERROR(VLOOKUP(DATA[[#This Row],[COMBINADA]],#REF!,6,0),0)</f>
        <v>0</v>
      </c>
      <c r="AJ503" s="125">
        <f>IFERROR(VLOOKUP(DATA[[#This Row],[COMBINADA]],#REF!,9,0),0)/COUNTIFS(DATA[COMBINADA],DATA[[#This Row],[COMBINADA]])</f>
        <v>0</v>
      </c>
      <c r="AK503" s="27">
        <f>IFERROR(VLOOKUP(DATA[[#This Row],[COMBINADA]],#REF!,6,0),0)</f>
        <v>0</v>
      </c>
      <c r="AL503" s="125">
        <f>IFERROR(VLOOKUP(DATA[[#This Row],[COMBINADA]],#REF!,9,0),0)/COUNTIFS(DATA[COMBINADA],DATA[[#This Row],[COMBINADA]])</f>
        <v>0</v>
      </c>
      <c r="AM503" s="27">
        <f>IFERROR(VLOOKUP(DATA[[#This Row],[COMBINADA]],#REF!,6,0),0)</f>
        <v>0</v>
      </c>
      <c r="AN503" s="125">
        <f>IFERROR(VLOOKUP(DATA[[#This Row],[COMBINADA]],#REF!,9,0),0)/COUNTIFS(DATA[COMBINADA],DATA[[#This Row],[COMBINADA]])</f>
        <v>0</v>
      </c>
      <c r="AO503" s="27">
        <f>IFERROR(VLOOKUP(DATA[[#This Row],[COMBINADA]],#REF!,6,0),0)</f>
        <v>0</v>
      </c>
      <c r="AP503" s="125">
        <f>IFERROR(VLOOKUP(DATA[[#This Row],[COMBINADA]],#REF!,9,0),0)/COUNTIFS(DATA[COMBINADA],DATA[[#This Row],[COMBINADA]])</f>
        <v>0</v>
      </c>
      <c r="AQ50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548.94894736842105</v>
      </c>
      <c r="AR503" s="26" t="str">
        <f>IFERROR(IF(DATA[[#This Row],[estado_fact]]="FACTURADO",VLOOKUP(DATA[[#This Row],[SERIE2]]&amp;"-"&amp;DATA[[#This Row],[NUMERO]],#REF!,34,0),"NO CORRESPONDE"),"NO CORRESPONDE")</f>
        <v>NO CORRESPONDE</v>
      </c>
      <c r="AS503" s="22" t="str">
        <f>IF(DATA[[#This Row],[fecha_fs]]&gt;0,TEXT(DATA[[#This Row],[fecha_fs]],"Mmmm"),0)</f>
        <v>Abril</v>
      </c>
      <c r="AT503" s="22" t="str">
        <f>DATA[[#This Row],[SERIE2]]&amp;"-"&amp;DATA[[#This Row],[NUMERO]]</f>
        <v>FF01-54</v>
      </c>
      <c r="AU503" s="28" t="e">
        <f>DATA[[#This Row],[TOTAL]]*DATA[[#This Row],[T.C.]]</f>
        <v>#REF!</v>
      </c>
      <c r="AV503" s="6">
        <f>DATA[[#This Row],[FECHA DE VAL.]]</f>
        <v>45772</v>
      </c>
      <c r="AW503" s="6">
        <f>DATA[[#This Row],[FECHA DE EMISION]]</f>
        <v>45776</v>
      </c>
      <c r="AX503" s="6">
        <f>DATA[[#This Row],[F1]]</f>
        <v>0</v>
      </c>
      <c r="AY503" s="20">
        <f>IF(AV503-DATA[[#This Row],[fecha_fs]]&lt;0,0,AV503-DATA[[#This Row],[fecha_fs]])</f>
        <v>14</v>
      </c>
      <c r="AZ503" s="20">
        <f t="shared" si="51"/>
        <v>4</v>
      </c>
      <c r="BA503" s="20">
        <f t="shared" si="52"/>
        <v>0</v>
      </c>
      <c r="BB503" s="195">
        <f>IFERROR(SUM(DATA[[#This Row],[fs_val_ttf]:[fact_pago_ttf]]),0)</f>
        <v>18</v>
      </c>
      <c r="BC503" s="185">
        <v>45772</v>
      </c>
      <c r="BD503" s="185">
        <v>45782</v>
      </c>
      <c r="BE503" s="185">
        <v>45786</v>
      </c>
      <c r="BF503" s="185">
        <v>45831</v>
      </c>
      <c r="BG503" s="20">
        <f>IFERROR(IF(BC503-DATA[[#This Row],[fecha_fs]]&lt;0,0,BC503-DATA[[#This Row],[fecha_fs]]),0)</f>
        <v>14</v>
      </c>
      <c r="BH503" s="20">
        <f t="shared" si="53"/>
        <v>10</v>
      </c>
      <c r="BI503" s="20">
        <f t="shared" si="54"/>
        <v>4</v>
      </c>
      <c r="BJ503" s="20">
        <f t="shared" si="55"/>
        <v>45</v>
      </c>
      <c r="BK503" s="218">
        <f>IFERROR(SUM(DATA[[#This Row],[fs_fd_ttd]:[fend_fenf_ttd]]),0)</f>
        <v>73</v>
      </c>
      <c r="BL503" s="20" t="str">
        <f>IF(DATA[[#This Row],[fecha_fs]]&gt;0,TEXT(DATA[[#This Row],[fecha_fs]],"YYYY"),0)</f>
        <v>2025</v>
      </c>
      <c r="BM503" s="221" t="b">
        <v>1</v>
      </c>
      <c r="BN503" s="278">
        <f>COUNTIF(DATA[[#This Row],[tiempo_td]], "&lt;=15")</f>
        <v>0</v>
      </c>
      <c r="BO503" s="222"/>
    </row>
    <row r="504" spans="1:67" ht="30.6" customHeight="1" x14ac:dyDescent="0.25">
      <c r="A504" s="4">
        <v>20419158462</v>
      </c>
      <c r="B504" s="5" t="s">
        <v>2</v>
      </c>
      <c r="C504" s="52" t="s">
        <v>147</v>
      </c>
      <c r="D504" s="4" t="s">
        <v>120</v>
      </c>
      <c r="E504" s="5" t="s">
        <v>3</v>
      </c>
      <c r="F504" s="24">
        <v>45758</v>
      </c>
      <c r="G504" s="7" t="s">
        <v>113</v>
      </c>
      <c r="H504" s="25">
        <f t="shared" si="50"/>
        <v>1</v>
      </c>
      <c r="I504" s="67">
        <v>4369</v>
      </c>
      <c r="J504" s="8" t="s">
        <v>115</v>
      </c>
      <c r="K504" s="9" t="s">
        <v>148</v>
      </c>
      <c r="L504" s="10" t="s">
        <v>117</v>
      </c>
      <c r="M504" s="11">
        <v>3180</v>
      </c>
      <c r="N504" s="12" t="s">
        <v>122</v>
      </c>
      <c r="O504" s="6">
        <v>45770</v>
      </c>
      <c r="P504" s="83">
        <v>3399</v>
      </c>
      <c r="Q504" s="14" t="s">
        <v>85</v>
      </c>
      <c r="R504" s="74"/>
      <c r="S504" s="15">
        <v>2597.6999999999998</v>
      </c>
      <c r="T504" s="15">
        <f>DATA[[#This Row],[C. DF]]+DATA[[#This Row],[C.OPE.]]</f>
        <v>2597.6999999999998</v>
      </c>
      <c r="U504" s="15">
        <f>DATA[[#This Row],[SUB TOTAL]]*0.18</f>
        <v>467.58599999999996</v>
      </c>
      <c r="V504" s="15">
        <f>IFERROR(ROUND(DATA[[#This Row],[SUB TOTAL]]+DATA[[#This Row],[IGV]],2),0)</f>
        <v>3065.29</v>
      </c>
      <c r="W504" s="16" t="str">
        <f>IF(DATA[[#This Row],[VALORIZACIÓN ]]="-","NO CORRESPONDE",IF(OR(A504=20558226979,A504=10470707866,A504=20111157058,A504=20100226902),"NO CORRESPONDE",IF(J504="Emitida",IF(P504&gt;0,"EMITIDA","PENDIENTE"),"NO CORRESPONDE")))</f>
        <v>EMITIDA</v>
      </c>
      <c r="X504" s="29" t="s">
        <v>234</v>
      </c>
      <c r="Y504" s="17" t="s">
        <v>118</v>
      </c>
      <c r="Z504" s="30">
        <v>45846</v>
      </c>
      <c r="AA504" s="10" t="s">
        <v>150</v>
      </c>
      <c r="AB504" s="19">
        <v>157</v>
      </c>
      <c r="AC504" s="20">
        <v>15</v>
      </c>
      <c r="AD504" s="18">
        <f>DATA[[#This Row],[FECHA DE EMISION]]+DATA[[#This Row],[CONDICION DE PAGO]]</f>
        <v>45861</v>
      </c>
      <c r="AE504" s="23">
        <f>IF(DATA[[#This Row],[MONEDA]]="USD",VLOOKUP(DATA[[#This Row],[COMBINADA]],#REF!,11,0),1)</f>
        <v>1</v>
      </c>
      <c r="AF504" s="39" t="str">
        <f>IF(DATA[[#This Row],[SERIE2]]="-","NO CORRESPONDE",IF(W504="NO CORRESPONDE","NO CORRESPONDE",IF(Z504&gt;0,"FACTURADO","PENDIENTE")))</f>
        <v>FACTURADO</v>
      </c>
      <c r="AG504" s="27">
        <f>IFERROR(VLOOKUP(DATA[[#This Row],[COMBINADA]],#REF!,6,0),0)</f>
        <v>0</v>
      </c>
      <c r="AH504" s="125">
        <f>IFERROR(VLOOKUP(DATA[[#This Row],[COMBINADA]],#REF!,9,0),0)/COUNTIFS(DATA[COMBINADA],DATA[[#This Row],[COMBINADA]])</f>
        <v>0</v>
      </c>
      <c r="AI504" s="27">
        <f>IFERROR(VLOOKUP(DATA[[#This Row],[COMBINADA]],#REF!,6,0),0)</f>
        <v>0</v>
      </c>
      <c r="AJ504" s="125">
        <f>IFERROR(VLOOKUP(DATA[[#This Row],[COMBINADA]],#REF!,9,0),0)/COUNTIFS(DATA[COMBINADA],DATA[[#This Row],[COMBINADA]])</f>
        <v>0</v>
      </c>
      <c r="AK504" s="27">
        <f>IFERROR(VLOOKUP(DATA[[#This Row],[COMBINADA]],#REF!,6,0),0)</f>
        <v>0</v>
      </c>
      <c r="AL504" s="125">
        <f>IFERROR(VLOOKUP(DATA[[#This Row],[COMBINADA]],#REF!,9,0),0)/COUNTIFS(DATA[COMBINADA],DATA[[#This Row],[COMBINADA]])</f>
        <v>0</v>
      </c>
      <c r="AM504" s="27">
        <f>IFERROR(VLOOKUP(DATA[[#This Row],[COMBINADA]],#REF!,6,0),0)</f>
        <v>0</v>
      </c>
      <c r="AN504" s="125">
        <f>IFERROR(VLOOKUP(DATA[[#This Row],[COMBINADA]],#REF!,9,0),0)/COUNTIFS(DATA[COMBINADA],DATA[[#This Row],[COMBINADA]])</f>
        <v>0</v>
      </c>
      <c r="AO504" s="27">
        <f>IFERROR(VLOOKUP(DATA[[#This Row],[COMBINADA]],#REF!,6,0),0)</f>
        <v>0</v>
      </c>
      <c r="AP504" s="125">
        <f>IFERROR(VLOOKUP(DATA[[#This Row],[COMBINADA]],#REF!,9,0),0)/COUNTIFS(DATA[COMBINADA],DATA[[#This Row],[COMBINADA]])</f>
        <v>0</v>
      </c>
      <c r="AQ50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3065.29</v>
      </c>
      <c r="AR504" s="26" t="str">
        <f>IFERROR(IF(DATA[[#This Row],[estado_fact]]="FACTURADO",VLOOKUP(DATA[[#This Row],[SERIE2]]&amp;"-"&amp;DATA[[#This Row],[NUMERO]],#REF!,34,0),"NO CORRESPONDE"),"NO CORRESPONDE")</f>
        <v>NO CORRESPONDE</v>
      </c>
      <c r="AS504" s="22" t="str">
        <f>IF(DATA[[#This Row],[fecha_fs]]&gt;0,TEXT(DATA[[#This Row],[fecha_fs]],"Mmmm"),0)</f>
        <v>Abril</v>
      </c>
      <c r="AT504" s="22" t="str">
        <f>DATA[[#This Row],[SERIE2]]&amp;"-"&amp;DATA[[#This Row],[NUMERO]]</f>
        <v>FF01-157</v>
      </c>
      <c r="AU504" s="28">
        <f>DATA[[#This Row],[TOTAL]]*DATA[[#This Row],[T.C.]]</f>
        <v>3065.29</v>
      </c>
      <c r="AV504" s="6">
        <f>DATA[[#This Row],[FECHA DE VAL.]]</f>
        <v>45770</v>
      </c>
      <c r="AW504" s="6">
        <f>DATA[[#This Row],[FECHA DE EMISION]]</f>
        <v>45846</v>
      </c>
      <c r="AX504" s="6">
        <f>DATA[[#This Row],[F1]]</f>
        <v>0</v>
      </c>
      <c r="AY504" s="20">
        <f>IF(AV504-DATA[[#This Row],[fecha_fs]]&lt;0,0,AV504-DATA[[#This Row],[fecha_fs]])</f>
        <v>12</v>
      </c>
      <c r="AZ504" s="20">
        <f t="shared" si="51"/>
        <v>76</v>
      </c>
      <c r="BA504" s="20">
        <f t="shared" si="52"/>
        <v>0</v>
      </c>
      <c r="BB504" s="195">
        <f>IFERROR(SUM(DATA[[#This Row],[fs_val_ttf]:[fact_pago_ttf]]),0)</f>
        <v>88</v>
      </c>
      <c r="BC504" s="185">
        <v>45758</v>
      </c>
      <c r="BD504" s="185">
        <v>45758</v>
      </c>
      <c r="BE504" s="185">
        <v>45783</v>
      </c>
      <c r="BF504" s="185">
        <v>45783</v>
      </c>
      <c r="BG504" s="20">
        <f>IFERROR(IF(BC504-DATA[[#This Row],[fecha_fs]]&lt;0,0,BC504-DATA[[#This Row],[fecha_fs]]),0)</f>
        <v>0</v>
      </c>
      <c r="BH504" s="20">
        <f t="shared" si="53"/>
        <v>0</v>
      </c>
      <c r="BI504" s="20">
        <f t="shared" si="54"/>
        <v>25</v>
      </c>
      <c r="BJ504" s="20">
        <f t="shared" si="55"/>
        <v>0</v>
      </c>
      <c r="BK504" s="218">
        <f>IFERROR(SUM(DATA[[#This Row],[fs_fd_ttd]:[fend_fenf_ttd]]),0)</f>
        <v>25</v>
      </c>
      <c r="BL504" s="20" t="str">
        <f>IF(DATA[[#This Row],[fecha_fs]]&gt;0,TEXT(DATA[[#This Row],[fecha_fs]],"YYYY"),0)</f>
        <v>2025</v>
      </c>
      <c r="BM504" s="221" t="b">
        <v>1</v>
      </c>
      <c r="BN504" s="278">
        <f>COUNTIF(DATA[[#This Row],[tiempo_td]], "&lt;=15")</f>
        <v>0</v>
      </c>
      <c r="BO504" s="222"/>
    </row>
    <row r="505" spans="1:67" ht="30.6" customHeight="1" x14ac:dyDescent="0.25">
      <c r="A505" s="4">
        <v>20546530184</v>
      </c>
      <c r="B505" s="5" t="s">
        <v>50</v>
      </c>
      <c r="C505" s="52" t="s">
        <v>248</v>
      </c>
      <c r="D505" s="4" t="s">
        <v>120</v>
      </c>
      <c r="E505" s="5" t="s">
        <v>3</v>
      </c>
      <c r="F505" s="24">
        <v>45758</v>
      </c>
      <c r="G505" s="7" t="s">
        <v>113</v>
      </c>
      <c r="H505" s="25">
        <f t="shared" si="50"/>
        <v>1</v>
      </c>
      <c r="I505" s="67">
        <v>4370</v>
      </c>
      <c r="J505" s="8" t="s">
        <v>115</v>
      </c>
      <c r="K505" s="9" t="s">
        <v>121</v>
      </c>
      <c r="L505" s="10" t="s">
        <v>117</v>
      </c>
      <c r="M505" s="11">
        <v>310</v>
      </c>
      <c r="N505" s="12" t="s">
        <v>125</v>
      </c>
      <c r="O505" s="6">
        <v>45758</v>
      </c>
      <c r="P505" s="13">
        <v>3390</v>
      </c>
      <c r="Q505" s="14" t="s">
        <v>85</v>
      </c>
      <c r="R505" s="15">
        <f>154+((DATA[[#This Row],[cantidad_fs]]-200)*0.77)</f>
        <v>238.7</v>
      </c>
      <c r="S505" s="15">
        <v>599</v>
      </c>
      <c r="T505" s="15">
        <f>DATA[[#This Row],[C. DF]]+DATA[[#This Row],[C.OPE.]]</f>
        <v>837.7</v>
      </c>
      <c r="U505" s="15">
        <f>DATA[[#This Row],[SUB TOTAL]]*0.18</f>
        <v>150.786</v>
      </c>
      <c r="V505" s="15">
        <f>IFERROR(ROUND(DATA[[#This Row],[SUB TOTAL]]+DATA[[#This Row],[IGV]],2),0)</f>
        <v>988.49</v>
      </c>
      <c r="W505" s="16" t="str">
        <f>IF(DATA[[#This Row],[VALORIZACIÓN ]]="-","NO CORRESPONDE",IF(OR(A505=20558226979,A505=10470707866,A505=20111157058,A505=20100226902),"NO CORRESPONDE",IF(J505="Emitida",IF(P505&gt;0,"EMITIDA","PENDIENTE"),"NO CORRESPONDE")))</f>
        <v>EMITIDA</v>
      </c>
      <c r="X505" s="29"/>
      <c r="Y505" s="17" t="s">
        <v>118</v>
      </c>
      <c r="Z505" s="30">
        <v>45763</v>
      </c>
      <c r="AA505" s="10" t="s">
        <v>150</v>
      </c>
      <c r="AB505" s="19">
        <v>39</v>
      </c>
      <c r="AC505" s="20">
        <v>30</v>
      </c>
      <c r="AD505" s="18">
        <f>DATA[[#This Row],[FECHA DE EMISION]]+DATA[[#This Row],[CONDICION DE PAGO]]</f>
        <v>45793</v>
      </c>
      <c r="AE505" s="23">
        <f>IF(DATA[[#This Row],[MONEDA]]="USD",VLOOKUP(DATA[[#This Row],[COMBINADA]],#REF!,11,0),1)</f>
        <v>1</v>
      </c>
      <c r="AF505" s="39" t="str">
        <f>IF(DATA[[#This Row],[SERIE2]]="-","NO CORRESPONDE",IF(W505="NO CORRESPONDE","NO CORRESPONDE",IF(Z505&gt;0,"FACTURADO","PENDIENTE")))</f>
        <v>FACTURADO</v>
      </c>
      <c r="AG505" s="27">
        <f>IFERROR(VLOOKUP(DATA[[#This Row],[COMBINADA]],#REF!,6,0),0)</f>
        <v>0</v>
      </c>
      <c r="AH505" s="125">
        <f>IFERROR(VLOOKUP(DATA[[#This Row],[COMBINADA]],#REF!,9,0),0)/COUNTIFS(DATA[COMBINADA],DATA[[#This Row],[COMBINADA]])</f>
        <v>0</v>
      </c>
      <c r="AI505" s="27">
        <f>IFERROR(VLOOKUP(DATA[[#This Row],[COMBINADA]],#REF!,6,0),0)</f>
        <v>0</v>
      </c>
      <c r="AJ505" s="125">
        <f>IFERROR(VLOOKUP(DATA[[#This Row],[COMBINADA]],#REF!,9,0),0)/COUNTIFS(DATA[COMBINADA],DATA[[#This Row],[COMBINADA]])</f>
        <v>0</v>
      </c>
      <c r="AK505" s="27">
        <f>IFERROR(VLOOKUP(DATA[[#This Row],[COMBINADA]],#REF!,6,0),0)</f>
        <v>0</v>
      </c>
      <c r="AL505" s="125">
        <f>IFERROR(VLOOKUP(DATA[[#This Row],[COMBINADA]],#REF!,9,0),0)/COUNTIFS(DATA[COMBINADA],DATA[[#This Row],[COMBINADA]])</f>
        <v>0</v>
      </c>
      <c r="AM505" s="27">
        <f>IFERROR(VLOOKUP(DATA[[#This Row],[COMBINADA]],#REF!,6,0),0)</f>
        <v>0</v>
      </c>
      <c r="AN505" s="125">
        <f>IFERROR(VLOOKUP(DATA[[#This Row],[COMBINADA]],#REF!,9,0),0)/COUNTIFS(DATA[COMBINADA],DATA[[#This Row],[COMBINADA]])</f>
        <v>0</v>
      </c>
      <c r="AO505" s="27">
        <f>IFERROR(VLOOKUP(DATA[[#This Row],[COMBINADA]],#REF!,6,0),0)</f>
        <v>0</v>
      </c>
      <c r="AP505" s="125">
        <f>IFERROR(VLOOKUP(DATA[[#This Row],[COMBINADA]],#REF!,9,0),0)/COUNTIFS(DATA[COMBINADA],DATA[[#This Row],[COMBINADA]])</f>
        <v>0</v>
      </c>
      <c r="AQ50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988.49</v>
      </c>
      <c r="AR505" s="26" t="str">
        <f>IFERROR(IF(DATA[[#This Row],[estado_fact]]="FACTURADO",VLOOKUP(DATA[[#This Row],[SERIE2]]&amp;"-"&amp;DATA[[#This Row],[NUMERO]],#REF!,34,0),"NO CORRESPONDE"),"NO CORRESPONDE")</f>
        <v>NO CORRESPONDE</v>
      </c>
      <c r="AS505" s="22" t="str">
        <f>IF(DATA[[#This Row],[fecha_fs]]&gt;0,TEXT(DATA[[#This Row],[fecha_fs]],"Mmmm"),0)</f>
        <v>Abril</v>
      </c>
      <c r="AT505" s="22" t="str">
        <f>DATA[[#This Row],[SERIE2]]&amp;"-"&amp;DATA[[#This Row],[NUMERO]]</f>
        <v>FF01-39</v>
      </c>
      <c r="AU505" s="28">
        <f>DATA[[#This Row],[TOTAL]]*DATA[[#This Row],[T.C.]]</f>
        <v>988.49</v>
      </c>
      <c r="AV505" s="6">
        <f>DATA[[#This Row],[FECHA DE VAL.]]</f>
        <v>45758</v>
      </c>
      <c r="AW505" s="6">
        <f>DATA[[#This Row],[FECHA DE EMISION]]</f>
        <v>45763</v>
      </c>
      <c r="AX505" s="6">
        <f>DATA[[#This Row],[F1]]</f>
        <v>0</v>
      </c>
      <c r="AY505" s="20">
        <f>IF(AV505-DATA[[#This Row],[fecha_fs]]&lt;0,0,AV505-DATA[[#This Row],[fecha_fs]])</f>
        <v>0</v>
      </c>
      <c r="AZ505" s="20">
        <f t="shared" si="51"/>
        <v>5</v>
      </c>
      <c r="BA505" s="20">
        <f t="shared" si="52"/>
        <v>0</v>
      </c>
      <c r="BB505" s="195">
        <f>IFERROR(SUM(DATA[[#This Row],[fs_val_ttf]:[fact_pago_ttf]]),0)</f>
        <v>5</v>
      </c>
      <c r="BC505" s="185">
        <v>45779</v>
      </c>
      <c r="BD505" s="185">
        <v>45789</v>
      </c>
      <c r="BE505" s="185">
        <v>45796</v>
      </c>
      <c r="BF505" s="185">
        <v>45798</v>
      </c>
      <c r="BG505" s="20">
        <f>IFERROR(IF(BC505-DATA[[#This Row],[fecha_fs]]&lt;0,0,BC505-DATA[[#This Row],[fecha_fs]]),0)</f>
        <v>21</v>
      </c>
      <c r="BH505" s="20">
        <f t="shared" si="53"/>
        <v>10</v>
      </c>
      <c r="BI505" s="20">
        <f t="shared" si="54"/>
        <v>7</v>
      </c>
      <c r="BJ505" s="20">
        <f t="shared" si="55"/>
        <v>2</v>
      </c>
      <c r="BK505" s="218">
        <f>IFERROR(SUM(DATA[[#This Row],[fs_fd_ttd]:[fend_fenf_ttd]]),0)</f>
        <v>40</v>
      </c>
      <c r="BL505" s="20" t="str">
        <f>IF(DATA[[#This Row],[fecha_fs]]&gt;0,TEXT(DATA[[#This Row],[fecha_fs]],"YYYY"),0)</f>
        <v>2025</v>
      </c>
      <c r="BM505" s="221" t="b">
        <v>1</v>
      </c>
      <c r="BN505" s="278">
        <f>COUNTIF(DATA[[#This Row],[tiempo_td]], "&lt;=15")</f>
        <v>0</v>
      </c>
      <c r="BO505" s="222"/>
    </row>
    <row r="506" spans="1:67" ht="30.6" customHeight="1" x14ac:dyDescent="0.25">
      <c r="A506" s="4">
        <v>20558226979</v>
      </c>
      <c r="B506" s="5" t="s">
        <v>45</v>
      </c>
      <c r="C506" s="52" t="s">
        <v>18</v>
      </c>
      <c r="D506" s="4" t="s">
        <v>120</v>
      </c>
      <c r="E506" s="5" t="s">
        <v>3</v>
      </c>
      <c r="F506" s="24">
        <v>45758</v>
      </c>
      <c r="G506" s="7" t="s">
        <v>113</v>
      </c>
      <c r="H506" s="25">
        <f t="shared" si="50"/>
        <v>1</v>
      </c>
      <c r="I506" s="67">
        <v>4371</v>
      </c>
      <c r="J506" s="8" t="s">
        <v>115</v>
      </c>
      <c r="K506" s="9" t="s">
        <v>148</v>
      </c>
      <c r="L506" s="10" t="s">
        <v>117</v>
      </c>
      <c r="M506" s="11">
        <v>3180</v>
      </c>
      <c r="N506" s="12"/>
      <c r="O506" s="40"/>
      <c r="P506" s="41" t="s">
        <v>114</v>
      </c>
      <c r="Q506" s="42"/>
      <c r="R506" s="123"/>
      <c r="S506" s="123"/>
      <c r="T506" s="43">
        <f>DATA[[#This Row],[C. DF]]+DATA[[#This Row],[C.OPE.]]</f>
        <v>0</v>
      </c>
      <c r="U506" s="43">
        <f>DATA[[#This Row],[SUB TOTAL]]*0.18</f>
        <v>0</v>
      </c>
      <c r="V506" s="43">
        <f>IFERROR(ROUND(DATA[[#This Row],[SUB TOTAL]]+DATA[[#This Row],[IGV]],2),0)</f>
        <v>0</v>
      </c>
      <c r="W506" s="16" t="str">
        <f>IF(DATA[[#This Row],[VALORIZACIÓN ]]="-","NO CORRESPONDE",IF(OR(A506=20558226979,A506=10470707866,A506=20111157058,A506=20100226902),"NO CORRESPONDE",IF(J506="Emitida",IF(P506&gt;0,"EMITIDA","PENDIENTE"),"NO CORRESPONDE")))</f>
        <v>NO CORRESPONDE</v>
      </c>
      <c r="X506" s="29"/>
      <c r="Y506" s="17" t="s">
        <v>128</v>
      </c>
      <c r="Z506" s="30"/>
      <c r="AA506" s="10"/>
      <c r="AB506" s="19"/>
      <c r="AC506" s="20"/>
      <c r="AD506" s="18">
        <f>DATA[[#This Row],[FECHA DE EMISION]]+DATA[[#This Row],[CONDICION DE PAGO]]</f>
        <v>0</v>
      </c>
      <c r="AE506" s="23">
        <f>IF(DATA[[#This Row],[MONEDA]]="USD",VLOOKUP(DATA[[#This Row],[COMBINADA]],#REF!,11,0),1)</f>
        <v>1</v>
      </c>
      <c r="AF506" s="39" t="str">
        <f>IF(DATA[[#This Row],[SERIE2]]="-","NO CORRESPONDE",IF(W506="NO CORRESPONDE","NO CORRESPONDE",IF(Z506&gt;0,"FACTURADO","PENDIENTE")))</f>
        <v>NO CORRESPONDE</v>
      </c>
      <c r="AG506" s="27">
        <f>IFERROR(VLOOKUP(DATA[[#This Row],[COMBINADA]],#REF!,6,0),0)</f>
        <v>0</v>
      </c>
      <c r="AH506" s="125">
        <f>IFERROR(VLOOKUP(DATA[[#This Row],[COMBINADA]],#REF!,9,0),0)/COUNTIFS(DATA[COMBINADA],DATA[[#This Row],[COMBINADA]])</f>
        <v>0</v>
      </c>
      <c r="AI506" s="27">
        <f>IFERROR(VLOOKUP(DATA[[#This Row],[COMBINADA]],#REF!,6,0),0)</f>
        <v>0</v>
      </c>
      <c r="AJ506" s="125">
        <f>IFERROR(VLOOKUP(DATA[[#This Row],[COMBINADA]],#REF!,9,0),0)/COUNTIFS(DATA[COMBINADA],DATA[[#This Row],[COMBINADA]])</f>
        <v>0</v>
      </c>
      <c r="AK506" s="27">
        <f>IFERROR(VLOOKUP(DATA[[#This Row],[COMBINADA]],#REF!,6,0),0)</f>
        <v>0</v>
      </c>
      <c r="AL506" s="125">
        <f>IFERROR(VLOOKUP(DATA[[#This Row],[COMBINADA]],#REF!,9,0),0)/COUNTIFS(DATA[COMBINADA],DATA[[#This Row],[COMBINADA]])</f>
        <v>0</v>
      </c>
      <c r="AM506" s="27">
        <f>IFERROR(VLOOKUP(DATA[[#This Row],[COMBINADA]],#REF!,6,0),0)</f>
        <v>0</v>
      </c>
      <c r="AN506" s="125">
        <f>IFERROR(VLOOKUP(DATA[[#This Row],[COMBINADA]],#REF!,9,0),0)/COUNTIFS(DATA[COMBINADA],DATA[[#This Row],[COMBINADA]])</f>
        <v>0</v>
      </c>
      <c r="AO506" s="27">
        <f>IFERROR(VLOOKUP(DATA[[#This Row],[COMBINADA]],#REF!,6,0),0)</f>
        <v>0</v>
      </c>
      <c r="AP506" s="125">
        <f>IFERROR(VLOOKUP(DATA[[#This Row],[COMBINADA]],#REF!,9,0),0)/COUNTIFS(DATA[COMBINADA],DATA[[#This Row],[COMBINADA]])</f>
        <v>0</v>
      </c>
      <c r="AQ50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506" s="26" t="str">
        <f>IFERROR(IF(DATA[[#This Row],[estado_fact]]="FACTURADO",VLOOKUP(DATA[[#This Row],[SERIE2]]&amp;"-"&amp;DATA[[#This Row],[NUMERO]],#REF!,34,0),"NO CORRESPONDE"),"NO CORRESPONDE")</f>
        <v>NO CORRESPONDE</v>
      </c>
      <c r="AS506" s="22" t="str">
        <f>IF(DATA[[#This Row],[fecha_fs]]&gt;0,TEXT(DATA[[#This Row],[fecha_fs]],"Mmmm"),0)</f>
        <v>Abril</v>
      </c>
      <c r="AT506" s="22" t="str">
        <f>DATA[[#This Row],[SERIE2]]&amp;"-"&amp;DATA[[#This Row],[NUMERO]]</f>
        <v>-</v>
      </c>
      <c r="AU506" s="28">
        <f>DATA[[#This Row],[TOTAL]]*DATA[[#This Row],[T.C.]]</f>
        <v>0</v>
      </c>
      <c r="AV506" s="6">
        <f>DATA[[#This Row],[FECHA DE VAL.]]</f>
        <v>0</v>
      </c>
      <c r="AW506" s="6">
        <f>DATA[[#This Row],[FECHA DE EMISION]]</f>
        <v>0</v>
      </c>
      <c r="AX506" s="6">
        <f>DATA[[#This Row],[F1]]</f>
        <v>0</v>
      </c>
      <c r="AY506" s="20">
        <f>IF(AV506-DATA[[#This Row],[fecha_fs]]&lt;0,0,AV506-DATA[[#This Row],[fecha_fs]])</f>
        <v>0</v>
      </c>
      <c r="AZ506" s="20">
        <f t="shared" si="51"/>
        <v>0</v>
      </c>
      <c r="BA506" s="20">
        <f t="shared" si="52"/>
        <v>0</v>
      </c>
      <c r="BB506" s="195">
        <f>IFERROR(SUM(DATA[[#This Row],[fs_val_ttf]:[fact_pago_ttf]]),0)</f>
        <v>0</v>
      </c>
      <c r="BC506" s="185">
        <v>45758</v>
      </c>
      <c r="BD506" s="185">
        <v>45758</v>
      </c>
      <c r="BE506" s="185">
        <v>45793</v>
      </c>
      <c r="BF506" s="185">
        <v>45793</v>
      </c>
      <c r="BG506" s="20">
        <f>IFERROR(IF(BC506-DATA[[#This Row],[fecha_fs]]&lt;0,0,BC506-DATA[[#This Row],[fecha_fs]]),0)</f>
        <v>0</v>
      </c>
      <c r="BH506" s="20">
        <f t="shared" si="53"/>
        <v>0</v>
      </c>
      <c r="BI506" s="20">
        <f t="shared" si="54"/>
        <v>35</v>
      </c>
      <c r="BJ506" s="20">
        <f t="shared" si="55"/>
        <v>0</v>
      </c>
      <c r="BK506" s="218">
        <f>IFERROR(SUM(DATA[[#This Row],[fs_fd_ttd]:[fend_fenf_ttd]]),0)</f>
        <v>35</v>
      </c>
      <c r="BL506" s="20" t="str">
        <f>IF(DATA[[#This Row],[fecha_fs]]&gt;0,TEXT(DATA[[#This Row],[fecha_fs]],"YYYY"),0)</f>
        <v>2025</v>
      </c>
      <c r="BM506" s="221" t="b">
        <v>1</v>
      </c>
      <c r="BN506" s="278">
        <f>COUNTIF(DATA[[#This Row],[tiempo_td]], "&lt;=15")</f>
        <v>0</v>
      </c>
      <c r="BO506" s="222"/>
    </row>
    <row r="507" spans="1:67" ht="30.6" customHeight="1" x14ac:dyDescent="0.25">
      <c r="A507" s="4">
        <v>20455485461</v>
      </c>
      <c r="B507" s="5" t="s">
        <v>29</v>
      </c>
      <c r="C507" s="52" t="s">
        <v>18</v>
      </c>
      <c r="D507" s="4" t="s">
        <v>133</v>
      </c>
      <c r="E507" s="5" t="s">
        <v>291</v>
      </c>
      <c r="F507" s="24">
        <v>45758</v>
      </c>
      <c r="G507" s="7" t="s">
        <v>113</v>
      </c>
      <c r="H507" s="25">
        <f t="shared" si="50"/>
        <v>1</v>
      </c>
      <c r="I507" s="67">
        <v>4372</v>
      </c>
      <c r="J507" s="8" t="s">
        <v>115</v>
      </c>
      <c r="K507" s="9" t="s">
        <v>134</v>
      </c>
      <c r="L507" s="10" t="s">
        <v>117</v>
      </c>
      <c r="M507" s="11">
        <v>30</v>
      </c>
      <c r="N507" s="112" t="s">
        <v>200</v>
      </c>
      <c r="O507" s="6">
        <v>45758</v>
      </c>
      <c r="P507" s="13">
        <v>3391</v>
      </c>
      <c r="Q507" s="14" t="s">
        <v>85</v>
      </c>
      <c r="R507" s="15"/>
      <c r="S507" s="15">
        <v>690</v>
      </c>
      <c r="T507" s="15">
        <f>DATA[[#This Row],[C. DF]]+DATA[[#This Row],[C.OPE.]]</f>
        <v>690</v>
      </c>
      <c r="U507" s="15">
        <f>DATA[[#This Row],[SUB TOTAL]]*0.18</f>
        <v>124.19999999999999</v>
      </c>
      <c r="V507" s="15">
        <f>IFERROR(ROUND(DATA[[#This Row],[SUB TOTAL]]+DATA[[#This Row],[IGV]],2),0)</f>
        <v>814.2</v>
      </c>
      <c r="W507" s="16" t="str">
        <f>IF(DATA[[#This Row],[VALORIZACIÓN ]]="-","NO CORRESPONDE",IF(OR(A507=20558226979,A507=10470707866,A507=20111157058,A507=20100226902),"NO CORRESPONDE",IF(J507="Emitida",IF(P507&gt;0,"EMITIDA","PENDIENTE"),"NO CORRESPONDE")))</f>
        <v>EMITIDA</v>
      </c>
      <c r="X507" s="29"/>
      <c r="Y507" s="17" t="s">
        <v>118</v>
      </c>
      <c r="Z507" s="30">
        <v>45771</v>
      </c>
      <c r="AA507" s="10" t="s">
        <v>150</v>
      </c>
      <c r="AB507" s="19">
        <v>49</v>
      </c>
      <c r="AC507" s="20">
        <v>15</v>
      </c>
      <c r="AD507" s="18">
        <f>DATA[[#This Row],[FECHA DE EMISION]]+DATA[[#This Row],[CONDICION DE PAGO]]</f>
        <v>45786</v>
      </c>
      <c r="AE507" s="23">
        <f>IF(DATA[[#This Row],[MONEDA]]="USD",VLOOKUP(DATA[[#This Row],[COMBINADA]],#REF!,11,0),1)</f>
        <v>1</v>
      </c>
      <c r="AF507" s="39" t="str">
        <f>IF(DATA[[#This Row],[SERIE2]]="-","NO CORRESPONDE",IF(W507="NO CORRESPONDE","NO CORRESPONDE",IF(Z507&gt;0,"FACTURADO","PENDIENTE")))</f>
        <v>FACTURADO</v>
      </c>
      <c r="AG507" s="27">
        <f>IFERROR(VLOOKUP(DATA[[#This Row],[COMBINADA]],#REF!,6,0),0)</f>
        <v>0</v>
      </c>
      <c r="AH507" s="125">
        <f>IFERROR(VLOOKUP(DATA[[#This Row],[COMBINADA]],#REF!,9,0),0)/COUNTIFS(DATA[COMBINADA],DATA[[#This Row],[COMBINADA]])</f>
        <v>0</v>
      </c>
      <c r="AI507" s="27">
        <f>IFERROR(VLOOKUP(DATA[[#This Row],[COMBINADA]],#REF!,6,0),0)</f>
        <v>0</v>
      </c>
      <c r="AJ507" s="125">
        <f>IFERROR(VLOOKUP(DATA[[#This Row],[COMBINADA]],#REF!,9,0),0)/COUNTIFS(DATA[COMBINADA],DATA[[#This Row],[COMBINADA]])</f>
        <v>0</v>
      </c>
      <c r="AK507" s="27">
        <f>IFERROR(VLOOKUP(DATA[[#This Row],[COMBINADA]],#REF!,6,0),0)</f>
        <v>0</v>
      </c>
      <c r="AL507" s="125">
        <f>IFERROR(VLOOKUP(DATA[[#This Row],[COMBINADA]],#REF!,9,0),0)/COUNTIFS(DATA[COMBINADA],DATA[[#This Row],[COMBINADA]])</f>
        <v>0</v>
      </c>
      <c r="AM507" s="27">
        <f>IFERROR(VLOOKUP(DATA[[#This Row],[COMBINADA]],#REF!,6,0),0)</f>
        <v>0</v>
      </c>
      <c r="AN507" s="125">
        <f>IFERROR(VLOOKUP(DATA[[#This Row],[COMBINADA]],#REF!,9,0),0)/COUNTIFS(DATA[COMBINADA],DATA[[#This Row],[COMBINADA]])</f>
        <v>0</v>
      </c>
      <c r="AO507" s="27">
        <f>IFERROR(VLOOKUP(DATA[[#This Row],[COMBINADA]],#REF!,6,0),0)</f>
        <v>0</v>
      </c>
      <c r="AP507" s="125">
        <f>IFERROR(VLOOKUP(DATA[[#This Row],[COMBINADA]],#REF!,9,0),0)/COUNTIFS(DATA[COMBINADA],DATA[[#This Row],[COMBINADA]])</f>
        <v>0</v>
      </c>
      <c r="AQ50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814.2</v>
      </c>
      <c r="AR507" s="26" t="str">
        <f>IFERROR(IF(DATA[[#This Row],[estado_fact]]="FACTURADO",VLOOKUP(DATA[[#This Row],[SERIE2]]&amp;"-"&amp;DATA[[#This Row],[NUMERO]],#REF!,34,0),"NO CORRESPONDE"),"NO CORRESPONDE")</f>
        <v>NO CORRESPONDE</v>
      </c>
      <c r="AS507" s="22" t="str">
        <f>IF(DATA[[#This Row],[fecha_fs]]&gt;0,TEXT(DATA[[#This Row],[fecha_fs]],"Mmmm"),0)</f>
        <v>Abril</v>
      </c>
      <c r="AT507" s="22" t="str">
        <f>DATA[[#This Row],[SERIE2]]&amp;"-"&amp;DATA[[#This Row],[NUMERO]]</f>
        <v>FF01-49</v>
      </c>
      <c r="AU507" s="28">
        <f>DATA[[#This Row],[TOTAL]]*DATA[[#This Row],[T.C.]]</f>
        <v>814.2</v>
      </c>
      <c r="AV507" s="6">
        <f>DATA[[#This Row],[FECHA DE VAL.]]</f>
        <v>45758</v>
      </c>
      <c r="AW507" s="6">
        <f>DATA[[#This Row],[FECHA DE EMISION]]</f>
        <v>45771</v>
      </c>
      <c r="AX507" s="6">
        <f>DATA[[#This Row],[F1]]</f>
        <v>0</v>
      </c>
      <c r="AY507" s="20">
        <f>IF(AV507-DATA[[#This Row],[fecha_fs]]&lt;0,0,AV507-DATA[[#This Row],[fecha_fs]])</f>
        <v>0</v>
      </c>
      <c r="AZ507" s="20">
        <f t="shared" si="51"/>
        <v>13</v>
      </c>
      <c r="BA507" s="20">
        <f t="shared" si="52"/>
        <v>0</v>
      </c>
      <c r="BB507" s="195">
        <f>IFERROR(SUM(DATA[[#This Row],[fs_val_ttf]:[fact_pago_ttf]]),0)</f>
        <v>13</v>
      </c>
      <c r="BC507" s="185">
        <v>45770</v>
      </c>
      <c r="BD507" s="185">
        <v>45770</v>
      </c>
      <c r="BE507" s="185">
        <v>45790</v>
      </c>
      <c r="BF507" s="185">
        <v>45798</v>
      </c>
      <c r="BG507" s="20">
        <f>IFERROR(IF(BC507-DATA[[#This Row],[fecha_fs]]&lt;0,0,BC507-DATA[[#This Row],[fecha_fs]]),0)</f>
        <v>12</v>
      </c>
      <c r="BH507" s="20">
        <f t="shared" si="53"/>
        <v>0</v>
      </c>
      <c r="BI507" s="20">
        <f t="shared" si="54"/>
        <v>20</v>
      </c>
      <c r="BJ507" s="20">
        <f t="shared" si="55"/>
        <v>8</v>
      </c>
      <c r="BK507" s="218">
        <f>IFERROR(SUM(DATA[[#This Row],[fs_fd_ttd]:[fend_fenf_ttd]]),0)</f>
        <v>40</v>
      </c>
      <c r="BL507" s="20" t="str">
        <f>IF(DATA[[#This Row],[fecha_fs]]&gt;0,TEXT(DATA[[#This Row],[fecha_fs]],"YYYY"),0)</f>
        <v>2025</v>
      </c>
      <c r="BM507" s="221" t="b">
        <v>1</v>
      </c>
      <c r="BN507" s="278">
        <f>COUNTIF(DATA[[#This Row],[tiempo_td]], "&lt;=15")</f>
        <v>0</v>
      </c>
      <c r="BO507" s="222"/>
    </row>
    <row r="508" spans="1:67" ht="30.6" customHeight="1" x14ac:dyDescent="0.25">
      <c r="A508" s="4">
        <v>20100211115</v>
      </c>
      <c r="B508" s="5" t="s">
        <v>41</v>
      </c>
      <c r="C508" s="52" t="s">
        <v>18</v>
      </c>
      <c r="D508" s="4" t="s">
        <v>120</v>
      </c>
      <c r="E508" s="5" t="s">
        <v>3</v>
      </c>
      <c r="F508" s="24">
        <v>45761</v>
      </c>
      <c r="G508" s="7" t="s">
        <v>113</v>
      </c>
      <c r="H508" s="25">
        <f t="shared" si="50"/>
        <v>1</v>
      </c>
      <c r="I508" s="67">
        <v>4373</v>
      </c>
      <c r="J508" s="8" t="s">
        <v>115</v>
      </c>
      <c r="K508" s="9" t="s">
        <v>163</v>
      </c>
      <c r="L508" s="10" t="s">
        <v>117</v>
      </c>
      <c r="M508" s="11">
        <v>1537</v>
      </c>
      <c r="N508" s="12" t="s">
        <v>132</v>
      </c>
      <c r="O508" s="6">
        <v>45775</v>
      </c>
      <c r="P508" s="115">
        <v>3421</v>
      </c>
      <c r="Q508" s="14" t="s">
        <v>85</v>
      </c>
      <c r="R508" s="74"/>
      <c r="S508" s="15">
        <f>DATA[[#This Row],[cantidad_fs]]*0.72</f>
        <v>1106.6399999999999</v>
      </c>
      <c r="T508" s="15">
        <f>DATA[[#This Row],[C. DF]]+DATA[[#This Row],[C.OPE.]]</f>
        <v>1106.6399999999999</v>
      </c>
      <c r="U508" s="15">
        <f>DATA[[#This Row],[SUB TOTAL]]*0.18</f>
        <v>199.19519999999997</v>
      </c>
      <c r="V508" s="15">
        <f>IFERROR(ROUND(DATA[[#This Row],[SUB TOTAL]]+DATA[[#This Row],[IGV]],2),0)</f>
        <v>1305.8399999999999</v>
      </c>
      <c r="W508" s="16" t="str">
        <f>IF(DATA[[#This Row],[VALORIZACIÓN ]]="-","NO CORRESPONDE",IF(OR(A508=20558226979,A508=10470707866,A508=20111157058,A508=20100226902),"NO CORRESPONDE",IF(J508="Emitida",IF(P508&gt;0,"EMITIDA","PENDIENTE"),"NO CORRESPONDE")))</f>
        <v>EMITIDA</v>
      </c>
      <c r="X508" s="29"/>
      <c r="Y508" s="17" t="s">
        <v>118</v>
      </c>
      <c r="Z508" s="30">
        <v>45777</v>
      </c>
      <c r="AA508" s="10" t="s">
        <v>150</v>
      </c>
      <c r="AB508" s="19">
        <v>61</v>
      </c>
      <c r="AC508" s="20">
        <v>30</v>
      </c>
      <c r="AD508" s="18">
        <f>DATA[[#This Row],[FECHA DE EMISION]]+DATA[[#This Row],[CONDICION DE PAGO]]</f>
        <v>45807</v>
      </c>
      <c r="AE508" s="23">
        <f>IF(DATA[[#This Row],[MONEDA]]="USD",VLOOKUP(DATA[[#This Row],[COMBINADA]],#REF!,11,0),1)</f>
        <v>1</v>
      </c>
      <c r="AF508" s="39" t="str">
        <f>IF(DATA[[#This Row],[SERIE2]]="-","NO CORRESPONDE",IF(W508="NO CORRESPONDE","NO CORRESPONDE",IF(Z508&gt;0,"FACTURADO","PENDIENTE")))</f>
        <v>FACTURADO</v>
      </c>
      <c r="AG508" s="27">
        <f>IFERROR(VLOOKUP(DATA[[#This Row],[COMBINADA]],#REF!,6,0),0)</f>
        <v>0</v>
      </c>
      <c r="AH508" s="125">
        <f>IFERROR(VLOOKUP(DATA[[#This Row],[COMBINADA]],#REF!,9,0),0)/COUNTIFS(DATA[COMBINADA],DATA[[#This Row],[COMBINADA]])</f>
        <v>0</v>
      </c>
      <c r="AI508" s="27">
        <f>IFERROR(VLOOKUP(DATA[[#This Row],[COMBINADA]],#REF!,6,0),0)</f>
        <v>0</v>
      </c>
      <c r="AJ508" s="125">
        <f>IFERROR(VLOOKUP(DATA[[#This Row],[COMBINADA]],#REF!,9,0),0)/COUNTIFS(DATA[COMBINADA],DATA[[#This Row],[COMBINADA]])</f>
        <v>0</v>
      </c>
      <c r="AK508" s="27">
        <f>IFERROR(VLOOKUP(DATA[[#This Row],[COMBINADA]],#REF!,6,0),0)</f>
        <v>0</v>
      </c>
      <c r="AL508" s="125">
        <f>IFERROR(VLOOKUP(DATA[[#This Row],[COMBINADA]],#REF!,9,0),0)/COUNTIFS(DATA[COMBINADA],DATA[[#This Row],[COMBINADA]])</f>
        <v>0</v>
      </c>
      <c r="AM508" s="27">
        <f>IFERROR(VLOOKUP(DATA[[#This Row],[COMBINADA]],#REF!,6,0),0)</f>
        <v>0</v>
      </c>
      <c r="AN508" s="125">
        <f>IFERROR(VLOOKUP(DATA[[#This Row],[COMBINADA]],#REF!,9,0),0)/COUNTIFS(DATA[COMBINADA],DATA[[#This Row],[COMBINADA]])</f>
        <v>0</v>
      </c>
      <c r="AO508" s="27">
        <f>IFERROR(VLOOKUP(DATA[[#This Row],[COMBINADA]],#REF!,6,0),0)</f>
        <v>0</v>
      </c>
      <c r="AP508" s="125">
        <f>IFERROR(VLOOKUP(DATA[[#This Row],[COMBINADA]],#REF!,9,0),0)/COUNTIFS(DATA[COMBINADA],DATA[[#This Row],[COMBINADA]])</f>
        <v>0</v>
      </c>
      <c r="AQ50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1305.8399999999999</v>
      </c>
      <c r="AR508" s="26" t="str">
        <f>IFERROR(IF(DATA[[#This Row],[estado_fact]]="FACTURADO",VLOOKUP(DATA[[#This Row],[SERIE2]]&amp;"-"&amp;DATA[[#This Row],[NUMERO]],#REF!,34,0),"NO CORRESPONDE"),"NO CORRESPONDE")</f>
        <v>NO CORRESPONDE</v>
      </c>
      <c r="AS508" s="22" t="str">
        <f>IF(DATA[[#This Row],[fecha_fs]]&gt;0,TEXT(DATA[[#This Row],[fecha_fs]],"Mmmm"),0)</f>
        <v>Abril</v>
      </c>
      <c r="AT508" s="22" t="str">
        <f>DATA[[#This Row],[SERIE2]]&amp;"-"&amp;DATA[[#This Row],[NUMERO]]</f>
        <v>FF01-61</v>
      </c>
      <c r="AU508" s="28">
        <f>DATA[[#This Row],[TOTAL]]*DATA[[#This Row],[T.C.]]</f>
        <v>1305.8399999999999</v>
      </c>
      <c r="AV508" s="6">
        <f>DATA[[#This Row],[FECHA DE VAL.]]</f>
        <v>45775</v>
      </c>
      <c r="AW508" s="6">
        <f>DATA[[#This Row],[FECHA DE EMISION]]</f>
        <v>45777</v>
      </c>
      <c r="AX508" s="6">
        <f>DATA[[#This Row],[F1]]</f>
        <v>0</v>
      </c>
      <c r="AY508" s="20">
        <f>IF(AV508-DATA[[#This Row],[fecha_fs]]&lt;0,0,AV508-DATA[[#This Row],[fecha_fs]])</f>
        <v>14</v>
      </c>
      <c r="AZ508" s="20">
        <f t="shared" si="51"/>
        <v>2</v>
      </c>
      <c r="BA508" s="20">
        <f t="shared" si="52"/>
        <v>0</v>
      </c>
      <c r="BB508" s="195">
        <f>IFERROR(SUM(DATA[[#This Row],[fs_val_ttf]:[fact_pago_ttf]]),0)</f>
        <v>16</v>
      </c>
      <c r="BC508" s="185">
        <v>45779</v>
      </c>
      <c r="BD508" s="185">
        <v>45789</v>
      </c>
      <c r="BE508" s="185">
        <v>45796</v>
      </c>
      <c r="BF508" s="184">
        <v>45798</v>
      </c>
      <c r="BG508" s="20">
        <f>IFERROR(IF(BC508-DATA[[#This Row],[fecha_fs]]&lt;0,0,BC508-DATA[[#This Row],[fecha_fs]]),0)</f>
        <v>18</v>
      </c>
      <c r="BH508" s="20">
        <f t="shared" si="53"/>
        <v>10</v>
      </c>
      <c r="BI508" s="20">
        <f t="shared" si="54"/>
        <v>7</v>
      </c>
      <c r="BJ508" s="20">
        <f t="shared" si="55"/>
        <v>2</v>
      </c>
      <c r="BK508" s="218">
        <f>IFERROR(SUM(DATA[[#This Row],[fs_fd_ttd]:[fend_fenf_ttd]]),0)</f>
        <v>37</v>
      </c>
      <c r="BL508" s="20" t="str">
        <f>IF(DATA[[#This Row],[fecha_fs]]&gt;0,TEXT(DATA[[#This Row],[fecha_fs]],"YYYY"),0)</f>
        <v>2025</v>
      </c>
      <c r="BM508" s="221" t="b">
        <v>1</v>
      </c>
      <c r="BN508" s="278">
        <f>COUNTIF(DATA[[#This Row],[tiempo_td]], "&lt;=15")</f>
        <v>0</v>
      </c>
      <c r="BO508" s="222"/>
    </row>
    <row r="509" spans="1:67" ht="30" customHeight="1" x14ac:dyDescent="0.25">
      <c r="A509" s="4"/>
      <c r="B509" s="5" t="s">
        <v>0</v>
      </c>
      <c r="C509" s="52"/>
      <c r="D509" s="4"/>
      <c r="E509" s="5" t="s">
        <v>0</v>
      </c>
      <c r="F509" s="24">
        <v>45758</v>
      </c>
      <c r="G509" s="7" t="s">
        <v>113</v>
      </c>
      <c r="H509" s="25">
        <f t="shared" ref="H509:H572" si="56">IF(G509="","",IF(G509="LIM",2,1))</f>
        <v>1</v>
      </c>
      <c r="I509" s="67">
        <v>4374</v>
      </c>
      <c r="J509" s="8" t="s">
        <v>173</v>
      </c>
      <c r="K509" s="9"/>
      <c r="L509" s="10"/>
      <c r="M509" s="111"/>
      <c r="N509" s="112"/>
      <c r="O509" s="6"/>
      <c r="P509" s="13" t="s">
        <v>114</v>
      </c>
      <c r="Q509" s="14"/>
      <c r="R509" s="43"/>
      <c r="S509" s="43"/>
      <c r="T509" s="15">
        <f>DATA[[#This Row],[C. DF]]+DATA[[#This Row],[C.OPE.]]</f>
        <v>0</v>
      </c>
      <c r="U509" s="73">
        <f>DATA[[#This Row],[SUB TOTAL]]*0.18</f>
        <v>0</v>
      </c>
      <c r="V509" s="45">
        <f>IFERROR(ROUND(DATA[[#This Row],[SUB TOTAL]]+DATA[[#This Row],[IGV]],2),0)</f>
        <v>0</v>
      </c>
      <c r="W509" s="16" t="str">
        <f>IF(DATA[[#This Row],[VALORIZACIÓN ]]="-","NO CORRESPONDE",IF(OR(A509=20558226979,A509=10470707866,A509=20111157058,A509=20100226902),"NO CORRESPONDE",IF(J509="Emitida",IF(P509&gt;0,"EMITIDA","PENDIENTE"),"NO CORRESPONDE")))</f>
        <v>NO CORRESPONDE</v>
      </c>
      <c r="X509" s="46"/>
      <c r="Y509" s="17" t="s">
        <v>128</v>
      </c>
      <c r="Z509" s="48"/>
      <c r="AA509" s="49"/>
      <c r="AB509" s="50"/>
      <c r="AC509" s="51"/>
      <c r="AD509" s="59">
        <f>DATA[[#This Row],[FECHA DE EMISION]]+DATA[[#This Row],[CONDICION DE PAGO]]</f>
        <v>0</v>
      </c>
      <c r="AE509" s="23">
        <f>IF(DATA[[#This Row],[MONEDA]]="USD",VLOOKUP(DATA[[#This Row],[COMBINADA]],#REF!,11,0),1)</f>
        <v>1</v>
      </c>
      <c r="AF509" s="39" t="str">
        <f>IF(DATA[[#This Row],[SERIE2]]="-","NO CORRESPONDE",IF(W509="NO CORRESPONDE","NO CORRESPONDE",IF(Z509&gt;0,"FACTURADO","PENDIENTE")))</f>
        <v>NO CORRESPONDE</v>
      </c>
      <c r="AG509" s="61">
        <f>IFERROR(VLOOKUP(DATA[[#This Row],[COMBINADA]],#REF!,6,0),0)</f>
        <v>0</v>
      </c>
      <c r="AH509" s="62">
        <f>IFERROR(VLOOKUP(DATA[[#This Row],[COMBINADA]],#REF!,9,0),0)/COUNTIFS(DATA[COMBINADA],DATA[[#This Row],[COMBINADA]])</f>
        <v>0</v>
      </c>
      <c r="AI509" s="61">
        <f>IFERROR(VLOOKUP(DATA[[#This Row],[COMBINADA]],#REF!,6,0),0)</f>
        <v>0</v>
      </c>
      <c r="AJ509" s="62">
        <f>IFERROR(VLOOKUP(DATA[[#This Row],[COMBINADA]],#REF!,9,0),0)/COUNTIFS(DATA[COMBINADA],DATA[[#This Row],[COMBINADA]])</f>
        <v>0</v>
      </c>
      <c r="AK509" s="61">
        <f>IFERROR(VLOOKUP(DATA[[#This Row],[COMBINADA]],#REF!,6,0),0)</f>
        <v>0</v>
      </c>
      <c r="AL509" s="62">
        <f>IFERROR(VLOOKUP(DATA[[#This Row],[COMBINADA]],#REF!,9,0),0)/COUNTIFS(DATA[COMBINADA],DATA[[#This Row],[COMBINADA]])</f>
        <v>0</v>
      </c>
      <c r="AM509" s="61">
        <f>IFERROR(VLOOKUP(DATA[[#This Row],[COMBINADA]],#REF!,6,0),0)</f>
        <v>0</v>
      </c>
      <c r="AN509" s="62">
        <f>IFERROR(VLOOKUP(DATA[[#This Row],[COMBINADA]],#REF!,9,0),0)/COUNTIFS(DATA[COMBINADA],DATA[[#This Row],[COMBINADA]])</f>
        <v>0</v>
      </c>
      <c r="AO509" s="61">
        <f>IFERROR(VLOOKUP(DATA[[#This Row],[COMBINADA]],#REF!,6,0),0)</f>
        <v>0</v>
      </c>
      <c r="AP509" s="62">
        <f>IFERROR(VLOOKUP(DATA[[#This Row],[COMBINADA]],#REF!,9,0),0)/COUNTIFS(DATA[COMBINADA],DATA[[#This Row],[COMBINADA]])</f>
        <v>0</v>
      </c>
      <c r="AQ509"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509" s="22" t="str">
        <f>IFERROR(IF(DATA[[#This Row],[estado_fact]]="FACTURADO",VLOOKUP(DATA[[#This Row],[SERIE2]]&amp;"-"&amp;DATA[[#This Row],[NUMERO]],#REF!,34,0),"NO CORRESPONDE"),"NO CORRESPONDE")</f>
        <v>NO CORRESPONDE</v>
      </c>
      <c r="AS509" s="198" t="str">
        <f>IF(DATA[[#This Row],[fecha_fs]]&gt;0,TEXT(DATA[[#This Row],[fecha_fs]],"Mmmm"),0)</f>
        <v>Abril</v>
      </c>
      <c r="AT509" s="199" t="str">
        <f>DATA[[#This Row],[SERIE2]]&amp;"-"&amp;DATA[[#This Row],[NUMERO]]</f>
        <v>-</v>
      </c>
      <c r="AU509" s="198">
        <f>DATA[[#This Row],[TOTAL]]*DATA[[#This Row],[T.C.]]</f>
        <v>0</v>
      </c>
      <c r="AV509" s="40">
        <f>DATA[[#This Row],[FECHA DE VAL.]]</f>
        <v>0</v>
      </c>
      <c r="AW509" s="40">
        <f>DATA[[#This Row],[FECHA DE EMISION]]</f>
        <v>0</v>
      </c>
      <c r="AX509" s="40">
        <f>DATA[[#This Row],[F1]]</f>
        <v>0</v>
      </c>
      <c r="AY509" s="49">
        <f>IF(AV509-DATA[[#This Row],[fecha_fs]]&lt;0,0,AV509-DATA[[#This Row],[fecha_fs]])</f>
        <v>0</v>
      </c>
      <c r="AZ509" s="49">
        <f t="shared" si="51"/>
        <v>0</v>
      </c>
      <c r="BA509" s="49">
        <f t="shared" si="52"/>
        <v>0</v>
      </c>
      <c r="BB509" s="195">
        <f>IFERROR(SUM(DATA[[#This Row],[fs_val_ttf]:[fact_pago_ttf]]),0)</f>
        <v>0</v>
      </c>
      <c r="BC509" s="200"/>
      <c r="BD509" s="200"/>
      <c r="BE509" s="200"/>
      <c r="BF509" s="200"/>
      <c r="BG509" s="49">
        <f>IFERROR(IF(BC509-DATA[[#This Row],[fecha_fs]]&lt;0,0,BC509-DATA[[#This Row],[fecha_fs]]),0)</f>
        <v>0</v>
      </c>
      <c r="BH509" s="49">
        <f t="shared" si="53"/>
        <v>0</v>
      </c>
      <c r="BI509" s="49">
        <f t="shared" si="54"/>
        <v>0</v>
      </c>
      <c r="BJ509" s="49">
        <f t="shared" si="55"/>
        <v>0</v>
      </c>
      <c r="BK509" s="218">
        <f>IFERROR(SUM(DATA[[#This Row],[fs_fd_ttd]:[fend_fenf_ttd]]),0)</f>
        <v>0</v>
      </c>
      <c r="BL509" s="20" t="str">
        <f>IF(DATA[[#This Row],[fecha_fs]]&gt;0,TEXT(DATA[[#This Row],[fecha_fs]],"YYYY"),0)</f>
        <v>2025</v>
      </c>
      <c r="BM509" s="221" t="b">
        <v>0</v>
      </c>
      <c r="BN509" s="278"/>
      <c r="BO509" s="222"/>
    </row>
    <row r="510" spans="1:67" ht="30.6" customHeight="1" x14ac:dyDescent="0.25">
      <c r="A510" s="4">
        <v>20141637941</v>
      </c>
      <c r="B510" s="5" t="s">
        <v>79</v>
      </c>
      <c r="C510" s="52" t="s">
        <v>18</v>
      </c>
      <c r="D510" s="4" t="s">
        <v>120</v>
      </c>
      <c r="E510" s="5" t="s">
        <v>3</v>
      </c>
      <c r="F510" s="24">
        <v>45761</v>
      </c>
      <c r="G510" s="7" t="s">
        <v>113</v>
      </c>
      <c r="H510" s="25">
        <f t="shared" si="56"/>
        <v>1</v>
      </c>
      <c r="I510" s="67">
        <v>4375</v>
      </c>
      <c r="J510" s="8" t="s">
        <v>115</v>
      </c>
      <c r="K510" s="9" t="s">
        <v>121</v>
      </c>
      <c r="L510" s="10" t="s">
        <v>117</v>
      </c>
      <c r="M510" s="11">
        <v>1100</v>
      </c>
      <c r="N510" s="12" t="s">
        <v>125</v>
      </c>
      <c r="O510" s="6">
        <v>45772</v>
      </c>
      <c r="P510" s="110">
        <v>3405</v>
      </c>
      <c r="Q510" s="14" t="s">
        <v>85</v>
      </c>
      <c r="R510" s="15">
        <f>70+(DATA[[#This Row],[cantidad_fs]]-1000)*0.1</f>
        <v>80</v>
      </c>
      <c r="S510" s="15">
        <v>517</v>
      </c>
      <c r="T510" s="15">
        <f>DATA[[#This Row],[C. DF]]+DATA[[#This Row],[C.OPE.]]</f>
        <v>597</v>
      </c>
      <c r="U510" s="15">
        <f>DATA[[#This Row],[SUB TOTAL]]*0.18</f>
        <v>107.46</v>
      </c>
      <c r="V510" s="15">
        <f>IFERROR(ROUND(DATA[[#This Row],[SUB TOTAL]]+DATA[[#This Row],[IGV]],2),0)</f>
        <v>704.46</v>
      </c>
      <c r="W510" s="16" t="str">
        <f>IF(DATA[[#This Row],[VALORIZACIÓN ]]="-","NO CORRESPONDE",IF(OR(A510=20558226979,A510=10470707866,A510=20111157058,A510=20100226902),"NO CORRESPONDE",IF(J510="Emitida",IF(P510&gt;0,"EMITIDA","PENDIENTE"),"NO CORRESPONDE")))</f>
        <v>EMITIDA</v>
      </c>
      <c r="X510" s="29"/>
      <c r="Y510" s="17" t="s">
        <v>118</v>
      </c>
      <c r="Z510" s="30">
        <v>45782</v>
      </c>
      <c r="AA510" s="10" t="s">
        <v>150</v>
      </c>
      <c r="AB510" s="19">
        <v>70</v>
      </c>
      <c r="AC510" s="20">
        <v>30</v>
      </c>
      <c r="AD510" s="18">
        <f>DATA[[#This Row],[FECHA DE EMISION]]+DATA[[#This Row],[CONDICION DE PAGO]]</f>
        <v>45812</v>
      </c>
      <c r="AE510" s="23">
        <f>IF(DATA[[#This Row],[MONEDA]]="USD",VLOOKUP(DATA[[#This Row],[COMBINADA]],#REF!,11,0),1)</f>
        <v>1</v>
      </c>
      <c r="AF510" s="39" t="str">
        <f>IF(DATA[[#This Row],[SERIE2]]="-","NO CORRESPONDE",IF(W510="NO CORRESPONDE","NO CORRESPONDE",IF(Z510&gt;0,"FACTURADO","PENDIENTE")))</f>
        <v>FACTURADO</v>
      </c>
      <c r="AG510" s="27">
        <f>IFERROR(VLOOKUP(DATA[[#This Row],[COMBINADA]],#REF!,6,0),0)</f>
        <v>0</v>
      </c>
      <c r="AH510" s="125">
        <f>IFERROR(VLOOKUP(DATA[[#This Row],[COMBINADA]],#REF!,9,0),0)/COUNTIFS(DATA[COMBINADA],DATA[[#This Row],[COMBINADA]])</f>
        <v>0</v>
      </c>
      <c r="AI510" s="27">
        <f>IFERROR(VLOOKUP(DATA[[#This Row],[COMBINADA]],#REF!,6,0),0)</f>
        <v>0</v>
      </c>
      <c r="AJ510" s="125">
        <f>IFERROR(VLOOKUP(DATA[[#This Row],[COMBINADA]],#REF!,9,0),0)/COUNTIFS(DATA[COMBINADA],DATA[[#This Row],[COMBINADA]])</f>
        <v>0</v>
      </c>
      <c r="AK510" s="27">
        <f>IFERROR(VLOOKUP(DATA[[#This Row],[COMBINADA]],#REF!,6,0),0)</f>
        <v>0</v>
      </c>
      <c r="AL510" s="125">
        <f>IFERROR(VLOOKUP(DATA[[#This Row],[COMBINADA]],#REF!,9,0),0)/COUNTIFS(DATA[COMBINADA],DATA[[#This Row],[COMBINADA]])</f>
        <v>0</v>
      </c>
      <c r="AM510" s="27">
        <f>IFERROR(VLOOKUP(DATA[[#This Row],[COMBINADA]],#REF!,6,0),0)</f>
        <v>0</v>
      </c>
      <c r="AN510" s="125">
        <f>IFERROR(VLOOKUP(DATA[[#This Row],[COMBINADA]],#REF!,9,0),0)/COUNTIFS(DATA[COMBINADA],DATA[[#This Row],[COMBINADA]])</f>
        <v>0</v>
      </c>
      <c r="AO510" s="27">
        <f>IFERROR(VLOOKUP(DATA[[#This Row],[COMBINADA]],#REF!,6,0),0)</f>
        <v>0</v>
      </c>
      <c r="AP510" s="125">
        <f>IFERROR(VLOOKUP(DATA[[#This Row],[COMBINADA]],#REF!,9,0),0)/COUNTIFS(DATA[COMBINADA],DATA[[#This Row],[COMBINADA]])</f>
        <v>0</v>
      </c>
      <c r="AQ51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700.21199999999988</v>
      </c>
      <c r="AR510" s="26" t="str">
        <f>IFERROR(IF(DATA[[#This Row],[estado_fact]]="FACTURADO",VLOOKUP(DATA[[#This Row],[SERIE2]]&amp;"-"&amp;DATA[[#This Row],[NUMERO]],#REF!,34,0),"NO CORRESPONDE"),"NO CORRESPONDE")</f>
        <v>NO CORRESPONDE</v>
      </c>
      <c r="AS510" s="22" t="str">
        <f>IF(DATA[[#This Row],[fecha_fs]]&gt;0,TEXT(DATA[[#This Row],[fecha_fs]],"Mmmm"),0)</f>
        <v>Abril</v>
      </c>
      <c r="AT510" s="22" t="str">
        <f>DATA[[#This Row],[SERIE2]]&amp;"-"&amp;DATA[[#This Row],[NUMERO]]</f>
        <v>FF01-70</v>
      </c>
      <c r="AU510" s="28">
        <f>DATA[[#This Row],[TOTAL]]*DATA[[#This Row],[T.C.]]</f>
        <v>704.46</v>
      </c>
      <c r="AV510" s="6">
        <f>DATA[[#This Row],[FECHA DE VAL.]]</f>
        <v>45772</v>
      </c>
      <c r="AW510" s="6">
        <f>DATA[[#This Row],[FECHA DE EMISION]]</f>
        <v>45782</v>
      </c>
      <c r="AX510" s="6">
        <f>DATA[[#This Row],[F1]]</f>
        <v>0</v>
      </c>
      <c r="AY510" s="20">
        <f>IF(AV510-DATA[[#This Row],[fecha_fs]]&lt;0,0,AV510-DATA[[#This Row],[fecha_fs]])</f>
        <v>11</v>
      </c>
      <c r="AZ510" s="20">
        <f t="shared" ref="AZ510:AZ573" si="57">IF(AW510-AV510&lt;0,0,AW510-AV510)</f>
        <v>10</v>
      </c>
      <c r="BA510" s="20">
        <f t="shared" ref="BA510:BA573" si="58">IF(AX510-AW510&lt;0,0,AX510-AW510)</f>
        <v>0</v>
      </c>
      <c r="BB510" s="195">
        <f>IFERROR(SUM(DATA[[#This Row],[fs_val_ttf]:[fact_pago_ttf]]),0)</f>
        <v>21</v>
      </c>
      <c r="BC510" s="185">
        <v>45761</v>
      </c>
      <c r="BD510" s="185">
        <v>45761</v>
      </c>
      <c r="BE510" s="185">
        <v>45782</v>
      </c>
      <c r="BF510" s="185">
        <v>45782</v>
      </c>
      <c r="BG510" s="20">
        <f>IFERROR(IF(BC510-DATA[[#This Row],[fecha_fs]]&lt;0,0,BC510-DATA[[#This Row],[fecha_fs]]),0)</f>
        <v>0</v>
      </c>
      <c r="BH510" s="20">
        <f t="shared" si="53"/>
        <v>0</v>
      </c>
      <c r="BI510" s="20">
        <f t="shared" si="54"/>
        <v>21</v>
      </c>
      <c r="BJ510" s="20">
        <f t="shared" si="55"/>
        <v>0</v>
      </c>
      <c r="BK510" s="218">
        <f>IFERROR(SUM(DATA[[#This Row],[fs_fd_ttd]:[fend_fenf_ttd]]),0)</f>
        <v>21</v>
      </c>
      <c r="BL510" s="20" t="str">
        <f>IF(DATA[[#This Row],[fecha_fs]]&gt;0,TEXT(DATA[[#This Row],[fecha_fs]],"YYYY"),0)</f>
        <v>2025</v>
      </c>
      <c r="BM510" s="221" t="b">
        <v>1</v>
      </c>
      <c r="BN510" s="278">
        <f>COUNTIF(DATA[[#This Row],[tiempo_td]], "&lt;=15")</f>
        <v>0</v>
      </c>
      <c r="BO510" s="222"/>
    </row>
    <row r="511" spans="1:67" ht="30.6" customHeight="1" x14ac:dyDescent="0.25">
      <c r="A511" s="4">
        <v>20496535066</v>
      </c>
      <c r="B511" s="5" t="s">
        <v>36</v>
      </c>
      <c r="C511" s="52" t="s">
        <v>230</v>
      </c>
      <c r="D511" s="4" t="s">
        <v>120</v>
      </c>
      <c r="E511" s="5" t="s">
        <v>3</v>
      </c>
      <c r="F511" s="24">
        <v>45758</v>
      </c>
      <c r="G511" s="7" t="s">
        <v>113</v>
      </c>
      <c r="H511" s="25">
        <f t="shared" si="56"/>
        <v>1</v>
      </c>
      <c r="I511" s="67">
        <v>4376</v>
      </c>
      <c r="J511" s="8" t="s">
        <v>115</v>
      </c>
      <c r="K511" s="9" t="s">
        <v>121</v>
      </c>
      <c r="L511" s="10" t="s">
        <v>117</v>
      </c>
      <c r="M511" s="11">
        <v>3260</v>
      </c>
      <c r="N511" s="12"/>
      <c r="O511" s="6">
        <v>45777</v>
      </c>
      <c r="P511" s="122">
        <v>3430</v>
      </c>
      <c r="Q511" s="14" t="s">
        <v>85</v>
      </c>
      <c r="R511" s="15">
        <f>DATA[[#This Row],[cantidad_fs]]*0.08</f>
        <v>260.8</v>
      </c>
      <c r="S511" s="15">
        <f>2945/2</f>
        <v>1472.5</v>
      </c>
      <c r="T511" s="15">
        <f>DATA[[#This Row],[C. DF]]+DATA[[#This Row],[C.OPE.]]</f>
        <v>1733.3</v>
      </c>
      <c r="U511" s="15">
        <f>DATA[[#This Row],[SUB TOTAL]]*0.18</f>
        <v>311.99399999999997</v>
      </c>
      <c r="V511" s="15">
        <f>IFERROR(ROUND(DATA[[#This Row],[SUB TOTAL]]+DATA[[#This Row],[IGV]],2),0)</f>
        <v>2045.29</v>
      </c>
      <c r="W511" s="16" t="str">
        <f>IF(DATA[[#This Row],[VALORIZACIÓN ]]="-","NO CORRESPONDE",IF(OR(A511=20558226979,A511=10470707866,A511=20111157058,A511=20100226902),"NO CORRESPONDE",IF(J511="Emitida",IF(P511&gt;0,"EMITIDA","PENDIENTE"),"NO CORRESPONDE")))</f>
        <v>EMITIDA</v>
      </c>
      <c r="X511" s="29" t="s">
        <v>231</v>
      </c>
      <c r="Y511" s="17" t="s">
        <v>118</v>
      </c>
      <c r="Z511" s="30">
        <v>45831</v>
      </c>
      <c r="AA511" s="10" t="s">
        <v>150</v>
      </c>
      <c r="AB511" s="19">
        <v>129</v>
      </c>
      <c r="AC511" s="20">
        <v>15</v>
      </c>
      <c r="AD511" s="18">
        <f>DATA[[#This Row],[FECHA DE EMISION]]+DATA[[#This Row],[CONDICION DE PAGO]]</f>
        <v>45846</v>
      </c>
      <c r="AE511" s="23">
        <f>IF(DATA[[#This Row],[MONEDA]]="USD",VLOOKUP(DATA[[#This Row],[COMBINADA]],#REF!,11,0),1)</f>
        <v>1</v>
      </c>
      <c r="AF511" s="39" t="str">
        <f>IF(DATA[[#This Row],[SERIE2]]="-","NO CORRESPONDE",IF(W511="NO CORRESPONDE","NO CORRESPONDE",IF(Z511&gt;0,"FACTURADO","PENDIENTE")))</f>
        <v>FACTURADO</v>
      </c>
      <c r="AG511" s="27">
        <f>IFERROR(VLOOKUP(DATA[[#This Row],[COMBINADA]],#REF!,6,0),0)</f>
        <v>0</v>
      </c>
      <c r="AH511" s="125">
        <f>IFERROR(VLOOKUP(DATA[[#This Row],[COMBINADA]],#REF!,9,0),0)/COUNTIFS(DATA[COMBINADA],DATA[[#This Row],[COMBINADA]])</f>
        <v>0</v>
      </c>
      <c r="AI511" s="27">
        <f>IFERROR(VLOOKUP(DATA[[#This Row],[COMBINADA]],#REF!,6,0),0)</f>
        <v>0</v>
      </c>
      <c r="AJ511" s="125">
        <f>IFERROR(VLOOKUP(DATA[[#This Row],[COMBINADA]],#REF!,9,0),0)/COUNTIFS(DATA[COMBINADA],DATA[[#This Row],[COMBINADA]])</f>
        <v>0</v>
      </c>
      <c r="AK511" s="27">
        <f>IFERROR(VLOOKUP(DATA[[#This Row],[COMBINADA]],#REF!,6,0),0)</f>
        <v>0</v>
      </c>
      <c r="AL511" s="125">
        <f>IFERROR(VLOOKUP(DATA[[#This Row],[COMBINADA]],#REF!,9,0),0)/COUNTIFS(DATA[COMBINADA],DATA[[#This Row],[COMBINADA]])</f>
        <v>0</v>
      </c>
      <c r="AM511" s="27">
        <f>IFERROR(VLOOKUP(DATA[[#This Row],[COMBINADA]],#REF!,6,0),0)</f>
        <v>0</v>
      </c>
      <c r="AN511" s="125">
        <f>IFERROR(VLOOKUP(DATA[[#This Row],[COMBINADA]],#REF!,9,0),0)/COUNTIFS(DATA[COMBINADA],DATA[[#This Row],[COMBINADA]])</f>
        <v>0</v>
      </c>
      <c r="AO511" s="27">
        <f>IFERROR(VLOOKUP(DATA[[#This Row],[COMBINADA]],#REF!,6,0),0)</f>
        <v>0</v>
      </c>
      <c r="AP511" s="125">
        <f>IFERROR(VLOOKUP(DATA[[#This Row],[COMBINADA]],#REF!,9,0),0)/COUNTIFS(DATA[COMBINADA],DATA[[#This Row],[COMBINADA]])</f>
        <v>0</v>
      </c>
      <c r="AQ51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2924</v>
      </c>
      <c r="AR511" s="26" t="str">
        <f>IFERROR(IF(DATA[[#This Row],[estado_fact]]="FACTURADO",VLOOKUP(DATA[[#This Row],[SERIE2]]&amp;"-"&amp;DATA[[#This Row],[NUMERO]],#REF!,34,0),"NO CORRESPONDE"),"NO CORRESPONDE")</f>
        <v>NO CORRESPONDE</v>
      </c>
      <c r="AS511" s="22" t="str">
        <f>IF(DATA[[#This Row],[fecha_fs]]&gt;0,TEXT(DATA[[#This Row],[fecha_fs]],"Mmmm"),0)</f>
        <v>Abril</v>
      </c>
      <c r="AT511" s="22" t="str">
        <f>DATA[[#This Row],[SERIE2]]&amp;"-"&amp;DATA[[#This Row],[NUMERO]]</f>
        <v>FF01-129</v>
      </c>
      <c r="AU511" s="28">
        <f>DATA[[#This Row],[TOTAL]]*DATA[[#This Row],[T.C.]]</f>
        <v>2045.29</v>
      </c>
      <c r="AV511" s="6">
        <f>DATA[[#This Row],[FECHA DE VAL.]]</f>
        <v>45777</v>
      </c>
      <c r="AW511" s="6">
        <f>DATA[[#This Row],[FECHA DE EMISION]]</f>
        <v>45831</v>
      </c>
      <c r="AX511" s="6">
        <f>DATA[[#This Row],[F1]]</f>
        <v>0</v>
      </c>
      <c r="AY511" s="20">
        <f>IF(AV511-DATA[[#This Row],[fecha_fs]]&lt;0,0,AV511-DATA[[#This Row],[fecha_fs]])</f>
        <v>19</v>
      </c>
      <c r="AZ511" s="20">
        <f t="shared" si="57"/>
        <v>54</v>
      </c>
      <c r="BA511" s="20">
        <f t="shared" si="58"/>
        <v>0</v>
      </c>
      <c r="BB511" s="195">
        <f>IFERROR(SUM(DATA[[#This Row],[fs_val_ttf]:[fact_pago_ttf]]),0)</f>
        <v>73</v>
      </c>
      <c r="BC511" s="185">
        <v>45771</v>
      </c>
      <c r="BD511" s="185">
        <v>45789</v>
      </c>
      <c r="BE511" s="185">
        <v>45797</v>
      </c>
      <c r="BF511" s="185">
        <v>45798</v>
      </c>
      <c r="BG511" s="20">
        <f>IFERROR(IF(BC511-DATA[[#This Row],[fecha_fs]]&lt;0,0,BC511-DATA[[#This Row],[fecha_fs]]),0)</f>
        <v>13</v>
      </c>
      <c r="BH511" s="20">
        <f t="shared" si="53"/>
        <v>18</v>
      </c>
      <c r="BI511" s="20">
        <f t="shared" si="54"/>
        <v>8</v>
      </c>
      <c r="BJ511" s="20">
        <f t="shared" si="55"/>
        <v>1</v>
      </c>
      <c r="BK511" s="218">
        <f>IFERROR(SUM(DATA[[#This Row],[fs_fd_ttd]:[fend_fenf_ttd]]),0)</f>
        <v>40</v>
      </c>
      <c r="BL511" s="20" t="str">
        <f>IF(DATA[[#This Row],[fecha_fs]]&gt;0,TEXT(DATA[[#This Row],[fecha_fs]],"YYYY"),0)</f>
        <v>2025</v>
      </c>
      <c r="BM511" s="221" t="b">
        <v>1</v>
      </c>
      <c r="BN511" s="278">
        <f>COUNTIF(DATA[[#This Row],[tiempo_td]], "&lt;=15")</f>
        <v>0</v>
      </c>
      <c r="BO511" s="222"/>
    </row>
    <row r="512" spans="1:67" ht="30.6" customHeight="1" x14ac:dyDescent="0.25">
      <c r="A512" s="4">
        <v>20100211115</v>
      </c>
      <c r="B512" s="5" t="s">
        <v>41</v>
      </c>
      <c r="C512" s="52" t="s">
        <v>18</v>
      </c>
      <c r="D512" s="4" t="s">
        <v>120</v>
      </c>
      <c r="E512" s="5" t="s">
        <v>3</v>
      </c>
      <c r="F512" s="24">
        <v>45761</v>
      </c>
      <c r="G512" s="7" t="s">
        <v>113</v>
      </c>
      <c r="H512" s="25">
        <f t="shared" si="56"/>
        <v>1</v>
      </c>
      <c r="I512" s="67">
        <v>4377</v>
      </c>
      <c r="J512" s="8" t="s">
        <v>115</v>
      </c>
      <c r="K512" s="9" t="s">
        <v>121</v>
      </c>
      <c r="L512" s="10" t="s">
        <v>117</v>
      </c>
      <c r="M512" s="11">
        <v>90</v>
      </c>
      <c r="N512" s="12" t="s">
        <v>167</v>
      </c>
      <c r="O512" s="6">
        <v>45775</v>
      </c>
      <c r="P512" s="115">
        <v>3419</v>
      </c>
      <c r="Q512" s="14" t="s">
        <v>85</v>
      </c>
      <c r="R512" s="15"/>
      <c r="S512" s="15">
        <f>(DATA[[#This Row],[cantidad_fs]]*4.37)</f>
        <v>393.3</v>
      </c>
      <c r="T512" s="15">
        <f>DATA[[#This Row],[C. DF]]+DATA[[#This Row],[C.OPE.]]</f>
        <v>393.3</v>
      </c>
      <c r="U512" s="15">
        <f>DATA[[#This Row],[SUB TOTAL]]*0.18</f>
        <v>70.793999999999997</v>
      </c>
      <c r="V512" s="15">
        <f>IFERROR(ROUND(DATA[[#This Row],[SUB TOTAL]]+DATA[[#This Row],[IGV]],2),0)</f>
        <v>464.09</v>
      </c>
      <c r="W512" s="16" t="str">
        <f>IF(DATA[[#This Row],[VALORIZACIÓN ]]="-","NO CORRESPONDE",IF(OR(A512=20558226979,A512=10470707866,A512=20111157058,A512=20100226902),"NO CORRESPONDE",IF(J512="Emitida",IF(P512&gt;0,"EMITIDA","PENDIENTE"),"NO CORRESPONDE")))</f>
        <v>EMITIDA</v>
      </c>
      <c r="X512" s="29"/>
      <c r="Y512" s="17" t="s">
        <v>118</v>
      </c>
      <c r="Z512" s="30">
        <v>45777</v>
      </c>
      <c r="AA512" s="10" t="s">
        <v>150</v>
      </c>
      <c r="AB512" s="19">
        <v>60</v>
      </c>
      <c r="AC512" s="20">
        <v>30</v>
      </c>
      <c r="AD512" s="18">
        <f>DATA[[#This Row],[FECHA DE EMISION]]+DATA[[#This Row],[CONDICION DE PAGO]]</f>
        <v>45807</v>
      </c>
      <c r="AE512" s="23">
        <f>IF(DATA[[#This Row],[MONEDA]]="USD",VLOOKUP(DATA[[#This Row],[COMBINADA]],#REF!,11,0),1)</f>
        <v>1</v>
      </c>
      <c r="AF512" s="39" t="str">
        <f>IF(DATA[[#This Row],[SERIE2]]="-","NO CORRESPONDE",IF(W512="NO CORRESPONDE","NO CORRESPONDE",IF(Z512&gt;0,"FACTURADO","PENDIENTE")))</f>
        <v>FACTURADO</v>
      </c>
      <c r="AG512" s="27">
        <f>IFERROR(VLOOKUP(DATA[[#This Row],[COMBINADA]],#REF!,6,0),0)</f>
        <v>0</v>
      </c>
      <c r="AH512" s="125">
        <f>IFERROR(VLOOKUP(DATA[[#This Row],[COMBINADA]],#REF!,9,0),0)/COUNTIFS(DATA[COMBINADA],DATA[[#This Row],[COMBINADA]])</f>
        <v>0</v>
      </c>
      <c r="AI512" s="27">
        <f>IFERROR(VLOOKUP(DATA[[#This Row],[COMBINADA]],#REF!,6,0),0)</f>
        <v>0</v>
      </c>
      <c r="AJ512" s="125">
        <f>IFERROR(VLOOKUP(DATA[[#This Row],[COMBINADA]],#REF!,9,0),0)/COUNTIFS(DATA[COMBINADA],DATA[[#This Row],[COMBINADA]])</f>
        <v>0</v>
      </c>
      <c r="AK512" s="27">
        <f>IFERROR(VLOOKUP(DATA[[#This Row],[COMBINADA]],#REF!,6,0),0)</f>
        <v>0</v>
      </c>
      <c r="AL512" s="125">
        <f>IFERROR(VLOOKUP(DATA[[#This Row],[COMBINADA]],#REF!,9,0),0)/COUNTIFS(DATA[COMBINADA],DATA[[#This Row],[COMBINADA]])</f>
        <v>0</v>
      </c>
      <c r="AM512" s="27">
        <f>IFERROR(VLOOKUP(DATA[[#This Row],[COMBINADA]],#REF!,6,0),0)</f>
        <v>0</v>
      </c>
      <c r="AN512" s="125">
        <f>IFERROR(VLOOKUP(DATA[[#This Row],[COMBINADA]],#REF!,9,0),0)/COUNTIFS(DATA[COMBINADA],DATA[[#This Row],[COMBINADA]])</f>
        <v>0</v>
      </c>
      <c r="AO512" s="27">
        <f>IFERROR(VLOOKUP(DATA[[#This Row],[COMBINADA]],#REF!,6,0),0)</f>
        <v>0</v>
      </c>
      <c r="AP512" s="125">
        <f>IFERROR(VLOOKUP(DATA[[#This Row],[COMBINADA]],#REF!,9,0),0)/COUNTIFS(DATA[COMBINADA],DATA[[#This Row],[COMBINADA]])</f>
        <v>0</v>
      </c>
      <c r="AQ51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512" s="26" t="str">
        <f>IFERROR(IF(DATA[[#This Row],[estado_fact]]="FACTURADO",VLOOKUP(DATA[[#This Row],[SERIE2]]&amp;"-"&amp;DATA[[#This Row],[NUMERO]],#REF!,34,0),"NO CORRESPONDE"),"NO CORRESPONDE")</f>
        <v>NO CORRESPONDE</v>
      </c>
      <c r="AS512" s="22" t="str">
        <f>IF(DATA[[#This Row],[fecha_fs]]&gt;0,TEXT(DATA[[#This Row],[fecha_fs]],"Mmmm"),0)</f>
        <v>Abril</v>
      </c>
      <c r="AT512" s="22" t="str">
        <f>DATA[[#This Row],[SERIE2]]&amp;"-"&amp;DATA[[#This Row],[NUMERO]]</f>
        <v>FF01-60</v>
      </c>
      <c r="AU512" s="28">
        <f>DATA[[#This Row],[TOTAL]]*DATA[[#This Row],[T.C.]]</f>
        <v>464.09</v>
      </c>
      <c r="AV512" s="6">
        <f>DATA[[#This Row],[FECHA DE VAL.]]</f>
        <v>45775</v>
      </c>
      <c r="AW512" s="6">
        <f>DATA[[#This Row],[FECHA DE EMISION]]</f>
        <v>45777</v>
      </c>
      <c r="AX512" s="6">
        <f>DATA[[#This Row],[F1]]</f>
        <v>0</v>
      </c>
      <c r="AY512" s="20">
        <f>IF(AV512-DATA[[#This Row],[fecha_fs]]&lt;0,0,AV512-DATA[[#This Row],[fecha_fs]])</f>
        <v>14</v>
      </c>
      <c r="AZ512" s="20">
        <f t="shared" si="57"/>
        <v>2</v>
      </c>
      <c r="BA512" s="20">
        <f t="shared" si="58"/>
        <v>0</v>
      </c>
      <c r="BB512" s="195">
        <f>IFERROR(SUM(DATA[[#This Row],[fs_val_ttf]:[fact_pago_ttf]]),0)</f>
        <v>16</v>
      </c>
      <c r="BC512" s="185">
        <v>45779</v>
      </c>
      <c r="BD512" s="185">
        <v>45789</v>
      </c>
      <c r="BE512" s="185">
        <v>45796</v>
      </c>
      <c r="BF512" s="184">
        <v>45798</v>
      </c>
      <c r="BG512" s="20">
        <f>IFERROR(IF(BC512-DATA[[#This Row],[fecha_fs]]&lt;0,0,BC512-DATA[[#This Row],[fecha_fs]]),0)</f>
        <v>18</v>
      </c>
      <c r="BH512" s="20">
        <f t="shared" si="53"/>
        <v>10</v>
      </c>
      <c r="BI512" s="20">
        <f t="shared" si="54"/>
        <v>7</v>
      </c>
      <c r="BJ512" s="20">
        <f t="shared" si="55"/>
        <v>2</v>
      </c>
      <c r="BK512" s="218">
        <f>IFERROR(SUM(DATA[[#This Row],[fs_fd_ttd]:[fend_fenf_ttd]]),0)</f>
        <v>37</v>
      </c>
      <c r="BL512" s="20" t="str">
        <f>IF(DATA[[#This Row],[fecha_fs]]&gt;0,TEXT(DATA[[#This Row],[fecha_fs]],"YYYY"),0)</f>
        <v>2025</v>
      </c>
      <c r="BM512" s="221" t="b">
        <v>1</v>
      </c>
      <c r="BN512" s="278">
        <f>COUNTIF(DATA[[#This Row],[tiempo_td]], "&lt;=15")</f>
        <v>0</v>
      </c>
      <c r="BO512" s="222"/>
    </row>
    <row r="513" spans="1:67" ht="30.6" customHeight="1" x14ac:dyDescent="0.25">
      <c r="A513" s="4">
        <v>20553956324</v>
      </c>
      <c r="B513" s="5" t="s">
        <v>281</v>
      </c>
      <c r="C513" s="52" t="s">
        <v>175</v>
      </c>
      <c r="D513" s="4" t="s">
        <v>120</v>
      </c>
      <c r="E513" s="5" t="s">
        <v>3</v>
      </c>
      <c r="F513" s="24">
        <v>45761</v>
      </c>
      <c r="G513" s="7" t="s">
        <v>113</v>
      </c>
      <c r="H513" s="25">
        <f t="shared" si="56"/>
        <v>1</v>
      </c>
      <c r="I513" s="67">
        <v>4378</v>
      </c>
      <c r="J513" s="8" t="s">
        <v>115</v>
      </c>
      <c r="K513" s="9" t="s">
        <v>121</v>
      </c>
      <c r="L513" s="10" t="s">
        <v>117</v>
      </c>
      <c r="M513" s="11">
        <v>280</v>
      </c>
      <c r="N513" s="12" t="s">
        <v>132</v>
      </c>
      <c r="O513" s="6">
        <v>45775</v>
      </c>
      <c r="P513" s="109">
        <v>3422</v>
      </c>
      <c r="Q513" s="14" t="s">
        <v>85</v>
      </c>
      <c r="R513" s="15">
        <f>DATA[[#This Row],[cantidad_fs]]*0.08</f>
        <v>22.400000000000002</v>
      </c>
      <c r="S513" s="15">
        <v>395.1</v>
      </c>
      <c r="T513" s="15">
        <f>DATA[[#This Row],[C. DF]]+DATA[[#This Row],[C.OPE.]]</f>
        <v>417.5</v>
      </c>
      <c r="U513" s="15">
        <f>DATA[[#This Row],[SUB TOTAL]]*0.18</f>
        <v>75.149999999999991</v>
      </c>
      <c r="V513" s="15">
        <f>IFERROR(ROUND(DATA[[#This Row],[SUB TOTAL]]+DATA[[#This Row],[IGV]],2),0)</f>
        <v>492.65</v>
      </c>
      <c r="W513" s="16" t="str">
        <f>IF(DATA[[#This Row],[VALORIZACIÓN ]]="-","NO CORRESPONDE",IF(OR(A513=20558226979,A513=10470707866,A513=20111157058,A513=20100226902),"NO CORRESPONDE",IF(J513="Emitida",IF(P513&gt;0,"EMITIDA","PENDIENTE"),"NO CORRESPONDE")))</f>
        <v>EMITIDA</v>
      </c>
      <c r="X513" s="29"/>
      <c r="Y513" s="17" t="s">
        <v>118</v>
      </c>
      <c r="Z513" s="30">
        <v>45790</v>
      </c>
      <c r="AA513" s="10" t="s">
        <v>150</v>
      </c>
      <c r="AB513" s="19">
        <v>76</v>
      </c>
      <c r="AC513" s="20"/>
      <c r="AD513" s="18">
        <f>DATA[[#This Row],[FECHA DE EMISION]]+DATA[[#This Row],[CONDICION DE PAGO]]</f>
        <v>45790</v>
      </c>
      <c r="AE513" s="23">
        <f>IF(DATA[[#This Row],[MONEDA]]="USD",VLOOKUP(DATA[[#This Row],[COMBINADA]],#REF!,11,0),1)</f>
        <v>1</v>
      </c>
      <c r="AF513" s="39" t="str">
        <f>IF(DATA[[#This Row],[SERIE2]]="-","NO CORRESPONDE",IF(W513="NO CORRESPONDE","NO CORRESPONDE",IF(Z513&gt;0,"FACTURADO","PENDIENTE")))</f>
        <v>FACTURADO</v>
      </c>
      <c r="AG513" s="27">
        <f>IFERROR(VLOOKUP(DATA[[#This Row],[COMBINADA]],#REF!,6,0),0)</f>
        <v>0</v>
      </c>
      <c r="AH513" s="125">
        <f>IFERROR(VLOOKUP(DATA[[#This Row],[COMBINADA]],#REF!,9,0),0)/COUNTIFS(DATA[COMBINADA],DATA[[#This Row],[COMBINADA]])</f>
        <v>0</v>
      </c>
      <c r="AI513" s="27">
        <f>IFERROR(VLOOKUP(DATA[[#This Row],[COMBINADA]],#REF!,6,0),0)</f>
        <v>0</v>
      </c>
      <c r="AJ513" s="125">
        <f>IFERROR(VLOOKUP(DATA[[#This Row],[COMBINADA]],#REF!,9,0),0)/COUNTIFS(DATA[COMBINADA],DATA[[#This Row],[COMBINADA]])</f>
        <v>0</v>
      </c>
      <c r="AK513" s="27">
        <f>IFERROR(VLOOKUP(DATA[[#This Row],[COMBINADA]],#REF!,6,0),0)</f>
        <v>0</v>
      </c>
      <c r="AL513" s="125">
        <f>IFERROR(VLOOKUP(DATA[[#This Row],[COMBINADA]],#REF!,9,0),0)/COUNTIFS(DATA[COMBINADA],DATA[[#This Row],[COMBINADA]])</f>
        <v>0</v>
      </c>
      <c r="AM513" s="27">
        <f>IFERROR(VLOOKUP(DATA[[#This Row],[COMBINADA]],#REF!,6,0),0)</f>
        <v>0</v>
      </c>
      <c r="AN513" s="125">
        <f>IFERROR(VLOOKUP(DATA[[#This Row],[COMBINADA]],#REF!,9,0),0)/COUNTIFS(DATA[COMBINADA],DATA[[#This Row],[COMBINADA]])</f>
        <v>0</v>
      </c>
      <c r="AO513" s="27">
        <f>IFERROR(VLOOKUP(DATA[[#This Row],[COMBINADA]],#REF!,6,0),0)</f>
        <v>0</v>
      </c>
      <c r="AP513" s="125">
        <f>IFERROR(VLOOKUP(DATA[[#This Row],[COMBINADA]],#REF!,9,0),0)/COUNTIFS(DATA[COMBINADA],DATA[[#This Row],[COMBINADA]])</f>
        <v>0</v>
      </c>
      <c r="AQ51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481.00750000000011</v>
      </c>
      <c r="AR513" s="26" t="str">
        <f>IFERROR(IF(DATA[[#This Row],[estado_fact]]="FACTURADO",VLOOKUP(DATA[[#This Row],[SERIE2]]&amp;"-"&amp;DATA[[#This Row],[NUMERO]],#REF!,34,0),"NO CORRESPONDE"),"NO CORRESPONDE")</f>
        <v>NO CORRESPONDE</v>
      </c>
      <c r="AS513" s="22" t="str">
        <f>IF(DATA[[#This Row],[fecha_fs]]&gt;0,TEXT(DATA[[#This Row],[fecha_fs]],"Mmmm"),0)</f>
        <v>Abril</v>
      </c>
      <c r="AT513" s="22" t="str">
        <f>DATA[[#This Row],[SERIE2]]&amp;"-"&amp;DATA[[#This Row],[NUMERO]]</f>
        <v>FF01-76</v>
      </c>
      <c r="AU513" s="28">
        <f>DATA[[#This Row],[TOTAL]]*DATA[[#This Row],[T.C.]]</f>
        <v>492.65</v>
      </c>
      <c r="AV513" s="6">
        <f>DATA[[#This Row],[FECHA DE VAL.]]</f>
        <v>45775</v>
      </c>
      <c r="AW513" s="6">
        <f>DATA[[#This Row],[FECHA DE EMISION]]</f>
        <v>45790</v>
      </c>
      <c r="AX513" s="6">
        <f>DATA[[#This Row],[F1]]</f>
        <v>0</v>
      </c>
      <c r="AY513" s="20">
        <f>IF(AV513-DATA[[#This Row],[fecha_fs]]&lt;0,0,AV513-DATA[[#This Row],[fecha_fs]])</f>
        <v>14</v>
      </c>
      <c r="AZ513" s="20">
        <f t="shared" si="57"/>
        <v>15</v>
      </c>
      <c r="BA513" s="20">
        <f t="shared" si="58"/>
        <v>0</v>
      </c>
      <c r="BB513" s="195">
        <f>IFERROR(SUM(DATA[[#This Row],[fs_val_ttf]:[fact_pago_ttf]]),0)</f>
        <v>29</v>
      </c>
      <c r="BC513" s="185">
        <v>45779</v>
      </c>
      <c r="BD513" s="185">
        <v>45789</v>
      </c>
      <c r="BE513" s="185">
        <v>45796</v>
      </c>
      <c r="BF513" s="185">
        <v>45832</v>
      </c>
      <c r="BG513" s="20">
        <f>IFERROR(IF(BC513-DATA[[#This Row],[fecha_fs]]&lt;0,0,BC513-DATA[[#This Row],[fecha_fs]]),0)</f>
        <v>18</v>
      </c>
      <c r="BH513" s="20">
        <f t="shared" si="53"/>
        <v>10</v>
      </c>
      <c r="BI513" s="20">
        <f t="shared" si="54"/>
        <v>7</v>
      </c>
      <c r="BJ513" s="20">
        <f t="shared" si="55"/>
        <v>36</v>
      </c>
      <c r="BK513" s="218">
        <f>IFERROR(SUM(DATA[[#This Row],[fs_fd_ttd]:[fend_fenf_ttd]]),0)</f>
        <v>71</v>
      </c>
      <c r="BL513" s="20" t="str">
        <f>IF(DATA[[#This Row],[fecha_fs]]&gt;0,TEXT(DATA[[#This Row],[fecha_fs]],"YYYY"),0)</f>
        <v>2025</v>
      </c>
      <c r="BM513" s="221" t="b">
        <v>1</v>
      </c>
      <c r="BN513" s="278">
        <f>COUNTIF(DATA[[#This Row],[tiempo_td]], "&lt;=15")</f>
        <v>0</v>
      </c>
      <c r="BO513" s="222"/>
    </row>
    <row r="514" spans="1:67" ht="30.6" customHeight="1" x14ac:dyDescent="0.25">
      <c r="A514" s="4">
        <v>20496535066</v>
      </c>
      <c r="B514" s="5" t="s">
        <v>36</v>
      </c>
      <c r="C514" s="52" t="s">
        <v>230</v>
      </c>
      <c r="D514" s="4" t="s">
        <v>120</v>
      </c>
      <c r="E514" s="5" t="s">
        <v>3</v>
      </c>
      <c r="F514" s="24">
        <v>45758</v>
      </c>
      <c r="G514" s="7" t="s">
        <v>113</v>
      </c>
      <c r="H514" s="25">
        <f t="shared" si="56"/>
        <v>1</v>
      </c>
      <c r="I514" s="67">
        <v>4379</v>
      </c>
      <c r="J514" s="8" t="s">
        <v>115</v>
      </c>
      <c r="K514" s="9" t="s">
        <v>121</v>
      </c>
      <c r="L514" s="10" t="s">
        <v>117</v>
      </c>
      <c r="M514" s="11">
        <v>12410</v>
      </c>
      <c r="N514" s="12" t="s">
        <v>114</v>
      </c>
      <c r="O514" s="6">
        <v>45777</v>
      </c>
      <c r="P514" s="122">
        <v>3430</v>
      </c>
      <c r="Q514" s="14" t="s">
        <v>85</v>
      </c>
      <c r="R514" s="15">
        <f>DATA[[#This Row],[cantidad_fs]]*0.08</f>
        <v>992.80000000000007</v>
      </c>
      <c r="S514" s="15">
        <f>2945/2</f>
        <v>1472.5</v>
      </c>
      <c r="T514" s="15">
        <f>DATA[[#This Row],[C. DF]]+DATA[[#This Row],[C.OPE.]]</f>
        <v>2465.3000000000002</v>
      </c>
      <c r="U514" s="15">
        <f>DATA[[#This Row],[SUB TOTAL]]*0.18</f>
        <v>443.75400000000002</v>
      </c>
      <c r="V514" s="15">
        <f>IFERROR(ROUND(DATA[[#This Row],[SUB TOTAL]]+DATA[[#This Row],[IGV]],2),0)</f>
        <v>2909.05</v>
      </c>
      <c r="W514" s="16" t="str">
        <f>IF(DATA[[#This Row],[VALORIZACIÓN ]]="-","NO CORRESPONDE",IF(OR(A514=20558226979,A514=10470707866,A514=20111157058,A514=20100226902),"NO CORRESPONDE",IF(J514="Emitida",IF(P514&gt;0,"EMITIDA","PENDIENTE"),"NO CORRESPONDE")))</f>
        <v>EMITIDA</v>
      </c>
      <c r="X514" s="29" t="s">
        <v>231</v>
      </c>
      <c r="Y514" s="17" t="s">
        <v>118</v>
      </c>
      <c r="Z514" s="30">
        <v>45831</v>
      </c>
      <c r="AA514" s="10" t="s">
        <v>150</v>
      </c>
      <c r="AB514" s="19">
        <v>129</v>
      </c>
      <c r="AC514" s="20">
        <v>15</v>
      </c>
      <c r="AD514" s="18">
        <f>DATA[[#This Row],[FECHA DE EMISION]]+DATA[[#This Row],[CONDICION DE PAGO]]</f>
        <v>45846</v>
      </c>
      <c r="AE514" s="23">
        <f>IF(DATA[[#This Row],[MONEDA]]="USD",VLOOKUP(DATA[[#This Row],[COMBINADA]],#REF!,11,0),1)</f>
        <v>1</v>
      </c>
      <c r="AF514" s="39" t="str">
        <f>IF(DATA[[#This Row],[SERIE2]]="-","NO CORRESPONDE",IF(W514="NO CORRESPONDE","NO CORRESPONDE",IF(Z514&gt;0,"FACTURADO","PENDIENTE")))</f>
        <v>FACTURADO</v>
      </c>
      <c r="AG514" s="27">
        <f>IFERROR(VLOOKUP(DATA[[#This Row],[COMBINADA]],#REF!,6,0),0)</f>
        <v>0</v>
      </c>
      <c r="AH514" s="125">
        <f>IFERROR(VLOOKUP(DATA[[#This Row],[COMBINADA]],#REF!,9,0),0)/COUNTIFS(DATA[COMBINADA],DATA[[#This Row],[COMBINADA]])</f>
        <v>0</v>
      </c>
      <c r="AI514" s="27">
        <f>IFERROR(VLOOKUP(DATA[[#This Row],[COMBINADA]],#REF!,6,0),0)</f>
        <v>0</v>
      </c>
      <c r="AJ514" s="125">
        <f>IFERROR(VLOOKUP(DATA[[#This Row],[COMBINADA]],#REF!,9,0),0)/COUNTIFS(DATA[COMBINADA],DATA[[#This Row],[COMBINADA]])</f>
        <v>0</v>
      </c>
      <c r="AK514" s="27">
        <f>IFERROR(VLOOKUP(DATA[[#This Row],[COMBINADA]],#REF!,6,0),0)</f>
        <v>0</v>
      </c>
      <c r="AL514" s="125">
        <f>IFERROR(VLOOKUP(DATA[[#This Row],[COMBINADA]],#REF!,9,0),0)/COUNTIFS(DATA[COMBINADA],DATA[[#This Row],[COMBINADA]])</f>
        <v>0</v>
      </c>
      <c r="AM514" s="27">
        <f>IFERROR(VLOOKUP(DATA[[#This Row],[COMBINADA]],#REF!,6,0),0)</f>
        <v>0</v>
      </c>
      <c r="AN514" s="125">
        <f>IFERROR(VLOOKUP(DATA[[#This Row],[COMBINADA]],#REF!,9,0),0)/COUNTIFS(DATA[COMBINADA],DATA[[#This Row],[COMBINADA]])</f>
        <v>0</v>
      </c>
      <c r="AO514" s="27">
        <f>IFERROR(VLOOKUP(DATA[[#This Row],[COMBINADA]],#REF!,6,0),0)</f>
        <v>0</v>
      </c>
      <c r="AP514" s="125">
        <f>IFERROR(VLOOKUP(DATA[[#This Row],[COMBINADA]],#REF!,9,0),0)/COUNTIFS(DATA[COMBINADA],DATA[[#This Row],[COMBINADA]])</f>
        <v>0</v>
      </c>
      <c r="AQ51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2924</v>
      </c>
      <c r="AR514" s="26" t="str">
        <f>IFERROR(IF(DATA[[#This Row],[estado_fact]]="FACTURADO",VLOOKUP(DATA[[#This Row],[SERIE2]]&amp;"-"&amp;DATA[[#This Row],[NUMERO]],#REF!,34,0),"NO CORRESPONDE"),"NO CORRESPONDE")</f>
        <v>NO CORRESPONDE</v>
      </c>
      <c r="AS514" s="22" t="str">
        <f>IF(DATA[[#This Row],[fecha_fs]]&gt;0,TEXT(DATA[[#This Row],[fecha_fs]],"Mmmm"),0)</f>
        <v>Abril</v>
      </c>
      <c r="AT514" s="22" t="str">
        <f>DATA[[#This Row],[SERIE2]]&amp;"-"&amp;DATA[[#This Row],[NUMERO]]</f>
        <v>FF01-129</v>
      </c>
      <c r="AU514" s="28">
        <f>DATA[[#This Row],[TOTAL]]*DATA[[#This Row],[T.C.]]</f>
        <v>2909.05</v>
      </c>
      <c r="AV514" s="6">
        <f>DATA[[#This Row],[FECHA DE VAL.]]</f>
        <v>45777</v>
      </c>
      <c r="AW514" s="6">
        <f>DATA[[#This Row],[FECHA DE EMISION]]</f>
        <v>45831</v>
      </c>
      <c r="AX514" s="6">
        <f>DATA[[#This Row],[F1]]</f>
        <v>0</v>
      </c>
      <c r="AY514" s="20">
        <f>IF(AV514-DATA[[#This Row],[fecha_fs]]&lt;0,0,AV514-DATA[[#This Row],[fecha_fs]])</f>
        <v>19</v>
      </c>
      <c r="AZ514" s="20">
        <f t="shared" si="57"/>
        <v>54</v>
      </c>
      <c r="BA514" s="20">
        <f t="shared" si="58"/>
        <v>0</v>
      </c>
      <c r="BB514" s="195">
        <f>IFERROR(SUM(DATA[[#This Row],[fs_val_ttf]:[fact_pago_ttf]]),0)</f>
        <v>73</v>
      </c>
      <c r="BC514" s="185">
        <v>45771</v>
      </c>
      <c r="BD514" s="185">
        <v>45789</v>
      </c>
      <c r="BE514" s="185">
        <v>45797</v>
      </c>
      <c r="BF514" s="185">
        <v>45798</v>
      </c>
      <c r="BG514" s="20">
        <f>IFERROR(IF(BC514-DATA[[#This Row],[fecha_fs]]&lt;0,0,BC514-DATA[[#This Row],[fecha_fs]]),0)</f>
        <v>13</v>
      </c>
      <c r="BH514" s="20">
        <f t="shared" si="53"/>
        <v>18</v>
      </c>
      <c r="BI514" s="20">
        <f t="shared" si="54"/>
        <v>8</v>
      </c>
      <c r="BJ514" s="20">
        <f t="shared" si="55"/>
        <v>1</v>
      </c>
      <c r="BK514" s="218">
        <f>IFERROR(SUM(DATA[[#This Row],[fs_fd_ttd]:[fend_fenf_ttd]]),0)</f>
        <v>40</v>
      </c>
      <c r="BL514" s="20" t="str">
        <f>IF(DATA[[#This Row],[fecha_fs]]&gt;0,TEXT(DATA[[#This Row],[fecha_fs]],"YYYY"),0)</f>
        <v>2025</v>
      </c>
      <c r="BM514" s="221" t="b">
        <v>1</v>
      </c>
      <c r="BN514" s="278">
        <f>COUNTIF(DATA[[#This Row],[tiempo_td]], "&lt;=15")</f>
        <v>0</v>
      </c>
      <c r="BO514" s="222"/>
    </row>
    <row r="515" spans="1:67" ht="30.6" customHeight="1" x14ac:dyDescent="0.25">
      <c r="A515" s="4">
        <v>20496535066</v>
      </c>
      <c r="B515" s="5" t="s">
        <v>36</v>
      </c>
      <c r="C515" s="52" t="s">
        <v>230</v>
      </c>
      <c r="D515" s="4" t="s">
        <v>120</v>
      </c>
      <c r="E515" s="5" t="s">
        <v>3</v>
      </c>
      <c r="F515" s="24">
        <v>45758</v>
      </c>
      <c r="G515" s="7" t="s">
        <v>113</v>
      </c>
      <c r="H515" s="25">
        <f t="shared" si="56"/>
        <v>1</v>
      </c>
      <c r="I515" s="67">
        <v>4380</v>
      </c>
      <c r="J515" s="8" t="s">
        <v>115</v>
      </c>
      <c r="K515" s="9" t="s">
        <v>121</v>
      </c>
      <c r="L515" s="10" t="s">
        <v>117</v>
      </c>
      <c r="M515" s="11">
        <v>15420</v>
      </c>
      <c r="N515" s="12" t="s">
        <v>114</v>
      </c>
      <c r="O515" s="6">
        <v>45777</v>
      </c>
      <c r="P515" s="122">
        <v>3430</v>
      </c>
      <c r="Q515" s="14" t="s">
        <v>85</v>
      </c>
      <c r="R515" s="15">
        <f>DATA[[#This Row],[cantidad_fs]]*0.08</f>
        <v>1233.6000000000001</v>
      </c>
      <c r="S515" s="15">
        <f>2945/2</f>
        <v>1472.5</v>
      </c>
      <c r="T515" s="15">
        <f>DATA[[#This Row],[C. DF]]+DATA[[#This Row],[C.OPE.]]</f>
        <v>2706.1000000000004</v>
      </c>
      <c r="U515" s="15">
        <f>DATA[[#This Row],[SUB TOTAL]]*0.18</f>
        <v>487.09800000000007</v>
      </c>
      <c r="V515" s="15">
        <f>IFERROR(ROUND(DATA[[#This Row],[SUB TOTAL]]+DATA[[#This Row],[IGV]],2),0)</f>
        <v>3193.2</v>
      </c>
      <c r="W515" s="16" t="str">
        <f>IF(DATA[[#This Row],[VALORIZACIÓN ]]="-","NO CORRESPONDE",IF(OR(A515=20558226979,A515=10470707866,A515=20111157058,A515=20100226902),"NO CORRESPONDE",IF(J515="Emitida",IF(P515&gt;0,"EMITIDA","PENDIENTE"),"NO CORRESPONDE")))</f>
        <v>EMITIDA</v>
      </c>
      <c r="X515" s="29" t="s">
        <v>231</v>
      </c>
      <c r="Y515" s="17" t="s">
        <v>118</v>
      </c>
      <c r="Z515" s="30">
        <v>45831</v>
      </c>
      <c r="AA515" s="10" t="s">
        <v>150</v>
      </c>
      <c r="AB515" s="19">
        <v>129</v>
      </c>
      <c r="AC515" s="20">
        <v>15</v>
      </c>
      <c r="AD515" s="18">
        <f>DATA[[#This Row],[FECHA DE EMISION]]+DATA[[#This Row],[CONDICION DE PAGO]]</f>
        <v>45846</v>
      </c>
      <c r="AE515" s="23">
        <f>IF(DATA[[#This Row],[MONEDA]]="USD",VLOOKUP(DATA[[#This Row],[COMBINADA]],#REF!,11,0),1)</f>
        <v>1</v>
      </c>
      <c r="AF515" s="39" t="str">
        <f>IF(DATA[[#This Row],[SERIE2]]="-","NO CORRESPONDE",IF(W515="NO CORRESPONDE","NO CORRESPONDE",IF(Z515&gt;0,"FACTURADO","PENDIENTE")))</f>
        <v>FACTURADO</v>
      </c>
      <c r="AG515" s="27">
        <f>IFERROR(VLOOKUP(DATA[[#This Row],[COMBINADA]],#REF!,6,0),0)</f>
        <v>0</v>
      </c>
      <c r="AH515" s="125">
        <f>IFERROR(VLOOKUP(DATA[[#This Row],[COMBINADA]],#REF!,9,0),0)/COUNTIFS(DATA[COMBINADA],DATA[[#This Row],[COMBINADA]])</f>
        <v>0</v>
      </c>
      <c r="AI515" s="27">
        <f>IFERROR(VLOOKUP(DATA[[#This Row],[COMBINADA]],#REF!,6,0),0)</f>
        <v>0</v>
      </c>
      <c r="AJ515" s="125">
        <f>IFERROR(VLOOKUP(DATA[[#This Row],[COMBINADA]],#REF!,9,0),0)/COUNTIFS(DATA[COMBINADA],DATA[[#This Row],[COMBINADA]])</f>
        <v>0</v>
      </c>
      <c r="AK515" s="27">
        <f>IFERROR(VLOOKUP(DATA[[#This Row],[COMBINADA]],#REF!,6,0),0)</f>
        <v>0</v>
      </c>
      <c r="AL515" s="125">
        <f>IFERROR(VLOOKUP(DATA[[#This Row],[COMBINADA]],#REF!,9,0),0)/COUNTIFS(DATA[COMBINADA],DATA[[#This Row],[COMBINADA]])</f>
        <v>0</v>
      </c>
      <c r="AM515" s="27">
        <f>IFERROR(VLOOKUP(DATA[[#This Row],[COMBINADA]],#REF!,6,0),0)</f>
        <v>0</v>
      </c>
      <c r="AN515" s="125">
        <f>IFERROR(VLOOKUP(DATA[[#This Row],[COMBINADA]],#REF!,9,0),0)/COUNTIFS(DATA[COMBINADA],DATA[[#This Row],[COMBINADA]])</f>
        <v>0</v>
      </c>
      <c r="AO515" s="27">
        <f>IFERROR(VLOOKUP(DATA[[#This Row],[COMBINADA]],#REF!,6,0),0)</f>
        <v>0</v>
      </c>
      <c r="AP515" s="125">
        <f>IFERROR(VLOOKUP(DATA[[#This Row],[COMBINADA]],#REF!,9,0),0)/COUNTIFS(DATA[COMBINADA],DATA[[#This Row],[COMBINADA]])</f>
        <v>0</v>
      </c>
      <c r="AQ51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2924</v>
      </c>
      <c r="AR515" s="26" t="str">
        <f>IFERROR(IF(DATA[[#This Row],[estado_fact]]="FACTURADO",VLOOKUP(DATA[[#This Row],[SERIE2]]&amp;"-"&amp;DATA[[#This Row],[NUMERO]],#REF!,34,0),"NO CORRESPONDE"),"NO CORRESPONDE")</f>
        <v>NO CORRESPONDE</v>
      </c>
      <c r="AS515" s="22" t="str">
        <f>IF(DATA[[#This Row],[fecha_fs]]&gt;0,TEXT(DATA[[#This Row],[fecha_fs]],"Mmmm"),0)</f>
        <v>Abril</v>
      </c>
      <c r="AT515" s="22" t="str">
        <f>DATA[[#This Row],[SERIE2]]&amp;"-"&amp;DATA[[#This Row],[NUMERO]]</f>
        <v>FF01-129</v>
      </c>
      <c r="AU515" s="28">
        <f>DATA[[#This Row],[TOTAL]]*DATA[[#This Row],[T.C.]]</f>
        <v>3193.2</v>
      </c>
      <c r="AV515" s="6">
        <f>DATA[[#This Row],[FECHA DE VAL.]]</f>
        <v>45777</v>
      </c>
      <c r="AW515" s="6">
        <f>DATA[[#This Row],[FECHA DE EMISION]]</f>
        <v>45831</v>
      </c>
      <c r="AX515" s="6">
        <f>DATA[[#This Row],[F1]]</f>
        <v>0</v>
      </c>
      <c r="AY515" s="20">
        <f>IF(AV515-DATA[[#This Row],[fecha_fs]]&lt;0,0,AV515-DATA[[#This Row],[fecha_fs]])</f>
        <v>19</v>
      </c>
      <c r="AZ515" s="20">
        <f t="shared" si="57"/>
        <v>54</v>
      </c>
      <c r="BA515" s="20">
        <f t="shared" si="58"/>
        <v>0</v>
      </c>
      <c r="BB515" s="195">
        <f>IFERROR(SUM(DATA[[#This Row],[fs_val_ttf]:[fact_pago_ttf]]),0)</f>
        <v>73</v>
      </c>
      <c r="BC515" s="185">
        <v>45771</v>
      </c>
      <c r="BD515" s="185">
        <v>45789</v>
      </c>
      <c r="BE515" s="185">
        <v>45797</v>
      </c>
      <c r="BF515" s="185">
        <v>45798</v>
      </c>
      <c r="BG515" s="20">
        <f>IFERROR(IF(BC515-DATA[[#This Row],[fecha_fs]]&lt;0,0,BC515-DATA[[#This Row],[fecha_fs]]),0)</f>
        <v>13</v>
      </c>
      <c r="BH515" s="20">
        <f t="shared" si="53"/>
        <v>18</v>
      </c>
      <c r="BI515" s="20">
        <f t="shared" si="54"/>
        <v>8</v>
      </c>
      <c r="BJ515" s="20">
        <f t="shared" si="55"/>
        <v>1</v>
      </c>
      <c r="BK515" s="218">
        <f>IFERROR(SUM(DATA[[#This Row],[fs_fd_ttd]:[fend_fenf_ttd]]),0)</f>
        <v>40</v>
      </c>
      <c r="BL515" s="20" t="str">
        <f>IF(DATA[[#This Row],[fecha_fs]]&gt;0,TEXT(DATA[[#This Row],[fecha_fs]],"YYYY"),0)</f>
        <v>2025</v>
      </c>
      <c r="BM515" s="221" t="b">
        <v>1</v>
      </c>
      <c r="BN515" s="278">
        <f>COUNTIF(DATA[[#This Row],[tiempo_td]], "&lt;=15")</f>
        <v>0</v>
      </c>
      <c r="BO515" s="222"/>
    </row>
    <row r="516" spans="1:67" ht="30.6" customHeight="1" x14ac:dyDescent="0.25">
      <c r="A516" s="4">
        <v>20100192064</v>
      </c>
      <c r="B516" s="5" t="s">
        <v>60</v>
      </c>
      <c r="C516" s="52" t="s">
        <v>43</v>
      </c>
      <c r="D516" s="4" t="s">
        <v>112</v>
      </c>
      <c r="E516" s="5" t="s">
        <v>1</v>
      </c>
      <c r="F516" s="24">
        <v>45761</v>
      </c>
      <c r="G516" s="7" t="s">
        <v>113</v>
      </c>
      <c r="H516" s="25">
        <f t="shared" si="56"/>
        <v>1</v>
      </c>
      <c r="I516" s="67">
        <v>4381</v>
      </c>
      <c r="J516" s="8" t="s">
        <v>115</v>
      </c>
      <c r="K516" s="9" t="s">
        <v>116</v>
      </c>
      <c r="L516" s="10" t="s">
        <v>117</v>
      </c>
      <c r="M516" s="11">
        <v>820</v>
      </c>
      <c r="N516" s="12" t="s">
        <v>125</v>
      </c>
      <c r="O516" s="6">
        <v>45772</v>
      </c>
      <c r="P516" s="71">
        <v>3408</v>
      </c>
      <c r="Q516" s="14" t="s">
        <v>123</v>
      </c>
      <c r="R516" s="15">
        <f>(DATA[[#This Row],[cantidad_fs]]/1000)*(143+175.34)</f>
        <v>261.03880000000004</v>
      </c>
      <c r="S516" s="15">
        <v>137</v>
      </c>
      <c r="T516" s="15">
        <f>DATA[[#This Row],[C. DF]]+DATA[[#This Row],[C.OPE.]]</f>
        <v>398.03880000000004</v>
      </c>
      <c r="U516" s="15">
        <f>DATA[[#This Row],[SUB TOTAL]]*0.18</f>
        <v>71.646984000000003</v>
      </c>
      <c r="V516" s="15">
        <f>IFERROR(ROUND(DATA[[#This Row],[SUB TOTAL]]+DATA[[#This Row],[IGV]],2),0)</f>
        <v>469.69</v>
      </c>
      <c r="W516" s="16" t="str">
        <f>IF(DATA[[#This Row],[VALORIZACIÓN ]]="-","NO CORRESPONDE",IF(OR(A516=20558226979,A516=10470707866,A516=20111157058,A516=20100226902),"NO CORRESPONDE",IF(J516="Emitida",IF(P516&gt;0,"EMITIDA","PENDIENTE"),"NO CORRESPONDE")))</f>
        <v>EMITIDA</v>
      </c>
      <c r="X516" s="29"/>
      <c r="Y516" s="17" t="s">
        <v>118</v>
      </c>
      <c r="Z516" s="30">
        <v>45776</v>
      </c>
      <c r="AA516" s="10" t="s">
        <v>150</v>
      </c>
      <c r="AB516" s="19">
        <v>54</v>
      </c>
      <c r="AC516" s="20">
        <v>30</v>
      </c>
      <c r="AD516" s="18">
        <f>DATA[[#This Row],[FECHA DE EMISION]]+DATA[[#This Row],[CONDICION DE PAGO]]</f>
        <v>45806</v>
      </c>
      <c r="AE516" s="23" t="e">
        <f>IF(DATA[[#This Row],[MONEDA]]="USD",VLOOKUP(DATA[[#This Row],[COMBINADA]],#REF!,11,0),1)</f>
        <v>#REF!</v>
      </c>
      <c r="AF516" s="39" t="str">
        <f>IF(DATA[[#This Row],[SERIE2]]="-","NO CORRESPONDE",IF(W516="NO CORRESPONDE","NO CORRESPONDE",IF(Z516&gt;0,"FACTURADO","PENDIENTE")))</f>
        <v>FACTURADO</v>
      </c>
      <c r="AG516" s="27">
        <f>IFERROR(VLOOKUP(DATA[[#This Row],[COMBINADA]],#REF!,6,0),0)</f>
        <v>0</v>
      </c>
      <c r="AH516" s="125">
        <f>IFERROR(VLOOKUP(DATA[[#This Row],[COMBINADA]],#REF!,9,0),0)/COUNTIFS(DATA[COMBINADA],DATA[[#This Row],[COMBINADA]])</f>
        <v>0</v>
      </c>
      <c r="AI516" s="27">
        <f>IFERROR(VLOOKUP(DATA[[#This Row],[COMBINADA]],#REF!,6,0),0)</f>
        <v>0</v>
      </c>
      <c r="AJ516" s="125">
        <f>IFERROR(VLOOKUP(DATA[[#This Row],[COMBINADA]],#REF!,9,0),0)/COUNTIFS(DATA[COMBINADA],DATA[[#This Row],[COMBINADA]])</f>
        <v>0</v>
      </c>
      <c r="AK516" s="27">
        <f>IFERROR(VLOOKUP(DATA[[#This Row],[COMBINADA]],#REF!,6,0),0)</f>
        <v>0</v>
      </c>
      <c r="AL516" s="125">
        <f>IFERROR(VLOOKUP(DATA[[#This Row],[COMBINADA]],#REF!,9,0),0)/COUNTIFS(DATA[COMBINADA],DATA[[#This Row],[COMBINADA]])</f>
        <v>0</v>
      </c>
      <c r="AM516" s="27">
        <f>IFERROR(VLOOKUP(DATA[[#This Row],[COMBINADA]],#REF!,6,0),0)</f>
        <v>0</v>
      </c>
      <c r="AN516" s="125">
        <f>IFERROR(VLOOKUP(DATA[[#This Row],[COMBINADA]],#REF!,9,0),0)/COUNTIFS(DATA[COMBINADA],DATA[[#This Row],[COMBINADA]])</f>
        <v>0</v>
      </c>
      <c r="AO516" s="27">
        <f>IFERROR(VLOOKUP(DATA[[#This Row],[COMBINADA]],#REF!,6,0),0)</f>
        <v>0</v>
      </c>
      <c r="AP516" s="125">
        <f>IFERROR(VLOOKUP(DATA[[#This Row],[COMBINADA]],#REF!,9,0),0)/COUNTIFS(DATA[COMBINADA],DATA[[#This Row],[COMBINADA]])</f>
        <v>0</v>
      </c>
      <c r="AQ51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548.94894736842105</v>
      </c>
      <c r="AR516" s="26" t="str">
        <f>IFERROR(IF(DATA[[#This Row],[estado_fact]]="FACTURADO",VLOOKUP(DATA[[#This Row],[SERIE2]]&amp;"-"&amp;DATA[[#This Row],[NUMERO]],#REF!,34,0),"NO CORRESPONDE"),"NO CORRESPONDE")</f>
        <v>NO CORRESPONDE</v>
      </c>
      <c r="AS516" s="22" t="str">
        <f>IF(DATA[[#This Row],[fecha_fs]]&gt;0,TEXT(DATA[[#This Row],[fecha_fs]],"Mmmm"),0)</f>
        <v>Abril</v>
      </c>
      <c r="AT516" s="22" t="str">
        <f>DATA[[#This Row],[SERIE2]]&amp;"-"&amp;DATA[[#This Row],[NUMERO]]</f>
        <v>FF01-54</v>
      </c>
      <c r="AU516" s="28" t="e">
        <f>DATA[[#This Row],[TOTAL]]*DATA[[#This Row],[T.C.]]</f>
        <v>#REF!</v>
      </c>
      <c r="AV516" s="6">
        <f>DATA[[#This Row],[FECHA DE VAL.]]</f>
        <v>45772</v>
      </c>
      <c r="AW516" s="6">
        <f>DATA[[#This Row],[FECHA DE EMISION]]</f>
        <v>45776</v>
      </c>
      <c r="AX516" s="6">
        <f>DATA[[#This Row],[F1]]</f>
        <v>0</v>
      </c>
      <c r="AY516" s="20">
        <f>IF(AV516-DATA[[#This Row],[fecha_fs]]&lt;0,0,AV516-DATA[[#This Row],[fecha_fs]])</f>
        <v>11</v>
      </c>
      <c r="AZ516" s="20">
        <f t="shared" si="57"/>
        <v>4</v>
      </c>
      <c r="BA516" s="20">
        <f t="shared" si="58"/>
        <v>0</v>
      </c>
      <c r="BB516" s="195">
        <f>IFERROR(SUM(DATA[[#This Row],[fs_val_ttf]:[fact_pago_ttf]]),0)</f>
        <v>15</v>
      </c>
      <c r="BC516" s="185">
        <v>45772</v>
      </c>
      <c r="BD516" s="185">
        <v>45782</v>
      </c>
      <c r="BE516" s="185">
        <v>45786</v>
      </c>
      <c r="BF516" s="185">
        <v>45831</v>
      </c>
      <c r="BG516" s="20">
        <f>IFERROR(IF(BC516-DATA[[#This Row],[fecha_fs]]&lt;0,0,BC516-DATA[[#This Row],[fecha_fs]]),0)</f>
        <v>11</v>
      </c>
      <c r="BH516" s="20">
        <f t="shared" si="53"/>
        <v>10</v>
      </c>
      <c r="BI516" s="20">
        <f t="shared" si="54"/>
        <v>4</v>
      </c>
      <c r="BJ516" s="20">
        <f t="shared" si="55"/>
        <v>45</v>
      </c>
      <c r="BK516" s="218">
        <f>IFERROR(SUM(DATA[[#This Row],[fs_fd_ttd]:[fend_fenf_ttd]]),0)</f>
        <v>70</v>
      </c>
      <c r="BL516" s="20" t="str">
        <f>IF(DATA[[#This Row],[fecha_fs]]&gt;0,TEXT(DATA[[#This Row],[fecha_fs]],"YYYY"),0)</f>
        <v>2025</v>
      </c>
      <c r="BM516" s="221" t="b">
        <v>1</v>
      </c>
      <c r="BN516" s="278">
        <f>COUNTIF(DATA[[#This Row],[tiempo_td]], "&lt;=15")</f>
        <v>0</v>
      </c>
      <c r="BO516" s="222"/>
    </row>
    <row r="517" spans="1:67" ht="30.6" customHeight="1" x14ac:dyDescent="0.25">
      <c r="A517" s="4">
        <v>20100199743</v>
      </c>
      <c r="B517" s="5" t="s">
        <v>47</v>
      </c>
      <c r="C517" s="52" t="s">
        <v>48</v>
      </c>
      <c r="D517" s="4" t="s">
        <v>139</v>
      </c>
      <c r="E517" s="5" t="s">
        <v>23</v>
      </c>
      <c r="F517" s="24">
        <v>45761</v>
      </c>
      <c r="G517" s="7" t="s">
        <v>113</v>
      </c>
      <c r="H517" s="25">
        <f t="shared" si="56"/>
        <v>1</v>
      </c>
      <c r="I517" s="67">
        <v>4382</v>
      </c>
      <c r="J517" s="8" t="s">
        <v>115</v>
      </c>
      <c r="K517" s="9" t="s">
        <v>257</v>
      </c>
      <c r="L517" s="10" t="s">
        <v>117</v>
      </c>
      <c r="M517" s="11">
        <v>14735.6</v>
      </c>
      <c r="N517" s="12" t="s">
        <v>135</v>
      </c>
      <c r="O517" s="6">
        <v>45762</v>
      </c>
      <c r="P517" s="13">
        <v>3393</v>
      </c>
      <c r="Q517" s="14" t="s">
        <v>85</v>
      </c>
      <c r="R517" s="15"/>
      <c r="S517" s="15">
        <v>6205</v>
      </c>
      <c r="T517" s="15">
        <f>DATA[[#This Row],[C. DF]]+DATA[[#This Row],[C.OPE.]]</f>
        <v>6205</v>
      </c>
      <c r="U517" s="15">
        <f>DATA[[#This Row],[SUB TOTAL]]*0.18</f>
        <v>1116.8999999999999</v>
      </c>
      <c r="V517" s="15">
        <f>IFERROR(ROUND(DATA[[#This Row],[SUB TOTAL]]+DATA[[#This Row],[IGV]],2),0)</f>
        <v>7321.9</v>
      </c>
      <c r="W517" s="16" t="str">
        <f>IF(DATA[[#This Row],[VALORIZACIÓN ]]="-","NO CORRESPONDE",IF(OR(A517=20558226979,A517=10470707866,A517=20111157058,A517=20100226902),"NO CORRESPONDE",IF(J517="Emitida",IF(P517&gt;0,"EMITIDA","PENDIENTE"),"NO CORRESPONDE")))</f>
        <v>EMITIDA</v>
      </c>
      <c r="X517" s="29"/>
      <c r="Y517" s="17" t="s">
        <v>118</v>
      </c>
      <c r="Z517" s="30">
        <v>45770</v>
      </c>
      <c r="AA517" s="10" t="s">
        <v>150</v>
      </c>
      <c r="AB517" s="19">
        <v>45</v>
      </c>
      <c r="AC517" s="20">
        <v>15</v>
      </c>
      <c r="AD517" s="18">
        <f>DATA[[#This Row],[FECHA DE EMISION]]+DATA[[#This Row],[CONDICION DE PAGO]]</f>
        <v>45785</v>
      </c>
      <c r="AE517" s="23">
        <f>IF(DATA[[#This Row],[MONEDA]]="USD",VLOOKUP(DATA[[#This Row],[COMBINADA]],#REF!,11,0),1)</f>
        <v>1</v>
      </c>
      <c r="AF517" s="39" t="str">
        <f>IF(DATA[[#This Row],[SERIE2]]="-","NO CORRESPONDE",IF(W517="NO CORRESPONDE","NO CORRESPONDE",IF(Z517&gt;0,"FACTURADO","PENDIENTE")))</f>
        <v>FACTURADO</v>
      </c>
      <c r="AG517" s="133">
        <f>IFERROR(VLOOKUP(DATA[[#This Row],[COMBINADA]],#REF!,6,0),0)</f>
        <v>0</v>
      </c>
      <c r="AH517" s="125">
        <f>IFERROR(VLOOKUP(DATA[[#This Row],[COMBINADA]],#REF!,9,0),0)/COUNTIFS(DATA[COMBINADA],DATA[[#This Row],[COMBINADA]])</f>
        <v>0</v>
      </c>
      <c r="AI517" s="133">
        <f>IFERROR(VLOOKUP(DATA[[#This Row],[COMBINADA]],#REF!,6,0),0)</f>
        <v>0</v>
      </c>
      <c r="AJ517" s="125">
        <f>IFERROR(VLOOKUP(DATA[[#This Row],[COMBINADA]],#REF!,9,0),0)/COUNTIFS(DATA[COMBINADA],DATA[[#This Row],[COMBINADA]])</f>
        <v>0</v>
      </c>
      <c r="AK517" s="27">
        <f>IFERROR(VLOOKUP(DATA[[#This Row],[COMBINADA]],#REF!,6,0),0)</f>
        <v>0</v>
      </c>
      <c r="AL517" s="125">
        <f>IFERROR(VLOOKUP(DATA[[#This Row],[COMBINADA]],#REF!,9,0),0)/COUNTIFS(DATA[COMBINADA],DATA[[#This Row],[COMBINADA]])</f>
        <v>0</v>
      </c>
      <c r="AM517" s="27">
        <f>IFERROR(VLOOKUP(DATA[[#This Row],[COMBINADA]],#REF!,6,0),0)</f>
        <v>0</v>
      </c>
      <c r="AN517" s="125">
        <f>IFERROR(VLOOKUP(DATA[[#This Row],[COMBINADA]],#REF!,9,0),0)/COUNTIFS(DATA[COMBINADA],DATA[[#This Row],[COMBINADA]])</f>
        <v>0</v>
      </c>
      <c r="AO517" s="27">
        <f>IFERROR(VLOOKUP(DATA[[#This Row],[COMBINADA]],#REF!,6,0),0)</f>
        <v>0</v>
      </c>
      <c r="AP517" s="125">
        <f>IFERROR(VLOOKUP(DATA[[#This Row],[COMBINADA]],#REF!,9,0),0)/COUNTIFS(DATA[COMBINADA],DATA[[#This Row],[COMBINADA]])</f>
        <v>0</v>
      </c>
      <c r="AQ51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7321.9</v>
      </c>
      <c r="AR517" s="26" t="str">
        <f>IFERROR(IF(DATA[[#This Row],[estado_fact]]="FACTURADO",VLOOKUP(DATA[[#This Row],[SERIE2]]&amp;"-"&amp;DATA[[#This Row],[NUMERO]],#REF!,34,0),"NO CORRESPONDE"),"NO CORRESPONDE")</f>
        <v>NO CORRESPONDE</v>
      </c>
      <c r="AS517" s="22" t="str">
        <f>IF(DATA[[#This Row],[fecha_fs]]&gt;0,TEXT(DATA[[#This Row],[fecha_fs]],"Mmmm"),0)</f>
        <v>Abril</v>
      </c>
      <c r="AT517" s="22" t="str">
        <f>DATA[[#This Row],[SERIE2]]&amp;"-"&amp;DATA[[#This Row],[NUMERO]]</f>
        <v>FF01-45</v>
      </c>
      <c r="AU517" s="28">
        <f>DATA[[#This Row],[TOTAL]]*DATA[[#This Row],[T.C.]]</f>
        <v>7321.9</v>
      </c>
      <c r="AV517" s="6">
        <f>DATA[[#This Row],[FECHA DE VAL.]]</f>
        <v>45762</v>
      </c>
      <c r="AW517" s="6">
        <f>DATA[[#This Row],[FECHA DE EMISION]]</f>
        <v>45770</v>
      </c>
      <c r="AX517" s="6">
        <f>DATA[[#This Row],[F1]]</f>
        <v>0</v>
      </c>
      <c r="AY517" s="20">
        <f>IF(AV517-DATA[[#This Row],[fecha_fs]]&lt;0,0,AV517-DATA[[#This Row],[fecha_fs]])</f>
        <v>1</v>
      </c>
      <c r="AZ517" s="20">
        <f t="shared" si="57"/>
        <v>8</v>
      </c>
      <c r="BA517" s="20">
        <f t="shared" si="58"/>
        <v>0</v>
      </c>
      <c r="BB517" s="195">
        <f>IFERROR(SUM(DATA[[#This Row],[fs_val_ttf]:[fact_pago_ttf]]),0)</f>
        <v>9</v>
      </c>
      <c r="BC517" s="185">
        <v>45761</v>
      </c>
      <c r="BD517" s="185">
        <v>45761</v>
      </c>
      <c r="BE517" s="185">
        <v>45761</v>
      </c>
      <c r="BF517" s="185">
        <v>45761</v>
      </c>
      <c r="BG517" s="20">
        <f>IFERROR(IF(BC517-DATA[[#This Row],[fecha_fs]]&lt;0,0,BC517-DATA[[#This Row],[fecha_fs]]),0)</f>
        <v>0</v>
      </c>
      <c r="BH517" s="20">
        <f t="shared" si="53"/>
        <v>0</v>
      </c>
      <c r="BI517" s="20">
        <f t="shared" si="54"/>
        <v>0</v>
      </c>
      <c r="BJ517" s="20">
        <f t="shared" si="55"/>
        <v>0</v>
      </c>
      <c r="BK517" s="218">
        <f>IFERROR(SUM(DATA[[#This Row],[fs_fd_ttd]:[fend_fenf_ttd]]),0)</f>
        <v>0</v>
      </c>
      <c r="BL517" s="20" t="str">
        <f>IF(DATA[[#This Row],[fecha_fs]]&gt;0,TEXT(DATA[[#This Row],[fecha_fs]],"YYYY"),0)</f>
        <v>2025</v>
      </c>
      <c r="BM517" s="221" t="b">
        <v>1</v>
      </c>
      <c r="BN517" s="278">
        <f>COUNTIF(DATA[[#This Row],[tiempo_td]], "&lt;=15")</f>
        <v>1</v>
      </c>
      <c r="BO517" s="222"/>
    </row>
    <row r="518" spans="1:67" ht="30.6" customHeight="1" x14ac:dyDescent="0.25">
      <c r="A518" s="4">
        <v>20161541991</v>
      </c>
      <c r="B518" s="5" t="s">
        <v>28</v>
      </c>
      <c r="C518" s="52" t="s">
        <v>18</v>
      </c>
      <c r="D518" s="4" t="s">
        <v>112</v>
      </c>
      <c r="E518" s="5" t="s">
        <v>1</v>
      </c>
      <c r="F518" s="24">
        <v>45762</v>
      </c>
      <c r="G518" s="7" t="s">
        <v>113</v>
      </c>
      <c r="H518" s="25">
        <f t="shared" si="56"/>
        <v>1</v>
      </c>
      <c r="I518" s="67">
        <v>4383</v>
      </c>
      <c r="J518" s="8" t="s">
        <v>115</v>
      </c>
      <c r="K518" s="9" t="s">
        <v>116</v>
      </c>
      <c r="L518" s="10" t="s">
        <v>117</v>
      </c>
      <c r="M518" s="11">
        <v>550</v>
      </c>
      <c r="N518" s="12" t="s">
        <v>125</v>
      </c>
      <c r="O518" s="6">
        <v>45763</v>
      </c>
      <c r="P518" s="13">
        <v>3394</v>
      </c>
      <c r="Q518" s="14" t="s">
        <v>85</v>
      </c>
      <c r="R518" s="15">
        <f>DATA[[#This Row],[cantidad_fs]]*0.67</f>
        <v>368.5</v>
      </c>
      <c r="S518" s="15">
        <v>592.4</v>
      </c>
      <c r="T518" s="15">
        <f>DATA[[#This Row],[C. DF]]+DATA[[#This Row],[C.OPE.]]</f>
        <v>960.9</v>
      </c>
      <c r="U518" s="15">
        <f>DATA[[#This Row],[SUB TOTAL]]*0.18</f>
        <v>172.96199999999999</v>
      </c>
      <c r="V518" s="15">
        <f>IFERROR(ROUND(DATA[[#This Row],[SUB TOTAL]]+DATA[[#This Row],[IGV]],2),0)</f>
        <v>1133.8599999999999</v>
      </c>
      <c r="W518" s="16" t="str">
        <f>IF(DATA[[#This Row],[VALORIZACIÓN ]]="-","NO CORRESPONDE",IF(OR(A518=20558226979,A518=10470707866,A518=20111157058,A518=20100226902),"NO CORRESPONDE",IF(J518="Emitida",IF(P518&gt;0,"EMITIDA","PENDIENTE"),"NO CORRESPONDE")))</f>
        <v>EMITIDA</v>
      </c>
      <c r="X518" s="29"/>
      <c r="Y518" s="17" t="s">
        <v>118</v>
      </c>
      <c r="Z518" s="30">
        <v>45770</v>
      </c>
      <c r="AA518" s="10" t="s">
        <v>150</v>
      </c>
      <c r="AB518" s="19">
        <v>46</v>
      </c>
      <c r="AC518" s="20">
        <v>30</v>
      </c>
      <c r="AD518" s="18">
        <f>DATA[[#This Row],[FECHA DE EMISION]]+DATA[[#This Row],[CONDICION DE PAGO]]</f>
        <v>45800</v>
      </c>
      <c r="AE518" s="23">
        <f>IF(DATA[[#This Row],[MONEDA]]="USD",VLOOKUP(DATA[[#This Row],[COMBINADA]],#REF!,11,0),1)</f>
        <v>1</v>
      </c>
      <c r="AF518" s="39" t="str">
        <f>IF(DATA[[#This Row],[SERIE2]]="-","NO CORRESPONDE",IF(W518="NO CORRESPONDE","NO CORRESPONDE",IF(Z518&gt;0,"FACTURADO","PENDIENTE")))</f>
        <v>FACTURADO</v>
      </c>
      <c r="AG518" s="27">
        <f>IFERROR(VLOOKUP(DATA[[#This Row],[COMBINADA]],#REF!,6,0),0)</f>
        <v>0</v>
      </c>
      <c r="AH518" s="125">
        <f>IFERROR(VLOOKUP(DATA[[#This Row],[COMBINADA]],#REF!,9,0),0)/COUNTIFS(DATA[COMBINADA],DATA[[#This Row],[COMBINADA]])</f>
        <v>0</v>
      </c>
      <c r="AI518" s="27">
        <f>IFERROR(VLOOKUP(DATA[[#This Row],[COMBINADA]],#REF!,6,0),0)</f>
        <v>0</v>
      </c>
      <c r="AJ518" s="125">
        <f>IFERROR(VLOOKUP(DATA[[#This Row],[COMBINADA]],#REF!,9,0),0)/COUNTIFS(DATA[COMBINADA],DATA[[#This Row],[COMBINADA]])</f>
        <v>0</v>
      </c>
      <c r="AK518" s="27">
        <f>IFERROR(VLOOKUP(DATA[[#This Row],[COMBINADA]],#REF!,6,0),0)</f>
        <v>0</v>
      </c>
      <c r="AL518" s="125">
        <f>IFERROR(VLOOKUP(DATA[[#This Row],[COMBINADA]],#REF!,9,0),0)/COUNTIFS(DATA[COMBINADA],DATA[[#This Row],[COMBINADA]])</f>
        <v>0</v>
      </c>
      <c r="AM518" s="27">
        <f>IFERROR(VLOOKUP(DATA[[#This Row],[COMBINADA]],#REF!,6,0),0)</f>
        <v>0</v>
      </c>
      <c r="AN518" s="125">
        <f>IFERROR(VLOOKUP(DATA[[#This Row],[COMBINADA]],#REF!,9,0),0)/COUNTIFS(DATA[COMBINADA],DATA[[#This Row],[COMBINADA]])</f>
        <v>0</v>
      </c>
      <c r="AO518" s="27">
        <f>IFERROR(VLOOKUP(DATA[[#This Row],[COMBINADA]],#REF!,6,0),0)</f>
        <v>0</v>
      </c>
      <c r="AP518" s="125">
        <f>IFERROR(VLOOKUP(DATA[[#This Row],[COMBINADA]],#REF!,9,0),0)/COUNTIFS(DATA[COMBINADA],DATA[[#This Row],[COMBINADA]])</f>
        <v>0</v>
      </c>
      <c r="AQ51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684.33999999999992</v>
      </c>
      <c r="AR518" s="26" t="str">
        <f>IFERROR(IF(DATA[[#This Row],[estado_fact]]="FACTURADO",VLOOKUP(DATA[[#This Row],[SERIE2]]&amp;"-"&amp;DATA[[#This Row],[NUMERO]],#REF!,34,0),"NO CORRESPONDE"),"NO CORRESPONDE")</f>
        <v>NO CORRESPONDE</v>
      </c>
      <c r="AS518" s="22" t="str">
        <f>IF(DATA[[#This Row],[fecha_fs]]&gt;0,TEXT(DATA[[#This Row],[fecha_fs]],"Mmmm"),0)</f>
        <v>Abril</v>
      </c>
      <c r="AT518" s="22" t="str">
        <f>DATA[[#This Row],[SERIE2]]&amp;"-"&amp;DATA[[#This Row],[NUMERO]]</f>
        <v>FF01-46</v>
      </c>
      <c r="AU518" s="28">
        <f>DATA[[#This Row],[TOTAL]]*DATA[[#This Row],[T.C.]]</f>
        <v>1133.8599999999999</v>
      </c>
      <c r="AV518" s="6">
        <f>DATA[[#This Row],[FECHA DE VAL.]]</f>
        <v>45763</v>
      </c>
      <c r="AW518" s="6">
        <f>DATA[[#This Row],[FECHA DE EMISION]]</f>
        <v>45770</v>
      </c>
      <c r="AX518" s="6">
        <f>DATA[[#This Row],[F1]]</f>
        <v>0</v>
      </c>
      <c r="AY518" s="20">
        <f>IF(AV518-DATA[[#This Row],[fecha_fs]]&lt;0,0,AV518-DATA[[#This Row],[fecha_fs]])</f>
        <v>1</v>
      </c>
      <c r="AZ518" s="20">
        <f t="shared" si="57"/>
        <v>7</v>
      </c>
      <c r="BA518" s="20">
        <f t="shared" si="58"/>
        <v>0</v>
      </c>
      <c r="BB518" s="195">
        <f>IFERROR(SUM(DATA[[#This Row],[fs_val_ttf]:[fact_pago_ttf]]),0)</f>
        <v>8</v>
      </c>
      <c r="BC518" s="185">
        <v>45772</v>
      </c>
      <c r="BD518" s="185">
        <v>45782</v>
      </c>
      <c r="BE518" s="185">
        <v>45789</v>
      </c>
      <c r="BF518" s="185">
        <v>45798</v>
      </c>
      <c r="BG518" s="20">
        <f>IFERROR(IF(BC518-DATA[[#This Row],[fecha_fs]]&lt;0,0,BC518-DATA[[#This Row],[fecha_fs]]),0)</f>
        <v>10</v>
      </c>
      <c r="BH518" s="20">
        <f t="shared" ref="BH518:BH581" si="59">IFERROR(IF(BD518-BC518&lt;0,0,BD518-BC518),0)</f>
        <v>10</v>
      </c>
      <c r="BI518" s="20">
        <f t="shared" ref="BI518:BI581" si="60">IFERROR(IF(BE518-BD518&lt;0,0,BE518-BD518),0)</f>
        <v>7</v>
      </c>
      <c r="BJ518" s="20">
        <f t="shared" ref="BJ518:BJ581" si="61">IFERROR(IF(BF518-BE518&lt;0,0,BF518-BE518),0)</f>
        <v>9</v>
      </c>
      <c r="BK518" s="218">
        <f>IFERROR(SUM(DATA[[#This Row],[fs_fd_ttd]:[fend_fenf_ttd]]),0)</f>
        <v>36</v>
      </c>
      <c r="BL518" s="20" t="str">
        <f>IF(DATA[[#This Row],[fecha_fs]]&gt;0,TEXT(DATA[[#This Row],[fecha_fs]],"YYYY"),0)</f>
        <v>2025</v>
      </c>
      <c r="BM518" s="221" t="b">
        <v>1</v>
      </c>
      <c r="BN518" s="278">
        <f>COUNTIF(DATA[[#This Row],[tiempo_td]], "&lt;=15")</f>
        <v>0</v>
      </c>
      <c r="BO518" s="222"/>
    </row>
    <row r="519" spans="1:67" ht="30.6" customHeight="1" x14ac:dyDescent="0.25">
      <c r="A519" s="4">
        <v>20100055237</v>
      </c>
      <c r="B519" s="5" t="s">
        <v>21</v>
      </c>
      <c r="C519" s="52" t="s">
        <v>138</v>
      </c>
      <c r="D519" s="4" t="s">
        <v>139</v>
      </c>
      <c r="E519" s="5" t="s">
        <v>23</v>
      </c>
      <c r="F519" s="24">
        <v>45762</v>
      </c>
      <c r="G519" s="7" t="s">
        <v>113</v>
      </c>
      <c r="H519" s="25">
        <f t="shared" si="56"/>
        <v>1</v>
      </c>
      <c r="I519" s="67">
        <v>4384</v>
      </c>
      <c r="J519" s="8" t="s">
        <v>115</v>
      </c>
      <c r="K519" s="9" t="s">
        <v>121</v>
      </c>
      <c r="L519" s="10" t="s">
        <v>117</v>
      </c>
      <c r="M519" s="11">
        <v>120</v>
      </c>
      <c r="N519" s="12" t="s">
        <v>125</v>
      </c>
      <c r="O519" s="6">
        <v>45776</v>
      </c>
      <c r="P519" s="54">
        <v>3423</v>
      </c>
      <c r="Q519" s="14" t="s">
        <v>85</v>
      </c>
      <c r="R519" s="15"/>
      <c r="S519" s="15">
        <v>297.92</v>
      </c>
      <c r="T519" s="15">
        <f>DATA[[#This Row],[C. DF]]+DATA[[#This Row],[C.OPE.]]</f>
        <v>297.92</v>
      </c>
      <c r="U519" s="15">
        <f>DATA[[#This Row],[SUB TOTAL]]*0.18</f>
        <v>53.625599999999999</v>
      </c>
      <c r="V519" s="15">
        <f>IFERROR(ROUND(DATA[[#This Row],[SUB TOTAL]]+DATA[[#This Row],[IGV]],2),0)</f>
        <v>351.55</v>
      </c>
      <c r="W519" s="16" t="str">
        <f>IF(DATA[[#This Row],[VALORIZACIÓN ]]="-","NO CORRESPONDE",IF(OR(A519=20558226979,A519=10470707866,A519=20111157058,A519=20100226902),"NO CORRESPONDE",IF(J519="Emitida",IF(P519&gt;0,"EMITIDA","PENDIENTE"),"NO CORRESPONDE")))</f>
        <v>EMITIDA</v>
      </c>
      <c r="X519" s="29"/>
      <c r="Y519" s="17" t="s">
        <v>118</v>
      </c>
      <c r="Z519" s="30">
        <v>45812</v>
      </c>
      <c r="AA519" s="10" t="s">
        <v>150</v>
      </c>
      <c r="AB519" s="19">
        <v>104</v>
      </c>
      <c r="AC519" s="20">
        <v>30</v>
      </c>
      <c r="AD519" s="18">
        <f>DATA[[#This Row],[FECHA DE EMISION]]+DATA[[#This Row],[CONDICION DE PAGO]]</f>
        <v>45842</v>
      </c>
      <c r="AE519" s="23">
        <f>IF(DATA[[#This Row],[MONEDA]]="USD",VLOOKUP(DATA[[#This Row],[COMBINADA]],#REF!,11,0),1)</f>
        <v>1</v>
      </c>
      <c r="AF519" s="39" t="str">
        <f>IF(DATA[[#This Row],[SERIE2]]="-","NO CORRESPONDE",IF(W519="NO CORRESPONDE","NO CORRESPONDE",IF(Z519&gt;0,"FACTURADO","PENDIENTE")))</f>
        <v>FACTURADO</v>
      </c>
      <c r="AG519" s="27">
        <f>IFERROR(VLOOKUP(DATA[[#This Row],[COMBINADA]],#REF!,6,0),0)</f>
        <v>0</v>
      </c>
      <c r="AH519" s="125">
        <f>IFERROR(VLOOKUP(DATA[[#This Row],[COMBINADA]],#REF!,9,0),0)/COUNTIFS(DATA[COMBINADA],DATA[[#This Row],[COMBINADA]])</f>
        <v>0</v>
      </c>
      <c r="AI519" s="27">
        <f>IFERROR(VLOOKUP(DATA[[#This Row],[COMBINADA]],#REF!,6,0),0)</f>
        <v>0</v>
      </c>
      <c r="AJ519" s="125">
        <f>IFERROR(VLOOKUP(DATA[[#This Row],[COMBINADA]],#REF!,9,0),0)/COUNTIFS(DATA[COMBINADA],DATA[[#This Row],[COMBINADA]])</f>
        <v>0</v>
      </c>
      <c r="AK519" s="27">
        <f>IFERROR(VLOOKUP(DATA[[#This Row],[COMBINADA]],#REF!,6,0),0)</f>
        <v>0</v>
      </c>
      <c r="AL519" s="125">
        <f>IFERROR(VLOOKUP(DATA[[#This Row],[COMBINADA]],#REF!,9,0),0)/COUNTIFS(DATA[COMBINADA],DATA[[#This Row],[COMBINADA]])</f>
        <v>0</v>
      </c>
      <c r="AM519" s="27">
        <f>IFERROR(VLOOKUP(DATA[[#This Row],[COMBINADA]],#REF!,6,0),0)</f>
        <v>0</v>
      </c>
      <c r="AN519" s="125">
        <f>IFERROR(VLOOKUP(DATA[[#This Row],[COMBINADA]],#REF!,9,0),0)/COUNTIFS(DATA[COMBINADA],DATA[[#This Row],[COMBINADA]])</f>
        <v>0</v>
      </c>
      <c r="AO519" s="27">
        <f>IFERROR(VLOOKUP(DATA[[#This Row],[COMBINADA]],#REF!,6,0),0)</f>
        <v>0</v>
      </c>
      <c r="AP519" s="125">
        <f>IFERROR(VLOOKUP(DATA[[#This Row],[COMBINADA]],#REF!,9,0),0)/COUNTIFS(DATA[COMBINADA],DATA[[#This Row],[COMBINADA]])</f>
        <v>0</v>
      </c>
      <c r="AQ51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519" s="26" t="str">
        <f>IFERROR(IF(DATA[[#This Row],[estado_fact]]="FACTURADO",VLOOKUP(DATA[[#This Row],[SERIE2]]&amp;"-"&amp;DATA[[#This Row],[NUMERO]],#REF!,34,0),"NO CORRESPONDE"),"NO CORRESPONDE")</f>
        <v>NO CORRESPONDE</v>
      </c>
      <c r="AS519" s="22" t="str">
        <f>IF(DATA[[#This Row],[fecha_fs]]&gt;0,TEXT(DATA[[#This Row],[fecha_fs]],"Mmmm"),0)</f>
        <v>Abril</v>
      </c>
      <c r="AT519" s="22" t="str">
        <f>DATA[[#This Row],[SERIE2]]&amp;"-"&amp;DATA[[#This Row],[NUMERO]]</f>
        <v>FF01-104</v>
      </c>
      <c r="AU519" s="28">
        <f>DATA[[#This Row],[TOTAL]]*DATA[[#This Row],[T.C.]]</f>
        <v>351.55</v>
      </c>
      <c r="AV519" s="6">
        <f>DATA[[#This Row],[FECHA DE VAL.]]</f>
        <v>45776</v>
      </c>
      <c r="AW519" s="6">
        <f>DATA[[#This Row],[FECHA DE EMISION]]</f>
        <v>45812</v>
      </c>
      <c r="AX519" s="6">
        <f>DATA[[#This Row],[F1]]</f>
        <v>0</v>
      </c>
      <c r="AY519" s="20">
        <f>IF(AV519-DATA[[#This Row],[fecha_fs]]&lt;0,0,AV519-DATA[[#This Row],[fecha_fs]])</f>
        <v>14</v>
      </c>
      <c r="AZ519" s="20">
        <f t="shared" si="57"/>
        <v>36</v>
      </c>
      <c r="BA519" s="20">
        <f t="shared" si="58"/>
        <v>0</v>
      </c>
      <c r="BB519" s="195">
        <f>IFERROR(SUM(DATA[[#This Row],[fs_val_ttf]:[fact_pago_ttf]]),0)</f>
        <v>50</v>
      </c>
      <c r="BC519" s="185">
        <v>45762</v>
      </c>
      <c r="BD519" s="185">
        <v>45762</v>
      </c>
      <c r="BE519" s="185">
        <v>45782</v>
      </c>
      <c r="BF519" s="185">
        <v>45782</v>
      </c>
      <c r="BG519" s="20">
        <f>IFERROR(IF(BC519-DATA[[#This Row],[fecha_fs]]&lt;0,0,BC519-DATA[[#This Row],[fecha_fs]]),0)</f>
        <v>0</v>
      </c>
      <c r="BH519" s="20">
        <f t="shared" si="59"/>
        <v>0</v>
      </c>
      <c r="BI519" s="20">
        <f t="shared" si="60"/>
        <v>20</v>
      </c>
      <c r="BJ519" s="20">
        <f t="shared" si="61"/>
        <v>0</v>
      </c>
      <c r="BK519" s="218">
        <f>IFERROR(SUM(DATA[[#This Row],[fs_fd_ttd]:[fend_fenf_ttd]]),0)</f>
        <v>20</v>
      </c>
      <c r="BL519" s="20" t="str">
        <f>IF(DATA[[#This Row],[fecha_fs]]&gt;0,TEXT(DATA[[#This Row],[fecha_fs]],"YYYY"),0)</f>
        <v>2025</v>
      </c>
      <c r="BM519" s="221" t="b">
        <v>1</v>
      </c>
      <c r="BN519" s="278">
        <f>COUNTIF(DATA[[#This Row],[tiempo_td]], "&lt;=15")</f>
        <v>0</v>
      </c>
      <c r="BO519" s="222"/>
    </row>
    <row r="520" spans="1:67" ht="30" customHeight="1" x14ac:dyDescent="0.25">
      <c r="A520" s="4"/>
      <c r="B520" s="5" t="s">
        <v>0</v>
      </c>
      <c r="C520" s="52"/>
      <c r="D520" s="4"/>
      <c r="E520" s="5" t="s">
        <v>0</v>
      </c>
      <c r="F520" s="24">
        <v>45762</v>
      </c>
      <c r="G520" s="7" t="s">
        <v>113</v>
      </c>
      <c r="H520" s="25">
        <f t="shared" si="56"/>
        <v>1</v>
      </c>
      <c r="I520" s="67">
        <v>4385</v>
      </c>
      <c r="J520" s="8" t="s">
        <v>151</v>
      </c>
      <c r="K520" s="9"/>
      <c r="L520" s="10"/>
      <c r="M520" s="111"/>
      <c r="N520" s="112"/>
      <c r="O520" s="6"/>
      <c r="P520" s="13" t="s">
        <v>114</v>
      </c>
      <c r="Q520" s="14"/>
      <c r="R520" s="15"/>
      <c r="S520" s="15"/>
      <c r="T520" s="15">
        <f>DATA[[#This Row],[C. DF]]+DATA[[#This Row],[C.OPE.]]</f>
        <v>0</v>
      </c>
      <c r="U520" s="73">
        <f>DATA[[#This Row],[SUB TOTAL]]*0.18</f>
        <v>0</v>
      </c>
      <c r="V520" s="45">
        <f>IFERROR(ROUND(DATA[[#This Row],[SUB TOTAL]]+DATA[[#This Row],[IGV]],2),0)</f>
        <v>0</v>
      </c>
      <c r="W520" s="16" t="str">
        <f>IF(DATA[[#This Row],[VALORIZACIÓN ]]="-","NO CORRESPONDE",IF(OR(A520=20558226979,A520=10470707866,A520=20111157058,A520=20100226902),"NO CORRESPONDE",IF(J520="Emitida",IF(P520&gt;0,"EMITIDA","PENDIENTE"),"NO CORRESPONDE")))</f>
        <v>NO CORRESPONDE</v>
      </c>
      <c r="X520" s="46"/>
      <c r="Y520" s="17" t="s">
        <v>128</v>
      </c>
      <c r="Z520" s="48"/>
      <c r="AA520" s="49"/>
      <c r="AB520" s="50"/>
      <c r="AC520" s="51"/>
      <c r="AD520" s="59">
        <f>DATA[[#This Row],[FECHA DE EMISION]]+DATA[[#This Row],[CONDICION DE PAGO]]</f>
        <v>0</v>
      </c>
      <c r="AE520" s="23">
        <f>IF(DATA[[#This Row],[MONEDA]]="USD",VLOOKUP(DATA[[#This Row],[COMBINADA]],#REF!,11,0),1)</f>
        <v>1</v>
      </c>
      <c r="AF520" s="39" t="str">
        <f>IF(DATA[[#This Row],[SERIE2]]="-","NO CORRESPONDE",IF(W520="NO CORRESPONDE","NO CORRESPONDE",IF(Z520&gt;0,"FACTURADO","PENDIENTE")))</f>
        <v>NO CORRESPONDE</v>
      </c>
      <c r="AG520" s="61">
        <f>IFERROR(VLOOKUP(DATA[[#This Row],[COMBINADA]],#REF!,6,0),0)</f>
        <v>0</v>
      </c>
      <c r="AH520" s="62">
        <f>IFERROR(VLOOKUP(DATA[[#This Row],[COMBINADA]],#REF!,9,0),0)/COUNTIFS(DATA[COMBINADA],DATA[[#This Row],[COMBINADA]])</f>
        <v>0</v>
      </c>
      <c r="AI520" s="61">
        <f>IFERROR(VLOOKUP(DATA[[#This Row],[COMBINADA]],#REF!,6,0),0)</f>
        <v>0</v>
      </c>
      <c r="AJ520" s="62">
        <f>IFERROR(VLOOKUP(DATA[[#This Row],[COMBINADA]],#REF!,9,0),0)/COUNTIFS(DATA[COMBINADA],DATA[[#This Row],[COMBINADA]])</f>
        <v>0</v>
      </c>
      <c r="AK520" s="61">
        <f>IFERROR(VLOOKUP(DATA[[#This Row],[COMBINADA]],#REF!,6,0),0)</f>
        <v>0</v>
      </c>
      <c r="AL520" s="62">
        <f>IFERROR(VLOOKUP(DATA[[#This Row],[COMBINADA]],#REF!,9,0),0)/COUNTIFS(DATA[COMBINADA],DATA[[#This Row],[COMBINADA]])</f>
        <v>0</v>
      </c>
      <c r="AM520" s="61">
        <f>IFERROR(VLOOKUP(DATA[[#This Row],[COMBINADA]],#REF!,6,0),0)</f>
        <v>0</v>
      </c>
      <c r="AN520" s="62">
        <f>IFERROR(VLOOKUP(DATA[[#This Row],[COMBINADA]],#REF!,9,0),0)/COUNTIFS(DATA[COMBINADA],DATA[[#This Row],[COMBINADA]])</f>
        <v>0</v>
      </c>
      <c r="AO520" s="61">
        <f>IFERROR(VLOOKUP(DATA[[#This Row],[COMBINADA]],#REF!,6,0),0)</f>
        <v>0</v>
      </c>
      <c r="AP520" s="62">
        <f>IFERROR(VLOOKUP(DATA[[#This Row],[COMBINADA]],#REF!,9,0),0)/COUNTIFS(DATA[COMBINADA],DATA[[#This Row],[COMBINADA]])</f>
        <v>0</v>
      </c>
      <c r="AQ520"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520" s="22" t="str">
        <f>IFERROR(IF(DATA[[#This Row],[estado_fact]]="FACTURADO",VLOOKUP(DATA[[#This Row],[SERIE2]]&amp;"-"&amp;DATA[[#This Row],[NUMERO]],#REF!,34,0),"NO CORRESPONDE"),"NO CORRESPONDE")</f>
        <v>NO CORRESPONDE</v>
      </c>
      <c r="AS520" s="198" t="str">
        <f>IF(DATA[[#This Row],[fecha_fs]]&gt;0,TEXT(DATA[[#This Row],[fecha_fs]],"Mmmm"),0)</f>
        <v>Abril</v>
      </c>
      <c r="AT520" s="199" t="str">
        <f>DATA[[#This Row],[SERIE2]]&amp;"-"&amp;DATA[[#This Row],[NUMERO]]</f>
        <v>-</v>
      </c>
      <c r="AU520" s="198">
        <f>DATA[[#This Row],[TOTAL]]*DATA[[#This Row],[T.C.]]</f>
        <v>0</v>
      </c>
      <c r="AV520" s="40">
        <f>DATA[[#This Row],[FECHA DE VAL.]]</f>
        <v>0</v>
      </c>
      <c r="AW520" s="40">
        <f>DATA[[#This Row],[FECHA DE EMISION]]</f>
        <v>0</v>
      </c>
      <c r="AX520" s="40">
        <f>DATA[[#This Row],[F1]]</f>
        <v>0</v>
      </c>
      <c r="AY520" s="49">
        <f>IF(AV520-DATA[[#This Row],[fecha_fs]]&lt;0,0,AV520-DATA[[#This Row],[fecha_fs]])</f>
        <v>0</v>
      </c>
      <c r="AZ520" s="49">
        <f t="shared" si="57"/>
        <v>0</v>
      </c>
      <c r="BA520" s="49">
        <f t="shared" si="58"/>
        <v>0</v>
      </c>
      <c r="BB520" s="195">
        <f>IFERROR(SUM(DATA[[#This Row],[fs_val_ttf]:[fact_pago_ttf]]),0)</f>
        <v>0</v>
      </c>
      <c r="BC520" s="200"/>
      <c r="BD520" s="200"/>
      <c r="BE520" s="200"/>
      <c r="BF520" s="200"/>
      <c r="BG520" s="49">
        <f>IFERROR(IF(BC520-DATA[[#This Row],[fecha_fs]]&lt;0,0,BC520-DATA[[#This Row],[fecha_fs]]),0)</f>
        <v>0</v>
      </c>
      <c r="BH520" s="49">
        <f t="shared" si="59"/>
        <v>0</v>
      </c>
      <c r="BI520" s="49">
        <f t="shared" si="60"/>
        <v>0</v>
      </c>
      <c r="BJ520" s="49">
        <f t="shared" si="61"/>
        <v>0</v>
      </c>
      <c r="BK520" s="218">
        <f>IFERROR(SUM(DATA[[#This Row],[fs_fd_ttd]:[fend_fenf_ttd]]),0)</f>
        <v>0</v>
      </c>
      <c r="BL520" s="20" t="str">
        <f>IF(DATA[[#This Row],[fecha_fs]]&gt;0,TEXT(DATA[[#This Row],[fecha_fs]],"YYYY"),0)</f>
        <v>2025</v>
      </c>
      <c r="BM520" s="221" t="b">
        <v>0</v>
      </c>
      <c r="BN520" s="278"/>
      <c r="BO520" s="222"/>
    </row>
    <row r="521" spans="1:67" ht="30.6" customHeight="1" x14ac:dyDescent="0.25">
      <c r="A521" s="4">
        <v>20100192064</v>
      </c>
      <c r="B521" s="5" t="s">
        <v>60</v>
      </c>
      <c r="C521" s="52" t="s">
        <v>64</v>
      </c>
      <c r="D521" s="4" t="s">
        <v>112</v>
      </c>
      <c r="E521" s="5" t="s">
        <v>1</v>
      </c>
      <c r="F521" s="24">
        <v>45762</v>
      </c>
      <c r="G521" s="7" t="s">
        <v>113</v>
      </c>
      <c r="H521" s="25">
        <f t="shared" si="56"/>
        <v>1</v>
      </c>
      <c r="I521" s="67">
        <v>4386</v>
      </c>
      <c r="J521" s="8" t="s">
        <v>115</v>
      </c>
      <c r="K521" s="9" t="s">
        <v>136</v>
      </c>
      <c r="L521" s="10" t="s">
        <v>137</v>
      </c>
      <c r="M521" s="11">
        <v>22</v>
      </c>
      <c r="N521" s="12" t="s">
        <v>129</v>
      </c>
      <c r="O521" s="6">
        <v>45772</v>
      </c>
      <c r="P521" s="71">
        <v>3411</v>
      </c>
      <c r="Q521" s="14" t="s">
        <v>123</v>
      </c>
      <c r="R521" s="15">
        <f>DATA[[#This Row],[cantidad_fs]]*33.34</f>
        <v>733.48</v>
      </c>
      <c r="S521" s="15"/>
      <c r="T521" s="15">
        <f>DATA[[#This Row],[C. DF]]+DATA[[#This Row],[C.OPE.]]</f>
        <v>733.48</v>
      </c>
      <c r="U521" s="15">
        <f>DATA[[#This Row],[SUB TOTAL]]*0.18</f>
        <v>132.0264</v>
      </c>
      <c r="V521" s="15">
        <f>IFERROR(ROUND(DATA[[#This Row],[SUB TOTAL]]+DATA[[#This Row],[IGV]],2),0)</f>
        <v>865.51</v>
      </c>
      <c r="W521" s="16" t="str">
        <f>IF(DATA[[#This Row],[VALORIZACIÓN ]]="-","NO CORRESPONDE",IF(OR(A521=20558226979,A521=10470707866,A521=20111157058,A521=20100226902),"NO CORRESPONDE",IF(J521="Emitida",IF(P521&gt;0,"EMITIDA","PENDIENTE"),"NO CORRESPONDE")))</f>
        <v>EMITIDA</v>
      </c>
      <c r="X521" s="29"/>
      <c r="Y521" s="17" t="s">
        <v>118</v>
      </c>
      <c r="Z521" s="30">
        <v>45776</v>
      </c>
      <c r="AA521" s="10" t="s">
        <v>150</v>
      </c>
      <c r="AB521" s="19">
        <v>54</v>
      </c>
      <c r="AC521" s="20">
        <v>30</v>
      </c>
      <c r="AD521" s="18">
        <f>DATA[[#This Row],[FECHA DE EMISION]]+DATA[[#This Row],[CONDICION DE PAGO]]</f>
        <v>45806</v>
      </c>
      <c r="AE521" s="23" t="e">
        <f>IF(DATA[[#This Row],[MONEDA]]="USD",VLOOKUP(DATA[[#This Row],[COMBINADA]],#REF!,11,0),1)</f>
        <v>#REF!</v>
      </c>
      <c r="AF521" s="39" t="str">
        <f>IF(DATA[[#This Row],[SERIE2]]="-","NO CORRESPONDE",IF(W521="NO CORRESPONDE","NO CORRESPONDE",IF(Z521&gt;0,"FACTURADO","PENDIENTE")))</f>
        <v>FACTURADO</v>
      </c>
      <c r="AG521" s="27">
        <f>IFERROR(VLOOKUP(DATA[[#This Row],[COMBINADA]],#REF!,6,0),0)</f>
        <v>0</v>
      </c>
      <c r="AH521" s="125">
        <f>IFERROR(VLOOKUP(DATA[[#This Row],[COMBINADA]],#REF!,9,0),0)/COUNTIFS(DATA[COMBINADA],DATA[[#This Row],[COMBINADA]])</f>
        <v>0</v>
      </c>
      <c r="AI521" s="27">
        <f>IFERROR(VLOOKUP(DATA[[#This Row],[COMBINADA]],#REF!,6,0),0)</f>
        <v>0</v>
      </c>
      <c r="AJ521" s="125">
        <f>IFERROR(VLOOKUP(DATA[[#This Row],[COMBINADA]],#REF!,9,0),0)/COUNTIFS(DATA[COMBINADA],DATA[[#This Row],[COMBINADA]])</f>
        <v>0</v>
      </c>
      <c r="AK521" s="27">
        <f>IFERROR(VLOOKUP(DATA[[#This Row],[COMBINADA]],#REF!,6,0),0)</f>
        <v>0</v>
      </c>
      <c r="AL521" s="125">
        <f>IFERROR(VLOOKUP(DATA[[#This Row],[COMBINADA]],#REF!,9,0),0)/COUNTIFS(DATA[COMBINADA],DATA[[#This Row],[COMBINADA]])</f>
        <v>0</v>
      </c>
      <c r="AM521" s="27">
        <f>IFERROR(VLOOKUP(DATA[[#This Row],[COMBINADA]],#REF!,6,0),0)</f>
        <v>0</v>
      </c>
      <c r="AN521" s="125">
        <f>IFERROR(VLOOKUP(DATA[[#This Row],[COMBINADA]],#REF!,9,0),0)/COUNTIFS(DATA[COMBINADA],DATA[[#This Row],[COMBINADA]])</f>
        <v>0</v>
      </c>
      <c r="AO521" s="27">
        <f>IFERROR(VLOOKUP(DATA[[#This Row],[COMBINADA]],#REF!,6,0),0)</f>
        <v>0</v>
      </c>
      <c r="AP521" s="125">
        <f>IFERROR(VLOOKUP(DATA[[#This Row],[COMBINADA]],#REF!,9,0),0)/COUNTIFS(DATA[COMBINADA],DATA[[#This Row],[COMBINADA]])</f>
        <v>0</v>
      </c>
      <c r="AQ52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548.94894736842105</v>
      </c>
      <c r="AR521" s="26" t="str">
        <f>IFERROR(IF(DATA[[#This Row],[estado_fact]]="FACTURADO",VLOOKUP(DATA[[#This Row],[SERIE2]]&amp;"-"&amp;DATA[[#This Row],[NUMERO]],#REF!,34,0),"NO CORRESPONDE"),"NO CORRESPONDE")</f>
        <v>NO CORRESPONDE</v>
      </c>
      <c r="AS521" s="22" t="str">
        <f>IF(DATA[[#This Row],[fecha_fs]]&gt;0,TEXT(DATA[[#This Row],[fecha_fs]],"Mmmm"),0)</f>
        <v>Abril</v>
      </c>
      <c r="AT521" s="22" t="str">
        <f>DATA[[#This Row],[SERIE2]]&amp;"-"&amp;DATA[[#This Row],[NUMERO]]</f>
        <v>FF01-54</v>
      </c>
      <c r="AU521" s="28" t="e">
        <f>DATA[[#This Row],[TOTAL]]*DATA[[#This Row],[T.C.]]</f>
        <v>#REF!</v>
      </c>
      <c r="AV521" s="6">
        <f>DATA[[#This Row],[FECHA DE VAL.]]</f>
        <v>45772</v>
      </c>
      <c r="AW521" s="6">
        <f>DATA[[#This Row],[FECHA DE EMISION]]</f>
        <v>45776</v>
      </c>
      <c r="AX521" s="6">
        <f>DATA[[#This Row],[F1]]</f>
        <v>0</v>
      </c>
      <c r="AY521" s="20">
        <f>IF(AV521-DATA[[#This Row],[fecha_fs]]&lt;0,0,AV521-DATA[[#This Row],[fecha_fs]])</f>
        <v>10</v>
      </c>
      <c r="AZ521" s="20">
        <f t="shared" si="57"/>
        <v>4</v>
      </c>
      <c r="BA521" s="20">
        <f t="shared" si="58"/>
        <v>0</v>
      </c>
      <c r="BB521" s="195">
        <f>IFERROR(SUM(DATA[[#This Row],[fs_val_ttf]:[fact_pago_ttf]]),0)</f>
        <v>14</v>
      </c>
      <c r="BC521" s="185">
        <v>45777</v>
      </c>
      <c r="BD521" s="185">
        <v>45793</v>
      </c>
      <c r="BE521" s="185">
        <v>45796</v>
      </c>
      <c r="BF521" s="185">
        <v>45831</v>
      </c>
      <c r="BG521" s="20">
        <f>IFERROR(IF(BC521-DATA[[#This Row],[fecha_fs]]&lt;0,0,BC521-DATA[[#This Row],[fecha_fs]]),0)</f>
        <v>15</v>
      </c>
      <c r="BH521" s="20">
        <f t="shared" si="59"/>
        <v>16</v>
      </c>
      <c r="BI521" s="20">
        <f t="shared" si="60"/>
        <v>3</v>
      </c>
      <c r="BJ521" s="20">
        <f t="shared" si="61"/>
        <v>35</v>
      </c>
      <c r="BK521" s="218">
        <f>IFERROR(SUM(DATA[[#This Row],[fs_fd_ttd]:[fend_fenf_ttd]]),0)</f>
        <v>69</v>
      </c>
      <c r="BL521" s="20" t="str">
        <f>IF(DATA[[#This Row],[fecha_fs]]&gt;0,TEXT(DATA[[#This Row],[fecha_fs]],"YYYY"),0)</f>
        <v>2025</v>
      </c>
      <c r="BM521" s="221" t="b">
        <v>1</v>
      </c>
      <c r="BN521" s="278">
        <f>COUNTIF(DATA[[#This Row],[tiempo_td]], "&lt;=15")</f>
        <v>0</v>
      </c>
      <c r="BO521" s="222"/>
    </row>
    <row r="522" spans="1:67" ht="30.6" customHeight="1" x14ac:dyDescent="0.25">
      <c r="A522" s="4">
        <v>20100192064</v>
      </c>
      <c r="B522" s="5" t="s">
        <v>60</v>
      </c>
      <c r="C522" s="52" t="s">
        <v>64</v>
      </c>
      <c r="D522" s="4" t="s">
        <v>112</v>
      </c>
      <c r="E522" s="5" t="s">
        <v>1</v>
      </c>
      <c r="F522" s="24">
        <v>45762</v>
      </c>
      <c r="G522" s="7" t="s">
        <v>113</v>
      </c>
      <c r="H522" s="25">
        <f t="shared" si="56"/>
        <v>1</v>
      </c>
      <c r="I522" s="67">
        <v>4387</v>
      </c>
      <c r="J522" s="8" t="s">
        <v>115</v>
      </c>
      <c r="K522" s="9" t="s">
        <v>136</v>
      </c>
      <c r="L522" s="10" t="s">
        <v>137</v>
      </c>
      <c r="M522" s="11">
        <v>22</v>
      </c>
      <c r="N522" s="12" t="s">
        <v>129</v>
      </c>
      <c r="O522" s="6">
        <v>45772</v>
      </c>
      <c r="P522" s="71">
        <v>3411</v>
      </c>
      <c r="Q522" s="14" t="s">
        <v>123</v>
      </c>
      <c r="R522" s="15">
        <f>DATA[[#This Row],[cantidad_fs]]*33.34</f>
        <v>733.48</v>
      </c>
      <c r="S522" s="15"/>
      <c r="T522" s="15">
        <f>DATA[[#This Row],[C. DF]]+DATA[[#This Row],[C.OPE.]]</f>
        <v>733.48</v>
      </c>
      <c r="U522" s="15">
        <f>DATA[[#This Row],[SUB TOTAL]]*0.18</f>
        <v>132.0264</v>
      </c>
      <c r="V522" s="15">
        <f>IFERROR(ROUND(DATA[[#This Row],[SUB TOTAL]]+DATA[[#This Row],[IGV]],2),0)</f>
        <v>865.51</v>
      </c>
      <c r="W522" s="16" t="str">
        <f>IF(DATA[[#This Row],[VALORIZACIÓN ]]="-","NO CORRESPONDE",IF(OR(A522=20558226979,A522=10470707866,A522=20111157058,A522=20100226902),"NO CORRESPONDE",IF(J522="Emitida",IF(P522&gt;0,"EMITIDA","PENDIENTE"),"NO CORRESPONDE")))</f>
        <v>EMITIDA</v>
      </c>
      <c r="X522" s="29"/>
      <c r="Y522" s="17" t="s">
        <v>118</v>
      </c>
      <c r="Z522" s="30">
        <v>45776</v>
      </c>
      <c r="AA522" s="10" t="s">
        <v>150</v>
      </c>
      <c r="AB522" s="19">
        <v>54</v>
      </c>
      <c r="AC522" s="20">
        <v>30</v>
      </c>
      <c r="AD522" s="18">
        <f>DATA[[#This Row],[FECHA DE EMISION]]+DATA[[#This Row],[CONDICION DE PAGO]]</f>
        <v>45806</v>
      </c>
      <c r="AE522" s="23" t="e">
        <f>IF(DATA[[#This Row],[MONEDA]]="USD",VLOOKUP(DATA[[#This Row],[COMBINADA]],#REF!,11,0),1)</f>
        <v>#REF!</v>
      </c>
      <c r="AF522" s="39" t="str">
        <f>IF(DATA[[#This Row],[SERIE2]]="-","NO CORRESPONDE",IF(W522="NO CORRESPONDE","NO CORRESPONDE",IF(Z522&gt;0,"FACTURADO","PENDIENTE")))</f>
        <v>FACTURADO</v>
      </c>
      <c r="AG522" s="27">
        <f>IFERROR(VLOOKUP(DATA[[#This Row],[COMBINADA]],#REF!,6,0),0)</f>
        <v>0</v>
      </c>
      <c r="AH522" s="125">
        <f>IFERROR(VLOOKUP(DATA[[#This Row],[COMBINADA]],#REF!,9,0),0)/COUNTIFS(DATA[COMBINADA],DATA[[#This Row],[COMBINADA]])</f>
        <v>0</v>
      </c>
      <c r="AI522" s="27">
        <f>IFERROR(VLOOKUP(DATA[[#This Row],[COMBINADA]],#REF!,6,0),0)</f>
        <v>0</v>
      </c>
      <c r="AJ522" s="125">
        <f>IFERROR(VLOOKUP(DATA[[#This Row],[COMBINADA]],#REF!,9,0),0)/COUNTIFS(DATA[COMBINADA],DATA[[#This Row],[COMBINADA]])</f>
        <v>0</v>
      </c>
      <c r="AK522" s="27">
        <f>IFERROR(VLOOKUP(DATA[[#This Row],[COMBINADA]],#REF!,6,0),0)</f>
        <v>0</v>
      </c>
      <c r="AL522" s="125">
        <f>IFERROR(VLOOKUP(DATA[[#This Row],[COMBINADA]],#REF!,9,0),0)/COUNTIFS(DATA[COMBINADA],DATA[[#This Row],[COMBINADA]])</f>
        <v>0</v>
      </c>
      <c r="AM522" s="27">
        <f>IFERROR(VLOOKUP(DATA[[#This Row],[COMBINADA]],#REF!,6,0),0)</f>
        <v>0</v>
      </c>
      <c r="AN522" s="125">
        <f>IFERROR(VLOOKUP(DATA[[#This Row],[COMBINADA]],#REF!,9,0),0)/COUNTIFS(DATA[COMBINADA],DATA[[#This Row],[COMBINADA]])</f>
        <v>0</v>
      </c>
      <c r="AO522" s="27">
        <f>IFERROR(VLOOKUP(DATA[[#This Row],[COMBINADA]],#REF!,6,0),0)</f>
        <v>0</v>
      </c>
      <c r="AP522" s="125">
        <f>IFERROR(VLOOKUP(DATA[[#This Row],[COMBINADA]],#REF!,9,0),0)/COUNTIFS(DATA[COMBINADA],DATA[[#This Row],[COMBINADA]])</f>
        <v>0</v>
      </c>
      <c r="AQ52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548.94894736842105</v>
      </c>
      <c r="AR522" s="26" t="str">
        <f>IFERROR(IF(DATA[[#This Row],[estado_fact]]="FACTURADO",VLOOKUP(DATA[[#This Row],[SERIE2]]&amp;"-"&amp;DATA[[#This Row],[NUMERO]],#REF!,34,0),"NO CORRESPONDE"),"NO CORRESPONDE")</f>
        <v>NO CORRESPONDE</v>
      </c>
      <c r="AS522" s="22" t="str">
        <f>IF(DATA[[#This Row],[fecha_fs]]&gt;0,TEXT(DATA[[#This Row],[fecha_fs]],"Mmmm"),0)</f>
        <v>Abril</v>
      </c>
      <c r="AT522" s="22" t="str">
        <f>DATA[[#This Row],[SERIE2]]&amp;"-"&amp;DATA[[#This Row],[NUMERO]]</f>
        <v>FF01-54</v>
      </c>
      <c r="AU522" s="28" t="e">
        <f>DATA[[#This Row],[TOTAL]]*DATA[[#This Row],[T.C.]]</f>
        <v>#REF!</v>
      </c>
      <c r="AV522" s="6">
        <f>DATA[[#This Row],[FECHA DE VAL.]]</f>
        <v>45772</v>
      </c>
      <c r="AW522" s="6">
        <f>DATA[[#This Row],[FECHA DE EMISION]]</f>
        <v>45776</v>
      </c>
      <c r="AX522" s="6">
        <f>DATA[[#This Row],[F1]]</f>
        <v>0</v>
      </c>
      <c r="AY522" s="20">
        <f>IF(AV522-DATA[[#This Row],[fecha_fs]]&lt;0,0,AV522-DATA[[#This Row],[fecha_fs]])</f>
        <v>10</v>
      </c>
      <c r="AZ522" s="20">
        <f t="shared" si="57"/>
        <v>4</v>
      </c>
      <c r="BA522" s="20">
        <f t="shared" si="58"/>
        <v>0</v>
      </c>
      <c r="BB522" s="195">
        <f>IFERROR(SUM(DATA[[#This Row],[fs_val_ttf]:[fact_pago_ttf]]),0)</f>
        <v>14</v>
      </c>
      <c r="BC522" s="185">
        <v>45777</v>
      </c>
      <c r="BD522" s="185">
        <v>45793</v>
      </c>
      <c r="BE522" s="185">
        <v>45796</v>
      </c>
      <c r="BF522" s="185">
        <v>45831</v>
      </c>
      <c r="BG522" s="20">
        <f>IFERROR(IF(BC522-DATA[[#This Row],[fecha_fs]]&lt;0,0,BC522-DATA[[#This Row],[fecha_fs]]),0)</f>
        <v>15</v>
      </c>
      <c r="BH522" s="20">
        <f t="shared" si="59"/>
        <v>16</v>
      </c>
      <c r="BI522" s="20">
        <f t="shared" si="60"/>
        <v>3</v>
      </c>
      <c r="BJ522" s="20">
        <f t="shared" si="61"/>
        <v>35</v>
      </c>
      <c r="BK522" s="218">
        <f>IFERROR(SUM(DATA[[#This Row],[fs_fd_ttd]:[fend_fenf_ttd]]),0)</f>
        <v>69</v>
      </c>
      <c r="BL522" s="20" t="str">
        <f>IF(DATA[[#This Row],[fecha_fs]]&gt;0,TEXT(DATA[[#This Row],[fecha_fs]],"YYYY"),0)</f>
        <v>2025</v>
      </c>
      <c r="BM522" s="221" t="b">
        <v>1</v>
      </c>
      <c r="BN522" s="278">
        <f>COUNTIF(DATA[[#This Row],[tiempo_td]], "&lt;=15")</f>
        <v>0</v>
      </c>
      <c r="BO522" s="222"/>
    </row>
    <row r="523" spans="1:67" ht="30.6" customHeight="1" x14ac:dyDescent="0.25">
      <c r="A523" s="4">
        <v>20141637941</v>
      </c>
      <c r="B523" s="5" t="s">
        <v>79</v>
      </c>
      <c r="C523" s="52" t="s">
        <v>18</v>
      </c>
      <c r="D523" s="4" t="s">
        <v>120</v>
      </c>
      <c r="E523" s="5" t="s">
        <v>3</v>
      </c>
      <c r="F523" s="24">
        <v>45762</v>
      </c>
      <c r="G523" s="7" t="s">
        <v>113</v>
      </c>
      <c r="H523" s="25">
        <f t="shared" si="56"/>
        <v>1</v>
      </c>
      <c r="I523" s="67">
        <v>4388</v>
      </c>
      <c r="J523" s="8" t="s">
        <v>115</v>
      </c>
      <c r="K523" s="9" t="s">
        <v>121</v>
      </c>
      <c r="L523" s="10" t="s">
        <v>117</v>
      </c>
      <c r="M523" s="11">
        <v>850</v>
      </c>
      <c r="N523" s="12" t="s">
        <v>170</v>
      </c>
      <c r="O523" s="6">
        <v>45772</v>
      </c>
      <c r="P523" s="110">
        <v>3405</v>
      </c>
      <c r="Q523" s="14" t="s">
        <v>85</v>
      </c>
      <c r="R523" s="15">
        <f>70</f>
        <v>70</v>
      </c>
      <c r="S523" s="15">
        <v>517</v>
      </c>
      <c r="T523" s="15">
        <f>DATA[[#This Row],[C. DF]]+DATA[[#This Row],[C.OPE.]]</f>
        <v>587</v>
      </c>
      <c r="U523" s="15">
        <f>DATA[[#This Row],[SUB TOTAL]]*0.18</f>
        <v>105.66</v>
      </c>
      <c r="V523" s="15">
        <f>IFERROR(ROUND(DATA[[#This Row],[SUB TOTAL]]+DATA[[#This Row],[IGV]],2),0)</f>
        <v>692.66</v>
      </c>
      <c r="W523" s="16" t="str">
        <f>IF(DATA[[#This Row],[VALORIZACIÓN ]]="-","NO CORRESPONDE",IF(OR(A523=20558226979,A523=10470707866,A523=20111157058,A523=20100226902),"NO CORRESPONDE",IF(J523="Emitida",IF(P523&gt;0,"EMITIDA","PENDIENTE"),"NO CORRESPONDE")))</f>
        <v>EMITIDA</v>
      </c>
      <c r="X523" s="29"/>
      <c r="Y523" s="17" t="s">
        <v>118</v>
      </c>
      <c r="Z523" s="30">
        <v>45782</v>
      </c>
      <c r="AA523" s="10" t="s">
        <v>150</v>
      </c>
      <c r="AB523" s="19">
        <v>70</v>
      </c>
      <c r="AC523" s="20">
        <v>30</v>
      </c>
      <c r="AD523" s="18">
        <f>DATA[[#This Row],[FECHA DE EMISION]]+DATA[[#This Row],[CONDICION DE PAGO]]</f>
        <v>45812</v>
      </c>
      <c r="AE523" s="23">
        <f>IF(DATA[[#This Row],[MONEDA]]="USD",VLOOKUP(DATA[[#This Row],[COMBINADA]],#REF!,11,0),1)</f>
        <v>1</v>
      </c>
      <c r="AF523" s="39" t="str">
        <f>IF(DATA[[#This Row],[SERIE2]]="-","NO CORRESPONDE",IF(W523="NO CORRESPONDE","NO CORRESPONDE",IF(Z523&gt;0,"FACTURADO","PENDIENTE")))</f>
        <v>FACTURADO</v>
      </c>
      <c r="AG523" s="27">
        <f>IFERROR(VLOOKUP(DATA[[#This Row],[COMBINADA]],#REF!,6,0),0)</f>
        <v>0</v>
      </c>
      <c r="AH523" s="125">
        <f>IFERROR(VLOOKUP(DATA[[#This Row],[COMBINADA]],#REF!,9,0),0)/COUNTIFS(DATA[COMBINADA],DATA[[#This Row],[COMBINADA]])</f>
        <v>0</v>
      </c>
      <c r="AI523" s="27">
        <f>IFERROR(VLOOKUP(DATA[[#This Row],[COMBINADA]],#REF!,6,0),0)</f>
        <v>0</v>
      </c>
      <c r="AJ523" s="125">
        <f>IFERROR(VLOOKUP(DATA[[#This Row],[COMBINADA]],#REF!,9,0),0)/COUNTIFS(DATA[COMBINADA],DATA[[#This Row],[COMBINADA]])</f>
        <v>0</v>
      </c>
      <c r="AK523" s="27">
        <f>IFERROR(VLOOKUP(DATA[[#This Row],[COMBINADA]],#REF!,6,0),0)</f>
        <v>0</v>
      </c>
      <c r="AL523" s="125">
        <f>IFERROR(VLOOKUP(DATA[[#This Row],[COMBINADA]],#REF!,9,0),0)/COUNTIFS(DATA[COMBINADA],DATA[[#This Row],[COMBINADA]])</f>
        <v>0</v>
      </c>
      <c r="AM523" s="27">
        <f>IFERROR(VLOOKUP(DATA[[#This Row],[COMBINADA]],#REF!,6,0),0)</f>
        <v>0</v>
      </c>
      <c r="AN523" s="125">
        <f>IFERROR(VLOOKUP(DATA[[#This Row],[COMBINADA]],#REF!,9,0),0)/COUNTIFS(DATA[COMBINADA],DATA[[#This Row],[COMBINADA]])</f>
        <v>0</v>
      </c>
      <c r="AO523" s="27">
        <f>IFERROR(VLOOKUP(DATA[[#This Row],[COMBINADA]],#REF!,6,0),0)</f>
        <v>0</v>
      </c>
      <c r="AP523" s="125">
        <f>IFERROR(VLOOKUP(DATA[[#This Row],[COMBINADA]],#REF!,9,0),0)/COUNTIFS(DATA[COMBINADA],DATA[[#This Row],[COMBINADA]])</f>
        <v>0</v>
      </c>
      <c r="AQ52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700.21199999999988</v>
      </c>
      <c r="AR523" s="26" t="str">
        <f>IFERROR(IF(DATA[[#This Row],[estado_fact]]="FACTURADO",VLOOKUP(DATA[[#This Row],[SERIE2]]&amp;"-"&amp;DATA[[#This Row],[NUMERO]],#REF!,34,0),"NO CORRESPONDE"),"NO CORRESPONDE")</f>
        <v>NO CORRESPONDE</v>
      </c>
      <c r="AS523" s="22" t="str">
        <f>IF(DATA[[#This Row],[fecha_fs]]&gt;0,TEXT(DATA[[#This Row],[fecha_fs]],"Mmmm"),0)</f>
        <v>Abril</v>
      </c>
      <c r="AT523" s="22" t="str">
        <f>DATA[[#This Row],[SERIE2]]&amp;"-"&amp;DATA[[#This Row],[NUMERO]]</f>
        <v>FF01-70</v>
      </c>
      <c r="AU523" s="28">
        <f>DATA[[#This Row],[TOTAL]]*DATA[[#This Row],[T.C.]]</f>
        <v>692.66</v>
      </c>
      <c r="AV523" s="6">
        <f>DATA[[#This Row],[FECHA DE VAL.]]</f>
        <v>45772</v>
      </c>
      <c r="AW523" s="6">
        <f>DATA[[#This Row],[FECHA DE EMISION]]</f>
        <v>45782</v>
      </c>
      <c r="AX523" s="6">
        <f>DATA[[#This Row],[F1]]</f>
        <v>0</v>
      </c>
      <c r="AY523" s="20">
        <f>IF(AV523-DATA[[#This Row],[fecha_fs]]&lt;0,0,AV523-DATA[[#This Row],[fecha_fs]])</f>
        <v>10</v>
      </c>
      <c r="AZ523" s="20">
        <f t="shared" si="57"/>
        <v>10</v>
      </c>
      <c r="BA523" s="20">
        <f t="shared" si="58"/>
        <v>0</v>
      </c>
      <c r="BB523" s="195">
        <f>IFERROR(SUM(DATA[[#This Row],[fs_val_ttf]:[fact_pago_ttf]]),0)</f>
        <v>20</v>
      </c>
      <c r="BC523" s="185">
        <v>45762</v>
      </c>
      <c r="BD523" s="185">
        <v>45762</v>
      </c>
      <c r="BE523" s="185">
        <v>45782</v>
      </c>
      <c r="BF523" s="185">
        <v>45782</v>
      </c>
      <c r="BG523" s="20">
        <f>IFERROR(IF(BC523-DATA[[#This Row],[fecha_fs]]&lt;0,0,BC523-DATA[[#This Row],[fecha_fs]]),0)</f>
        <v>0</v>
      </c>
      <c r="BH523" s="20">
        <f t="shared" si="59"/>
        <v>0</v>
      </c>
      <c r="BI523" s="20">
        <f t="shared" si="60"/>
        <v>20</v>
      </c>
      <c r="BJ523" s="20">
        <f t="shared" si="61"/>
        <v>0</v>
      </c>
      <c r="BK523" s="218">
        <f>IFERROR(SUM(DATA[[#This Row],[fs_fd_ttd]:[fend_fenf_ttd]]),0)</f>
        <v>20</v>
      </c>
      <c r="BL523" s="20" t="str">
        <f>IF(DATA[[#This Row],[fecha_fs]]&gt;0,TEXT(DATA[[#This Row],[fecha_fs]],"YYYY"),0)</f>
        <v>2025</v>
      </c>
      <c r="BM523" s="221" t="b">
        <v>1</v>
      </c>
      <c r="BN523" s="278">
        <f>COUNTIF(DATA[[#This Row],[tiempo_td]], "&lt;=15")</f>
        <v>0</v>
      </c>
      <c r="BO523" s="222"/>
    </row>
    <row r="524" spans="1:67" ht="30.6" customHeight="1" x14ac:dyDescent="0.25">
      <c r="A524" s="4">
        <v>20161541991</v>
      </c>
      <c r="B524" s="5" t="s">
        <v>28</v>
      </c>
      <c r="C524" s="52" t="s">
        <v>18</v>
      </c>
      <c r="D524" s="4" t="s">
        <v>152</v>
      </c>
      <c r="E524" s="5" t="s">
        <v>10</v>
      </c>
      <c r="F524" s="24">
        <v>45762</v>
      </c>
      <c r="G524" s="7" t="s">
        <v>113</v>
      </c>
      <c r="H524" s="25">
        <f t="shared" si="56"/>
        <v>1</v>
      </c>
      <c r="I524" s="67">
        <v>4389</v>
      </c>
      <c r="J524" s="8" t="s">
        <v>115</v>
      </c>
      <c r="K524" s="9" t="s">
        <v>153</v>
      </c>
      <c r="L524" s="10" t="s">
        <v>117</v>
      </c>
      <c r="M524" s="11">
        <v>70</v>
      </c>
      <c r="N524" s="12" t="s">
        <v>125</v>
      </c>
      <c r="O524" s="6">
        <v>45763</v>
      </c>
      <c r="P524" s="13">
        <v>3394</v>
      </c>
      <c r="Q524" s="14" t="s">
        <v>85</v>
      </c>
      <c r="R524" s="15"/>
      <c r="S524" s="15">
        <v>199</v>
      </c>
      <c r="T524" s="15">
        <f>DATA[[#This Row],[C. DF]]+DATA[[#This Row],[C.OPE.]]</f>
        <v>199</v>
      </c>
      <c r="U524" s="15">
        <f>DATA[[#This Row],[SUB TOTAL]]*0.18</f>
        <v>35.82</v>
      </c>
      <c r="V524" s="15">
        <f>IFERROR(ROUND(DATA[[#This Row],[SUB TOTAL]]+DATA[[#This Row],[IGV]],2),0)</f>
        <v>234.82</v>
      </c>
      <c r="W524" s="16" t="str">
        <f>IF(DATA[[#This Row],[VALORIZACIÓN ]]="-","NO CORRESPONDE",IF(OR(A524=20558226979,A524=10470707866,A524=20111157058,A524=20100226902),"NO CORRESPONDE",IF(J524="Emitida",IF(P524&gt;0,"EMITIDA","PENDIENTE"),"NO CORRESPONDE")))</f>
        <v>EMITIDA</v>
      </c>
      <c r="X524" s="29"/>
      <c r="Y524" s="17" t="s">
        <v>118</v>
      </c>
      <c r="Z524" s="30">
        <v>45770</v>
      </c>
      <c r="AA524" s="10" t="s">
        <v>150</v>
      </c>
      <c r="AB524" s="19">
        <v>46</v>
      </c>
      <c r="AC524" s="20">
        <v>30</v>
      </c>
      <c r="AD524" s="18">
        <f>DATA[[#This Row],[FECHA DE EMISION]]+DATA[[#This Row],[CONDICION DE PAGO]]</f>
        <v>45800</v>
      </c>
      <c r="AE524" s="23">
        <f>IF(DATA[[#This Row],[MONEDA]]="USD",VLOOKUP(DATA[[#This Row],[COMBINADA]],#REF!,11,0),1)</f>
        <v>1</v>
      </c>
      <c r="AF524" s="39" t="str">
        <f>IF(DATA[[#This Row],[SERIE2]]="-","NO CORRESPONDE",IF(W524="NO CORRESPONDE","NO CORRESPONDE",IF(Z524&gt;0,"FACTURADO","PENDIENTE")))</f>
        <v>FACTURADO</v>
      </c>
      <c r="AG524" s="27">
        <f>IFERROR(VLOOKUP(DATA[[#This Row],[COMBINADA]],#REF!,6,0),0)</f>
        <v>0</v>
      </c>
      <c r="AH524" s="125">
        <f>IFERROR(VLOOKUP(DATA[[#This Row],[COMBINADA]],#REF!,9,0),0)/COUNTIFS(DATA[COMBINADA],DATA[[#This Row],[COMBINADA]])</f>
        <v>0</v>
      </c>
      <c r="AI524" s="27">
        <f>IFERROR(VLOOKUP(DATA[[#This Row],[COMBINADA]],#REF!,6,0),0)</f>
        <v>0</v>
      </c>
      <c r="AJ524" s="125">
        <f>IFERROR(VLOOKUP(DATA[[#This Row],[COMBINADA]],#REF!,9,0),0)/COUNTIFS(DATA[COMBINADA],DATA[[#This Row],[COMBINADA]])</f>
        <v>0</v>
      </c>
      <c r="AK524" s="27">
        <f>IFERROR(VLOOKUP(DATA[[#This Row],[COMBINADA]],#REF!,6,0),0)</f>
        <v>0</v>
      </c>
      <c r="AL524" s="125">
        <f>IFERROR(VLOOKUP(DATA[[#This Row],[COMBINADA]],#REF!,9,0),0)/COUNTIFS(DATA[COMBINADA],DATA[[#This Row],[COMBINADA]])</f>
        <v>0</v>
      </c>
      <c r="AM524" s="27">
        <f>IFERROR(VLOOKUP(DATA[[#This Row],[COMBINADA]],#REF!,6,0),0)</f>
        <v>0</v>
      </c>
      <c r="AN524" s="125">
        <f>IFERROR(VLOOKUP(DATA[[#This Row],[COMBINADA]],#REF!,9,0),0)/COUNTIFS(DATA[COMBINADA],DATA[[#This Row],[COMBINADA]])</f>
        <v>0</v>
      </c>
      <c r="AO524" s="27">
        <f>IFERROR(VLOOKUP(DATA[[#This Row],[COMBINADA]],#REF!,6,0),0)</f>
        <v>0</v>
      </c>
      <c r="AP524" s="125">
        <f>IFERROR(VLOOKUP(DATA[[#This Row],[COMBINADA]],#REF!,9,0),0)/COUNTIFS(DATA[COMBINADA],DATA[[#This Row],[COMBINADA]])</f>
        <v>0</v>
      </c>
      <c r="AQ52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684.33999999999992</v>
      </c>
      <c r="AR524" s="26" t="str">
        <f>IFERROR(IF(DATA[[#This Row],[estado_fact]]="FACTURADO",VLOOKUP(DATA[[#This Row],[SERIE2]]&amp;"-"&amp;DATA[[#This Row],[NUMERO]],#REF!,34,0),"NO CORRESPONDE"),"NO CORRESPONDE")</f>
        <v>NO CORRESPONDE</v>
      </c>
      <c r="AS524" s="22" t="str">
        <f>IF(DATA[[#This Row],[fecha_fs]]&gt;0,TEXT(DATA[[#This Row],[fecha_fs]],"Mmmm"),0)</f>
        <v>Abril</v>
      </c>
      <c r="AT524" s="22" t="str">
        <f>DATA[[#This Row],[SERIE2]]&amp;"-"&amp;DATA[[#This Row],[NUMERO]]</f>
        <v>FF01-46</v>
      </c>
      <c r="AU524" s="28">
        <f>DATA[[#This Row],[TOTAL]]*DATA[[#This Row],[T.C.]]</f>
        <v>234.82</v>
      </c>
      <c r="AV524" s="6">
        <f>DATA[[#This Row],[FECHA DE VAL.]]</f>
        <v>45763</v>
      </c>
      <c r="AW524" s="6">
        <f>DATA[[#This Row],[FECHA DE EMISION]]</f>
        <v>45770</v>
      </c>
      <c r="AX524" s="6">
        <f>DATA[[#This Row],[F1]]</f>
        <v>0</v>
      </c>
      <c r="AY524" s="20">
        <f>IF(AV524-DATA[[#This Row],[fecha_fs]]&lt;0,0,AV524-DATA[[#This Row],[fecha_fs]])</f>
        <v>1</v>
      </c>
      <c r="AZ524" s="20">
        <f t="shared" si="57"/>
        <v>7</v>
      </c>
      <c r="BA524" s="20">
        <f t="shared" si="58"/>
        <v>0</v>
      </c>
      <c r="BB524" s="195">
        <f>IFERROR(SUM(DATA[[#This Row],[fs_val_ttf]:[fact_pago_ttf]]),0)</f>
        <v>8</v>
      </c>
      <c r="BC524" s="187">
        <v>45783</v>
      </c>
      <c r="BD524" s="187">
        <v>45782</v>
      </c>
      <c r="BE524" s="187">
        <v>45789</v>
      </c>
      <c r="BF524" s="187">
        <v>45798</v>
      </c>
      <c r="BG524" s="20">
        <f>IFERROR(IF(BC524-DATA[[#This Row],[fecha_fs]]&lt;0,0,BC524-DATA[[#This Row],[fecha_fs]]),0)</f>
        <v>21</v>
      </c>
      <c r="BH524" s="20">
        <f t="shared" si="59"/>
        <v>0</v>
      </c>
      <c r="BI524" s="20">
        <f t="shared" si="60"/>
        <v>7</v>
      </c>
      <c r="BJ524" s="20">
        <f t="shared" si="61"/>
        <v>9</v>
      </c>
      <c r="BK524" s="218">
        <f>IFERROR(SUM(DATA[[#This Row],[fs_fd_ttd]:[fend_fenf_ttd]]),0)</f>
        <v>37</v>
      </c>
      <c r="BL524" s="20" t="str">
        <f>IF(DATA[[#This Row],[fecha_fs]]&gt;0,TEXT(DATA[[#This Row],[fecha_fs]],"YYYY"),0)</f>
        <v>2025</v>
      </c>
      <c r="BM524" s="221" t="b">
        <v>1</v>
      </c>
      <c r="BN524" s="278">
        <f>COUNTIF(DATA[[#This Row],[tiempo_td]], "&lt;=15")</f>
        <v>0</v>
      </c>
      <c r="BO524" s="222"/>
    </row>
    <row r="525" spans="1:67" ht="30" customHeight="1" x14ac:dyDescent="0.25">
      <c r="A525" s="4"/>
      <c r="B525" s="5" t="s">
        <v>0</v>
      </c>
      <c r="C525" s="52"/>
      <c r="D525" s="4"/>
      <c r="E525" s="5" t="s">
        <v>0</v>
      </c>
      <c r="F525" s="24">
        <v>45762</v>
      </c>
      <c r="G525" s="7" t="s">
        <v>142</v>
      </c>
      <c r="H525" s="25">
        <f t="shared" si="56"/>
        <v>2</v>
      </c>
      <c r="I525" s="67">
        <v>1074</v>
      </c>
      <c r="J525" s="8" t="s">
        <v>151</v>
      </c>
      <c r="K525" s="9"/>
      <c r="L525" s="10"/>
      <c r="M525" s="111"/>
      <c r="N525" s="112"/>
      <c r="O525" s="6"/>
      <c r="P525" s="13" t="s">
        <v>114</v>
      </c>
      <c r="Q525" s="14"/>
      <c r="R525" s="15"/>
      <c r="S525" s="15"/>
      <c r="T525" s="15">
        <f>DATA[[#This Row],[C. DF]]+DATA[[#This Row],[C.OPE.]]</f>
        <v>0</v>
      </c>
      <c r="U525" s="73">
        <f>DATA[[#This Row],[SUB TOTAL]]*0.18</f>
        <v>0</v>
      </c>
      <c r="V525" s="45">
        <f>IFERROR(ROUND(DATA[[#This Row],[SUB TOTAL]]+DATA[[#This Row],[IGV]],2),0)</f>
        <v>0</v>
      </c>
      <c r="W525" s="16" t="str">
        <f>IF(DATA[[#This Row],[VALORIZACIÓN ]]="-","NO CORRESPONDE",IF(OR(A525=20558226979,A525=10470707866,A525=20111157058,A525=20100226902),"NO CORRESPONDE",IF(J525="Emitida",IF(P525&gt;0,"EMITIDA","PENDIENTE"),"NO CORRESPONDE")))</f>
        <v>NO CORRESPONDE</v>
      </c>
      <c r="X525" s="46"/>
      <c r="Y525" s="17" t="s">
        <v>128</v>
      </c>
      <c r="Z525" s="48"/>
      <c r="AA525" s="49"/>
      <c r="AB525" s="50"/>
      <c r="AC525" s="51"/>
      <c r="AD525" s="59">
        <f>DATA[[#This Row],[FECHA DE EMISION]]+DATA[[#This Row],[CONDICION DE PAGO]]</f>
        <v>0</v>
      </c>
      <c r="AE525" s="23">
        <f>IF(DATA[[#This Row],[MONEDA]]="USD",VLOOKUP(DATA[[#This Row],[COMBINADA]],#REF!,11,0),1)</f>
        <v>1</v>
      </c>
      <c r="AF525" s="39" t="str">
        <f>IF(DATA[[#This Row],[SERIE2]]="-","NO CORRESPONDE",IF(W525="NO CORRESPONDE","NO CORRESPONDE",IF(Z525&gt;0,"FACTURADO","PENDIENTE")))</f>
        <v>NO CORRESPONDE</v>
      </c>
      <c r="AG525" s="61">
        <f>IFERROR(VLOOKUP(DATA[[#This Row],[COMBINADA]],#REF!,6,0),0)</f>
        <v>0</v>
      </c>
      <c r="AH525" s="62">
        <f>IFERROR(VLOOKUP(DATA[[#This Row],[COMBINADA]],#REF!,9,0),0)/COUNTIFS(DATA[COMBINADA],DATA[[#This Row],[COMBINADA]])</f>
        <v>0</v>
      </c>
      <c r="AI525" s="61">
        <f>IFERROR(VLOOKUP(DATA[[#This Row],[COMBINADA]],#REF!,6,0),0)</f>
        <v>0</v>
      </c>
      <c r="AJ525" s="62">
        <f>IFERROR(VLOOKUP(DATA[[#This Row],[COMBINADA]],#REF!,9,0),0)/COUNTIFS(DATA[COMBINADA],DATA[[#This Row],[COMBINADA]])</f>
        <v>0</v>
      </c>
      <c r="AK525" s="61">
        <f>IFERROR(VLOOKUP(DATA[[#This Row],[COMBINADA]],#REF!,6,0),0)</f>
        <v>0</v>
      </c>
      <c r="AL525" s="62">
        <f>IFERROR(VLOOKUP(DATA[[#This Row],[COMBINADA]],#REF!,9,0),0)/COUNTIFS(DATA[COMBINADA],DATA[[#This Row],[COMBINADA]])</f>
        <v>0</v>
      </c>
      <c r="AM525" s="61">
        <f>IFERROR(VLOOKUP(DATA[[#This Row],[COMBINADA]],#REF!,6,0),0)</f>
        <v>0</v>
      </c>
      <c r="AN525" s="62">
        <f>IFERROR(VLOOKUP(DATA[[#This Row],[COMBINADA]],#REF!,9,0),0)/COUNTIFS(DATA[COMBINADA],DATA[[#This Row],[COMBINADA]])</f>
        <v>0</v>
      </c>
      <c r="AO525" s="61">
        <f>IFERROR(VLOOKUP(DATA[[#This Row],[COMBINADA]],#REF!,6,0),0)</f>
        <v>0</v>
      </c>
      <c r="AP525" s="62">
        <f>IFERROR(VLOOKUP(DATA[[#This Row],[COMBINADA]],#REF!,9,0),0)/COUNTIFS(DATA[COMBINADA],DATA[[#This Row],[COMBINADA]])</f>
        <v>0</v>
      </c>
      <c r="AQ525"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525" s="22" t="str">
        <f>IFERROR(IF(DATA[[#This Row],[estado_fact]]="FACTURADO",VLOOKUP(DATA[[#This Row],[SERIE2]]&amp;"-"&amp;DATA[[#This Row],[NUMERO]],#REF!,34,0),"NO CORRESPONDE"),"NO CORRESPONDE")</f>
        <v>NO CORRESPONDE</v>
      </c>
      <c r="AS525" s="198" t="str">
        <f>IF(DATA[[#This Row],[fecha_fs]]&gt;0,TEXT(DATA[[#This Row],[fecha_fs]],"Mmmm"),0)</f>
        <v>Abril</v>
      </c>
      <c r="AT525" s="199" t="str">
        <f>DATA[[#This Row],[SERIE2]]&amp;"-"&amp;DATA[[#This Row],[NUMERO]]</f>
        <v>-</v>
      </c>
      <c r="AU525" s="198">
        <f>DATA[[#This Row],[TOTAL]]*DATA[[#This Row],[T.C.]]</f>
        <v>0</v>
      </c>
      <c r="AV525" s="40">
        <f>DATA[[#This Row],[FECHA DE VAL.]]</f>
        <v>0</v>
      </c>
      <c r="AW525" s="40">
        <f>DATA[[#This Row],[FECHA DE EMISION]]</f>
        <v>0</v>
      </c>
      <c r="AX525" s="40">
        <f>DATA[[#This Row],[F1]]</f>
        <v>0</v>
      </c>
      <c r="AY525" s="49">
        <f>IF(AV525-DATA[[#This Row],[fecha_fs]]&lt;0,0,AV525-DATA[[#This Row],[fecha_fs]])</f>
        <v>0</v>
      </c>
      <c r="AZ525" s="49">
        <f t="shared" si="57"/>
        <v>0</v>
      </c>
      <c r="BA525" s="49">
        <f t="shared" si="58"/>
        <v>0</v>
      </c>
      <c r="BB525" s="195">
        <f>IFERROR(SUM(DATA[[#This Row],[fs_val_ttf]:[fact_pago_ttf]]),0)</f>
        <v>0</v>
      </c>
      <c r="BC525" s="200"/>
      <c r="BD525" s="200"/>
      <c r="BE525" s="200"/>
      <c r="BF525" s="200"/>
      <c r="BG525" s="49">
        <f>IFERROR(IF(BC525-DATA[[#This Row],[fecha_fs]]&lt;0,0,BC525-DATA[[#This Row],[fecha_fs]]),0)</f>
        <v>0</v>
      </c>
      <c r="BH525" s="49">
        <f t="shared" si="59"/>
        <v>0</v>
      </c>
      <c r="BI525" s="49">
        <f t="shared" si="60"/>
        <v>0</v>
      </c>
      <c r="BJ525" s="49">
        <f t="shared" si="61"/>
        <v>0</v>
      </c>
      <c r="BK525" s="218">
        <f>IFERROR(SUM(DATA[[#This Row],[fs_fd_ttd]:[fend_fenf_ttd]]),0)</f>
        <v>0</v>
      </c>
      <c r="BL525" s="20" t="str">
        <f>IF(DATA[[#This Row],[fecha_fs]]&gt;0,TEXT(DATA[[#This Row],[fecha_fs]],"YYYY"),0)</f>
        <v>2025</v>
      </c>
      <c r="BM525" s="221" t="b">
        <v>0</v>
      </c>
      <c r="BN525" s="278"/>
      <c r="BO525" s="222"/>
    </row>
    <row r="526" spans="1:67" ht="30.6" customHeight="1" x14ac:dyDescent="0.25">
      <c r="A526" s="4">
        <v>20100192064</v>
      </c>
      <c r="B526" s="5" t="s">
        <v>60</v>
      </c>
      <c r="C526" s="52" t="s">
        <v>65</v>
      </c>
      <c r="D526" s="4" t="s">
        <v>112</v>
      </c>
      <c r="E526" s="5" t="s">
        <v>1</v>
      </c>
      <c r="F526" s="24">
        <v>45762</v>
      </c>
      <c r="G526" s="7" t="s">
        <v>142</v>
      </c>
      <c r="H526" s="25">
        <f t="shared" si="56"/>
        <v>2</v>
      </c>
      <c r="I526" s="67">
        <v>1075</v>
      </c>
      <c r="J526" s="8" t="s">
        <v>115</v>
      </c>
      <c r="K526" s="9" t="s">
        <v>116</v>
      </c>
      <c r="L526" s="10" t="s">
        <v>117</v>
      </c>
      <c r="M526" s="11">
        <v>3620</v>
      </c>
      <c r="N526" s="12" t="s">
        <v>180</v>
      </c>
      <c r="O526" s="6">
        <v>45772</v>
      </c>
      <c r="P526" s="71">
        <v>3413</v>
      </c>
      <c r="Q526" s="14" t="s">
        <v>123</v>
      </c>
      <c r="R526" s="15">
        <f>(DATA[[#This Row],[cantidad_fs]]/1000)*(147+81.01)</f>
        <v>825.39620000000002</v>
      </c>
      <c r="S526" s="15">
        <v>103.6</v>
      </c>
      <c r="T526" s="15">
        <f>DATA[[#This Row],[C. DF]]+DATA[[#This Row],[C.OPE.]]</f>
        <v>928.99620000000004</v>
      </c>
      <c r="U526" s="15">
        <f>DATA[[#This Row],[SUB TOTAL]]*0.18</f>
        <v>167.21931599999999</v>
      </c>
      <c r="V526" s="15">
        <f>IFERROR(ROUND(DATA[[#This Row],[SUB TOTAL]]+DATA[[#This Row],[IGV]],2),0)</f>
        <v>1096.22</v>
      </c>
      <c r="W526" s="16" t="str">
        <f>IF(DATA[[#This Row],[VALORIZACIÓN ]]="-","NO CORRESPONDE",IF(OR(A526=20558226979,A526=10470707866,A526=20111157058,A526=20100226902),"NO CORRESPONDE",IF(J526="Emitida",IF(P526&gt;0,"EMITIDA","PENDIENTE"),"NO CORRESPONDE")))</f>
        <v>EMITIDA</v>
      </c>
      <c r="X526" s="29"/>
      <c r="Y526" s="17" t="s">
        <v>118</v>
      </c>
      <c r="Z526" s="30">
        <v>45777</v>
      </c>
      <c r="AA526" s="10" t="s">
        <v>150</v>
      </c>
      <c r="AB526" s="19">
        <v>59</v>
      </c>
      <c r="AC526" s="20">
        <v>30</v>
      </c>
      <c r="AD526" s="18">
        <f>DATA[[#This Row],[FECHA DE EMISION]]+DATA[[#This Row],[CONDICION DE PAGO]]</f>
        <v>45807</v>
      </c>
      <c r="AE526" s="23" t="e">
        <f>IF(DATA[[#This Row],[MONEDA]]="USD",VLOOKUP(DATA[[#This Row],[COMBINADA]],#REF!,11,0),1)</f>
        <v>#REF!</v>
      </c>
      <c r="AF526" s="39" t="str">
        <f>IF(DATA[[#This Row],[SERIE2]]="-","NO CORRESPONDE",IF(W526="NO CORRESPONDE","NO CORRESPONDE",IF(Z526&gt;0,"FACTURADO","PENDIENTE")))</f>
        <v>FACTURADO</v>
      </c>
      <c r="AG526" s="27">
        <f>IFERROR(VLOOKUP(DATA[[#This Row],[COMBINADA]],#REF!,6,0),0)</f>
        <v>0</v>
      </c>
      <c r="AH526" s="125">
        <f>IFERROR(VLOOKUP(DATA[[#This Row],[COMBINADA]],#REF!,9,0),0)/COUNTIFS(DATA[COMBINADA],DATA[[#This Row],[COMBINADA]])</f>
        <v>0</v>
      </c>
      <c r="AI526" s="27">
        <f>IFERROR(VLOOKUP(DATA[[#This Row],[COMBINADA]],#REF!,6,0),0)</f>
        <v>0</v>
      </c>
      <c r="AJ526" s="125">
        <f>IFERROR(VLOOKUP(DATA[[#This Row],[COMBINADA]],#REF!,9,0),0)/COUNTIFS(DATA[COMBINADA],DATA[[#This Row],[COMBINADA]])</f>
        <v>0</v>
      </c>
      <c r="AK526" s="27">
        <f>IFERROR(VLOOKUP(DATA[[#This Row],[COMBINADA]],#REF!,6,0),0)</f>
        <v>0</v>
      </c>
      <c r="AL526" s="125">
        <f>IFERROR(VLOOKUP(DATA[[#This Row],[COMBINADA]],#REF!,9,0),0)/COUNTIFS(DATA[COMBINADA],DATA[[#This Row],[COMBINADA]])</f>
        <v>0</v>
      </c>
      <c r="AM526" s="27">
        <f>IFERROR(VLOOKUP(DATA[[#This Row],[COMBINADA]],#REF!,6,0),0)</f>
        <v>0</v>
      </c>
      <c r="AN526" s="125">
        <f>IFERROR(VLOOKUP(DATA[[#This Row],[COMBINADA]],#REF!,9,0),0)/COUNTIFS(DATA[COMBINADA],DATA[[#This Row],[COMBINADA]])</f>
        <v>0</v>
      </c>
      <c r="AO526" s="27">
        <f>IFERROR(VLOOKUP(DATA[[#This Row],[COMBINADA]],#REF!,6,0),0)</f>
        <v>0</v>
      </c>
      <c r="AP526" s="125">
        <f>IFERROR(VLOOKUP(DATA[[#This Row],[COMBINADA]],#REF!,9,0),0)/COUNTIFS(DATA[COMBINADA],DATA[[#This Row],[COMBINADA]])</f>
        <v>0</v>
      </c>
      <c r="AQ52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538.72300000000007</v>
      </c>
      <c r="AR526" s="26" t="str">
        <f>IFERROR(IF(DATA[[#This Row],[estado_fact]]="FACTURADO",VLOOKUP(DATA[[#This Row],[SERIE2]]&amp;"-"&amp;DATA[[#This Row],[NUMERO]],#REF!,34,0),"NO CORRESPONDE"),"NO CORRESPONDE")</f>
        <v>NO CORRESPONDE</v>
      </c>
      <c r="AS526" s="22" t="str">
        <f>IF(DATA[[#This Row],[fecha_fs]]&gt;0,TEXT(DATA[[#This Row],[fecha_fs]],"Mmmm"),0)</f>
        <v>Abril</v>
      </c>
      <c r="AT526" s="22" t="str">
        <f>DATA[[#This Row],[SERIE2]]&amp;"-"&amp;DATA[[#This Row],[NUMERO]]</f>
        <v>FF01-59</v>
      </c>
      <c r="AU526" s="28" t="e">
        <f>DATA[[#This Row],[TOTAL]]*DATA[[#This Row],[T.C.]]</f>
        <v>#REF!</v>
      </c>
      <c r="AV526" s="6">
        <f>DATA[[#This Row],[FECHA DE VAL.]]</f>
        <v>45772</v>
      </c>
      <c r="AW526" s="6">
        <f>DATA[[#This Row],[FECHA DE EMISION]]</f>
        <v>45777</v>
      </c>
      <c r="AX526" s="6">
        <f>DATA[[#This Row],[F1]]</f>
        <v>0</v>
      </c>
      <c r="AY526" s="20">
        <f>IF(AV526-DATA[[#This Row],[fecha_fs]]&lt;0,0,AV526-DATA[[#This Row],[fecha_fs]])</f>
        <v>10</v>
      </c>
      <c r="AZ526" s="20">
        <f t="shared" si="57"/>
        <v>5</v>
      </c>
      <c r="BA526" s="20">
        <f t="shared" si="58"/>
        <v>0</v>
      </c>
      <c r="BB526" s="195">
        <f>IFERROR(SUM(DATA[[#This Row],[fs_val_ttf]:[fact_pago_ttf]]),0)</f>
        <v>15</v>
      </c>
      <c r="BC526" s="185">
        <v>45762</v>
      </c>
      <c r="BD526" s="185">
        <v>45777</v>
      </c>
      <c r="BE526" s="185">
        <v>45785</v>
      </c>
      <c r="BF526" s="185">
        <v>45797</v>
      </c>
      <c r="BG526" s="20">
        <f>IFERROR(IF(BC526-DATA[[#This Row],[fecha_fs]]&lt;0,0,BC526-DATA[[#This Row],[fecha_fs]]),0)</f>
        <v>0</v>
      </c>
      <c r="BH526" s="20">
        <f t="shared" si="59"/>
        <v>15</v>
      </c>
      <c r="BI526" s="20">
        <f t="shared" si="60"/>
        <v>8</v>
      </c>
      <c r="BJ526" s="20">
        <f t="shared" si="61"/>
        <v>12</v>
      </c>
      <c r="BK526" s="218">
        <f>IFERROR(SUM(DATA[[#This Row],[fs_fd_ttd]:[fend_fenf_ttd]]),0)</f>
        <v>35</v>
      </c>
      <c r="BL526" s="20" t="str">
        <f>IF(DATA[[#This Row],[fecha_fs]]&gt;0,TEXT(DATA[[#This Row],[fecha_fs]],"YYYY"),0)</f>
        <v>2025</v>
      </c>
      <c r="BM526" s="221" t="b">
        <v>1</v>
      </c>
      <c r="BN526" s="278">
        <f>COUNTIF(DATA[[#This Row],[tiempo_td]], "&lt;=15")</f>
        <v>0</v>
      </c>
      <c r="BO526" s="222"/>
    </row>
    <row r="527" spans="1:67" ht="30.6" customHeight="1" x14ac:dyDescent="0.25">
      <c r="A527" s="4">
        <v>20419158462</v>
      </c>
      <c r="B527" s="5" t="s">
        <v>2</v>
      </c>
      <c r="C527" s="52" t="s">
        <v>201</v>
      </c>
      <c r="D527" s="4" t="s">
        <v>120</v>
      </c>
      <c r="E527" s="5" t="s">
        <v>3</v>
      </c>
      <c r="F527" s="24">
        <v>45763</v>
      </c>
      <c r="G527" s="7" t="s">
        <v>113</v>
      </c>
      <c r="H527" s="25">
        <f t="shared" si="56"/>
        <v>1</v>
      </c>
      <c r="I527" s="67">
        <v>4390</v>
      </c>
      <c r="J527" s="8" t="s">
        <v>115</v>
      </c>
      <c r="K527" s="9" t="s">
        <v>156</v>
      </c>
      <c r="L527" s="10" t="s">
        <v>117</v>
      </c>
      <c r="M527" s="11">
        <v>280</v>
      </c>
      <c r="N527" s="12" t="s">
        <v>125</v>
      </c>
      <c r="O527" s="6">
        <v>45770</v>
      </c>
      <c r="P527" s="83">
        <v>3400</v>
      </c>
      <c r="Q527" s="14" t="s">
        <v>85</v>
      </c>
      <c r="R527" s="15"/>
      <c r="S527" s="15">
        <f>1429.7/3</f>
        <v>476.56666666666666</v>
      </c>
      <c r="T527" s="15">
        <f>DATA[[#This Row],[C. DF]]+DATA[[#This Row],[C.OPE.]]</f>
        <v>476.56666666666666</v>
      </c>
      <c r="U527" s="15">
        <f>DATA[[#This Row],[SUB TOTAL]]*0.18</f>
        <v>85.781999999999996</v>
      </c>
      <c r="V527" s="15">
        <f>IFERROR(ROUND(DATA[[#This Row],[SUB TOTAL]]+DATA[[#This Row],[IGV]],2),0)</f>
        <v>562.35</v>
      </c>
      <c r="W527" s="16" t="str">
        <f>IF(DATA[[#This Row],[VALORIZACIÓN ]]="-","NO CORRESPONDE",IF(OR(A527=20558226979,A527=10470707866,A527=20111157058,A527=20100226902),"NO CORRESPONDE",IF(J527="Emitida",IF(P527&gt;0,"EMITIDA","PENDIENTE"),"NO CORRESPONDE")))</f>
        <v>EMITIDA</v>
      </c>
      <c r="X527" s="29"/>
      <c r="Y527" s="17" t="s">
        <v>118</v>
      </c>
      <c r="Z527" s="30">
        <v>45790</v>
      </c>
      <c r="AA527" s="10" t="s">
        <v>150</v>
      </c>
      <c r="AB527" s="19">
        <v>73</v>
      </c>
      <c r="AC527" s="20">
        <v>30</v>
      </c>
      <c r="AD527" s="18">
        <f>DATA[[#This Row],[FECHA DE EMISION]]+DATA[[#This Row],[CONDICION DE PAGO]]</f>
        <v>45820</v>
      </c>
      <c r="AE527" s="23">
        <f>IF(DATA[[#This Row],[MONEDA]]="USD",VLOOKUP(DATA[[#This Row],[COMBINADA]],#REF!,11,0),1)</f>
        <v>1</v>
      </c>
      <c r="AF527" s="39" t="str">
        <f>IF(DATA[[#This Row],[SERIE2]]="-","NO CORRESPONDE",IF(W527="NO CORRESPONDE","NO CORRESPONDE",IF(Z527&gt;0,"FACTURADO","PENDIENTE")))</f>
        <v>FACTURADO</v>
      </c>
      <c r="AG527" s="27">
        <f>IFERROR(VLOOKUP(DATA[[#This Row],[COMBINADA]],#REF!,6,0),0)</f>
        <v>0</v>
      </c>
      <c r="AH527" s="125">
        <f>IFERROR(VLOOKUP(DATA[[#This Row],[COMBINADA]],#REF!,9,0),0)/COUNTIFS(DATA[COMBINADA],DATA[[#This Row],[COMBINADA]])</f>
        <v>0</v>
      </c>
      <c r="AI527" s="27">
        <f>IFERROR(VLOOKUP(DATA[[#This Row],[COMBINADA]],#REF!,6,0),0)</f>
        <v>0</v>
      </c>
      <c r="AJ527" s="125">
        <f>IFERROR(VLOOKUP(DATA[[#This Row],[COMBINADA]],#REF!,9,0),0)/COUNTIFS(DATA[COMBINADA],DATA[[#This Row],[COMBINADA]])</f>
        <v>0</v>
      </c>
      <c r="AK527" s="27">
        <f>IFERROR(VLOOKUP(DATA[[#This Row],[COMBINADA]],#REF!,6,0),0)</f>
        <v>0</v>
      </c>
      <c r="AL527" s="125">
        <f>IFERROR(VLOOKUP(DATA[[#This Row],[COMBINADA]],#REF!,9,0),0)/COUNTIFS(DATA[COMBINADA],DATA[[#This Row],[COMBINADA]])</f>
        <v>0</v>
      </c>
      <c r="AM527" s="27">
        <f>IFERROR(VLOOKUP(DATA[[#This Row],[COMBINADA]],#REF!,6,0),0)</f>
        <v>0</v>
      </c>
      <c r="AN527" s="125">
        <f>IFERROR(VLOOKUP(DATA[[#This Row],[COMBINADA]],#REF!,9,0),0)/COUNTIFS(DATA[COMBINADA],DATA[[#This Row],[COMBINADA]])</f>
        <v>0</v>
      </c>
      <c r="AO527" s="27">
        <f>IFERROR(VLOOKUP(DATA[[#This Row],[COMBINADA]],#REF!,6,0),0)</f>
        <v>0</v>
      </c>
      <c r="AP527" s="125">
        <f>IFERROR(VLOOKUP(DATA[[#This Row],[COMBINADA]],#REF!,9,0),0)/COUNTIFS(DATA[COMBINADA],DATA[[#This Row],[COMBINADA]])</f>
        <v>0</v>
      </c>
      <c r="AQ52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562.35</v>
      </c>
      <c r="AR527" s="26" t="str">
        <f>IFERROR(IF(DATA[[#This Row],[estado_fact]]="FACTURADO",VLOOKUP(DATA[[#This Row],[SERIE2]]&amp;"-"&amp;DATA[[#This Row],[NUMERO]],#REF!,34,0),"NO CORRESPONDE"),"NO CORRESPONDE")</f>
        <v>NO CORRESPONDE</v>
      </c>
      <c r="AS527" s="22" t="str">
        <f>IF(DATA[[#This Row],[fecha_fs]]&gt;0,TEXT(DATA[[#This Row],[fecha_fs]],"Mmmm"),0)</f>
        <v>Abril</v>
      </c>
      <c r="AT527" s="22" t="str">
        <f>DATA[[#This Row],[SERIE2]]&amp;"-"&amp;DATA[[#This Row],[NUMERO]]</f>
        <v>FF01-73</v>
      </c>
      <c r="AU527" s="28">
        <f>DATA[[#This Row],[TOTAL]]*DATA[[#This Row],[T.C.]]</f>
        <v>562.35</v>
      </c>
      <c r="AV527" s="6">
        <f>DATA[[#This Row],[FECHA DE VAL.]]</f>
        <v>45770</v>
      </c>
      <c r="AW527" s="6">
        <f>DATA[[#This Row],[FECHA DE EMISION]]</f>
        <v>45790</v>
      </c>
      <c r="AX527" s="6">
        <f>DATA[[#This Row],[F1]]</f>
        <v>0</v>
      </c>
      <c r="AY527" s="20">
        <f>IF(AV527-DATA[[#This Row],[fecha_fs]]&lt;0,0,AV527-DATA[[#This Row],[fecha_fs]])</f>
        <v>7</v>
      </c>
      <c r="AZ527" s="20">
        <f t="shared" si="57"/>
        <v>20</v>
      </c>
      <c r="BA527" s="20">
        <f t="shared" si="58"/>
        <v>0</v>
      </c>
      <c r="BB527" s="195">
        <f>IFERROR(SUM(DATA[[#This Row],[fs_val_ttf]:[fact_pago_ttf]]),0)</f>
        <v>27</v>
      </c>
      <c r="BC527" s="184">
        <v>45763</v>
      </c>
      <c r="BD527" s="184">
        <v>45763</v>
      </c>
      <c r="BE527" s="184">
        <v>45783</v>
      </c>
      <c r="BF527" s="184">
        <v>45783</v>
      </c>
      <c r="BG527" s="20">
        <f>IFERROR(IF(BC527-DATA[[#This Row],[fecha_fs]]&lt;0,0,BC527-DATA[[#This Row],[fecha_fs]]),0)</f>
        <v>0</v>
      </c>
      <c r="BH527" s="20">
        <f t="shared" si="59"/>
        <v>0</v>
      </c>
      <c r="BI527" s="20">
        <f t="shared" si="60"/>
        <v>20</v>
      </c>
      <c r="BJ527" s="20">
        <f t="shared" si="61"/>
        <v>0</v>
      </c>
      <c r="BK527" s="218">
        <f>IFERROR(SUM(DATA[[#This Row],[fs_fd_ttd]:[fend_fenf_ttd]]),0)</f>
        <v>20</v>
      </c>
      <c r="BL527" s="20" t="str">
        <f>IF(DATA[[#This Row],[fecha_fs]]&gt;0,TEXT(DATA[[#This Row],[fecha_fs]],"YYYY"),0)</f>
        <v>2025</v>
      </c>
      <c r="BM527" s="221" t="b">
        <v>1</v>
      </c>
      <c r="BN527" s="278">
        <f>COUNTIF(DATA[[#This Row],[tiempo_td]], "&lt;=15")</f>
        <v>0</v>
      </c>
      <c r="BO527" s="222"/>
    </row>
    <row r="528" spans="1:67" ht="30.6" customHeight="1" x14ac:dyDescent="0.25">
      <c r="A528" s="4">
        <v>20419158462</v>
      </c>
      <c r="B528" s="5" t="s">
        <v>2</v>
      </c>
      <c r="C528" s="52" t="s">
        <v>15</v>
      </c>
      <c r="D528" s="4" t="s">
        <v>120</v>
      </c>
      <c r="E528" s="5" t="s">
        <v>3</v>
      </c>
      <c r="F528" s="24">
        <v>45763</v>
      </c>
      <c r="G528" s="7" t="s">
        <v>113</v>
      </c>
      <c r="H528" s="25">
        <f t="shared" si="56"/>
        <v>1</v>
      </c>
      <c r="I528" s="67">
        <v>4391</v>
      </c>
      <c r="J528" s="8" t="s">
        <v>115</v>
      </c>
      <c r="K528" s="9" t="s">
        <v>156</v>
      </c>
      <c r="L528" s="10" t="s">
        <v>117</v>
      </c>
      <c r="M528" s="11">
        <v>400</v>
      </c>
      <c r="N528" s="12" t="s">
        <v>122</v>
      </c>
      <c r="O528" s="6">
        <v>45770</v>
      </c>
      <c r="P528" s="83">
        <v>3400</v>
      </c>
      <c r="Q528" s="14" t="s">
        <v>85</v>
      </c>
      <c r="R528" s="15"/>
      <c r="S528" s="15">
        <f>1429.7/3</f>
        <v>476.56666666666666</v>
      </c>
      <c r="T528" s="15">
        <f>DATA[[#This Row],[C. DF]]+DATA[[#This Row],[C.OPE.]]</f>
        <v>476.56666666666666</v>
      </c>
      <c r="U528" s="15">
        <f>DATA[[#This Row],[SUB TOTAL]]*0.18</f>
        <v>85.781999999999996</v>
      </c>
      <c r="V528" s="15">
        <f>IFERROR(ROUND(DATA[[#This Row],[SUB TOTAL]]+DATA[[#This Row],[IGV]],2),0)</f>
        <v>562.35</v>
      </c>
      <c r="W528" s="16" t="str">
        <f>IF(DATA[[#This Row],[VALORIZACIÓN ]]="-","NO CORRESPONDE",IF(OR(A528=20558226979,A528=10470707866,A528=20111157058,A528=20100226902),"NO CORRESPONDE",IF(J528="Emitida",IF(P528&gt;0,"EMITIDA","PENDIENTE"),"NO CORRESPONDE")))</f>
        <v>EMITIDA</v>
      </c>
      <c r="X528" s="29"/>
      <c r="Y528" s="17" t="s">
        <v>118</v>
      </c>
      <c r="Z528" s="30">
        <v>45790</v>
      </c>
      <c r="AA528" s="10" t="s">
        <v>150</v>
      </c>
      <c r="AB528" s="19">
        <v>73</v>
      </c>
      <c r="AC528" s="20">
        <v>30</v>
      </c>
      <c r="AD528" s="18">
        <f>DATA[[#This Row],[FECHA DE EMISION]]+DATA[[#This Row],[CONDICION DE PAGO]]</f>
        <v>45820</v>
      </c>
      <c r="AE528" s="23">
        <f>IF(DATA[[#This Row],[MONEDA]]="USD",VLOOKUP(DATA[[#This Row],[COMBINADA]],#REF!,11,0),1)</f>
        <v>1</v>
      </c>
      <c r="AF528" s="39" t="str">
        <f>IF(DATA[[#This Row],[SERIE2]]="-","NO CORRESPONDE",IF(W528="NO CORRESPONDE","NO CORRESPONDE",IF(Z528&gt;0,"FACTURADO","PENDIENTE")))</f>
        <v>FACTURADO</v>
      </c>
      <c r="AG528" s="27">
        <f>IFERROR(VLOOKUP(DATA[[#This Row],[COMBINADA]],#REF!,6,0),0)</f>
        <v>0</v>
      </c>
      <c r="AH528" s="125">
        <f>IFERROR(VLOOKUP(DATA[[#This Row],[COMBINADA]],#REF!,9,0),0)/COUNTIFS(DATA[COMBINADA],DATA[[#This Row],[COMBINADA]])</f>
        <v>0</v>
      </c>
      <c r="AI528" s="27">
        <f>IFERROR(VLOOKUP(DATA[[#This Row],[COMBINADA]],#REF!,6,0),0)</f>
        <v>0</v>
      </c>
      <c r="AJ528" s="125">
        <f>IFERROR(VLOOKUP(DATA[[#This Row],[COMBINADA]],#REF!,9,0),0)/COUNTIFS(DATA[COMBINADA],DATA[[#This Row],[COMBINADA]])</f>
        <v>0</v>
      </c>
      <c r="AK528" s="27">
        <f>IFERROR(VLOOKUP(DATA[[#This Row],[COMBINADA]],#REF!,6,0),0)</f>
        <v>0</v>
      </c>
      <c r="AL528" s="125">
        <f>IFERROR(VLOOKUP(DATA[[#This Row],[COMBINADA]],#REF!,9,0),0)/COUNTIFS(DATA[COMBINADA],DATA[[#This Row],[COMBINADA]])</f>
        <v>0</v>
      </c>
      <c r="AM528" s="27">
        <f>IFERROR(VLOOKUP(DATA[[#This Row],[COMBINADA]],#REF!,6,0),0)</f>
        <v>0</v>
      </c>
      <c r="AN528" s="125">
        <f>IFERROR(VLOOKUP(DATA[[#This Row],[COMBINADA]],#REF!,9,0),0)/COUNTIFS(DATA[COMBINADA],DATA[[#This Row],[COMBINADA]])</f>
        <v>0</v>
      </c>
      <c r="AO528" s="27">
        <f>IFERROR(VLOOKUP(DATA[[#This Row],[COMBINADA]],#REF!,6,0),0)</f>
        <v>0</v>
      </c>
      <c r="AP528" s="125">
        <f>IFERROR(VLOOKUP(DATA[[#This Row],[COMBINADA]],#REF!,9,0),0)/COUNTIFS(DATA[COMBINADA],DATA[[#This Row],[COMBINADA]])</f>
        <v>0</v>
      </c>
      <c r="AQ52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562.35</v>
      </c>
      <c r="AR528" s="26" t="str">
        <f>IFERROR(IF(DATA[[#This Row],[estado_fact]]="FACTURADO",VLOOKUP(DATA[[#This Row],[SERIE2]]&amp;"-"&amp;DATA[[#This Row],[NUMERO]],#REF!,34,0),"NO CORRESPONDE"),"NO CORRESPONDE")</f>
        <v>NO CORRESPONDE</v>
      </c>
      <c r="AS528" s="22" t="str">
        <f>IF(DATA[[#This Row],[fecha_fs]]&gt;0,TEXT(DATA[[#This Row],[fecha_fs]],"Mmmm"),0)</f>
        <v>Abril</v>
      </c>
      <c r="AT528" s="22" t="str">
        <f>DATA[[#This Row],[SERIE2]]&amp;"-"&amp;DATA[[#This Row],[NUMERO]]</f>
        <v>FF01-73</v>
      </c>
      <c r="AU528" s="28">
        <f>DATA[[#This Row],[TOTAL]]*DATA[[#This Row],[T.C.]]</f>
        <v>562.35</v>
      </c>
      <c r="AV528" s="6">
        <f>DATA[[#This Row],[FECHA DE VAL.]]</f>
        <v>45770</v>
      </c>
      <c r="AW528" s="6">
        <f>DATA[[#This Row],[FECHA DE EMISION]]</f>
        <v>45790</v>
      </c>
      <c r="AX528" s="6">
        <f>DATA[[#This Row],[F1]]</f>
        <v>0</v>
      </c>
      <c r="AY528" s="20">
        <f>IF(AV528-DATA[[#This Row],[fecha_fs]]&lt;0,0,AV528-DATA[[#This Row],[fecha_fs]])</f>
        <v>7</v>
      </c>
      <c r="AZ528" s="20">
        <f t="shared" si="57"/>
        <v>20</v>
      </c>
      <c r="BA528" s="20">
        <f t="shared" si="58"/>
        <v>0</v>
      </c>
      <c r="BB528" s="195">
        <f>IFERROR(SUM(DATA[[#This Row],[fs_val_ttf]:[fact_pago_ttf]]),0)</f>
        <v>27</v>
      </c>
      <c r="BC528" s="185">
        <v>45763</v>
      </c>
      <c r="BD528" s="185">
        <v>45763</v>
      </c>
      <c r="BE528" s="185">
        <v>45783</v>
      </c>
      <c r="BF528" s="185">
        <v>45783</v>
      </c>
      <c r="BG528" s="20">
        <f>IFERROR(IF(BC528-DATA[[#This Row],[fecha_fs]]&lt;0,0,BC528-DATA[[#This Row],[fecha_fs]]),0)</f>
        <v>0</v>
      </c>
      <c r="BH528" s="20">
        <f t="shared" si="59"/>
        <v>0</v>
      </c>
      <c r="BI528" s="20">
        <f t="shared" si="60"/>
        <v>20</v>
      </c>
      <c r="BJ528" s="20">
        <f t="shared" si="61"/>
        <v>0</v>
      </c>
      <c r="BK528" s="218">
        <f>IFERROR(SUM(DATA[[#This Row],[fs_fd_ttd]:[fend_fenf_ttd]]),0)</f>
        <v>20</v>
      </c>
      <c r="BL528" s="20" t="str">
        <f>IF(DATA[[#This Row],[fecha_fs]]&gt;0,TEXT(DATA[[#This Row],[fecha_fs]],"YYYY"),0)</f>
        <v>2025</v>
      </c>
      <c r="BM528" s="221" t="b">
        <v>1</v>
      </c>
      <c r="BN528" s="278">
        <f>COUNTIF(DATA[[#This Row],[tiempo_td]], "&lt;=15")</f>
        <v>0</v>
      </c>
      <c r="BO528" s="222"/>
    </row>
    <row r="529" spans="1:67" ht="30" customHeight="1" x14ac:dyDescent="0.25">
      <c r="A529" s="4"/>
      <c r="B529" s="5" t="s">
        <v>0</v>
      </c>
      <c r="C529" s="52"/>
      <c r="D529" s="4"/>
      <c r="E529" s="5" t="s">
        <v>0</v>
      </c>
      <c r="F529" s="24">
        <v>45763</v>
      </c>
      <c r="G529" s="7" t="s">
        <v>113</v>
      </c>
      <c r="H529" s="25">
        <f t="shared" si="56"/>
        <v>1</v>
      </c>
      <c r="I529" s="67">
        <v>4392</v>
      </c>
      <c r="J529" s="8" t="s">
        <v>173</v>
      </c>
      <c r="K529" s="9"/>
      <c r="L529" s="10"/>
      <c r="M529" s="111"/>
      <c r="N529" s="112"/>
      <c r="O529" s="6"/>
      <c r="P529" s="13" t="s">
        <v>114</v>
      </c>
      <c r="Q529" s="14"/>
      <c r="R529" s="15"/>
      <c r="S529" s="15"/>
      <c r="T529" s="15">
        <f>DATA[[#This Row],[C. DF]]+DATA[[#This Row],[C.OPE.]]</f>
        <v>0</v>
      </c>
      <c r="U529" s="73">
        <f>DATA[[#This Row],[SUB TOTAL]]*0.18</f>
        <v>0</v>
      </c>
      <c r="V529" s="45">
        <f>IFERROR(ROUND(DATA[[#This Row],[SUB TOTAL]]+DATA[[#This Row],[IGV]],2),0)</f>
        <v>0</v>
      </c>
      <c r="W529" s="16" t="str">
        <f>IF(DATA[[#This Row],[VALORIZACIÓN ]]="-","NO CORRESPONDE",IF(OR(A529=20558226979,A529=10470707866,A529=20111157058,A529=20100226902),"NO CORRESPONDE",IF(J529="Emitida",IF(P529&gt;0,"EMITIDA","PENDIENTE"),"NO CORRESPONDE")))</f>
        <v>NO CORRESPONDE</v>
      </c>
      <c r="X529" s="46"/>
      <c r="Y529" s="17" t="s">
        <v>128</v>
      </c>
      <c r="Z529" s="48"/>
      <c r="AA529" s="49"/>
      <c r="AB529" s="50"/>
      <c r="AC529" s="51"/>
      <c r="AD529" s="59">
        <f>DATA[[#This Row],[FECHA DE EMISION]]+DATA[[#This Row],[CONDICION DE PAGO]]</f>
        <v>0</v>
      </c>
      <c r="AE529" s="23">
        <f>IF(DATA[[#This Row],[MONEDA]]="USD",VLOOKUP(DATA[[#This Row],[COMBINADA]],#REF!,11,0),1)</f>
        <v>1</v>
      </c>
      <c r="AF529" s="39" t="str">
        <f>IF(DATA[[#This Row],[SERIE2]]="-","NO CORRESPONDE",IF(W529="NO CORRESPONDE","NO CORRESPONDE",IF(Z529&gt;0,"FACTURADO","PENDIENTE")))</f>
        <v>NO CORRESPONDE</v>
      </c>
      <c r="AG529" s="61">
        <f>IFERROR(VLOOKUP(DATA[[#This Row],[COMBINADA]],#REF!,6,0),0)</f>
        <v>0</v>
      </c>
      <c r="AH529" s="62">
        <f>IFERROR(VLOOKUP(DATA[[#This Row],[COMBINADA]],#REF!,9,0),0)/COUNTIFS(DATA[COMBINADA],DATA[[#This Row],[COMBINADA]])</f>
        <v>0</v>
      </c>
      <c r="AI529" s="61">
        <f>IFERROR(VLOOKUP(DATA[[#This Row],[COMBINADA]],#REF!,6,0),0)</f>
        <v>0</v>
      </c>
      <c r="AJ529" s="62">
        <f>IFERROR(VLOOKUP(DATA[[#This Row],[COMBINADA]],#REF!,9,0),0)/COUNTIFS(DATA[COMBINADA],DATA[[#This Row],[COMBINADA]])</f>
        <v>0</v>
      </c>
      <c r="AK529" s="61">
        <f>IFERROR(VLOOKUP(DATA[[#This Row],[COMBINADA]],#REF!,6,0),0)</f>
        <v>0</v>
      </c>
      <c r="AL529" s="62">
        <f>IFERROR(VLOOKUP(DATA[[#This Row],[COMBINADA]],#REF!,9,0),0)/COUNTIFS(DATA[COMBINADA],DATA[[#This Row],[COMBINADA]])</f>
        <v>0</v>
      </c>
      <c r="AM529" s="61">
        <f>IFERROR(VLOOKUP(DATA[[#This Row],[COMBINADA]],#REF!,6,0),0)</f>
        <v>0</v>
      </c>
      <c r="AN529" s="62">
        <f>IFERROR(VLOOKUP(DATA[[#This Row],[COMBINADA]],#REF!,9,0),0)/COUNTIFS(DATA[COMBINADA],DATA[[#This Row],[COMBINADA]])</f>
        <v>0</v>
      </c>
      <c r="AO529" s="61">
        <f>IFERROR(VLOOKUP(DATA[[#This Row],[COMBINADA]],#REF!,6,0),0)</f>
        <v>0</v>
      </c>
      <c r="AP529" s="62">
        <f>IFERROR(VLOOKUP(DATA[[#This Row],[COMBINADA]],#REF!,9,0),0)/COUNTIFS(DATA[COMBINADA],DATA[[#This Row],[COMBINADA]])</f>
        <v>0</v>
      </c>
      <c r="AQ529"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529" s="22" t="str">
        <f>IFERROR(IF(DATA[[#This Row],[estado_fact]]="FACTURADO",VLOOKUP(DATA[[#This Row],[SERIE2]]&amp;"-"&amp;DATA[[#This Row],[NUMERO]],#REF!,34,0),"NO CORRESPONDE"),"NO CORRESPONDE")</f>
        <v>NO CORRESPONDE</v>
      </c>
      <c r="AS529" s="198" t="str">
        <f>IF(DATA[[#This Row],[fecha_fs]]&gt;0,TEXT(DATA[[#This Row],[fecha_fs]],"Mmmm"),0)</f>
        <v>Abril</v>
      </c>
      <c r="AT529" s="199" t="str">
        <f>DATA[[#This Row],[SERIE2]]&amp;"-"&amp;DATA[[#This Row],[NUMERO]]</f>
        <v>-</v>
      </c>
      <c r="AU529" s="198">
        <f>DATA[[#This Row],[TOTAL]]*DATA[[#This Row],[T.C.]]</f>
        <v>0</v>
      </c>
      <c r="AV529" s="40">
        <f>DATA[[#This Row],[FECHA DE VAL.]]</f>
        <v>0</v>
      </c>
      <c r="AW529" s="40">
        <f>DATA[[#This Row],[FECHA DE EMISION]]</f>
        <v>0</v>
      </c>
      <c r="AX529" s="40">
        <f>DATA[[#This Row],[F1]]</f>
        <v>0</v>
      </c>
      <c r="AY529" s="49">
        <f>IF(AV529-DATA[[#This Row],[fecha_fs]]&lt;0,0,AV529-DATA[[#This Row],[fecha_fs]])</f>
        <v>0</v>
      </c>
      <c r="AZ529" s="49">
        <f t="shared" si="57"/>
        <v>0</v>
      </c>
      <c r="BA529" s="49">
        <f t="shared" si="58"/>
        <v>0</v>
      </c>
      <c r="BB529" s="195">
        <f>IFERROR(SUM(DATA[[#This Row],[fs_val_ttf]:[fact_pago_ttf]]),0)</f>
        <v>0</v>
      </c>
      <c r="BC529" s="200"/>
      <c r="BD529" s="200"/>
      <c r="BE529" s="200"/>
      <c r="BF529" s="200"/>
      <c r="BG529" s="49">
        <f>IFERROR(IF(BC529-DATA[[#This Row],[fecha_fs]]&lt;0,0,BC529-DATA[[#This Row],[fecha_fs]]),0)</f>
        <v>0</v>
      </c>
      <c r="BH529" s="49">
        <f t="shared" si="59"/>
        <v>0</v>
      </c>
      <c r="BI529" s="49">
        <f t="shared" si="60"/>
        <v>0</v>
      </c>
      <c r="BJ529" s="49">
        <f t="shared" si="61"/>
        <v>0</v>
      </c>
      <c r="BK529" s="218">
        <f>IFERROR(SUM(DATA[[#This Row],[fs_fd_ttd]:[fend_fenf_ttd]]),0)</f>
        <v>0</v>
      </c>
      <c r="BL529" s="20" t="str">
        <f>IF(DATA[[#This Row],[fecha_fs]]&gt;0,TEXT(DATA[[#This Row],[fecha_fs]],"YYYY"),0)</f>
        <v>2025</v>
      </c>
      <c r="BM529" s="221" t="b">
        <v>0</v>
      </c>
      <c r="BN529" s="278"/>
      <c r="BO529" s="222"/>
    </row>
    <row r="530" spans="1:67" ht="30.6" customHeight="1" x14ac:dyDescent="0.25">
      <c r="A530" s="4">
        <v>20419158462</v>
      </c>
      <c r="B530" s="5" t="s">
        <v>2</v>
      </c>
      <c r="C530" s="52" t="s">
        <v>14</v>
      </c>
      <c r="D530" s="4" t="s">
        <v>120</v>
      </c>
      <c r="E530" s="5" t="s">
        <v>3</v>
      </c>
      <c r="F530" s="24">
        <v>45763</v>
      </c>
      <c r="G530" s="7" t="s">
        <v>113</v>
      </c>
      <c r="H530" s="25">
        <f t="shared" si="56"/>
        <v>1</v>
      </c>
      <c r="I530" s="67">
        <v>4393</v>
      </c>
      <c r="J530" s="8" t="s">
        <v>115</v>
      </c>
      <c r="K530" s="9" t="s">
        <v>156</v>
      </c>
      <c r="L530" s="10" t="s">
        <v>117</v>
      </c>
      <c r="M530" s="11">
        <v>350</v>
      </c>
      <c r="N530" s="12" t="s">
        <v>122</v>
      </c>
      <c r="O530" s="6">
        <v>45770</v>
      </c>
      <c r="P530" s="83">
        <v>3400</v>
      </c>
      <c r="Q530" s="14" t="s">
        <v>85</v>
      </c>
      <c r="R530" s="15"/>
      <c r="S530" s="15">
        <f>1429.7/3</f>
        <v>476.56666666666666</v>
      </c>
      <c r="T530" s="15">
        <f>DATA[[#This Row],[C. DF]]+DATA[[#This Row],[C.OPE.]]</f>
        <v>476.56666666666666</v>
      </c>
      <c r="U530" s="15">
        <f>DATA[[#This Row],[SUB TOTAL]]*0.18</f>
        <v>85.781999999999996</v>
      </c>
      <c r="V530" s="15">
        <f>IFERROR(ROUND(DATA[[#This Row],[SUB TOTAL]]+DATA[[#This Row],[IGV]],2),0)</f>
        <v>562.35</v>
      </c>
      <c r="W530" s="16" t="str">
        <f>IF(DATA[[#This Row],[VALORIZACIÓN ]]="-","NO CORRESPONDE",IF(OR(A530=20558226979,A530=10470707866,A530=20111157058,A530=20100226902),"NO CORRESPONDE",IF(J530="Emitida",IF(P530&gt;0,"EMITIDA","PENDIENTE"),"NO CORRESPONDE")))</f>
        <v>EMITIDA</v>
      </c>
      <c r="X530" s="29"/>
      <c r="Y530" s="17" t="s">
        <v>118</v>
      </c>
      <c r="Z530" s="30">
        <v>45790</v>
      </c>
      <c r="AA530" s="10" t="s">
        <v>150</v>
      </c>
      <c r="AB530" s="19">
        <v>73</v>
      </c>
      <c r="AC530" s="20">
        <v>30</v>
      </c>
      <c r="AD530" s="18">
        <f>DATA[[#This Row],[FECHA DE EMISION]]+DATA[[#This Row],[CONDICION DE PAGO]]</f>
        <v>45820</v>
      </c>
      <c r="AE530" s="23">
        <f>IF(DATA[[#This Row],[MONEDA]]="USD",VLOOKUP(DATA[[#This Row],[COMBINADA]],#REF!,11,0),1)</f>
        <v>1</v>
      </c>
      <c r="AF530" s="39" t="str">
        <f>IF(DATA[[#This Row],[SERIE2]]="-","NO CORRESPONDE",IF(W530="NO CORRESPONDE","NO CORRESPONDE",IF(Z530&gt;0,"FACTURADO","PENDIENTE")))</f>
        <v>FACTURADO</v>
      </c>
      <c r="AG530" s="27">
        <f>IFERROR(VLOOKUP(DATA[[#This Row],[COMBINADA]],#REF!,6,0),0)</f>
        <v>0</v>
      </c>
      <c r="AH530" s="125">
        <f>IFERROR(VLOOKUP(DATA[[#This Row],[COMBINADA]],#REF!,9,0),0)/COUNTIFS(DATA[COMBINADA],DATA[[#This Row],[COMBINADA]])</f>
        <v>0</v>
      </c>
      <c r="AI530" s="27">
        <f>IFERROR(VLOOKUP(DATA[[#This Row],[COMBINADA]],#REF!,6,0),0)</f>
        <v>0</v>
      </c>
      <c r="AJ530" s="125">
        <f>IFERROR(VLOOKUP(DATA[[#This Row],[COMBINADA]],#REF!,9,0),0)/COUNTIFS(DATA[COMBINADA],DATA[[#This Row],[COMBINADA]])</f>
        <v>0</v>
      </c>
      <c r="AK530" s="27">
        <f>IFERROR(VLOOKUP(DATA[[#This Row],[COMBINADA]],#REF!,6,0),0)</f>
        <v>0</v>
      </c>
      <c r="AL530" s="125">
        <f>IFERROR(VLOOKUP(DATA[[#This Row],[COMBINADA]],#REF!,9,0),0)/COUNTIFS(DATA[COMBINADA],DATA[[#This Row],[COMBINADA]])</f>
        <v>0</v>
      </c>
      <c r="AM530" s="27">
        <f>IFERROR(VLOOKUP(DATA[[#This Row],[COMBINADA]],#REF!,6,0),0)</f>
        <v>0</v>
      </c>
      <c r="AN530" s="125">
        <f>IFERROR(VLOOKUP(DATA[[#This Row],[COMBINADA]],#REF!,9,0),0)/COUNTIFS(DATA[COMBINADA],DATA[[#This Row],[COMBINADA]])</f>
        <v>0</v>
      </c>
      <c r="AO530" s="27">
        <f>IFERROR(VLOOKUP(DATA[[#This Row],[COMBINADA]],#REF!,6,0),0)</f>
        <v>0</v>
      </c>
      <c r="AP530" s="125">
        <f>IFERROR(VLOOKUP(DATA[[#This Row],[COMBINADA]],#REF!,9,0),0)/COUNTIFS(DATA[COMBINADA],DATA[[#This Row],[COMBINADA]])</f>
        <v>0</v>
      </c>
      <c r="AQ53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562.35</v>
      </c>
      <c r="AR530" s="26" t="str">
        <f>IFERROR(IF(DATA[[#This Row],[estado_fact]]="FACTURADO",VLOOKUP(DATA[[#This Row],[SERIE2]]&amp;"-"&amp;DATA[[#This Row],[NUMERO]],#REF!,34,0),"NO CORRESPONDE"),"NO CORRESPONDE")</f>
        <v>NO CORRESPONDE</v>
      </c>
      <c r="AS530" s="22" t="str">
        <f>IF(DATA[[#This Row],[fecha_fs]]&gt;0,TEXT(DATA[[#This Row],[fecha_fs]],"Mmmm"),0)</f>
        <v>Abril</v>
      </c>
      <c r="AT530" s="22" t="str">
        <f>DATA[[#This Row],[SERIE2]]&amp;"-"&amp;DATA[[#This Row],[NUMERO]]</f>
        <v>FF01-73</v>
      </c>
      <c r="AU530" s="28">
        <f>DATA[[#This Row],[TOTAL]]*DATA[[#This Row],[T.C.]]</f>
        <v>562.35</v>
      </c>
      <c r="AV530" s="6">
        <f>DATA[[#This Row],[FECHA DE VAL.]]</f>
        <v>45770</v>
      </c>
      <c r="AW530" s="6">
        <f>DATA[[#This Row],[FECHA DE EMISION]]</f>
        <v>45790</v>
      </c>
      <c r="AX530" s="6">
        <f>DATA[[#This Row],[F1]]</f>
        <v>0</v>
      </c>
      <c r="AY530" s="20">
        <f>IF(AV530-DATA[[#This Row],[fecha_fs]]&lt;0,0,AV530-DATA[[#This Row],[fecha_fs]])</f>
        <v>7</v>
      </c>
      <c r="AZ530" s="20">
        <f t="shared" si="57"/>
        <v>20</v>
      </c>
      <c r="BA530" s="20">
        <f t="shared" si="58"/>
        <v>0</v>
      </c>
      <c r="BB530" s="195">
        <f>IFERROR(SUM(DATA[[#This Row],[fs_val_ttf]:[fact_pago_ttf]]),0)</f>
        <v>27</v>
      </c>
      <c r="BC530" s="185">
        <v>45763</v>
      </c>
      <c r="BD530" s="185">
        <v>45763</v>
      </c>
      <c r="BE530" s="185">
        <v>45783</v>
      </c>
      <c r="BF530" s="185">
        <v>45783</v>
      </c>
      <c r="BG530" s="20">
        <f>IFERROR(IF(BC530-DATA[[#This Row],[fecha_fs]]&lt;0,0,BC530-DATA[[#This Row],[fecha_fs]]),0)</f>
        <v>0</v>
      </c>
      <c r="BH530" s="20">
        <f t="shared" si="59"/>
        <v>0</v>
      </c>
      <c r="BI530" s="20">
        <f t="shared" si="60"/>
        <v>20</v>
      </c>
      <c r="BJ530" s="20">
        <f t="shared" si="61"/>
        <v>0</v>
      </c>
      <c r="BK530" s="218">
        <f>IFERROR(SUM(DATA[[#This Row],[fs_fd_ttd]:[fend_fenf_ttd]]),0)</f>
        <v>20</v>
      </c>
      <c r="BL530" s="20" t="str">
        <f>IF(DATA[[#This Row],[fecha_fs]]&gt;0,TEXT(DATA[[#This Row],[fecha_fs]],"YYYY"),0)</f>
        <v>2025</v>
      </c>
      <c r="BM530" s="221" t="b">
        <v>1</v>
      </c>
      <c r="BN530" s="278">
        <f>COUNTIF(DATA[[#This Row],[tiempo_td]], "&lt;=15")</f>
        <v>0</v>
      </c>
      <c r="BO530" s="222"/>
    </row>
    <row r="531" spans="1:67" ht="30.6" customHeight="1" x14ac:dyDescent="0.25">
      <c r="A531" s="4">
        <v>20100211115</v>
      </c>
      <c r="B531" s="5" t="s">
        <v>41</v>
      </c>
      <c r="C531" s="52" t="s">
        <v>18</v>
      </c>
      <c r="D531" s="4" t="s">
        <v>120</v>
      </c>
      <c r="E531" s="5" t="s">
        <v>3</v>
      </c>
      <c r="F531" s="24">
        <v>45763</v>
      </c>
      <c r="G531" s="7" t="s">
        <v>113</v>
      </c>
      <c r="H531" s="25">
        <f t="shared" si="56"/>
        <v>1</v>
      </c>
      <c r="I531" s="67">
        <v>4394</v>
      </c>
      <c r="J531" s="8" t="s">
        <v>115</v>
      </c>
      <c r="K531" s="9" t="s">
        <v>121</v>
      </c>
      <c r="L531" s="10" t="s">
        <v>117</v>
      </c>
      <c r="M531" s="11">
        <v>90</v>
      </c>
      <c r="N531" s="12" t="s">
        <v>167</v>
      </c>
      <c r="O531" s="6">
        <v>45775</v>
      </c>
      <c r="P531" s="115">
        <v>3419</v>
      </c>
      <c r="Q531" s="14" t="s">
        <v>85</v>
      </c>
      <c r="R531" s="15"/>
      <c r="S531" s="15">
        <f>(DATA[[#This Row],[cantidad_fs]]*4.37)</f>
        <v>393.3</v>
      </c>
      <c r="T531" s="15">
        <f>DATA[[#This Row],[C. DF]]+DATA[[#This Row],[C.OPE.]]</f>
        <v>393.3</v>
      </c>
      <c r="U531" s="15">
        <f>DATA[[#This Row],[SUB TOTAL]]*0.18</f>
        <v>70.793999999999997</v>
      </c>
      <c r="V531" s="15">
        <f>IFERROR(ROUND(DATA[[#This Row],[SUB TOTAL]]+DATA[[#This Row],[IGV]],2),0)</f>
        <v>464.09</v>
      </c>
      <c r="W531" s="16" t="str">
        <f>IF(DATA[[#This Row],[VALORIZACIÓN ]]="-","NO CORRESPONDE",IF(OR(A531=20558226979,A531=10470707866,A531=20111157058,A531=20100226902),"NO CORRESPONDE",IF(J531="Emitida",IF(P531&gt;0,"EMITIDA","PENDIENTE"),"NO CORRESPONDE")))</f>
        <v>EMITIDA</v>
      </c>
      <c r="X531" s="29"/>
      <c r="Y531" s="17" t="s">
        <v>118</v>
      </c>
      <c r="Z531" s="30">
        <v>45777</v>
      </c>
      <c r="AA531" s="10" t="s">
        <v>150</v>
      </c>
      <c r="AB531" s="19">
        <v>60</v>
      </c>
      <c r="AC531" s="20">
        <v>30</v>
      </c>
      <c r="AD531" s="18">
        <f>DATA[[#This Row],[FECHA DE EMISION]]+DATA[[#This Row],[CONDICION DE PAGO]]</f>
        <v>45807</v>
      </c>
      <c r="AE531" s="23">
        <f>IF(DATA[[#This Row],[MONEDA]]="USD",VLOOKUP(DATA[[#This Row],[COMBINADA]],#REF!,11,0),1)</f>
        <v>1</v>
      </c>
      <c r="AF531" s="39" t="str">
        <f>IF(DATA[[#This Row],[SERIE2]]="-","NO CORRESPONDE",IF(W531="NO CORRESPONDE","NO CORRESPONDE",IF(Z531&gt;0,"FACTURADO","PENDIENTE")))</f>
        <v>FACTURADO</v>
      </c>
      <c r="AG531" s="27">
        <f>IFERROR(VLOOKUP(DATA[[#This Row],[COMBINADA]],#REF!,6,0),0)</f>
        <v>0</v>
      </c>
      <c r="AH531" s="125">
        <f>IFERROR(VLOOKUP(DATA[[#This Row],[COMBINADA]],#REF!,9,0),0)/COUNTIFS(DATA[COMBINADA],DATA[[#This Row],[COMBINADA]])</f>
        <v>0</v>
      </c>
      <c r="AI531" s="27">
        <f>IFERROR(VLOOKUP(DATA[[#This Row],[COMBINADA]],#REF!,6,0),0)</f>
        <v>0</v>
      </c>
      <c r="AJ531" s="125">
        <f>IFERROR(VLOOKUP(DATA[[#This Row],[COMBINADA]],#REF!,9,0),0)/COUNTIFS(DATA[COMBINADA],DATA[[#This Row],[COMBINADA]])</f>
        <v>0</v>
      </c>
      <c r="AK531" s="27">
        <f>IFERROR(VLOOKUP(DATA[[#This Row],[COMBINADA]],#REF!,6,0),0)</f>
        <v>0</v>
      </c>
      <c r="AL531" s="125">
        <f>IFERROR(VLOOKUP(DATA[[#This Row],[COMBINADA]],#REF!,9,0),0)/COUNTIFS(DATA[COMBINADA],DATA[[#This Row],[COMBINADA]])</f>
        <v>0</v>
      </c>
      <c r="AM531" s="27">
        <f>IFERROR(VLOOKUP(DATA[[#This Row],[COMBINADA]],#REF!,6,0),0)</f>
        <v>0</v>
      </c>
      <c r="AN531" s="125">
        <f>IFERROR(VLOOKUP(DATA[[#This Row],[COMBINADA]],#REF!,9,0),0)/COUNTIFS(DATA[COMBINADA],DATA[[#This Row],[COMBINADA]])</f>
        <v>0</v>
      </c>
      <c r="AO531" s="27">
        <f>IFERROR(VLOOKUP(DATA[[#This Row],[COMBINADA]],#REF!,6,0),0)</f>
        <v>0</v>
      </c>
      <c r="AP531" s="125">
        <f>IFERROR(VLOOKUP(DATA[[#This Row],[COMBINADA]],#REF!,9,0),0)/COUNTIFS(DATA[COMBINADA],DATA[[#This Row],[COMBINADA]])</f>
        <v>0</v>
      </c>
      <c r="AQ53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531" s="26" t="str">
        <f>IFERROR(IF(DATA[[#This Row],[estado_fact]]="FACTURADO",VLOOKUP(DATA[[#This Row],[SERIE2]]&amp;"-"&amp;DATA[[#This Row],[NUMERO]],#REF!,34,0),"NO CORRESPONDE"),"NO CORRESPONDE")</f>
        <v>NO CORRESPONDE</v>
      </c>
      <c r="AS531" s="22" t="str">
        <f>IF(DATA[[#This Row],[fecha_fs]]&gt;0,TEXT(DATA[[#This Row],[fecha_fs]],"Mmmm"),0)</f>
        <v>Abril</v>
      </c>
      <c r="AT531" s="22" t="str">
        <f>DATA[[#This Row],[SERIE2]]&amp;"-"&amp;DATA[[#This Row],[NUMERO]]</f>
        <v>FF01-60</v>
      </c>
      <c r="AU531" s="28">
        <f>DATA[[#This Row],[TOTAL]]*DATA[[#This Row],[T.C.]]</f>
        <v>464.09</v>
      </c>
      <c r="AV531" s="6">
        <f>DATA[[#This Row],[FECHA DE VAL.]]</f>
        <v>45775</v>
      </c>
      <c r="AW531" s="6">
        <f>DATA[[#This Row],[FECHA DE EMISION]]</f>
        <v>45777</v>
      </c>
      <c r="AX531" s="6">
        <f>DATA[[#This Row],[F1]]</f>
        <v>0</v>
      </c>
      <c r="AY531" s="20">
        <f>IF(AV531-DATA[[#This Row],[fecha_fs]]&lt;0,0,AV531-DATA[[#This Row],[fecha_fs]])</f>
        <v>12</v>
      </c>
      <c r="AZ531" s="20">
        <f t="shared" si="57"/>
        <v>2</v>
      </c>
      <c r="BA531" s="20">
        <f t="shared" si="58"/>
        <v>0</v>
      </c>
      <c r="BB531" s="195">
        <f>IFERROR(SUM(DATA[[#This Row],[fs_val_ttf]:[fact_pago_ttf]]),0)</f>
        <v>14</v>
      </c>
      <c r="BC531" s="185">
        <v>45779</v>
      </c>
      <c r="BD531" s="185">
        <v>45789</v>
      </c>
      <c r="BE531" s="185">
        <v>45796</v>
      </c>
      <c r="BF531" s="184">
        <v>45798</v>
      </c>
      <c r="BG531" s="20">
        <f>IFERROR(IF(BC531-DATA[[#This Row],[fecha_fs]]&lt;0,0,BC531-DATA[[#This Row],[fecha_fs]]),0)</f>
        <v>16</v>
      </c>
      <c r="BH531" s="20">
        <f t="shared" si="59"/>
        <v>10</v>
      </c>
      <c r="BI531" s="20">
        <f t="shared" si="60"/>
        <v>7</v>
      </c>
      <c r="BJ531" s="20">
        <f t="shared" si="61"/>
        <v>2</v>
      </c>
      <c r="BK531" s="218">
        <f>IFERROR(SUM(DATA[[#This Row],[fs_fd_ttd]:[fend_fenf_ttd]]),0)</f>
        <v>35</v>
      </c>
      <c r="BL531" s="20" t="str">
        <f>IF(DATA[[#This Row],[fecha_fs]]&gt;0,TEXT(DATA[[#This Row],[fecha_fs]],"YYYY"),0)</f>
        <v>2025</v>
      </c>
      <c r="BM531" s="221" t="b">
        <v>1</v>
      </c>
      <c r="BN531" s="278">
        <f>COUNTIF(DATA[[#This Row],[tiempo_td]], "&lt;=15")</f>
        <v>0</v>
      </c>
      <c r="BO531" s="222"/>
    </row>
    <row r="532" spans="1:67" ht="30.6" customHeight="1" x14ac:dyDescent="0.25">
      <c r="A532" s="4">
        <v>20553956324</v>
      </c>
      <c r="B532" s="5" t="s">
        <v>281</v>
      </c>
      <c r="C532" s="52" t="s">
        <v>175</v>
      </c>
      <c r="D532" s="4" t="s">
        <v>120</v>
      </c>
      <c r="E532" s="5" t="s">
        <v>3</v>
      </c>
      <c r="F532" s="24">
        <v>45763</v>
      </c>
      <c r="G532" s="7" t="s">
        <v>113</v>
      </c>
      <c r="H532" s="25">
        <f t="shared" si="56"/>
        <v>1</v>
      </c>
      <c r="I532" s="67">
        <v>4395</v>
      </c>
      <c r="J532" s="8" t="s">
        <v>115</v>
      </c>
      <c r="K532" s="9" t="s">
        <v>121</v>
      </c>
      <c r="L532" s="10" t="s">
        <v>117</v>
      </c>
      <c r="M532" s="11">
        <v>120</v>
      </c>
      <c r="N532" s="12" t="s">
        <v>132</v>
      </c>
      <c r="O532" s="6">
        <v>45775</v>
      </c>
      <c r="P532" s="109">
        <v>3422</v>
      </c>
      <c r="Q532" s="14" t="s">
        <v>85</v>
      </c>
      <c r="R532" s="15">
        <f>DATA[[#This Row],[cantidad_fs]]*0.08</f>
        <v>9.6</v>
      </c>
      <c r="S532" s="15">
        <v>395.1</v>
      </c>
      <c r="T532" s="15">
        <f>DATA[[#This Row],[C. DF]]+DATA[[#This Row],[C.OPE.]]</f>
        <v>404.70000000000005</v>
      </c>
      <c r="U532" s="15">
        <f>DATA[[#This Row],[SUB TOTAL]]*0.18</f>
        <v>72.846000000000004</v>
      </c>
      <c r="V532" s="15">
        <f>IFERROR(ROUND(DATA[[#This Row],[SUB TOTAL]]+DATA[[#This Row],[IGV]],2),0)</f>
        <v>477.55</v>
      </c>
      <c r="W532" s="16" t="str">
        <f>IF(DATA[[#This Row],[VALORIZACIÓN ]]="-","NO CORRESPONDE",IF(OR(A532=20558226979,A532=10470707866,A532=20111157058,A532=20100226902),"NO CORRESPONDE",IF(J532="Emitida",IF(P532&gt;0,"EMITIDA","PENDIENTE"),"NO CORRESPONDE")))</f>
        <v>EMITIDA</v>
      </c>
      <c r="X532" s="29"/>
      <c r="Y532" s="17" t="s">
        <v>118</v>
      </c>
      <c r="Z532" s="30">
        <v>45790</v>
      </c>
      <c r="AA532" s="10" t="s">
        <v>150</v>
      </c>
      <c r="AB532" s="19">
        <v>76</v>
      </c>
      <c r="AC532" s="20"/>
      <c r="AD532" s="18">
        <f>DATA[[#This Row],[FECHA DE EMISION]]+DATA[[#This Row],[CONDICION DE PAGO]]</f>
        <v>45790</v>
      </c>
      <c r="AE532" s="23">
        <f>IF(DATA[[#This Row],[MONEDA]]="USD",VLOOKUP(DATA[[#This Row],[COMBINADA]],#REF!,11,0),1)</f>
        <v>1</v>
      </c>
      <c r="AF532" s="39" t="str">
        <f>IF(DATA[[#This Row],[SERIE2]]="-","NO CORRESPONDE",IF(W532="NO CORRESPONDE","NO CORRESPONDE",IF(Z532&gt;0,"FACTURADO","PENDIENTE")))</f>
        <v>FACTURADO</v>
      </c>
      <c r="AG532" s="27">
        <f>IFERROR(VLOOKUP(DATA[[#This Row],[COMBINADA]],#REF!,6,0),0)</f>
        <v>0</v>
      </c>
      <c r="AH532" s="125">
        <f>IFERROR(VLOOKUP(DATA[[#This Row],[COMBINADA]],#REF!,9,0),0)/COUNTIFS(DATA[COMBINADA],DATA[[#This Row],[COMBINADA]])</f>
        <v>0</v>
      </c>
      <c r="AI532" s="27">
        <f>IFERROR(VLOOKUP(DATA[[#This Row],[COMBINADA]],#REF!,6,0),0)</f>
        <v>0</v>
      </c>
      <c r="AJ532" s="125">
        <f>IFERROR(VLOOKUP(DATA[[#This Row],[COMBINADA]],#REF!,9,0),0)/COUNTIFS(DATA[COMBINADA],DATA[[#This Row],[COMBINADA]])</f>
        <v>0</v>
      </c>
      <c r="AK532" s="27">
        <f>IFERROR(VLOOKUP(DATA[[#This Row],[COMBINADA]],#REF!,6,0),0)</f>
        <v>0</v>
      </c>
      <c r="AL532" s="125">
        <f>IFERROR(VLOOKUP(DATA[[#This Row],[COMBINADA]],#REF!,9,0),0)/COUNTIFS(DATA[COMBINADA],DATA[[#This Row],[COMBINADA]])</f>
        <v>0</v>
      </c>
      <c r="AM532" s="27">
        <f>IFERROR(VLOOKUP(DATA[[#This Row],[COMBINADA]],#REF!,6,0),0)</f>
        <v>0</v>
      </c>
      <c r="AN532" s="125">
        <f>IFERROR(VLOOKUP(DATA[[#This Row],[COMBINADA]],#REF!,9,0),0)/COUNTIFS(DATA[COMBINADA],DATA[[#This Row],[COMBINADA]])</f>
        <v>0</v>
      </c>
      <c r="AO532" s="27">
        <f>IFERROR(VLOOKUP(DATA[[#This Row],[COMBINADA]],#REF!,6,0),0)</f>
        <v>0</v>
      </c>
      <c r="AP532" s="125">
        <f>IFERROR(VLOOKUP(DATA[[#This Row],[COMBINADA]],#REF!,9,0),0)/COUNTIFS(DATA[COMBINADA],DATA[[#This Row],[COMBINADA]])</f>
        <v>0</v>
      </c>
      <c r="AQ53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481.00750000000011</v>
      </c>
      <c r="AR532" s="26" t="str">
        <f>IFERROR(IF(DATA[[#This Row],[estado_fact]]="FACTURADO",VLOOKUP(DATA[[#This Row],[SERIE2]]&amp;"-"&amp;DATA[[#This Row],[NUMERO]],#REF!,34,0),"NO CORRESPONDE"),"NO CORRESPONDE")</f>
        <v>NO CORRESPONDE</v>
      </c>
      <c r="AS532" s="22" t="str">
        <f>IF(DATA[[#This Row],[fecha_fs]]&gt;0,TEXT(DATA[[#This Row],[fecha_fs]],"Mmmm"),0)</f>
        <v>Abril</v>
      </c>
      <c r="AT532" s="22" t="str">
        <f>DATA[[#This Row],[SERIE2]]&amp;"-"&amp;DATA[[#This Row],[NUMERO]]</f>
        <v>FF01-76</v>
      </c>
      <c r="AU532" s="28">
        <f>DATA[[#This Row],[TOTAL]]*DATA[[#This Row],[T.C.]]</f>
        <v>477.55</v>
      </c>
      <c r="AV532" s="6">
        <f>DATA[[#This Row],[FECHA DE VAL.]]</f>
        <v>45775</v>
      </c>
      <c r="AW532" s="6">
        <f>DATA[[#This Row],[FECHA DE EMISION]]</f>
        <v>45790</v>
      </c>
      <c r="AX532" s="6">
        <f>DATA[[#This Row],[F1]]</f>
        <v>0</v>
      </c>
      <c r="AY532" s="20">
        <f>IF(AV532-DATA[[#This Row],[fecha_fs]]&lt;0,0,AV532-DATA[[#This Row],[fecha_fs]])</f>
        <v>12</v>
      </c>
      <c r="AZ532" s="20">
        <f t="shared" si="57"/>
        <v>15</v>
      </c>
      <c r="BA532" s="20">
        <f t="shared" si="58"/>
        <v>0</v>
      </c>
      <c r="BB532" s="195">
        <f>IFERROR(SUM(DATA[[#This Row],[fs_val_ttf]:[fact_pago_ttf]]),0)</f>
        <v>27</v>
      </c>
      <c r="BC532" s="185">
        <v>45779</v>
      </c>
      <c r="BD532" s="185">
        <v>45789</v>
      </c>
      <c r="BE532" s="185">
        <v>45796</v>
      </c>
      <c r="BF532" s="185">
        <v>45832</v>
      </c>
      <c r="BG532" s="20">
        <f>IFERROR(IF(BC532-DATA[[#This Row],[fecha_fs]]&lt;0,0,BC532-DATA[[#This Row],[fecha_fs]]),0)</f>
        <v>16</v>
      </c>
      <c r="BH532" s="20">
        <f t="shared" si="59"/>
        <v>10</v>
      </c>
      <c r="BI532" s="20">
        <f t="shared" si="60"/>
        <v>7</v>
      </c>
      <c r="BJ532" s="20">
        <f t="shared" si="61"/>
        <v>36</v>
      </c>
      <c r="BK532" s="218">
        <f>IFERROR(SUM(DATA[[#This Row],[fs_fd_ttd]:[fend_fenf_ttd]]),0)</f>
        <v>69</v>
      </c>
      <c r="BL532" s="20" t="str">
        <f>IF(DATA[[#This Row],[fecha_fs]]&gt;0,TEXT(DATA[[#This Row],[fecha_fs]],"YYYY"),0)</f>
        <v>2025</v>
      </c>
      <c r="BM532" s="221" t="b">
        <v>1</v>
      </c>
      <c r="BN532" s="278">
        <f>COUNTIF(DATA[[#This Row],[tiempo_td]], "&lt;=15")</f>
        <v>0</v>
      </c>
      <c r="BO532" s="222"/>
    </row>
    <row r="533" spans="1:67" ht="30.6" customHeight="1" x14ac:dyDescent="0.25">
      <c r="A533" s="4">
        <v>20100192064</v>
      </c>
      <c r="B533" s="5" t="s">
        <v>60</v>
      </c>
      <c r="C533" s="52" t="s">
        <v>59</v>
      </c>
      <c r="D533" s="4" t="s">
        <v>120</v>
      </c>
      <c r="E533" s="5" t="s">
        <v>3</v>
      </c>
      <c r="F533" s="24">
        <v>45763</v>
      </c>
      <c r="G533" s="7" t="s">
        <v>113</v>
      </c>
      <c r="H533" s="25">
        <f t="shared" si="56"/>
        <v>1</v>
      </c>
      <c r="I533" s="67">
        <v>4396</v>
      </c>
      <c r="J533" s="8" t="s">
        <v>115</v>
      </c>
      <c r="K533" s="9" t="s">
        <v>121</v>
      </c>
      <c r="L533" s="10" t="s">
        <v>117</v>
      </c>
      <c r="M533" s="11">
        <v>1330</v>
      </c>
      <c r="N533" s="12" t="s">
        <v>132</v>
      </c>
      <c r="O533" s="6">
        <v>45772</v>
      </c>
      <c r="P533" s="71">
        <v>3406</v>
      </c>
      <c r="Q533" s="14" t="s">
        <v>123</v>
      </c>
      <c r="R533" s="15">
        <f>(DATA[[#This Row],[cantidad_fs]]/1000)*(47+169.83)</f>
        <v>288.38390000000004</v>
      </c>
      <c r="S533" s="15">
        <v>67</v>
      </c>
      <c r="T533" s="15">
        <f>DATA[[#This Row],[C. DF]]+DATA[[#This Row],[C.OPE.]]</f>
        <v>355.38390000000004</v>
      </c>
      <c r="U533" s="15">
        <f>DATA[[#This Row],[SUB TOTAL]]*0.18</f>
        <v>63.969102000000007</v>
      </c>
      <c r="V533" s="15">
        <f>IFERROR(ROUND(DATA[[#This Row],[SUB TOTAL]]+DATA[[#This Row],[IGV]],2),0)</f>
        <v>419.35</v>
      </c>
      <c r="W533" s="16" t="str">
        <f>IF(DATA[[#This Row],[VALORIZACIÓN ]]="-","NO CORRESPONDE",IF(OR(A533=20558226979,A533=10470707866,A533=20111157058,A533=20100226902),"NO CORRESPONDE",IF(J533="Emitida",IF(P533&gt;0,"EMITIDA","PENDIENTE"),"NO CORRESPONDE")))</f>
        <v>EMITIDA</v>
      </c>
      <c r="X533" s="29"/>
      <c r="Y533" s="17" t="s">
        <v>118</v>
      </c>
      <c r="Z533" s="30">
        <v>45776</v>
      </c>
      <c r="AA533" s="10" t="s">
        <v>150</v>
      </c>
      <c r="AB533" s="19">
        <v>54</v>
      </c>
      <c r="AC533" s="20">
        <v>30</v>
      </c>
      <c r="AD533" s="18">
        <f>DATA[[#This Row],[FECHA DE EMISION]]+DATA[[#This Row],[CONDICION DE PAGO]]</f>
        <v>45806</v>
      </c>
      <c r="AE533" s="23" t="e">
        <f>IF(DATA[[#This Row],[MONEDA]]="USD",VLOOKUP(DATA[[#This Row],[COMBINADA]],#REF!,11,0),1)</f>
        <v>#REF!</v>
      </c>
      <c r="AF533" s="39" t="str">
        <f>IF(DATA[[#This Row],[SERIE2]]="-","NO CORRESPONDE",IF(W533="NO CORRESPONDE","NO CORRESPONDE",IF(Z533&gt;0,"FACTURADO","PENDIENTE")))</f>
        <v>FACTURADO</v>
      </c>
      <c r="AG533" s="27">
        <f>IFERROR(VLOOKUP(DATA[[#This Row],[COMBINADA]],#REF!,6,0),0)</f>
        <v>0</v>
      </c>
      <c r="AH533" s="125">
        <f>IFERROR(VLOOKUP(DATA[[#This Row],[COMBINADA]],#REF!,9,0),0)/COUNTIFS(DATA[COMBINADA],DATA[[#This Row],[COMBINADA]])</f>
        <v>0</v>
      </c>
      <c r="AI533" s="27">
        <f>IFERROR(VLOOKUP(DATA[[#This Row],[COMBINADA]],#REF!,6,0),0)</f>
        <v>0</v>
      </c>
      <c r="AJ533" s="125">
        <f>IFERROR(VLOOKUP(DATA[[#This Row],[COMBINADA]],#REF!,9,0),0)/COUNTIFS(DATA[COMBINADA],DATA[[#This Row],[COMBINADA]])</f>
        <v>0</v>
      </c>
      <c r="AK533" s="27">
        <f>IFERROR(VLOOKUP(DATA[[#This Row],[COMBINADA]],#REF!,6,0),0)</f>
        <v>0</v>
      </c>
      <c r="AL533" s="125">
        <f>IFERROR(VLOOKUP(DATA[[#This Row],[COMBINADA]],#REF!,9,0),0)/COUNTIFS(DATA[COMBINADA],DATA[[#This Row],[COMBINADA]])</f>
        <v>0</v>
      </c>
      <c r="AM533" s="27">
        <f>IFERROR(VLOOKUP(DATA[[#This Row],[COMBINADA]],#REF!,6,0),0)</f>
        <v>0</v>
      </c>
      <c r="AN533" s="125">
        <f>IFERROR(VLOOKUP(DATA[[#This Row],[COMBINADA]],#REF!,9,0),0)/COUNTIFS(DATA[COMBINADA],DATA[[#This Row],[COMBINADA]])</f>
        <v>0</v>
      </c>
      <c r="AO533" s="27">
        <f>IFERROR(VLOOKUP(DATA[[#This Row],[COMBINADA]],#REF!,6,0),0)</f>
        <v>0</v>
      </c>
      <c r="AP533" s="125">
        <f>IFERROR(VLOOKUP(DATA[[#This Row],[COMBINADA]],#REF!,9,0),0)/COUNTIFS(DATA[COMBINADA],DATA[[#This Row],[COMBINADA]])</f>
        <v>0</v>
      </c>
      <c r="AQ53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548.94894736842105</v>
      </c>
      <c r="AR533" s="26" t="str">
        <f>IFERROR(IF(DATA[[#This Row],[estado_fact]]="FACTURADO",VLOOKUP(DATA[[#This Row],[SERIE2]]&amp;"-"&amp;DATA[[#This Row],[NUMERO]],#REF!,34,0),"NO CORRESPONDE"),"NO CORRESPONDE")</f>
        <v>NO CORRESPONDE</v>
      </c>
      <c r="AS533" s="22" t="str">
        <f>IF(DATA[[#This Row],[fecha_fs]]&gt;0,TEXT(DATA[[#This Row],[fecha_fs]],"Mmmm"),0)</f>
        <v>Abril</v>
      </c>
      <c r="AT533" s="22" t="str">
        <f>DATA[[#This Row],[SERIE2]]&amp;"-"&amp;DATA[[#This Row],[NUMERO]]</f>
        <v>FF01-54</v>
      </c>
      <c r="AU533" s="28" t="e">
        <f>DATA[[#This Row],[TOTAL]]*DATA[[#This Row],[T.C.]]</f>
        <v>#REF!</v>
      </c>
      <c r="AV533" s="6">
        <f>DATA[[#This Row],[FECHA DE VAL.]]</f>
        <v>45772</v>
      </c>
      <c r="AW533" s="6">
        <f>DATA[[#This Row],[FECHA DE EMISION]]</f>
        <v>45776</v>
      </c>
      <c r="AX533" s="6">
        <f>DATA[[#This Row],[F1]]</f>
        <v>0</v>
      </c>
      <c r="AY533" s="20">
        <f>IF(AV533-DATA[[#This Row],[fecha_fs]]&lt;0,0,AV533-DATA[[#This Row],[fecha_fs]])</f>
        <v>9</v>
      </c>
      <c r="AZ533" s="20">
        <f t="shared" si="57"/>
        <v>4</v>
      </c>
      <c r="BA533" s="20">
        <f t="shared" si="58"/>
        <v>0</v>
      </c>
      <c r="BB533" s="195">
        <f>IFERROR(SUM(DATA[[#This Row],[fs_val_ttf]:[fact_pago_ttf]]),0)</f>
        <v>13</v>
      </c>
      <c r="BC533" s="185">
        <v>45786</v>
      </c>
      <c r="BD533" s="185">
        <v>45806</v>
      </c>
      <c r="BE533" s="185">
        <v>45810</v>
      </c>
      <c r="BF533" s="185">
        <v>45831</v>
      </c>
      <c r="BG533" s="20">
        <f>IFERROR(IF(BC533-DATA[[#This Row],[fecha_fs]]&lt;0,0,BC533-DATA[[#This Row],[fecha_fs]]),0)</f>
        <v>23</v>
      </c>
      <c r="BH533" s="20">
        <f t="shared" si="59"/>
        <v>20</v>
      </c>
      <c r="BI533" s="20">
        <f t="shared" si="60"/>
        <v>4</v>
      </c>
      <c r="BJ533" s="20">
        <f t="shared" si="61"/>
        <v>21</v>
      </c>
      <c r="BK533" s="218">
        <f>IFERROR(SUM(DATA[[#This Row],[fs_fd_ttd]:[fend_fenf_ttd]]),0)</f>
        <v>68</v>
      </c>
      <c r="BL533" s="20" t="str">
        <f>IF(DATA[[#This Row],[fecha_fs]]&gt;0,TEXT(DATA[[#This Row],[fecha_fs]],"YYYY"),0)</f>
        <v>2025</v>
      </c>
      <c r="BM533" s="221" t="b">
        <v>1</v>
      </c>
      <c r="BN533" s="278">
        <f>COUNTIF(DATA[[#This Row],[tiempo_td]], "&lt;=15")</f>
        <v>0</v>
      </c>
      <c r="BO533" s="222"/>
    </row>
    <row r="534" spans="1:67" ht="30" customHeight="1" x14ac:dyDescent="0.25">
      <c r="A534" s="4"/>
      <c r="B534" s="5" t="s">
        <v>0</v>
      </c>
      <c r="C534" s="52"/>
      <c r="D534" s="4"/>
      <c r="E534" s="5" t="s">
        <v>0</v>
      </c>
      <c r="F534" s="24">
        <v>45763</v>
      </c>
      <c r="G534" s="7" t="s">
        <v>113</v>
      </c>
      <c r="H534" s="25">
        <f t="shared" si="56"/>
        <v>1</v>
      </c>
      <c r="I534" s="67">
        <v>4397</v>
      </c>
      <c r="J534" s="8" t="s">
        <v>173</v>
      </c>
      <c r="K534" s="9"/>
      <c r="L534" s="10"/>
      <c r="M534" s="111"/>
      <c r="N534" s="112"/>
      <c r="O534" s="6"/>
      <c r="P534" s="13" t="s">
        <v>114</v>
      </c>
      <c r="Q534" s="14"/>
      <c r="R534" s="15"/>
      <c r="S534" s="15"/>
      <c r="T534" s="15">
        <f>DATA[[#This Row],[C. DF]]+DATA[[#This Row],[C.OPE.]]</f>
        <v>0</v>
      </c>
      <c r="U534" s="73">
        <f>DATA[[#This Row],[SUB TOTAL]]*0.18</f>
        <v>0</v>
      </c>
      <c r="V534" s="45">
        <f>IFERROR(ROUND(DATA[[#This Row],[SUB TOTAL]]+DATA[[#This Row],[IGV]],2),0)</f>
        <v>0</v>
      </c>
      <c r="W534" s="16" t="str">
        <f>IF(DATA[[#This Row],[VALORIZACIÓN ]]="-","NO CORRESPONDE",IF(OR(A534=20558226979,A534=10470707866,A534=20111157058,A534=20100226902),"NO CORRESPONDE",IF(J534="Emitida",IF(P534&gt;0,"EMITIDA","PENDIENTE"),"NO CORRESPONDE")))</f>
        <v>NO CORRESPONDE</v>
      </c>
      <c r="X534" s="46"/>
      <c r="Y534" s="17" t="s">
        <v>128</v>
      </c>
      <c r="Z534" s="48"/>
      <c r="AA534" s="49"/>
      <c r="AB534" s="50"/>
      <c r="AC534" s="51"/>
      <c r="AD534" s="59">
        <f>DATA[[#This Row],[FECHA DE EMISION]]+DATA[[#This Row],[CONDICION DE PAGO]]</f>
        <v>0</v>
      </c>
      <c r="AE534" s="23">
        <f>IF(DATA[[#This Row],[MONEDA]]="USD",VLOOKUP(DATA[[#This Row],[COMBINADA]],#REF!,11,0),1)</f>
        <v>1</v>
      </c>
      <c r="AF534" s="39" t="str">
        <f>IF(DATA[[#This Row],[SERIE2]]="-","NO CORRESPONDE",IF(W534="NO CORRESPONDE","NO CORRESPONDE",IF(Z534&gt;0,"FACTURADO","PENDIENTE")))</f>
        <v>NO CORRESPONDE</v>
      </c>
      <c r="AG534" s="61">
        <f>IFERROR(VLOOKUP(DATA[[#This Row],[COMBINADA]],#REF!,6,0),0)</f>
        <v>0</v>
      </c>
      <c r="AH534" s="62">
        <f>IFERROR(VLOOKUP(DATA[[#This Row],[COMBINADA]],#REF!,9,0),0)/COUNTIFS(DATA[COMBINADA],DATA[[#This Row],[COMBINADA]])</f>
        <v>0</v>
      </c>
      <c r="AI534" s="61">
        <f>IFERROR(VLOOKUP(DATA[[#This Row],[COMBINADA]],#REF!,6,0),0)</f>
        <v>0</v>
      </c>
      <c r="AJ534" s="62">
        <f>IFERROR(VLOOKUP(DATA[[#This Row],[COMBINADA]],#REF!,9,0),0)/COUNTIFS(DATA[COMBINADA],DATA[[#This Row],[COMBINADA]])</f>
        <v>0</v>
      </c>
      <c r="AK534" s="61">
        <f>IFERROR(VLOOKUP(DATA[[#This Row],[COMBINADA]],#REF!,6,0),0)</f>
        <v>0</v>
      </c>
      <c r="AL534" s="62">
        <f>IFERROR(VLOOKUP(DATA[[#This Row],[COMBINADA]],#REF!,9,0),0)/COUNTIFS(DATA[COMBINADA],DATA[[#This Row],[COMBINADA]])</f>
        <v>0</v>
      </c>
      <c r="AM534" s="61">
        <f>IFERROR(VLOOKUP(DATA[[#This Row],[COMBINADA]],#REF!,6,0),0)</f>
        <v>0</v>
      </c>
      <c r="AN534" s="62">
        <f>IFERROR(VLOOKUP(DATA[[#This Row],[COMBINADA]],#REF!,9,0),0)/COUNTIFS(DATA[COMBINADA],DATA[[#This Row],[COMBINADA]])</f>
        <v>0</v>
      </c>
      <c r="AO534" s="61">
        <f>IFERROR(VLOOKUP(DATA[[#This Row],[COMBINADA]],#REF!,6,0),0)</f>
        <v>0</v>
      </c>
      <c r="AP534" s="62">
        <f>IFERROR(VLOOKUP(DATA[[#This Row],[COMBINADA]],#REF!,9,0),0)/COUNTIFS(DATA[COMBINADA],DATA[[#This Row],[COMBINADA]])</f>
        <v>0</v>
      </c>
      <c r="AQ534"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534" s="22" t="str">
        <f>IFERROR(IF(DATA[[#This Row],[estado_fact]]="FACTURADO",VLOOKUP(DATA[[#This Row],[SERIE2]]&amp;"-"&amp;DATA[[#This Row],[NUMERO]],#REF!,34,0),"NO CORRESPONDE"),"NO CORRESPONDE")</f>
        <v>NO CORRESPONDE</v>
      </c>
      <c r="AS534" s="198" t="str">
        <f>IF(DATA[[#This Row],[fecha_fs]]&gt;0,TEXT(DATA[[#This Row],[fecha_fs]],"Mmmm"),0)</f>
        <v>Abril</v>
      </c>
      <c r="AT534" s="199" t="str">
        <f>DATA[[#This Row],[SERIE2]]&amp;"-"&amp;DATA[[#This Row],[NUMERO]]</f>
        <v>-</v>
      </c>
      <c r="AU534" s="198">
        <f>DATA[[#This Row],[TOTAL]]*DATA[[#This Row],[T.C.]]</f>
        <v>0</v>
      </c>
      <c r="AV534" s="40">
        <f>DATA[[#This Row],[FECHA DE VAL.]]</f>
        <v>0</v>
      </c>
      <c r="AW534" s="40">
        <f>DATA[[#This Row],[FECHA DE EMISION]]</f>
        <v>0</v>
      </c>
      <c r="AX534" s="40">
        <f>DATA[[#This Row],[F1]]</f>
        <v>0</v>
      </c>
      <c r="AY534" s="49">
        <f>IF(AV534-DATA[[#This Row],[fecha_fs]]&lt;0,0,AV534-DATA[[#This Row],[fecha_fs]])</f>
        <v>0</v>
      </c>
      <c r="AZ534" s="49">
        <f t="shared" si="57"/>
        <v>0</v>
      </c>
      <c r="BA534" s="49">
        <f t="shared" si="58"/>
        <v>0</v>
      </c>
      <c r="BB534" s="195">
        <f>IFERROR(SUM(DATA[[#This Row],[fs_val_ttf]:[fact_pago_ttf]]),0)</f>
        <v>0</v>
      </c>
      <c r="BC534" s="200"/>
      <c r="BD534" s="200"/>
      <c r="BE534" s="200"/>
      <c r="BF534" s="200"/>
      <c r="BG534" s="49">
        <f>IFERROR(IF(BC534-DATA[[#This Row],[fecha_fs]]&lt;0,0,BC534-DATA[[#This Row],[fecha_fs]]),0)</f>
        <v>0</v>
      </c>
      <c r="BH534" s="49">
        <f t="shared" si="59"/>
        <v>0</v>
      </c>
      <c r="BI534" s="49">
        <f t="shared" si="60"/>
        <v>0</v>
      </c>
      <c r="BJ534" s="49">
        <f t="shared" si="61"/>
        <v>0</v>
      </c>
      <c r="BK534" s="218">
        <f>IFERROR(SUM(DATA[[#This Row],[fs_fd_ttd]:[fend_fenf_ttd]]),0)</f>
        <v>0</v>
      </c>
      <c r="BL534" s="20" t="str">
        <f>IF(DATA[[#This Row],[fecha_fs]]&gt;0,TEXT(DATA[[#This Row],[fecha_fs]],"YYYY"),0)</f>
        <v>2025</v>
      </c>
      <c r="BM534" s="221" t="b">
        <v>0</v>
      </c>
      <c r="BN534" s="278"/>
      <c r="BO534" s="222"/>
    </row>
    <row r="535" spans="1:67" ht="30" customHeight="1" x14ac:dyDescent="0.25">
      <c r="A535" s="4"/>
      <c r="B535" s="5" t="s">
        <v>0</v>
      </c>
      <c r="C535" s="52"/>
      <c r="D535" s="4"/>
      <c r="E535" s="5" t="s">
        <v>0</v>
      </c>
      <c r="F535" s="24">
        <v>45763</v>
      </c>
      <c r="G535" s="7" t="s">
        <v>113</v>
      </c>
      <c r="H535" s="25">
        <f t="shared" si="56"/>
        <v>1</v>
      </c>
      <c r="I535" s="67">
        <v>4398</v>
      </c>
      <c r="J535" s="8" t="s">
        <v>173</v>
      </c>
      <c r="K535" s="9"/>
      <c r="L535" s="10"/>
      <c r="M535" s="111"/>
      <c r="N535" s="112"/>
      <c r="O535" s="6"/>
      <c r="P535" s="13" t="s">
        <v>114</v>
      </c>
      <c r="Q535" s="14"/>
      <c r="R535" s="15"/>
      <c r="S535" s="15"/>
      <c r="T535" s="15">
        <f>DATA[[#This Row],[C. DF]]+DATA[[#This Row],[C.OPE.]]</f>
        <v>0</v>
      </c>
      <c r="U535" s="73">
        <f>DATA[[#This Row],[SUB TOTAL]]*0.18</f>
        <v>0</v>
      </c>
      <c r="V535" s="45">
        <f>IFERROR(ROUND(DATA[[#This Row],[SUB TOTAL]]+DATA[[#This Row],[IGV]],2),0)</f>
        <v>0</v>
      </c>
      <c r="W535" s="16" t="str">
        <f>IF(DATA[[#This Row],[VALORIZACIÓN ]]="-","NO CORRESPONDE",IF(OR(A535=20558226979,A535=10470707866,A535=20111157058,A535=20100226902),"NO CORRESPONDE",IF(J535="Emitida",IF(P535&gt;0,"EMITIDA","PENDIENTE"),"NO CORRESPONDE")))</f>
        <v>NO CORRESPONDE</v>
      </c>
      <c r="X535" s="46"/>
      <c r="Y535" s="17" t="s">
        <v>128</v>
      </c>
      <c r="Z535" s="48"/>
      <c r="AA535" s="49"/>
      <c r="AB535" s="50"/>
      <c r="AC535" s="51"/>
      <c r="AD535" s="59">
        <f>DATA[[#This Row],[FECHA DE EMISION]]+DATA[[#This Row],[CONDICION DE PAGO]]</f>
        <v>0</v>
      </c>
      <c r="AE535" s="23">
        <f>IF(DATA[[#This Row],[MONEDA]]="USD",VLOOKUP(DATA[[#This Row],[COMBINADA]],#REF!,11,0),1)</f>
        <v>1</v>
      </c>
      <c r="AF535" s="39" t="str">
        <f>IF(DATA[[#This Row],[SERIE2]]="-","NO CORRESPONDE",IF(W535="NO CORRESPONDE","NO CORRESPONDE",IF(Z535&gt;0,"FACTURADO","PENDIENTE")))</f>
        <v>NO CORRESPONDE</v>
      </c>
      <c r="AG535" s="61">
        <f>IFERROR(VLOOKUP(DATA[[#This Row],[COMBINADA]],#REF!,6,0),0)</f>
        <v>0</v>
      </c>
      <c r="AH535" s="62">
        <f>IFERROR(VLOOKUP(DATA[[#This Row],[COMBINADA]],#REF!,9,0),0)/COUNTIFS(DATA[COMBINADA],DATA[[#This Row],[COMBINADA]])</f>
        <v>0</v>
      </c>
      <c r="AI535" s="61">
        <f>IFERROR(VLOOKUP(DATA[[#This Row],[COMBINADA]],#REF!,6,0),0)</f>
        <v>0</v>
      </c>
      <c r="AJ535" s="62">
        <f>IFERROR(VLOOKUP(DATA[[#This Row],[COMBINADA]],#REF!,9,0),0)/COUNTIFS(DATA[COMBINADA],DATA[[#This Row],[COMBINADA]])</f>
        <v>0</v>
      </c>
      <c r="AK535" s="61">
        <f>IFERROR(VLOOKUP(DATA[[#This Row],[COMBINADA]],#REF!,6,0),0)</f>
        <v>0</v>
      </c>
      <c r="AL535" s="62">
        <f>IFERROR(VLOOKUP(DATA[[#This Row],[COMBINADA]],#REF!,9,0),0)/COUNTIFS(DATA[COMBINADA],DATA[[#This Row],[COMBINADA]])</f>
        <v>0</v>
      </c>
      <c r="AM535" s="61">
        <f>IFERROR(VLOOKUP(DATA[[#This Row],[COMBINADA]],#REF!,6,0),0)</f>
        <v>0</v>
      </c>
      <c r="AN535" s="62">
        <f>IFERROR(VLOOKUP(DATA[[#This Row],[COMBINADA]],#REF!,9,0),0)/COUNTIFS(DATA[COMBINADA],DATA[[#This Row],[COMBINADA]])</f>
        <v>0</v>
      </c>
      <c r="AO535" s="61">
        <f>IFERROR(VLOOKUP(DATA[[#This Row],[COMBINADA]],#REF!,6,0),0)</f>
        <v>0</v>
      </c>
      <c r="AP535" s="62">
        <f>IFERROR(VLOOKUP(DATA[[#This Row],[COMBINADA]],#REF!,9,0),0)/COUNTIFS(DATA[COMBINADA],DATA[[#This Row],[COMBINADA]])</f>
        <v>0</v>
      </c>
      <c r="AQ535"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535" s="22" t="str">
        <f>IFERROR(IF(DATA[[#This Row],[estado_fact]]="FACTURADO",VLOOKUP(DATA[[#This Row],[SERIE2]]&amp;"-"&amp;DATA[[#This Row],[NUMERO]],#REF!,34,0),"NO CORRESPONDE"),"NO CORRESPONDE")</f>
        <v>NO CORRESPONDE</v>
      </c>
      <c r="AS535" s="198" t="str">
        <f>IF(DATA[[#This Row],[fecha_fs]]&gt;0,TEXT(DATA[[#This Row],[fecha_fs]],"Mmmm"),0)</f>
        <v>Abril</v>
      </c>
      <c r="AT535" s="199" t="str">
        <f>DATA[[#This Row],[SERIE2]]&amp;"-"&amp;DATA[[#This Row],[NUMERO]]</f>
        <v>-</v>
      </c>
      <c r="AU535" s="198">
        <f>DATA[[#This Row],[TOTAL]]*DATA[[#This Row],[T.C.]]</f>
        <v>0</v>
      </c>
      <c r="AV535" s="40">
        <f>DATA[[#This Row],[FECHA DE VAL.]]</f>
        <v>0</v>
      </c>
      <c r="AW535" s="40">
        <f>DATA[[#This Row],[FECHA DE EMISION]]</f>
        <v>0</v>
      </c>
      <c r="AX535" s="40">
        <f>DATA[[#This Row],[F1]]</f>
        <v>0</v>
      </c>
      <c r="AY535" s="49">
        <f>IF(AV535-DATA[[#This Row],[fecha_fs]]&lt;0,0,AV535-DATA[[#This Row],[fecha_fs]])</f>
        <v>0</v>
      </c>
      <c r="AZ535" s="49">
        <f t="shared" si="57"/>
        <v>0</v>
      </c>
      <c r="BA535" s="49">
        <f t="shared" si="58"/>
        <v>0</v>
      </c>
      <c r="BB535" s="195">
        <f>IFERROR(SUM(DATA[[#This Row],[fs_val_ttf]:[fact_pago_ttf]]),0)</f>
        <v>0</v>
      </c>
      <c r="BC535" s="200"/>
      <c r="BD535" s="200"/>
      <c r="BE535" s="200"/>
      <c r="BF535" s="200"/>
      <c r="BG535" s="49">
        <f>IFERROR(IF(BC535-DATA[[#This Row],[fecha_fs]]&lt;0,0,BC535-DATA[[#This Row],[fecha_fs]]),0)</f>
        <v>0</v>
      </c>
      <c r="BH535" s="49">
        <f t="shared" si="59"/>
        <v>0</v>
      </c>
      <c r="BI535" s="49">
        <f t="shared" si="60"/>
        <v>0</v>
      </c>
      <c r="BJ535" s="49">
        <f t="shared" si="61"/>
        <v>0</v>
      </c>
      <c r="BK535" s="218">
        <f>IFERROR(SUM(DATA[[#This Row],[fs_fd_ttd]:[fend_fenf_ttd]]),0)</f>
        <v>0</v>
      </c>
      <c r="BL535" s="20" t="str">
        <f>IF(DATA[[#This Row],[fecha_fs]]&gt;0,TEXT(DATA[[#This Row],[fecha_fs]],"YYYY"),0)</f>
        <v>2025</v>
      </c>
      <c r="BM535" s="221" t="b">
        <v>0</v>
      </c>
      <c r="BN535" s="278"/>
      <c r="BO535" s="222"/>
    </row>
    <row r="536" spans="1:67" ht="30" customHeight="1" x14ac:dyDescent="0.25">
      <c r="A536" s="4"/>
      <c r="B536" s="5" t="s">
        <v>0</v>
      </c>
      <c r="C536" s="52"/>
      <c r="D536" s="4"/>
      <c r="E536" s="5" t="s">
        <v>0</v>
      </c>
      <c r="F536" s="24">
        <v>45763</v>
      </c>
      <c r="G536" s="7" t="s">
        <v>113</v>
      </c>
      <c r="H536" s="25">
        <f t="shared" si="56"/>
        <v>1</v>
      </c>
      <c r="I536" s="67">
        <v>4399</v>
      </c>
      <c r="J536" s="8" t="s">
        <v>173</v>
      </c>
      <c r="K536" s="9"/>
      <c r="L536" s="10"/>
      <c r="M536" s="111"/>
      <c r="N536" s="112"/>
      <c r="O536" s="6"/>
      <c r="P536" s="13" t="s">
        <v>114</v>
      </c>
      <c r="Q536" s="14"/>
      <c r="R536" s="15"/>
      <c r="S536" s="15"/>
      <c r="T536" s="15">
        <f>DATA[[#This Row],[C. DF]]+DATA[[#This Row],[C.OPE.]]</f>
        <v>0</v>
      </c>
      <c r="U536" s="73">
        <f>DATA[[#This Row],[SUB TOTAL]]*0.18</f>
        <v>0</v>
      </c>
      <c r="V536" s="45">
        <f>IFERROR(ROUND(DATA[[#This Row],[SUB TOTAL]]+DATA[[#This Row],[IGV]],2),0)</f>
        <v>0</v>
      </c>
      <c r="W536" s="16" t="str">
        <f>IF(DATA[[#This Row],[VALORIZACIÓN ]]="-","NO CORRESPONDE",IF(OR(A536=20558226979,A536=10470707866,A536=20111157058,A536=20100226902),"NO CORRESPONDE",IF(J536="Emitida",IF(P536&gt;0,"EMITIDA","PENDIENTE"),"NO CORRESPONDE")))</f>
        <v>NO CORRESPONDE</v>
      </c>
      <c r="X536" s="46"/>
      <c r="Y536" s="17" t="s">
        <v>128</v>
      </c>
      <c r="Z536" s="48"/>
      <c r="AA536" s="49"/>
      <c r="AB536" s="50"/>
      <c r="AC536" s="51"/>
      <c r="AD536" s="59">
        <f>DATA[[#This Row],[FECHA DE EMISION]]+DATA[[#This Row],[CONDICION DE PAGO]]</f>
        <v>0</v>
      </c>
      <c r="AE536" s="23">
        <f>IF(DATA[[#This Row],[MONEDA]]="USD",VLOOKUP(DATA[[#This Row],[COMBINADA]],#REF!,11,0),1)</f>
        <v>1</v>
      </c>
      <c r="AF536" s="39" t="str">
        <f>IF(DATA[[#This Row],[SERIE2]]="-","NO CORRESPONDE",IF(W536="NO CORRESPONDE","NO CORRESPONDE",IF(Z536&gt;0,"FACTURADO","PENDIENTE")))</f>
        <v>NO CORRESPONDE</v>
      </c>
      <c r="AG536" s="61">
        <f>IFERROR(VLOOKUP(DATA[[#This Row],[COMBINADA]],#REF!,6,0),0)</f>
        <v>0</v>
      </c>
      <c r="AH536" s="62">
        <f>IFERROR(VLOOKUP(DATA[[#This Row],[COMBINADA]],#REF!,9,0),0)/COUNTIFS(DATA[COMBINADA],DATA[[#This Row],[COMBINADA]])</f>
        <v>0</v>
      </c>
      <c r="AI536" s="61">
        <f>IFERROR(VLOOKUP(DATA[[#This Row],[COMBINADA]],#REF!,6,0),0)</f>
        <v>0</v>
      </c>
      <c r="AJ536" s="62">
        <f>IFERROR(VLOOKUP(DATA[[#This Row],[COMBINADA]],#REF!,9,0),0)/COUNTIFS(DATA[COMBINADA],DATA[[#This Row],[COMBINADA]])</f>
        <v>0</v>
      </c>
      <c r="AK536" s="61">
        <f>IFERROR(VLOOKUP(DATA[[#This Row],[COMBINADA]],#REF!,6,0),0)</f>
        <v>0</v>
      </c>
      <c r="AL536" s="62">
        <f>IFERROR(VLOOKUP(DATA[[#This Row],[COMBINADA]],#REF!,9,0),0)/COUNTIFS(DATA[COMBINADA],DATA[[#This Row],[COMBINADA]])</f>
        <v>0</v>
      </c>
      <c r="AM536" s="61">
        <f>IFERROR(VLOOKUP(DATA[[#This Row],[COMBINADA]],#REF!,6,0),0)</f>
        <v>0</v>
      </c>
      <c r="AN536" s="62">
        <f>IFERROR(VLOOKUP(DATA[[#This Row],[COMBINADA]],#REF!,9,0),0)/COUNTIFS(DATA[COMBINADA],DATA[[#This Row],[COMBINADA]])</f>
        <v>0</v>
      </c>
      <c r="AO536" s="61">
        <f>IFERROR(VLOOKUP(DATA[[#This Row],[COMBINADA]],#REF!,6,0),0)</f>
        <v>0</v>
      </c>
      <c r="AP536" s="62">
        <f>IFERROR(VLOOKUP(DATA[[#This Row],[COMBINADA]],#REF!,9,0),0)/COUNTIFS(DATA[COMBINADA],DATA[[#This Row],[COMBINADA]])</f>
        <v>0</v>
      </c>
      <c r="AQ536"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536" s="22" t="str">
        <f>IFERROR(IF(DATA[[#This Row],[estado_fact]]="FACTURADO",VLOOKUP(DATA[[#This Row],[SERIE2]]&amp;"-"&amp;DATA[[#This Row],[NUMERO]],#REF!,34,0),"NO CORRESPONDE"),"NO CORRESPONDE")</f>
        <v>NO CORRESPONDE</v>
      </c>
      <c r="AS536" s="198" t="str">
        <f>IF(DATA[[#This Row],[fecha_fs]]&gt;0,TEXT(DATA[[#This Row],[fecha_fs]],"Mmmm"),0)</f>
        <v>Abril</v>
      </c>
      <c r="AT536" s="199" t="str">
        <f>DATA[[#This Row],[SERIE2]]&amp;"-"&amp;DATA[[#This Row],[NUMERO]]</f>
        <v>-</v>
      </c>
      <c r="AU536" s="198">
        <f>DATA[[#This Row],[TOTAL]]*DATA[[#This Row],[T.C.]]</f>
        <v>0</v>
      </c>
      <c r="AV536" s="40">
        <f>DATA[[#This Row],[FECHA DE VAL.]]</f>
        <v>0</v>
      </c>
      <c r="AW536" s="40">
        <f>DATA[[#This Row],[FECHA DE EMISION]]</f>
        <v>0</v>
      </c>
      <c r="AX536" s="40">
        <f>DATA[[#This Row],[F1]]</f>
        <v>0</v>
      </c>
      <c r="AY536" s="49">
        <f>IF(AV536-DATA[[#This Row],[fecha_fs]]&lt;0,0,AV536-DATA[[#This Row],[fecha_fs]])</f>
        <v>0</v>
      </c>
      <c r="AZ536" s="49">
        <f t="shared" si="57"/>
        <v>0</v>
      </c>
      <c r="BA536" s="49">
        <f t="shared" si="58"/>
        <v>0</v>
      </c>
      <c r="BB536" s="195">
        <f>IFERROR(SUM(DATA[[#This Row],[fs_val_ttf]:[fact_pago_ttf]]),0)</f>
        <v>0</v>
      </c>
      <c r="BC536" s="200"/>
      <c r="BD536" s="200"/>
      <c r="BE536" s="200"/>
      <c r="BF536" s="200"/>
      <c r="BG536" s="49">
        <f>IFERROR(IF(BC536-DATA[[#This Row],[fecha_fs]]&lt;0,0,BC536-DATA[[#This Row],[fecha_fs]]),0)</f>
        <v>0</v>
      </c>
      <c r="BH536" s="49">
        <f t="shared" si="59"/>
        <v>0</v>
      </c>
      <c r="BI536" s="49">
        <f t="shared" si="60"/>
        <v>0</v>
      </c>
      <c r="BJ536" s="49">
        <f t="shared" si="61"/>
        <v>0</v>
      </c>
      <c r="BK536" s="218">
        <f>IFERROR(SUM(DATA[[#This Row],[fs_fd_ttd]:[fend_fenf_ttd]]),0)</f>
        <v>0</v>
      </c>
      <c r="BL536" s="20" t="str">
        <f>IF(DATA[[#This Row],[fecha_fs]]&gt;0,TEXT(DATA[[#This Row],[fecha_fs]],"YYYY"),0)</f>
        <v>2025</v>
      </c>
      <c r="BM536" s="221" t="b">
        <v>0</v>
      </c>
      <c r="BN536" s="278"/>
      <c r="BO536" s="222"/>
    </row>
    <row r="537" spans="1:67" ht="30.6" customHeight="1" x14ac:dyDescent="0.25">
      <c r="A537" s="4">
        <v>20100192064</v>
      </c>
      <c r="B537" s="5" t="s">
        <v>60</v>
      </c>
      <c r="C537" s="52" t="s">
        <v>43</v>
      </c>
      <c r="D537" s="4" t="s">
        <v>120</v>
      </c>
      <c r="E537" s="5" t="s">
        <v>3</v>
      </c>
      <c r="F537" s="24">
        <v>45763</v>
      </c>
      <c r="G537" s="7" t="s">
        <v>113</v>
      </c>
      <c r="H537" s="25">
        <f t="shared" si="56"/>
        <v>1</v>
      </c>
      <c r="I537" s="67">
        <v>4400</v>
      </c>
      <c r="J537" s="8" t="s">
        <v>115</v>
      </c>
      <c r="K537" s="9" t="s">
        <v>121</v>
      </c>
      <c r="L537" s="10" t="s">
        <v>117</v>
      </c>
      <c r="M537" s="11">
        <v>400</v>
      </c>
      <c r="N537" s="12" t="s">
        <v>125</v>
      </c>
      <c r="O537" s="6">
        <v>45772</v>
      </c>
      <c r="P537" s="71">
        <v>3407</v>
      </c>
      <c r="Q537" s="14" t="s">
        <v>123</v>
      </c>
      <c r="R537" s="15">
        <f>(DATA[[#This Row],[cantidad_fs]]/1000)*(47+174.34)</f>
        <v>88.536000000000001</v>
      </c>
      <c r="S537" s="15">
        <v>137</v>
      </c>
      <c r="T537" s="15">
        <f>DATA[[#This Row],[C. DF]]+DATA[[#This Row],[C.OPE.]]</f>
        <v>225.536</v>
      </c>
      <c r="U537" s="15">
        <f>DATA[[#This Row],[SUB TOTAL]]*0.18</f>
        <v>40.59648</v>
      </c>
      <c r="V537" s="15">
        <f>IFERROR(ROUND(DATA[[#This Row],[SUB TOTAL]]+DATA[[#This Row],[IGV]],2),0)</f>
        <v>266.13</v>
      </c>
      <c r="W537" s="16" t="str">
        <f>IF(DATA[[#This Row],[VALORIZACIÓN ]]="-","NO CORRESPONDE",IF(OR(A537=20558226979,A537=10470707866,A537=20111157058,A537=20100226902),"NO CORRESPONDE",IF(J537="Emitida",IF(P537&gt;0,"EMITIDA","PENDIENTE"),"NO CORRESPONDE")))</f>
        <v>EMITIDA</v>
      </c>
      <c r="X537" s="29"/>
      <c r="Y537" s="17" t="s">
        <v>118</v>
      </c>
      <c r="Z537" s="30">
        <v>45776</v>
      </c>
      <c r="AA537" s="10" t="s">
        <v>150</v>
      </c>
      <c r="AB537" s="19">
        <v>54</v>
      </c>
      <c r="AC537" s="20">
        <v>30</v>
      </c>
      <c r="AD537" s="18">
        <f>DATA[[#This Row],[FECHA DE EMISION]]+DATA[[#This Row],[CONDICION DE PAGO]]</f>
        <v>45806</v>
      </c>
      <c r="AE537" s="23" t="e">
        <f>IF(DATA[[#This Row],[MONEDA]]="USD",VLOOKUP(DATA[[#This Row],[COMBINADA]],#REF!,11,0),1)</f>
        <v>#REF!</v>
      </c>
      <c r="AF537" s="39" t="str">
        <f>IF(DATA[[#This Row],[SERIE2]]="-","NO CORRESPONDE",IF(W537="NO CORRESPONDE","NO CORRESPONDE",IF(Z537&gt;0,"FACTURADO","PENDIENTE")))</f>
        <v>FACTURADO</v>
      </c>
      <c r="AG537" s="27">
        <f>IFERROR(VLOOKUP(DATA[[#This Row],[COMBINADA]],#REF!,6,0),0)</f>
        <v>0</v>
      </c>
      <c r="AH537" s="125">
        <f>IFERROR(VLOOKUP(DATA[[#This Row],[COMBINADA]],#REF!,9,0),0)/COUNTIFS(DATA[COMBINADA],DATA[[#This Row],[COMBINADA]])</f>
        <v>0</v>
      </c>
      <c r="AI537" s="27">
        <f>IFERROR(VLOOKUP(DATA[[#This Row],[COMBINADA]],#REF!,6,0),0)</f>
        <v>0</v>
      </c>
      <c r="AJ537" s="125">
        <f>IFERROR(VLOOKUP(DATA[[#This Row],[COMBINADA]],#REF!,9,0),0)/COUNTIFS(DATA[COMBINADA],DATA[[#This Row],[COMBINADA]])</f>
        <v>0</v>
      </c>
      <c r="AK537" s="27">
        <f>IFERROR(VLOOKUP(DATA[[#This Row],[COMBINADA]],#REF!,6,0),0)</f>
        <v>0</v>
      </c>
      <c r="AL537" s="125">
        <f>IFERROR(VLOOKUP(DATA[[#This Row],[COMBINADA]],#REF!,9,0),0)/COUNTIFS(DATA[COMBINADA],DATA[[#This Row],[COMBINADA]])</f>
        <v>0</v>
      </c>
      <c r="AM537" s="27">
        <f>IFERROR(VLOOKUP(DATA[[#This Row],[COMBINADA]],#REF!,6,0),0)</f>
        <v>0</v>
      </c>
      <c r="AN537" s="125">
        <f>IFERROR(VLOOKUP(DATA[[#This Row],[COMBINADA]],#REF!,9,0),0)/COUNTIFS(DATA[COMBINADA],DATA[[#This Row],[COMBINADA]])</f>
        <v>0</v>
      </c>
      <c r="AO537" s="27">
        <f>IFERROR(VLOOKUP(DATA[[#This Row],[COMBINADA]],#REF!,6,0),0)</f>
        <v>0</v>
      </c>
      <c r="AP537" s="125">
        <f>IFERROR(VLOOKUP(DATA[[#This Row],[COMBINADA]],#REF!,9,0),0)/COUNTIFS(DATA[COMBINADA],DATA[[#This Row],[COMBINADA]])</f>
        <v>0</v>
      </c>
      <c r="AQ53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548.94894736842105</v>
      </c>
      <c r="AR537" s="26" t="str">
        <f>IFERROR(IF(DATA[[#This Row],[estado_fact]]="FACTURADO",VLOOKUP(DATA[[#This Row],[SERIE2]]&amp;"-"&amp;DATA[[#This Row],[NUMERO]],#REF!,34,0),"NO CORRESPONDE"),"NO CORRESPONDE")</f>
        <v>NO CORRESPONDE</v>
      </c>
      <c r="AS537" s="22" t="str">
        <f>IF(DATA[[#This Row],[fecha_fs]]&gt;0,TEXT(DATA[[#This Row],[fecha_fs]],"Mmmm"),0)</f>
        <v>Abril</v>
      </c>
      <c r="AT537" s="22" t="str">
        <f>DATA[[#This Row],[SERIE2]]&amp;"-"&amp;DATA[[#This Row],[NUMERO]]</f>
        <v>FF01-54</v>
      </c>
      <c r="AU537" s="28" t="e">
        <f>DATA[[#This Row],[TOTAL]]*DATA[[#This Row],[T.C.]]</f>
        <v>#REF!</v>
      </c>
      <c r="AV537" s="6">
        <f>DATA[[#This Row],[FECHA DE VAL.]]</f>
        <v>45772</v>
      </c>
      <c r="AW537" s="6">
        <f>DATA[[#This Row],[FECHA DE EMISION]]</f>
        <v>45776</v>
      </c>
      <c r="AX537" s="6">
        <f>DATA[[#This Row],[F1]]</f>
        <v>0</v>
      </c>
      <c r="AY537" s="20">
        <f>IF(AV537-DATA[[#This Row],[fecha_fs]]&lt;0,0,AV537-DATA[[#This Row],[fecha_fs]])</f>
        <v>9</v>
      </c>
      <c r="AZ537" s="20">
        <f t="shared" si="57"/>
        <v>4</v>
      </c>
      <c r="BA537" s="20">
        <f t="shared" si="58"/>
        <v>0</v>
      </c>
      <c r="BB537" s="195">
        <f>IFERROR(SUM(DATA[[#This Row],[fs_val_ttf]:[fact_pago_ttf]]),0)</f>
        <v>13</v>
      </c>
      <c r="BC537" s="185">
        <v>45786</v>
      </c>
      <c r="BD537" s="185">
        <v>45806</v>
      </c>
      <c r="BE537" s="185">
        <v>45810</v>
      </c>
      <c r="BF537" s="185">
        <v>45831</v>
      </c>
      <c r="BG537" s="20">
        <f>IFERROR(IF(BC537-DATA[[#This Row],[fecha_fs]]&lt;0,0,BC537-DATA[[#This Row],[fecha_fs]]),0)</f>
        <v>23</v>
      </c>
      <c r="BH537" s="20">
        <f t="shared" si="59"/>
        <v>20</v>
      </c>
      <c r="BI537" s="20">
        <f t="shared" si="60"/>
        <v>4</v>
      </c>
      <c r="BJ537" s="20">
        <f t="shared" si="61"/>
        <v>21</v>
      </c>
      <c r="BK537" s="218">
        <f>IFERROR(SUM(DATA[[#This Row],[fs_fd_ttd]:[fend_fenf_ttd]]),0)</f>
        <v>68</v>
      </c>
      <c r="BL537" s="20" t="str">
        <f>IF(DATA[[#This Row],[fecha_fs]]&gt;0,TEXT(DATA[[#This Row],[fecha_fs]],"YYYY"),0)</f>
        <v>2025</v>
      </c>
      <c r="BM537" s="221" t="b">
        <v>1</v>
      </c>
      <c r="BN537" s="278">
        <f>COUNTIF(DATA[[#This Row],[tiempo_td]], "&lt;=15")</f>
        <v>0</v>
      </c>
      <c r="BO537" s="222"/>
    </row>
    <row r="538" spans="1:67" ht="30" customHeight="1" x14ac:dyDescent="0.25">
      <c r="A538" s="4"/>
      <c r="B538" s="5" t="s">
        <v>0</v>
      </c>
      <c r="C538" s="52"/>
      <c r="D538" s="4"/>
      <c r="E538" s="5" t="s">
        <v>0</v>
      </c>
      <c r="F538" s="24">
        <v>45769</v>
      </c>
      <c r="G538" s="7" t="s">
        <v>113</v>
      </c>
      <c r="H538" s="25">
        <f t="shared" si="56"/>
        <v>1</v>
      </c>
      <c r="I538" s="67">
        <v>4401</v>
      </c>
      <c r="J538" s="8" t="s">
        <v>173</v>
      </c>
      <c r="K538" s="9"/>
      <c r="L538" s="10"/>
      <c r="M538" s="111"/>
      <c r="N538" s="112"/>
      <c r="O538" s="6"/>
      <c r="P538" s="13" t="s">
        <v>114</v>
      </c>
      <c r="Q538" s="14"/>
      <c r="R538" s="15"/>
      <c r="S538" s="15"/>
      <c r="T538" s="56">
        <f>DATA[[#This Row],[C. DF]]+DATA[[#This Row],[C.OPE.]]</f>
        <v>0</v>
      </c>
      <c r="U538" s="73">
        <f>DATA[[#This Row],[SUB TOTAL]]*0.18</f>
        <v>0</v>
      </c>
      <c r="V538" s="45">
        <f>IFERROR(ROUND(DATA[[#This Row],[SUB TOTAL]]+DATA[[#This Row],[IGV]],2),0)</f>
        <v>0</v>
      </c>
      <c r="W538" s="73" t="str">
        <f>IF(DATA[[#This Row],[VALORIZACIÓN ]]="-","NO CORRESPONDE",IF(OR(A538=20558226979,A538=10470707866,A538=20111157058,A538=20100226902),"NO CORRESPONDE",IF(J538="Emitida",IF(P538&gt;0,"EMITIDA","PENDIENTE"),"NO CORRESPONDE")))</f>
        <v>NO CORRESPONDE</v>
      </c>
      <c r="X538" s="46"/>
      <c r="Y538" s="17" t="s">
        <v>128</v>
      </c>
      <c r="Z538" s="48"/>
      <c r="AA538" s="49"/>
      <c r="AB538" s="50"/>
      <c r="AC538" s="51"/>
      <c r="AD538" s="59">
        <f>DATA[[#This Row],[FECHA DE EMISION]]+DATA[[#This Row],[CONDICION DE PAGO]]</f>
        <v>0</v>
      </c>
      <c r="AE538" s="23">
        <f>IF(DATA[[#This Row],[MONEDA]]="USD",VLOOKUP(DATA[[#This Row],[COMBINADA]],#REF!,11,0),1)</f>
        <v>1</v>
      </c>
      <c r="AF538" s="39" t="str">
        <f>IF(DATA[[#This Row],[SERIE2]]="-","NO CORRESPONDE",IF(W538="NO CORRESPONDE","NO CORRESPONDE",IF(Z538&gt;0,"FACTURADO","PENDIENTE")))</f>
        <v>NO CORRESPONDE</v>
      </c>
      <c r="AG538" s="61">
        <f>IFERROR(VLOOKUP(DATA[[#This Row],[COMBINADA]],#REF!,6,0),0)</f>
        <v>0</v>
      </c>
      <c r="AH538" s="62">
        <f>IFERROR(VLOOKUP(DATA[[#This Row],[COMBINADA]],#REF!,9,0),0)/COUNTIFS(DATA[COMBINADA],DATA[[#This Row],[COMBINADA]])</f>
        <v>0</v>
      </c>
      <c r="AI538" s="61">
        <f>IFERROR(VLOOKUP(DATA[[#This Row],[COMBINADA]],#REF!,6,0),0)</f>
        <v>0</v>
      </c>
      <c r="AJ538" s="62">
        <f>IFERROR(VLOOKUP(DATA[[#This Row],[COMBINADA]],#REF!,9,0),0)/COUNTIFS(DATA[COMBINADA],DATA[[#This Row],[COMBINADA]])</f>
        <v>0</v>
      </c>
      <c r="AK538" s="61">
        <f>IFERROR(VLOOKUP(DATA[[#This Row],[COMBINADA]],#REF!,6,0),0)</f>
        <v>0</v>
      </c>
      <c r="AL538" s="62">
        <f>IFERROR(VLOOKUP(DATA[[#This Row],[COMBINADA]],#REF!,9,0),0)/COUNTIFS(DATA[COMBINADA],DATA[[#This Row],[COMBINADA]])</f>
        <v>0</v>
      </c>
      <c r="AM538" s="61">
        <f>IFERROR(VLOOKUP(DATA[[#This Row],[COMBINADA]],#REF!,6,0),0)</f>
        <v>0</v>
      </c>
      <c r="AN538" s="62">
        <f>IFERROR(VLOOKUP(DATA[[#This Row],[COMBINADA]],#REF!,9,0),0)/COUNTIFS(DATA[COMBINADA],DATA[[#This Row],[COMBINADA]])</f>
        <v>0</v>
      </c>
      <c r="AO538" s="61">
        <f>IFERROR(VLOOKUP(DATA[[#This Row],[COMBINADA]],#REF!,6,0),0)</f>
        <v>0</v>
      </c>
      <c r="AP538" s="62">
        <f>IFERROR(VLOOKUP(DATA[[#This Row],[COMBINADA]],#REF!,9,0),0)/COUNTIFS(DATA[COMBINADA],DATA[[#This Row],[COMBINADA]])</f>
        <v>0</v>
      </c>
      <c r="AQ538"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538" s="22" t="str">
        <f>IFERROR(IF(DATA[[#This Row],[estado_fact]]="FACTURADO",VLOOKUP(DATA[[#This Row],[SERIE2]]&amp;"-"&amp;DATA[[#This Row],[NUMERO]],#REF!,34,0),"NO CORRESPONDE"),"NO CORRESPONDE")</f>
        <v>NO CORRESPONDE</v>
      </c>
      <c r="AS538" s="198" t="str">
        <f>IF(DATA[[#This Row],[fecha_fs]]&gt;0,TEXT(DATA[[#This Row],[fecha_fs]],"Mmmm"),0)</f>
        <v>Abril</v>
      </c>
      <c r="AT538" s="199" t="str">
        <f>DATA[[#This Row],[SERIE2]]&amp;"-"&amp;DATA[[#This Row],[NUMERO]]</f>
        <v>-</v>
      </c>
      <c r="AU538" s="198">
        <f>DATA[[#This Row],[TOTAL]]*DATA[[#This Row],[T.C.]]</f>
        <v>0</v>
      </c>
      <c r="AV538" s="40">
        <f>DATA[[#This Row],[FECHA DE VAL.]]</f>
        <v>0</v>
      </c>
      <c r="AW538" s="40">
        <f>DATA[[#This Row],[FECHA DE EMISION]]</f>
        <v>0</v>
      </c>
      <c r="AX538" s="40">
        <f>DATA[[#This Row],[F1]]</f>
        <v>0</v>
      </c>
      <c r="AY538" s="49">
        <f>IF(AV538-DATA[[#This Row],[fecha_fs]]&lt;0,0,AV538-DATA[[#This Row],[fecha_fs]])</f>
        <v>0</v>
      </c>
      <c r="AZ538" s="49">
        <f t="shared" si="57"/>
        <v>0</v>
      </c>
      <c r="BA538" s="49">
        <f t="shared" si="58"/>
        <v>0</v>
      </c>
      <c r="BB538" s="195">
        <f>IFERROR(SUM(DATA[[#This Row],[fs_val_ttf]:[fact_pago_ttf]]),0)</f>
        <v>0</v>
      </c>
      <c r="BC538" s="200"/>
      <c r="BD538" s="200"/>
      <c r="BE538" s="200"/>
      <c r="BF538" s="200"/>
      <c r="BG538" s="49">
        <f>IFERROR(IF(BC538-DATA[[#This Row],[fecha_fs]]&lt;0,0,BC538-DATA[[#This Row],[fecha_fs]]),0)</f>
        <v>0</v>
      </c>
      <c r="BH538" s="49">
        <f t="shared" si="59"/>
        <v>0</v>
      </c>
      <c r="BI538" s="49">
        <f t="shared" si="60"/>
        <v>0</v>
      </c>
      <c r="BJ538" s="49">
        <f t="shared" si="61"/>
        <v>0</v>
      </c>
      <c r="BK538" s="218">
        <f>IFERROR(SUM(DATA[[#This Row],[fs_fd_ttd]:[fend_fenf_ttd]]),0)</f>
        <v>0</v>
      </c>
      <c r="BL538" s="20" t="str">
        <f>IF(DATA[[#This Row],[fecha_fs]]&gt;0,TEXT(DATA[[#This Row],[fecha_fs]],"YYYY"),0)</f>
        <v>2025</v>
      </c>
      <c r="BM538" s="221" t="b">
        <v>0</v>
      </c>
      <c r="BN538" s="278"/>
      <c r="BO538" s="222"/>
    </row>
    <row r="539" spans="1:67" ht="30.6" customHeight="1" x14ac:dyDescent="0.25">
      <c r="A539" s="4">
        <v>20100226902</v>
      </c>
      <c r="B539" s="5" t="s">
        <v>24</v>
      </c>
      <c r="C539" s="52" t="s">
        <v>18</v>
      </c>
      <c r="D539" s="4" t="s">
        <v>120</v>
      </c>
      <c r="E539" s="5" t="s">
        <v>3</v>
      </c>
      <c r="F539" s="24">
        <v>45768</v>
      </c>
      <c r="G539" s="7" t="s">
        <v>113</v>
      </c>
      <c r="H539" s="25">
        <f t="shared" si="56"/>
        <v>1</v>
      </c>
      <c r="I539" s="67">
        <v>4402</v>
      </c>
      <c r="J539" s="8" t="s">
        <v>115</v>
      </c>
      <c r="K539" s="9" t="s">
        <v>121</v>
      </c>
      <c r="L539" s="10" t="s">
        <v>117</v>
      </c>
      <c r="M539" s="11">
        <v>440</v>
      </c>
      <c r="N539" s="12" t="s">
        <v>240</v>
      </c>
      <c r="O539" s="40"/>
      <c r="P539" s="41" t="s">
        <v>114</v>
      </c>
      <c r="Q539" s="42"/>
      <c r="R539" s="43"/>
      <c r="S539" s="43"/>
      <c r="T539" s="43">
        <f>DATA[[#This Row],[C. DF]]+DATA[[#This Row],[C.OPE.]]</f>
        <v>0</v>
      </c>
      <c r="U539" s="43">
        <f>DATA[[#This Row],[SUB TOTAL]]*0.18</f>
        <v>0</v>
      </c>
      <c r="V539" s="43">
        <f>IFERROR(ROUND(DATA[[#This Row],[SUB TOTAL]]+DATA[[#This Row],[IGV]],2),0)</f>
        <v>0</v>
      </c>
      <c r="W539" s="58" t="str">
        <f>IF(DATA[[#This Row],[VALORIZACIÓN ]]="-","NO CORRESPONDE",IF(OR(A539=20558226979,A539=10470707866,A539=20111157058,A539=20100226902),"NO CORRESPONDE",IF(J539="Emitida",IF(P539&gt;0,"EMITIDA","PENDIENTE"),"NO CORRESPONDE")))</f>
        <v>NO CORRESPONDE</v>
      </c>
      <c r="X539" s="45"/>
      <c r="Y539" s="58" t="s">
        <v>128</v>
      </c>
      <c r="Z539" s="46"/>
      <c r="AA539" s="47"/>
      <c r="AB539" s="48"/>
      <c r="AC539" s="49"/>
      <c r="AD539" s="50">
        <f>DATA[[#This Row],[FECHA DE EMISION]]+DATA[[#This Row],[CONDICION DE PAGO]]</f>
        <v>0</v>
      </c>
      <c r="AE539" s="23">
        <f>IF(DATA[[#This Row],[MONEDA]]="USD",VLOOKUP(DATA[[#This Row],[COMBINADA]],#REF!,11,0),1)</f>
        <v>1</v>
      </c>
      <c r="AF539" s="39" t="str">
        <f>IF(DATA[[#This Row],[SERIE2]]="-","NO CORRESPONDE",IF(W539="NO CORRESPONDE","NO CORRESPONDE",IF(Z539&gt;0,"FACTURADO","PENDIENTE")))</f>
        <v>NO CORRESPONDE</v>
      </c>
      <c r="AG539" s="60">
        <f>IFERROR(VLOOKUP(DATA[[#This Row],[COMBINADA]],#REF!,6,0),0)</f>
        <v>0</v>
      </c>
      <c r="AH539" s="126">
        <f>IFERROR(VLOOKUP(DATA[[#This Row],[COMBINADA]],#REF!,9,0),0)/COUNTIFS(DATA[COMBINADA],DATA[[#This Row],[COMBINADA]])</f>
        <v>0</v>
      </c>
      <c r="AI539" s="60">
        <f>IFERROR(VLOOKUP(DATA[[#This Row],[COMBINADA]],#REF!,6,0),0)</f>
        <v>0</v>
      </c>
      <c r="AJ539" s="126">
        <f>IFERROR(VLOOKUP(DATA[[#This Row],[COMBINADA]],#REF!,9,0),0)/COUNTIFS(DATA[COMBINADA],DATA[[#This Row],[COMBINADA]])</f>
        <v>0</v>
      </c>
      <c r="AK539" s="60">
        <f>IFERROR(VLOOKUP(DATA[[#This Row],[COMBINADA]],#REF!,6,0),0)</f>
        <v>0</v>
      </c>
      <c r="AL539" s="126">
        <f>IFERROR(VLOOKUP(DATA[[#This Row],[COMBINADA]],#REF!,9,0),0)/COUNTIFS(DATA[COMBINADA],DATA[[#This Row],[COMBINADA]])</f>
        <v>0</v>
      </c>
      <c r="AM539" s="60">
        <f>IFERROR(VLOOKUP(DATA[[#This Row],[COMBINADA]],#REF!,6,0),0)</f>
        <v>0</v>
      </c>
      <c r="AN539" s="126">
        <f>IFERROR(VLOOKUP(DATA[[#This Row],[COMBINADA]],#REF!,9,0),0)/COUNTIFS(DATA[COMBINADA],DATA[[#This Row],[COMBINADA]])</f>
        <v>0</v>
      </c>
      <c r="AO539" s="60">
        <f>IFERROR(VLOOKUP(DATA[[#This Row],[COMBINADA]],#REF!,6,0),0)</f>
        <v>0</v>
      </c>
      <c r="AP539" s="126">
        <f>IFERROR(VLOOKUP(DATA[[#This Row],[COMBINADA]],#REF!,9,0),0)/COUNTIFS(DATA[COMBINADA],DATA[[#This Row],[COMBINADA]])</f>
        <v>0</v>
      </c>
      <c r="AQ539"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539" s="22" t="str">
        <f>IFERROR(IF(DATA[[#This Row],[estado_fact]]="FACTURADO",VLOOKUP(DATA[[#This Row],[SERIE2]]&amp;"-"&amp;DATA[[#This Row],[NUMERO]],#REF!,34,0),"NO CORRESPONDE"),"NO CORRESPONDE")</f>
        <v>NO CORRESPONDE</v>
      </c>
      <c r="AS539" s="22" t="str">
        <f>IF(DATA[[#This Row],[fecha_fs]]&gt;0,TEXT(DATA[[#This Row],[fecha_fs]],"Mmmm"),0)</f>
        <v>Abril</v>
      </c>
      <c r="AT539" s="22" t="str">
        <f>DATA[[#This Row],[SERIE2]]&amp;"-"&amp;DATA[[#This Row],[NUMERO]]</f>
        <v>-</v>
      </c>
      <c r="AU539" s="28">
        <f>DATA[[#This Row],[TOTAL]]*DATA[[#This Row],[T.C.]]</f>
        <v>0</v>
      </c>
      <c r="AV539" s="6">
        <f>DATA[[#This Row],[FECHA DE VAL.]]</f>
        <v>0</v>
      </c>
      <c r="AW539" s="6">
        <f>DATA[[#This Row],[FECHA DE EMISION]]</f>
        <v>0</v>
      </c>
      <c r="AX539" s="6">
        <f>DATA[[#This Row],[F1]]</f>
        <v>0</v>
      </c>
      <c r="AY539" s="20">
        <f>IF(AV539-DATA[[#This Row],[fecha_fs]]&lt;0,0,AV539-DATA[[#This Row],[fecha_fs]])</f>
        <v>0</v>
      </c>
      <c r="AZ539" s="20">
        <f t="shared" si="57"/>
        <v>0</v>
      </c>
      <c r="BA539" s="20">
        <f t="shared" si="58"/>
        <v>0</v>
      </c>
      <c r="BB539" s="195">
        <f>IFERROR(SUM(DATA[[#This Row],[fs_val_ttf]:[fact_pago_ttf]]),0)</f>
        <v>0</v>
      </c>
      <c r="BC539" s="185">
        <v>45768</v>
      </c>
      <c r="BD539" s="185">
        <v>45768</v>
      </c>
      <c r="BE539" s="185">
        <v>45783</v>
      </c>
      <c r="BF539" s="185">
        <v>45783</v>
      </c>
      <c r="BG539" s="20">
        <f>IFERROR(IF(BC539-DATA[[#This Row],[fecha_fs]]&lt;0,0,BC539-DATA[[#This Row],[fecha_fs]]),0)</f>
        <v>0</v>
      </c>
      <c r="BH539" s="20">
        <f t="shared" si="59"/>
        <v>0</v>
      </c>
      <c r="BI539" s="20">
        <f t="shared" si="60"/>
        <v>15</v>
      </c>
      <c r="BJ539" s="20">
        <f t="shared" si="61"/>
        <v>0</v>
      </c>
      <c r="BK539" s="218">
        <f>IFERROR(SUM(DATA[[#This Row],[fs_fd_ttd]:[fend_fenf_ttd]]),0)</f>
        <v>15</v>
      </c>
      <c r="BL539" s="20" t="str">
        <f>IF(DATA[[#This Row],[fecha_fs]]&gt;0,TEXT(DATA[[#This Row],[fecha_fs]],"YYYY"),0)</f>
        <v>2025</v>
      </c>
      <c r="BM539" s="221" t="b">
        <v>1</v>
      </c>
      <c r="BN539" s="278">
        <f>COUNTIF(DATA[[#This Row],[tiempo_td]], "&lt;=15")</f>
        <v>1</v>
      </c>
      <c r="BO539" s="222"/>
    </row>
    <row r="540" spans="1:67" ht="30.6" customHeight="1" x14ac:dyDescent="0.25">
      <c r="A540" s="4">
        <v>20100211115</v>
      </c>
      <c r="B540" s="5" t="s">
        <v>41</v>
      </c>
      <c r="C540" s="52" t="s">
        <v>18</v>
      </c>
      <c r="D540" s="4" t="s">
        <v>120</v>
      </c>
      <c r="E540" s="5" t="s">
        <v>3</v>
      </c>
      <c r="F540" s="24">
        <v>45768</v>
      </c>
      <c r="G540" s="7" t="s">
        <v>113</v>
      </c>
      <c r="H540" s="25">
        <f t="shared" si="56"/>
        <v>1</v>
      </c>
      <c r="I540" s="67">
        <v>4403</v>
      </c>
      <c r="J540" s="8" t="s">
        <v>115</v>
      </c>
      <c r="K540" s="9" t="s">
        <v>121</v>
      </c>
      <c r="L540" s="10" t="s">
        <v>117</v>
      </c>
      <c r="M540" s="11">
        <v>90</v>
      </c>
      <c r="N540" s="12" t="s">
        <v>125</v>
      </c>
      <c r="O540" s="6">
        <v>45775</v>
      </c>
      <c r="P540" s="115">
        <v>3419</v>
      </c>
      <c r="Q540" s="14" t="s">
        <v>85</v>
      </c>
      <c r="R540" s="15"/>
      <c r="S540" s="15">
        <f>(DATA[[#This Row],[cantidad_fs]]*4.37)</f>
        <v>393.3</v>
      </c>
      <c r="T540" s="15">
        <f>DATA[[#This Row],[C. DF]]+DATA[[#This Row],[C.OPE.]]</f>
        <v>393.3</v>
      </c>
      <c r="U540" s="15">
        <f>DATA[[#This Row],[SUB TOTAL]]*0.18</f>
        <v>70.793999999999997</v>
      </c>
      <c r="V540" s="15">
        <f>IFERROR(ROUND(DATA[[#This Row],[SUB TOTAL]]+DATA[[#This Row],[IGV]],2),0)</f>
        <v>464.09</v>
      </c>
      <c r="W540" s="16" t="str">
        <f>IF(DATA[[#This Row],[VALORIZACIÓN ]]="-","NO CORRESPONDE",IF(OR(A540=20558226979,A540=10470707866,A540=20111157058,A540=20100226902),"NO CORRESPONDE",IF(J540="Emitida",IF(P540&gt;0,"EMITIDA","PENDIENTE"),"NO CORRESPONDE")))</f>
        <v>EMITIDA</v>
      </c>
      <c r="X540" s="29"/>
      <c r="Y540" s="17" t="s">
        <v>118</v>
      </c>
      <c r="Z540" s="30">
        <v>45777</v>
      </c>
      <c r="AA540" s="10" t="s">
        <v>150</v>
      </c>
      <c r="AB540" s="19">
        <v>60</v>
      </c>
      <c r="AC540" s="20">
        <v>30</v>
      </c>
      <c r="AD540" s="18">
        <f>DATA[[#This Row],[FECHA DE EMISION]]+DATA[[#This Row],[CONDICION DE PAGO]]</f>
        <v>45807</v>
      </c>
      <c r="AE540" s="23">
        <f>IF(DATA[[#This Row],[MONEDA]]="USD",VLOOKUP(DATA[[#This Row],[COMBINADA]],#REF!,11,0),1)</f>
        <v>1</v>
      </c>
      <c r="AF540" s="39" t="str">
        <f>IF(DATA[[#This Row],[SERIE2]]="-","NO CORRESPONDE",IF(W540="NO CORRESPONDE","NO CORRESPONDE",IF(Z540&gt;0,"FACTURADO","PENDIENTE")))</f>
        <v>FACTURADO</v>
      </c>
      <c r="AG540" s="27">
        <f>IFERROR(VLOOKUP(DATA[[#This Row],[COMBINADA]],#REF!,6,0),0)</f>
        <v>0</v>
      </c>
      <c r="AH540" s="125">
        <f>IFERROR(VLOOKUP(DATA[[#This Row],[COMBINADA]],#REF!,9,0),0)/COUNTIFS(DATA[COMBINADA],DATA[[#This Row],[COMBINADA]])</f>
        <v>0</v>
      </c>
      <c r="AI540" s="27">
        <f>IFERROR(VLOOKUP(DATA[[#This Row],[COMBINADA]],#REF!,6,0),0)</f>
        <v>0</v>
      </c>
      <c r="AJ540" s="125">
        <f>IFERROR(VLOOKUP(DATA[[#This Row],[COMBINADA]],#REF!,9,0),0)/COUNTIFS(DATA[COMBINADA],DATA[[#This Row],[COMBINADA]])</f>
        <v>0</v>
      </c>
      <c r="AK540" s="27">
        <f>IFERROR(VLOOKUP(DATA[[#This Row],[COMBINADA]],#REF!,6,0),0)</f>
        <v>0</v>
      </c>
      <c r="AL540" s="125">
        <f>IFERROR(VLOOKUP(DATA[[#This Row],[COMBINADA]],#REF!,9,0),0)/COUNTIFS(DATA[COMBINADA],DATA[[#This Row],[COMBINADA]])</f>
        <v>0</v>
      </c>
      <c r="AM540" s="27">
        <f>IFERROR(VLOOKUP(DATA[[#This Row],[COMBINADA]],#REF!,6,0),0)</f>
        <v>0</v>
      </c>
      <c r="AN540" s="125">
        <f>IFERROR(VLOOKUP(DATA[[#This Row],[COMBINADA]],#REF!,9,0),0)/COUNTIFS(DATA[COMBINADA],DATA[[#This Row],[COMBINADA]])</f>
        <v>0</v>
      </c>
      <c r="AO540" s="27">
        <f>IFERROR(VLOOKUP(DATA[[#This Row],[COMBINADA]],#REF!,6,0),0)</f>
        <v>0</v>
      </c>
      <c r="AP540" s="125">
        <f>IFERROR(VLOOKUP(DATA[[#This Row],[COMBINADA]],#REF!,9,0),0)/COUNTIFS(DATA[COMBINADA],DATA[[#This Row],[COMBINADA]])</f>
        <v>0</v>
      </c>
      <c r="AQ54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540" s="26" t="str">
        <f>IFERROR(IF(DATA[[#This Row],[estado_fact]]="FACTURADO",VLOOKUP(DATA[[#This Row],[SERIE2]]&amp;"-"&amp;DATA[[#This Row],[NUMERO]],#REF!,34,0),"NO CORRESPONDE"),"NO CORRESPONDE")</f>
        <v>NO CORRESPONDE</v>
      </c>
      <c r="AS540" s="22" t="str">
        <f>IF(DATA[[#This Row],[fecha_fs]]&gt;0,TEXT(DATA[[#This Row],[fecha_fs]],"Mmmm"),0)</f>
        <v>Abril</v>
      </c>
      <c r="AT540" s="22" t="str">
        <f>DATA[[#This Row],[SERIE2]]&amp;"-"&amp;DATA[[#This Row],[NUMERO]]</f>
        <v>FF01-60</v>
      </c>
      <c r="AU540" s="28">
        <f>DATA[[#This Row],[TOTAL]]*DATA[[#This Row],[T.C.]]</f>
        <v>464.09</v>
      </c>
      <c r="AV540" s="6">
        <f>DATA[[#This Row],[FECHA DE VAL.]]</f>
        <v>45775</v>
      </c>
      <c r="AW540" s="6">
        <f>DATA[[#This Row],[FECHA DE EMISION]]</f>
        <v>45777</v>
      </c>
      <c r="AX540" s="6">
        <f>DATA[[#This Row],[F1]]</f>
        <v>0</v>
      </c>
      <c r="AY540" s="20">
        <f>IF(AV540-DATA[[#This Row],[fecha_fs]]&lt;0,0,AV540-DATA[[#This Row],[fecha_fs]])</f>
        <v>7</v>
      </c>
      <c r="AZ540" s="20">
        <f t="shared" si="57"/>
        <v>2</v>
      </c>
      <c r="BA540" s="20">
        <f t="shared" si="58"/>
        <v>0</v>
      </c>
      <c r="BB540" s="195">
        <f>IFERROR(SUM(DATA[[#This Row],[fs_val_ttf]:[fact_pago_ttf]]),0)</f>
        <v>9</v>
      </c>
      <c r="BC540" s="185">
        <v>45779</v>
      </c>
      <c r="BD540" s="185">
        <v>45789</v>
      </c>
      <c r="BE540" s="185">
        <v>45796</v>
      </c>
      <c r="BF540" s="184">
        <v>45798</v>
      </c>
      <c r="BG540" s="20">
        <f>IFERROR(IF(BC540-DATA[[#This Row],[fecha_fs]]&lt;0,0,BC540-DATA[[#This Row],[fecha_fs]]),0)</f>
        <v>11</v>
      </c>
      <c r="BH540" s="20">
        <f t="shared" si="59"/>
        <v>10</v>
      </c>
      <c r="BI540" s="20">
        <f t="shared" si="60"/>
        <v>7</v>
      </c>
      <c r="BJ540" s="20">
        <f t="shared" si="61"/>
        <v>2</v>
      </c>
      <c r="BK540" s="218">
        <f>IFERROR(SUM(DATA[[#This Row],[fs_fd_ttd]:[fend_fenf_ttd]]),0)</f>
        <v>30</v>
      </c>
      <c r="BL540" s="20" t="str">
        <f>IF(DATA[[#This Row],[fecha_fs]]&gt;0,TEXT(DATA[[#This Row],[fecha_fs]],"YYYY"),0)</f>
        <v>2025</v>
      </c>
      <c r="BM540" s="221" t="b">
        <v>1</v>
      </c>
      <c r="BN540" s="278">
        <f>COUNTIF(DATA[[#This Row],[tiempo_td]], "&lt;=15")</f>
        <v>0</v>
      </c>
      <c r="BO540" s="222"/>
    </row>
    <row r="541" spans="1:67" ht="30.6" customHeight="1" x14ac:dyDescent="0.25">
      <c r="A541" s="4">
        <v>20553956324</v>
      </c>
      <c r="B541" s="5" t="s">
        <v>281</v>
      </c>
      <c r="C541" s="52" t="s">
        <v>175</v>
      </c>
      <c r="D541" s="4" t="s">
        <v>120</v>
      </c>
      <c r="E541" s="5" t="s">
        <v>3</v>
      </c>
      <c r="F541" s="24">
        <v>45768</v>
      </c>
      <c r="G541" s="7" t="s">
        <v>113</v>
      </c>
      <c r="H541" s="25">
        <f t="shared" si="56"/>
        <v>1</v>
      </c>
      <c r="I541" s="67">
        <v>4404</v>
      </c>
      <c r="J541" s="8" t="s">
        <v>115</v>
      </c>
      <c r="K541" s="9" t="s">
        <v>121</v>
      </c>
      <c r="L541" s="10" t="s">
        <v>117</v>
      </c>
      <c r="M541" s="11">
        <v>300</v>
      </c>
      <c r="N541" s="12" t="s">
        <v>125</v>
      </c>
      <c r="O541" s="6">
        <v>45775</v>
      </c>
      <c r="P541" s="109">
        <v>3422</v>
      </c>
      <c r="Q541" s="14" t="s">
        <v>85</v>
      </c>
      <c r="R541" s="15">
        <f>DATA[[#This Row],[cantidad_fs]]*0.08</f>
        <v>24</v>
      </c>
      <c r="S541" s="15">
        <v>395.1</v>
      </c>
      <c r="T541" s="15">
        <f>DATA[[#This Row],[C. DF]]+DATA[[#This Row],[C.OPE.]]</f>
        <v>419.1</v>
      </c>
      <c r="U541" s="15">
        <f>DATA[[#This Row],[SUB TOTAL]]*0.18</f>
        <v>75.438000000000002</v>
      </c>
      <c r="V541" s="15">
        <f>IFERROR(ROUND(DATA[[#This Row],[SUB TOTAL]]+DATA[[#This Row],[IGV]],2),0)</f>
        <v>494.54</v>
      </c>
      <c r="W541" s="16" t="str">
        <f>IF(DATA[[#This Row],[VALORIZACIÓN ]]="-","NO CORRESPONDE",IF(OR(A541=20558226979,A541=10470707866,A541=20111157058,A541=20100226902),"NO CORRESPONDE",IF(J541="Emitida",IF(P541&gt;0,"EMITIDA","PENDIENTE"),"NO CORRESPONDE")))</f>
        <v>EMITIDA</v>
      </c>
      <c r="X541" s="29"/>
      <c r="Y541" s="17" t="s">
        <v>118</v>
      </c>
      <c r="Z541" s="30">
        <v>45790</v>
      </c>
      <c r="AA541" s="10" t="s">
        <v>150</v>
      </c>
      <c r="AB541" s="19">
        <v>76</v>
      </c>
      <c r="AC541" s="20"/>
      <c r="AD541" s="18">
        <f>DATA[[#This Row],[FECHA DE EMISION]]+DATA[[#This Row],[CONDICION DE PAGO]]</f>
        <v>45790</v>
      </c>
      <c r="AE541" s="23">
        <f>IF(DATA[[#This Row],[MONEDA]]="USD",VLOOKUP(DATA[[#This Row],[COMBINADA]],#REF!,11,0),1)</f>
        <v>1</v>
      </c>
      <c r="AF541" s="39" t="str">
        <f>IF(DATA[[#This Row],[SERIE2]]="-","NO CORRESPONDE",IF(W541="NO CORRESPONDE","NO CORRESPONDE",IF(Z541&gt;0,"FACTURADO","PENDIENTE")))</f>
        <v>FACTURADO</v>
      </c>
      <c r="AG541" s="27">
        <f>IFERROR(VLOOKUP(DATA[[#This Row],[COMBINADA]],#REF!,6,0),0)</f>
        <v>0</v>
      </c>
      <c r="AH541" s="125">
        <f>IFERROR(VLOOKUP(DATA[[#This Row],[COMBINADA]],#REF!,9,0),0)/COUNTIFS(DATA[COMBINADA],DATA[[#This Row],[COMBINADA]])</f>
        <v>0</v>
      </c>
      <c r="AI541" s="27">
        <f>IFERROR(VLOOKUP(DATA[[#This Row],[COMBINADA]],#REF!,6,0),0)</f>
        <v>0</v>
      </c>
      <c r="AJ541" s="125">
        <f>IFERROR(VLOOKUP(DATA[[#This Row],[COMBINADA]],#REF!,9,0),0)/COUNTIFS(DATA[COMBINADA],DATA[[#This Row],[COMBINADA]])</f>
        <v>0</v>
      </c>
      <c r="AK541" s="27">
        <f>IFERROR(VLOOKUP(DATA[[#This Row],[COMBINADA]],#REF!,6,0),0)</f>
        <v>0</v>
      </c>
      <c r="AL541" s="125">
        <f>IFERROR(VLOOKUP(DATA[[#This Row],[COMBINADA]],#REF!,9,0),0)/COUNTIFS(DATA[COMBINADA],DATA[[#This Row],[COMBINADA]])</f>
        <v>0</v>
      </c>
      <c r="AM541" s="27">
        <f>IFERROR(VLOOKUP(DATA[[#This Row],[COMBINADA]],#REF!,6,0),0)</f>
        <v>0</v>
      </c>
      <c r="AN541" s="125">
        <f>IFERROR(VLOOKUP(DATA[[#This Row],[COMBINADA]],#REF!,9,0),0)/COUNTIFS(DATA[COMBINADA],DATA[[#This Row],[COMBINADA]])</f>
        <v>0</v>
      </c>
      <c r="AO541" s="27">
        <f>IFERROR(VLOOKUP(DATA[[#This Row],[COMBINADA]],#REF!,6,0),0)</f>
        <v>0</v>
      </c>
      <c r="AP541" s="125">
        <f>IFERROR(VLOOKUP(DATA[[#This Row],[COMBINADA]],#REF!,9,0),0)/COUNTIFS(DATA[COMBINADA],DATA[[#This Row],[COMBINADA]])</f>
        <v>0</v>
      </c>
      <c r="AQ54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481.00750000000011</v>
      </c>
      <c r="AR541" s="26" t="str">
        <f>IFERROR(IF(DATA[[#This Row],[estado_fact]]="FACTURADO",VLOOKUP(DATA[[#This Row],[SERIE2]]&amp;"-"&amp;DATA[[#This Row],[NUMERO]],#REF!,34,0),"NO CORRESPONDE"),"NO CORRESPONDE")</f>
        <v>NO CORRESPONDE</v>
      </c>
      <c r="AS541" s="22" t="str">
        <f>IF(DATA[[#This Row],[fecha_fs]]&gt;0,TEXT(DATA[[#This Row],[fecha_fs]],"Mmmm"),0)</f>
        <v>Abril</v>
      </c>
      <c r="AT541" s="22" t="str">
        <f>DATA[[#This Row],[SERIE2]]&amp;"-"&amp;DATA[[#This Row],[NUMERO]]</f>
        <v>FF01-76</v>
      </c>
      <c r="AU541" s="28">
        <f>DATA[[#This Row],[TOTAL]]*DATA[[#This Row],[T.C.]]</f>
        <v>494.54</v>
      </c>
      <c r="AV541" s="6">
        <f>DATA[[#This Row],[FECHA DE VAL.]]</f>
        <v>45775</v>
      </c>
      <c r="AW541" s="6">
        <f>DATA[[#This Row],[FECHA DE EMISION]]</f>
        <v>45790</v>
      </c>
      <c r="AX541" s="6">
        <f>DATA[[#This Row],[F1]]</f>
        <v>0</v>
      </c>
      <c r="AY541" s="20">
        <f>IF(AV541-DATA[[#This Row],[fecha_fs]]&lt;0,0,AV541-DATA[[#This Row],[fecha_fs]])</f>
        <v>7</v>
      </c>
      <c r="AZ541" s="20">
        <f t="shared" si="57"/>
        <v>15</v>
      </c>
      <c r="BA541" s="20">
        <f t="shared" si="58"/>
        <v>0</v>
      </c>
      <c r="BB541" s="195">
        <f>IFERROR(SUM(DATA[[#This Row],[fs_val_ttf]:[fact_pago_ttf]]),0)</f>
        <v>22</v>
      </c>
      <c r="BC541" s="185">
        <v>45779</v>
      </c>
      <c r="BD541" s="185">
        <v>45789</v>
      </c>
      <c r="BE541" s="185">
        <v>45796</v>
      </c>
      <c r="BF541" s="185">
        <v>45832</v>
      </c>
      <c r="BG541" s="20">
        <f>IFERROR(IF(BC541-DATA[[#This Row],[fecha_fs]]&lt;0,0,BC541-DATA[[#This Row],[fecha_fs]]),0)</f>
        <v>11</v>
      </c>
      <c r="BH541" s="20">
        <f t="shared" si="59"/>
        <v>10</v>
      </c>
      <c r="BI541" s="20">
        <f t="shared" si="60"/>
        <v>7</v>
      </c>
      <c r="BJ541" s="20">
        <f t="shared" si="61"/>
        <v>36</v>
      </c>
      <c r="BK541" s="218">
        <f>IFERROR(SUM(DATA[[#This Row],[fs_fd_ttd]:[fend_fenf_ttd]]),0)</f>
        <v>64</v>
      </c>
      <c r="BL541" s="20" t="str">
        <f>IF(DATA[[#This Row],[fecha_fs]]&gt;0,TEXT(DATA[[#This Row],[fecha_fs]],"YYYY"),0)</f>
        <v>2025</v>
      </c>
      <c r="BM541" s="221" t="b">
        <v>1</v>
      </c>
      <c r="BN541" s="278">
        <f>COUNTIF(DATA[[#This Row],[tiempo_td]], "&lt;=15")</f>
        <v>0</v>
      </c>
      <c r="BO541" s="222"/>
    </row>
    <row r="542" spans="1:67" ht="30.6" customHeight="1" x14ac:dyDescent="0.25">
      <c r="A542" s="4">
        <v>20454186002</v>
      </c>
      <c r="B542" s="5" t="s">
        <v>25</v>
      </c>
      <c r="C542" s="52" t="s">
        <v>18</v>
      </c>
      <c r="D542" s="4" t="s">
        <v>120</v>
      </c>
      <c r="E542" s="5" t="s">
        <v>3</v>
      </c>
      <c r="F542" s="24">
        <v>45769</v>
      </c>
      <c r="G542" s="7" t="s">
        <v>113</v>
      </c>
      <c r="H542" s="25">
        <f t="shared" si="56"/>
        <v>1</v>
      </c>
      <c r="I542" s="67">
        <v>4405</v>
      </c>
      <c r="J542" s="8" t="s">
        <v>115</v>
      </c>
      <c r="K542" s="9" t="s">
        <v>121</v>
      </c>
      <c r="L542" s="10" t="s">
        <v>117</v>
      </c>
      <c r="M542" s="11">
        <v>5200</v>
      </c>
      <c r="N542" s="12" t="s">
        <v>239</v>
      </c>
      <c r="O542" s="6">
        <v>45770</v>
      </c>
      <c r="P542" s="13">
        <v>3396</v>
      </c>
      <c r="Q542" s="14" t="s">
        <v>85</v>
      </c>
      <c r="R542" s="15">
        <f>1485.02+((DATA[[#This Row],[cantidad_fs]]-3000)*0.49)</f>
        <v>2563.02</v>
      </c>
      <c r="S542" s="15"/>
      <c r="T542" s="15">
        <f>DATA[[#This Row],[C. DF]]+DATA[[#This Row],[C.OPE.]]</f>
        <v>2563.02</v>
      </c>
      <c r="U542" s="15">
        <f>DATA[[#This Row],[SUB TOTAL]]*0.18</f>
        <v>461.34359999999998</v>
      </c>
      <c r="V542" s="15">
        <f>IFERROR(ROUND(DATA[[#This Row],[SUB TOTAL]]+DATA[[#This Row],[IGV]],2),0)</f>
        <v>3024.36</v>
      </c>
      <c r="W542" s="16" t="str">
        <f>IF(DATA[[#This Row],[VALORIZACIÓN ]]="-","NO CORRESPONDE",IF(OR(A542=20558226979,A542=10470707866,A542=20111157058,A542=20100226902),"NO CORRESPONDE",IF(J542="Emitida",IF(P542&gt;0,"EMITIDA","PENDIENTE"),"NO CORRESPONDE")))</f>
        <v>EMITIDA</v>
      </c>
      <c r="X542" s="29"/>
      <c r="Y542" s="17" t="s">
        <v>118</v>
      </c>
      <c r="Z542" s="30">
        <v>45771</v>
      </c>
      <c r="AA542" s="10" t="s">
        <v>150</v>
      </c>
      <c r="AB542" s="19">
        <v>50</v>
      </c>
      <c r="AC542" s="20">
        <v>7</v>
      </c>
      <c r="AD542" s="18">
        <f>DATA[[#This Row],[FECHA DE EMISION]]+DATA[[#This Row],[CONDICION DE PAGO]]</f>
        <v>45778</v>
      </c>
      <c r="AE542" s="23">
        <f>IF(DATA[[#This Row],[MONEDA]]="USD",VLOOKUP(DATA[[#This Row],[COMBINADA]],#REF!,11,0),1)</f>
        <v>1</v>
      </c>
      <c r="AF542" s="39" t="str">
        <f>IF(DATA[[#This Row],[SERIE2]]="-","NO CORRESPONDE",IF(W542="NO CORRESPONDE","NO CORRESPONDE",IF(Z542&gt;0,"FACTURADO","PENDIENTE")))</f>
        <v>FACTURADO</v>
      </c>
      <c r="AG542" s="27">
        <f>IFERROR(VLOOKUP(DATA[[#This Row],[COMBINADA]],#REF!,6,0),0)</f>
        <v>0</v>
      </c>
      <c r="AH542" s="125">
        <f>IFERROR(VLOOKUP(DATA[[#This Row],[COMBINADA]],#REF!,9,0),0)/COUNTIFS(DATA[COMBINADA],DATA[[#This Row],[COMBINADA]])</f>
        <v>0</v>
      </c>
      <c r="AI542" s="27">
        <f>IFERROR(VLOOKUP(DATA[[#This Row],[COMBINADA]],#REF!,6,0),0)</f>
        <v>0</v>
      </c>
      <c r="AJ542" s="125">
        <f>IFERROR(VLOOKUP(DATA[[#This Row],[COMBINADA]],#REF!,9,0),0)/COUNTIFS(DATA[COMBINADA],DATA[[#This Row],[COMBINADA]])</f>
        <v>0</v>
      </c>
      <c r="AK542" s="27">
        <f>IFERROR(VLOOKUP(DATA[[#This Row],[COMBINADA]],#REF!,6,0),0)</f>
        <v>0</v>
      </c>
      <c r="AL542" s="125">
        <f>IFERROR(VLOOKUP(DATA[[#This Row],[COMBINADA]],#REF!,9,0),0)/COUNTIFS(DATA[COMBINADA],DATA[[#This Row],[COMBINADA]])</f>
        <v>0</v>
      </c>
      <c r="AM542" s="27">
        <f>IFERROR(VLOOKUP(DATA[[#This Row],[COMBINADA]],#REF!,6,0),0)</f>
        <v>0</v>
      </c>
      <c r="AN542" s="125">
        <f>IFERROR(VLOOKUP(DATA[[#This Row],[COMBINADA]],#REF!,9,0),0)/COUNTIFS(DATA[COMBINADA],DATA[[#This Row],[COMBINADA]])</f>
        <v>0</v>
      </c>
      <c r="AO542" s="27">
        <f>IFERROR(VLOOKUP(DATA[[#This Row],[COMBINADA]],#REF!,6,0),0)</f>
        <v>0</v>
      </c>
      <c r="AP542" s="125">
        <f>IFERROR(VLOOKUP(DATA[[#This Row],[COMBINADA]],#REF!,9,0),0)/COUNTIFS(DATA[COMBINADA],DATA[[#This Row],[COMBINADA]])</f>
        <v>0</v>
      </c>
      <c r="AQ54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3024.36</v>
      </c>
      <c r="AR542" s="26" t="str">
        <f>IFERROR(IF(DATA[[#This Row],[estado_fact]]="FACTURADO",VLOOKUP(DATA[[#This Row],[SERIE2]]&amp;"-"&amp;DATA[[#This Row],[NUMERO]],#REF!,34,0),"NO CORRESPONDE"),"NO CORRESPONDE")</f>
        <v>NO CORRESPONDE</v>
      </c>
      <c r="AS542" s="22" t="str">
        <f>IF(DATA[[#This Row],[fecha_fs]]&gt;0,TEXT(DATA[[#This Row],[fecha_fs]],"Mmmm"),0)</f>
        <v>Abril</v>
      </c>
      <c r="AT542" s="22" t="str">
        <f>DATA[[#This Row],[SERIE2]]&amp;"-"&amp;DATA[[#This Row],[NUMERO]]</f>
        <v>FF01-50</v>
      </c>
      <c r="AU542" s="28">
        <f>DATA[[#This Row],[TOTAL]]*DATA[[#This Row],[T.C.]]</f>
        <v>3024.36</v>
      </c>
      <c r="AV542" s="6">
        <f>DATA[[#This Row],[FECHA DE VAL.]]</f>
        <v>45770</v>
      </c>
      <c r="AW542" s="6">
        <f>DATA[[#This Row],[FECHA DE EMISION]]</f>
        <v>45771</v>
      </c>
      <c r="AX542" s="6">
        <f>DATA[[#This Row],[F1]]</f>
        <v>0</v>
      </c>
      <c r="AY542" s="20">
        <f>IF(AV542-DATA[[#This Row],[fecha_fs]]&lt;0,0,AV542-DATA[[#This Row],[fecha_fs]])</f>
        <v>1</v>
      </c>
      <c r="AZ542" s="20">
        <f t="shared" si="57"/>
        <v>1</v>
      </c>
      <c r="BA542" s="20">
        <f t="shared" si="58"/>
        <v>0</v>
      </c>
      <c r="BB542" s="195">
        <f>IFERROR(SUM(DATA[[#This Row],[fs_val_ttf]:[fact_pago_ttf]]),0)</f>
        <v>2</v>
      </c>
      <c r="BC542" s="185">
        <v>45769</v>
      </c>
      <c r="BD542" s="185">
        <v>45772</v>
      </c>
      <c r="BE542" s="185">
        <v>45789</v>
      </c>
      <c r="BF542" s="185">
        <v>45797</v>
      </c>
      <c r="BG542" s="20">
        <f>IFERROR(IF(BC542-DATA[[#This Row],[fecha_fs]]&lt;0,0,BC542-DATA[[#This Row],[fecha_fs]]),0)</f>
        <v>0</v>
      </c>
      <c r="BH542" s="20">
        <f t="shared" si="59"/>
        <v>3</v>
      </c>
      <c r="BI542" s="20">
        <f t="shared" si="60"/>
        <v>17</v>
      </c>
      <c r="BJ542" s="20">
        <f t="shared" si="61"/>
        <v>8</v>
      </c>
      <c r="BK542" s="218">
        <f>IFERROR(SUM(DATA[[#This Row],[fs_fd_ttd]:[fend_fenf_ttd]]),0)</f>
        <v>28</v>
      </c>
      <c r="BL542" s="20" t="str">
        <f>IF(DATA[[#This Row],[fecha_fs]]&gt;0,TEXT(DATA[[#This Row],[fecha_fs]],"YYYY"),0)</f>
        <v>2025</v>
      </c>
      <c r="BM542" s="221" t="b">
        <v>1</v>
      </c>
      <c r="BN542" s="278">
        <f>COUNTIF(DATA[[#This Row],[tiempo_td]], "&lt;=15")</f>
        <v>0</v>
      </c>
      <c r="BO542" s="222"/>
    </row>
    <row r="543" spans="1:67" ht="30.6" customHeight="1" x14ac:dyDescent="0.25">
      <c r="A543" s="4">
        <v>20505675836</v>
      </c>
      <c r="B543" s="5" t="s">
        <v>42</v>
      </c>
      <c r="C543" s="52" t="s">
        <v>20</v>
      </c>
      <c r="D543" s="4" t="s">
        <v>112</v>
      </c>
      <c r="E543" s="5" t="s">
        <v>1</v>
      </c>
      <c r="F543" s="24">
        <v>45768</v>
      </c>
      <c r="G543" s="7" t="s">
        <v>113</v>
      </c>
      <c r="H543" s="25">
        <f t="shared" si="56"/>
        <v>1</v>
      </c>
      <c r="I543" s="67">
        <v>4406</v>
      </c>
      <c r="J543" s="8" t="s">
        <v>115</v>
      </c>
      <c r="K543" s="9" t="s">
        <v>116</v>
      </c>
      <c r="L543" s="10" t="s">
        <v>117</v>
      </c>
      <c r="M543" s="11">
        <v>710</v>
      </c>
      <c r="N543" s="12" t="s">
        <v>167</v>
      </c>
      <c r="O543" s="6">
        <v>45772</v>
      </c>
      <c r="P543" s="71">
        <v>3404</v>
      </c>
      <c r="Q543" s="14" t="s">
        <v>85</v>
      </c>
      <c r="R543" s="15">
        <f>(DATA[[#This Row],[cantidad_fs]]-600)*0.97</f>
        <v>106.7</v>
      </c>
      <c r="S543" s="15">
        <v>1988.35</v>
      </c>
      <c r="T543" s="15">
        <f>DATA[[#This Row],[C. DF]]+DATA[[#This Row],[C.OPE.]]</f>
        <v>2095.0499999999997</v>
      </c>
      <c r="U543" s="15">
        <f>DATA[[#This Row],[SUB TOTAL]]*0.18</f>
        <v>377.10899999999992</v>
      </c>
      <c r="V543" s="15">
        <f>IFERROR(ROUND(DATA[[#This Row],[SUB TOTAL]]+DATA[[#This Row],[IGV]],2),0)</f>
        <v>2472.16</v>
      </c>
      <c r="W543" s="16" t="str">
        <f>IF(DATA[[#This Row],[VALORIZACIÓN ]]="-","NO CORRESPONDE",IF(OR(A543=20558226979,A543=10470707866,A543=20111157058,A543=20100226902),"NO CORRESPONDE",IF(J543="Emitida",IF(P543&gt;0,"EMITIDA","PENDIENTE"),"NO CORRESPONDE")))</f>
        <v>EMITIDA</v>
      </c>
      <c r="X543" s="29"/>
      <c r="Y543" s="17" t="s">
        <v>118</v>
      </c>
      <c r="Z543" s="30">
        <v>45818</v>
      </c>
      <c r="AA543" s="10" t="s">
        <v>150</v>
      </c>
      <c r="AB543" s="19">
        <v>111</v>
      </c>
      <c r="AC543" s="20">
        <v>30</v>
      </c>
      <c r="AD543" s="18">
        <f>DATA[[#This Row],[FECHA DE EMISION]]+DATA[[#This Row],[CONDICION DE PAGO]]</f>
        <v>45848</v>
      </c>
      <c r="AE543" s="23">
        <f>IF(DATA[[#This Row],[MONEDA]]="USD",VLOOKUP(DATA[[#This Row],[COMBINADA]],#REF!,11,0),1)</f>
        <v>1</v>
      </c>
      <c r="AF543" s="39" t="str">
        <f>IF(DATA[[#This Row],[SERIE2]]="-","NO CORRESPONDE",IF(W543="NO CORRESPONDE","NO CORRESPONDE",IF(Z543&gt;0,"FACTURADO","PENDIENTE")))</f>
        <v>FACTURADO</v>
      </c>
      <c r="AG543" s="27">
        <f>IFERROR(VLOOKUP(DATA[[#This Row],[COMBINADA]],#REF!,6,0),0)</f>
        <v>0</v>
      </c>
      <c r="AH543" s="125">
        <f>IFERROR(VLOOKUP(DATA[[#This Row],[COMBINADA]],#REF!,9,0),0)/COUNTIFS(DATA[COMBINADA],DATA[[#This Row],[COMBINADA]])</f>
        <v>0</v>
      </c>
      <c r="AI543" s="27">
        <f>IFERROR(VLOOKUP(DATA[[#This Row],[COMBINADA]],#REF!,6,0),0)</f>
        <v>0</v>
      </c>
      <c r="AJ543" s="125">
        <f>IFERROR(VLOOKUP(DATA[[#This Row],[COMBINADA]],#REF!,9,0),0)/COUNTIFS(DATA[COMBINADA],DATA[[#This Row],[COMBINADA]])</f>
        <v>0</v>
      </c>
      <c r="AK543" s="27">
        <f>IFERROR(VLOOKUP(DATA[[#This Row],[COMBINADA]],#REF!,6,0),0)</f>
        <v>0</v>
      </c>
      <c r="AL543" s="125">
        <f>IFERROR(VLOOKUP(DATA[[#This Row],[COMBINADA]],#REF!,9,0),0)/COUNTIFS(DATA[COMBINADA],DATA[[#This Row],[COMBINADA]])</f>
        <v>0</v>
      </c>
      <c r="AM543" s="27">
        <f>IFERROR(VLOOKUP(DATA[[#This Row],[COMBINADA]],#REF!,6,0),0)</f>
        <v>0</v>
      </c>
      <c r="AN543" s="125">
        <f>IFERROR(VLOOKUP(DATA[[#This Row],[COMBINADA]],#REF!,9,0),0)/COUNTIFS(DATA[COMBINADA],DATA[[#This Row],[COMBINADA]])</f>
        <v>0</v>
      </c>
      <c r="AO543" s="27">
        <f>IFERROR(VLOOKUP(DATA[[#This Row],[COMBINADA]],#REF!,6,0),0)</f>
        <v>0</v>
      </c>
      <c r="AP543" s="125">
        <f>IFERROR(VLOOKUP(DATA[[#This Row],[COMBINADA]],#REF!,9,0),0)/COUNTIFS(DATA[COMBINADA],DATA[[#This Row],[COMBINADA]])</f>
        <v>0</v>
      </c>
      <c r="AQ54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2472.16</v>
      </c>
      <c r="AR543" s="26" t="str">
        <f>IFERROR(IF(DATA[[#This Row],[estado_fact]]="FACTURADO",VLOOKUP(DATA[[#This Row],[SERIE2]]&amp;"-"&amp;DATA[[#This Row],[NUMERO]],#REF!,34,0),"NO CORRESPONDE"),"NO CORRESPONDE")</f>
        <v>NO CORRESPONDE</v>
      </c>
      <c r="AS543" s="22" t="str">
        <f>IF(DATA[[#This Row],[fecha_fs]]&gt;0,TEXT(DATA[[#This Row],[fecha_fs]],"Mmmm"),0)</f>
        <v>Abril</v>
      </c>
      <c r="AT543" s="22" t="str">
        <f>DATA[[#This Row],[SERIE2]]&amp;"-"&amp;DATA[[#This Row],[NUMERO]]</f>
        <v>FF01-111</v>
      </c>
      <c r="AU543" s="28">
        <f>DATA[[#This Row],[TOTAL]]*DATA[[#This Row],[T.C.]]</f>
        <v>2472.16</v>
      </c>
      <c r="AV543" s="6">
        <f>DATA[[#This Row],[FECHA DE VAL.]]</f>
        <v>45772</v>
      </c>
      <c r="AW543" s="6">
        <f>DATA[[#This Row],[FECHA DE EMISION]]</f>
        <v>45818</v>
      </c>
      <c r="AX543" s="6">
        <f>DATA[[#This Row],[F1]]</f>
        <v>0</v>
      </c>
      <c r="AY543" s="20">
        <f>IF(AV543-DATA[[#This Row],[fecha_fs]]&lt;0,0,AV543-DATA[[#This Row],[fecha_fs]])</f>
        <v>4</v>
      </c>
      <c r="AZ543" s="20">
        <f t="shared" si="57"/>
        <v>46</v>
      </c>
      <c r="BA543" s="20">
        <f t="shared" si="58"/>
        <v>0</v>
      </c>
      <c r="BB543" s="195">
        <f>IFERROR(SUM(DATA[[#This Row],[fs_val_ttf]:[fact_pago_ttf]]),0)</f>
        <v>50</v>
      </c>
      <c r="BC543" s="185">
        <v>45772</v>
      </c>
      <c r="BD543" s="185">
        <v>45782</v>
      </c>
      <c r="BE543" s="185">
        <v>45789</v>
      </c>
      <c r="BF543" s="185">
        <v>45803</v>
      </c>
      <c r="BG543" s="20">
        <f>IFERROR(IF(BC543-DATA[[#This Row],[fecha_fs]]&lt;0,0,BC543-DATA[[#This Row],[fecha_fs]]),0)</f>
        <v>4</v>
      </c>
      <c r="BH543" s="20">
        <f t="shared" si="59"/>
        <v>10</v>
      </c>
      <c r="BI543" s="20">
        <f t="shared" si="60"/>
        <v>7</v>
      </c>
      <c r="BJ543" s="20">
        <f t="shared" si="61"/>
        <v>14</v>
      </c>
      <c r="BK543" s="218">
        <f>IFERROR(SUM(DATA[[#This Row],[fs_fd_ttd]:[fend_fenf_ttd]]),0)</f>
        <v>35</v>
      </c>
      <c r="BL543" s="20" t="str">
        <f>IF(DATA[[#This Row],[fecha_fs]]&gt;0,TEXT(DATA[[#This Row],[fecha_fs]],"YYYY"),0)</f>
        <v>2025</v>
      </c>
      <c r="BM543" s="221" t="b">
        <v>1</v>
      </c>
      <c r="BN543" s="278">
        <f>COUNTIF(DATA[[#This Row],[tiempo_td]], "&lt;=15")</f>
        <v>0</v>
      </c>
      <c r="BO543" s="222"/>
    </row>
    <row r="544" spans="1:67" ht="30.6" customHeight="1" x14ac:dyDescent="0.25">
      <c r="A544" s="4">
        <v>20141637941</v>
      </c>
      <c r="B544" s="5" t="s">
        <v>79</v>
      </c>
      <c r="C544" s="52" t="s">
        <v>18</v>
      </c>
      <c r="D544" s="4" t="s">
        <v>120</v>
      </c>
      <c r="E544" s="5" t="s">
        <v>3</v>
      </c>
      <c r="F544" s="24">
        <v>45768</v>
      </c>
      <c r="G544" s="7" t="s">
        <v>113</v>
      </c>
      <c r="H544" s="25">
        <f t="shared" si="56"/>
        <v>1</v>
      </c>
      <c r="I544" s="67">
        <v>4407</v>
      </c>
      <c r="J544" s="8" t="s">
        <v>115</v>
      </c>
      <c r="K544" s="9" t="s">
        <v>121</v>
      </c>
      <c r="L544" s="10" t="s">
        <v>117</v>
      </c>
      <c r="M544" s="11">
        <v>1000</v>
      </c>
      <c r="N544" s="12" t="s">
        <v>167</v>
      </c>
      <c r="O544" s="6">
        <v>45772</v>
      </c>
      <c r="P544" s="110">
        <v>3405</v>
      </c>
      <c r="Q544" s="14" t="s">
        <v>85</v>
      </c>
      <c r="R544" s="15">
        <f>70+(DATA[[#This Row],[cantidad_fs]]-1000)*0.1</f>
        <v>70</v>
      </c>
      <c r="S544" s="15">
        <v>517</v>
      </c>
      <c r="T544" s="15">
        <f>DATA[[#This Row],[C. DF]]+DATA[[#This Row],[C.OPE.]]</f>
        <v>587</v>
      </c>
      <c r="U544" s="15">
        <f>DATA[[#This Row],[SUB TOTAL]]*0.18</f>
        <v>105.66</v>
      </c>
      <c r="V544" s="15">
        <f>IFERROR(ROUND(DATA[[#This Row],[SUB TOTAL]]+DATA[[#This Row],[IGV]],2),0)</f>
        <v>692.66</v>
      </c>
      <c r="W544" s="16" t="str">
        <f>IF(DATA[[#This Row],[VALORIZACIÓN ]]="-","NO CORRESPONDE",IF(OR(A544=20558226979,A544=10470707866,A544=20111157058,A544=20100226902),"NO CORRESPONDE",IF(J544="Emitida",IF(P544&gt;0,"EMITIDA","PENDIENTE"),"NO CORRESPONDE")))</f>
        <v>EMITIDA</v>
      </c>
      <c r="X544" s="29"/>
      <c r="Y544" s="17" t="s">
        <v>118</v>
      </c>
      <c r="Z544" s="30">
        <v>45782</v>
      </c>
      <c r="AA544" s="10" t="s">
        <v>150</v>
      </c>
      <c r="AB544" s="19">
        <v>70</v>
      </c>
      <c r="AC544" s="20">
        <v>30</v>
      </c>
      <c r="AD544" s="18">
        <f>DATA[[#This Row],[FECHA DE EMISION]]+DATA[[#This Row],[CONDICION DE PAGO]]</f>
        <v>45812</v>
      </c>
      <c r="AE544" s="23">
        <f>IF(DATA[[#This Row],[MONEDA]]="USD",VLOOKUP(DATA[[#This Row],[COMBINADA]],#REF!,11,0),1)</f>
        <v>1</v>
      </c>
      <c r="AF544" s="39" t="str">
        <f>IF(DATA[[#This Row],[SERIE2]]="-","NO CORRESPONDE",IF(W544="NO CORRESPONDE","NO CORRESPONDE",IF(Z544&gt;0,"FACTURADO","PENDIENTE")))</f>
        <v>FACTURADO</v>
      </c>
      <c r="AG544" s="27">
        <f>IFERROR(VLOOKUP(DATA[[#This Row],[COMBINADA]],#REF!,6,0),0)</f>
        <v>0</v>
      </c>
      <c r="AH544" s="125">
        <f>IFERROR(VLOOKUP(DATA[[#This Row],[COMBINADA]],#REF!,9,0),0)/COUNTIFS(DATA[COMBINADA],DATA[[#This Row],[COMBINADA]])</f>
        <v>0</v>
      </c>
      <c r="AI544" s="27">
        <f>IFERROR(VLOOKUP(DATA[[#This Row],[COMBINADA]],#REF!,6,0),0)</f>
        <v>0</v>
      </c>
      <c r="AJ544" s="125">
        <f>IFERROR(VLOOKUP(DATA[[#This Row],[COMBINADA]],#REF!,9,0),0)/COUNTIFS(DATA[COMBINADA],DATA[[#This Row],[COMBINADA]])</f>
        <v>0</v>
      </c>
      <c r="AK544" s="27">
        <f>IFERROR(VLOOKUP(DATA[[#This Row],[COMBINADA]],#REF!,6,0),0)</f>
        <v>0</v>
      </c>
      <c r="AL544" s="125">
        <f>IFERROR(VLOOKUP(DATA[[#This Row],[COMBINADA]],#REF!,9,0),0)/COUNTIFS(DATA[COMBINADA],DATA[[#This Row],[COMBINADA]])</f>
        <v>0</v>
      </c>
      <c r="AM544" s="27">
        <f>IFERROR(VLOOKUP(DATA[[#This Row],[COMBINADA]],#REF!,6,0),0)</f>
        <v>0</v>
      </c>
      <c r="AN544" s="125">
        <f>IFERROR(VLOOKUP(DATA[[#This Row],[COMBINADA]],#REF!,9,0),0)/COUNTIFS(DATA[COMBINADA],DATA[[#This Row],[COMBINADA]])</f>
        <v>0</v>
      </c>
      <c r="AO544" s="27">
        <f>IFERROR(VLOOKUP(DATA[[#This Row],[COMBINADA]],#REF!,6,0),0)</f>
        <v>0</v>
      </c>
      <c r="AP544" s="125">
        <f>IFERROR(VLOOKUP(DATA[[#This Row],[COMBINADA]],#REF!,9,0),0)/COUNTIFS(DATA[COMBINADA],DATA[[#This Row],[COMBINADA]])</f>
        <v>0</v>
      </c>
      <c r="AQ54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700.21199999999988</v>
      </c>
      <c r="AR544" s="26" t="str">
        <f>IFERROR(IF(DATA[[#This Row],[estado_fact]]="FACTURADO",VLOOKUP(DATA[[#This Row],[SERIE2]]&amp;"-"&amp;DATA[[#This Row],[NUMERO]],#REF!,34,0),"NO CORRESPONDE"),"NO CORRESPONDE")</f>
        <v>NO CORRESPONDE</v>
      </c>
      <c r="AS544" s="22" t="str">
        <f>IF(DATA[[#This Row],[fecha_fs]]&gt;0,TEXT(DATA[[#This Row],[fecha_fs]],"Mmmm"),0)</f>
        <v>Abril</v>
      </c>
      <c r="AT544" s="22" t="str">
        <f>DATA[[#This Row],[SERIE2]]&amp;"-"&amp;DATA[[#This Row],[NUMERO]]</f>
        <v>FF01-70</v>
      </c>
      <c r="AU544" s="28">
        <f>DATA[[#This Row],[TOTAL]]*DATA[[#This Row],[T.C.]]</f>
        <v>692.66</v>
      </c>
      <c r="AV544" s="6">
        <f>DATA[[#This Row],[FECHA DE VAL.]]</f>
        <v>45772</v>
      </c>
      <c r="AW544" s="6">
        <f>DATA[[#This Row],[FECHA DE EMISION]]</f>
        <v>45782</v>
      </c>
      <c r="AX544" s="6">
        <f>DATA[[#This Row],[F1]]</f>
        <v>0</v>
      </c>
      <c r="AY544" s="20">
        <f>IF(AV544-DATA[[#This Row],[fecha_fs]]&lt;0,0,AV544-DATA[[#This Row],[fecha_fs]])</f>
        <v>4</v>
      </c>
      <c r="AZ544" s="20">
        <f t="shared" si="57"/>
        <v>10</v>
      </c>
      <c r="BA544" s="20">
        <f t="shared" si="58"/>
        <v>0</v>
      </c>
      <c r="BB544" s="195">
        <f>IFERROR(SUM(DATA[[#This Row],[fs_val_ttf]:[fact_pago_ttf]]),0)</f>
        <v>14</v>
      </c>
      <c r="BC544" s="185">
        <v>45768</v>
      </c>
      <c r="BD544" s="185">
        <v>45768</v>
      </c>
      <c r="BE544" s="185">
        <v>45782</v>
      </c>
      <c r="BF544" s="185">
        <v>45782</v>
      </c>
      <c r="BG544" s="20">
        <f>IFERROR(IF(BC544-DATA[[#This Row],[fecha_fs]]&lt;0,0,BC544-DATA[[#This Row],[fecha_fs]]),0)</f>
        <v>0</v>
      </c>
      <c r="BH544" s="20">
        <f t="shared" si="59"/>
        <v>0</v>
      </c>
      <c r="BI544" s="20">
        <f t="shared" si="60"/>
        <v>14</v>
      </c>
      <c r="BJ544" s="20">
        <f t="shared" si="61"/>
        <v>0</v>
      </c>
      <c r="BK544" s="218">
        <f>IFERROR(SUM(DATA[[#This Row],[fs_fd_ttd]:[fend_fenf_ttd]]),0)</f>
        <v>14</v>
      </c>
      <c r="BL544" s="20" t="str">
        <f>IF(DATA[[#This Row],[fecha_fs]]&gt;0,TEXT(DATA[[#This Row],[fecha_fs]],"YYYY"),0)</f>
        <v>2025</v>
      </c>
      <c r="BM544" s="221" t="b">
        <v>1</v>
      </c>
      <c r="BN544" s="278">
        <f>COUNTIF(DATA[[#This Row],[tiempo_td]], "&lt;=15")</f>
        <v>1</v>
      </c>
      <c r="BO544" s="222"/>
    </row>
    <row r="545" spans="1:67" ht="30.6" customHeight="1" x14ac:dyDescent="0.25">
      <c r="A545" s="4">
        <v>20100055237</v>
      </c>
      <c r="B545" s="5" t="s">
        <v>21</v>
      </c>
      <c r="C545" s="52" t="s">
        <v>138</v>
      </c>
      <c r="D545" s="4" t="s">
        <v>139</v>
      </c>
      <c r="E545" s="5" t="s">
        <v>23</v>
      </c>
      <c r="F545" s="24">
        <v>45769</v>
      </c>
      <c r="G545" s="7" t="s">
        <v>113</v>
      </c>
      <c r="H545" s="25">
        <f t="shared" si="56"/>
        <v>1</v>
      </c>
      <c r="I545" s="67">
        <v>4408</v>
      </c>
      <c r="J545" s="8" t="s">
        <v>115</v>
      </c>
      <c r="K545" s="9" t="s">
        <v>121</v>
      </c>
      <c r="L545" s="10" t="s">
        <v>117</v>
      </c>
      <c r="M545" s="11">
        <v>200</v>
      </c>
      <c r="N545" s="12" t="s">
        <v>125</v>
      </c>
      <c r="O545" s="6">
        <v>45776</v>
      </c>
      <c r="P545" s="54">
        <v>3423</v>
      </c>
      <c r="Q545" s="14" t="s">
        <v>85</v>
      </c>
      <c r="R545" s="15"/>
      <c r="S545" s="15">
        <v>297.92</v>
      </c>
      <c r="T545" s="15">
        <f>DATA[[#This Row],[C. DF]]+DATA[[#This Row],[C.OPE.]]</f>
        <v>297.92</v>
      </c>
      <c r="U545" s="15">
        <f>DATA[[#This Row],[SUB TOTAL]]*0.18</f>
        <v>53.625599999999999</v>
      </c>
      <c r="V545" s="15">
        <f>IFERROR(ROUND(DATA[[#This Row],[SUB TOTAL]]+DATA[[#This Row],[IGV]],2),0)</f>
        <v>351.55</v>
      </c>
      <c r="W545" s="16" t="str">
        <f>IF(DATA[[#This Row],[VALORIZACIÓN ]]="-","NO CORRESPONDE",IF(OR(A545=20558226979,A545=10470707866,A545=20111157058,A545=20100226902),"NO CORRESPONDE",IF(J545="Emitida",IF(P545&gt;0,"EMITIDA","PENDIENTE"),"NO CORRESPONDE")))</f>
        <v>EMITIDA</v>
      </c>
      <c r="X545" s="29"/>
      <c r="Y545" s="17" t="s">
        <v>118</v>
      </c>
      <c r="Z545" s="30">
        <v>45812</v>
      </c>
      <c r="AA545" s="10" t="s">
        <v>150</v>
      </c>
      <c r="AB545" s="19">
        <v>104</v>
      </c>
      <c r="AC545" s="20">
        <v>30</v>
      </c>
      <c r="AD545" s="18">
        <f>DATA[[#This Row],[FECHA DE EMISION]]+DATA[[#This Row],[CONDICION DE PAGO]]</f>
        <v>45842</v>
      </c>
      <c r="AE545" s="23">
        <f>IF(DATA[[#This Row],[MONEDA]]="USD",VLOOKUP(DATA[[#This Row],[COMBINADA]],#REF!,11,0),1)</f>
        <v>1</v>
      </c>
      <c r="AF545" s="39" t="str">
        <f>IF(DATA[[#This Row],[SERIE2]]="-","NO CORRESPONDE",IF(W545="NO CORRESPONDE","NO CORRESPONDE",IF(Z545&gt;0,"FACTURADO","PENDIENTE")))</f>
        <v>FACTURADO</v>
      </c>
      <c r="AG545" s="27">
        <f>IFERROR(VLOOKUP(DATA[[#This Row],[COMBINADA]],#REF!,6,0),0)</f>
        <v>0</v>
      </c>
      <c r="AH545" s="125">
        <f>IFERROR(VLOOKUP(DATA[[#This Row],[COMBINADA]],#REF!,9,0),0)/COUNTIFS(DATA[COMBINADA],DATA[[#This Row],[COMBINADA]])</f>
        <v>0</v>
      </c>
      <c r="AI545" s="27">
        <f>IFERROR(VLOOKUP(DATA[[#This Row],[COMBINADA]],#REF!,6,0),0)</f>
        <v>0</v>
      </c>
      <c r="AJ545" s="125">
        <f>IFERROR(VLOOKUP(DATA[[#This Row],[COMBINADA]],#REF!,9,0),0)/COUNTIFS(DATA[COMBINADA],DATA[[#This Row],[COMBINADA]])</f>
        <v>0</v>
      </c>
      <c r="AK545" s="27">
        <f>IFERROR(VLOOKUP(DATA[[#This Row],[COMBINADA]],#REF!,6,0),0)</f>
        <v>0</v>
      </c>
      <c r="AL545" s="125">
        <f>IFERROR(VLOOKUP(DATA[[#This Row],[COMBINADA]],#REF!,9,0),0)/COUNTIFS(DATA[COMBINADA],DATA[[#This Row],[COMBINADA]])</f>
        <v>0</v>
      </c>
      <c r="AM545" s="27">
        <f>IFERROR(VLOOKUP(DATA[[#This Row],[COMBINADA]],#REF!,6,0),0)</f>
        <v>0</v>
      </c>
      <c r="AN545" s="125">
        <f>IFERROR(VLOOKUP(DATA[[#This Row],[COMBINADA]],#REF!,9,0),0)/COUNTIFS(DATA[COMBINADA],DATA[[#This Row],[COMBINADA]])</f>
        <v>0</v>
      </c>
      <c r="AO545" s="27">
        <f>IFERROR(VLOOKUP(DATA[[#This Row],[COMBINADA]],#REF!,6,0),0)</f>
        <v>0</v>
      </c>
      <c r="AP545" s="125">
        <f>IFERROR(VLOOKUP(DATA[[#This Row],[COMBINADA]],#REF!,9,0),0)/COUNTIFS(DATA[COMBINADA],DATA[[#This Row],[COMBINADA]])</f>
        <v>0</v>
      </c>
      <c r="AQ54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545" s="26" t="str">
        <f>IFERROR(IF(DATA[[#This Row],[estado_fact]]="FACTURADO",VLOOKUP(DATA[[#This Row],[SERIE2]]&amp;"-"&amp;DATA[[#This Row],[NUMERO]],#REF!,34,0),"NO CORRESPONDE"),"NO CORRESPONDE")</f>
        <v>NO CORRESPONDE</v>
      </c>
      <c r="AS545" s="22" t="str">
        <f>IF(DATA[[#This Row],[fecha_fs]]&gt;0,TEXT(DATA[[#This Row],[fecha_fs]],"Mmmm"),0)</f>
        <v>Abril</v>
      </c>
      <c r="AT545" s="22" t="str">
        <f>DATA[[#This Row],[SERIE2]]&amp;"-"&amp;DATA[[#This Row],[NUMERO]]</f>
        <v>FF01-104</v>
      </c>
      <c r="AU545" s="28">
        <f>DATA[[#This Row],[TOTAL]]*DATA[[#This Row],[T.C.]]</f>
        <v>351.55</v>
      </c>
      <c r="AV545" s="6">
        <f>DATA[[#This Row],[FECHA DE VAL.]]</f>
        <v>45776</v>
      </c>
      <c r="AW545" s="6">
        <f>DATA[[#This Row],[FECHA DE EMISION]]</f>
        <v>45812</v>
      </c>
      <c r="AX545" s="6">
        <f>DATA[[#This Row],[F1]]</f>
        <v>0</v>
      </c>
      <c r="AY545" s="20">
        <f>IF(AV545-DATA[[#This Row],[fecha_fs]]&lt;0,0,AV545-DATA[[#This Row],[fecha_fs]])</f>
        <v>7</v>
      </c>
      <c r="AZ545" s="20">
        <f t="shared" si="57"/>
        <v>36</v>
      </c>
      <c r="BA545" s="20">
        <f t="shared" si="58"/>
        <v>0</v>
      </c>
      <c r="BB545" s="195">
        <f>IFERROR(SUM(DATA[[#This Row],[fs_val_ttf]:[fact_pago_ttf]]),0)</f>
        <v>43</v>
      </c>
      <c r="BC545" s="185">
        <v>45769</v>
      </c>
      <c r="BD545" s="185">
        <v>45769</v>
      </c>
      <c r="BE545" s="185">
        <v>45782</v>
      </c>
      <c r="BF545" s="185">
        <v>45782</v>
      </c>
      <c r="BG545" s="20">
        <f>IFERROR(IF(BC545-DATA[[#This Row],[fecha_fs]]&lt;0,0,BC545-DATA[[#This Row],[fecha_fs]]),0)</f>
        <v>0</v>
      </c>
      <c r="BH545" s="20">
        <f t="shared" si="59"/>
        <v>0</v>
      </c>
      <c r="BI545" s="20">
        <f t="shared" si="60"/>
        <v>13</v>
      </c>
      <c r="BJ545" s="20">
        <f t="shared" si="61"/>
        <v>0</v>
      </c>
      <c r="BK545" s="218">
        <f>IFERROR(SUM(DATA[[#This Row],[fs_fd_ttd]:[fend_fenf_ttd]]),0)</f>
        <v>13</v>
      </c>
      <c r="BL545" s="20" t="str">
        <f>IF(DATA[[#This Row],[fecha_fs]]&gt;0,TEXT(DATA[[#This Row],[fecha_fs]],"YYYY"),0)</f>
        <v>2025</v>
      </c>
      <c r="BM545" s="221" t="b">
        <v>1</v>
      </c>
      <c r="BN545" s="278">
        <f>COUNTIF(DATA[[#This Row],[tiempo_td]], "&lt;=15")</f>
        <v>1</v>
      </c>
      <c r="BO545" s="222"/>
    </row>
    <row r="546" spans="1:67" ht="30.6" customHeight="1" x14ac:dyDescent="0.25">
      <c r="A546" s="4">
        <v>20100192064</v>
      </c>
      <c r="B546" s="5" t="s">
        <v>60</v>
      </c>
      <c r="C546" s="52" t="s">
        <v>43</v>
      </c>
      <c r="D546" s="4" t="s">
        <v>112</v>
      </c>
      <c r="E546" s="5" t="s">
        <v>1</v>
      </c>
      <c r="F546" s="24">
        <v>45768</v>
      </c>
      <c r="G546" s="7" t="s">
        <v>113</v>
      </c>
      <c r="H546" s="25">
        <f t="shared" si="56"/>
        <v>1</v>
      </c>
      <c r="I546" s="67">
        <v>4409</v>
      </c>
      <c r="J546" s="8" t="s">
        <v>115</v>
      </c>
      <c r="K546" s="9" t="s">
        <v>116</v>
      </c>
      <c r="L546" s="10" t="s">
        <v>117</v>
      </c>
      <c r="M546" s="11">
        <v>660</v>
      </c>
      <c r="N546" s="12" t="s">
        <v>125</v>
      </c>
      <c r="O546" s="6">
        <v>45772</v>
      </c>
      <c r="P546" s="71">
        <v>3408</v>
      </c>
      <c r="Q546" s="14" t="s">
        <v>123</v>
      </c>
      <c r="R546" s="15">
        <f>(DATA[[#This Row],[cantidad_fs]]/1000)*(143+175.34)</f>
        <v>210.10440000000003</v>
      </c>
      <c r="S546" s="15">
        <v>137</v>
      </c>
      <c r="T546" s="15">
        <f>DATA[[#This Row],[C. DF]]+DATA[[#This Row],[C.OPE.]]</f>
        <v>347.10440000000006</v>
      </c>
      <c r="U546" s="15">
        <f>DATA[[#This Row],[SUB TOTAL]]*0.18</f>
        <v>62.478792000000006</v>
      </c>
      <c r="V546" s="15">
        <f>IFERROR(ROUND(DATA[[#This Row],[SUB TOTAL]]+DATA[[#This Row],[IGV]],2),0)</f>
        <v>409.58</v>
      </c>
      <c r="W546" s="16" t="str">
        <f>IF(DATA[[#This Row],[VALORIZACIÓN ]]="-","NO CORRESPONDE",IF(OR(A546=20558226979,A546=10470707866,A546=20111157058,A546=20100226902),"NO CORRESPONDE",IF(J546="Emitida",IF(P546&gt;0,"EMITIDA","PENDIENTE"),"NO CORRESPONDE")))</f>
        <v>EMITIDA</v>
      </c>
      <c r="X546" s="29"/>
      <c r="Y546" s="17" t="s">
        <v>118</v>
      </c>
      <c r="Z546" s="30">
        <v>45776</v>
      </c>
      <c r="AA546" s="10" t="s">
        <v>150</v>
      </c>
      <c r="AB546" s="19">
        <v>54</v>
      </c>
      <c r="AC546" s="20">
        <v>30</v>
      </c>
      <c r="AD546" s="18">
        <f>DATA[[#This Row],[FECHA DE EMISION]]+DATA[[#This Row],[CONDICION DE PAGO]]</f>
        <v>45806</v>
      </c>
      <c r="AE546" s="23" t="e">
        <f>IF(DATA[[#This Row],[MONEDA]]="USD",VLOOKUP(DATA[[#This Row],[COMBINADA]],#REF!,11,0),1)</f>
        <v>#REF!</v>
      </c>
      <c r="AF546" s="39" t="str">
        <f>IF(DATA[[#This Row],[SERIE2]]="-","NO CORRESPONDE",IF(W546="NO CORRESPONDE","NO CORRESPONDE",IF(Z546&gt;0,"FACTURADO","PENDIENTE")))</f>
        <v>FACTURADO</v>
      </c>
      <c r="AG546" s="27">
        <f>IFERROR(VLOOKUP(DATA[[#This Row],[COMBINADA]],#REF!,6,0),0)</f>
        <v>0</v>
      </c>
      <c r="AH546" s="125">
        <f>IFERROR(VLOOKUP(DATA[[#This Row],[COMBINADA]],#REF!,9,0),0)/COUNTIFS(DATA[COMBINADA],DATA[[#This Row],[COMBINADA]])</f>
        <v>0</v>
      </c>
      <c r="AI546" s="27">
        <f>IFERROR(VLOOKUP(DATA[[#This Row],[COMBINADA]],#REF!,6,0),0)</f>
        <v>0</v>
      </c>
      <c r="AJ546" s="125">
        <f>IFERROR(VLOOKUP(DATA[[#This Row],[COMBINADA]],#REF!,9,0),0)/COUNTIFS(DATA[COMBINADA],DATA[[#This Row],[COMBINADA]])</f>
        <v>0</v>
      </c>
      <c r="AK546" s="27">
        <f>IFERROR(VLOOKUP(DATA[[#This Row],[COMBINADA]],#REF!,6,0),0)</f>
        <v>0</v>
      </c>
      <c r="AL546" s="125">
        <f>IFERROR(VLOOKUP(DATA[[#This Row],[COMBINADA]],#REF!,9,0),0)/COUNTIFS(DATA[COMBINADA],DATA[[#This Row],[COMBINADA]])</f>
        <v>0</v>
      </c>
      <c r="AM546" s="27">
        <f>IFERROR(VLOOKUP(DATA[[#This Row],[COMBINADA]],#REF!,6,0),0)</f>
        <v>0</v>
      </c>
      <c r="AN546" s="125">
        <f>IFERROR(VLOOKUP(DATA[[#This Row],[COMBINADA]],#REF!,9,0),0)/COUNTIFS(DATA[COMBINADA],DATA[[#This Row],[COMBINADA]])</f>
        <v>0</v>
      </c>
      <c r="AO546" s="27">
        <f>IFERROR(VLOOKUP(DATA[[#This Row],[COMBINADA]],#REF!,6,0),0)</f>
        <v>0</v>
      </c>
      <c r="AP546" s="125">
        <f>IFERROR(VLOOKUP(DATA[[#This Row],[COMBINADA]],#REF!,9,0),0)/COUNTIFS(DATA[COMBINADA],DATA[[#This Row],[COMBINADA]])</f>
        <v>0</v>
      </c>
      <c r="AQ54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548.94894736842105</v>
      </c>
      <c r="AR546" s="26" t="str">
        <f>IFERROR(IF(DATA[[#This Row],[estado_fact]]="FACTURADO",VLOOKUP(DATA[[#This Row],[SERIE2]]&amp;"-"&amp;DATA[[#This Row],[NUMERO]],#REF!,34,0),"NO CORRESPONDE"),"NO CORRESPONDE")</f>
        <v>NO CORRESPONDE</v>
      </c>
      <c r="AS546" s="22" t="str">
        <f>IF(DATA[[#This Row],[fecha_fs]]&gt;0,TEXT(DATA[[#This Row],[fecha_fs]],"Mmmm"),0)</f>
        <v>Abril</v>
      </c>
      <c r="AT546" s="22" t="str">
        <f>DATA[[#This Row],[SERIE2]]&amp;"-"&amp;DATA[[#This Row],[NUMERO]]</f>
        <v>FF01-54</v>
      </c>
      <c r="AU546" s="28" t="e">
        <f>DATA[[#This Row],[TOTAL]]*DATA[[#This Row],[T.C.]]</f>
        <v>#REF!</v>
      </c>
      <c r="AV546" s="6">
        <f>DATA[[#This Row],[FECHA DE VAL.]]</f>
        <v>45772</v>
      </c>
      <c r="AW546" s="6">
        <f>DATA[[#This Row],[FECHA DE EMISION]]</f>
        <v>45776</v>
      </c>
      <c r="AX546" s="6">
        <f>DATA[[#This Row],[F1]]</f>
        <v>0</v>
      </c>
      <c r="AY546" s="20">
        <f>IF(AV546-DATA[[#This Row],[fecha_fs]]&lt;0,0,AV546-DATA[[#This Row],[fecha_fs]])</f>
        <v>4</v>
      </c>
      <c r="AZ546" s="20">
        <f t="shared" si="57"/>
        <v>4</v>
      </c>
      <c r="BA546" s="20">
        <f t="shared" si="58"/>
        <v>0</v>
      </c>
      <c r="BB546" s="195">
        <f>IFERROR(SUM(DATA[[#This Row],[fs_val_ttf]:[fact_pago_ttf]]),0)</f>
        <v>8</v>
      </c>
      <c r="BC546" s="185">
        <v>45772</v>
      </c>
      <c r="BD546" s="185">
        <v>45782</v>
      </c>
      <c r="BE546" s="185">
        <v>45786</v>
      </c>
      <c r="BF546" s="185">
        <v>45831</v>
      </c>
      <c r="BG546" s="20">
        <f>IFERROR(IF(BC546-DATA[[#This Row],[fecha_fs]]&lt;0,0,BC546-DATA[[#This Row],[fecha_fs]]),0)</f>
        <v>4</v>
      </c>
      <c r="BH546" s="20">
        <f t="shared" si="59"/>
        <v>10</v>
      </c>
      <c r="BI546" s="20">
        <f t="shared" si="60"/>
        <v>4</v>
      </c>
      <c r="BJ546" s="20">
        <f t="shared" si="61"/>
        <v>45</v>
      </c>
      <c r="BK546" s="218">
        <f>IFERROR(SUM(DATA[[#This Row],[fs_fd_ttd]:[fend_fenf_ttd]]),0)</f>
        <v>63</v>
      </c>
      <c r="BL546" s="20" t="str">
        <f>IF(DATA[[#This Row],[fecha_fs]]&gt;0,TEXT(DATA[[#This Row],[fecha_fs]],"YYYY"),0)</f>
        <v>2025</v>
      </c>
      <c r="BM546" s="221" t="b">
        <v>1</v>
      </c>
      <c r="BN546" s="278">
        <f>COUNTIF(DATA[[#This Row],[tiempo_td]], "&lt;=15")</f>
        <v>0</v>
      </c>
      <c r="BO546" s="222"/>
    </row>
    <row r="547" spans="1:67" ht="30.6" customHeight="1" x14ac:dyDescent="0.25">
      <c r="A547" s="4">
        <v>20141637941</v>
      </c>
      <c r="B547" s="5" t="s">
        <v>79</v>
      </c>
      <c r="C547" s="52" t="s">
        <v>18</v>
      </c>
      <c r="D547" s="4" t="s">
        <v>120</v>
      </c>
      <c r="E547" s="5" t="s">
        <v>3</v>
      </c>
      <c r="F547" s="24">
        <v>45770</v>
      </c>
      <c r="G547" s="7" t="s">
        <v>113</v>
      </c>
      <c r="H547" s="25">
        <f t="shared" si="56"/>
        <v>1</v>
      </c>
      <c r="I547" s="67">
        <v>4410</v>
      </c>
      <c r="J547" s="8" t="s">
        <v>115</v>
      </c>
      <c r="K547" s="9" t="s">
        <v>121</v>
      </c>
      <c r="L547" s="10" t="s">
        <v>117</v>
      </c>
      <c r="M547" s="11">
        <v>1060</v>
      </c>
      <c r="N547" s="12" t="s">
        <v>125</v>
      </c>
      <c r="O547" s="6">
        <v>45772</v>
      </c>
      <c r="P547" s="110">
        <v>3405</v>
      </c>
      <c r="Q547" s="14" t="s">
        <v>85</v>
      </c>
      <c r="R547" s="15">
        <f>70+(DATA[[#This Row],[cantidad_fs]]-1000)*0.1</f>
        <v>76</v>
      </c>
      <c r="S547" s="15">
        <v>517</v>
      </c>
      <c r="T547" s="15">
        <f>DATA[[#This Row],[C. DF]]+DATA[[#This Row],[C.OPE.]]</f>
        <v>593</v>
      </c>
      <c r="U547" s="15">
        <f>DATA[[#This Row],[SUB TOTAL]]*0.18</f>
        <v>106.74</v>
      </c>
      <c r="V547" s="15">
        <f>IFERROR(ROUND(DATA[[#This Row],[SUB TOTAL]]+DATA[[#This Row],[IGV]],2),0)</f>
        <v>699.74</v>
      </c>
      <c r="W547" s="16" t="str">
        <f>IF(DATA[[#This Row],[VALORIZACIÓN ]]="-","NO CORRESPONDE",IF(OR(A547=20558226979,A547=10470707866,A547=20111157058,A547=20100226902),"NO CORRESPONDE",IF(J547="Emitida",IF(P547&gt;0,"EMITIDA","PENDIENTE"),"NO CORRESPONDE")))</f>
        <v>EMITIDA</v>
      </c>
      <c r="X547" s="29"/>
      <c r="Y547" s="17" t="s">
        <v>118</v>
      </c>
      <c r="Z547" s="30">
        <v>45782</v>
      </c>
      <c r="AA547" s="10" t="s">
        <v>150</v>
      </c>
      <c r="AB547" s="19">
        <v>70</v>
      </c>
      <c r="AC547" s="20">
        <v>30</v>
      </c>
      <c r="AD547" s="18">
        <f>DATA[[#This Row],[FECHA DE EMISION]]+DATA[[#This Row],[CONDICION DE PAGO]]</f>
        <v>45812</v>
      </c>
      <c r="AE547" s="23">
        <f>IF(DATA[[#This Row],[MONEDA]]="USD",VLOOKUP(DATA[[#This Row],[COMBINADA]],#REF!,11,0),1)</f>
        <v>1</v>
      </c>
      <c r="AF547" s="39" t="str">
        <f>IF(DATA[[#This Row],[SERIE2]]="-","NO CORRESPONDE",IF(W547="NO CORRESPONDE","NO CORRESPONDE",IF(Z547&gt;0,"FACTURADO","PENDIENTE")))</f>
        <v>FACTURADO</v>
      </c>
      <c r="AG547" s="27">
        <f>IFERROR(VLOOKUP(DATA[[#This Row],[COMBINADA]],#REF!,6,0),0)</f>
        <v>0</v>
      </c>
      <c r="AH547" s="125">
        <f>IFERROR(VLOOKUP(DATA[[#This Row],[COMBINADA]],#REF!,9,0),0)/COUNTIFS(DATA[COMBINADA],DATA[[#This Row],[COMBINADA]])</f>
        <v>0</v>
      </c>
      <c r="AI547" s="27">
        <f>IFERROR(VLOOKUP(DATA[[#This Row],[COMBINADA]],#REF!,6,0),0)</f>
        <v>0</v>
      </c>
      <c r="AJ547" s="125">
        <f>IFERROR(VLOOKUP(DATA[[#This Row],[COMBINADA]],#REF!,9,0),0)/COUNTIFS(DATA[COMBINADA],DATA[[#This Row],[COMBINADA]])</f>
        <v>0</v>
      </c>
      <c r="AK547" s="27">
        <f>IFERROR(VLOOKUP(DATA[[#This Row],[COMBINADA]],#REF!,6,0),0)</f>
        <v>0</v>
      </c>
      <c r="AL547" s="125">
        <f>IFERROR(VLOOKUP(DATA[[#This Row],[COMBINADA]],#REF!,9,0),0)/COUNTIFS(DATA[COMBINADA],DATA[[#This Row],[COMBINADA]])</f>
        <v>0</v>
      </c>
      <c r="AM547" s="27">
        <f>IFERROR(VLOOKUP(DATA[[#This Row],[COMBINADA]],#REF!,6,0),0)</f>
        <v>0</v>
      </c>
      <c r="AN547" s="125">
        <f>IFERROR(VLOOKUP(DATA[[#This Row],[COMBINADA]],#REF!,9,0),0)/COUNTIFS(DATA[COMBINADA],DATA[[#This Row],[COMBINADA]])</f>
        <v>0</v>
      </c>
      <c r="AO547" s="27">
        <f>IFERROR(VLOOKUP(DATA[[#This Row],[COMBINADA]],#REF!,6,0),0)</f>
        <v>0</v>
      </c>
      <c r="AP547" s="125">
        <f>IFERROR(VLOOKUP(DATA[[#This Row],[COMBINADA]],#REF!,9,0),0)/COUNTIFS(DATA[COMBINADA],DATA[[#This Row],[COMBINADA]])</f>
        <v>0</v>
      </c>
      <c r="AQ54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700.21199999999988</v>
      </c>
      <c r="AR547" s="26" t="str">
        <f>IFERROR(IF(DATA[[#This Row],[estado_fact]]="FACTURADO",VLOOKUP(DATA[[#This Row],[SERIE2]]&amp;"-"&amp;DATA[[#This Row],[NUMERO]],#REF!,34,0),"NO CORRESPONDE"),"NO CORRESPONDE")</f>
        <v>NO CORRESPONDE</v>
      </c>
      <c r="AS547" s="22" t="str">
        <f>IF(DATA[[#This Row],[fecha_fs]]&gt;0,TEXT(DATA[[#This Row],[fecha_fs]],"Mmmm"),0)</f>
        <v>Abril</v>
      </c>
      <c r="AT547" s="22" t="str">
        <f>DATA[[#This Row],[SERIE2]]&amp;"-"&amp;DATA[[#This Row],[NUMERO]]</f>
        <v>FF01-70</v>
      </c>
      <c r="AU547" s="28">
        <f>DATA[[#This Row],[TOTAL]]*DATA[[#This Row],[T.C.]]</f>
        <v>699.74</v>
      </c>
      <c r="AV547" s="6">
        <f>DATA[[#This Row],[FECHA DE VAL.]]</f>
        <v>45772</v>
      </c>
      <c r="AW547" s="6">
        <f>DATA[[#This Row],[FECHA DE EMISION]]</f>
        <v>45782</v>
      </c>
      <c r="AX547" s="6">
        <f>DATA[[#This Row],[F1]]</f>
        <v>0</v>
      </c>
      <c r="AY547" s="20">
        <f>IF(AV547-DATA[[#This Row],[fecha_fs]]&lt;0,0,AV547-DATA[[#This Row],[fecha_fs]])</f>
        <v>2</v>
      </c>
      <c r="AZ547" s="20">
        <f t="shared" si="57"/>
        <v>10</v>
      </c>
      <c r="BA547" s="20">
        <f t="shared" si="58"/>
        <v>0</v>
      </c>
      <c r="BB547" s="195">
        <f>IFERROR(SUM(DATA[[#This Row],[fs_val_ttf]:[fact_pago_ttf]]),0)</f>
        <v>12</v>
      </c>
      <c r="BC547" s="185">
        <v>45770</v>
      </c>
      <c r="BD547" s="185">
        <v>45770</v>
      </c>
      <c r="BE547" s="185">
        <v>45782</v>
      </c>
      <c r="BF547" s="185">
        <v>45782</v>
      </c>
      <c r="BG547" s="20">
        <f>IFERROR(IF(BC547-DATA[[#This Row],[fecha_fs]]&lt;0,0,BC547-DATA[[#This Row],[fecha_fs]]),0)</f>
        <v>0</v>
      </c>
      <c r="BH547" s="20">
        <f t="shared" si="59"/>
        <v>0</v>
      </c>
      <c r="BI547" s="20">
        <f t="shared" si="60"/>
        <v>12</v>
      </c>
      <c r="BJ547" s="20">
        <f t="shared" si="61"/>
        <v>0</v>
      </c>
      <c r="BK547" s="218">
        <f>IFERROR(SUM(DATA[[#This Row],[fs_fd_ttd]:[fend_fenf_ttd]]),0)</f>
        <v>12</v>
      </c>
      <c r="BL547" s="20" t="str">
        <f>IF(DATA[[#This Row],[fecha_fs]]&gt;0,TEXT(DATA[[#This Row],[fecha_fs]],"YYYY"),0)</f>
        <v>2025</v>
      </c>
      <c r="BM547" s="221" t="b">
        <v>1</v>
      </c>
      <c r="BN547" s="278">
        <f>COUNTIF(DATA[[#This Row],[tiempo_td]], "&lt;=15")</f>
        <v>1</v>
      </c>
      <c r="BO547" s="222"/>
    </row>
    <row r="548" spans="1:67" ht="30.6" customHeight="1" x14ac:dyDescent="0.25">
      <c r="A548" s="4">
        <v>20100226902</v>
      </c>
      <c r="B548" s="5" t="s">
        <v>24</v>
      </c>
      <c r="C548" s="52" t="s">
        <v>18</v>
      </c>
      <c r="D548" s="4" t="s">
        <v>120</v>
      </c>
      <c r="E548" s="5" t="s">
        <v>3</v>
      </c>
      <c r="F548" s="24">
        <v>45770</v>
      </c>
      <c r="G548" s="7" t="s">
        <v>113</v>
      </c>
      <c r="H548" s="25">
        <f t="shared" si="56"/>
        <v>1</v>
      </c>
      <c r="I548" s="67">
        <v>4411</v>
      </c>
      <c r="J548" s="8" t="s">
        <v>115</v>
      </c>
      <c r="K548" s="9" t="s">
        <v>121</v>
      </c>
      <c r="L548" s="10" t="s">
        <v>117</v>
      </c>
      <c r="M548" s="11">
        <v>840</v>
      </c>
      <c r="N548" s="12" t="s">
        <v>240</v>
      </c>
      <c r="O548" s="40"/>
      <c r="P548" s="41" t="s">
        <v>114</v>
      </c>
      <c r="Q548" s="42"/>
      <c r="R548" s="43"/>
      <c r="S548" s="43"/>
      <c r="T548" s="43">
        <f>DATA[[#This Row],[C. DF]]+DATA[[#This Row],[C.OPE.]]</f>
        <v>0</v>
      </c>
      <c r="U548" s="43">
        <f>DATA[[#This Row],[SUB TOTAL]]*0.18</f>
        <v>0</v>
      </c>
      <c r="V548" s="43">
        <f>IFERROR(ROUND(DATA[[#This Row],[SUB TOTAL]]+DATA[[#This Row],[IGV]],2),0)</f>
        <v>0</v>
      </c>
      <c r="W548" s="58" t="str">
        <f>IF(DATA[[#This Row],[VALORIZACIÓN ]]="-","NO CORRESPONDE",IF(OR(A548=20558226979,A548=10470707866,A548=20111157058,A548=20100226902),"NO CORRESPONDE",IF(J548="Emitida",IF(P548&gt;0,"EMITIDA","PENDIENTE"),"NO CORRESPONDE")))</f>
        <v>NO CORRESPONDE</v>
      </c>
      <c r="X548" s="45"/>
      <c r="Y548" s="58" t="s">
        <v>128</v>
      </c>
      <c r="Z548" s="46"/>
      <c r="AA548" s="47"/>
      <c r="AB548" s="48"/>
      <c r="AC548" s="49"/>
      <c r="AD548" s="50">
        <f>DATA[[#This Row],[FECHA DE EMISION]]+DATA[[#This Row],[CONDICION DE PAGO]]</f>
        <v>0</v>
      </c>
      <c r="AE548" s="23">
        <f>IF(DATA[[#This Row],[MONEDA]]="USD",VLOOKUP(DATA[[#This Row],[COMBINADA]],#REF!,11,0),1)</f>
        <v>1</v>
      </c>
      <c r="AF548" s="39" t="str">
        <f>IF(DATA[[#This Row],[SERIE2]]="-","NO CORRESPONDE",IF(W548="NO CORRESPONDE","NO CORRESPONDE",IF(Z548&gt;0,"FACTURADO","PENDIENTE")))</f>
        <v>NO CORRESPONDE</v>
      </c>
      <c r="AG548" s="60">
        <f>IFERROR(VLOOKUP(DATA[[#This Row],[COMBINADA]],#REF!,6,0),0)</f>
        <v>0</v>
      </c>
      <c r="AH548" s="126">
        <f>IFERROR(VLOOKUP(DATA[[#This Row],[COMBINADA]],#REF!,9,0),0)/COUNTIFS(DATA[COMBINADA],DATA[[#This Row],[COMBINADA]])</f>
        <v>0</v>
      </c>
      <c r="AI548" s="60">
        <f>IFERROR(VLOOKUP(DATA[[#This Row],[COMBINADA]],#REF!,6,0),0)</f>
        <v>0</v>
      </c>
      <c r="AJ548" s="126">
        <f>IFERROR(VLOOKUP(DATA[[#This Row],[COMBINADA]],#REF!,9,0),0)/COUNTIFS(DATA[COMBINADA],DATA[[#This Row],[COMBINADA]])</f>
        <v>0</v>
      </c>
      <c r="AK548" s="60">
        <f>IFERROR(VLOOKUP(DATA[[#This Row],[COMBINADA]],#REF!,6,0),0)</f>
        <v>0</v>
      </c>
      <c r="AL548" s="126">
        <f>IFERROR(VLOOKUP(DATA[[#This Row],[COMBINADA]],#REF!,9,0),0)/COUNTIFS(DATA[COMBINADA],DATA[[#This Row],[COMBINADA]])</f>
        <v>0</v>
      </c>
      <c r="AM548" s="60">
        <f>IFERROR(VLOOKUP(DATA[[#This Row],[COMBINADA]],#REF!,6,0),0)</f>
        <v>0</v>
      </c>
      <c r="AN548" s="126">
        <f>IFERROR(VLOOKUP(DATA[[#This Row],[COMBINADA]],#REF!,9,0),0)/COUNTIFS(DATA[COMBINADA],DATA[[#This Row],[COMBINADA]])</f>
        <v>0</v>
      </c>
      <c r="AO548" s="60">
        <f>IFERROR(VLOOKUP(DATA[[#This Row],[COMBINADA]],#REF!,6,0),0)</f>
        <v>0</v>
      </c>
      <c r="AP548" s="126">
        <f>IFERROR(VLOOKUP(DATA[[#This Row],[COMBINADA]],#REF!,9,0),0)/COUNTIFS(DATA[COMBINADA],DATA[[#This Row],[COMBINADA]])</f>
        <v>0</v>
      </c>
      <c r="AQ548"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548" s="22" t="str">
        <f>IFERROR(IF(DATA[[#This Row],[estado_fact]]="FACTURADO",VLOOKUP(DATA[[#This Row],[SERIE2]]&amp;"-"&amp;DATA[[#This Row],[NUMERO]],#REF!,34,0),"NO CORRESPONDE"),"NO CORRESPONDE")</f>
        <v>NO CORRESPONDE</v>
      </c>
      <c r="AS548" s="22" t="str">
        <f>IF(DATA[[#This Row],[fecha_fs]]&gt;0,TEXT(DATA[[#This Row],[fecha_fs]],"Mmmm"),0)</f>
        <v>Abril</v>
      </c>
      <c r="AT548" s="22" t="str">
        <f>DATA[[#This Row],[SERIE2]]&amp;"-"&amp;DATA[[#This Row],[NUMERO]]</f>
        <v>-</v>
      </c>
      <c r="AU548" s="28">
        <f>DATA[[#This Row],[TOTAL]]*DATA[[#This Row],[T.C.]]</f>
        <v>0</v>
      </c>
      <c r="AV548" s="6">
        <f>DATA[[#This Row],[FECHA DE VAL.]]</f>
        <v>0</v>
      </c>
      <c r="AW548" s="6">
        <f>DATA[[#This Row],[FECHA DE EMISION]]</f>
        <v>0</v>
      </c>
      <c r="AX548" s="6">
        <f>DATA[[#This Row],[F1]]</f>
        <v>0</v>
      </c>
      <c r="AY548" s="20">
        <f>IF(AV548-DATA[[#This Row],[fecha_fs]]&lt;0,0,AV548-DATA[[#This Row],[fecha_fs]])</f>
        <v>0</v>
      </c>
      <c r="AZ548" s="20">
        <f t="shared" si="57"/>
        <v>0</v>
      </c>
      <c r="BA548" s="20">
        <f t="shared" si="58"/>
        <v>0</v>
      </c>
      <c r="BB548" s="195">
        <f>IFERROR(SUM(DATA[[#This Row],[fs_val_ttf]:[fact_pago_ttf]]),0)</f>
        <v>0</v>
      </c>
      <c r="BC548" s="185">
        <v>45770</v>
      </c>
      <c r="BD548" s="185">
        <v>45770</v>
      </c>
      <c r="BE548" s="185">
        <v>45783</v>
      </c>
      <c r="BF548" s="185">
        <v>45783</v>
      </c>
      <c r="BG548" s="20">
        <f>IFERROR(IF(BC548-DATA[[#This Row],[fecha_fs]]&lt;0,0,BC548-DATA[[#This Row],[fecha_fs]]),0)</f>
        <v>0</v>
      </c>
      <c r="BH548" s="20">
        <f t="shared" si="59"/>
        <v>0</v>
      </c>
      <c r="BI548" s="20">
        <f t="shared" si="60"/>
        <v>13</v>
      </c>
      <c r="BJ548" s="20">
        <f t="shared" si="61"/>
        <v>0</v>
      </c>
      <c r="BK548" s="218">
        <f>IFERROR(SUM(DATA[[#This Row],[fs_fd_ttd]:[fend_fenf_ttd]]),0)</f>
        <v>13</v>
      </c>
      <c r="BL548" s="20" t="str">
        <f>IF(DATA[[#This Row],[fecha_fs]]&gt;0,TEXT(DATA[[#This Row],[fecha_fs]],"YYYY"),0)</f>
        <v>2025</v>
      </c>
      <c r="BM548" s="221" t="b">
        <v>1</v>
      </c>
      <c r="BN548" s="278">
        <f>COUNTIF(DATA[[#This Row],[tiempo_td]], "&lt;=15")</f>
        <v>1</v>
      </c>
      <c r="BO548" s="222"/>
    </row>
    <row r="549" spans="1:67" ht="30.6" customHeight="1" x14ac:dyDescent="0.25">
      <c r="A549" s="4">
        <v>20100211115</v>
      </c>
      <c r="B549" s="5" t="s">
        <v>41</v>
      </c>
      <c r="C549" s="52" t="s">
        <v>18</v>
      </c>
      <c r="D549" s="4" t="s">
        <v>120</v>
      </c>
      <c r="E549" s="5" t="s">
        <v>3</v>
      </c>
      <c r="F549" s="24">
        <v>45770</v>
      </c>
      <c r="G549" s="7" t="s">
        <v>113</v>
      </c>
      <c r="H549" s="25">
        <f t="shared" si="56"/>
        <v>1</v>
      </c>
      <c r="I549" s="67">
        <v>4412</v>
      </c>
      <c r="J549" s="8" t="s">
        <v>115</v>
      </c>
      <c r="K549" s="9" t="s">
        <v>121</v>
      </c>
      <c r="L549" s="10" t="s">
        <v>117</v>
      </c>
      <c r="M549" s="11">
        <v>90</v>
      </c>
      <c r="N549" s="12" t="s">
        <v>167</v>
      </c>
      <c r="O549" s="6">
        <v>45775</v>
      </c>
      <c r="P549" s="115">
        <v>3419</v>
      </c>
      <c r="Q549" s="14" t="s">
        <v>85</v>
      </c>
      <c r="R549" s="15"/>
      <c r="S549" s="15">
        <f>(DATA[[#This Row],[cantidad_fs]]*4.37)</f>
        <v>393.3</v>
      </c>
      <c r="T549" s="15">
        <f>DATA[[#This Row],[C. DF]]+DATA[[#This Row],[C.OPE.]]</f>
        <v>393.3</v>
      </c>
      <c r="U549" s="15">
        <f>DATA[[#This Row],[SUB TOTAL]]*0.18</f>
        <v>70.793999999999997</v>
      </c>
      <c r="V549" s="15">
        <f>IFERROR(ROUND(DATA[[#This Row],[SUB TOTAL]]+DATA[[#This Row],[IGV]],2),0)</f>
        <v>464.09</v>
      </c>
      <c r="W549" s="16" t="str">
        <f>IF(DATA[[#This Row],[VALORIZACIÓN ]]="-","NO CORRESPONDE",IF(OR(A549=20558226979,A549=10470707866,A549=20111157058,A549=20100226902),"NO CORRESPONDE",IF(J549="Emitida",IF(P549&gt;0,"EMITIDA","PENDIENTE"),"NO CORRESPONDE")))</f>
        <v>EMITIDA</v>
      </c>
      <c r="X549" s="29"/>
      <c r="Y549" s="17" t="s">
        <v>118</v>
      </c>
      <c r="Z549" s="30">
        <v>45777</v>
      </c>
      <c r="AA549" s="10" t="s">
        <v>150</v>
      </c>
      <c r="AB549" s="19">
        <v>60</v>
      </c>
      <c r="AC549" s="20">
        <v>30</v>
      </c>
      <c r="AD549" s="18">
        <f>DATA[[#This Row],[FECHA DE EMISION]]+DATA[[#This Row],[CONDICION DE PAGO]]</f>
        <v>45807</v>
      </c>
      <c r="AE549" s="23">
        <f>IF(DATA[[#This Row],[MONEDA]]="USD",VLOOKUP(DATA[[#This Row],[COMBINADA]],#REF!,11,0),1)</f>
        <v>1</v>
      </c>
      <c r="AF549" s="39" t="str">
        <f>IF(DATA[[#This Row],[SERIE2]]="-","NO CORRESPONDE",IF(W549="NO CORRESPONDE","NO CORRESPONDE",IF(Z549&gt;0,"FACTURADO","PENDIENTE")))</f>
        <v>FACTURADO</v>
      </c>
      <c r="AG549" s="27">
        <f>IFERROR(VLOOKUP(DATA[[#This Row],[COMBINADA]],#REF!,6,0),0)</f>
        <v>0</v>
      </c>
      <c r="AH549" s="125">
        <f>IFERROR(VLOOKUP(DATA[[#This Row],[COMBINADA]],#REF!,9,0),0)/COUNTIFS(DATA[COMBINADA],DATA[[#This Row],[COMBINADA]])</f>
        <v>0</v>
      </c>
      <c r="AI549" s="27">
        <f>IFERROR(VLOOKUP(DATA[[#This Row],[COMBINADA]],#REF!,6,0),0)</f>
        <v>0</v>
      </c>
      <c r="AJ549" s="125">
        <f>IFERROR(VLOOKUP(DATA[[#This Row],[COMBINADA]],#REF!,9,0),0)/COUNTIFS(DATA[COMBINADA],DATA[[#This Row],[COMBINADA]])</f>
        <v>0</v>
      </c>
      <c r="AK549" s="27">
        <f>IFERROR(VLOOKUP(DATA[[#This Row],[COMBINADA]],#REF!,6,0),0)</f>
        <v>0</v>
      </c>
      <c r="AL549" s="125">
        <f>IFERROR(VLOOKUP(DATA[[#This Row],[COMBINADA]],#REF!,9,0),0)/COUNTIFS(DATA[COMBINADA],DATA[[#This Row],[COMBINADA]])</f>
        <v>0</v>
      </c>
      <c r="AM549" s="27">
        <f>IFERROR(VLOOKUP(DATA[[#This Row],[COMBINADA]],#REF!,6,0),0)</f>
        <v>0</v>
      </c>
      <c r="AN549" s="125">
        <f>IFERROR(VLOOKUP(DATA[[#This Row],[COMBINADA]],#REF!,9,0),0)/COUNTIFS(DATA[COMBINADA],DATA[[#This Row],[COMBINADA]])</f>
        <v>0</v>
      </c>
      <c r="AO549" s="27">
        <f>IFERROR(VLOOKUP(DATA[[#This Row],[COMBINADA]],#REF!,6,0),0)</f>
        <v>0</v>
      </c>
      <c r="AP549" s="125">
        <f>IFERROR(VLOOKUP(DATA[[#This Row],[COMBINADA]],#REF!,9,0),0)/COUNTIFS(DATA[COMBINADA],DATA[[#This Row],[COMBINADA]])</f>
        <v>0</v>
      </c>
      <c r="AQ54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549" s="26" t="str">
        <f>IFERROR(IF(DATA[[#This Row],[estado_fact]]="FACTURADO",VLOOKUP(DATA[[#This Row],[SERIE2]]&amp;"-"&amp;DATA[[#This Row],[NUMERO]],#REF!,34,0),"NO CORRESPONDE"),"NO CORRESPONDE")</f>
        <v>NO CORRESPONDE</v>
      </c>
      <c r="AS549" s="22" t="str">
        <f>IF(DATA[[#This Row],[fecha_fs]]&gt;0,TEXT(DATA[[#This Row],[fecha_fs]],"Mmmm"),0)</f>
        <v>Abril</v>
      </c>
      <c r="AT549" s="22" t="str">
        <f>DATA[[#This Row],[SERIE2]]&amp;"-"&amp;DATA[[#This Row],[NUMERO]]</f>
        <v>FF01-60</v>
      </c>
      <c r="AU549" s="28">
        <f>DATA[[#This Row],[TOTAL]]*DATA[[#This Row],[T.C.]]</f>
        <v>464.09</v>
      </c>
      <c r="AV549" s="6">
        <f>DATA[[#This Row],[FECHA DE VAL.]]</f>
        <v>45775</v>
      </c>
      <c r="AW549" s="6">
        <f>DATA[[#This Row],[FECHA DE EMISION]]</f>
        <v>45777</v>
      </c>
      <c r="AX549" s="6">
        <f>DATA[[#This Row],[F1]]</f>
        <v>0</v>
      </c>
      <c r="AY549" s="20">
        <f>IF(AV549-DATA[[#This Row],[fecha_fs]]&lt;0,0,AV549-DATA[[#This Row],[fecha_fs]])</f>
        <v>5</v>
      </c>
      <c r="AZ549" s="20">
        <f t="shared" si="57"/>
        <v>2</v>
      </c>
      <c r="BA549" s="20">
        <f t="shared" si="58"/>
        <v>0</v>
      </c>
      <c r="BB549" s="195">
        <f>IFERROR(SUM(DATA[[#This Row],[fs_val_ttf]:[fact_pago_ttf]]),0)</f>
        <v>7</v>
      </c>
      <c r="BC549" s="185">
        <v>45779</v>
      </c>
      <c r="BD549" s="185">
        <v>45789</v>
      </c>
      <c r="BE549" s="185">
        <v>45796</v>
      </c>
      <c r="BF549" s="184">
        <v>45798</v>
      </c>
      <c r="BG549" s="20">
        <f>IFERROR(IF(BC549-DATA[[#This Row],[fecha_fs]]&lt;0,0,BC549-DATA[[#This Row],[fecha_fs]]),0)</f>
        <v>9</v>
      </c>
      <c r="BH549" s="20">
        <f t="shared" si="59"/>
        <v>10</v>
      </c>
      <c r="BI549" s="20">
        <f t="shared" si="60"/>
        <v>7</v>
      </c>
      <c r="BJ549" s="20">
        <f t="shared" si="61"/>
        <v>2</v>
      </c>
      <c r="BK549" s="218">
        <f>IFERROR(SUM(DATA[[#This Row],[fs_fd_ttd]:[fend_fenf_ttd]]),0)</f>
        <v>28</v>
      </c>
      <c r="BL549" s="20" t="str">
        <f>IF(DATA[[#This Row],[fecha_fs]]&gt;0,TEXT(DATA[[#This Row],[fecha_fs]],"YYYY"),0)</f>
        <v>2025</v>
      </c>
      <c r="BM549" s="221" t="b">
        <v>1</v>
      </c>
      <c r="BN549" s="278">
        <f>COUNTIF(DATA[[#This Row],[tiempo_td]], "&lt;=15")</f>
        <v>0</v>
      </c>
      <c r="BO549" s="222"/>
    </row>
    <row r="550" spans="1:67" ht="30.6" customHeight="1" x14ac:dyDescent="0.25">
      <c r="A550" s="4">
        <v>20553956324</v>
      </c>
      <c r="B550" s="5" t="s">
        <v>281</v>
      </c>
      <c r="C550" s="52" t="s">
        <v>175</v>
      </c>
      <c r="D550" s="4" t="s">
        <v>120</v>
      </c>
      <c r="E550" s="5" t="s">
        <v>3</v>
      </c>
      <c r="F550" s="24">
        <v>45770</v>
      </c>
      <c r="G550" s="7" t="s">
        <v>113</v>
      </c>
      <c r="H550" s="25">
        <f t="shared" si="56"/>
        <v>1</v>
      </c>
      <c r="I550" s="67">
        <v>4413</v>
      </c>
      <c r="J550" s="8" t="s">
        <v>115</v>
      </c>
      <c r="K550" s="9" t="s">
        <v>121</v>
      </c>
      <c r="L550" s="10" t="s">
        <v>117</v>
      </c>
      <c r="M550" s="11">
        <v>110</v>
      </c>
      <c r="N550" s="12" t="s">
        <v>167</v>
      </c>
      <c r="O550" s="6">
        <v>45775</v>
      </c>
      <c r="P550" s="109">
        <v>3422</v>
      </c>
      <c r="Q550" s="14" t="s">
        <v>85</v>
      </c>
      <c r="R550" s="15">
        <f>DATA[[#This Row],[cantidad_fs]]*0.08</f>
        <v>8.8000000000000007</v>
      </c>
      <c r="S550" s="15">
        <v>395.1</v>
      </c>
      <c r="T550" s="15">
        <f>DATA[[#This Row],[C. DF]]+DATA[[#This Row],[C.OPE.]]</f>
        <v>403.90000000000003</v>
      </c>
      <c r="U550" s="15">
        <f>DATA[[#This Row],[SUB TOTAL]]*0.18</f>
        <v>72.701999999999998</v>
      </c>
      <c r="V550" s="15">
        <f>IFERROR(ROUND(DATA[[#This Row],[SUB TOTAL]]+DATA[[#This Row],[IGV]],2),0)</f>
        <v>476.6</v>
      </c>
      <c r="W550" s="16" t="str">
        <f>IF(DATA[[#This Row],[VALORIZACIÓN ]]="-","NO CORRESPONDE",IF(OR(A550=20558226979,A550=10470707866,A550=20111157058,A550=20100226902),"NO CORRESPONDE",IF(J550="Emitida",IF(P550&gt;0,"EMITIDA","PENDIENTE"),"NO CORRESPONDE")))</f>
        <v>EMITIDA</v>
      </c>
      <c r="X550" s="29"/>
      <c r="Y550" s="17" t="s">
        <v>118</v>
      </c>
      <c r="Z550" s="30">
        <v>45790</v>
      </c>
      <c r="AA550" s="10" t="s">
        <v>150</v>
      </c>
      <c r="AB550" s="19">
        <v>76</v>
      </c>
      <c r="AC550" s="20"/>
      <c r="AD550" s="18">
        <f>DATA[[#This Row],[FECHA DE EMISION]]+DATA[[#This Row],[CONDICION DE PAGO]]</f>
        <v>45790</v>
      </c>
      <c r="AE550" s="23">
        <f>IF(DATA[[#This Row],[MONEDA]]="USD",VLOOKUP(DATA[[#This Row],[COMBINADA]],#REF!,11,0),1)</f>
        <v>1</v>
      </c>
      <c r="AF550" s="39" t="str">
        <f>IF(DATA[[#This Row],[SERIE2]]="-","NO CORRESPONDE",IF(W550="NO CORRESPONDE","NO CORRESPONDE",IF(Z550&gt;0,"FACTURADO","PENDIENTE")))</f>
        <v>FACTURADO</v>
      </c>
      <c r="AG550" s="27">
        <f>IFERROR(VLOOKUP(DATA[[#This Row],[COMBINADA]],#REF!,6,0),0)</f>
        <v>0</v>
      </c>
      <c r="AH550" s="125">
        <f>IFERROR(VLOOKUP(DATA[[#This Row],[COMBINADA]],#REF!,9,0),0)/COUNTIFS(DATA[COMBINADA],DATA[[#This Row],[COMBINADA]])</f>
        <v>0</v>
      </c>
      <c r="AI550" s="27">
        <f>IFERROR(VLOOKUP(DATA[[#This Row],[COMBINADA]],#REF!,6,0),0)</f>
        <v>0</v>
      </c>
      <c r="AJ550" s="125">
        <f>IFERROR(VLOOKUP(DATA[[#This Row],[COMBINADA]],#REF!,9,0),0)/COUNTIFS(DATA[COMBINADA],DATA[[#This Row],[COMBINADA]])</f>
        <v>0</v>
      </c>
      <c r="AK550" s="27">
        <f>IFERROR(VLOOKUP(DATA[[#This Row],[COMBINADA]],#REF!,6,0),0)</f>
        <v>0</v>
      </c>
      <c r="AL550" s="125">
        <f>IFERROR(VLOOKUP(DATA[[#This Row],[COMBINADA]],#REF!,9,0),0)/COUNTIFS(DATA[COMBINADA],DATA[[#This Row],[COMBINADA]])</f>
        <v>0</v>
      </c>
      <c r="AM550" s="27">
        <f>IFERROR(VLOOKUP(DATA[[#This Row],[COMBINADA]],#REF!,6,0),0)</f>
        <v>0</v>
      </c>
      <c r="AN550" s="125">
        <f>IFERROR(VLOOKUP(DATA[[#This Row],[COMBINADA]],#REF!,9,0),0)/COUNTIFS(DATA[COMBINADA],DATA[[#This Row],[COMBINADA]])</f>
        <v>0</v>
      </c>
      <c r="AO550" s="27">
        <f>IFERROR(VLOOKUP(DATA[[#This Row],[COMBINADA]],#REF!,6,0),0)</f>
        <v>0</v>
      </c>
      <c r="AP550" s="125">
        <f>IFERROR(VLOOKUP(DATA[[#This Row],[COMBINADA]],#REF!,9,0),0)/COUNTIFS(DATA[COMBINADA],DATA[[#This Row],[COMBINADA]])</f>
        <v>0</v>
      </c>
      <c r="AQ55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481.00750000000011</v>
      </c>
      <c r="AR550" s="26" t="str">
        <f>IFERROR(IF(DATA[[#This Row],[estado_fact]]="FACTURADO",VLOOKUP(DATA[[#This Row],[SERIE2]]&amp;"-"&amp;DATA[[#This Row],[NUMERO]],#REF!,34,0),"NO CORRESPONDE"),"NO CORRESPONDE")</f>
        <v>NO CORRESPONDE</v>
      </c>
      <c r="AS550" s="22" t="str">
        <f>IF(DATA[[#This Row],[fecha_fs]]&gt;0,TEXT(DATA[[#This Row],[fecha_fs]],"Mmmm"),0)</f>
        <v>Abril</v>
      </c>
      <c r="AT550" s="22" t="str">
        <f>DATA[[#This Row],[SERIE2]]&amp;"-"&amp;DATA[[#This Row],[NUMERO]]</f>
        <v>FF01-76</v>
      </c>
      <c r="AU550" s="28">
        <f>DATA[[#This Row],[TOTAL]]*DATA[[#This Row],[T.C.]]</f>
        <v>476.6</v>
      </c>
      <c r="AV550" s="6">
        <f>DATA[[#This Row],[FECHA DE VAL.]]</f>
        <v>45775</v>
      </c>
      <c r="AW550" s="6">
        <f>DATA[[#This Row],[FECHA DE EMISION]]</f>
        <v>45790</v>
      </c>
      <c r="AX550" s="6">
        <f>DATA[[#This Row],[F1]]</f>
        <v>0</v>
      </c>
      <c r="AY550" s="20">
        <f>IF(AV550-DATA[[#This Row],[fecha_fs]]&lt;0,0,AV550-DATA[[#This Row],[fecha_fs]])</f>
        <v>5</v>
      </c>
      <c r="AZ550" s="20">
        <f t="shared" si="57"/>
        <v>15</v>
      </c>
      <c r="BA550" s="20">
        <f t="shared" si="58"/>
        <v>0</v>
      </c>
      <c r="BB550" s="195">
        <f>IFERROR(SUM(DATA[[#This Row],[fs_val_ttf]:[fact_pago_ttf]]),0)</f>
        <v>20</v>
      </c>
      <c r="BC550" s="185">
        <v>45779</v>
      </c>
      <c r="BD550" s="185">
        <v>45789</v>
      </c>
      <c r="BE550" s="185">
        <v>45796</v>
      </c>
      <c r="BF550" s="185">
        <v>45832</v>
      </c>
      <c r="BG550" s="20">
        <f>IFERROR(IF(BC550-DATA[[#This Row],[fecha_fs]]&lt;0,0,BC550-DATA[[#This Row],[fecha_fs]]),0)</f>
        <v>9</v>
      </c>
      <c r="BH550" s="20">
        <f t="shared" si="59"/>
        <v>10</v>
      </c>
      <c r="BI550" s="20">
        <f t="shared" si="60"/>
        <v>7</v>
      </c>
      <c r="BJ550" s="20">
        <f t="shared" si="61"/>
        <v>36</v>
      </c>
      <c r="BK550" s="218">
        <f>IFERROR(SUM(DATA[[#This Row],[fs_fd_ttd]:[fend_fenf_ttd]]),0)</f>
        <v>62</v>
      </c>
      <c r="BL550" s="20" t="str">
        <f>IF(DATA[[#This Row],[fecha_fs]]&gt;0,TEXT(DATA[[#This Row],[fecha_fs]],"YYYY"),0)</f>
        <v>2025</v>
      </c>
      <c r="BM550" s="221" t="b">
        <v>1</v>
      </c>
      <c r="BN550" s="278">
        <f>COUNTIF(DATA[[#This Row],[tiempo_td]], "&lt;=15")</f>
        <v>0</v>
      </c>
      <c r="BO550" s="222"/>
    </row>
    <row r="551" spans="1:67" ht="30.6" customHeight="1" x14ac:dyDescent="0.25">
      <c r="A551" s="4">
        <v>20505675836</v>
      </c>
      <c r="B551" s="5" t="s">
        <v>42</v>
      </c>
      <c r="C551" s="52" t="s">
        <v>43</v>
      </c>
      <c r="D551" s="4" t="s">
        <v>112</v>
      </c>
      <c r="E551" s="5" t="s">
        <v>1</v>
      </c>
      <c r="F551" s="24">
        <v>45770</v>
      </c>
      <c r="G551" s="7" t="s">
        <v>113</v>
      </c>
      <c r="H551" s="25">
        <f t="shared" si="56"/>
        <v>1</v>
      </c>
      <c r="I551" s="67">
        <v>4414</v>
      </c>
      <c r="J551" s="8" t="s">
        <v>115</v>
      </c>
      <c r="K551" s="9" t="s">
        <v>116</v>
      </c>
      <c r="L551" s="10" t="s">
        <v>117</v>
      </c>
      <c r="M551" s="11">
        <v>2590</v>
      </c>
      <c r="N551" s="12" t="s">
        <v>129</v>
      </c>
      <c r="O551" s="6">
        <v>45772</v>
      </c>
      <c r="P551" s="71">
        <v>3402</v>
      </c>
      <c r="Q551" s="14" t="s">
        <v>85</v>
      </c>
      <c r="R551" s="15">
        <f>(DATA[[#This Row],[cantidad_fs]]-600)*0.97</f>
        <v>1930.3</v>
      </c>
      <c r="S551" s="15">
        <v>1427.2</v>
      </c>
      <c r="T551" s="15">
        <f>DATA[[#This Row],[C. DF]]+DATA[[#This Row],[C.OPE.]]</f>
        <v>3357.5</v>
      </c>
      <c r="U551" s="15">
        <f>DATA[[#This Row],[SUB TOTAL]]*0.18</f>
        <v>604.35</v>
      </c>
      <c r="V551" s="15">
        <f>IFERROR(ROUND(DATA[[#This Row],[SUB TOTAL]]+DATA[[#This Row],[IGV]],2),0)</f>
        <v>3961.85</v>
      </c>
      <c r="W551" s="16" t="str">
        <f>IF(DATA[[#This Row],[VALORIZACIÓN ]]="-","NO CORRESPONDE",IF(OR(A551=20558226979,A551=10470707866,A551=20111157058,A551=20100226902),"NO CORRESPONDE",IF(J551="Emitida",IF(P551&gt;0,"EMITIDA","PENDIENTE"),"NO CORRESPONDE")))</f>
        <v>EMITIDA</v>
      </c>
      <c r="X551" s="29"/>
      <c r="Y551" s="17" t="s">
        <v>118</v>
      </c>
      <c r="Z551" s="30">
        <v>45818</v>
      </c>
      <c r="AA551" s="10" t="s">
        <v>150</v>
      </c>
      <c r="AB551" s="19">
        <v>112</v>
      </c>
      <c r="AC551" s="20">
        <v>30</v>
      </c>
      <c r="AD551" s="18">
        <f>DATA[[#This Row],[FECHA DE EMISION]]+DATA[[#This Row],[CONDICION DE PAGO]]</f>
        <v>45848</v>
      </c>
      <c r="AE551" s="23">
        <f>IF(DATA[[#This Row],[MONEDA]]="USD",VLOOKUP(DATA[[#This Row],[COMBINADA]],#REF!,11,0),1)</f>
        <v>1</v>
      </c>
      <c r="AF551" s="39" t="str">
        <f>IF(DATA[[#This Row],[SERIE2]]="-","NO CORRESPONDE",IF(W551="NO CORRESPONDE","NO CORRESPONDE",IF(Z551&gt;0,"FACTURADO","PENDIENTE")))</f>
        <v>FACTURADO</v>
      </c>
      <c r="AG551" s="27">
        <f>IFERROR(VLOOKUP(DATA[[#This Row],[COMBINADA]],#REF!,6,0),0)</f>
        <v>0</v>
      </c>
      <c r="AH551" s="125">
        <f>IFERROR(VLOOKUP(DATA[[#This Row],[COMBINADA]],#REF!,9,0),0)/COUNTIFS(DATA[COMBINADA],DATA[[#This Row],[COMBINADA]])</f>
        <v>0</v>
      </c>
      <c r="AI551" s="27">
        <f>IFERROR(VLOOKUP(DATA[[#This Row],[COMBINADA]],#REF!,6,0),0)</f>
        <v>0</v>
      </c>
      <c r="AJ551" s="125">
        <f>IFERROR(VLOOKUP(DATA[[#This Row],[COMBINADA]],#REF!,9,0),0)/COUNTIFS(DATA[COMBINADA],DATA[[#This Row],[COMBINADA]])</f>
        <v>0</v>
      </c>
      <c r="AK551" s="27">
        <f>IFERROR(VLOOKUP(DATA[[#This Row],[COMBINADA]],#REF!,6,0),0)</f>
        <v>0</v>
      </c>
      <c r="AL551" s="125">
        <f>IFERROR(VLOOKUP(DATA[[#This Row],[COMBINADA]],#REF!,9,0),0)/COUNTIFS(DATA[COMBINADA],DATA[[#This Row],[COMBINADA]])</f>
        <v>0</v>
      </c>
      <c r="AM551" s="27">
        <f>IFERROR(VLOOKUP(DATA[[#This Row],[COMBINADA]],#REF!,6,0),0)</f>
        <v>0</v>
      </c>
      <c r="AN551" s="125">
        <f>IFERROR(VLOOKUP(DATA[[#This Row],[COMBINADA]],#REF!,9,0),0)/COUNTIFS(DATA[COMBINADA],DATA[[#This Row],[COMBINADA]])</f>
        <v>0</v>
      </c>
      <c r="AO551" s="27">
        <f>IFERROR(VLOOKUP(DATA[[#This Row],[COMBINADA]],#REF!,6,0),0)</f>
        <v>0</v>
      </c>
      <c r="AP551" s="125">
        <f>IFERROR(VLOOKUP(DATA[[#This Row],[COMBINADA]],#REF!,9,0),0)/COUNTIFS(DATA[COMBINADA],DATA[[#This Row],[COMBINADA]])</f>
        <v>0</v>
      </c>
      <c r="AQ55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2496.2433333333333</v>
      </c>
      <c r="AR551" s="26" t="str">
        <f>IFERROR(IF(DATA[[#This Row],[estado_fact]]="FACTURADO",VLOOKUP(DATA[[#This Row],[SERIE2]]&amp;"-"&amp;DATA[[#This Row],[NUMERO]],#REF!,34,0),"NO CORRESPONDE"),"NO CORRESPONDE")</f>
        <v>NO CORRESPONDE</v>
      </c>
      <c r="AS551" s="22" t="str">
        <f>IF(DATA[[#This Row],[fecha_fs]]&gt;0,TEXT(DATA[[#This Row],[fecha_fs]],"Mmmm"),0)</f>
        <v>Abril</v>
      </c>
      <c r="AT551" s="22" t="str">
        <f>DATA[[#This Row],[SERIE2]]&amp;"-"&amp;DATA[[#This Row],[NUMERO]]</f>
        <v>FF01-112</v>
      </c>
      <c r="AU551" s="28">
        <f>DATA[[#This Row],[TOTAL]]*DATA[[#This Row],[T.C.]]</f>
        <v>3961.85</v>
      </c>
      <c r="AV551" s="6">
        <f>DATA[[#This Row],[FECHA DE VAL.]]</f>
        <v>45772</v>
      </c>
      <c r="AW551" s="6">
        <f>DATA[[#This Row],[FECHA DE EMISION]]</f>
        <v>45818</v>
      </c>
      <c r="AX551" s="6">
        <f>DATA[[#This Row],[F1]]</f>
        <v>0</v>
      </c>
      <c r="AY551" s="20">
        <f>IF(AV551-DATA[[#This Row],[fecha_fs]]&lt;0,0,AV551-DATA[[#This Row],[fecha_fs]])</f>
        <v>2</v>
      </c>
      <c r="AZ551" s="20">
        <f t="shared" si="57"/>
        <v>46</v>
      </c>
      <c r="BA551" s="20">
        <f t="shared" si="58"/>
        <v>0</v>
      </c>
      <c r="BB551" s="195">
        <f>IFERROR(SUM(DATA[[#This Row],[fs_val_ttf]:[fact_pago_ttf]]),0)</f>
        <v>48</v>
      </c>
      <c r="BC551" s="187">
        <v>45772</v>
      </c>
      <c r="BD551" s="187">
        <v>45782</v>
      </c>
      <c r="BE551" s="187">
        <v>45789</v>
      </c>
      <c r="BF551" s="187">
        <v>45814</v>
      </c>
      <c r="BG551" s="20">
        <f>IFERROR(IF(BC551-DATA[[#This Row],[fecha_fs]]&lt;0,0,BC551-DATA[[#This Row],[fecha_fs]]),0)</f>
        <v>2</v>
      </c>
      <c r="BH551" s="20">
        <f t="shared" si="59"/>
        <v>10</v>
      </c>
      <c r="BI551" s="20">
        <f t="shared" si="60"/>
        <v>7</v>
      </c>
      <c r="BJ551" s="20">
        <f t="shared" si="61"/>
        <v>25</v>
      </c>
      <c r="BK551" s="218">
        <f>IFERROR(SUM(DATA[[#This Row],[fs_fd_ttd]:[fend_fenf_ttd]]),0)</f>
        <v>44</v>
      </c>
      <c r="BL551" s="20" t="str">
        <f>IF(DATA[[#This Row],[fecha_fs]]&gt;0,TEXT(DATA[[#This Row],[fecha_fs]],"YYYY"),0)</f>
        <v>2025</v>
      </c>
      <c r="BM551" s="221" t="b">
        <v>1</v>
      </c>
      <c r="BN551" s="278">
        <f>COUNTIF(DATA[[#This Row],[tiempo_td]], "&lt;=15")</f>
        <v>0</v>
      </c>
      <c r="BO551" s="222"/>
    </row>
    <row r="552" spans="1:67" ht="30" customHeight="1" x14ac:dyDescent="0.3">
      <c r="A552" s="4"/>
      <c r="B552" s="5" t="s">
        <v>0</v>
      </c>
      <c r="C552" s="52"/>
      <c r="D552" s="4"/>
      <c r="E552" s="5" t="s">
        <v>0</v>
      </c>
      <c r="F552" s="24">
        <v>45770</v>
      </c>
      <c r="G552" s="7" t="s">
        <v>113</v>
      </c>
      <c r="H552" s="25">
        <f>IF(G552="","",IF(G552="LIM",2,1))</f>
        <v>1</v>
      </c>
      <c r="I552" s="67">
        <v>4415</v>
      </c>
      <c r="J552" s="8" t="s">
        <v>151</v>
      </c>
      <c r="K552" s="9"/>
      <c r="L552" s="10"/>
      <c r="M552" s="111"/>
      <c r="N552"/>
      <c r="O552" s="6"/>
      <c r="P552" s="13" t="s">
        <v>114</v>
      </c>
      <c r="Q552" s="14"/>
      <c r="R552" s="15"/>
      <c r="S552" s="15"/>
      <c r="T552" s="15">
        <f>DATA[[#This Row],[C. DF]]+DATA[[#This Row],[C.OPE.]]</f>
        <v>0</v>
      </c>
      <c r="U552" s="73">
        <f>DATA[[#This Row],[SUB TOTAL]]*0.18</f>
        <v>0</v>
      </c>
      <c r="V552" s="45">
        <f>IFERROR(ROUND(DATA[[#This Row],[SUB TOTAL]]+DATA[[#This Row],[IGV]],2),0)</f>
        <v>0</v>
      </c>
      <c r="W552" s="73" t="str">
        <f>IF(DATA[[#This Row],[VALORIZACIÓN ]]="-","NO CORRESPONDE",IF(OR(A552=20558226979,A552=10470707866,A552=20111157058,A552=20100226902),"NO CORRESPONDE",IF(J552="Emitida",IF(P552&gt;0,"EMITIDA","PENDIENTE"),"NO CORRESPONDE")))</f>
        <v>NO CORRESPONDE</v>
      </c>
      <c r="X552" s="46"/>
      <c r="Y552" s="17" t="s">
        <v>128</v>
      </c>
      <c r="Z552" s="48"/>
      <c r="AA552" s="49"/>
      <c r="AB552" s="50"/>
      <c r="AC552" s="51"/>
      <c r="AD552" s="59">
        <f>DATA[[#This Row],[FECHA DE EMISION]]+DATA[[#This Row],[CONDICION DE PAGO]]</f>
        <v>0</v>
      </c>
      <c r="AE552" s="23">
        <f>IF(DATA[[#This Row],[MONEDA]]="USD",VLOOKUP(DATA[[#This Row],[COMBINADA]],#REF!,11,0),1)</f>
        <v>1</v>
      </c>
      <c r="AF552" s="39" t="str">
        <f>IF(DATA[[#This Row],[SERIE2]]="-","NO CORRESPONDE",IF(W552="NO CORRESPONDE","NO CORRESPONDE",IF(Z552&gt;0,"FACTURADO","PENDIENTE")))</f>
        <v>NO CORRESPONDE</v>
      </c>
      <c r="AG552" s="61">
        <f>IFERROR(VLOOKUP(DATA[[#This Row],[COMBINADA]],#REF!,6,0),0)</f>
        <v>0</v>
      </c>
      <c r="AH552" s="62">
        <f>IFERROR(VLOOKUP(DATA[[#This Row],[COMBINADA]],#REF!,9,0),0)/COUNTIFS(DATA[COMBINADA],DATA[[#This Row],[COMBINADA]])</f>
        <v>0</v>
      </c>
      <c r="AI552" s="61">
        <f>IFERROR(VLOOKUP(DATA[[#This Row],[COMBINADA]],#REF!,6,0),0)</f>
        <v>0</v>
      </c>
      <c r="AJ552" s="62">
        <f>IFERROR(VLOOKUP(DATA[[#This Row],[COMBINADA]],#REF!,9,0),0)/COUNTIFS(DATA[COMBINADA],DATA[[#This Row],[COMBINADA]])</f>
        <v>0</v>
      </c>
      <c r="AK552" s="61">
        <f>IFERROR(VLOOKUP(DATA[[#This Row],[COMBINADA]],#REF!,6,0),0)</f>
        <v>0</v>
      </c>
      <c r="AL552" s="62">
        <f>IFERROR(VLOOKUP(DATA[[#This Row],[COMBINADA]],#REF!,9,0),0)/COUNTIFS(DATA[COMBINADA],DATA[[#This Row],[COMBINADA]])</f>
        <v>0</v>
      </c>
      <c r="AM552" s="61">
        <f>IFERROR(VLOOKUP(DATA[[#This Row],[COMBINADA]],#REF!,6,0),0)</f>
        <v>0</v>
      </c>
      <c r="AN552" s="62">
        <f>IFERROR(VLOOKUP(DATA[[#This Row],[COMBINADA]],#REF!,9,0),0)/COUNTIFS(DATA[COMBINADA],DATA[[#This Row],[COMBINADA]])</f>
        <v>0</v>
      </c>
      <c r="AO552" s="61">
        <f>IFERROR(VLOOKUP(DATA[[#This Row],[COMBINADA]],#REF!,6,0),0)</f>
        <v>0</v>
      </c>
      <c r="AP552" s="62">
        <f>IFERROR(VLOOKUP(DATA[[#This Row],[COMBINADA]],#REF!,9,0),0)/COUNTIFS(DATA[COMBINADA],DATA[[#This Row],[COMBINADA]])</f>
        <v>0</v>
      </c>
      <c r="AQ552"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552" s="22" t="str">
        <f>IFERROR(IF(DATA[[#This Row],[estado_fact]]="FACTURADO",VLOOKUP(DATA[[#This Row],[SERIE2]]&amp;"-"&amp;DATA[[#This Row],[NUMERO]],#REF!,34,0),"NO CORRESPONDE"),"NO CORRESPONDE")</f>
        <v>NO CORRESPONDE</v>
      </c>
      <c r="AS552" s="198" t="str">
        <f>IF(DATA[[#This Row],[fecha_fs]]&gt;0,TEXT(DATA[[#This Row],[fecha_fs]],"Mmmm"),0)</f>
        <v>Abril</v>
      </c>
      <c r="AT552" s="199" t="str">
        <f>DATA[[#This Row],[SERIE2]]&amp;"-"&amp;DATA[[#This Row],[NUMERO]]</f>
        <v>-</v>
      </c>
      <c r="AU552" s="198">
        <f>DATA[[#This Row],[TOTAL]]*DATA[[#This Row],[T.C.]]</f>
        <v>0</v>
      </c>
      <c r="AV552" s="40">
        <f>DATA[[#This Row],[FECHA DE VAL.]]</f>
        <v>0</v>
      </c>
      <c r="AW552" s="40">
        <f>DATA[[#This Row],[FECHA DE EMISION]]</f>
        <v>0</v>
      </c>
      <c r="AX552" s="40">
        <f>DATA[[#This Row],[F1]]</f>
        <v>0</v>
      </c>
      <c r="AY552" s="49">
        <f>IF(AV552-DATA[[#This Row],[fecha_fs]]&lt;0,0,AV552-DATA[[#This Row],[fecha_fs]])</f>
        <v>0</v>
      </c>
      <c r="AZ552" s="49">
        <f>IF(AW552-AV552&lt;0,0,AW552-AV552)</f>
        <v>0</v>
      </c>
      <c r="BA552" s="49">
        <f>IF(AX552-AW552&lt;0,0,AX552-AW552)</f>
        <v>0</v>
      </c>
      <c r="BB552" s="195">
        <f>IFERROR(SUM(DATA[[#This Row],[fs_val_ttf]:[fact_pago_ttf]]),0)</f>
        <v>0</v>
      </c>
      <c r="BC552" s="202"/>
      <c r="BD552" s="202"/>
      <c r="BE552" s="202"/>
      <c r="BF552" s="202"/>
      <c r="BG552" s="49">
        <f>IFERROR(IF(BC552-DATA[[#This Row],[fecha_fs]]&lt;0,0,BC552-DATA[[#This Row],[fecha_fs]]),0)</f>
        <v>0</v>
      </c>
      <c r="BH552" s="49">
        <f t="shared" ref="BH552:BJ553" si="62">IFERROR(IF(BD552-BC552&lt;0,0,BD552-BC552),0)</f>
        <v>0</v>
      </c>
      <c r="BI552" s="49">
        <f t="shared" si="62"/>
        <v>0</v>
      </c>
      <c r="BJ552" s="49">
        <f t="shared" si="62"/>
        <v>0</v>
      </c>
      <c r="BK552" s="218">
        <f>IFERROR(SUM(DATA[[#This Row],[fs_fd_ttd]:[fend_fenf_ttd]]),0)</f>
        <v>0</v>
      </c>
      <c r="BL552" s="20" t="str">
        <f>IF(DATA[[#This Row],[fecha_fs]]&gt;0,TEXT(DATA[[#This Row],[fecha_fs]],"YYYY"),0)</f>
        <v>2025</v>
      </c>
      <c r="BM552" s="221" t="b">
        <v>0</v>
      </c>
      <c r="BN552" s="278"/>
      <c r="BO552" s="222"/>
    </row>
    <row r="553" spans="1:67" ht="30.6" customHeight="1" x14ac:dyDescent="0.25">
      <c r="A553" s="4">
        <v>20505675836</v>
      </c>
      <c r="B553" s="5" t="s">
        <v>42</v>
      </c>
      <c r="C553" s="52" t="s">
        <v>43</v>
      </c>
      <c r="D553" s="4" t="s">
        <v>157</v>
      </c>
      <c r="E553" s="5" t="s">
        <v>44</v>
      </c>
      <c r="F553" s="24">
        <v>45770</v>
      </c>
      <c r="G553" s="7" t="s">
        <v>113</v>
      </c>
      <c r="H553" s="25">
        <f>IF(G553="","",IF(G553="LIM",2,1))</f>
        <v>1</v>
      </c>
      <c r="I553" s="67">
        <v>4416</v>
      </c>
      <c r="J553" s="8" t="s">
        <v>115</v>
      </c>
      <c r="K553" s="9" t="s">
        <v>185</v>
      </c>
      <c r="L553" s="10" t="s">
        <v>137</v>
      </c>
      <c r="M553" s="11">
        <v>1</v>
      </c>
      <c r="N553" s="12" t="s">
        <v>129</v>
      </c>
      <c r="O553" s="6">
        <v>45772</v>
      </c>
      <c r="P553" s="71">
        <v>3403</v>
      </c>
      <c r="Q553" s="14" t="s">
        <v>85</v>
      </c>
      <c r="R553" s="15"/>
      <c r="S553" s="15">
        <v>2790</v>
      </c>
      <c r="T553" s="15">
        <f>DATA[[#This Row],[C. DF]]+DATA[[#This Row],[C.OPE.]]</f>
        <v>2790</v>
      </c>
      <c r="U553" s="15">
        <f>DATA[[#This Row],[SUB TOTAL]]*0.18</f>
        <v>502.2</v>
      </c>
      <c r="V553" s="15">
        <f>IFERROR(ROUND(DATA[[#This Row],[SUB TOTAL]]+DATA[[#This Row],[IGV]],2),0)</f>
        <v>3292.2</v>
      </c>
      <c r="W553" s="16" t="str">
        <f>IF(DATA[[#This Row],[VALORIZACIÓN ]]="-","NO CORRESPONDE",IF(OR(A553=20558226979,A553=10470707866,A553=20111157058,A553=20100226902),"NO CORRESPONDE",IF(J553="Emitida",IF(P553&gt;0,"EMITIDA","PENDIENTE"),"NO CORRESPONDE")))</f>
        <v>EMITIDA</v>
      </c>
      <c r="X553" s="29"/>
      <c r="Y553" s="17" t="s">
        <v>118</v>
      </c>
      <c r="Z553" s="30">
        <v>45818</v>
      </c>
      <c r="AA553" s="10" t="s">
        <v>150</v>
      </c>
      <c r="AB553" s="19">
        <v>113</v>
      </c>
      <c r="AC553" s="20">
        <v>30</v>
      </c>
      <c r="AD553" s="18">
        <f>DATA[[#This Row],[FECHA DE EMISION]]+DATA[[#This Row],[CONDICION DE PAGO]]</f>
        <v>45848</v>
      </c>
      <c r="AE553" s="23">
        <f>IF(DATA[[#This Row],[MONEDA]]="USD",VLOOKUP(DATA[[#This Row],[COMBINADA]],#REF!,11,0),1)</f>
        <v>1</v>
      </c>
      <c r="AF553" s="39" t="str">
        <f>IF(DATA[[#This Row],[SERIE2]]="-","NO CORRESPONDE",IF(W553="NO CORRESPONDE","NO CORRESPONDE",IF(Z553&gt;0,"FACTURADO","PENDIENTE")))</f>
        <v>FACTURADO</v>
      </c>
      <c r="AG553" s="27">
        <f>IFERROR(VLOOKUP(DATA[[#This Row],[COMBINADA]],#REF!,6,0),0)</f>
        <v>0</v>
      </c>
      <c r="AH553" s="125">
        <f>IFERROR(VLOOKUP(DATA[[#This Row],[COMBINADA]],#REF!,9,0),0)/COUNTIFS(DATA[COMBINADA],DATA[[#This Row],[COMBINADA]])</f>
        <v>0</v>
      </c>
      <c r="AI553" s="27">
        <f>IFERROR(VLOOKUP(DATA[[#This Row],[COMBINADA]],#REF!,6,0),0)</f>
        <v>0</v>
      </c>
      <c r="AJ553" s="125">
        <f>IFERROR(VLOOKUP(DATA[[#This Row],[COMBINADA]],#REF!,9,0),0)/COUNTIFS(DATA[COMBINADA],DATA[[#This Row],[COMBINADA]])</f>
        <v>0</v>
      </c>
      <c r="AK553" s="27">
        <f>IFERROR(VLOOKUP(DATA[[#This Row],[COMBINADA]],#REF!,6,0),0)</f>
        <v>0</v>
      </c>
      <c r="AL553" s="125">
        <f>IFERROR(VLOOKUP(DATA[[#This Row],[COMBINADA]],#REF!,9,0),0)/COUNTIFS(DATA[COMBINADA],DATA[[#This Row],[COMBINADA]])</f>
        <v>0</v>
      </c>
      <c r="AM553" s="27">
        <f>IFERROR(VLOOKUP(DATA[[#This Row],[COMBINADA]],#REF!,6,0),0)</f>
        <v>0</v>
      </c>
      <c r="AN553" s="125">
        <f>IFERROR(VLOOKUP(DATA[[#This Row],[COMBINADA]],#REF!,9,0),0)/COUNTIFS(DATA[COMBINADA],DATA[[#This Row],[COMBINADA]])</f>
        <v>0</v>
      </c>
      <c r="AO553" s="27">
        <f>IFERROR(VLOOKUP(DATA[[#This Row],[COMBINADA]],#REF!,6,0),0)</f>
        <v>0</v>
      </c>
      <c r="AP553" s="125">
        <f>IFERROR(VLOOKUP(DATA[[#This Row],[COMBINADA]],#REF!,9,0),0)/COUNTIFS(DATA[COMBINADA],DATA[[#This Row],[COMBINADA]])</f>
        <v>0</v>
      </c>
      <c r="AQ55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3292.2</v>
      </c>
      <c r="AR553" s="26" t="str">
        <f>IFERROR(IF(DATA[[#This Row],[estado_fact]]="FACTURADO",VLOOKUP(DATA[[#This Row],[SERIE2]]&amp;"-"&amp;DATA[[#This Row],[NUMERO]],#REF!,34,0),"NO CORRESPONDE"),"NO CORRESPONDE")</f>
        <v>NO CORRESPONDE</v>
      </c>
      <c r="AS553" s="22" t="str">
        <f>IF(DATA[[#This Row],[fecha_fs]]&gt;0,TEXT(DATA[[#This Row],[fecha_fs]],"Mmmm"),0)</f>
        <v>Abril</v>
      </c>
      <c r="AT553" s="22" t="str">
        <f>DATA[[#This Row],[SERIE2]]&amp;"-"&amp;DATA[[#This Row],[NUMERO]]</f>
        <v>FF01-113</v>
      </c>
      <c r="AU553" s="28">
        <f>DATA[[#This Row],[TOTAL]]*DATA[[#This Row],[T.C.]]</f>
        <v>3292.2</v>
      </c>
      <c r="AV553" s="6">
        <f>DATA[[#This Row],[FECHA DE VAL.]]</f>
        <v>45772</v>
      </c>
      <c r="AW553" s="6">
        <f>DATA[[#This Row],[FECHA DE EMISION]]</f>
        <v>45818</v>
      </c>
      <c r="AX553" s="6">
        <f>DATA[[#This Row],[F1]]</f>
        <v>0</v>
      </c>
      <c r="AY553" s="20">
        <f>IF(AV553-DATA[[#This Row],[fecha_fs]]&lt;0,0,AV553-DATA[[#This Row],[fecha_fs]])</f>
        <v>2</v>
      </c>
      <c r="AZ553" s="20">
        <f>IF(AW553-AV553&lt;0,0,AW553-AV553)</f>
        <v>46</v>
      </c>
      <c r="BA553" s="20">
        <f>IF(AX553-AW553&lt;0,0,AX553-AW553)</f>
        <v>0</v>
      </c>
      <c r="BB553" s="195">
        <f>IFERROR(SUM(DATA[[#This Row],[fs_val_ttf]:[fact_pago_ttf]]),0)</f>
        <v>48</v>
      </c>
      <c r="BC553" s="185">
        <v>45770</v>
      </c>
      <c r="BD553" s="185">
        <v>45770</v>
      </c>
      <c r="BE553" s="185">
        <v>45783</v>
      </c>
      <c r="BF553" s="185">
        <v>45783</v>
      </c>
      <c r="BG553" s="20">
        <f>IFERROR(IF(BC553-DATA[[#This Row],[fecha_fs]]&lt;0,0,BC553-DATA[[#This Row],[fecha_fs]]),0)</f>
        <v>0</v>
      </c>
      <c r="BH553" s="20">
        <f t="shared" si="62"/>
        <v>0</v>
      </c>
      <c r="BI553" s="20">
        <f t="shared" si="62"/>
        <v>13</v>
      </c>
      <c r="BJ553" s="20">
        <f t="shared" si="62"/>
        <v>0</v>
      </c>
      <c r="BK553" s="218">
        <f>IFERROR(SUM(DATA[[#This Row],[fs_fd_ttd]:[fend_fenf_ttd]]),0)</f>
        <v>13</v>
      </c>
      <c r="BL553" s="20" t="str">
        <f>IF(DATA[[#This Row],[fecha_fs]]&gt;0,TEXT(DATA[[#This Row],[fecha_fs]],"YYYY"),0)</f>
        <v>2025</v>
      </c>
      <c r="BM553" s="221" t="b">
        <v>1</v>
      </c>
      <c r="BN553" s="278">
        <f>COUNTIF(DATA[[#This Row],[tiempo_td]], "&lt;=15")</f>
        <v>1</v>
      </c>
      <c r="BO553" s="222"/>
    </row>
    <row r="554" spans="1:67" ht="30.6" customHeight="1" x14ac:dyDescent="0.25">
      <c r="A554" s="4">
        <v>20100192064</v>
      </c>
      <c r="B554" s="5" t="s">
        <v>60</v>
      </c>
      <c r="C554" s="52" t="s">
        <v>63</v>
      </c>
      <c r="D554" s="4" t="s">
        <v>120</v>
      </c>
      <c r="E554" s="5" t="s">
        <v>3</v>
      </c>
      <c r="F554" s="24">
        <v>45770</v>
      </c>
      <c r="G554" s="7" t="s">
        <v>142</v>
      </c>
      <c r="H554" s="25">
        <f t="shared" si="56"/>
        <v>2</v>
      </c>
      <c r="I554" s="67">
        <v>1076</v>
      </c>
      <c r="J554" s="8" t="s">
        <v>115</v>
      </c>
      <c r="K554" s="9" t="s">
        <v>121</v>
      </c>
      <c r="L554" s="10" t="s">
        <v>117</v>
      </c>
      <c r="M554" s="11">
        <v>290</v>
      </c>
      <c r="N554" s="12" t="s">
        <v>143</v>
      </c>
      <c r="O554" s="6">
        <v>45772</v>
      </c>
      <c r="P554" s="71">
        <v>3415</v>
      </c>
      <c r="Q554" s="14" t="s">
        <v>123</v>
      </c>
      <c r="R554" s="15">
        <f>(DATA[[#This Row],[cantidad_fs]]/1000)*(37+82.74)</f>
        <v>34.724599999999995</v>
      </c>
      <c r="S554" s="15">
        <v>148.53</v>
      </c>
      <c r="T554" s="15">
        <f>DATA[[#This Row],[C. DF]]+DATA[[#This Row],[C.OPE.]]</f>
        <v>183.25459999999998</v>
      </c>
      <c r="U554" s="15">
        <f>DATA[[#This Row],[SUB TOTAL]]*0.18</f>
        <v>32.985827999999998</v>
      </c>
      <c r="V554" s="15">
        <f>IFERROR(ROUND(DATA[[#This Row],[SUB TOTAL]]+DATA[[#This Row],[IGV]],2),0)</f>
        <v>216.24</v>
      </c>
      <c r="W554" s="16" t="str">
        <f>IF(DATA[[#This Row],[VALORIZACIÓN ]]="-","NO CORRESPONDE",IF(OR(A554=20558226979,A554=10470707866,A554=20111157058,A554=20100226902),"NO CORRESPONDE",IF(J554="Emitida",IF(P554&gt;0,"EMITIDA","PENDIENTE"),"NO CORRESPONDE")))</f>
        <v>EMITIDA</v>
      </c>
      <c r="X554" s="29"/>
      <c r="Y554" s="17" t="s">
        <v>118</v>
      </c>
      <c r="Z554" s="30">
        <v>45777</v>
      </c>
      <c r="AA554" s="10" t="s">
        <v>150</v>
      </c>
      <c r="AB554" s="19">
        <v>59</v>
      </c>
      <c r="AC554" s="20">
        <v>30</v>
      </c>
      <c r="AD554" s="18">
        <f>DATA[[#This Row],[FECHA DE EMISION]]+DATA[[#This Row],[CONDICION DE PAGO]]</f>
        <v>45807</v>
      </c>
      <c r="AE554" s="23" t="e">
        <f>IF(DATA[[#This Row],[MONEDA]]="USD",VLOOKUP(DATA[[#This Row],[COMBINADA]],#REF!,11,0),1)</f>
        <v>#REF!</v>
      </c>
      <c r="AF554" s="39" t="str">
        <f>IF(DATA[[#This Row],[SERIE2]]="-","NO CORRESPONDE",IF(W554="NO CORRESPONDE","NO CORRESPONDE",IF(Z554&gt;0,"FACTURADO","PENDIENTE")))</f>
        <v>FACTURADO</v>
      </c>
      <c r="AG554" s="27">
        <f>IFERROR(VLOOKUP(DATA[[#This Row],[COMBINADA]],#REF!,6,0),0)</f>
        <v>0</v>
      </c>
      <c r="AH554" s="125">
        <f>IFERROR(VLOOKUP(DATA[[#This Row],[COMBINADA]],#REF!,9,0),0)/COUNTIFS(DATA[COMBINADA],DATA[[#This Row],[COMBINADA]])</f>
        <v>0</v>
      </c>
      <c r="AI554" s="27">
        <f>IFERROR(VLOOKUP(DATA[[#This Row],[COMBINADA]],#REF!,6,0),0)</f>
        <v>0</v>
      </c>
      <c r="AJ554" s="125">
        <f>IFERROR(VLOOKUP(DATA[[#This Row],[COMBINADA]],#REF!,9,0),0)/COUNTIFS(DATA[COMBINADA],DATA[[#This Row],[COMBINADA]])</f>
        <v>0</v>
      </c>
      <c r="AK554" s="27">
        <f>IFERROR(VLOOKUP(DATA[[#This Row],[COMBINADA]],#REF!,6,0),0)</f>
        <v>0</v>
      </c>
      <c r="AL554" s="125">
        <f>IFERROR(VLOOKUP(DATA[[#This Row],[COMBINADA]],#REF!,9,0),0)/COUNTIFS(DATA[COMBINADA],DATA[[#This Row],[COMBINADA]])</f>
        <v>0</v>
      </c>
      <c r="AM554" s="27">
        <f>IFERROR(VLOOKUP(DATA[[#This Row],[COMBINADA]],#REF!,6,0),0)</f>
        <v>0</v>
      </c>
      <c r="AN554" s="125">
        <f>IFERROR(VLOOKUP(DATA[[#This Row],[COMBINADA]],#REF!,9,0),0)/COUNTIFS(DATA[COMBINADA],DATA[[#This Row],[COMBINADA]])</f>
        <v>0</v>
      </c>
      <c r="AO554" s="27">
        <f>IFERROR(VLOOKUP(DATA[[#This Row],[COMBINADA]],#REF!,6,0),0)</f>
        <v>0</v>
      </c>
      <c r="AP554" s="125">
        <f>IFERROR(VLOOKUP(DATA[[#This Row],[COMBINADA]],#REF!,9,0),0)/COUNTIFS(DATA[COMBINADA],DATA[[#This Row],[COMBINADA]])</f>
        <v>0</v>
      </c>
      <c r="AQ55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538.72300000000007</v>
      </c>
      <c r="AR554" s="26" t="str">
        <f>IFERROR(IF(DATA[[#This Row],[estado_fact]]="FACTURADO",VLOOKUP(DATA[[#This Row],[SERIE2]]&amp;"-"&amp;DATA[[#This Row],[NUMERO]],#REF!,34,0),"NO CORRESPONDE"),"NO CORRESPONDE")</f>
        <v>NO CORRESPONDE</v>
      </c>
      <c r="AS554" s="22" t="str">
        <f>IF(DATA[[#This Row],[fecha_fs]]&gt;0,TEXT(DATA[[#This Row],[fecha_fs]],"Mmmm"),0)</f>
        <v>Abril</v>
      </c>
      <c r="AT554" s="22" t="str">
        <f>DATA[[#This Row],[SERIE2]]&amp;"-"&amp;DATA[[#This Row],[NUMERO]]</f>
        <v>FF01-59</v>
      </c>
      <c r="AU554" s="28" t="e">
        <f>DATA[[#This Row],[TOTAL]]*DATA[[#This Row],[T.C.]]</f>
        <v>#REF!</v>
      </c>
      <c r="AV554" s="6">
        <f>DATA[[#This Row],[FECHA DE VAL.]]</f>
        <v>45772</v>
      </c>
      <c r="AW554" s="6">
        <f>DATA[[#This Row],[FECHA DE EMISION]]</f>
        <v>45777</v>
      </c>
      <c r="AX554" s="6">
        <f>DATA[[#This Row],[F1]]</f>
        <v>0</v>
      </c>
      <c r="AY554" s="20">
        <f>IF(AV554-DATA[[#This Row],[fecha_fs]]&lt;0,0,AV554-DATA[[#This Row],[fecha_fs]])</f>
        <v>2</v>
      </c>
      <c r="AZ554" s="20">
        <f t="shared" si="57"/>
        <v>5</v>
      </c>
      <c r="BA554" s="20">
        <f t="shared" si="58"/>
        <v>0</v>
      </c>
      <c r="BB554" s="195">
        <f>IFERROR(SUM(DATA[[#This Row],[fs_val_ttf]:[fact_pago_ttf]]),0)</f>
        <v>7</v>
      </c>
      <c r="BC554" s="185">
        <v>45771</v>
      </c>
      <c r="BD554" s="185">
        <v>45777</v>
      </c>
      <c r="BE554" s="185">
        <v>45786</v>
      </c>
      <c r="BF554" s="185">
        <v>45797</v>
      </c>
      <c r="BG554" s="20">
        <f>IFERROR(IF(BC554-DATA[[#This Row],[fecha_fs]]&lt;0,0,BC554-DATA[[#This Row],[fecha_fs]]),0)</f>
        <v>1</v>
      </c>
      <c r="BH554" s="20">
        <f t="shared" si="59"/>
        <v>6</v>
      </c>
      <c r="BI554" s="20">
        <f t="shared" si="60"/>
        <v>9</v>
      </c>
      <c r="BJ554" s="20">
        <f t="shared" si="61"/>
        <v>11</v>
      </c>
      <c r="BK554" s="218">
        <f>IFERROR(SUM(DATA[[#This Row],[fs_fd_ttd]:[fend_fenf_ttd]]),0)</f>
        <v>27</v>
      </c>
      <c r="BL554" s="20" t="str">
        <f>IF(DATA[[#This Row],[fecha_fs]]&gt;0,TEXT(DATA[[#This Row],[fecha_fs]],"YYYY"),0)</f>
        <v>2025</v>
      </c>
      <c r="BM554" s="221" t="b">
        <v>1</v>
      </c>
      <c r="BN554" s="278">
        <f>COUNTIF(DATA[[#This Row],[tiempo_td]], "&lt;=15")</f>
        <v>0</v>
      </c>
      <c r="BO554" s="222"/>
    </row>
    <row r="555" spans="1:67" ht="30.6" customHeight="1" x14ac:dyDescent="0.25">
      <c r="A555" s="4">
        <v>20100192064</v>
      </c>
      <c r="B555" s="5" t="s">
        <v>60</v>
      </c>
      <c r="C555" s="52" t="s">
        <v>63</v>
      </c>
      <c r="D555" s="4" t="s">
        <v>112</v>
      </c>
      <c r="E555" s="5" t="s">
        <v>1</v>
      </c>
      <c r="F555" s="24">
        <v>45770</v>
      </c>
      <c r="G555" s="7" t="s">
        <v>142</v>
      </c>
      <c r="H555" s="25">
        <f>IF(G555="","",IF(G555="LIM",2,1))</f>
        <v>2</v>
      </c>
      <c r="I555" s="67">
        <v>1077</v>
      </c>
      <c r="J555" s="8" t="s">
        <v>115</v>
      </c>
      <c r="K555" s="9" t="s">
        <v>116</v>
      </c>
      <c r="L555" s="10" t="s">
        <v>117</v>
      </c>
      <c r="M555" s="11">
        <v>35</v>
      </c>
      <c r="N555" s="12" t="s">
        <v>143</v>
      </c>
      <c r="O555" s="6">
        <v>45772</v>
      </c>
      <c r="P555" s="71">
        <v>3416</v>
      </c>
      <c r="Q555" s="14" t="s">
        <v>123</v>
      </c>
      <c r="R555" s="15">
        <f>(DATA[[#This Row],[cantidad_fs]]/1000)*(147+82.74)</f>
        <v>8.0409000000000006</v>
      </c>
      <c r="S555" s="15">
        <v>148.53</v>
      </c>
      <c r="T555" s="15">
        <f>DATA[[#This Row],[C. DF]]+DATA[[#This Row],[C.OPE.]]</f>
        <v>156.57089999999999</v>
      </c>
      <c r="U555" s="15">
        <f>DATA[[#This Row],[SUB TOTAL]]*0.18</f>
        <v>28.182761999999997</v>
      </c>
      <c r="V555" s="15">
        <f>IFERROR(ROUND(DATA[[#This Row],[SUB TOTAL]]+DATA[[#This Row],[IGV]],2),0)</f>
        <v>184.75</v>
      </c>
      <c r="W555" s="16" t="str">
        <f>IF(DATA[[#This Row],[VALORIZACIÓN ]]="-","NO CORRESPONDE",IF(OR(A555=20558226979,A555=10470707866,A555=20111157058,A555=20100226902),"NO CORRESPONDE",IF(J555="Emitida",IF(P555&gt;0,"EMITIDA","PENDIENTE"),"NO CORRESPONDE")))</f>
        <v>EMITIDA</v>
      </c>
      <c r="X555" s="29"/>
      <c r="Y555" s="17" t="s">
        <v>118</v>
      </c>
      <c r="Z555" s="30">
        <v>45777</v>
      </c>
      <c r="AA555" s="10" t="s">
        <v>150</v>
      </c>
      <c r="AB555" s="19">
        <v>59</v>
      </c>
      <c r="AC555" s="20">
        <v>30</v>
      </c>
      <c r="AD555" s="18">
        <f>DATA[[#This Row],[FECHA DE EMISION]]+DATA[[#This Row],[CONDICION DE PAGO]]</f>
        <v>45807</v>
      </c>
      <c r="AE555" s="23" t="e">
        <f>IF(DATA[[#This Row],[MONEDA]]="USD",VLOOKUP(DATA[[#This Row],[COMBINADA]],#REF!,11,0),1)</f>
        <v>#REF!</v>
      </c>
      <c r="AF555" s="39" t="str">
        <f>IF(DATA[[#This Row],[SERIE2]]="-","NO CORRESPONDE",IF(W555="NO CORRESPONDE","NO CORRESPONDE",IF(Z555&gt;0,"FACTURADO","PENDIENTE")))</f>
        <v>FACTURADO</v>
      </c>
      <c r="AG555" s="27">
        <f>IFERROR(VLOOKUP(DATA[[#This Row],[COMBINADA]],#REF!,6,0),0)</f>
        <v>0</v>
      </c>
      <c r="AH555" s="125">
        <f>IFERROR(VLOOKUP(DATA[[#This Row],[COMBINADA]],#REF!,9,0),0)/COUNTIFS(DATA[COMBINADA],DATA[[#This Row],[COMBINADA]])</f>
        <v>0</v>
      </c>
      <c r="AI555" s="27">
        <f>IFERROR(VLOOKUP(DATA[[#This Row],[COMBINADA]],#REF!,6,0),0)</f>
        <v>0</v>
      </c>
      <c r="AJ555" s="125">
        <f>IFERROR(VLOOKUP(DATA[[#This Row],[COMBINADA]],#REF!,9,0),0)/COUNTIFS(DATA[COMBINADA],DATA[[#This Row],[COMBINADA]])</f>
        <v>0</v>
      </c>
      <c r="AK555" s="27">
        <f>IFERROR(VLOOKUP(DATA[[#This Row],[COMBINADA]],#REF!,6,0),0)</f>
        <v>0</v>
      </c>
      <c r="AL555" s="125">
        <f>IFERROR(VLOOKUP(DATA[[#This Row],[COMBINADA]],#REF!,9,0),0)/COUNTIFS(DATA[COMBINADA],DATA[[#This Row],[COMBINADA]])</f>
        <v>0</v>
      </c>
      <c r="AM555" s="27">
        <f>IFERROR(VLOOKUP(DATA[[#This Row],[COMBINADA]],#REF!,6,0),0)</f>
        <v>0</v>
      </c>
      <c r="AN555" s="125">
        <f>IFERROR(VLOOKUP(DATA[[#This Row],[COMBINADA]],#REF!,9,0),0)/COUNTIFS(DATA[COMBINADA],DATA[[#This Row],[COMBINADA]])</f>
        <v>0</v>
      </c>
      <c r="AO555" s="27">
        <f>IFERROR(VLOOKUP(DATA[[#This Row],[COMBINADA]],#REF!,6,0),0)</f>
        <v>0</v>
      </c>
      <c r="AP555" s="125">
        <f>IFERROR(VLOOKUP(DATA[[#This Row],[COMBINADA]],#REF!,9,0),0)/COUNTIFS(DATA[COMBINADA],DATA[[#This Row],[COMBINADA]])</f>
        <v>0</v>
      </c>
      <c r="AQ55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538.72300000000007</v>
      </c>
      <c r="AR555" s="26" t="str">
        <f>IFERROR(IF(DATA[[#This Row],[estado_fact]]="FACTURADO",VLOOKUP(DATA[[#This Row],[SERIE2]]&amp;"-"&amp;DATA[[#This Row],[NUMERO]],#REF!,34,0),"NO CORRESPONDE"),"NO CORRESPONDE")</f>
        <v>NO CORRESPONDE</v>
      </c>
      <c r="AS555" s="22" t="str">
        <f>IF(DATA[[#This Row],[fecha_fs]]&gt;0,TEXT(DATA[[#This Row],[fecha_fs]],"Mmmm"),0)</f>
        <v>Abril</v>
      </c>
      <c r="AT555" s="22" t="str">
        <f>DATA[[#This Row],[SERIE2]]&amp;"-"&amp;DATA[[#This Row],[NUMERO]]</f>
        <v>FF01-59</v>
      </c>
      <c r="AU555" s="28" t="e">
        <f>DATA[[#This Row],[TOTAL]]*DATA[[#This Row],[T.C.]]</f>
        <v>#REF!</v>
      </c>
      <c r="AV555" s="6">
        <f>DATA[[#This Row],[FECHA DE VAL.]]</f>
        <v>45772</v>
      </c>
      <c r="AW555" s="6">
        <f>DATA[[#This Row],[FECHA DE EMISION]]</f>
        <v>45777</v>
      </c>
      <c r="AX555" s="6">
        <f>DATA[[#This Row],[F1]]</f>
        <v>0</v>
      </c>
      <c r="AY555" s="20">
        <f>IF(AV555-DATA[[#This Row],[fecha_fs]]&lt;0,0,AV555-DATA[[#This Row],[fecha_fs]])</f>
        <v>2</v>
      </c>
      <c r="AZ555" s="20">
        <f>IF(AW555-AV555&lt;0,0,AW555-AV555)</f>
        <v>5</v>
      </c>
      <c r="BA555" s="20">
        <f>IF(AX555-AW555&lt;0,0,AX555-AW555)</f>
        <v>0</v>
      </c>
      <c r="BB555" s="195">
        <f>IFERROR(SUM(DATA[[#This Row],[fs_val_ttf]:[fact_pago_ttf]]),0)</f>
        <v>7</v>
      </c>
      <c r="BC555" s="185">
        <v>45772</v>
      </c>
      <c r="BD555" s="185">
        <v>45782</v>
      </c>
      <c r="BE555" s="185">
        <v>45785</v>
      </c>
      <c r="BF555" s="185">
        <v>45797</v>
      </c>
      <c r="BG555" s="20">
        <f>IFERROR(IF(BC555-DATA[[#This Row],[fecha_fs]]&lt;0,0,BC555-DATA[[#This Row],[fecha_fs]]),0)</f>
        <v>2</v>
      </c>
      <c r="BH555" s="20">
        <f>IFERROR(IF(BD555-BC555&lt;0,0,BD555-BC555),0)</f>
        <v>10</v>
      </c>
      <c r="BI555" s="20">
        <f>IFERROR(IF(BE555-BD555&lt;0,0,BE555-BD555),0)</f>
        <v>3</v>
      </c>
      <c r="BJ555" s="20">
        <f>IFERROR(IF(BF555-BE555&lt;0,0,BF555-BE555),0)</f>
        <v>12</v>
      </c>
      <c r="BK555" s="218">
        <f>IFERROR(SUM(DATA[[#This Row],[fs_fd_ttd]:[fend_fenf_ttd]]),0)</f>
        <v>27</v>
      </c>
      <c r="BL555" s="20" t="str">
        <f>IF(DATA[[#This Row],[fecha_fs]]&gt;0,TEXT(DATA[[#This Row],[fecha_fs]],"YYYY"),0)</f>
        <v>2025</v>
      </c>
      <c r="BM555" s="221" t="b">
        <v>1</v>
      </c>
      <c r="BN555" s="278">
        <f>COUNTIF(DATA[[#This Row],[tiempo_td]], "&lt;=15")</f>
        <v>0</v>
      </c>
      <c r="BO555" s="222"/>
    </row>
    <row r="556" spans="1:67" ht="30.6" customHeight="1" x14ac:dyDescent="0.25">
      <c r="A556" s="4">
        <v>20100055237</v>
      </c>
      <c r="B556" s="5" t="s">
        <v>21</v>
      </c>
      <c r="C556" s="52" t="s">
        <v>138</v>
      </c>
      <c r="D556" s="4" t="s">
        <v>139</v>
      </c>
      <c r="E556" s="5" t="s">
        <v>23</v>
      </c>
      <c r="F556" s="24">
        <v>45771</v>
      </c>
      <c r="G556" s="7" t="s">
        <v>113</v>
      </c>
      <c r="H556" s="25">
        <f t="shared" si="56"/>
        <v>1</v>
      </c>
      <c r="I556" s="67">
        <v>4417</v>
      </c>
      <c r="J556" s="8" t="s">
        <v>115</v>
      </c>
      <c r="K556" s="9" t="s">
        <v>121</v>
      </c>
      <c r="L556" s="10" t="s">
        <v>117</v>
      </c>
      <c r="M556" s="11">
        <v>80</v>
      </c>
      <c r="N556" s="12" t="s">
        <v>125</v>
      </c>
      <c r="O556" s="6">
        <v>45776</v>
      </c>
      <c r="P556" s="54">
        <v>3423</v>
      </c>
      <c r="Q556" s="14" t="s">
        <v>85</v>
      </c>
      <c r="R556" s="15"/>
      <c r="S556" s="15">
        <v>297.92</v>
      </c>
      <c r="T556" s="15">
        <f>DATA[[#This Row],[C. DF]]+DATA[[#This Row],[C.OPE.]]</f>
        <v>297.92</v>
      </c>
      <c r="U556" s="15">
        <f>DATA[[#This Row],[SUB TOTAL]]*0.18</f>
        <v>53.625599999999999</v>
      </c>
      <c r="V556" s="15">
        <f>IFERROR(ROUND(DATA[[#This Row],[SUB TOTAL]]+DATA[[#This Row],[IGV]],2),0)</f>
        <v>351.55</v>
      </c>
      <c r="W556" s="16" t="str">
        <f>IF(DATA[[#This Row],[VALORIZACIÓN ]]="-","NO CORRESPONDE",IF(OR(A556=20558226979,A556=10470707866,A556=20111157058,A556=20100226902),"NO CORRESPONDE",IF(J556="Emitida",IF(P556&gt;0,"EMITIDA","PENDIENTE"),"NO CORRESPONDE")))</f>
        <v>EMITIDA</v>
      </c>
      <c r="X556" s="29"/>
      <c r="Y556" s="17" t="s">
        <v>118</v>
      </c>
      <c r="Z556" s="30">
        <v>45812</v>
      </c>
      <c r="AA556" s="10" t="s">
        <v>150</v>
      </c>
      <c r="AB556" s="19">
        <v>104</v>
      </c>
      <c r="AC556" s="20">
        <v>30</v>
      </c>
      <c r="AD556" s="18">
        <f>DATA[[#This Row],[FECHA DE EMISION]]+DATA[[#This Row],[CONDICION DE PAGO]]</f>
        <v>45842</v>
      </c>
      <c r="AE556" s="23">
        <f>IF(DATA[[#This Row],[MONEDA]]="USD",VLOOKUP(DATA[[#This Row],[COMBINADA]],#REF!,11,0),1)</f>
        <v>1</v>
      </c>
      <c r="AF556" s="39" t="str">
        <f>IF(DATA[[#This Row],[SERIE2]]="-","NO CORRESPONDE",IF(W556="NO CORRESPONDE","NO CORRESPONDE",IF(Z556&gt;0,"FACTURADO","PENDIENTE")))</f>
        <v>FACTURADO</v>
      </c>
      <c r="AG556" s="27">
        <f>IFERROR(VLOOKUP(DATA[[#This Row],[COMBINADA]],#REF!,6,0),0)</f>
        <v>0</v>
      </c>
      <c r="AH556" s="125">
        <f>IFERROR(VLOOKUP(DATA[[#This Row],[COMBINADA]],#REF!,9,0),0)/COUNTIFS(DATA[COMBINADA],DATA[[#This Row],[COMBINADA]])</f>
        <v>0</v>
      </c>
      <c r="AI556" s="27">
        <f>IFERROR(VLOOKUP(DATA[[#This Row],[COMBINADA]],#REF!,6,0),0)</f>
        <v>0</v>
      </c>
      <c r="AJ556" s="125">
        <f>IFERROR(VLOOKUP(DATA[[#This Row],[COMBINADA]],#REF!,9,0),0)/COUNTIFS(DATA[COMBINADA],DATA[[#This Row],[COMBINADA]])</f>
        <v>0</v>
      </c>
      <c r="AK556" s="27">
        <f>IFERROR(VLOOKUP(DATA[[#This Row],[COMBINADA]],#REF!,6,0),0)</f>
        <v>0</v>
      </c>
      <c r="AL556" s="125">
        <f>IFERROR(VLOOKUP(DATA[[#This Row],[COMBINADA]],#REF!,9,0),0)/COUNTIFS(DATA[COMBINADA],DATA[[#This Row],[COMBINADA]])</f>
        <v>0</v>
      </c>
      <c r="AM556" s="27">
        <f>IFERROR(VLOOKUP(DATA[[#This Row],[COMBINADA]],#REF!,6,0),0)</f>
        <v>0</v>
      </c>
      <c r="AN556" s="125">
        <f>IFERROR(VLOOKUP(DATA[[#This Row],[COMBINADA]],#REF!,9,0),0)/COUNTIFS(DATA[COMBINADA],DATA[[#This Row],[COMBINADA]])</f>
        <v>0</v>
      </c>
      <c r="AO556" s="27">
        <f>IFERROR(VLOOKUP(DATA[[#This Row],[COMBINADA]],#REF!,6,0),0)</f>
        <v>0</v>
      </c>
      <c r="AP556" s="125">
        <f>IFERROR(VLOOKUP(DATA[[#This Row],[COMBINADA]],#REF!,9,0),0)/COUNTIFS(DATA[COMBINADA],DATA[[#This Row],[COMBINADA]])</f>
        <v>0</v>
      </c>
      <c r="AQ55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556" s="26" t="str">
        <f>IFERROR(IF(DATA[[#This Row],[estado_fact]]="FACTURADO",VLOOKUP(DATA[[#This Row],[SERIE2]]&amp;"-"&amp;DATA[[#This Row],[NUMERO]],#REF!,34,0),"NO CORRESPONDE"),"NO CORRESPONDE")</f>
        <v>NO CORRESPONDE</v>
      </c>
      <c r="AS556" s="22" t="str">
        <f>IF(DATA[[#This Row],[fecha_fs]]&gt;0,TEXT(DATA[[#This Row],[fecha_fs]],"Mmmm"),0)</f>
        <v>Abril</v>
      </c>
      <c r="AT556" s="22" t="str">
        <f>DATA[[#This Row],[SERIE2]]&amp;"-"&amp;DATA[[#This Row],[NUMERO]]</f>
        <v>FF01-104</v>
      </c>
      <c r="AU556" s="28">
        <f>DATA[[#This Row],[TOTAL]]*DATA[[#This Row],[T.C.]]</f>
        <v>351.55</v>
      </c>
      <c r="AV556" s="6">
        <f>DATA[[#This Row],[FECHA DE VAL.]]</f>
        <v>45776</v>
      </c>
      <c r="AW556" s="6">
        <f>DATA[[#This Row],[FECHA DE EMISION]]</f>
        <v>45812</v>
      </c>
      <c r="AX556" s="6">
        <f>DATA[[#This Row],[F1]]</f>
        <v>0</v>
      </c>
      <c r="AY556" s="20">
        <f>IF(AV556-DATA[[#This Row],[fecha_fs]]&lt;0,0,AV556-DATA[[#This Row],[fecha_fs]])</f>
        <v>5</v>
      </c>
      <c r="AZ556" s="20">
        <f t="shared" si="57"/>
        <v>36</v>
      </c>
      <c r="BA556" s="20">
        <f t="shared" si="58"/>
        <v>0</v>
      </c>
      <c r="BB556" s="195">
        <f>IFERROR(SUM(DATA[[#This Row],[fs_val_ttf]:[fact_pago_ttf]]),0)</f>
        <v>41</v>
      </c>
      <c r="BC556" s="185">
        <v>45771</v>
      </c>
      <c r="BD556" s="185">
        <v>45771</v>
      </c>
      <c r="BE556" s="185">
        <v>45782</v>
      </c>
      <c r="BF556" s="185">
        <v>45782</v>
      </c>
      <c r="BG556" s="20">
        <f>IFERROR(IF(BC556-DATA[[#This Row],[fecha_fs]]&lt;0,0,BC556-DATA[[#This Row],[fecha_fs]]),0)</f>
        <v>0</v>
      </c>
      <c r="BH556" s="20">
        <f t="shared" si="59"/>
        <v>0</v>
      </c>
      <c r="BI556" s="20">
        <f t="shared" si="60"/>
        <v>11</v>
      </c>
      <c r="BJ556" s="20">
        <f t="shared" si="61"/>
        <v>0</v>
      </c>
      <c r="BK556" s="218">
        <f>IFERROR(SUM(DATA[[#This Row],[fs_fd_ttd]:[fend_fenf_ttd]]),0)</f>
        <v>11</v>
      </c>
      <c r="BL556" s="20" t="str">
        <f>IF(DATA[[#This Row],[fecha_fs]]&gt;0,TEXT(DATA[[#This Row],[fecha_fs]],"YYYY"),0)</f>
        <v>2025</v>
      </c>
      <c r="BM556" s="221" t="b">
        <v>1</v>
      </c>
      <c r="BN556" s="278">
        <f>COUNTIF(DATA[[#This Row],[tiempo_td]], "&lt;=15")</f>
        <v>1</v>
      </c>
      <c r="BO556" s="222"/>
    </row>
    <row r="557" spans="1:67" ht="30.6" customHeight="1" x14ac:dyDescent="0.25">
      <c r="A557" s="4">
        <v>20505675836</v>
      </c>
      <c r="B557" s="5" t="s">
        <v>42</v>
      </c>
      <c r="C557" s="52" t="s">
        <v>43</v>
      </c>
      <c r="D557" s="4" t="s">
        <v>120</v>
      </c>
      <c r="E557" s="5" t="s">
        <v>3</v>
      </c>
      <c r="F557" s="24">
        <v>45771</v>
      </c>
      <c r="G557" s="7" t="s">
        <v>113</v>
      </c>
      <c r="H557" s="25">
        <f t="shared" si="56"/>
        <v>1</v>
      </c>
      <c r="I557" s="67">
        <v>4418</v>
      </c>
      <c r="J557" s="8" t="s">
        <v>115</v>
      </c>
      <c r="K557" s="9" t="s">
        <v>121</v>
      </c>
      <c r="L557" s="10" t="s">
        <v>117</v>
      </c>
      <c r="M557" s="11">
        <v>580</v>
      </c>
      <c r="N557" s="12" t="s">
        <v>125</v>
      </c>
      <c r="O557" s="6">
        <v>45772</v>
      </c>
      <c r="P557" s="71">
        <v>3401</v>
      </c>
      <c r="Q557" s="14" t="s">
        <v>85</v>
      </c>
      <c r="R557" s="15">
        <f>(DATA[[#This Row],[cantidad_fs]]-150)*0.67</f>
        <v>288.10000000000002</v>
      </c>
      <c r="S557" s="15">
        <v>817.68</v>
      </c>
      <c r="T557" s="15">
        <f>DATA[[#This Row],[C. DF]]+DATA[[#This Row],[C.OPE.]]</f>
        <v>1105.78</v>
      </c>
      <c r="U557" s="15">
        <f>DATA[[#This Row],[SUB TOTAL]]*0.18</f>
        <v>199.04039999999998</v>
      </c>
      <c r="V557" s="15">
        <f>IFERROR(ROUND(DATA[[#This Row],[SUB TOTAL]]+DATA[[#This Row],[IGV]],2),0)</f>
        <v>1304.82</v>
      </c>
      <c r="W557" s="16" t="str">
        <f>IF(DATA[[#This Row],[VALORIZACIÓN ]]="-","NO CORRESPONDE",IF(OR(A557=20558226979,A557=10470707866,A557=20111157058,A557=20100226902),"NO CORRESPONDE",IF(J557="Emitida",IF(P557&gt;0,"EMITIDA","PENDIENTE"),"NO CORRESPONDE")))</f>
        <v>EMITIDA</v>
      </c>
      <c r="X557" s="29"/>
      <c r="Y557" s="17" t="s">
        <v>118</v>
      </c>
      <c r="Z557" s="30">
        <v>45818</v>
      </c>
      <c r="AA557" s="10" t="s">
        <v>150</v>
      </c>
      <c r="AB557" s="19">
        <v>112</v>
      </c>
      <c r="AC557" s="20">
        <v>30</v>
      </c>
      <c r="AD557" s="18">
        <f>DATA[[#This Row],[FECHA DE EMISION]]+DATA[[#This Row],[CONDICION DE PAGO]]</f>
        <v>45848</v>
      </c>
      <c r="AE557" s="23">
        <f>IF(DATA[[#This Row],[MONEDA]]="USD",VLOOKUP(DATA[[#This Row],[COMBINADA]],#REF!,11,0),1)</f>
        <v>1</v>
      </c>
      <c r="AF557" s="39" t="str">
        <f>IF(DATA[[#This Row],[SERIE2]]="-","NO CORRESPONDE",IF(W557="NO CORRESPONDE","NO CORRESPONDE",IF(Z557&gt;0,"FACTURADO","PENDIENTE")))</f>
        <v>FACTURADO</v>
      </c>
      <c r="AG557" s="27">
        <f>IFERROR(VLOOKUP(DATA[[#This Row],[COMBINADA]],#REF!,6,0),0)</f>
        <v>0</v>
      </c>
      <c r="AH557" s="125">
        <f>IFERROR(VLOOKUP(DATA[[#This Row],[COMBINADA]],#REF!,9,0),0)/COUNTIFS(DATA[COMBINADA],DATA[[#This Row],[COMBINADA]])</f>
        <v>0</v>
      </c>
      <c r="AI557" s="27">
        <f>IFERROR(VLOOKUP(DATA[[#This Row],[COMBINADA]],#REF!,6,0),0)</f>
        <v>0</v>
      </c>
      <c r="AJ557" s="125">
        <f>IFERROR(VLOOKUP(DATA[[#This Row],[COMBINADA]],#REF!,9,0),0)/COUNTIFS(DATA[COMBINADA],DATA[[#This Row],[COMBINADA]])</f>
        <v>0</v>
      </c>
      <c r="AK557" s="27">
        <f>IFERROR(VLOOKUP(DATA[[#This Row],[COMBINADA]],#REF!,6,0),0)</f>
        <v>0</v>
      </c>
      <c r="AL557" s="125">
        <f>IFERROR(VLOOKUP(DATA[[#This Row],[COMBINADA]],#REF!,9,0),0)/COUNTIFS(DATA[COMBINADA],DATA[[#This Row],[COMBINADA]])</f>
        <v>0</v>
      </c>
      <c r="AM557" s="27">
        <f>IFERROR(VLOOKUP(DATA[[#This Row],[COMBINADA]],#REF!,6,0),0)</f>
        <v>0</v>
      </c>
      <c r="AN557" s="125">
        <f>IFERROR(VLOOKUP(DATA[[#This Row],[COMBINADA]],#REF!,9,0),0)/COUNTIFS(DATA[COMBINADA],DATA[[#This Row],[COMBINADA]])</f>
        <v>0</v>
      </c>
      <c r="AO557" s="27">
        <f>IFERROR(VLOOKUP(DATA[[#This Row],[COMBINADA]],#REF!,6,0),0)</f>
        <v>0</v>
      </c>
      <c r="AP557" s="125">
        <f>IFERROR(VLOOKUP(DATA[[#This Row],[COMBINADA]],#REF!,9,0),0)/COUNTIFS(DATA[COMBINADA],DATA[[#This Row],[COMBINADA]])</f>
        <v>0</v>
      </c>
      <c r="AQ55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2496.2433333333333</v>
      </c>
      <c r="AR557" s="26" t="str">
        <f>IFERROR(IF(DATA[[#This Row],[estado_fact]]="FACTURADO",VLOOKUP(DATA[[#This Row],[SERIE2]]&amp;"-"&amp;DATA[[#This Row],[NUMERO]],#REF!,34,0),"NO CORRESPONDE"),"NO CORRESPONDE")</f>
        <v>NO CORRESPONDE</v>
      </c>
      <c r="AS557" s="22" t="str">
        <f>IF(DATA[[#This Row],[fecha_fs]]&gt;0,TEXT(DATA[[#This Row],[fecha_fs]],"Mmmm"),0)</f>
        <v>Abril</v>
      </c>
      <c r="AT557" s="22" t="str">
        <f>DATA[[#This Row],[SERIE2]]&amp;"-"&amp;DATA[[#This Row],[NUMERO]]</f>
        <v>FF01-112</v>
      </c>
      <c r="AU557" s="28">
        <f>DATA[[#This Row],[TOTAL]]*DATA[[#This Row],[T.C.]]</f>
        <v>1304.82</v>
      </c>
      <c r="AV557" s="6">
        <f>DATA[[#This Row],[FECHA DE VAL.]]</f>
        <v>45772</v>
      </c>
      <c r="AW557" s="6">
        <f>DATA[[#This Row],[FECHA DE EMISION]]</f>
        <v>45818</v>
      </c>
      <c r="AX557" s="6">
        <f>DATA[[#This Row],[F1]]</f>
        <v>0</v>
      </c>
      <c r="AY557" s="20">
        <f>IF(AV557-DATA[[#This Row],[fecha_fs]]&lt;0,0,AV557-DATA[[#This Row],[fecha_fs]])</f>
        <v>1</v>
      </c>
      <c r="AZ557" s="20">
        <f t="shared" si="57"/>
        <v>46</v>
      </c>
      <c r="BA557" s="20">
        <f t="shared" si="58"/>
        <v>0</v>
      </c>
      <c r="BB557" s="195">
        <f>IFERROR(SUM(DATA[[#This Row],[fs_val_ttf]:[fact_pago_ttf]]),0)</f>
        <v>47</v>
      </c>
      <c r="BC557" s="185">
        <v>45779</v>
      </c>
      <c r="BD557" s="185">
        <v>45804</v>
      </c>
      <c r="BE557" s="185">
        <v>45848</v>
      </c>
      <c r="BF557" s="185">
        <v>45833</v>
      </c>
      <c r="BG557" s="20">
        <f>IFERROR(IF(BC557-DATA[[#This Row],[fecha_fs]]&lt;0,0,BC557-DATA[[#This Row],[fecha_fs]]),0)</f>
        <v>8</v>
      </c>
      <c r="BH557" s="20">
        <f t="shared" si="59"/>
        <v>25</v>
      </c>
      <c r="BI557" s="20">
        <f t="shared" si="60"/>
        <v>44</v>
      </c>
      <c r="BJ557" s="20">
        <f t="shared" si="61"/>
        <v>0</v>
      </c>
      <c r="BK557" s="218">
        <f>IFERROR(SUM(DATA[[#This Row],[fs_fd_ttd]:[fend_fenf_ttd]]),0)</f>
        <v>77</v>
      </c>
      <c r="BL557" s="20" t="str">
        <f>IF(DATA[[#This Row],[fecha_fs]]&gt;0,TEXT(DATA[[#This Row],[fecha_fs]],"YYYY"),0)</f>
        <v>2025</v>
      </c>
      <c r="BM557" s="221" t="b">
        <v>1</v>
      </c>
      <c r="BN557" s="278">
        <f>COUNTIF(DATA[[#This Row],[tiempo_td]], "&lt;=15")</f>
        <v>0</v>
      </c>
      <c r="BO557" s="222"/>
    </row>
    <row r="558" spans="1:67" ht="30.6" customHeight="1" x14ac:dyDescent="0.25">
      <c r="A558" s="4">
        <v>20141637941</v>
      </c>
      <c r="B558" s="5" t="s">
        <v>79</v>
      </c>
      <c r="C558" s="52" t="s">
        <v>18</v>
      </c>
      <c r="D558" s="4" t="s">
        <v>120</v>
      </c>
      <c r="E558" s="5" t="s">
        <v>3</v>
      </c>
      <c r="F558" s="24">
        <v>45772</v>
      </c>
      <c r="G558" s="7" t="s">
        <v>113</v>
      </c>
      <c r="H558" s="25">
        <f t="shared" si="56"/>
        <v>1</v>
      </c>
      <c r="I558" s="67">
        <v>4419</v>
      </c>
      <c r="J558" s="8" t="s">
        <v>115</v>
      </c>
      <c r="K558" s="9" t="s">
        <v>121</v>
      </c>
      <c r="L558" s="10" t="s">
        <v>117</v>
      </c>
      <c r="M558" s="11">
        <v>1160</v>
      </c>
      <c r="N558" s="12" t="s">
        <v>125</v>
      </c>
      <c r="O558" s="6">
        <v>45772</v>
      </c>
      <c r="P558" s="110">
        <v>3405</v>
      </c>
      <c r="Q558" s="14" t="s">
        <v>85</v>
      </c>
      <c r="R558" s="15">
        <f>70+(DATA[[#This Row],[cantidad_fs]]-1000)*0.1</f>
        <v>86</v>
      </c>
      <c r="S558" s="15">
        <v>517</v>
      </c>
      <c r="T558" s="15">
        <f>DATA[[#This Row],[C. DF]]+DATA[[#This Row],[C.OPE.]]</f>
        <v>603</v>
      </c>
      <c r="U558" s="15">
        <f>DATA[[#This Row],[SUB TOTAL]]*0.18</f>
        <v>108.53999999999999</v>
      </c>
      <c r="V558" s="15">
        <f>IFERROR(ROUND(DATA[[#This Row],[SUB TOTAL]]+DATA[[#This Row],[IGV]],2),0)</f>
        <v>711.54</v>
      </c>
      <c r="W558" s="16" t="str">
        <f>IF(DATA[[#This Row],[VALORIZACIÓN ]]="-","NO CORRESPONDE",IF(OR(A558=20558226979,A558=10470707866,A558=20111157058,A558=20100226902),"NO CORRESPONDE",IF(J558="Emitida",IF(P558&gt;0,"EMITIDA","PENDIENTE"),"NO CORRESPONDE")))</f>
        <v>EMITIDA</v>
      </c>
      <c r="X558" s="29"/>
      <c r="Y558" s="17" t="s">
        <v>118</v>
      </c>
      <c r="Z558" s="30">
        <v>45782</v>
      </c>
      <c r="AA558" s="10" t="s">
        <v>150</v>
      </c>
      <c r="AB558" s="19">
        <v>70</v>
      </c>
      <c r="AC558" s="20">
        <v>30</v>
      </c>
      <c r="AD558" s="18">
        <f>DATA[[#This Row],[FECHA DE EMISION]]+DATA[[#This Row],[CONDICION DE PAGO]]</f>
        <v>45812</v>
      </c>
      <c r="AE558" s="23">
        <f>IF(DATA[[#This Row],[MONEDA]]="USD",VLOOKUP(DATA[[#This Row],[COMBINADA]],#REF!,11,0),1)</f>
        <v>1</v>
      </c>
      <c r="AF558" s="39" t="str">
        <f>IF(DATA[[#This Row],[SERIE2]]="-","NO CORRESPONDE",IF(W558="NO CORRESPONDE","NO CORRESPONDE",IF(Z558&gt;0,"FACTURADO","PENDIENTE")))</f>
        <v>FACTURADO</v>
      </c>
      <c r="AG558" s="27">
        <f>IFERROR(VLOOKUP(DATA[[#This Row],[COMBINADA]],#REF!,6,0),0)</f>
        <v>0</v>
      </c>
      <c r="AH558" s="125">
        <f>IFERROR(VLOOKUP(DATA[[#This Row],[COMBINADA]],#REF!,9,0),0)/COUNTIFS(DATA[COMBINADA],DATA[[#This Row],[COMBINADA]])</f>
        <v>0</v>
      </c>
      <c r="AI558" s="27">
        <f>IFERROR(VLOOKUP(DATA[[#This Row],[COMBINADA]],#REF!,6,0),0)</f>
        <v>0</v>
      </c>
      <c r="AJ558" s="125">
        <f>IFERROR(VLOOKUP(DATA[[#This Row],[COMBINADA]],#REF!,9,0),0)/COUNTIFS(DATA[COMBINADA],DATA[[#This Row],[COMBINADA]])</f>
        <v>0</v>
      </c>
      <c r="AK558" s="27">
        <f>IFERROR(VLOOKUP(DATA[[#This Row],[COMBINADA]],#REF!,6,0),0)</f>
        <v>0</v>
      </c>
      <c r="AL558" s="125">
        <f>IFERROR(VLOOKUP(DATA[[#This Row],[COMBINADA]],#REF!,9,0),0)/COUNTIFS(DATA[COMBINADA],DATA[[#This Row],[COMBINADA]])</f>
        <v>0</v>
      </c>
      <c r="AM558" s="27">
        <f>IFERROR(VLOOKUP(DATA[[#This Row],[COMBINADA]],#REF!,6,0),0)</f>
        <v>0</v>
      </c>
      <c r="AN558" s="125">
        <f>IFERROR(VLOOKUP(DATA[[#This Row],[COMBINADA]],#REF!,9,0),0)/COUNTIFS(DATA[COMBINADA],DATA[[#This Row],[COMBINADA]])</f>
        <v>0</v>
      </c>
      <c r="AO558" s="27">
        <f>IFERROR(VLOOKUP(DATA[[#This Row],[COMBINADA]],#REF!,6,0),0)</f>
        <v>0</v>
      </c>
      <c r="AP558" s="125">
        <f>IFERROR(VLOOKUP(DATA[[#This Row],[COMBINADA]],#REF!,9,0),0)/COUNTIFS(DATA[COMBINADA],DATA[[#This Row],[COMBINADA]])</f>
        <v>0</v>
      </c>
      <c r="AQ55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700.21199999999988</v>
      </c>
      <c r="AR558" s="26" t="str">
        <f>IFERROR(IF(DATA[[#This Row],[estado_fact]]="FACTURADO",VLOOKUP(DATA[[#This Row],[SERIE2]]&amp;"-"&amp;DATA[[#This Row],[NUMERO]],#REF!,34,0),"NO CORRESPONDE"),"NO CORRESPONDE")</f>
        <v>NO CORRESPONDE</v>
      </c>
      <c r="AS558" s="22" t="str">
        <f>IF(DATA[[#This Row],[fecha_fs]]&gt;0,TEXT(DATA[[#This Row],[fecha_fs]],"Mmmm"),0)</f>
        <v>Abril</v>
      </c>
      <c r="AT558" s="22" t="str">
        <f>DATA[[#This Row],[SERIE2]]&amp;"-"&amp;DATA[[#This Row],[NUMERO]]</f>
        <v>FF01-70</v>
      </c>
      <c r="AU558" s="28">
        <f>DATA[[#This Row],[TOTAL]]*DATA[[#This Row],[T.C.]]</f>
        <v>711.54</v>
      </c>
      <c r="AV558" s="6">
        <f>DATA[[#This Row],[FECHA DE VAL.]]</f>
        <v>45772</v>
      </c>
      <c r="AW558" s="6">
        <f>DATA[[#This Row],[FECHA DE EMISION]]</f>
        <v>45782</v>
      </c>
      <c r="AX558" s="6">
        <f>DATA[[#This Row],[F1]]</f>
        <v>0</v>
      </c>
      <c r="AY558" s="20">
        <f>IF(AV558-DATA[[#This Row],[fecha_fs]]&lt;0,0,AV558-DATA[[#This Row],[fecha_fs]])</f>
        <v>0</v>
      </c>
      <c r="AZ558" s="20">
        <f t="shared" si="57"/>
        <v>10</v>
      </c>
      <c r="BA558" s="20">
        <f t="shared" si="58"/>
        <v>0</v>
      </c>
      <c r="BB558" s="195">
        <f>IFERROR(SUM(DATA[[#This Row],[fs_val_ttf]:[fact_pago_ttf]]),0)</f>
        <v>10</v>
      </c>
      <c r="BC558" s="185">
        <v>45772</v>
      </c>
      <c r="BD558" s="185">
        <v>45772</v>
      </c>
      <c r="BE558" s="185">
        <v>45782</v>
      </c>
      <c r="BF558" s="185">
        <v>45782</v>
      </c>
      <c r="BG558" s="20">
        <f>IFERROR(IF(BC558-DATA[[#This Row],[fecha_fs]]&lt;0,0,BC558-DATA[[#This Row],[fecha_fs]]),0)</f>
        <v>0</v>
      </c>
      <c r="BH558" s="20">
        <f t="shared" si="59"/>
        <v>0</v>
      </c>
      <c r="BI558" s="20">
        <f t="shared" si="60"/>
        <v>10</v>
      </c>
      <c r="BJ558" s="20">
        <f t="shared" si="61"/>
        <v>0</v>
      </c>
      <c r="BK558" s="218">
        <f>IFERROR(SUM(DATA[[#This Row],[fs_fd_ttd]:[fend_fenf_ttd]]),0)</f>
        <v>10</v>
      </c>
      <c r="BL558" s="20" t="str">
        <f>IF(DATA[[#This Row],[fecha_fs]]&gt;0,TEXT(DATA[[#This Row],[fecha_fs]],"YYYY"),0)</f>
        <v>2025</v>
      </c>
      <c r="BM558" s="221" t="b">
        <v>1</v>
      </c>
      <c r="BN558" s="278">
        <f>COUNTIF(DATA[[#This Row],[tiempo_td]], "&lt;=15")</f>
        <v>1</v>
      </c>
      <c r="BO558" s="222"/>
    </row>
    <row r="559" spans="1:67" ht="30.6" customHeight="1" x14ac:dyDescent="0.25">
      <c r="A559" s="4">
        <v>20100226902</v>
      </c>
      <c r="B559" s="5" t="s">
        <v>24</v>
      </c>
      <c r="C559" s="52" t="s">
        <v>18</v>
      </c>
      <c r="D559" s="4" t="s">
        <v>120</v>
      </c>
      <c r="E559" s="5" t="s">
        <v>3</v>
      </c>
      <c r="F559" s="24">
        <v>45772</v>
      </c>
      <c r="G559" s="7" t="s">
        <v>113</v>
      </c>
      <c r="H559" s="25">
        <f t="shared" si="56"/>
        <v>1</v>
      </c>
      <c r="I559" s="67">
        <v>4420</v>
      </c>
      <c r="J559" s="8" t="s">
        <v>115</v>
      </c>
      <c r="K559" s="9" t="s">
        <v>121</v>
      </c>
      <c r="L559" s="10" t="s">
        <v>117</v>
      </c>
      <c r="M559" s="11">
        <v>640</v>
      </c>
      <c r="N559" s="12" t="s">
        <v>127</v>
      </c>
      <c r="O559" s="40"/>
      <c r="P559" s="41" t="s">
        <v>114</v>
      </c>
      <c r="Q559" s="42"/>
      <c r="R559" s="43"/>
      <c r="S559" s="43"/>
      <c r="T559" s="43">
        <f>DATA[[#This Row],[C. DF]]+DATA[[#This Row],[C.OPE.]]</f>
        <v>0</v>
      </c>
      <c r="U559" s="43">
        <f>DATA[[#This Row],[SUB TOTAL]]*0.18</f>
        <v>0</v>
      </c>
      <c r="V559" s="43">
        <f>IFERROR(ROUND(DATA[[#This Row],[SUB TOTAL]]+DATA[[#This Row],[IGV]],2),0)</f>
        <v>0</v>
      </c>
      <c r="W559" s="58" t="str">
        <f>IF(DATA[[#This Row],[VALORIZACIÓN ]]="-","NO CORRESPONDE",IF(OR(A559=20558226979,A559=10470707866,A559=20111157058,A559=20100226902),"NO CORRESPONDE",IF(J559="Emitida",IF(P559&gt;0,"EMITIDA","PENDIENTE"),"NO CORRESPONDE")))</f>
        <v>NO CORRESPONDE</v>
      </c>
      <c r="X559" s="45"/>
      <c r="Y559" s="58" t="s">
        <v>128</v>
      </c>
      <c r="Z559" s="46"/>
      <c r="AA559" s="47"/>
      <c r="AB559" s="48"/>
      <c r="AC559" s="49"/>
      <c r="AD559" s="50">
        <f>DATA[[#This Row],[FECHA DE EMISION]]+DATA[[#This Row],[CONDICION DE PAGO]]</f>
        <v>0</v>
      </c>
      <c r="AE559" s="23">
        <f>IF(DATA[[#This Row],[MONEDA]]="USD",VLOOKUP(DATA[[#This Row],[COMBINADA]],#REF!,11,0),1)</f>
        <v>1</v>
      </c>
      <c r="AF559" s="39" t="str">
        <f>IF(DATA[[#This Row],[SERIE2]]="-","NO CORRESPONDE",IF(W559="NO CORRESPONDE","NO CORRESPONDE",IF(Z559&gt;0,"FACTURADO","PENDIENTE")))</f>
        <v>NO CORRESPONDE</v>
      </c>
      <c r="AG559" s="60">
        <f>IFERROR(VLOOKUP(DATA[[#This Row],[COMBINADA]],#REF!,6,0),0)</f>
        <v>0</v>
      </c>
      <c r="AH559" s="126">
        <f>IFERROR(VLOOKUP(DATA[[#This Row],[COMBINADA]],#REF!,9,0),0)/COUNTIFS(DATA[COMBINADA],DATA[[#This Row],[COMBINADA]])</f>
        <v>0</v>
      </c>
      <c r="AI559" s="60">
        <f>IFERROR(VLOOKUP(DATA[[#This Row],[COMBINADA]],#REF!,6,0),0)</f>
        <v>0</v>
      </c>
      <c r="AJ559" s="126">
        <f>IFERROR(VLOOKUP(DATA[[#This Row],[COMBINADA]],#REF!,9,0),0)/COUNTIFS(DATA[COMBINADA],DATA[[#This Row],[COMBINADA]])</f>
        <v>0</v>
      </c>
      <c r="AK559" s="60">
        <f>IFERROR(VLOOKUP(DATA[[#This Row],[COMBINADA]],#REF!,6,0),0)</f>
        <v>0</v>
      </c>
      <c r="AL559" s="126">
        <f>IFERROR(VLOOKUP(DATA[[#This Row],[COMBINADA]],#REF!,9,0),0)/COUNTIFS(DATA[COMBINADA],DATA[[#This Row],[COMBINADA]])</f>
        <v>0</v>
      </c>
      <c r="AM559" s="60">
        <f>IFERROR(VLOOKUP(DATA[[#This Row],[COMBINADA]],#REF!,6,0),0)</f>
        <v>0</v>
      </c>
      <c r="AN559" s="126">
        <f>IFERROR(VLOOKUP(DATA[[#This Row],[COMBINADA]],#REF!,9,0),0)/COUNTIFS(DATA[COMBINADA],DATA[[#This Row],[COMBINADA]])</f>
        <v>0</v>
      </c>
      <c r="AO559" s="60">
        <f>IFERROR(VLOOKUP(DATA[[#This Row],[COMBINADA]],#REF!,6,0),0)</f>
        <v>0</v>
      </c>
      <c r="AP559" s="126">
        <f>IFERROR(VLOOKUP(DATA[[#This Row],[COMBINADA]],#REF!,9,0),0)/COUNTIFS(DATA[COMBINADA],DATA[[#This Row],[COMBINADA]])</f>
        <v>0</v>
      </c>
      <c r="AQ559"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559" s="22" t="str">
        <f>IFERROR(IF(DATA[[#This Row],[estado_fact]]="FACTURADO",VLOOKUP(DATA[[#This Row],[SERIE2]]&amp;"-"&amp;DATA[[#This Row],[NUMERO]],#REF!,34,0),"NO CORRESPONDE"),"NO CORRESPONDE")</f>
        <v>NO CORRESPONDE</v>
      </c>
      <c r="AS559" s="22" t="str">
        <f>IF(DATA[[#This Row],[fecha_fs]]&gt;0,TEXT(DATA[[#This Row],[fecha_fs]],"Mmmm"),0)</f>
        <v>Abril</v>
      </c>
      <c r="AT559" s="22" t="str">
        <f>DATA[[#This Row],[SERIE2]]&amp;"-"&amp;DATA[[#This Row],[NUMERO]]</f>
        <v>-</v>
      </c>
      <c r="AU559" s="28">
        <f>DATA[[#This Row],[TOTAL]]*DATA[[#This Row],[T.C.]]</f>
        <v>0</v>
      </c>
      <c r="AV559" s="6">
        <f>DATA[[#This Row],[FECHA DE VAL.]]</f>
        <v>0</v>
      </c>
      <c r="AW559" s="6">
        <f>DATA[[#This Row],[FECHA DE EMISION]]</f>
        <v>0</v>
      </c>
      <c r="AX559" s="6">
        <f>DATA[[#This Row],[F1]]</f>
        <v>0</v>
      </c>
      <c r="AY559" s="20">
        <f>IF(AV559-DATA[[#This Row],[fecha_fs]]&lt;0,0,AV559-DATA[[#This Row],[fecha_fs]])</f>
        <v>0</v>
      </c>
      <c r="AZ559" s="20">
        <f t="shared" si="57"/>
        <v>0</v>
      </c>
      <c r="BA559" s="20">
        <f t="shared" si="58"/>
        <v>0</v>
      </c>
      <c r="BB559" s="195">
        <f>IFERROR(SUM(DATA[[#This Row],[fs_val_ttf]:[fact_pago_ttf]]),0)</f>
        <v>0</v>
      </c>
      <c r="BC559" s="185">
        <v>45772</v>
      </c>
      <c r="BD559" s="185">
        <v>45772</v>
      </c>
      <c r="BE559" s="185">
        <v>45783</v>
      </c>
      <c r="BF559" s="185">
        <v>45783</v>
      </c>
      <c r="BG559" s="20">
        <f>IFERROR(IF(BC559-DATA[[#This Row],[fecha_fs]]&lt;0,0,BC559-DATA[[#This Row],[fecha_fs]]),0)</f>
        <v>0</v>
      </c>
      <c r="BH559" s="20">
        <f t="shared" si="59"/>
        <v>0</v>
      </c>
      <c r="BI559" s="20">
        <f t="shared" si="60"/>
        <v>11</v>
      </c>
      <c r="BJ559" s="20">
        <f t="shared" si="61"/>
        <v>0</v>
      </c>
      <c r="BK559" s="218">
        <f>IFERROR(SUM(DATA[[#This Row],[fs_fd_ttd]:[fend_fenf_ttd]]),0)</f>
        <v>11</v>
      </c>
      <c r="BL559" s="20" t="str">
        <f>IF(DATA[[#This Row],[fecha_fs]]&gt;0,TEXT(DATA[[#This Row],[fecha_fs]],"YYYY"),0)</f>
        <v>2025</v>
      </c>
      <c r="BM559" s="221" t="b">
        <v>1</v>
      </c>
      <c r="BN559" s="278">
        <f>COUNTIF(DATA[[#This Row],[tiempo_td]], "&lt;=15")</f>
        <v>1</v>
      </c>
      <c r="BO559" s="222"/>
    </row>
    <row r="560" spans="1:67" ht="30.6" customHeight="1" x14ac:dyDescent="0.25">
      <c r="A560" s="4">
        <v>20100211115</v>
      </c>
      <c r="B560" s="5" t="s">
        <v>41</v>
      </c>
      <c r="C560" s="52" t="s">
        <v>18</v>
      </c>
      <c r="D560" s="4" t="s">
        <v>120</v>
      </c>
      <c r="E560" s="5" t="s">
        <v>3</v>
      </c>
      <c r="F560" s="24">
        <v>45772</v>
      </c>
      <c r="G560" s="7" t="s">
        <v>113</v>
      </c>
      <c r="H560" s="25">
        <f t="shared" si="56"/>
        <v>1</v>
      </c>
      <c r="I560" s="67">
        <v>4421</v>
      </c>
      <c r="J560" s="8" t="s">
        <v>115</v>
      </c>
      <c r="K560" s="9" t="s">
        <v>121</v>
      </c>
      <c r="L560" s="10" t="s">
        <v>117</v>
      </c>
      <c r="M560" s="11">
        <v>90</v>
      </c>
      <c r="N560" s="12" t="s">
        <v>167</v>
      </c>
      <c r="O560" s="6">
        <v>45775</v>
      </c>
      <c r="P560" s="115">
        <v>3419</v>
      </c>
      <c r="Q560" s="14" t="s">
        <v>85</v>
      </c>
      <c r="R560" s="15"/>
      <c r="S560" s="15">
        <f>(DATA[[#This Row],[cantidad_fs]]*4.37)</f>
        <v>393.3</v>
      </c>
      <c r="T560" s="15">
        <f>DATA[[#This Row],[C. DF]]+DATA[[#This Row],[C.OPE.]]</f>
        <v>393.3</v>
      </c>
      <c r="U560" s="15">
        <f>DATA[[#This Row],[SUB TOTAL]]*0.18</f>
        <v>70.793999999999997</v>
      </c>
      <c r="V560" s="15">
        <f>IFERROR(ROUND(DATA[[#This Row],[SUB TOTAL]]+DATA[[#This Row],[IGV]],2),0)</f>
        <v>464.09</v>
      </c>
      <c r="W560" s="16" t="str">
        <f>IF(DATA[[#This Row],[VALORIZACIÓN ]]="-","NO CORRESPONDE",IF(OR(A560=20558226979,A560=10470707866,A560=20111157058,A560=20100226902),"NO CORRESPONDE",IF(J560="Emitida",IF(P560&gt;0,"EMITIDA","PENDIENTE"),"NO CORRESPONDE")))</f>
        <v>EMITIDA</v>
      </c>
      <c r="X560" s="29"/>
      <c r="Y560" s="17" t="s">
        <v>118</v>
      </c>
      <c r="Z560" s="30">
        <v>45777</v>
      </c>
      <c r="AA560" s="10" t="s">
        <v>150</v>
      </c>
      <c r="AB560" s="19">
        <v>60</v>
      </c>
      <c r="AC560" s="20">
        <v>30</v>
      </c>
      <c r="AD560" s="18">
        <f>DATA[[#This Row],[FECHA DE EMISION]]+DATA[[#This Row],[CONDICION DE PAGO]]</f>
        <v>45807</v>
      </c>
      <c r="AE560" s="23">
        <f>IF(DATA[[#This Row],[MONEDA]]="USD",VLOOKUP(DATA[[#This Row],[COMBINADA]],#REF!,11,0),1)</f>
        <v>1</v>
      </c>
      <c r="AF560" s="39" t="str">
        <f>IF(DATA[[#This Row],[SERIE2]]="-","NO CORRESPONDE",IF(W560="NO CORRESPONDE","NO CORRESPONDE",IF(Z560&gt;0,"FACTURADO","PENDIENTE")))</f>
        <v>FACTURADO</v>
      </c>
      <c r="AG560" s="27">
        <f>IFERROR(VLOOKUP(DATA[[#This Row],[COMBINADA]],#REF!,6,0),0)</f>
        <v>0</v>
      </c>
      <c r="AH560" s="125">
        <f>IFERROR(VLOOKUP(DATA[[#This Row],[COMBINADA]],#REF!,9,0),0)/COUNTIFS(DATA[COMBINADA],DATA[[#This Row],[COMBINADA]])</f>
        <v>0</v>
      </c>
      <c r="AI560" s="27">
        <f>IFERROR(VLOOKUP(DATA[[#This Row],[COMBINADA]],#REF!,6,0),0)</f>
        <v>0</v>
      </c>
      <c r="AJ560" s="125">
        <f>IFERROR(VLOOKUP(DATA[[#This Row],[COMBINADA]],#REF!,9,0),0)/COUNTIFS(DATA[COMBINADA],DATA[[#This Row],[COMBINADA]])</f>
        <v>0</v>
      </c>
      <c r="AK560" s="27">
        <f>IFERROR(VLOOKUP(DATA[[#This Row],[COMBINADA]],#REF!,6,0),0)</f>
        <v>0</v>
      </c>
      <c r="AL560" s="125">
        <f>IFERROR(VLOOKUP(DATA[[#This Row],[COMBINADA]],#REF!,9,0),0)/COUNTIFS(DATA[COMBINADA],DATA[[#This Row],[COMBINADA]])</f>
        <v>0</v>
      </c>
      <c r="AM560" s="27">
        <f>IFERROR(VLOOKUP(DATA[[#This Row],[COMBINADA]],#REF!,6,0),0)</f>
        <v>0</v>
      </c>
      <c r="AN560" s="125">
        <f>IFERROR(VLOOKUP(DATA[[#This Row],[COMBINADA]],#REF!,9,0),0)/COUNTIFS(DATA[COMBINADA],DATA[[#This Row],[COMBINADA]])</f>
        <v>0</v>
      </c>
      <c r="AO560" s="27">
        <f>IFERROR(VLOOKUP(DATA[[#This Row],[COMBINADA]],#REF!,6,0),0)</f>
        <v>0</v>
      </c>
      <c r="AP560" s="125">
        <f>IFERROR(VLOOKUP(DATA[[#This Row],[COMBINADA]],#REF!,9,0),0)/COUNTIFS(DATA[COMBINADA],DATA[[#This Row],[COMBINADA]])</f>
        <v>0</v>
      </c>
      <c r="AQ56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560" s="26" t="str">
        <f>IFERROR(IF(DATA[[#This Row],[estado_fact]]="FACTURADO",VLOOKUP(DATA[[#This Row],[SERIE2]]&amp;"-"&amp;DATA[[#This Row],[NUMERO]],#REF!,34,0),"NO CORRESPONDE"),"NO CORRESPONDE")</f>
        <v>NO CORRESPONDE</v>
      </c>
      <c r="AS560" s="22" t="str">
        <f>IF(DATA[[#This Row],[fecha_fs]]&gt;0,TEXT(DATA[[#This Row],[fecha_fs]],"Mmmm"),0)</f>
        <v>Abril</v>
      </c>
      <c r="AT560" s="22" t="str">
        <f>DATA[[#This Row],[SERIE2]]&amp;"-"&amp;DATA[[#This Row],[NUMERO]]</f>
        <v>FF01-60</v>
      </c>
      <c r="AU560" s="28">
        <f>DATA[[#This Row],[TOTAL]]*DATA[[#This Row],[T.C.]]</f>
        <v>464.09</v>
      </c>
      <c r="AV560" s="6">
        <f>DATA[[#This Row],[FECHA DE VAL.]]</f>
        <v>45775</v>
      </c>
      <c r="AW560" s="6">
        <f>DATA[[#This Row],[FECHA DE EMISION]]</f>
        <v>45777</v>
      </c>
      <c r="AX560" s="6">
        <f>DATA[[#This Row],[F1]]</f>
        <v>0</v>
      </c>
      <c r="AY560" s="20">
        <f>IF(AV560-DATA[[#This Row],[fecha_fs]]&lt;0,0,AV560-DATA[[#This Row],[fecha_fs]])</f>
        <v>3</v>
      </c>
      <c r="AZ560" s="20">
        <f t="shared" si="57"/>
        <v>2</v>
      </c>
      <c r="BA560" s="20">
        <f t="shared" si="58"/>
        <v>0</v>
      </c>
      <c r="BB560" s="195">
        <f>IFERROR(SUM(DATA[[#This Row],[fs_val_ttf]:[fact_pago_ttf]]),0)</f>
        <v>5</v>
      </c>
      <c r="BC560" s="185">
        <v>45779</v>
      </c>
      <c r="BD560" s="185">
        <v>45789</v>
      </c>
      <c r="BE560" s="185">
        <v>45796</v>
      </c>
      <c r="BF560" s="184">
        <v>45798</v>
      </c>
      <c r="BG560" s="20">
        <f>IFERROR(IF(BC560-DATA[[#This Row],[fecha_fs]]&lt;0,0,BC560-DATA[[#This Row],[fecha_fs]]),0)</f>
        <v>7</v>
      </c>
      <c r="BH560" s="20">
        <f t="shared" si="59"/>
        <v>10</v>
      </c>
      <c r="BI560" s="20">
        <f t="shared" si="60"/>
        <v>7</v>
      </c>
      <c r="BJ560" s="20">
        <f t="shared" si="61"/>
        <v>2</v>
      </c>
      <c r="BK560" s="218">
        <f>IFERROR(SUM(DATA[[#This Row],[fs_fd_ttd]:[fend_fenf_ttd]]),0)</f>
        <v>26</v>
      </c>
      <c r="BL560" s="20" t="str">
        <f>IF(DATA[[#This Row],[fecha_fs]]&gt;0,TEXT(DATA[[#This Row],[fecha_fs]],"YYYY"),0)</f>
        <v>2025</v>
      </c>
      <c r="BM560" s="221" t="b">
        <v>1</v>
      </c>
      <c r="BN560" s="278">
        <f>COUNTIF(DATA[[#This Row],[tiempo_td]], "&lt;=15")</f>
        <v>0</v>
      </c>
      <c r="BO560" s="222"/>
    </row>
    <row r="561" spans="1:67" ht="30.6" customHeight="1" x14ac:dyDescent="0.25">
      <c r="A561" s="4">
        <v>20100192064</v>
      </c>
      <c r="B561" s="5" t="s">
        <v>60</v>
      </c>
      <c r="C561" s="52" t="s">
        <v>43</v>
      </c>
      <c r="D561" s="4" t="s">
        <v>120</v>
      </c>
      <c r="E561" s="5" t="s">
        <v>3</v>
      </c>
      <c r="F561" s="24">
        <v>45772</v>
      </c>
      <c r="G561" s="7" t="s">
        <v>113</v>
      </c>
      <c r="H561" s="25">
        <f t="shared" si="56"/>
        <v>1</v>
      </c>
      <c r="I561" s="67">
        <v>4422</v>
      </c>
      <c r="J561" s="8" t="s">
        <v>115</v>
      </c>
      <c r="K561" s="9" t="s">
        <v>121</v>
      </c>
      <c r="L561" s="10" t="s">
        <v>117</v>
      </c>
      <c r="M561" s="11">
        <v>640</v>
      </c>
      <c r="N561" s="12" t="s">
        <v>125</v>
      </c>
      <c r="O561" s="6">
        <v>45772</v>
      </c>
      <c r="P561" s="71">
        <v>3407</v>
      </c>
      <c r="Q561" s="14" t="s">
        <v>123</v>
      </c>
      <c r="R561" s="15">
        <f>(DATA[[#This Row],[cantidad_fs]]/1000)*(47+174.34)</f>
        <v>141.6576</v>
      </c>
      <c r="S561" s="15">
        <v>137</v>
      </c>
      <c r="T561" s="15">
        <f>DATA[[#This Row],[C. DF]]+DATA[[#This Row],[C.OPE.]]</f>
        <v>278.6576</v>
      </c>
      <c r="U561" s="15">
        <f>DATA[[#This Row],[SUB TOTAL]]*0.18</f>
        <v>50.158367999999996</v>
      </c>
      <c r="V561" s="15">
        <f>IFERROR(ROUND(DATA[[#This Row],[SUB TOTAL]]+DATA[[#This Row],[IGV]],2),0)</f>
        <v>328.82</v>
      </c>
      <c r="W561" s="16" t="str">
        <f>IF(DATA[[#This Row],[VALORIZACIÓN ]]="-","NO CORRESPONDE",IF(OR(A561=20558226979,A561=10470707866,A561=20111157058,A561=20100226902),"NO CORRESPONDE",IF(J561="Emitida",IF(P561&gt;0,"EMITIDA","PENDIENTE"),"NO CORRESPONDE")))</f>
        <v>EMITIDA</v>
      </c>
      <c r="X561" s="29"/>
      <c r="Y561" s="17" t="s">
        <v>118</v>
      </c>
      <c r="Z561" s="30">
        <v>45776</v>
      </c>
      <c r="AA561" s="10" t="s">
        <v>150</v>
      </c>
      <c r="AB561" s="19">
        <v>54</v>
      </c>
      <c r="AC561" s="20">
        <v>30</v>
      </c>
      <c r="AD561" s="18">
        <f>DATA[[#This Row],[FECHA DE EMISION]]+DATA[[#This Row],[CONDICION DE PAGO]]</f>
        <v>45806</v>
      </c>
      <c r="AE561" s="23" t="e">
        <f>IF(DATA[[#This Row],[MONEDA]]="USD",VLOOKUP(DATA[[#This Row],[COMBINADA]],#REF!,11,0),1)</f>
        <v>#REF!</v>
      </c>
      <c r="AF561" s="39" t="str">
        <f>IF(DATA[[#This Row],[SERIE2]]="-","NO CORRESPONDE",IF(W561="NO CORRESPONDE","NO CORRESPONDE",IF(Z561&gt;0,"FACTURADO","PENDIENTE")))</f>
        <v>FACTURADO</v>
      </c>
      <c r="AG561" s="27">
        <f>IFERROR(VLOOKUP(DATA[[#This Row],[COMBINADA]],#REF!,6,0),0)</f>
        <v>0</v>
      </c>
      <c r="AH561" s="125">
        <f>IFERROR(VLOOKUP(DATA[[#This Row],[COMBINADA]],#REF!,9,0),0)/COUNTIFS(DATA[COMBINADA],DATA[[#This Row],[COMBINADA]])</f>
        <v>0</v>
      </c>
      <c r="AI561" s="27">
        <f>IFERROR(VLOOKUP(DATA[[#This Row],[COMBINADA]],#REF!,6,0),0)</f>
        <v>0</v>
      </c>
      <c r="AJ561" s="125">
        <f>IFERROR(VLOOKUP(DATA[[#This Row],[COMBINADA]],#REF!,9,0),0)/COUNTIFS(DATA[COMBINADA],DATA[[#This Row],[COMBINADA]])</f>
        <v>0</v>
      </c>
      <c r="AK561" s="27">
        <f>IFERROR(VLOOKUP(DATA[[#This Row],[COMBINADA]],#REF!,6,0),0)</f>
        <v>0</v>
      </c>
      <c r="AL561" s="125">
        <f>IFERROR(VLOOKUP(DATA[[#This Row],[COMBINADA]],#REF!,9,0),0)/COUNTIFS(DATA[COMBINADA],DATA[[#This Row],[COMBINADA]])</f>
        <v>0</v>
      </c>
      <c r="AM561" s="27">
        <f>IFERROR(VLOOKUP(DATA[[#This Row],[COMBINADA]],#REF!,6,0),0)</f>
        <v>0</v>
      </c>
      <c r="AN561" s="125">
        <f>IFERROR(VLOOKUP(DATA[[#This Row],[COMBINADA]],#REF!,9,0),0)/COUNTIFS(DATA[COMBINADA],DATA[[#This Row],[COMBINADA]])</f>
        <v>0</v>
      </c>
      <c r="AO561" s="27">
        <f>IFERROR(VLOOKUP(DATA[[#This Row],[COMBINADA]],#REF!,6,0),0)</f>
        <v>0</v>
      </c>
      <c r="AP561" s="125">
        <f>IFERROR(VLOOKUP(DATA[[#This Row],[COMBINADA]],#REF!,9,0),0)/COUNTIFS(DATA[COMBINADA],DATA[[#This Row],[COMBINADA]])</f>
        <v>0</v>
      </c>
      <c r="AQ56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548.94894736842105</v>
      </c>
      <c r="AR561" s="26" t="str">
        <f>IFERROR(IF(DATA[[#This Row],[estado_fact]]="FACTURADO",VLOOKUP(DATA[[#This Row],[SERIE2]]&amp;"-"&amp;DATA[[#This Row],[NUMERO]],#REF!,34,0),"NO CORRESPONDE"),"NO CORRESPONDE")</f>
        <v>NO CORRESPONDE</v>
      </c>
      <c r="AS561" s="22" t="str">
        <f>IF(DATA[[#This Row],[fecha_fs]]&gt;0,TEXT(DATA[[#This Row],[fecha_fs]],"Mmmm"),0)</f>
        <v>Abril</v>
      </c>
      <c r="AT561" s="22" t="str">
        <f>DATA[[#This Row],[SERIE2]]&amp;"-"&amp;DATA[[#This Row],[NUMERO]]</f>
        <v>FF01-54</v>
      </c>
      <c r="AU561" s="28" t="e">
        <f>DATA[[#This Row],[TOTAL]]*DATA[[#This Row],[T.C.]]</f>
        <v>#REF!</v>
      </c>
      <c r="AV561" s="6">
        <f>DATA[[#This Row],[FECHA DE VAL.]]</f>
        <v>45772</v>
      </c>
      <c r="AW561" s="6">
        <f>DATA[[#This Row],[FECHA DE EMISION]]</f>
        <v>45776</v>
      </c>
      <c r="AX561" s="6">
        <f>DATA[[#This Row],[F1]]</f>
        <v>0</v>
      </c>
      <c r="AY561" s="20">
        <f>IF(AV561-DATA[[#This Row],[fecha_fs]]&lt;0,0,AV561-DATA[[#This Row],[fecha_fs]])</f>
        <v>0</v>
      </c>
      <c r="AZ561" s="20">
        <f t="shared" si="57"/>
        <v>4</v>
      </c>
      <c r="BA561" s="20">
        <f t="shared" si="58"/>
        <v>0</v>
      </c>
      <c r="BB561" s="195">
        <f>IFERROR(SUM(DATA[[#This Row],[fs_val_ttf]:[fact_pago_ttf]]),0)</f>
        <v>4</v>
      </c>
      <c r="BC561" s="185">
        <v>45786</v>
      </c>
      <c r="BD561" s="185">
        <v>45806</v>
      </c>
      <c r="BE561" s="185">
        <v>45810</v>
      </c>
      <c r="BF561" s="185">
        <v>45831</v>
      </c>
      <c r="BG561" s="20">
        <f>IFERROR(IF(BC561-DATA[[#This Row],[fecha_fs]]&lt;0,0,BC561-DATA[[#This Row],[fecha_fs]]),0)</f>
        <v>14</v>
      </c>
      <c r="BH561" s="20">
        <f t="shared" si="59"/>
        <v>20</v>
      </c>
      <c r="BI561" s="20">
        <f t="shared" si="60"/>
        <v>4</v>
      </c>
      <c r="BJ561" s="20">
        <f t="shared" si="61"/>
        <v>21</v>
      </c>
      <c r="BK561" s="218">
        <f>IFERROR(SUM(DATA[[#This Row],[fs_fd_ttd]:[fend_fenf_ttd]]),0)</f>
        <v>59</v>
      </c>
      <c r="BL561" s="20" t="str">
        <f>IF(DATA[[#This Row],[fecha_fs]]&gt;0,TEXT(DATA[[#This Row],[fecha_fs]],"YYYY"),0)</f>
        <v>2025</v>
      </c>
      <c r="BM561" s="221" t="b">
        <v>1</v>
      </c>
      <c r="BN561" s="278">
        <f>COUNTIF(DATA[[#This Row],[tiempo_td]], "&lt;=15")</f>
        <v>0</v>
      </c>
      <c r="BO561" s="222"/>
    </row>
    <row r="562" spans="1:67" ht="30.6" customHeight="1" x14ac:dyDescent="0.25">
      <c r="A562" s="4">
        <v>20100192064</v>
      </c>
      <c r="B562" s="5" t="s">
        <v>60</v>
      </c>
      <c r="C562" s="52" t="s">
        <v>43</v>
      </c>
      <c r="D562" s="4" t="s">
        <v>152</v>
      </c>
      <c r="E562" s="5" t="s">
        <v>10</v>
      </c>
      <c r="F562" s="24">
        <v>45772</v>
      </c>
      <c r="G562" s="7" t="s">
        <v>113</v>
      </c>
      <c r="H562" s="25">
        <f t="shared" si="56"/>
        <v>1</v>
      </c>
      <c r="I562" s="67">
        <v>4423</v>
      </c>
      <c r="J562" s="8" t="s">
        <v>115</v>
      </c>
      <c r="K562" s="9" t="s">
        <v>153</v>
      </c>
      <c r="L562" s="10" t="s">
        <v>117</v>
      </c>
      <c r="M562" s="11">
        <v>450</v>
      </c>
      <c r="N562" s="12" t="s">
        <v>125</v>
      </c>
      <c r="O562" s="6"/>
      <c r="P562" s="71" t="s">
        <v>114</v>
      </c>
      <c r="Q562" s="14"/>
      <c r="R562" s="15"/>
      <c r="S562" s="15"/>
      <c r="T562" s="15">
        <f>DATA[[#This Row],[C. DF]]+DATA[[#This Row],[C.OPE.]]</f>
        <v>0</v>
      </c>
      <c r="U562" s="15">
        <f>DATA[[#This Row],[SUB TOTAL]]*0.18</f>
        <v>0</v>
      </c>
      <c r="V562" s="15">
        <f>IFERROR(ROUND(DATA[[#This Row],[SUB TOTAL]]+DATA[[#This Row],[IGV]],2),0)</f>
        <v>0</v>
      </c>
      <c r="W562" s="16" t="str">
        <f>IF(DATA[[#This Row],[VALORIZACIÓN ]]="-","NO CORRESPONDE",IF(OR(A562=20558226979,A562=10470707866,A562=20111157058,A562=20100226902),"NO CORRESPONDE",IF(J562="Emitida",IF(P562&gt;0,"EMITIDA","PENDIENTE"),"NO CORRESPONDE")))</f>
        <v>NO CORRESPONDE</v>
      </c>
      <c r="X562" s="29"/>
      <c r="Y562" s="17" t="s">
        <v>128</v>
      </c>
      <c r="Z562" s="30"/>
      <c r="AA562" s="10"/>
      <c r="AB562" s="19"/>
      <c r="AC562" s="20"/>
      <c r="AD562" s="18">
        <f>DATA[[#This Row],[FECHA DE EMISION]]+DATA[[#This Row],[CONDICION DE PAGO]]</f>
        <v>0</v>
      </c>
      <c r="AE562" s="23">
        <f>IF(DATA[[#This Row],[MONEDA]]="USD",VLOOKUP(DATA[[#This Row],[COMBINADA]],#REF!,11,0),1)</f>
        <v>1</v>
      </c>
      <c r="AF562" s="39" t="str">
        <f>IF(DATA[[#This Row],[SERIE2]]="-","NO CORRESPONDE",IF(W562="NO CORRESPONDE","NO CORRESPONDE",IF(Z562&gt;0,"FACTURADO","PENDIENTE")))</f>
        <v>NO CORRESPONDE</v>
      </c>
      <c r="AG562" s="27">
        <f>IFERROR(VLOOKUP(DATA[[#This Row],[COMBINADA]],#REF!,6,0),0)</f>
        <v>0</v>
      </c>
      <c r="AH562" s="125">
        <f>IFERROR(VLOOKUP(DATA[[#This Row],[COMBINADA]],#REF!,9,0),0)/COUNTIFS(DATA[COMBINADA],DATA[[#This Row],[COMBINADA]])</f>
        <v>0</v>
      </c>
      <c r="AI562" s="27">
        <f>IFERROR(VLOOKUP(DATA[[#This Row],[COMBINADA]],#REF!,6,0),0)</f>
        <v>0</v>
      </c>
      <c r="AJ562" s="125">
        <f>IFERROR(VLOOKUP(DATA[[#This Row],[COMBINADA]],#REF!,9,0),0)/COUNTIFS(DATA[COMBINADA],DATA[[#This Row],[COMBINADA]])</f>
        <v>0</v>
      </c>
      <c r="AK562" s="27">
        <f>IFERROR(VLOOKUP(DATA[[#This Row],[COMBINADA]],#REF!,6,0),0)</f>
        <v>0</v>
      </c>
      <c r="AL562" s="125">
        <f>IFERROR(VLOOKUP(DATA[[#This Row],[COMBINADA]],#REF!,9,0),0)/COUNTIFS(DATA[COMBINADA],DATA[[#This Row],[COMBINADA]])</f>
        <v>0</v>
      </c>
      <c r="AM562" s="27">
        <f>IFERROR(VLOOKUP(DATA[[#This Row],[COMBINADA]],#REF!,6,0),0)</f>
        <v>0</v>
      </c>
      <c r="AN562" s="125">
        <f>IFERROR(VLOOKUP(DATA[[#This Row],[COMBINADA]],#REF!,9,0),0)/COUNTIFS(DATA[COMBINADA],DATA[[#This Row],[COMBINADA]])</f>
        <v>0</v>
      </c>
      <c r="AO562" s="27">
        <f>IFERROR(VLOOKUP(DATA[[#This Row],[COMBINADA]],#REF!,6,0),0)</f>
        <v>0</v>
      </c>
      <c r="AP562" s="125">
        <f>IFERROR(VLOOKUP(DATA[[#This Row],[COMBINADA]],#REF!,9,0),0)/COUNTIFS(DATA[COMBINADA],DATA[[#This Row],[COMBINADA]])</f>
        <v>0</v>
      </c>
      <c r="AQ56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562" s="26" t="str">
        <f>IFERROR(IF(DATA[[#This Row],[estado_fact]]="FACTURADO",VLOOKUP(DATA[[#This Row],[SERIE2]]&amp;"-"&amp;DATA[[#This Row],[NUMERO]],#REF!,34,0),"NO CORRESPONDE"),"NO CORRESPONDE")</f>
        <v>NO CORRESPONDE</v>
      </c>
      <c r="AS562" s="22" t="str">
        <f>IF(DATA[[#This Row],[fecha_fs]]&gt;0,TEXT(DATA[[#This Row],[fecha_fs]],"Mmmm"),0)</f>
        <v>Abril</v>
      </c>
      <c r="AT562" s="22" t="str">
        <f>DATA[[#This Row],[SERIE2]]&amp;"-"&amp;DATA[[#This Row],[NUMERO]]</f>
        <v>-</v>
      </c>
      <c r="AU562" s="28">
        <f>DATA[[#This Row],[TOTAL]]*DATA[[#This Row],[T.C.]]</f>
        <v>0</v>
      </c>
      <c r="AV562" s="6">
        <f>DATA[[#This Row],[FECHA DE VAL.]]</f>
        <v>0</v>
      </c>
      <c r="AW562" s="6">
        <f>DATA[[#This Row],[FECHA DE EMISION]]</f>
        <v>0</v>
      </c>
      <c r="AX562" s="6">
        <f>DATA[[#This Row],[F1]]</f>
        <v>0</v>
      </c>
      <c r="AY562" s="20">
        <f>IF(AV562-DATA[[#This Row],[fecha_fs]]&lt;0,0,AV562-DATA[[#This Row],[fecha_fs]])</f>
        <v>0</v>
      </c>
      <c r="AZ562" s="20">
        <f t="shared" si="57"/>
        <v>0</v>
      </c>
      <c r="BA562" s="20">
        <f t="shared" si="58"/>
        <v>0</v>
      </c>
      <c r="BB562" s="195">
        <f>IFERROR(SUM(DATA[[#This Row],[fs_val_ttf]:[fact_pago_ttf]]),0)</f>
        <v>0</v>
      </c>
      <c r="BC562" s="185">
        <v>45785</v>
      </c>
      <c r="BD562" s="185">
        <v>45793</v>
      </c>
      <c r="BE562" s="185">
        <v>45796</v>
      </c>
      <c r="BF562" s="185">
        <v>45831</v>
      </c>
      <c r="BG562" s="20">
        <f>IFERROR(IF(BC562-DATA[[#This Row],[fecha_fs]]&lt;0,0,BC562-DATA[[#This Row],[fecha_fs]]),0)</f>
        <v>13</v>
      </c>
      <c r="BH562" s="20">
        <f t="shared" si="59"/>
        <v>8</v>
      </c>
      <c r="BI562" s="20">
        <f t="shared" si="60"/>
        <v>3</v>
      </c>
      <c r="BJ562" s="20">
        <f t="shared" si="61"/>
        <v>35</v>
      </c>
      <c r="BK562" s="218">
        <f>IFERROR(SUM(DATA[[#This Row],[fs_fd_ttd]:[fend_fenf_ttd]]),0)</f>
        <v>59</v>
      </c>
      <c r="BL562" s="20" t="str">
        <f>IF(DATA[[#This Row],[fecha_fs]]&gt;0,TEXT(DATA[[#This Row],[fecha_fs]],"YYYY"),0)</f>
        <v>2025</v>
      </c>
      <c r="BM562" s="221" t="b">
        <v>1</v>
      </c>
      <c r="BN562" s="278">
        <f>COUNTIF(DATA[[#This Row],[tiempo_td]], "&lt;=15")</f>
        <v>0</v>
      </c>
      <c r="BO562" s="222"/>
    </row>
    <row r="563" spans="1:67" ht="30.6" customHeight="1" x14ac:dyDescent="0.25">
      <c r="A563" s="4">
        <v>20553956324</v>
      </c>
      <c r="B563" s="5" t="s">
        <v>281</v>
      </c>
      <c r="C563" s="52" t="s">
        <v>175</v>
      </c>
      <c r="D563" s="4" t="s">
        <v>120</v>
      </c>
      <c r="E563" s="5" t="s">
        <v>3</v>
      </c>
      <c r="F563" s="24">
        <v>45772</v>
      </c>
      <c r="G563" s="7" t="s">
        <v>113</v>
      </c>
      <c r="H563" s="25">
        <f t="shared" si="56"/>
        <v>1</v>
      </c>
      <c r="I563" s="67">
        <v>4424</v>
      </c>
      <c r="J563" s="8" t="s">
        <v>115</v>
      </c>
      <c r="K563" s="9" t="s">
        <v>121</v>
      </c>
      <c r="L563" s="10" t="s">
        <v>117</v>
      </c>
      <c r="M563" s="11">
        <v>160</v>
      </c>
      <c r="N563" s="12" t="s">
        <v>167</v>
      </c>
      <c r="O563" s="6">
        <v>45775</v>
      </c>
      <c r="P563" s="109">
        <v>3422</v>
      </c>
      <c r="Q563" s="14" t="s">
        <v>85</v>
      </c>
      <c r="R563" s="15">
        <f>DATA[[#This Row],[cantidad_fs]]*0.08</f>
        <v>12.8</v>
      </c>
      <c r="S563" s="15">
        <v>395.1</v>
      </c>
      <c r="T563" s="15">
        <f>DATA[[#This Row],[C. DF]]+DATA[[#This Row],[C.OPE.]]</f>
        <v>407.90000000000003</v>
      </c>
      <c r="U563" s="15">
        <f>DATA[[#This Row],[SUB TOTAL]]*0.18</f>
        <v>73.421999999999997</v>
      </c>
      <c r="V563" s="15">
        <f>IFERROR(ROUND(DATA[[#This Row],[SUB TOTAL]]+DATA[[#This Row],[IGV]],2),0)</f>
        <v>481.32</v>
      </c>
      <c r="W563" s="16" t="str">
        <f>IF(DATA[[#This Row],[VALORIZACIÓN ]]="-","NO CORRESPONDE",IF(OR(A563=20558226979,A563=10470707866,A563=20111157058,A563=20100226902),"NO CORRESPONDE",IF(J563="Emitida",IF(P563&gt;0,"EMITIDA","PENDIENTE"),"NO CORRESPONDE")))</f>
        <v>EMITIDA</v>
      </c>
      <c r="X563" s="29"/>
      <c r="Y563" s="17" t="s">
        <v>118</v>
      </c>
      <c r="Z563" s="30">
        <v>45790</v>
      </c>
      <c r="AA563" s="10" t="s">
        <v>150</v>
      </c>
      <c r="AB563" s="19">
        <v>76</v>
      </c>
      <c r="AC563" s="20"/>
      <c r="AD563" s="18">
        <f>DATA[[#This Row],[FECHA DE EMISION]]+DATA[[#This Row],[CONDICION DE PAGO]]</f>
        <v>45790</v>
      </c>
      <c r="AE563" s="23">
        <f>IF(DATA[[#This Row],[MONEDA]]="USD",VLOOKUP(DATA[[#This Row],[COMBINADA]],#REF!,11,0),1)</f>
        <v>1</v>
      </c>
      <c r="AF563" s="39" t="str">
        <f>IF(DATA[[#This Row],[SERIE2]]="-","NO CORRESPONDE",IF(W563="NO CORRESPONDE","NO CORRESPONDE",IF(Z563&gt;0,"FACTURADO","PENDIENTE")))</f>
        <v>FACTURADO</v>
      </c>
      <c r="AG563" s="27">
        <f>IFERROR(VLOOKUP(DATA[[#This Row],[COMBINADA]],#REF!,6,0),0)</f>
        <v>0</v>
      </c>
      <c r="AH563" s="125">
        <f>IFERROR(VLOOKUP(DATA[[#This Row],[COMBINADA]],#REF!,9,0),0)/COUNTIFS(DATA[COMBINADA],DATA[[#This Row],[COMBINADA]])</f>
        <v>0</v>
      </c>
      <c r="AI563" s="27">
        <f>IFERROR(VLOOKUP(DATA[[#This Row],[COMBINADA]],#REF!,6,0),0)</f>
        <v>0</v>
      </c>
      <c r="AJ563" s="125">
        <f>IFERROR(VLOOKUP(DATA[[#This Row],[COMBINADA]],#REF!,9,0),0)/COUNTIFS(DATA[COMBINADA],DATA[[#This Row],[COMBINADA]])</f>
        <v>0</v>
      </c>
      <c r="AK563" s="27">
        <f>IFERROR(VLOOKUP(DATA[[#This Row],[COMBINADA]],#REF!,6,0),0)</f>
        <v>0</v>
      </c>
      <c r="AL563" s="125">
        <f>IFERROR(VLOOKUP(DATA[[#This Row],[COMBINADA]],#REF!,9,0),0)/COUNTIFS(DATA[COMBINADA],DATA[[#This Row],[COMBINADA]])</f>
        <v>0</v>
      </c>
      <c r="AM563" s="27">
        <f>IFERROR(VLOOKUP(DATA[[#This Row],[COMBINADA]],#REF!,6,0),0)</f>
        <v>0</v>
      </c>
      <c r="AN563" s="125">
        <f>IFERROR(VLOOKUP(DATA[[#This Row],[COMBINADA]],#REF!,9,0),0)/COUNTIFS(DATA[COMBINADA],DATA[[#This Row],[COMBINADA]])</f>
        <v>0</v>
      </c>
      <c r="AO563" s="27">
        <f>IFERROR(VLOOKUP(DATA[[#This Row],[COMBINADA]],#REF!,6,0),0)</f>
        <v>0</v>
      </c>
      <c r="AP563" s="125">
        <f>IFERROR(VLOOKUP(DATA[[#This Row],[COMBINADA]],#REF!,9,0),0)/COUNTIFS(DATA[COMBINADA],DATA[[#This Row],[COMBINADA]])</f>
        <v>0</v>
      </c>
      <c r="AQ56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481.00750000000011</v>
      </c>
      <c r="AR563" s="26" t="str">
        <f>IFERROR(IF(DATA[[#This Row],[estado_fact]]="FACTURADO",VLOOKUP(DATA[[#This Row],[SERIE2]]&amp;"-"&amp;DATA[[#This Row],[NUMERO]],#REF!,34,0),"NO CORRESPONDE"),"NO CORRESPONDE")</f>
        <v>NO CORRESPONDE</v>
      </c>
      <c r="AS563" s="22" t="str">
        <f>IF(DATA[[#This Row],[fecha_fs]]&gt;0,TEXT(DATA[[#This Row],[fecha_fs]],"Mmmm"),0)</f>
        <v>Abril</v>
      </c>
      <c r="AT563" s="22" t="str">
        <f>DATA[[#This Row],[SERIE2]]&amp;"-"&amp;DATA[[#This Row],[NUMERO]]</f>
        <v>FF01-76</v>
      </c>
      <c r="AU563" s="28">
        <f>DATA[[#This Row],[TOTAL]]*DATA[[#This Row],[T.C.]]</f>
        <v>481.32</v>
      </c>
      <c r="AV563" s="6">
        <f>DATA[[#This Row],[FECHA DE VAL.]]</f>
        <v>45775</v>
      </c>
      <c r="AW563" s="6">
        <f>DATA[[#This Row],[FECHA DE EMISION]]</f>
        <v>45790</v>
      </c>
      <c r="AX563" s="6">
        <f>DATA[[#This Row],[F1]]</f>
        <v>0</v>
      </c>
      <c r="AY563" s="20">
        <f>IF(AV563-DATA[[#This Row],[fecha_fs]]&lt;0,0,AV563-DATA[[#This Row],[fecha_fs]])</f>
        <v>3</v>
      </c>
      <c r="AZ563" s="20">
        <f t="shared" si="57"/>
        <v>15</v>
      </c>
      <c r="BA563" s="20">
        <f t="shared" si="58"/>
        <v>0</v>
      </c>
      <c r="BB563" s="195">
        <f>IFERROR(SUM(DATA[[#This Row],[fs_val_ttf]:[fact_pago_ttf]]),0)</f>
        <v>18</v>
      </c>
      <c r="BC563" s="185">
        <v>45779</v>
      </c>
      <c r="BD563" s="185">
        <v>45789</v>
      </c>
      <c r="BE563" s="185">
        <v>45796</v>
      </c>
      <c r="BF563" s="185">
        <v>45832</v>
      </c>
      <c r="BG563" s="20">
        <f>IFERROR(IF(BC563-DATA[[#This Row],[fecha_fs]]&lt;0,0,BC563-DATA[[#This Row],[fecha_fs]]),0)</f>
        <v>7</v>
      </c>
      <c r="BH563" s="20">
        <f t="shared" si="59"/>
        <v>10</v>
      </c>
      <c r="BI563" s="20">
        <f t="shared" si="60"/>
        <v>7</v>
      </c>
      <c r="BJ563" s="20">
        <f t="shared" si="61"/>
        <v>36</v>
      </c>
      <c r="BK563" s="218">
        <f>IFERROR(SUM(DATA[[#This Row],[fs_fd_ttd]:[fend_fenf_ttd]]),0)</f>
        <v>60</v>
      </c>
      <c r="BL563" s="20" t="str">
        <f>IF(DATA[[#This Row],[fecha_fs]]&gt;0,TEXT(DATA[[#This Row],[fecha_fs]],"YYYY"),0)</f>
        <v>2025</v>
      </c>
      <c r="BM563" s="221" t="b">
        <v>1</v>
      </c>
      <c r="BN563" s="278">
        <f>COUNTIF(DATA[[#This Row],[tiempo_td]], "&lt;=15")</f>
        <v>0</v>
      </c>
      <c r="BO563" s="222"/>
    </row>
    <row r="564" spans="1:67" ht="30.6" customHeight="1" x14ac:dyDescent="0.25">
      <c r="A564" s="4">
        <v>20100211115</v>
      </c>
      <c r="B564" s="5" t="s">
        <v>41</v>
      </c>
      <c r="C564" s="52" t="s">
        <v>18</v>
      </c>
      <c r="D564" s="4" t="s">
        <v>112</v>
      </c>
      <c r="E564" s="5" t="s">
        <v>1</v>
      </c>
      <c r="F564" s="24">
        <v>45772</v>
      </c>
      <c r="G564" s="7" t="s">
        <v>113</v>
      </c>
      <c r="H564" s="25">
        <f t="shared" si="56"/>
        <v>1</v>
      </c>
      <c r="I564" s="67">
        <v>4425</v>
      </c>
      <c r="J564" s="8" t="s">
        <v>115</v>
      </c>
      <c r="K564" s="9" t="s">
        <v>116</v>
      </c>
      <c r="L564" s="10" t="s">
        <v>117</v>
      </c>
      <c r="M564" s="11">
        <v>19</v>
      </c>
      <c r="N564" s="12" t="s">
        <v>167</v>
      </c>
      <c r="O564" s="6">
        <v>45775</v>
      </c>
      <c r="P564" s="115">
        <v>3420</v>
      </c>
      <c r="Q564" s="14" t="s">
        <v>85</v>
      </c>
      <c r="R564" s="15"/>
      <c r="S564" s="15">
        <f>(DATA[[#This Row],[cantidad_fs]]*4.57)</f>
        <v>86.830000000000013</v>
      </c>
      <c r="T564" s="15">
        <f>DATA[[#This Row],[C. DF]]+DATA[[#This Row],[C.OPE.]]</f>
        <v>86.830000000000013</v>
      </c>
      <c r="U564" s="15">
        <f>DATA[[#This Row],[SUB TOTAL]]*0.18</f>
        <v>15.629400000000002</v>
      </c>
      <c r="V564" s="15">
        <f>IFERROR(ROUND(DATA[[#This Row],[SUB TOTAL]]+DATA[[#This Row],[IGV]],2),0)</f>
        <v>102.46</v>
      </c>
      <c r="W564" s="16" t="str">
        <f>IF(DATA[[#This Row],[VALORIZACIÓN ]]="-","NO CORRESPONDE",IF(OR(A564=20558226979,A564=10470707866,A564=20111157058,A564=20100226902),"NO CORRESPONDE",IF(J564="Emitida",IF(P564&gt;0,"EMITIDA","PENDIENTE"),"NO CORRESPONDE")))</f>
        <v>EMITIDA</v>
      </c>
      <c r="X564" s="29"/>
      <c r="Y564" s="17" t="s">
        <v>118</v>
      </c>
      <c r="Z564" s="30">
        <v>45777</v>
      </c>
      <c r="AA564" s="10" t="s">
        <v>150</v>
      </c>
      <c r="AB564" s="19">
        <v>62</v>
      </c>
      <c r="AC564" s="20">
        <v>30</v>
      </c>
      <c r="AD564" s="18">
        <f>DATA[[#This Row],[FECHA DE EMISION]]+DATA[[#This Row],[CONDICION DE PAGO]]</f>
        <v>45807</v>
      </c>
      <c r="AE564" s="23">
        <f>IF(DATA[[#This Row],[MONEDA]]="USD",VLOOKUP(DATA[[#This Row],[COMBINADA]],#REF!,11,0),1)</f>
        <v>1</v>
      </c>
      <c r="AF564" s="39" t="str">
        <f>IF(DATA[[#This Row],[SERIE2]]="-","NO CORRESPONDE",IF(W564="NO CORRESPONDE","NO CORRESPONDE",IF(Z564&gt;0,"FACTURADO","PENDIENTE")))</f>
        <v>FACTURADO</v>
      </c>
      <c r="AG564" s="27">
        <f>IFERROR(VLOOKUP(DATA[[#This Row],[COMBINADA]],#REF!,6,0),0)</f>
        <v>0</v>
      </c>
      <c r="AH564" s="125">
        <f>IFERROR(VLOOKUP(DATA[[#This Row],[COMBINADA]],#REF!,9,0),0)/COUNTIFS(DATA[COMBINADA],DATA[[#This Row],[COMBINADA]])</f>
        <v>0</v>
      </c>
      <c r="AI564" s="27">
        <f>IFERROR(VLOOKUP(DATA[[#This Row],[COMBINADA]],#REF!,6,0),0)</f>
        <v>0</v>
      </c>
      <c r="AJ564" s="125">
        <f>IFERROR(VLOOKUP(DATA[[#This Row],[COMBINADA]],#REF!,9,0),0)/COUNTIFS(DATA[COMBINADA],DATA[[#This Row],[COMBINADA]])</f>
        <v>0</v>
      </c>
      <c r="AK564" s="27">
        <f>IFERROR(VLOOKUP(DATA[[#This Row],[COMBINADA]],#REF!,6,0),0)</f>
        <v>0</v>
      </c>
      <c r="AL564" s="125">
        <f>IFERROR(VLOOKUP(DATA[[#This Row],[COMBINADA]],#REF!,9,0),0)/COUNTIFS(DATA[COMBINADA],DATA[[#This Row],[COMBINADA]])</f>
        <v>0</v>
      </c>
      <c r="AM564" s="27">
        <f>IFERROR(VLOOKUP(DATA[[#This Row],[COMBINADA]],#REF!,6,0),0)</f>
        <v>0</v>
      </c>
      <c r="AN564" s="125">
        <f>IFERROR(VLOOKUP(DATA[[#This Row],[COMBINADA]],#REF!,9,0),0)/COUNTIFS(DATA[COMBINADA],DATA[[#This Row],[COMBINADA]])</f>
        <v>0</v>
      </c>
      <c r="AO564" s="27">
        <f>IFERROR(VLOOKUP(DATA[[#This Row],[COMBINADA]],#REF!,6,0),0)</f>
        <v>0</v>
      </c>
      <c r="AP564" s="125">
        <f>IFERROR(VLOOKUP(DATA[[#This Row],[COMBINADA]],#REF!,9,0),0)/COUNTIFS(DATA[COMBINADA],DATA[[#This Row],[COMBINADA]])</f>
        <v>0</v>
      </c>
      <c r="AQ56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64.712499999999991</v>
      </c>
      <c r="AR564" s="26" t="str">
        <f>IFERROR(IF(DATA[[#This Row],[estado_fact]]="FACTURADO",VLOOKUP(DATA[[#This Row],[SERIE2]]&amp;"-"&amp;DATA[[#This Row],[NUMERO]],#REF!,34,0),"NO CORRESPONDE"),"NO CORRESPONDE")</f>
        <v>NO CORRESPONDE</v>
      </c>
      <c r="AS564" s="22" t="str">
        <f>IF(DATA[[#This Row],[fecha_fs]]&gt;0,TEXT(DATA[[#This Row],[fecha_fs]],"Mmmm"),0)</f>
        <v>Abril</v>
      </c>
      <c r="AT564" s="22" t="str">
        <f>DATA[[#This Row],[SERIE2]]&amp;"-"&amp;DATA[[#This Row],[NUMERO]]</f>
        <v>FF01-62</v>
      </c>
      <c r="AU564" s="28">
        <f>DATA[[#This Row],[TOTAL]]*DATA[[#This Row],[T.C.]]</f>
        <v>102.46</v>
      </c>
      <c r="AV564" s="6">
        <f>DATA[[#This Row],[FECHA DE VAL.]]</f>
        <v>45775</v>
      </c>
      <c r="AW564" s="6">
        <f>DATA[[#This Row],[FECHA DE EMISION]]</f>
        <v>45777</v>
      </c>
      <c r="AX564" s="6">
        <f>DATA[[#This Row],[F1]]</f>
        <v>0</v>
      </c>
      <c r="AY564" s="20">
        <f>IF(AV564-DATA[[#This Row],[fecha_fs]]&lt;0,0,AV564-DATA[[#This Row],[fecha_fs]])</f>
        <v>3</v>
      </c>
      <c r="AZ564" s="20">
        <f t="shared" si="57"/>
        <v>2</v>
      </c>
      <c r="BA564" s="20">
        <f t="shared" si="58"/>
        <v>0</v>
      </c>
      <c r="BB564" s="195">
        <f>IFERROR(SUM(DATA[[#This Row],[fs_val_ttf]:[fact_pago_ttf]]),0)</f>
        <v>5</v>
      </c>
      <c r="BC564" s="187">
        <v>45790</v>
      </c>
      <c r="BD564" s="187">
        <v>45798</v>
      </c>
      <c r="BE564" s="187">
        <v>45803</v>
      </c>
      <c r="BF564" s="187">
        <v>45804</v>
      </c>
      <c r="BG564" s="20">
        <f>IFERROR(IF(BC564-DATA[[#This Row],[fecha_fs]]&lt;0,0,BC564-DATA[[#This Row],[fecha_fs]]),0)</f>
        <v>18</v>
      </c>
      <c r="BH564" s="20">
        <f t="shared" si="59"/>
        <v>8</v>
      </c>
      <c r="BI564" s="20">
        <f t="shared" si="60"/>
        <v>5</v>
      </c>
      <c r="BJ564" s="20">
        <f t="shared" si="61"/>
        <v>1</v>
      </c>
      <c r="BK564" s="218">
        <f>IFERROR(SUM(DATA[[#This Row],[fs_fd_ttd]:[fend_fenf_ttd]]),0)</f>
        <v>32</v>
      </c>
      <c r="BL564" s="20" t="str">
        <f>IF(DATA[[#This Row],[fecha_fs]]&gt;0,TEXT(DATA[[#This Row],[fecha_fs]],"YYYY"),0)</f>
        <v>2025</v>
      </c>
      <c r="BM564" s="221" t="b">
        <v>1</v>
      </c>
      <c r="BN564" s="278">
        <f>COUNTIF(DATA[[#This Row],[tiempo_td]], "&lt;=15")</f>
        <v>0</v>
      </c>
      <c r="BO564" s="222"/>
    </row>
    <row r="565" spans="1:67" ht="30.6" customHeight="1" x14ac:dyDescent="0.25">
      <c r="A565" s="4">
        <v>20100192064</v>
      </c>
      <c r="B565" s="5" t="s">
        <v>60</v>
      </c>
      <c r="C565" s="52" t="s">
        <v>65</v>
      </c>
      <c r="D565" s="4" t="s">
        <v>120</v>
      </c>
      <c r="E565" s="5" t="s">
        <v>3</v>
      </c>
      <c r="F565" s="24">
        <v>45771</v>
      </c>
      <c r="G565" s="7" t="s">
        <v>142</v>
      </c>
      <c r="H565" s="25">
        <f t="shared" si="56"/>
        <v>2</v>
      </c>
      <c r="I565" s="67">
        <v>1078</v>
      </c>
      <c r="J565" s="8" t="s">
        <v>115</v>
      </c>
      <c r="K565" s="9" t="s">
        <v>121</v>
      </c>
      <c r="L565" s="10" t="s">
        <v>117</v>
      </c>
      <c r="M565" s="11">
        <v>650</v>
      </c>
      <c r="N565" s="12" t="s">
        <v>143</v>
      </c>
      <c r="O565" s="6">
        <v>45772</v>
      </c>
      <c r="P565" s="71">
        <v>3412</v>
      </c>
      <c r="Q565" s="14" t="s">
        <v>123</v>
      </c>
      <c r="R565" s="15">
        <f>(DATA[[#This Row],[cantidad_fs]]/1000)*(37+81.01)</f>
        <v>76.706500000000005</v>
      </c>
      <c r="S565" s="15">
        <v>103.6</v>
      </c>
      <c r="T565" s="15">
        <f>DATA[[#This Row],[C. DF]]+DATA[[#This Row],[C.OPE.]]</f>
        <v>180.3065</v>
      </c>
      <c r="U565" s="15">
        <f>DATA[[#This Row],[SUB TOTAL]]*0.18</f>
        <v>32.455169999999995</v>
      </c>
      <c r="V565" s="15">
        <f>IFERROR(ROUND(DATA[[#This Row],[SUB TOTAL]]+DATA[[#This Row],[IGV]],2),0)</f>
        <v>212.76</v>
      </c>
      <c r="W565" s="16" t="str">
        <f>IF(DATA[[#This Row],[VALORIZACIÓN ]]="-","NO CORRESPONDE",IF(OR(A565=20558226979,A565=10470707866,A565=20111157058,A565=20100226902),"NO CORRESPONDE",IF(J565="Emitida",IF(P565&gt;0,"EMITIDA","PENDIENTE"),"NO CORRESPONDE")))</f>
        <v>EMITIDA</v>
      </c>
      <c r="X565" s="29"/>
      <c r="Y565" s="17" t="s">
        <v>118</v>
      </c>
      <c r="Z565" s="30">
        <v>45777</v>
      </c>
      <c r="AA565" s="10" t="s">
        <v>150</v>
      </c>
      <c r="AB565" s="19">
        <v>59</v>
      </c>
      <c r="AC565" s="20">
        <v>30</v>
      </c>
      <c r="AD565" s="18">
        <f>DATA[[#This Row],[FECHA DE EMISION]]+DATA[[#This Row],[CONDICION DE PAGO]]</f>
        <v>45807</v>
      </c>
      <c r="AE565" s="23" t="e">
        <f>IF(DATA[[#This Row],[MONEDA]]="USD",VLOOKUP(DATA[[#This Row],[COMBINADA]],#REF!,11,0),1)</f>
        <v>#REF!</v>
      </c>
      <c r="AF565" s="39" t="str">
        <f>IF(DATA[[#This Row],[SERIE2]]="-","NO CORRESPONDE",IF(W565="NO CORRESPONDE","NO CORRESPONDE",IF(Z565&gt;0,"FACTURADO","PENDIENTE")))</f>
        <v>FACTURADO</v>
      </c>
      <c r="AG565" s="27">
        <f>IFERROR(VLOOKUP(DATA[[#This Row],[COMBINADA]],#REF!,6,0),0)</f>
        <v>0</v>
      </c>
      <c r="AH565" s="125">
        <f>IFERROR(VLOOKUP(DATA[[#This Row],[COMBINADA]],#REF!,9,0),0)/COUNTIFS(DATA[COMBINADA],DATA[[#This Row],[COMBINADA]])</f>
        <v>0</v>
      </c>
      <c r="AI565" s="27">
        <f>IFERROR(VLOOKUP(DATA[[#This Row],[COMBINADA]],#REF!,6,0),0)</f>
        <v>0</v>
      </c>
      <c r="AJ565" s="125">
        <f>IFERROR(VLOOKUP(DATA[[#This Row],[COMBINADA]],#REF!,9,0),0)/COUNTIFS(DATA[COMBINADA],DATA[[#This Row],[COMBINADA]])</f>
        <v>0</v>
      </c>
      <c r="AK565" s="27">
        <f>IFERROR(VLOOKUP(DATA[[#This Row],[COMBINADA]],#REF!,6,0),0)</f>
        <v>0</v>
      </c>
      <c r="AL565" s="125">
        <f>IFERROR(VLOOKUP(DATA[[#This Row],[COMBINADA]],#REF!,9,0),0)/COUNTIFS(DATA[COMBINADA],DATA[[#This Row],[COMBINADA]])</f>
        <v>0</v>
      </c>
      <c r="AM565" s="27">
        <f>IFERROR(VLOOKUP(DATA[[#This Row],[COMBINADA]],#REF!,6,0),0)</f>
        <v>0</v>
      </c>
      <c r="AN565" s="125">
        <f>IFERROR(VLOOKUP(DATA[[#This Row],[COMBINADA]],#REF!,9,0),0)/COUNTIFS(DATA[COMBINADA],DATA[[#This Row],[COMBINADA]])</f>
        <v>0</v>
      </c>
      <c r="AO565" s="27">
        <f>IFERROR(VLOOKUP(DATA[[#This Row],[COMBINADA]],#REF!,6,0),0)</f>
        <v>0</v>
      </c>
      <c r="AP565" s="125">
        <f>IFERROR(VLOOKUP(DATA[[#This Row],[COMBINADA]],#REF!,9,0),0)/COUNTIFS(DATA[COMBINADA],DATA[[#This Row],[COMBINADA]])</f>
        <v>0</v>
      </c>
      <c r="AQ56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538.72300000000007</v>
      </c>
      <c r="AR565" s="26" t="str">
        <f>IFERROR(IF(DATA[[#This Row],[estado_fact]]="FACTURADO",VLOOKUP(DATA[[#This Row],[SERIE2]]&amp;"-"&amp;DATA[[#This Row],[NUMERO]],#REF!,34,0),"NO CORRESPONDE"),"NO CORRESPONDE")</f>
        <v>NO CORRESPONDE</v>
      </c>
      <c r="AS565" s="22" t="str">
        <f>IF(DATA[[#This Row],[fecha_fs]]&gt;0,TEXT(DATA[[#This Row],[fecha_fs]],"Mmmm"),0)</f>
        <v>Abril</v>
      </c>
      <c r="AT565" s="22" t="str">
        <f>DATA[[#This Row],[SERIE2]]&amp;"-"&amp;DATA[[#This Row],[NUMERO]]</f>
        <v>FF01-59</v>
      </c>
      <c r="AU565" s="28" t="e">
        <f>DATA[[#This Row],[TOTAL]]*DATA[[#This Row],[T.C.]]</f>
        <v>#REF!</v>
      </c>
      <c r="AV565" s="6">
        <f>DATA[[#This Row],[FECHA DE VAL.]]</f>
        <v>45772</v>
      </c>
      <c r="AW565" s="6">
        <f>DATA[[#This Row],[FECHA DE EMISION]]</f>
        <v>45777</v>
      </c>
      <c r="AX565" s="6">
        <f>DATA[[#This Row],[F1]]</f>
        <v>0</v>
      </c>
      <c r="AY565" s="20">
        <f>IF(AV565-DATA[[#This Row],[fecha_fs]]&lt;0,0,AV565-DATA[[#This Row],[fecha_fs]])</f>
        <v>1</v>
      </c>
      <c r="AZ565" s="20">
        <f t="shared" si="57"/>
        <v>5</v>
      </c>
      <c r="BA565" s="20">
        <f t="shared" si="58"/>
        <v>0</v>
      </c>
      <c r="BB565" s="195">
        <f>IFERROR(SUM(DATA[[#This Row],[fs_val_ttf]:[fact_pago_ttf]]),0)</f>
        <v>6</v>
      </c>
      <c r="BC565" s="185">
        <v>45771</v>
      </c>
      <c r="BD565" s="185">
        <v>45777</v>
      </c>
      <c r="BE565" s="185">
        <v>45786</v>
      </c>
      <c r="BF565" s="185">
        <v>45797</v>
      </c>
      <c r="BG565" s="20">
        <f>IFERROR(IF(BC565-DATA[[#This Row],[fecha_fs]]&lt;0,0,BC565-DATA[[#This Row],[fecha_fs]]),0)</f>
        <v>0</v>
      </c>
      <c r="BH565" s="20">
        <f t="shared" si="59"/>
        <v>6</v>
      </c>
      <c r="BI565" s="20">
        <f t="shared" si="60"/>
        <v>9</v>
      </c>
      <c r="BJ565" s="20">
        <f t="shared" si="61"/>
        <v>11</v>
      </c>
      <c r="BK565" s="218">
        <f>IFERROR(SUM(DATA[[#This Row],[fs_fd_ttd]:[fend_fenf_ttd]]),0)</f>
        <v>26</v>
      </c>
      <c r="BL565" s="20" t="str">
        <f>IF(DATA[[#This Row],[fecha_fs]]&gt;0,TEXT(DATA[[#This Row],[fecha_fs]],"YYYY"),0)</f>
        <v>2025</v>
      </c>
      <c r="BM565" s="221" t="b">
        <v>1</v>
      </c>
      <c r="BN565" s="278">
        <f>COUNTIF(DATA[[#This Row],[tiempo_td]], "&lt;=15")</f>
        <v>0</v>
      </c>
      <c r="BO565" s="222"/>
    </row>
    <row r="566" spans="1:67" ht="30.6" customHeight="1" x14ac:dyDescent="0.25">
      <c r="A566" s="4">
        <v>20100192064</v>
      </c>
      <c r="B566" s="5" t="s">
        <v>60</v>
      </c>
      <c r="C566" s="52" t="s">
        <v>65</v>
      </c>
      <c r="D566" s="4" t="s">
        <v>183</v>
      </c>
      <c r="E566" s="5" t="s">
        <v>61</v>
      </c>
      <c r="F566" s="24">
        <v>45772</v>
      </c>
      <c r="G566" s="7" t="s">
        <v>142</v>
      </c>
      <c r="H566" s="25">
        <f t="shared" si="56"/>
        <v>2</v>
      </c>
      <c r="I566" s="67">
        <v>1079</v>
      </c>
      <c r="J566" s="8" t="s">
        <v>115</v>
      </c>
      <c r="K566" s="9" t="s">
        <v>184</v>
      </c>
      <c r="L566" s="10" t="s">
        <v>117</v>
      </c>
      <c r="M566" s="11">
        <v>70250</v>
      </c>
      <c r="N566" s="12"/>
      <c r="O566" s="6">
        <v>45772</v>
      </c>
      <c r="P566" s="71">
        <v>3414</v>
      </c>
      <c r="Q566" s="14" t="s">
        <v>123</v>
      </c>
      <c r="R566" s="15"/>
      <c r="S566" s="15">
        <f>(DATA[[#This Row],[cantidad_fs]]/1000)*19</f>
        <v>1334.75</v>
      </c>
      <c r="T566" s="15">
        <f>DATA[[#This Row],[C. DF]]+DATA[[#This Row],[C.OPE.]]</f>
        <v>1334.75</v>
      </c>
      <c r="U566" s="15">
        <f>DATA[[#This Row],[SUB TOTAL]]*0.18</f>
        <v>240.255</v>
      </c>
      <c r="V566" s="15">
        <f>IFERROR(ROUND(DATA[[#This Row],[SUB TOTAL]]+DATA[[#This Row],[IGV]],2),0)</f>
        <v>1575.01</v>
      </c>
      <c r="W566" s="16" t="str">
        <f>IF(DATA[[#This Row],[VALORIZACIÓN ]]="-","NO CORRESPONDE",IF(OR(A566=20558226979,A566=10470707866,A566=20111157058,A566=20100226902),"NO CORRESPONDE",IF(J566="Emitida",IF(P566&gt;0,"EMITIDA","PENDIENTE"),"NO CORRESPONDE")))</f>
        <v>EMITIDA</v>
      </c>
      <c r="X566" s="29"/>
      <c r="Y566" s="17" t="s">
        <v>118</v>
      </c>
      <c r="Z566" s="30">
        <v>45777</v>
      </c>
      <c r="AA566" s="10" t="s">
        <v>150</v>
      </c>
      <c r="AB566" s="19">
        <v>59</v>
      </c>
      <c r="AC566" s="20">
        <v>30</v>
      </c>
      <c r="AD566" s="18">
        <f>DATA[[#This Row],[FECHA DE EMISION]]+DATA[[#This Row],[CONDICION DE PAGO]]</f>
        <v>45807</v>
      </c>
      <c r="AE566" s="23" t="e">
        <f>IF(DATA[[#This Row],[MONEDA]]="USD",VLOOKUP(DATA[[#This Row],[COMBINADA]],#REF!,11,0),1)</f>
        <v>#REF!</v>
      </c>
      <c r="AF566" s="39" t="str">
        <f>IF(DATA[[#This Row],[SERIE2]]="-","NO CORRESPONDE",IF(W566="NO CORRESPONDE","NO CORRESPONDE",IF(Z566&gt;0,"FACTURADO","PENDIENTE")))</f>
        <v>FACTURADO</v>
      </c>
      <c r="AG566" s="27">
        <f>IFERROR(VLOOKUP(DATA[[#This Row],[COMBINADA]],#REF!,6,0),0)</f>
        <v>0</v>
      </c>
      <c r="AH566" s="125">
        <f>IFERROR(VLOOKUP(DATA[[#This Row],[COMBINADA]],#REF!,9,0),0)/COUNTIFS(DATA[COMBINADA],DATA[[#This Row],[COMBINADA]])</f>
        <v>0</v>
      </c>
      <c r="AI566" s="27">
        <f>IFERROR(VLOOKUP(DATA[[#This Row],[COMBINADA]],#REF!,6,0),0)</f>
        <v>0</v>
      </c>
      <c r="AJ566" s="125">
        <f>IFERROR(VLOOKUP(DATA[[#This Row],[COMBINADA]],#REF!,9,0),0)/COUNTIFS(DATA[COMBINADA],DATA[[#This Row],[COMBINADA]])</f>
        <v>0</v>
      </c>
      <c r="AK566" s="27">
        <f>IFERROR(VLOOKUP(DATA[[#This Row],[COMBINADA]],#REF!,6,0),0)</f>
        <v>0</v>
      </c>
      <c r="AL566" s="125">
        <f>IFERROR(VLOOKUP(DATA[[#This Row],[COMBINADA]],#REF!,9,0),0)/COUNTIFS(DATA[COMBINADA],DATA[[#This Row],[COMBINADA]])</f>
        <v>0</v>
      </c>
      <c r="AM566" s="27">
        <f>IFERROR(VLOOKUP(DATA[[#This Row],[COMBINADA]],#REF!,6,0),0)</f>
        <v>0</v>
      </c>
      <c r="AN566" s="125">
        <f>IFERROR(VLOOKUP(DATA[[#This Row],[COMBINADA]],#REF!,9,0),0)/COUNTIFS(DATA[COMBINADA],DATA[[#This Row],[COMBINADA]])</f>
        <v>0</v>
      </c>
      <c r="AO566" s="27">
        <f>IFERROR(VLOOKUP(DATA[[#This Row],[COMBINADA]],#REF!,6,0),0)</f>
        <v>0</v>
      </c>
      <c r="AP566" s="125">
        <f>IFERROR(VLOOKUP(DATA[[#This Row],[COMBINADA]],#REF!,9,0),0)/COUNTIFS(DATA[COMBINADA],DATA[[#This Row],[COMBINADA]])</f>
        <v>0</v>
      </c>
      <c r="AQ56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538.72300000000007</v>
      </c>
      <c r="AR566" s="26" t="str">
        <f>IFERROR(IF(DATA[[#This Row],[estado_fact]]="FACTURADO",VLOOKUP(DATA[[#This Row],[SERIE2]]&amp;"-"&amp;DATA[[#This Row],[NUMERO]],#REF!,34,0),"NO CORRESPONDE"),"NO CORRESPONDE")</f>
        <v>NO CORRESPONDE</v>
      </c>
      <c r="AS566" s="22" t="str">
        <f>IF(DATA[[#This Row],[fecha_fs]]&gt;0,TEXT(DATA[[#This Row],[fecha_fs]],"Mmmm"),0)</f>
        <v>Abril</v>
      </c>
      <c r="AT566" s="22" t="str">
        <f>DATA[[#This Row],[SERIE2]]&amp;"-"&amp;DATA[[#This Row],[NUMERO]]</f>
        <v>FF01-59</v>
      </c>
      <c r="AU566" s="28" t="e">
        <f>DATA[[#This Row],[TOTAL]]*DATA[[#This Row],[T.C.]]</f>
        <v>#REF!</v>
      </c>
      <c r="AV566" s="6">
        <f>DATA[[#This Row],[FECHA DE VAL.]]</f>
        <v>45772</v>
      </c>
      <c r="AW566" s="6">
        <f>DATA[[#This Row],[FECHA DE EMISION]]</f>
        <v>45777</v>
      </c>
      <c r="AX566" s="6">
        <f>DATA[[#This Row],[F1]]</f>
        <v>0</v>
      </c>
      <c r="AY566" s="20">
        <f>IF(AV566-DATA[[#This Row],[fecha_fs]]&lt;0,0,AV566-DATA[[#This Row],[fecha_fs]])</f>
        <v>0</v>
      </c>
      <c r="AZ566" s="20">
        <f t="shared" si="57"/>
        <v>5</v>
      </c>
      <c r="BA566" s="20">
        <f t="shared" si="58"/>
        <v>0</v>
      </c>
      <c r="BB566" s="195">
        <f>IFERROR(SUM(DATA[[#This Row],[fs_val_ttf]:[fact_pago_ttf]]),0)</f>
        <v>5</v>
      </c>
      <c r="BC566" s="185" t="s">
        <v>292</v>
      </c>
      <c r="BD566" s="185" t="s">
        <v>292</v>
      </c>
      <c r="BE566" s="185" t="s">
        <v>292</v>
      </c>
      <c r="BF566" s="185" t="s">
        <v>292</v>
      </c>
      <c r="BG566" s="20">
        <f>IFERROR(IF(BC566-DATA[[#This Row],[fecha_fs]]&lt;0,0,BC566-DATA[[#This Row],[fecha_fs]]),0)</f>
        <v>0</v>
      </c>
      <c r="BH566" s="20">
        <f t="shared" si="59"/>
        <v>0</v>
      </c>
      <c r="BI566" s="20">
        <f t="shared" si="60"/>
        <v>0</v>
      </c>
      <c r="BJ566" s="20">
        <f t="shared" si="61"/>
        <v>0</v>
      </c>
      <c r="BK566" s="218">
        <f>IFERROR(SUM(DATA[[#This Row],[fs_fd_ttd]:[fend_fenf_ttd]]),0)</f>
        <v>0</v>
      </c>
      <c r="BL566" s="20" t="str">
        <f>IF(DATA[[#This Row],[fecha_fs]]&gt;0,TEXT(DATA[[#This Row],[fecha_fs]],"YYYY"),0)</f>
        <v>2025</v>
      </c>
      <c r="BM566" s="221" t="b">
        <v>1</v>
      </c>
      <c r="BN566" s="278">
        <f>COUNTIF(DATA[[#This Row],[tiempo_td]], "&lt;=15")</f>
        <v>1</v>
      </c>
      <c r="BO566" s="222"/>
    </row>
    <row r="567" spans="1:67" ht="30.6" customHeight="1" x14ac:dyDescent="0.25">
      <c r="A567" s="4">
        <v>20141637941</v>
      </c>
      <c r="B567" s="5" t="s">
        <v>79</v>
      </c>
      <c r="C567" s="52" t="s">
        <v>18</v>
      </c>
      <c r="D567" s="4" t="s">
        <v>120</v>
      </c>
      <c r="E567" s="5" t="s">
        <v>3</v>
      </c>
      <c r="F567" s="24">
        <v>45775</v>
      </c>
      <c r="G567" s="7" t="s">
        <v>113</v>
      </c>
      <c r="H567" s="25">
        <f t="shared" si="56"/>
        <v>1</v>
      </c>
      <c r="I567" s="67">
        <v>4426</v>
      </c>
      <c r="J567" s="8" t="s">
        <v>115</v>
      </c>
      <c r="K567" s="9" t="s">
        <v>121</v>
      </c>
      <c r="L567" s="10" t="s">
        <v>117</v>
      </c>
      <c r="M567" s="11">
        <v>1120</v>
      </c>
      <c r="N567" s="12" t="s">
        <v>241</v>
      </c>
      <c r="O567" s="6">
        <v>45777</v>
      </c>
      <c r="P567" s="68">
        <v>3431</v>
      </c>
      <c r="Q567" s="14" t="s">
        <v>85</v>
      </c>
      <c r="R567" s="15">
        <f>70+(DATA[[#This Row],[cantidad_fs]]-1000)*0.1</f>
        <v>82</v>
      </c>
      <c r="S567" s="15">
        <v>517</v>
      </c>
      <c r="T567" s="15">
        <f>DATA[[#This Row],[C. DF]]+DATA[[#This Row],[C.OPE.]]</f>
        <v>599</v>
      </c>
      <c r="U567" s="15">
        <f>DATA[[#This Row],[SUB TOTAL]]*0.18</f>
        <v>107.82</v>
      </c>
      <c r="V567" s="15">
        <f>IFERROR(ROUND(DATA[[#This Row],[SUB TOTAL]]+DATA[[#This Row],[IGV]],2),0)</f>
        <v>706.82</v>
      </c>
      <c r="W567" s="16" t="str">
        <f>IF(DATA[[#This Row],[VALORIZACIÓN ]]="-","NO CORRESPONDE",IF(OR(A567=20558226979,A567=10470707866,A567=20111157058,A567=20100226902),"NO CORRESPONDE",IF(J567="Emitida",IF(P567&gt;0,"EMITIDA","PENDIENTE"),"NO CORRESPONDE")))</f>
        <v>EMITIDA</v>
      </c>
      <c r="X567" s="29"/>
      <c r="Y567" s="17" t="s">
        <v>118</v>
      </c>
      <c r="Z567" s="30">
        <v>45783</v>
      </c>
      <c r="AA567" s="10" t="s">
        <v>150</v>
      </c>
      <c r="AB567" s="19">
        <v>71</v>
      </c>
      <c r="AC567" s="20">
        <v>30</v>
      </c>
      <c r="AD567" s="18">
        <f>DATA[[#This Row],[FECHA DE EMISION]]+DATA[[#This Row],[CONDICION DE PAGO]]</f>
        <v>45813</v>
      </c>
      <c r="AE567" s="23">
        <f>IF(DATA[[#This Row],[MONEDA]]="USD",VLOOKUP(DATA[[#This Row],[COMBINADA]],#REF!,11,0),1)</f>
        <v>1</v>
      </c>
      <c r="AF567" s="39" t="str">
        <f>IF(DATA[[#This Row],[SERIE2]]="-","NO CORRESPONDE",IF(W567="NO CORRESPONDE","NO CORRESPONDE",IF(Z567&gt;0,"FACTURADO","PENDIENTE")))</f>
        <v>FACTURADO</v>
      </c>
      <c r="AG567" s="27">
        <f>IFERROR(VLOOKUP(DATA[[#This Row],[COMBINADA]],#REF!,6,0),0)</f>
        <v>0</v>
      </c>
      <c r="AH567" s="125">
        <f>IFERROR(VLOOKUP(DATA[[#This Row],[COMBINADA]],#REF!,9,0),0)/COUNTIFS(DATA[COMBINADA],DATA[[#This Row],[COMBINADA]])</f>
        <v>0</v>
      </c>
      <c r="AI567" s="27">
        <f>IFERROR(VLOOKUP(DATA[[#This Row],[COMBINADA]],#REF!,6,0),0)</f>
        <v>0</v>
      </c>
      <c r="AJ567" s="125">
        <f>IFERROR(VLOOKUP(DATA[[#This Row],[COMBINADA]],#REF!,9,0),0)/COUNTIFS(DATA[COMBINADA],DATA[[#This Row],[COMBINADA]])</f>
        <v>0</v>
      </c>
      <c r="AK567" s="27">
        <f>IFERROR(VLOOKUP(DATA[[#This Row],[COMBINADA]],#REF!,6,0),0)</f>
        <v>0</v>
      </c>
      <c r="AL567" s="125">
        <f>IFERROR(VLOOKUP(DATA[[#This Row],[COMBINADA]],#REF!,9,0),0)/COUNTIFS(DATA[COMBINADA],DATA[[#This Row],[COMBINADA]])</f>
        <v>0</v>
      </c>
      <c r="AM567" s="27">
        <f>IFERROR(VLOOKUP(DATA[[#This Row],[COMBINADA]],#REF!,6,0),0)</f>
        <v>0</v>
      </c>
      <c r="AN567" s="125">
        <f>IFERROR(VLOOKUP(DATA[[#This Row],[COMBINADA]],#REF!,9,0),0)/COUNTIFS(DATA[COMBINADA],DATA[[#This Row],[COMBINADA]])</f>
        <v>0</v>
      </c>
      <c r="AO567" s="27">
        <f>IFERROR(VLOOKUP(DATA[[#This Row],[COMBINADA]],#REF!,6,0),0)</f>
        <v>0</v>
      </c>
      <c r="AP567" s="125">
        <f>IFERROR(VLOOKUP(DATA[[#This Row],[COMBINADA]],#REF!,9,0),0)/COUNTIFS(DATA[COMBINADA],DATA[[#This Row],[COMBINADA]])</f>
        <v>0</v>
      </c>
      <c r="AQ56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708.59</v>
      </c>
      <c r="AR567" s="26" t="str">
        <f>IFERROR(IF(DATA[[#This Row],[estado_fact]]="FACTURADO",VLOOKUP(DATA[[#This Row],[SERIE2]]&amp;"-"&amp;DATA[[#This Row],[NUMERO]],#REF!,34,0),"NO CORRESPONDE"),"NO CORRESPONDE")</f>
        <v>NO CORRESPONDE</v>
      </c>
      <c r="AS567" s="22" t="str">
        <f>IF(DATA[[#This Row],[fecha_fs]]&gt;0,TEXT(DATA[[#This Row],[fecha_fs]],"Mmmm"),0)</f>
        <v>Abril</v>
      </c>
      <c r="AT567" s="22" t="str">
        <f>DATA[[#This Row],[SERIE2]]&amp;"-"&amp;DATA[[#This Row],[NUMERO]]</f>
        <v>FF01-71</v>
      </c>
      <c r="AU567" s="28">
        <f>DATA[[#This Row],[TOTAL]]*DATA[[#This Row],[T.C.]]</f>
        <v>706.82</v>
      </c>
      <c r="AV567" s="6">
        <f>DATA[[#This Row],[FECHA DE VAL.]]</f>
        <v>45777</v>
      </c>
      <c r="AW567" s="6">
        <f>DATA[[#This Row],[FECHA DE EMISION]]</f>
        <v>45783</v>
      </c>
      <c r="AX567" s="6">
        <f>DATA[[#This Row],[F1]]</f>
        <v>0</v>
      </c>
      <c r="AY567" s="20">
        <f>IF(AV567-DATA[[#This Row],[fecha_fs]]&lt;0,0,AV567-DATA[[#This Row],[fecha_fs]])</f>
        <v>2</v>
      </c>
      <c r="AZ567" s="20">
        <f t="shared" si="57"/>
        <v>6</v>
      </c>
      <c r="BA567" s="20">
        <f t="shared" si="58"/>
        <v>0</v>
      </c>
      <c r="BB567" s="195">
        <f>IFERROR(SUM(DATA[[#This Row],[fs_val_ttf]:[fact_pago_ttf]]),0)</f>
        <v>8</v>
      </c>
      <c r="BC567" s="184">
        <v>45775</v>
      </c>
      <c r="BD567" s="184">
        <v>45775</v>
      </c>
      <c r="BE567" s="184">
        <v>45783</v>
      </c>
      <c r="BF567" s="184">
        <v>45783</v>
      </c>
      <c r="BG567" s="20">
        <f>IFERROR(IF(BC567-DATA[[#This Row],[fecha_fs]]&lt;0,0,BC567-DATA[[#This Row],[fecha_fs]]),0)</f>
        <v>0</v>
      </c>
      <c r="BH567" s="20">
        <f t="shared" si="59"/>
        <v>0</v>
      </c>
      <c r="BI567" s="20">
        <f t="shared" si="60"/>
        <v>8</v>
      </c>
      <c r="BJ567" s="20">
        <f t="shared" si="61"/>
        <v>0</v>
      </c>
      <c r="BK567" s="218">
        <f>IFERROR(SUM(DATA[[#This Row],[fs_fd_ttd]:[fend_fenf_ttd]]),0)</f>
        <v>8</v>
      </c>
      <c r="BL567" s="20" t="str">
        <f>IF(DATA[[#This Row],[fecha_fs]]&gt;0,TEXT(DATA[[#This Row],[fecha_fs]],"YYYY"),0)</f>
        <v>2025</v>
      </c>
      <c r="BM567" s="221" t="b">
        <v>1</v>
      </c>
      <c r="BN567" s="278">
        <f>COUNTIF(DATA[[#This Row],[tiempo_td]], "&lt;=15")</f>
        <v>1</v>
      </c>
      <c r="BO567" s="222"/>
    </row>
    <row r="568" spans="1:67" ht="30.6" customHeight="1" x14ac:dyDescent="0.25">
      <c r="A568" s="4">
        <v>20454186002</v>
      </c>
      <c r="B568" s="5" t="s">
        <v>25</v>
      </c>
      <c r="C568" s="52" t="s">
        <v>18</v>
      </c>
      <c r="D568" s="4" t="s">
        <v>112</v>
      </c>
      <c r="E568" s="5" t="s">
        <v>1</v>
      </c>
      <c r="F568" s="24">
        <v>45775</v>
      </c>
      <c r="G568" s="7" t="s">
        <v>113</v>
      </c>
      <c r="H568" s="25">
        <f t="shared" si="56"/>
        <v>1</v>
      </c>
      <c r="I568" s="67">
        <v>4427</v>
      </c>
      <c r="J568" s="8" t="s">
        <v>115</v>
      </c>
      <c r="K568" s="9" t="s">
        <v>116</v>
      </c>
      <c r="L568" s="10" t="s">
        <v>117</v>
      </c>
      <c r="M568" s="11">
        <v>280</v>
      </c>
      <c r="N568" s="12" t="s">
        <v>125</v>
      </c>
      <c r="O568" s="40"/>
      <c r="P568" s="41" t="s">
        <v>114</v>
      </c>
      <c r="Q568" s="42"/>
      <c r="R568" s="15"/>
      <c r="S568" s="15"/>
      <c r="T568" s="15">
        <f>DATA[[#This Row],[C. DF]]+DATA[[#This Row],[C.OPE.]]</f>
        <v>0</v>
      </c>
      <c r="U568" s="15">
        <f>DATA[[#This Row],[SUB TOTAL]]*0.18</f>
        <v>0</v>
      </c>
      <c r="V568" s="15">
        <f>IFERROR(ROUND(DATA[[#This Row],[SUB TOTAL]]+DATA[[#This Row],[IGV]],2),0)</f>
        <v>0</v>
      </c>
      <c r="W568" s="16" t="str">
        <f>IF(DATA[[#This Row],[VALORIZACIÓN ]]="-","NO CORRESPONDE",IF(OR(A568=20558226979,A568=10470707866,A568=20111157058,A568=20100226902),"NO CORRESPONDE",IF(J568="Emitida",IF(P568&gt;0,"EMITIDA","PENDIENTE"),"NO CORRESPONDE")))</f>
        <v>NO CORRESPONDE</v>
      </c>
      <c r="X568" s="29"/>
      <c r="Y568" s="17" t="s">
        <v>128</v>
      </c>
      <c r="Z568" s="30"/>
      <c r="AA568" s="10"/>
      <c r="AB568" s="19"/>
      <c r="AC568" s="20"/>
      <c r="AD568" s="18">
        <f>DATA[[#This Row],[FECHA DE EMISION]]+DATA[[#This Row],[CONDICION DE PAGO]]</f>
        <v>0</v>
      </c>
      <c r="AE568" s="23">
        <f>IF(DATA[[#This Row],[MONEDA]]="USD",VLOOKUP(DATA[[#This Row],[COMBINADA]],#REF!,11,0),1)</f>
        <v>1</v>
      </c>
      <c r="AF568" s="39" t="str">
        <f>IF(DATA[[#This Row],[SERIE2]]="-","NO CORRESPONDE",IF(W568="NO CORRESPONDE","NO CORRESPONDE",IF(Z568&gt;0,"FACTURADO","PENDIENTE")))</f>
        <v>NO CORRESPONDE</v>
      </c>
      <c r="AG568" s="27">
        <f>IFERROR(VLOOKUP(DATA[[#This Row],[COMBINADA]],#REF!,6,0),0)</f>
        <v>0</v>
      </c>
      <c r="AH568" s="125">
        <f>IFERROR(VLOOKUP(DATA[[#This Row],[COMBINADA]],#REF!,9,0),0)/COUNTIFS(DATA[COMBINADA],DATA[[#This Row],[COMBINADA]])</f>
        <v>0</v>
      </c>
      <c r="AI568" s="27">
        <f>IFERROR(VLOOKUP(DATA[[#This Row],[COMBINADA]],#REF!,6,0),0)</f>
        <v>0</v>
      </c>
      <c r="AJ568" s="125">
        <f>IFERROR(VLOOKUP(DATA[[#This Row],[COMBINADA]],#REF!,9,0),0)/COUNTIFS(DATA[COMBINADA],DATA[[#This Row],[COMBINADA]])</f>
        <v>0</v>
      </c>
      <c r="AK568" s="27">
        <f>IFERROR(VLOOKUP(DATA[[#This Row],[COMBINADA]],#REF!,6,0),0)</f>
        <v>0</v>
      </c>
      <c r="AL568" s="125">
        <f>IFERROR(VLOOKUP(DATA[[#This Row],[COMBINADA]],#REF!,9,0),0)/COUNTIFS(DATA[COMBINADA],DATA[[#This Row],[COMBINADA]])</f>
        <v>0</v>
      </c>
      <c r="AM568" s="27">
        <f>IFERROR(VLOOKUP(DATA[[#This Row],[COMBINADA]],#REF!,6,0),0)</f>
        <v>0</v>
      </c>
      <c r="AN568" s="125">
        <f>IFERROR(VLOOKUP(DATA[[#This Row],[COMBINADA]],#REF!,9,0),0)/COUNTIFS(DATA[COMBINADA],DATA[[#This Row],[COMBINADA]])</f>
        <v>0</v>
      </c>
      <c r="AO568" s="27">
        <f>IFERROR(VLOOKUP(DATA[[#This Row],[COMBINADA]],#REF!,6,0),0)</f>
        <v>0</v>
      </c>
      <c r="AP568" s="125">
        <f>IFERROR(VLOOKUP(DATA[[#This Row],[COMBINADA]],#REF!,9,0),0)/COUNTIFS(DATA[COMBINADA],DATA[[#This Row],[COMBINADA]])</f>
        <v>0</v>
      </c>
      <c r="AQ56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568" s="26" t="str">
        <f>IFERROR(IF(DATA[[#This Row],[estado_fact]]="FACTURADO",VLOOKUP(DATA[[#This Row],[SERIE2]]&amp;"-"&amp;DATA[[#This Row],[NUMERO]],#REF!,34,0),"NO CORRESPONDE"),"NO CORRESPONDE")</f>
        <v>NO CORRESPONDE</v>
      </c>
      <c r="AS568" s="22" t="str">
        <f>IF(DATA[[#This Row],[fecha_fs]]&gt;0,TEXT(DATA[[#This Row],[fecha_fs]],"Mmmm"),0)</f>
        <v>Abril</v>
      </c>
      <c r="AT568" s="22" t="str">
        <f>DATA[[#This Row],[SERIE2]]&amp;"-"&amp;DATA[[#This Row],[NUMERO]]</f>
        <v>-</v>
      </c>
      <c r="AU568" s="28">
        <f>DATA[[#This Row],[TOTAL]]*DATA[[#This Row],[T.C.]]</f>
        <v>0</v>
      </c>
      <c r="AV568" s="6">
        <f>DATA[[#This Row],[FECHA DE VAL.]]</f>
        <v>0</v>
      </c>
      <c r="AW568" s="6">
        <f>DATA[[#This Row],[FECHA DE EMISION]]</f>
        <v>0</v>
      </c>
      <c r="AX568" s="6">
        <f>DATA[[#This Row],[F1]]</f>
        <v>0</v>
      </c>
      <c r="AY568" s="20">
        <f>IF(AV568-DATA[[#This Row],[fecha_fs]]&lt;0,0,AV568-DATA[[#This Row],[fecha_fs]])</f>
        <v>0</v>
      </c>
      <c r="AZ568" s="20">
        <f t="shared" si="57"/>
        <v>0</v>
      </c>
      <c r="BA568" s="20">
        <f t="shared" si="58"/>
        <v>0</v>
      </c>
      <c r="BB568" s="195">
        <f>IFERROR(SUM(DATA[[#This Row],[fs_val_ttf]:[fact_pago_ttf]]),0)</f>
        <v>0</v>
      </c>
      <c r="BC568" s="185">
        <v>45779</v>
      </c>
      <c r="BD568" s="185">
        <v>45804</v>
      </c>
      <c r="BE568" s="185">
        <v>45810</v>
      </c>
      <c r="BF568" s="185">
        <v>45824</v>
      </c>
      <c r="BG568" s="20">
        <f>IFERROR(IF(BC568-DATA[[#This Row],[fecha_fs]]&lt;0,0,BC568-DATA[[#This Row],[fecha_fs]]),0)</f>
        <v>4</v>
      </c>
      <c r="BH568" s="20">
        <f t="shared" si="59"/>
        <v>25</v>
      </c>
      <c r="BI568" s="20">
        <f t="shared" si="60"/>
        <v>6</v>
      </c>
      <c r="BJ568" s="20">
        <f t="shared" si="61"/>
        <v>14</v>
      </c>
      <c r="BK568" s="218">
        <f>IFERROR(SUM(DATA[[#This Row],[fs_fd_ttd]:[fend_fenf_ttd]]),0)</f>
        <v>49</v>
      </c>
      <c r="BL568" s="20" t="str">
        <f>IF(DATA[[#This Row],[fecha_fs]]&gt;0,TEXT(DATA[[#This Row],[fecha_fs]],"YYYY"),0)</f>
        <v>2025</v>
      </c>
      <c r="BM568" s="221" t="b">
        <v>0</v>
      </c>
      <c r="BN568" s="278">
        <f>COUNTIF(DATA[[#This Row],[tiempo_td]], "&lt;=15")</f>
        <v>0</v>
      </c>
      <c r="BO568" s="222"/>
    </row>
    <row r="569" spans="1:67" ht="30" customHeight="1" x14ac:dyDescent="0.25">
      <c r="A569" s="4"/>
      <c r="B569" s="5" t="s">
        <v>0</v>
      </c>
      <c r="C569" s="52"/>
      <c r="D569" s="4"/>
      <c r="E569" s="5" t="s">
        <v>0</v>
      </c>
      <c r="F569" s="24">
        <v>45775</v>
      </c>
      <c r="G569" s="7" t="s">
        <v>113</v>
      </c>
      <c r="H569" s="25">
        <f t="shared" si="56"/>
        <v>1</v>
      </c>
      <c r="I569" s="67">
        <v>4428</v>
      </c>
      <c r="J569" s="8" t="s">
        <v>151</v>
      </c>
      <c r="K569" s="9"/>
      <c r="L569" s="10"/>
      <c r="M569" s="111"/>
      <c r="N569" s="112"/>
      <c r="O569" s="6"/>
      <c r="P569" s="13" t="s">
        <v>114</v>
      </c>
      <c r="Q569" s="14"/>
      <c r="R569" s="15"/>
      <c r="S569" s="15"/>
      <c r="T569" s="15">
        <f>DATA[[#This Row],[C. DF]]+DATA[[#This Row],[C.OPE.]]</f>
        <v>0</v>
      </c>
      <c r="U569" s="73">
        <f>DATA[[#This Row],[SUB TOTAL]]*0.18</f>
        <v>0</v>
      </c>
      <c r="V569" s="45">
        <f>IFERROR(ROUND(DATA[[#This Row],[SUB TOTAL]]+DATA[[#This Row],[IGV]],2),0)</f>
        <v>0</v>
      </c>
      <c r="W569" s="73" t="str">
        <f>IF(DATA[[#This Row],[VALORIZACIÓN ]]="-","NO CORRESPONDE",IF(OR(A569=20558226979,A569=10470707866,A569=20111157058,A569=20100226902),"NO CORRESPONDE",IF(J569="Emitida",IF(P569&gt;0,"EMITIDA","PENDIENTE"),"NO CORRESPONDE")))</f>
        <v>NO CORRESPONDE</v>
      </c>
      <c r="X569" s="46"/>
      <c r="Y569" s="17" t="s">
        <v>128</v>
      </c>
      <c r="Z569" s="48"/>
      <c r="AA569" s="49"/>
      <c r="AB569" s="50"/>
      <c r="AC569" s="51"/>
      <c r="AD569" s="59">
        <f>DATA[[#This Row],[FECHA DE EMISION]]+DATA[[#This Row],[CONDICION DE PAGO]]</f>
        <v>0</v>
      </c>
      <c r="AE569" s="23">
        <f>IF(DATA[[#This Row],[MONEDA]]="USD",VLOOKUP(DATA[[#This Row],[COMBINADA]],#REF!,11,0),1)</f>
        <v>1</v>
      </c>
      <c r="AF569" s="39" t="str">
        <f>IF(DATA[[#This Row],[SERIE2]]="-","NO CORRESPONDE",IF(W569="NO CORRESPONDE","NO CORRESPONDE",IF(Z569&gt;0,"FACTURADO","PENDIENTE")))</f>
        <v>NO CORRESPONDE</v>
      </c>
      <c r="AG569" s="61">
        <f>IFERROR(VLOOKUP(DATA[[#This Row],[COMBINADA]],#REF!,6,0),0)</f>
        <v>0</v>
      </c>
      <c r="AH569" s="62">
        <f>IFERROR(VLOOKUP(DATA[[#This Row],[COMBINADA]],#REF!,9,0),0)/COUNTIFS(DATA[COMBINADA],DATA[[#This Row],[COMBINADA]])</f>
        <v>0</v>
      </c>
      <c r="AI569" s="61">
        <f>IFERROR(VLOOKUP(DATA[[#This Row],[COMBINADA]],#REF!,6,0),0)</f>
        <v>0</v>
      </c>
      <c r="AJ569" s="62">
        <f>IFERROR(VLOOKUP(DATA[[#This Row],[COMBINADA]],#REF!,9,0),0)/COUNTIFS(DATA[COMBINADA],DATA[[#This Row],[COMBINADA]])</f>
        <v>0</v>
      </c>
      <c r="AK569" s="61">
        <f>IFERROR(VLOOKUP(DATA[[#This Row],[COMBINADA]],#REF!,6,0),0)</f>
        <v>0</v>
      </c>
      <c r="AL569" s="62">
        <f>IFERROR(VLOOKUP(DATA[[#This Row],[COMBINADA]],#REF!,9,0),0)/COUNTIFS(DATA[COMBINADA],DATA[[#This Row],[COMBINADA]])</f>
        <v>0</v>
      </c>
      <c r="AM569" s="61">
        <f>IFERROR(VLOOKUP(DATA[[#This Row],[COMBINADA]],#REF!,6,0),0)</f>
        <v>0</v>
      </c>
      <c r="AN569" s="62">
        <f>IFERROR(VLOOKUP(DATA[[#This Row],[COMBINADA]],#REF!,9,0),0)/COUNTIFS(DATA[COMBINADA],DATA[[#This Row],[COMBINADA]])</f>
        <v>0</v>
      </c>
      <c r="AO569" s="61">
        <f>IFERROR(VLOOKUP(DATA[[#This Row],[COMBINADA]],#REF!,6,0),0)</f>
        <v>0</v>
      </c>
      <c r="AP569" s="62">
        <f>IFERROR(VLOOKUP(DATA[[#This Row],[COMBINADA]],#REF!,9,0),0)/COUNTIFS(DATA[COMBINADA],DATA[[#This Row],[COMBINADA]])</f>
        <v>0</v>
      </c>
      <c r="AQ569"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569" s="22" t="str">
        <f>IFERROR(IF(DATA[[#This Row],[estado_fact]]="FACTURADO",VLOOKUP(DATA[[#This Row],[SERIE2]]&amp;"-"&amp;DATA[[#This Row],[NUMERO]],#REF!,34,0),"NO CORRESPONDE"),"NO CORRESPONDE")</f>
        <v>NO CORRESPONDE</v>
      </c>
      <c r="AS569" s="198" t="str">
        <f>IF(DATA[[#This Row],[fecha_fs]]&gt;0,TEXT(DATA[[#This Row],[fecha_fs]],"Mmmm"),0)</f>
        <v>Abril</v>
      </c>
      <c r="AT569" s="199" t="str">
        <f>DATA[[#This Row],[SERIE2]]&amp;"-"&amp;DATA[[#This Row],[NUMERO]]</f>
        <v>-</v>
      </c>
      <c r="AU569" s="198">
        <f>DATA[[#This Row],[TOTAL]]*DATA[[#This Row],[T.C.]]</f>
        <v>0</v>
      </c>
      <c r="AV569" s="40">
        <f>DATA[[#This Row],[FECHA DE VAL.]]</f>
        <v>0</v>
      </c>
      <c r="AW569" s="40">
        <f>DATA[[#This Row],[FECHA DE EMISION]]</f>
        <v>0</v>
      </c>
      <c r="AX569" s="40">
        <f>DATA[[#This Row],[F1]]</f>
        <v>0</v>
      </c>
      <c r="AY569" s="49">
        <f>IF(AV569-DATA[[#This Row],[fecha_fs]]&lt;0,0,AV569-DATA[[#This Row],[fecha_fs]])</f>
        <v>0</v>
      </c>
      <c r="AZ569" s="49">
        <f t="shared" si="57"/>
        <v>0</v>
      </c>
      <c r="BA569" s="49">
        <f t="shared" si="58"/>
        <v>0</v>
      </c>
      <c r="BB569" s="195">
        <f>IFERROR(SUM(DATA[[#This Row],[fs_val_ttf]:[fact_pago_ttf]]),0)</f>
        <v>0</v>
      </c>
      <c r="BC569" s="200"/>
      <c r="BD569" s="200"/>
      <c r="BE569" s="200"/>
      <c r="BF569" s="200"/>
      <c r="BG569" s="49">
        <f>IFERROR(IF(BC569-DATA[[#This Row],[fecha_fs]]&lt;0,0,BC569-DATA[[#This Row],[fecha_fs]]),0)</f>
        <v>0</v>
      </c>
      <c r="BH569" s="49">
        <f t="shared" si="59"/>
        <v>0</v>
      </c>
      <c r="BI569" s="49">
        <f t="shared" si="60"/>
        <v>0</v>
      </c>
      <c r="BJ569" s="49">
        <f t="shared" si="61"/>
        <v>0</v>
      </c>
      <c r="BK569" s="218">
        <f>IFERROR(SUM(DATA[[#This Row],[fs_fd_ttd]:[fend_fenf_ttd]]),0)</f>
        <v>0</v>
      </c>
      <c r="BL569" s="20" t="str">
        <f>IF(DATA[[#This Row],[fecha_fs]]&gt;0,TEXT(DATA[[#This Row],[fecha_fs]],"YYYY"),0)</f>
        <v>2025</v>
      </c>
      <c r="BM569" s="221" t="b">
        <v>0</v>
      </c>
      <c r="BN569" s="278"/>
      <c r="BO569" s="222"/>
    </row>
    <row r="570" spans="1:67" ht="30.6" customHeight="1" x14ac:dyDescent="0.25">
      <c r="A570" s="4">
        <v>20100192064</v>
      </c>
      <c r="B570" s="5" t="s">
        <v>60</v>
      </c>
      <c r="C570" s="52" t="s">
        <v>43</v>
      </c>
      <c r="D570" s="4" t="s">
        <v>189</v>
      </c>
      <c r="E570" s="5" t="s">
        <v>62</v>
      </c>
      <c r="F570" s="24">
        <v>45772</v>
      </c>
      <c r="G570" s="7" t="s">
        <v>113</v>
      </c>
      <c r="H570" s="25">
        <f t="shared" si="56"/>
        <v>1</v>
      </c>
      <c r="I570" s="67">
        <v>4429</v>
      </c>
      <c r="J570" s="8" t="s">
        <v>115</v>
      </c>
      <c r="K570" s="9" t="s">
        <v>190</v>
      </c>
      <c r="L570" s="10" t="s">
        <v>117</v>
      </c>
      <c r="M570" s="11">
        <v>5400</v>
      </c>
      <c r="N570" s="112" t="s">
        <v>114</v>
      </c>
      <c r="O570" s="6">
        <v>45772</v>
      </c>
      <c r="P570" s="71">
        <v>3410</v>
      </c>
      <c r="Q570" s="14" t="s">
        <v>123</v>
      </c>
      <c r="R570" s="15"/>
      <c r="S570" s="15">
        <f>(DATA[[#This Row],[cantidad_fs]]/1000)*17</f>
        <v>91.800000000000011</v>
      </c>
      <c r="T570" s="15">
        <f>DATA[[#This Row],[C. DF]]+DATA[[#This Row],[C.OPE.]]</f>
        <v>91.800000000000011</v>
      </c>
      <c r="U570" s="15">
        <f>DATA[[#This Row],[SUB TOTAL]]*0.18</f>
        <v>16.524000000000001</v>
      </c>
      <c r="V570" s="15">
        <f>IFERROR(ROUND(DATA[[#This Row],[SUB TOTAL]]+DATA[[#This Row],[IGV]],2),0)</f>
        <v>108.32</v>
      </c>
      <c r="W570" s="16" t="str">
        <f>IF(DATA[[#This Row],[VALORIZACIÓN ]]="-","NO CORRESPONDE",IF(OR(A570=20558226979,A570=10470707866,A570=20111157058,A570=20100226902),"NO CORRESPONDE",IF(J570="Emitida",IF(P570&gt;0,"EMITIDA","PENDIENTE"),"NO CORRESPONDE")))</f>
        <v>EMITIDA</v>
      </c>
      <c r="X570" s="29"/>
      <c r="Y570" s="17" t="s">
        <v>118</v>
      </c>
      <c r="Z570" s="30">
        <v>45776</v>
      </c>
      <c r="AA570" s="10" t="s">
        <v>150</v>
      </c>
      <c r="AB570" s="19">
        <v>54</v>
      </c>
      <c r="AC570" s="20">
        <v>30</v>
      </c>
      <c r="AD570" s="18">
        <f>DATA[[#This Row],[FECHA DE EMISION]]+DATA[[#This Row],[CONDICION DE PAGO]]</f>
        <v>45806</v>
      </c>
      <c r="AE570" s="23" t="e">
        <f>IF(DATA[[#This Row],[MONEDA]]="USD",VLOOKUP(DATA[[#This Row],[COMBINADA]],#REF!,11,0),1)</f>
        <v>#REF!</v>
      </c>
      <c r="AF570" s="39" t="str">
        <f>IF(DATA[[#This Row],[SERIE2]]="-","NO CORRESPONDE",IF(W570="NO CORRESPONDE","NO CORRESPONDE",IF(Z570&gt;0,"FACTURADO","PENDIENTE")))</f>
        <v>FACTURADO</v>
      </c>
      <c r="AG570" s="27">
        <f>IFERROR(VLOOKUP(DATA[[#This Row],[COMBINADA]],#REF!,6,0),0)</f>
        <v>0</v>
      </c>
      <c r="AH570" s="125">
        <f>IFERROR(VLOOKUP(DATA[[#This Row],[COMBINADA]],#REF!,9,0),0)/COUNTIFS(DATA[COMBINADA],DATA[[#This Row],[COMBINADA]])</f>
        <v>0</v>
      </c>
      <c r="AI570" s="27">
        <f>IFERROR(VLOOKUP(DATA[[#This Row],[COMBINADA]],#REF!,6,0),0)</f>
        <v>0</v>
      </c>
      <c r="AJ570" s="125">
        <f>IFERROR(VLOOKUP(DATA[[#This Row],[COMBINADA]],#REF!,9,0),0)/COUNTIFS(DATA[COMBINADA],DATA[[#This Row],[COMBINADA]])</f>
        <v>0</v>
      </c>
      <c r="AK570" s="27">
        <f>IFERROR(VLOOKUP(DATA[[#This Row],[COMBINADA]],#REF!,6,0),0)</f>
        <v>0</v>
      </c>
      <c r="AL570" s="125">
        <f>IFERROR(VLOOKUP(DATA[[#This Row],[COMBINADA]],#REF!,9,0),0)/COUNTIFS(DATA[COMBINADA],DATA[[#This Row],[COMBINADA]])</f>
        <v>0</v>
      </c>
      <c r="AM570" s="27">
        <f>IFERROR(VLOOKUP(DATA[[#This Row],[COMBINADA]],#REF!,6,0),0)</f>
        <v>0</v>
      </c>
      <c r="AN570" s="125">
        <f>IFERROR(VLOOKUP(DATA[[#This Row],[COMBINADA]],#REF!,9,0),0)/COUNTIFS(DATA[COMBINADA],DATA[[#This Row],[COMBINADA]])</f>
        <v>0</v>
      </c>
      <c r="AO570" s="27">
        <f>IFERROR(VLOOKUP(DATA[[#This Row],[COMBINADA]],#REF!,6,0),0)</f>
        <v>0</v>
      </c>
      <c r="AP570" s="125">
        <f>IFERROR(VLOOKUP(DATA[[#This Row],[COMBINADA]],#REF!,9,0),0)/COUNTIFS(DATA[COMBINADA],DATA[[#This Row],[COMBINADA]])</f>
        <v>0</v>
      </c>
      <c r="AQ57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548.94894736842105</v>
      </c>
      <c r="AR570" s="26" t="str">
        <f>IFERROR(IF(DATA[[#This Row],[estado_fact]]="FACTURADO",VLOOKUP(DATA[[#This Row],[SERIE2]]&amp;"-"&amp;DATA[[#This Row],[NUMERO]],#REF!,34,0),"NO CORRESPONDE"),"NO CORRESPONDE")</f>
        <v>NO CORRESPONDE</v>
      </c>
      <c r="AS570" s="22" t="str">
        <f>IF(DATA[[#This Row],[fecha_fs]]&gt;0,TEXT(DATA[[#This Row],[fecha_fs]],"Mmmm"),0)</f>
        <v>Abril</v>
      </c>
      <c r="AT570" s="22" t="str">
        <f>DATA[[#This Row],[SERIE2]]&amp;"-"&amp;DATA[[#This Row],[NUMERO]]</f>
        <v>FF01-54</v>
      </c>
      <c r="AU570" s="28" t="e">
        <f>DATA[[#This Row],[TOTAL]]*DATA[[#This Row],[T.C.]]</f>
        <v>#REF!</v>
      </c>
      <c r="AV570" s="6">
        <f>DATA[[#This Row],[FECHA DE VAL.]]</f>
        <v>45772</v>
      </c>
      <c r="AW570" s="6">
        <f>DATA[[#This Row],[FECHA DE EMISION]]</f>
        <v>45776</v>
      </c>
      <c r="AX570" s="6">
        <f>DATA[[#This Row],[F1]]</f>
        <v>0</v>
      </c>
      <c r="AY570" s="20">
        <f>IF(AV570-DATA[[#This Row],[fecha_fs]]&lt;0,0,AV570-DATA[[#This Row],[fecha_fs]])</f>
        <v>0</v>
      </c>
      <c r="AZ570" s="20">
        <f t="shared" si="57"/>
        <v>4</v>
      </c>
      <c r="BA570" s="20">
        <f t="shared" si="58"/>
        <v>0</v>
      </c>
      <c r="BB570" s="195">
        <f>IFERROR(SUM(DATA[[#This Row],[fs_val_ttf]:[fact_pago_ttf]]),0)</f>
        <v>4</v>
      </c>
      <c r="BC570" s="185" t="s">
        <v>292</v>
      </c>
      <c r="BD570" s="185" t="s">
        <v>292</v>
      </c>
      <c r="BE570" s="185" t="s">
        <v>292</v>
      </c>
      <c r="BF570" s="185" t="s">
        <v>292</v>
      </c>
      <c r="BG570" s="20">
        <f>IFERROR(IF(BC570-DATA[[#This Row],[fecha_fs]]&lt;0,0,BC570-DATA[[#This Row],[fecha_fs]]),0)</f>
        <v>0</v>
      </c>
      <c r="BH570" s="20">
        <f t="shared" si="59"/>
        <v>0</v>
      </c>
      <c r="BI570" s="20">
        <f t="shared" si="60"/>
        <v>0</v>
      </c>
      <c r="BJ570" s="20">
        <f t="shared" si="61"/>
        <v>0</v>
      </c>
      <c r="BK570" s="218">
        <f>IFERROR(SUM(DATA[[#This Row],[fs_fd_ttd]:[fend_fenf_ttd]]),0)</f>
        <v>0</v>
      </c>
      <c r="BL570" s="20" t="str">
        <f>IF(DATA[[#This Row],[fecha_fs]]&gt;0,TEXT(DATA[[#This Row],[fecha_fs]],"YYYY"),0)</f>
        <v>2025</v>
      </c>
      <c r="BM570" s="221" t="b">
        <v>1</v>
      </c>
      <c r="BN570" s="278">
        <f>COUNTIF(DATA[[#This Row],[tiempo_td]], "&lt;=15")</f>
        <v>1</v>
      </c>
      <c r="BO570" s="222"/>
    </row>
    <row r="571" spans="1:67" ht="30.6" customHeight="1" x14ac:dyDescent="0.25">
      <c r="A571" s="4">
        <v>20100192064</v>
      </c>
      <c r="B571" s="5" t="s">
        <v>60</v>
      </c>
      <c r="C571" s="52" t="s">
        <v>43</v>
      </c>
      <c r="D571" s="4" t="s">
        <v>183</v>
      </c>
      <c r="E571" s="5" t="s">
        <v>61</v>
      </c>
      <c r="F571" s="24">
        <v>45772</v>
      </c>
      <c r="G571" s="7" t="s">
        <v>113</v>
      </c>
      <c r="H571" s="25">
        <f t="shared" si="56"/>
        <v>1</v>
      </c>
      <c r="I571" s="67">
        <v>4430</v>
      </c>
      <c r="J571" s="8" t="s">
        <v>115</v>
      </c>
      <c r="K571" s="9" t="s">
        <v>184</v>
      </c>
      <c r="L571" s="10" t="s">
        <v>117</v>
      </c>
      <c r="M571" s="11">
        <v>28800</v>
      </c>
      <c r="N571" s="112" t="s">
        <v>114</v>
      </c>
      <c r="O571" s="6">
        <v>45772</v>
      </c>
      <c r="P571" s="71">
        <v>3409</v>
      </c>
      <c r="Q571" s="14" t="s">
        <v>123</v>
      </c>
      <c r="R571" s="15"/>
      <c r="S571" s="15">
        <f>(DATA[[#This Row],[cantidad_fs]]/1000)*22</f>
        <v>633.6</v>
      </c>
      <c r="T571" s="15">
        <f>DATA[[#This Row],[C. DF]]+DATA[[#This Row],[C.OPE.]]</f>
        <v>633.6</v>
      </c>
      <c r="U571" s="15">
        <f>DATA[[#This Row],[SUB TOTAL]]*0.18</f>
        <v>114.048</v>
      </c>
      <c r="V571" s="15">
        <f>IFERROR(ROUND(DATA[[#This Row],[SUB TOTAL]]+DATA[[#This Row],[IGV]],2),0)</f>
        <v>747.65</v>
      </c>
      <c r="W571" s="16" t="str">
        <f>IF(DATA[[#This Row],[VALORIZACIÓN ]]="-","NO CORRESPONDE",IF(OR(A571=20558226979,A571=10470707866,A571=20111157058,A571=20100226902),"NO CORRESPONDE",IF(J571="Emitida",IF(P571&gt;0,"EMITIDA","PENDIENTE"),"NO CORRESPONDE")))</f>
        <v>EMITIDA</v>
      </c>
      <c r="X571" s="29"/>
      <c r="Y571" s="17" t="s">
        <v>118</v>
      </c>
      <c r="Z571" s="30">
        <v>45776</v>
      </c>
      <c r="AA571" s="10" t="s">
        <v>150</v>
      </c>
      <c r="AB571" s="19">
        <v>54</v>
      </c>
      <c r="AC571" s="20">
        <v>30</v>
      </c>
      <c r="AD571" s="18">
        <f>DATA[[#This Row],[FECHA DE EMISION]]+DATA[[#This Row],[CONDICION DE PAGO]]</f>
        <v>45806</v>
      </c>
      <c r="AE571" s="23" t="e">
        <f>IF(DATA[[#This Row],[MONEDA]]="USD",VLOOKUP(DATA[[#This Row],[COMBINADA]],#REF!,11,0),1)</f>
        <v>#REF!</v>
      </c>
      <c r="AF571" s="39" t="str">
        <f>IF(DATA[[#This Row],[SERIE2]]="-","NO CORRESPONDE",IF(W571="NO CORRESPONDE","NO CORRESPONDE",IF(Z571&gt;0,"FACTURADO","PENDIENTE")))</f>
        <v>FACTURADO</v>
      </c>
      <c r="AG571" s="27">
        <f>IFERROR(VLOOKUP(DATA[[#This Row],[COMBINADA]],#REF!,6,0),0)</f>
        <v>0</v>
      </c>
      <c r="AH571" s="125">
        <f>IFERROR(VLOOKUP(DATA[[#This Row],[COMBINADA]],#REF!,9,0),0)/COUNTIFS(DATA[COMBINADA],DATA[[#This Row],[COMBINADA]])</f>
        <v>0</v>
      </c>
      <c r="AI571" s="27">
        <f>IFERROR(VLOOKUP(DATA[[#This Row],[COMBINADA]],#REF!,6,0),0)</f>
        <v>0</v>
      </c>
      <c r="AJ571" s="125">
        <f>IFERROR(VLOOKUP(DATA[[#This Row],[COMBINADA]],#REF!,9,0),0)/COUNTIFS(DATA[COMBINADA],DATA[[#This Row],[COMBINADA]])</f>
        <v>0</v>
      </c>
      <c r="AK571" s="27">
        <f>IFERROR(VLOOKUP(DATA[[#This Row],[COMBINADA]],#REF!,6,0),0)</f>
        <v>0</v>
      </c>
      <c r="AL571" s="125">
        <f>IFERROR(VLOOKUP(DATA[[#This Row],[COMBINADA]],#REF!,9,0),0)/COUNTIFS(DATA[COMBINADA],DATA[[#This Row],[COMBINADA]])</f>
        <v>0</v>
      </c>
      <c r="AM571" s="27">
        <f>IFERROR(VLOOKUP(DATA[[#This Row],[COMBINADA]],#REF!,6,0),0)</f>
        <v>0</v>
      </c>
      <c r="AN571" s="125">
        <f>IFERROR(VLOOKUP(DATA[[#This Row],[COMBINADA]],#REF!,9,0),0)/COUNTIFS(DATA[COMBINADA],DATA[[#This Row],[COMBINADA]])</f>
        <v>0</v>
      </c>
      <c r="AO571" s="27">
        <f>IFERROR(VLOOKUP(DATA[[#This Row],[COMBINADA]],#REF!,6,0),0)</f>
        <v>0</v>
      </c>
      <c r="AP571" s="125">
        <f>IFERROR(VLOOKUP(DATA[[#This Row],[COMBINADA]],#REF!,9,0),0)/COUNTIFS(DATA[COMBINADA],DATA[[#This Row],[COMBINADA]])</f>
        <v>0</v>
      </c>
      <c r="AQ57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548.94894736842105</v>
      </c>
      <c r="AR571" s="26" t="str">
        <f>IFERROR(IF(DATA[[#This Row],[estado_fact]]="FACTURADO",VLOOKUP(DATA[[#This Row],[SERIE2]]&amp;"-"&amp;DATA[[#This Row],[NUMERO]],#REF!,34,0),"NO CORRESPONDE"),"NO CORRESPONDE")</f>
        <v>NO CORRESPONDE</v>
      </c>
      <c r="AS571" s="22" t="str">
        <f>IF(DATA[[#This Row],[fecha_fs]]&gt;0,TEXT(DATA[[#This Row],[fecha_fs]],"Mmmm"),0)</f>
        <v>Abril</v>
      </c>
      <c r="AT571" s="22" t="str">
        <f>DATA[[#This Row],[SERIE2]]&amp;"-"&amp;DATA[[#This Row],[NUMERO]]</f>
        <v>FF01-54</v>
      </c>
      <c r="AU571" s="28" t="e">
        <f>DATA[[#This Row],[TOTAL]]*DATA[[#This Row],[T.C.]]</f>
        <v>#REF!</v>
      </c>
      <c r="AV571" s="6">
        <f>DATA[[#This Row],[FECHA DE VAL.]]</f>
        <v>45772</v>
      </c>
      <c r="AW571" s="6">
        <f>DATA[[#This Row],[FECHA DE EMISION]]</f>
        <v>45776</v>
      </c>
      <c r="AX571" s="6">
        <f>DATA[[#This Row],[F1]]</f>
        <v>0</v>
      </c>
      <c r="AY571" s="20">
        <f>IF(AV571-DATA[[#This Row],[fecha_fs]]&lt;0,0,AV571-DATA[[#This Row],[fecha_fs]])</f>
        <v>0</v>
      </c>
      <c r="AZ571" s="20">
        <f t="shared" si="57"/>
        <v>4</v>
      </c>
      <c r="BA571" s="20">
        <f t="shared" si="58"/>
        <v>0</v>
      </c>
      <c r="BB571" s="195">
        <f>IFERROR(SUM(DATA[[#This Row],[fs_val_ttf]:[fact_pago_ttf]]),0)</f>
        <v>4</v>
      </c>
      <c r="BC571" s="185" t="s">
        <v>292</v>
      </c>
      <c r="BD571" s="185" t="s">
        <v>292</v>
      </c>
      <c r="BE571" s="185" t="s">
        <v>292</v>
      </c>
      <c r="BF571" s="185" t="s">
        <v>292</v>
      </c>
      <c r="BG571" s="20">
        <f>IFERROR(IF(BC571-DATA[[#This Row],[fecha_fs]]&lt;0,0,BC571-DATA[[#This Row],[fecha_fs]]),0)</f>
        <v>0</v>
      </c>
      <c r="BH571" s="20">
        <f t="shared" si="59"/>
        <v>0</v>
      </c>
      <c r="BI571" s="20">
        <f t="shared" si="60"/>
        <v>0</v>
      </c>
      <c r="BJ571" s="20">
        <f t="shared" si="61"/>
        <v>0</v>
      </c>
      <c r="BK571" s="218">
        <f>IFERROR(SUM(DATA[[#This Row],[fs_fd_ttd]:[fend_fenf_ttd]]),0)</f>
        <v>0</v>
      </c>
      <c r="BL571" s="20" t="str">
        <f>IF(DATA[[#This Row],[fecha_fs]]&gt;0,TEXT(DATA[[#This Row],[fecha_fs]],"YYYY"),0)</f>
        <v>2025</v>
      </c>
      <c r="BM571" s="221" t="b">
        <v>1</v>
      </c>
      <c r="BN571" s="278">
        <f>COUNTIF(DATA[[#This Row],[tiempo_td]], "&lt;=15")</f>
        <v>1</v>
      </c>
      <c r="BO571" s="222"/>
    </row>
    <row r="572" spans="1:67" ht="30.6" customHeight="1" x14ac:dyDescent="0.25">
      <c r="A572" s="4">
        <v>20603536569</v>
      </c>
      <c r="B572" s="5" t="s">
        <v>27</v>
      </c>
      <c r="C572" s="52" t="s">
        <v>295</v>
      </c>
      <c r="D572" s="4" t="s">
        <v>120</v>
      </c>
      <c r="E572" s="5" t="s">
        <v>3</v>
      </c>
      <c r="F572" s="24">
        <v>45775</v>
      </c>
      <c r="G572" s="7" t="s">
        <v>113</v>
      </c>
      <c r="H572" s="25">
        <f t="shared" si="56"/>
        <v>1</v>
      </c>
      <c r="I572" s="67">
        <v>4431</v>
      </c>
      <c r="J572" s="8" t="s">
        <v>115</v>
      </c>
      <c r="K572" s="9" t="s">
        <v>121</v>
      </c>
      <c r="L572" s="10" t="s">
        <v>117</v>
      </c>
      <c r="M572" s="11">
        <v>125</v>
      </c>
      <c r="N572" s="112" t="s">
        <v>132</v>
      </c>
      <c r="O572" s="6">
        <v>45775</v>
      </c>
      <c r="P572" s="13">
        <v>3428</v>
      </c>
      <c r="Q572" s="14" t="s">
        <v>85</v>
      </c>
      <c r="R572" s="15">
        <v>192</v>
      </c>
      <c r="S572" s="15">
        <v>3688.35</v>
      </c>
      <c r="T572" s="15">
        <f>DATA[[#This Row],[C. DF]]+DATA[[#This Row],[C.OPE.]]</f>
        <v>3880.35</v>
      </c>
      <c r="U572" s="15">
        <f>DATA[[#This Row],[SUB TOTAL]]*0.18</f>
        <v>698.46299999999997</v>
      </c>
      <c r="V572" s="15">
        <f>IFERROR(ROUND(DATA[[#This Row],[SUB TOTAL]]+DATA[[#This Row],[IGV]],2),0)</f>
        <v>4578.8100000000004</v>
      </c>
      <c r="W572" s="16" t="str">
        <f>IF(DATA[[#This Row],[VALORIZACIÓN ]]="-","NO CORRESPONDE",IF(OR(A572=20558226979,A572=10470707866,A572=20111157058,A572=20100226902),"NO CORRESPONDE",IF(J572="Emitida",IF(P572&gt;0,"EMITIDA","PENDIENTE"),"NO CORRESPONDE")))</f>
        <v>EMITIDA</v>
      </c>
      <c r="X572" s="29"/>
      <c r="Y572" s="17" t="s">
        <v>118</v>
      </c>
      <c r="Z572" s="30">
        <v>45798</v>
      </c>
      <c r="AA572" s="10" t="s">
        <v>150</v>
      </c>
      <c r="AB572" s="19">
        <v>85</v>
      </c>
      <c r="AC572" s="20">
        <v>15</v>
      </c>
      <c r="AD572" s="18">
        <f>DATA[[#This Row],[FECHA DE EMISION]]+DATA[[#This Row],[CONDICION DE PAGO]]</f>
        <v>45813</v>
      </c>
      <c r="AE572" s="23">
        <f>IF(DATA[[#This Row],[MONEDA]]="USD",VLOOKUP(DATA[[#This Row],[COMBINADA]],#REF!,11,0),1)</f>
        <v>1</v>
      </c>
      <c r="AF572" s="39" t="str">
        <f>IF(DATA[[#This Row],[SERIE2]]="-","NO CORRESPONDE",IF(W572="NO CORRESPONDE","NO CORRESPONDE",IF(Z572&gt;0,"FACTURADO","PENDIENTE")))</f>
        <v>FACTURADO</v>
      </c>
      <c r="AG572" s="27">
        <f>IFERROR(VLOOKUP(DATA[[#This Row],[COMBINADA]],#REF!,6,0),0)</f>
        <v>0</v>
      </c>
      <c r="AH572" s="125">
        <f>IFERROR(VLOOKUP(DATA[[#This Row],[COMBINADA]],#REF!,9,0),0)/COUNTIFS(DATA[COMBINADA],DATA[[#This Row],[COMBINADA]])</f>
        <v>0</v>
      </c>
      <c r="AI572" s="27">
        <f>IFERROR(VLOOKUP(DATA[[#This Row],[COMBINADA]],#REF!,6,0),0)</f>
        <v>0</v>
      </c>
      <c r="AJ572" s="125">
        <f>IFERROR(VLOOKUP(DATA[[#This Row],[COMBINADA]],#REF!,9,0),0)/COUNTIFS(DATA[COMBINADA],DATA[[#This Row],[COMBINADA]])</f>
        <v>0</v>
      </c>
      <c r="AK572" s="27">
        <f>IFERROR(VLOOKUP(DATA[[#This Row],[COMBINADA]],#REF!,6,0),0)</f>
        <v>0</v>
      </c>
      <c r="AL572" s="125">
        <f>IFERROR(VLOOKUP(DATA[[#This Row],[COMBINADA]],#REF!,9,0),0)/COUNTIFS(DATA[COMBINADA],DATA[[#This Row],[COMBINADA]])</f>
        <v>0</v>
      </c>
      <c r="AM572" s="27">
        <f>IFERROR(VLOOKUP(DATA[[#This Row],[COMBINADA]],#REF!,6,0),0)</f>
        <v>0</v>
      </c>
      <c r="AN572" s="125">
        <f>IFERROR(VLOOKUP(DATA[[#This Row],[COMBINADA]],#REF!,9,0),0)/COUNTIFS(DATA[COMBINADA],DATA[[#This Row],[COMBINADA]])</f>
        <v>0</v>
      </c>
      <c r="AO572" s="27">
        <f>IFERROR(VLOOKUP(DATA[[#This Row],[COMBINADA]],#REF!,6,0),0)</f>
        <v>0</v>
      </c>
      <c r="AP572" s="125">
        <f>IFERROR(VLOOKUP(DATA[[#This Row],[COMBINADA]],#REF!,9,0),0)/COUNTIFS(DATA[COMBINADA],DATA[[#This Row],[COMBINADA]])</f>
        <v>0</v>
      </c>
      <c r="AQ57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4578.8100000000004</v>
      </c>
      <c r="AR572" s="26" t="str">
        <f>IFERROR(IF(DATA[[#This Row],[estado_fact]]="FACTURADO",VLOOKUP(DATA[[#This Row],[SERIE2]]&amp;"-"&amp;DATA[[#This Row],[NUMERO]],#REF!,34,0),"NO CORRESPONDE"),"NO CORRESPONDE")</f>
        <v>NO CORRESPONDE</v>
      </c>
      <c r="AS572" s="22" t="str">
        <f>IF(DATA[[#This Row],[fecha_fs]]&gt;0,TEXT(DATA[[#This Row],[fecha_fs]],"Mmmm"),0)</f>
        <v>Abril</v>
      </c>
      <c r="AT572" s="22" t="str">
        <f>DATA[[#This Row],[SERIE2]]&amp;"-"&amp;DATA[[#This Row],[NUMERO]]</f>
        <v>FF01-85</v>
      </c>
      <c r="AU572" s="28">
        <f>DATA[[#This Row],[TOTAL]]*DATA[[#This Row],[T.C.]]</f>
        <v>4578.8100000000004</v>
      </c>
      <c r="AV572" s="6">
        <f>DATA[[#This Row],[FECHA DE VAL.]]</f>
        <v>45775</v>
      </c>
      <c r="AW572" s="6">
        <f>DATA[[#This Row],[FECHA DE EMISION]]</f>
        <v>45798</v>
      </c>
      <c r="AX572" s="6">
        <f>DATA[[#This Row],[F1]]</f>
        <v>0</v>
      </c>
      <c r="AY572" s="20">
        <f>IF(AV572-DATA[[#This Row],[fecha_fs]]&lt;0,0,AV572-DATA[[#This Row],[fecha_fs]])</f>
        <v>0</v>
      </c>
      <c r="AZ572" s="20">
        <f t="shared" si="57"/>
        <v>23</v>
      </c>
      <c r="BA572" s="20">
        <f t="shared" si="58"/>
        <v>0</v>
      </c>
      <c r="BB572" s="195">
        <f>IFERROR(SUM(DATA[[#This Row],[fs_val_ttf]:[fact_pago_ttf]]),0)</f>
        <v>23</v>
      </c>
      <c r="BC572" s="185">
        <v>45779</v>
      </c>
      <c r="BD572" s="185">
        <v>45789</v>
      </c>
      <c r="BE572" s="185">
        <v>45796</v>
      </c>
      <c r="BF572" s="185">
        <v>45832</v>
      </c>
      <c r="BG572" s="20">
        <f>IFERROR(IF(BC572-DATA[[#This Row],[fecha_fs]]&lt;0,0,BC572-DATA[[#This Row],[fecha_fs]]),0)</f>
        <v>4</v>
      </c>
      <c r="BH572" s="20">
        <f t="shared" si="59"/>
        <v>10</v>
      </c>
      <c r="BI572" s="20">
        <f t="shared" si="60"/>
        <v>7</v>
      </c>
      <c r="BJ572" s="20">
        <f t="shared" si="61"/>
        <v>36</v>
      </c>
      <c r="BK572" s="218">
        <f>IFERROR(SUM(DATA[[#This Row],[fs_fd_ttd]:[fend_fenf_ttd]]),0)</f>
        <v>57</v>
      </c>
      <c r="BL572" s="20" t="str">
        <f>IF(DATA[[#This Row],[fecha_fs]]&gt;0,TEXT(DATA[[#This Row],[fecha_fs]],"YYYY"),0)</f>
        <v>2025</v>
      </c>
      <c r="BM572" s="221" t="b">
        <v>1</v>
      </c>
      <c r="BN572" s="278">
        <f>COUNTIF(DATA[[#This Row],[tiempo_td]], "&lt;=15")</f>
        <v>0</v>
      </c>
      <c r="BO572" s="222"/>
    </row>
    <row r="573" spans="1:67" ht="30" customHeight="1" x14ac:dyDescent="0.25">
      <c r="A573" s="4"/>
      <c r="B573" s="5" t="s">
        <v>0</v>
      </c>
      <c r="C573" s="52"/>
      <c r="D573" s="4"/>
      <c r="E573" s="5" t="s">
        <v>0</v>
      </c>
      <c r="F573" s="24">
        <v>45775</v>
      </c>
      <c r="G573" s="7" t="s">
        <v>113</v>
      </c>
      <c r="H573" s="25">
        <f t="shared" ref="H573:H636" si="63">IF(G573="","",IF(G573="LIM",2,1))</f>
        <v>1</v>
      </c>
      <c r="I573" s="67">
        <v>4432</v>
      </c>
      <c r="J573" s="8" t="s">
        <v>173</v>
      </c>
      <c r="K573" s="9"/>
      <c r="L573" s="10"/>
      <c r="M573" s="111"/>
      <c r="N573" s="112"/>
      <c r="O573" s="6"/>
      <c r="P573" s="13" t="s">
        <v>114</v>
      </c>
      <c r="Q573" s="14"/>
      <c r="R573" s="15"/>
      <c r="S573" s="15"/>
      <c r="T573" s="15">
        <f>DATA[[#This Row],[C. DF]]+DATA[[#This Row],[C.OPE.]]</f>
        <v>0</v>
      </c>
      <c r="U573" s="73">
        <f>DATA[[#This Row],[SUB TOTAL]]*0.18</f>
        <v>0</v>
      </c>
      <c r="V573" s="45">
        <f>IFERROR(ROUND(DATA[[#This Row],[SUB TOTAL]]+DATA[[#This Row],[IGV]],2),0)</f>
        <v>0</v>
      </c>
      <c r="W573" s="73" t="str">
        <f>IF(DATA[[#This Row],[VALORIZACIÓN ]]="-","NO CORRESPONDE",IF(OR(A573=20558226979,A573=10470707866,A573=20111157058,A573=20100226902),"NO CORRESPONDE",IF(J573="Emitida",IF(P573&gt;0,"EMITIDA","PENDIENTE"),"NO CORRESPONDE")))</f>
        <v>NO CORRESPONDE</v>
      </c>
      <c r="X573" s="46"/>
      <c r="Y573" s="17" t="s">
        <v>128</v>
      </c>
      <c r="Z573" s="48"/>
      <c r="AA573" s="49"/>
      <c r="AB573" s="50"/>
      <c r="AC573" s="51"/>
      <c r="AD573" s="59">
        <f>DATA[[#This Row],[FECHA DE EMISION]]+DATA[[#This Row],[CONDICION DE PAGO]]</f>
        <v>0</v>
      </c>
      <c r="AE573" s="23">
        <f>IF(DATA[[#This Row],[MONEDA]]="USD",VLOOKUP(DATA[[#This Row],[COMBINADA]],#REF!,11,0),1)</f>
        <v>1</v>
      </c>
      <c r="AF573" s="39" t="str">
        <f>IF(DATA[[#This Row],[SERIE2]]="-","NO CORRESPONDE",IF(W573="NO CORRESPONDE","NO CORRESPONDE",IF(Z573&gt;0,"FACTURADO","PENDIENTE")))</f>
        <v>NO CORRESPONDE</v>
      </c>
      <c r="AG573" s="61">
        <f>IFERROR(VLOOKUP(DATA[[#This Row],[COMBINADA]],#REF!,6,0),0)</f>
        <v>0</v>
      </c>
      <c r="AH573" s="62">
        <f>IFERROR(VLOOKUP(DATA[[#This Row],[COMBINADA]],#REF!,9,0),0)/COUNTIFS(DATA[COMBINADA],DATA[[#This Row],[COMBINADA]])</f>
        <v>0</v>
      </c>
      <c r="AI573" s="61">
        <f>IFERROR(VLOOKUP(DATA[[#This Row],[COMBINADA]],#REF!,6,0),0)</f>
        <v>0</v>
      </c>
      <c r="AJ573" s="62">
        <f>IFERROR(VLOOKUP(DATA[[#This Row],[COMBINADA]],#REF!,9,0),0)/COUNTIFS(DATA[COMBINADA],DATA[[#This Row],[COMBINADA]])</f>
        <v>0</v>
      </c>
      <c r="AK573" s="61">
        <f>IFERROR(VLOOKUP(DATA[[#This Row],[COMBINADA]],#REF!,6,0),0)</f>
        <v>0</v>
      </c>
      <c r="AL573" s="62">
        <f>IFERROR(VLOOKUP(DATA[[#This Row],[COMBINADA]],#REF!,9,0),0)/COUNTIFS(DATA[COMBINADA],DATA[[#This Row],[COMBINADA]])</f>
        <v>0</v>
      </c>
      <c r="AM573" s="61">
        <f>IFERROR(VLOOKUP(DATA[[#This Row],[COMBINADA]],#REF!,6,0),0)</f>
        <v>0</v>
      </c>
      <c r="AN573" s="62">
        <f>IFERROR(VLOOKUP(DATA[[#This Row],[COMBINADA]],#REF!,9,0),0)/COUNTIFS(DATA[COMBINADA],DATA[[#This Row],[COMBINADA]])</f>
        <v>0</v>
      </c>
      <c r="AO573" s="61">
        <f>IFERROR(VLOOKUP(DATA[[#This Row],[COMBINADA]],#REF!,6,0),0)</f>
        <v>0</v>
      </c>
      <c r="AP573" s="62">
        <f>IFERROR(VLOOKUP(DATA[[#This Row],[COMBINADA]],#REF!,9,0),0)/COUNTIFS(DATA[COMBINADA],DATA[[#This Row],[COMBINADA]])</f>
        <v>0</v>
      </c>
      <c r="AQ573"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573" s="22" t="str">
        <f>IFERROR(IF(DATA[[#This Row],[estado_fact]]="FACTURADO",VLOOKUP(DATA[[#This Row],[SERIE2]]&amp;"-"&amp;DATA[[#This Row],[NUMERO]],#REF!,34,0),"NO CORRESPONDE"),"NO CORRESPONDE")</f>
        <v>NO CORRESPONDE</v>
      </c>
      <c r="AS573" s="198" t="str">
        <f>IF(DATA[[#This Row],[fecha_fs]]&gt;0,TEXT(DATA[[#This Row],[fecha_fs]],"Mmmm"),0)</f>
        <v>Abril</v>
      </c>
      <c r="AT573" s="199" t="str">
        <f>DATA[[#This Row],[SERIE2]]&amp;"-"&amp;DATA[[#This Row],[NUMERO]]</f>
        <v>-</v>
      </c>
      <c r="AU573" s="198">
        <f>DATA[[#This Row],[TOTAL]]*DATA[[#This Row],[T.C.]]</f>
        <v>0</v>
      </c>
      <c r="AV573" s="40">
        <f>DATA[[#This Row],[FECHA DE VAL.]]</f>
        <v>0</v>
      </c>
      <c r="AW573" s="40">
        <f>DATA[[#This Row],[FECHA DE EMISION]]</f>
        <v>0</v>
      </c>
      <c r="AX573" s="40">
        <f>DATA[[#This Row],[F1]]</f>
        <v>0</v>
      </c>
      <c r="AY573" s="49">
        <f>IF(AV573-DATA[[#This Row],[fecha_fs]]&lt;0,0,AV573-DATA[[#This Row],[fecha_fs]])</f>
        <v>0</v>
      </c>
      <c r="AZ573" s="49">
        <f t="shared" si="57"/>
        <v>0</v>
      </c>
      <c r="BA573" s="49">
        <f t="shared" si="58"/>
        <v>0</v>
      </c>
      <c r="BB573" s="195">
        <f>IFERROR(SUM(DATA[[#This Row],[fs_val_ttf]:[fact_pago_ttf]]),0)</f>
        <v>0</v>
      </c>
      <c r="BC573" s="200"/>
      <c r="BD573" s="200"/>
      <c r="BE573" s="200"/>
      <c r="BF573" s="200"/>
      <c r="BG573" s="49">
        <f>IFERROR(IF(BC573-DATA[[#This Row],[fecha_fs]]&lt;0,0,BC573-DATA[[#This Row],[fecha_fs]]),0)</f>
        <v>0</v>
      </c>
      <c r="BH573" s="49">
        <f t="shared" si="59"/>
        <v>0</v>
      </c>
      <c r="BI573" s="49">
        <f t="shared" si="60"/>
        <v>0</v>
      </c>
      <c r="BJ573" s="49">
        <f t="shared" si="61"/>
        <v>0</v>
      </c>
      <c r="BK573" s="218">
        <f>IFERROR(SUM(DATA[[#This Row],[fs_fd_ttd]:[fend_fenf_ttd]]),0)</f>
        <v>0</v>
      </c>
      <c r="BL573" s="20" t="str">
        <f>IF(DATA[[#This Row],[fecha_fs]]&gt;0,TEXT(DATA[[#This Row],[fecha_fs]],"YYYY"),0)</f>
        <v>2025</v>
      </c>
      <c r="BM573" s="221" t="b">
        <v>0</v>
      </c>
      <c r="BN573" s="278"/>
      <c r="BO573" s="222"/>
    </row>
    <row r="574" spans="1:67" ht="30.6" customHeight="1" x14ac:dyDescent="0.25">
      <c r="A574" s="4">
        <v>20100211115</v>
      </c>
      <c r="B574" s="5" t="s">
        <v>41</v>
      </c>
      <c r="C574" s="52" t="s">
        <v>18</v>
      </c>
      <c r="D574" s="4" t="s">
        <v>120</v>
      </c>
      <c r="E574" s="5" t="s">
        <v>3</v>
      </c>
      <c r="F574" s="24">
        <v>45775</v>
      </c>
      <c r="G574" s="7" t="s">
        <v>113</v>
      </c>
      <c r="H574" s="25">
        <f t="shared" si="63"/>
        <v>1</v>
      </c>
      <c r="I574" s="67">
        <v>4433</v>
      </c>
      <c r="J574" s="8" t="s">
        <v>115</v>
      </c>
      <c r="K574" s="9" t="s">
        <v>121</v>
      </c>
      <c r="L574" s="10" t="s">
        <v>117</v>
      </c>
      <c r="M574" s="11">
        <v>90</v>
      </c>
      <c r="N574" s="112" t="s">
        <v>200</v>
      </c>
      <c r="O574" s="6">
        <v>45775</v>
      </c>
      <c r="P574" s="115">
        <v>3419</v>
      </c>
      <c r="Q574" s="14" t="s">
        <v>85</v>
      </c>
      <c r="R574" s="15"/>
      <c r="S574" s="15">
        <f>(DATA[[#This Row],[cantidad_fs]]*4.37)</f>
        <v>393.3</v>
      </c>
      <c r="T574" s="15">
        <f>DATA[[#This Row],[C. DF]]+DATA[[#This Row],[C.OPE.]]</f>
        <v>393.3</v>
      </c>
      <c r="U574" s="15">
        <f>DATA[[#This Row],[SUB TOTAL]]*0.18</f>
        <v>70.793999999999997</v>
      </c>
      <c r="V574" s="15">
        <f>IFERROR(ROUND(DATA[[#This Row],[SUB TOTAL]]+DATA[[#This Row],[IGV]],2),0)</f>
        <v>464.09</v>
      </c>
      <c r="W574" s="16" t="str">
        <f>IF(DATA[[#This Row],[VALORIZACIÓN ]]="-","NO CORRESPONDE",IF(OR(A574=20558226979,A574=10470707866,A574=20111157058,A574=20100226902),"NO CORRESPONDE",IF(J574="Emitida",IF(P574&gt;0,"EMITIDA","PENDIENTE"),"NO CORRESPONDE")))</f>
        <v>EMITIDA</v>
      </c>
      <c r="X574" s="29"/>
      <c r="Y574" s="17" t="s">
        <v>118</v>
      </c>
      <c r="Z574" s="30">
        <v>45777</v>
      </c>
      <c r="AA574" s="10" t="s">
        <v>150</v>
      </c>
      <c r="AB574" s="19">
        <v>60</v>
      </c>
      <c r="AC574" s="20">
        <v>30</v>
      </c>
      <c r="AD574" s="18">
        <f>DATA[[#This Row],[FECHA DE EMISION]]+DATA[[#This Row],[CONDICION DE PAGO]]</f>
        <v>45807</v>
      </c>
      <c r="AE574" s="23">
        <f>IF(DATA[[#This Row],[MONEDA]]="USD",VLOOKUP(DATA[[#This Row],[COMBINADA]],#REF!,11,0),1)</f>
        <v>1</v>
      </c>
      <c r="AF574" s="39" t="str">
        <f>IF(DATA[[#This Row],[SERIE2]]="-","NO CORRESPONDE",IF(W574="NO CORRESPONDE","NO CORRESPONDE",IF(Z574&gt;0,"FACTURADO","PENDIENTE")))</f>
        <v>FACTURADO</v>
      </c>
      <c r="AG574" s="27">
        <f>IFERROR(VLOOKUP(DATA[[#This Row],[COMBINADA]],#REF!,6,0),0)</f>
        <v>0</v>
      </c>
      <c r="AH574" s="125">
        <f>IFERROR(VLOOKUP(DATA[[#This Row],[COMBINADA]],#REF!,9,0),0)/COUNTIFS(DATA[COMBINADA],DATA[[#This Row],[COMBINADA]])</f>
        <v>0</v>
      </c>
      <c r="AI574" s="27">
        <f>IFERROR(VLOOKUP(DATA[[#This Row],[COMBINADA]],#REF!,6,0),0)</f>
        <v>0</v>
      </c>
      <c r="AJ574" s="125">
        <f>IFERROR(VLOOKUP(DATA[[#This Row],[COMBINADA]],#REF!,9,0),0)/COUNTIFS(DATA[COMBINADA],DATA[[#This Row],[COMBINADA]])</f>
        <v>0</v>
      </c>
      <c r="AK574" s="27">
        <f>IFERROR(VLOOKUP(DATA[[#This Row],[COMBINADA]],#REF!,6,0),0)</f>
        <v>0</v>
      </c>
      <c r="AL574" s="125">
        <f>IFERROR(VLOOKUP(DATA[[#This Row],[COMBINADA]],#REF!,9,0),0)/COUNTIFS(DATA[COMBINADA],DATA[[#This Row],[COMBINADA]])</f>
        <v>0</v>
      </c>
      <c r="AM574" s="27">
        <f>IFERROR(VLOOKUP(DATA[[#This Row],[COMBINADA]],#REF!,6,0),0)</f>
        <v>0</v>
      </c>
      <c r="AN574" s="125">
        <f>IFERROR(VLOOKUP(DATA[[#This Row],[COMBINADA]],#REF!,9,0),0)/COUNTIFS(DATA[COMBINADA],DATA[[#This Row],[COMBINADA]])</f>
        <v>0</v>
      </c>
      <c r="AO574" s="27">
        <f>IFERROR(VLOOKUP(DATA[[#This Row],[COMBINADA]],#REF!,6,0),0)</f>
        <v>0</v>
      </c>
      <c r="AP574" s="125">
        <f>IFERROR(VLOOKUP(DATA[[#This Row],[COMBINADA]],#REF!,9,0),0)/COUNTIFS(DATA[COMBINADA],DATA[[#This Row],[COMBINADA]])</f>
        <v>0</v>
      </c>
      <c r="AQ57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574" s="26" t="str">
        <f>IFERROR(IF(DATA[[#This Row],[estado_fact]]="FACTURADO",VLOOKUP(DATA[[#This Row],[SERIE2]]&amp;"-"&amp;DATA[[#This Row],[NUMERO]],#REF!,34,0),"NO CORRESPONDE"),"NO CORRESPONDE")</f>
        <v>NO CORRESPONDE</v>
      </c>
      <c r="AS574" s="22" t="str">
        <f>IF(DATA[[#This Row],[fecha_fs]]&gt;0,TEXT(DATA[[#This Row],[fecha_fs]],"Mmmm"),0)</f>
        <v>Abril</v>
      </c>
      <c r="AT574" s="22" t="str">
        <f>DATA[[#This Row],[SERIE2]]&amp;"-"&amp;DATA[[#This Row],[NUMERO]]</f>
        <v>FF01-60</v>
      </c>
      <c r="AU574" s="28">
        <f>DATA[[#This Row],[TOTAL]]*DATA[[#This Row],[T.C.]]</f>
        <v>464.09</v>
      </c>
      <c r="AV574" s="6">
        <f>DATA[[#This Row],[FECHA DE VAL.]]</f>
        <v>45775</v>
      </c>
      <c r="AW574" s="6">
        <f>DATA[[#This Row],[FECHA DE EMISION]]</f>
        <v>45777</v>
      </c>
      <c r="AX574" s="6">
        <f>DATA[[#This Row],[F1]]</f>
        <v>0</v>
      </c>
      <c r="AY574" s="20">
        <f>IF(AV574-DATA[[#This Row],[fecha_fs]]&lt;0,0,AV574-DATA[[#This Row],[fecha_fs]])</f>
        <v>0</v>
      </c>
      <c r="AZ574" s="20">
        <f t="shared" ref="AZ574:AZ637" si="64">IF(AW574-AV574&lt;0,0,AW574-AV574)</f>
        <v>2</v>
      </c>
      <c r="BA574" s="20">
        <f t="shared" ref="BA574:BA637" si="65">IF(AX574-AW574&lt;0,0,AX574-AW574)</f>
        <v>0</v>
      </c>
      <c r="BB574" s="195">
        <f>IFERROR(SUM(DATA[[#This Row],[fs_val_ttf]:[fact_pago_ttf]]),0)</f>
        <v>2</v>
      </c>
      <c r="BC574" s="185">
        <v>45779</v>
      </c>
      <c r="BD574" s="185">
        <v>45789</v>
      </c>
      <c r="BE574" s="185">
        <v>45796</v>
      </c>
      <c r="BF574" s="184">
        <v>45798</v>
      </c>
      <c r="BG574" s="20">
        <f>IFERROR(IF(BC574-DATA[[#This Row],[fecha_fs]]&lt;0,0,BC574-DATA[[#This Row],[fecha_fs]]),0)</f>
        <v>4</v>
      </c>
      <c r="BH574" s="20">
        <f t="shared" si="59"/>
        <v>10</v>
      </c>
      <c r="BI574" s="20">
        <f t="shared" si="60"/>
        <v>7</v>
      </c>
      <c r="BJ574" s="20">
        <f t="shared" si="61"/>
        <v>2</v>
      </c>
      <c r="BK574" s="218">
        <f>IFERROR(SUM(DATA[[#This Row],[fs_fd_ttd]:[fend_fenf_ttd]]),0)</f>
        <v>23</v>
      </c>
      <c r="BL574" s="20" t="str">
        <f>IF(DATA[[#This Row],[fecha_fs]]&gt;0,TEXT(DATA[[#This Row],[fecha_fs]],"YYYY"),0)</f>
        <v>2025</v>
      </c>
      <c r="BM574" s="221" t="b">
        <v>1</v>
      </c>
      <c r="BN574" s="278">
        <f>COUNTIF(DATA[[#This Row],[tiempo_td]], "&lt;=15")</f>
        <v>0</v>
      </c>
      <c r="BO574" s="222"/>
    </row>
    <row r="575" spans="1:67" ht="30.6" customHeight="1" x14ac:dyDescent="0.25">
      <c r="A575" s="4">
        <v>20553956324</v>
      </c>
      <c r="B575" s="5" t="s">
        <v>281</v>
      </c>
      <c r="C575" s="52" t="s">
        <v>175</v>
      </c>
      <c r="D575" s="4" t="s">
        <v>120</v>
      </c>
      <c r="E575" s="5" t="s">
        <v>3</v>
      </c>
      <c r="F575" s="24">
        <v>45775</v>
      </c>
      <c r="G575" s="7" t="s">
        <v>113</v>
      </c>
      <c r="H575" s="25">
        <f t="shared" si="63"/>
        <v>1</v>
      </c>
      <c r="I575" s="67">
        <v>4434</v>
      </c>
      <c r="J575" s="8" t="s">
        <v>115</v>
      </c>
      <c r="K575" s="9" t="s">
        <v>121</v>
      </c>
      <c r="L575" s="10" t="s">
        <v>117</v>
      </c>
      <c r="M575" s="11">
        <v>200</v>
      </c>
      <c r="N575" s="112" t="s">
        <v>200</v>
      </c>
      <c r="O575" s="6">
        <v>45775</v>
      </c>
      <c r="P575" s="109">
        <v>3422</v>
      </c>
      <c r="Q575" s="14" t="s">
        <v>85</v>
      </c>
      <c r="R575" s="15">
        <f>DATA[[#This Row],[cantidad_fs]]*0.08</f>
        <v>16</v>
      </c>
      <c r="S575" s="15">
        <v>395.1</v>
      </c>
      <c r="T575" s="15">
        <f>DATA[[#This Row],[C. DF]]+DATA[[#This Row],[C.OPE.]]</f>
        <v>411.1</v>
      </c>
      <c r="U575" s="15">
        <f>DATA[[#This Row],[SUB TOTAL]]*0.18</f>
        <v>73.998000000000005</v>
      </c>
      <c r="V575" s="15">
        <f>IFERROR(ROUND(DATA[[#This Row],[SUB TOTAL]]+DATA[[#This Row],[IGV]],2),0)</f>
        <v>485.1</v>
      </c>
      <c r="W575" s="16" t="str">
        <f>IF(DATA[[#This Row],[VALORIZACIÓN ]]="-","NO CORRESPONDE",IF(OR(A575=20558226979,A575=10470707866,A575=20111157058,A575=20100226902),"NO CORRESPONDE",IF(J575="Emitida",IF(P575&gt;0,"EMITIDA","PENDIENTE"),"NO CORRESPONDE")))</f>
        <v>EMITIDA</v>
      </c>
      <c r="X575" s="29"/>
      <c r="Y575" s="17" t="s">
        <v>118</v>
      </c>
      <c r="Z575" s="30">
        <v>45790</v>
      </c>
      <c r="AA575" s="10" t="s">
        <v>150</v>
      </c>
      <c r="AB575" s="19">
        <v>76</v>
      </c>
      <c r="AC575" s="20"/>
      <c r="AD575" s="18">
        <f>DATA[[#This Row],[FECHA DE EMISION]]+DATA[[#This Row],[CONDICION DE PAGO]]</f>
        <v>45790</v>
      </c>
      <c r="AE575" s="23">
        <f>IF(DATA[[#This Row],[MONEDA]]="USD",VLOOKUP(DATA[[#This Row],[COMBINADA]],#REF!,11,0),1)</f>
        <v>1</v>
      </c>
      <c r="AF575" s="39" t="str">
        <f>IF(DATA[[#This Row],[SERIE2]]="-","NO CORRESPONDE",IF(W575="NO CORRESPONDE","NO CORRESPONDE",IF(Z575&gt;0,"FACTURADO","PENDIENTE")))</f>
        <v>FACTURADO</v>
      </c>
      <c r="AG575" s="27">
        <f>IFERROR(VLOOKUP(DATA[[#This Row],[COMBINADA]],#REF!,6,0),0)</f>
        <v>0</v>
      </c>
      <c r="AH575" s="125">
        <f>IFERROR(VLOOKUP(DATA[[#This Row],[COMBINADA]],#REF!,9,0),0)/COUNTIFS(DATA[COMBINADA],DATA[[#This Row],[COMBINADA]])</f>
        <v>0</v>
      </c>
      <c r="AI575" s="27">
        <f>IFERROR(VLOOKUP(DATA[[#This Row],[COMBINADA]],#REF!,6,0),0)</f>
        <v>0</v>
      </c>
      <c r="AJ575" s="125">
        <f>IFERROR(VLOOKUP(DATA[[#This Row],[COMBINADA]],#REF!,9,0),0)/COUNTIFS(DATA[COMBINADA],DATA[[#This Row],[COMBINADA]])</f>
        <v>0</v>
      </c>
      <c r="AK575" s="27">
        <f>IFERROR(VLOOKUP(DATA[[#This Row],[COMBINADA]],#REF!,6,0),0)</f>
        <v>0</v>
      </c>
      <c r="AL575" s="125">
        <f>IFERROR(VLOOKUP(DATA[[#This Row],[COMBINADA]],#REF!,9,0),0)/COUNTIFS(DATA[COMBINADA],DATA[[#This Row],[COMBINADA]])</f>
        <v>0</v>
      </c>
      <c r="AM575" s="27">
        <f>IFERROR(VLOOKUP(DATA[[#This Row],[COMBINADA]],#REF!,6,0),0)</f>
        <v>0</v>
      </c>
      <c r="AN575" s="125">
        <f>IFERROR(VLOOKUP(DATA[[#This Row],[COMBINADA]],#REF!,9,0),0)/COUNTIFS(DATA[COMBINADA],DATA[[#This Row],[COMBINADA]])</f>
        <v>0</v>
      </c>
      <c r="AO575" s="27">
        <f>IFERROR(VLOOKUP(DATA[[#This Row],[COMBINADA]],#REF!,6,0),0)</f>
        <v>0</v>
      </c>
      <c r="AP575" s="125">
        <f>IFERROR(VLOOKUP(DATA[[#This Row],[COMBINADA]],#REF!,9,0),0)/COUNTIFS(DATA[COMBINADA],DATA[[#This Row],[COMBINADA]])</f>
        <v>0</v>
      </c>
      <c r="AQ57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481.00750000000011</v>
      </c>
      <c r="AR575" s="26" t="str">
        <f>IFERROR(IF(DATA[[#This Row],[estado_fact]]="FACTURADO",VLOOKUP(DATA[[#This Row],[SERIE2]]&amp;"-"&amp;DATA[[#This Row],[NUMERO]],#REF!,34,0),"NO CORRESPONDE"),"NO CORRESPONDE")</f>
        <v>NO CORRESPONDE</v>
      </c>
      <c r="AS575" s="22" t="str">
        <f>IF(DATA[[#This Row],[fecha_fs]]&gt;0,TEXT(DATA[[#This Row],[fecha_fs]],"Mmmm"),0)</f>
        <v>Abril</v>
      </c>
      <c r="AT575" s="22" t="str">
        <f>DATA[[#This Row],[SERIE2]]&amp;"-"&amp;DATA[[#This Row],[NUMERO]]</f>
        <v>FF01-76</v>
      </c>
      <c r="AU575" s="28">
        <f>DATA[[#This Row],[TOTAL]]*DATA[[#This Row],[T.C.]]</f>
        <v>485.1</v>
      </c>
      <c r="AV575" s="6">
        <f>DATA[[#This Row],[FECHA DE VAL.]]</f>
        <v>45775</v>
      </c>
      <c r="AW575" s="6">
        <f>DATA[[#This Row],[FECHA DE EMISION]]</f>
        <v>45790</v>
      </c>
      <c r="AX575" s="6">
        <f>DATA[[#This Row],[F1]]</f>
        <v>0</v>
      </c>
      <c r="AY575" s="20">
        <f>IF(AV575-DATA[[#This Row],[fecha_fs]]&lt;0,0,AV575-DATA[[#This Row],[fecha_fs]])</f>
        <v>0</v>
      </c>
      <c r="AZ575" s="20">
        <f t="shared" si="64"/>
        <v>15</v>
      </c>
      <c r="BA575" s="20">
        <f t="shared" si="65"/>
        <v>0</v>
      </c>
      <c r="BB575" s="195">
        <f>IFERROR(SUM(DATA[[#This Row],[fs_val_ttf]:[fact_pago_ttf]]),0)</f>
        <v>15</v>
      </c>
      <c r="BC575" s="185">
        <v>45779</v>
      </c>
      <c r="BD575" s="185">
        <v>45789</v>
      </c>
      <c r="BE575" s="185">
        <v>45796</v>
      </c>
      <c r="BF575" s="185">
        <v>45832</v>
      </c>
      <c r="BG575" s="20">
        <f>IFERROR(IF(BC575-DATA[[#This Row],[fecha_fs]]&lt;0,0,BC575-DATA[[#This Row],[fecha_fs]]),0)</f>
        <v>4</v>
      </c>
      <c r="BH575" s="20">
        <f t="shared" si="59"/>
        <v>10</v>
      </c>
      <c r="BI575" s="20">
        <f t="shared" si="60"/>
        <v>7</v>
      </c>
      <c r="BJ575" s="20">
        <f t="shared" si="61"/>
        <v>36</v>
      </c>
      <c r="BK575" s="218">
        <f>IFERROR(SUM(DATA[[#This Row],[fs_fd_ttd]:[fend_fenf_ttd]]),0)</f>
        <v>57</v>
      </c>
      <c r="BL575" s="20" t="str">
        <f>IF(DATA[[#This Row],[fecha_fs]]&gt;0,TEXT(DATA[[#This Row],[fecha_fs]],"YYYY"),0)</f>
        <v>2025</v>
      </c>
      <c r="BM575" s="221" t="b">
        <v>1</v>
      </c>
      <c r="BN575" s="278">
        <f>COUNTIF(DATA[[#This Row],[tiempo_td]], "&lt;=15")</f>
        <v>0</v>
      </c>
      <c r="BO575" s="222"/>
    </row>
    <row r="576" spans="1:67" ht="30.6" customHeight="1" x14ac:dyDescent="0.25">
      <c r="A576" s="4">
        <v>20100192064</v>
      </c>
      <c r="B576" s="5" t="s">
        <v>60</v>
      </c>
      <c r="C576" s="52" t="s">
        <v>64</v>
      </c>
      <c r="D576" s="4" t="s">
        <v>112</v>
      </c>
      <c r="E576" s="5" t="s">
        <v>1</v>
      </c>
      <c r="F576" s="24">
        <v>45779</v>
      </c>
      <c r="G576" s="7" t="s">
        <v>113</v>
      </c>
      <c r="H576" s="25">
        <f t="shared" si="63"/>
        <v>1</v>
      </c>
      <c r="I576" s="67">
        <v>4435</v>
      </c>
      <c r="J576" s="8" t="s">
        <v>115</v>
      </c>
      <c r="K576" s="9" t="s">
        <v>136</v>
      </c>
      <c r="L576" s="10" t="s">
        <v>137</v>
      </c>
      <c r="M576" s="11">
        <v>36</v>
      </c>
      <c r="N576" s="12" t="s">
        <v>164</v>
      </c>
      <c r="O576" s="6">
        <v>45803</v>
      </c>
      <c r="P576" s="71">
        <v>3464</v>
      </c>
      <c r="Q576" s="14" t="s">
        <v>123</v>
      </c>
      <c r="R576" s="15">
        <f>DATA[[#This Row],[cantidad_fs]]*33.34</f>
        <v>1200.2400000000002</v>
      </c>
      <c r="S576" s="15"/>
      <c r="T576" s="15">
        <f>DATA[[#This Row],[C. DF]]+DATA[[#This Row],[C.OPE.]]</f>
        <v>1200.2400000000002</v>
      </c>
      <c r="U576" s="15">
        <f>DATA[[#This Row],[SUB TOTAL]]*0.18</f>
        <v>216.04320000000004</v>
      </c>
      <c r="V576" s="15">
        <f>IFERROR(ROUND(DATA[[#This Row],[SUB TOTAL]]+DATA[[#This Row],[IGV]],2),0)</f>
        <v>1416.28</v>
      </c>
      <c r="W576" s="16" t="str">
        <f>IF(DATA[[#This Row],[VALORIZACIÓN ]]="-","NO CORRESPONDE",IF(OR(A576=20558226979,A576=10470707866,A576=20111157058,A576=20100226902),"NO CORRESPONDE",IF(J576="Emitida",IF(P576&gt;0,"EMITIDA","PENDIENTE"),"NO CORRESPONDE")))</f>
        <v>EMITIDA</v>
      </c>
      <c r="X576" s="29" t="s">
        <v>242</v>
      </c>
      <c r="Y576" s="17" t="s">
        <v>118</v>
      </c>
      <c r="Z576" s="30">
        <v>45804</v>
      </c>
      <c r="AA576" s="10" t="s">
        <v>150</v>
      </c>
      <c r="AB576" s="19">
        <v>97</v>
      </c>
      <c r="AC576" s="20">
        <v>30</v>
      </c>
      <c r="AD576" s="18">
        <f>DATA[[#This Row],[FECHA DE EMISION]]+DATA[[#This Row],[CONDICION DE PAGO]]</f>
        <v>45834</v>
      </c>
      <c r="AE576" s="23" t="e">
        <f>IF(DATA[[#This Row],[MONEDA]]="USD",VLOOKUP(DATA[[#This Row],[COMBINADA]],#REF!,11,0),1)</f>
        <v>#REF!</v>
      </c>
      <c r="AF576" s="39" t="str">
        <f>IF(DATA[[#This Row],[SERIE2]]="-","NO CORRESPONDE",IF(W576="NO CORRESPONDE","NO CORRESPONDE",IF(Z576&gt;0,"FACTURADO","PENDIENTE")))</f>
        <v>FACTURADO</v>
      </c>
      <c r="AG576" s="27">
        <f>IFERROR(VLOOKUP(DATA[[#This Row],[COMBINADA]],#REF!,6,0),0)</f>
        <v>0</v>
      </c>
      <c r="AH576" s="125">
        <f>IFERROR(VLOOKUP(DATA[[#This Row],[COMBINADA]],#REF!,9,0),0)/COUNTIFS(DATA[COMBINADA],DATA[[#This Row],[COMBINADA]])</f>
        <v>0</v>
      </c>
      <c r="AI576" s="27">
        <f>IFERROR(VLOOKUP(DATA[[#This Row],[COMBINADA]],#REF!,6,0),0)</f>
        <v>0</v>
      </c>
      <c r="AJ576" s="125">
        <f>IFERROR(VLOOKUP(DATA[[#This Row],[COMBINADA]],#REF!,9,0),0)/COUNTIFS(DATA[COMBINADA],DATA[[#This Row],[COMBINADA]])</f>
        <v>0</v>
      </c>
      <c r="AK576" s="27">
        <f>IFERROR(VLOOKUP(DATA[[#This Row],[COMBINADA]],#REF!,6,0),0)</f>
        <v>0</v>
      </c>
      <c r="AL576" s="125">
        <f>IFERROR(VLOOKUP(DATA[[#This Row],[COMBINADA]],#REF!,9,0),0)/COUNTIFS(DATA[COMBINADA],DATA[[#This Row],[COMBINADA]])</f>
        <v>0</v>
      </c>
      <c r="AM576" s="27">
        <f>IFERROR(VLOOKUP(DATA[[#This Row],[COMBINADA]],#REF!,6,0),0)</f>
        <v>0</v>
      </c>
      <c r="AN576" s="125">
        <f>IFERROR(VLOOKUP(DATA[[#This Row],[COMBINADA]],#REF!,9,0),0)/COUNTIFS(DATA[COMBINADA],DATA[[#This Row],[COMBINADA]])</f>
        <v>0</v>
      </c>
      <c r="AO576" s="27">
        <f>IFERROR(VLOOKUP(DATA[[#This Row],[COMBINADA]],#REF!,6,0),0)</f>
        <v>0</v>
      </c>
      <c r="AP576" s="125">
        <f>IFERROR(VLOOKUP(DATA[[#This Row],[COMBINADA]],#REF!,9,0),0)/COUNTIFS(DATA[COMBINADA],DATA[[#This Row],[COMBINADA]])</f>
        <v>0</v>
      </c>
      <c r="AQ57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685.70466666666675</v>
      </c>
      <c r="AR576" s="26" t="str">
        <f>IFERROR(IF(DATA[[#This Row],[estado_fact]]="FACTURADO",VLOOKUP(DATA[[#This Row],[SERIE2]]&amp;"-"&amp;DATA[[#This Row],[NUMERO]],#REF!,34,0),"NO CORRESPONDE"),"NO CORRESPONDE")</f>
        <v>NO CORRESPONDE</v>
      </c>
      <c r="AS576" s="22" t="str">
        <f>IF(DATA[[#This Row],[fecha_fs]]&gt;0,TEXT(DATA[[#This Row],[fecha_fs]],"Mmmm"),0)</f>
        <v>Mayo</v>
      </c>
      <c r="AT576" s="22" t="str">
        <f>DATA[[#This Row],[SERIE2]]&amp;"-"&amp;DATA[[#This Row],[NUMERO]]</f>
        <v>FF01-97</v>
      </c>
      <c r="AU576" s="28" t="e">
        <f>DATA[[#This Row],[TOTAL]]*DATA[[#This Row],[T.C.]]</f>
        <v>#REF!</v>
      </c>
      <c r="AV576" s="6">
        <f>DATA[[#This Row],[FECHA DE VAL.]]</f>
        <v>45803</v>
      </c>
      <c r="AW576" s="6">
        <f>DATA[[#This Row],[FECHA DE EMISION]]</f>
        <v>45804</v>
      </c>
      <c r="AX576" s="6">
        <f>DATA[[#This Row],[F1]]</f>
        <v>0</v>
      </c>
      <c r="AY576" s="20">
        <f>IF(AV576-DATA[[#This Row],[fecha_fs]]&lt;0,0,AV576-DATA[[#This Row],[fecha_fs]])</f>
        <v>24</v>
      </c>
      <c r="AZ576" s="20">
        <f t="shared" si="64"/>
        <v>1</v>
      </c>
      <c r="BA576" s="20">
        <f t="shared" si="65"/>
        <v>0</v>
      </c>
      <c r="BB576" s="195">
        <f>IFERROR(SUM(DATA[[#This Row],[fs_val_ttf]:[fact_pago_ttf]]),0)</f>
        <v>25</v>
      </c>
      <c r="BC576" s="185">
        <v>45790</v>
      </c>
      <c r="BD576" s="185">
        <v>45807</v>
      </c>
      <c r="BE576" s="185">
        <v>45814</v>
      </c>
      <c r="BF576" s="185">
        <v>45863</v>
      </c>
      <c r="BG576" s="20">
        <f>IFERROR(IF(BC576-DATA[[#This Row],[fecha_fs]]&lt;0,0,BC576-DATA[[#This Row],[fecha_fs]]),0)</f>
        <v>11</v>
      </c>
      <c r="BH576" s="20">
        <f t="shared" si="59"/>
        <v>17</v>
      </c>
      <c r="BI576" s="20">
        <f t="shared" si="60"/>
        <v>7</v>
      </c>
      <c r="BJ576" s="20">
        <f t="shared" si="61"/>
        <v>49</v>
      </c>
      <c r="BK576" s="218">
        <f>IFERROR(SUM(DATA[[#This Row],[fs_fd_ttd]:[fend_fenf_ttd]]),0)</f>
        <v>84</v>
      </c>
      <c r="BL576" s="20" t="str">
        <f>IF(DATA[[#This Row],[fecha_fs]]&gt;0,TEXT(DATA[[#This Row],[fecha_fs]],"YYYY"),0)</f>
        <v>2025</v>
      </c>
      <c r="BM576" s="221" t="b">
        <v>1</v>
      </c>
      <c r="BN576" s="278">
        <f>COUNTIF(DATA[[#This Row],[tiempo_td]], "&lt;=15")</f>
        <v>0</v>
      </c>
      <c r="BO576" s="222"/>
    </row>
    <row r="577" spans="1:67" ht="30.6" customHeight="1" x14ac:dyDescent="0.25">
      <c r="A577" s="4">
        <v>20100055237</v>
      </c>
      <c r="B577" s="5" t="s">
        <v>21</v>
      </c>
      <c r="C577" s="52" t="s">
        <v>138</v>
      </c>
      <c r="D577" s="4" t="s">
        <v>139</v>
      </c>
      <c r="E577" s="5" t="s">
        <v>23</v>
      </c>
      <c r="F577" s="24">
        <v>45776</v>
      </c>
      <c r="G577" s="7" t="s">
        <v>113</v>
      </c>
      <c r="H577" s="25">
        <f t="shared" si="63"/>
        <v>1</v>
      </c>
      <c r="I577" s="67">
        <v>4436</v>
      </c>
      <c r="J577" s="8" t="s">
        <v>115</v>
      </c>
      <c r="K577" s="9" t="s">
        <v>121</v>
      </c>
      <c r="L577" s="10" t="s">
        <v>117</v>
      </c>
      <c r="M577" s="11">
        <v>140</v>
      </c>
      <c r="N577" s="12" t="s">
        <v>125</v>
      </c>
      <c r="O577" s="6">
        <v>45776</v>
      </c>
      <c r="P577" s="54">
        <v>3423</v>
      </c>
      <c r="Q577" s="14" t="s">
        <v>85</v>
      </c>
      <c r="R577" s="15"/>
      <c r="S577" s="15">
        <v>297.92</v>
      </c>
      <c r="T577" s="15">
        <f>DATA[[#This Row],[C. DF]]+DATA[[#This Row],[C.OPE.]]</f>
        <v>297.92</v>
      </c>
      <c r="U577" s="15">
        <f>DATA[[#This Row],[SUB TOTAL]]*0.18</f>
        <v>53.625599999999999</v>
      </c>
      <c r="V577" s="15">
        <f>IFERROR(ROUND(DATA[[#This Row],[SUB TOTAL]]+DATA[[#This Row],[IGV]],2),0)</f>
        <v>351.55</v>
      </c>
      <c r="W577" s="16" t="str">
        <f>IF(DATA[[#This Row],[VALORIZACIÓN ]]="-","NO CORRESPONDE",IF(OR(A577=20558226979,A577=10470707866,A577=20111157058,A577=20100226902),"NO CORRESPONDE",IF(J577="Emitida",IF(P577&gt;0,"EMITIDA","PENDIENTE"),"NO CORRESPONDE")))</f>
        <v>EMITIDA</v>
      </c>
      <c r="X577" s="29"/>
      <c r="Y577" s="17" t="s">
        <v>118</v>
      </c>
      <c r="Z577" s="30">
        <v>45812</v>
      </c>
      <c r="AA577" s="10" t="s">
        <v>150</v>
      </c>
      <c r="AB577" s="19">
        <v>104</v>
      </c>
      <c r="AC577" s="20">
        <v>30</v>
      </c>
      <c r="AD577" s="18">
        <f>DATA[[#This Row],[FECHA DE EMISION]]+DATA[[#This Row],[CONDICION DE PAGO]]</f>
        <v>45842</v>
      </c>
      <c r="AE577" s="23">
        <f>IF(DATA[[#This Row],[MONEDA]]="USD",VLOOKUP(DATA[[#This Row],[COMBINADA]],#REF!,11,0),1)</f>
        <v>1</v>
      </c>
      <c r="AF577" s="39" t="str">
        <f>IF(DATA[[#This Row],[SERIE2]]="-","NO CORRESPONDE",IF(W577="NO CORRESPONDE","NO CORRESPONDE",IF(Z577&gt;0,"FACTURADO","PENDIENTE")))</f>
        <v>FACTURADO</v>
      </c>
      <c r="AG577" s="27">
        <f>IFERROR(VLOOKUP(DATA[[#This Row],[COMBINADA]],#REF!,6,0),0)</f>
        <v>0</v>
      </c>
      <c r="AH577" s="125">
        <f>IFERROR(VLOOKUP(DATA[[#This Row],[COMBINADA]],#REF!,9,0),0)/COUNTIFS(DATA[COMBINADA],DATA[[#This Row],[COMBINADA]])</f>
        <v>0</v>
      </c>
      <c r="AI577" s="27">
        <f>IFERROR(VLOOKUP(DATA[[#This Row],[COMBINADA]],#REF!,6,0),0)</f>
        <v>0</v>
      </c>
      <c r="AJ577" s="125">
        <f>IFERROR(VLOOKUP(DATA[[#This Row],[COMBINADA]],#REF!,9,0),0)/COUNTIFS(DATA[COMBINADA],DATA[[#This Row],[COMBINADA]])</f>
        <v>0</v>
      </c>
      <c r="AK577" s="27">
        <f>IFERROR(VLOOKUP(DATA[[#This Row],[COMBINADA]],#REF!,6,0),0)</f>
        <v>0</v>
      </c>
      <c r="AL577" s="125">
        <f>IFERROR(VLOOKUP(DATA[[#This Row],[COMBINADA]],#REF!,9,0),0)/COUNTIFS(DATA[COMBINADA],DATA[[#This Row],[COMBINADA]])</f>
        <v>0</v>
      </c>
      <c r="AM577" s="27">
        <f>IFERROR(VLOOKUP(DATA[[#This Row],[COMBINADA]],#REF!,6,0),0)</f>
        <v>0</v>
      </c>
      <c r="AN577" s="125">
        <f>IFERROR(VLOOKUP(DATA[[#This Row],[COMBINADA]],#REF!,9,0),0)/COUNTIFS(DATA[COMBINADA],DATA[[#This Row],[COMBINADA]])</f>
        <v>0</v>
      </c>
      <c r="AO577" s="27">
        <f>IFERROR(VLOOKUP(DATA[[#This Row],[COMBINADA]],#REF!,6,0),0)</f>
        <v>0</v>
      </c>
      <c r="AP577" s="125">
        <f>IFERROR(VLOOKUP(DATA[[#This Row],[COMBINADA]],#REF!,9,0),0)/COUNTIFS(DATA[COMBINADA],DATA[[#This Row],[COMBINADA]])</f>
        <v>0</v>
      </c>
      <c r="AQ57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577" s="26" t="str">
        <f>IFERROR(IF(DATA[[#This Row],[estado_fact]]="FACTURADO",VLOOKUP(DATA[[#This Row],[SERIE2]]&amp;"-"&amp;DATA[[#This Row],[NUMERO]],#REF!,34,0),"NO CORRESPONDE"),"NO CORRESPONDE")</f>
        <v>NO CORRESPONDE</v>
      </c>
      <c r="AS577" s="22" t="str">
        <f>IF(DATA[[#This Row],[fecha_fs]]&gt;0,TEXT(DATA[[#This Row],[fecha_fs]],"Mmmm"),0)</f>
        <v>Abril</v>
      </c>
      <c r="AT577" s="22" t="str">
        <f>DATA[[#This Row],[SERIE2]]&amp;"-"&amp;DATA[[#This Row],[NUMERO]]</f>
        <v>FF01-104</v>
      </c>
      <c r="AU577" s="28">
        <f>DATA[[#This Row],[TOTAL]]*DATA[[#This Row],[T.C.]]</f>
        <v>351.55</v>
      </c>
      <c r="AV577" s="6">
        <f>DATA[[#This Row],[FECHA DE VAL.]]</f>
        <v>45776</v>
      </c>
      <c r="AW577" s="6">
        <f>DATA[[#This Row],[FECHA DE EMISION]]</f>
        <v>45812</v>
      </c>
      <c r="AX577" s="6">
        <f>DATA[[#This Row],[F1]]</f>
        <v>0</v>
      </c>
      <c r="AY577" s="20">
        <f>IF(AV577-DATA[[#This Row],[fecha_fs]]&lt;0,0,AV577-DATA[[#This Row],[fecha_fs]])</f>
        <v>0</v>
      </c>
      <c r="AZ577" s="20">
        <f t="shared" si="64"/>
        <v>36</v>
      </c>
      <c r="BA577" s="20">
        <f t="shared" si="65"/>
        <v>0</v>
      </c>
      <c r="BB577" s="195">
        <f>IFERROR(SUM(DATA[[#This Row],[fs_val_ttf]:[fact_pago_ttf]]),0)</f>
        <v>36</v>
      </c>
      <c r="BC577" s="185">
        <v>45776</v>
      </c>
      <c r="BD577" s="185">
        <v>45776</v>
      </c>
      <c r="BE577" s="185">
        <v>45782</v>
      </c>
      <c r="BF577" s="185">
        <v>45782</v>
      </c>
      <c r="BG577" s="20">
        <f>IFERROR(IF(BC577-DATA[[#This Row],[fecha_fs]]&lt;0,0,BC577-DATA[[#This Row],[fecha_fs]]),0)</f>
        <v>0</v>
      </c>
      <c r="BH577" s="20">
        <f t="shared" si="59"/>
        <v>0</v>
      </c>
      <c r="BI577" s="20">
        <f t="shared" si="60"/>
        <v>6</v>
      </c>
      <c r="BJ577" s="20">
        <f t="shared" si="61"/>
        <v>0</v>
      </c>
      <c r="BK577" s="218">
        <f>IFERROR(SUM(DATA[[#This Row],[fs_fd_ttd]:[fend_fenf_ttd]]),0)</f>
        <v>6</v>
      </c>
      <c r="BL577" s="20" t="str">
        <f>IF(DATA[[#This Row],[fecha_fs]]&gt;0,TEXT(DATA[[#This Row],[fecha_fs]],"YYYY"),0)</f>
        <v>2025</v>
      </c>
      <c r="BM577" s="221" t="b">
        <v>1</v>
      </c>
      <c r="BN577" s="278">
        <f>COUNTIF(DATA[[#This Row],[tiempo_td]], "&lt;=15")</f>
        <v>1</v>
      </c>
      <c r="BO577" s="222"/>
    </row>
    <row r="578" spans="1:67" ht="30.6" customHeight="1" x14ac:dyDescent="0.25">
      <c r="A578" s="4">
        <v>20454186002</v>
      </c>
      <c r="B578" s="5" t="s">
        <v>25</v>
      </c>
      <c r="C578" s="52" t="s">
        <v>18</v>
      </c>
      <c r="D578" s="4" t="s">
        <v>112</v>
      </c>
      <c r="E578" s="5" t="s">
        <v>1</v>
      </c>
      <c r="F578" s="24">
        <v>45775</v>
      </c>
      <c r="G578" s="7" t="s">
        <v>113</v>
      </c>
      <c r="H578" s="25">
        <f t="shared" si="63"/>
        <v>1</v>
      </c>
      <c r="I578" s="67">
        <v>4437</v>
      </c>
      <c r="J578" s="8" t="s">
        <v>115</v>
      </c>
      <c r="K578" s="9" t="s">
        <v>116</v>
      </c>
      <c r="L578" s="10" t="s">
        <v>117</v>
      </c>
      <c r="M578" s="11">
        <v>2140</v>
      </c>
      <c r="N578" s="12" t="s">
        <v>125</v>
      </c>
      <c r="O578" s="6">
        <v>45776</v>
      </c>
      <c r="P578" s="13">
        <v>3418</v>
      </c>
      <c r="Q578" s="14" t="s">
        <v>85</v>
      </c>
      <c r="R578" s="15">
        <f>DATA[[#This Row],[cantidad_fs]]*0.77</f>
        <v>1647.8</v>
      </c>
      <c r="S578" s="15">
        <v>977.07</v>
      </c>
      <c r="T578" s="15">
        <f>DATA[[#This Row],[C. DF]]+DATA[[#This Row],[C.OPE.]]</f>
        <v>2624.87</v>
      </c>
      <c r="U578" s="15">
        <f>DATA[[#This Row],[SUB TOTAL]]*0.18</f>
        <v>472.47659999999996</v>
      </c>
      <c r="V578" s="15">
        <f>IFERROR(ROUND(DATA[[#This Row],[SUB TOTAL]]+DATA[[#This Row],[IGV]],2),0)</f>
        <v>3097.35</v>
      </c>
      <c r="W578" s="16" t="str">
        <f>IF(DATA[[#This Row],[VALORIZACIÓN ]]="-","NO CORRESPONDE",IF(OR(A578=20558226979,A578=10470707866,A578=20111157058,A578=20100226902),"NO CORRESPONDE",IF(J578="Emitida",IF(P578&gt;0,"EMITIDA","PENDIENTE"),"NO CORRESPONDE")))</f>
        <v>EMITIDA</v>
      </c>
      <c r="X578" s="29"/>
      <c r="Y578" s="17" t="s">
        <v>118</v>
      </c>
      <c r="Z578" s="30">
        <v>45776</v>
      </c>
      <c r="AA578" s="10" t="s">
        <v>150</v>
      </c>
      <c r="AB578" s="19">
        <v>55</v>
      </c>
      <c r="AC578" s="20">
        <v>7</v>
      </c>
      <c r="AD578" s="18">
        <f>DATA[[#This Row],[FECHA DE EMISION]]+DATA[[#This Row],[CONDICION DE PAGO]]</f>
        <v>45783</v>
      </c>
      <c r="AE578" s="23">
        <f>IF(DATA[[#This Row],[MONEDA]]="USD",VLOOKUP(DATA[[#This Row],[COMBINADA]],#REF!,11,0),1)</f>
        <v>1</v>
      </c>
      <c r="AF578" s="39" t="str">
        <f>IF(DATA[[#This Row],[SERIE2]]="-","NO CORRESPONDE",IF(W578="NO CORRESPONDE","NO CORRESPONDE",IF(Z578&gt;0,"FACTURADO","PENDIENTE")))</f>
        <v>FACTURADO</v>
      </c>
      <c r="AG578" s="27">
        <f>IFERROR(VLOOKUP(DATA[[#This Row],[COMBINADA]],#REF!,6,0),0)</f>
        <v>0</v>
      </c>
      <c r="AH578" s="125">
        <f>IFERROR(VLOOKUP(DATA[[#This Row],[COMBINADA]],#REF!,9,0),0)/COUNTIFS(DATA[COMBINADA],DATA[[#This Row],[COMBINADA]])</f>
        <v>0</v>
      </c>
      <c r="AI578" s="27">
        <f>IFERROR(VLOOKUP(DATA[[#This Row],[COMBINADA]],#REF!,6,0),0)</f>
        <v>0</v>
      </c>
      <c r="AJ578" s="125">
        <f>IFERROR(VLOOKUP(DATA[[#This Row],[COMBINADA]],#REF!,9,0),0)/COUNTIFS(DATA[COMBINADA],DATA[[#This Row],[COMBINADA]])</f>
        <v>0</v>
      </c>
      <c r="AK578" s="27">
        <f>IFERROR(VLOOKUP(DATA[[#This Row],[COMBINADA]],#REF!,6,0),0)</f>
        <v>0</v>
      </c>
      <c r="AL578" s="125">
        <f>IFERROR(VLOOKUP(DATA[[#This Row],[COMBINADA]],#REF!,9,0),0)/COUNTIFS(DATA[COMBINADA],DATA[[#This Row],[COMBINADA]])</f>
        <v>0</v>
      </c>
      <c r="AM578" s="27">
        <f>IFERROR(VLOOKUP(DATA[[#This Row],[COMBINADA]],#REF!,6,0),0)</f>
        <v>0</v>
      </c>
      <c r="AN578" s="125">
        <f>IFERROR(VLOOKUP(DATA[[#This Row],[COMBINADA]],#REF!,9,0),0)/COUNTIFS(DATA[COMBINADA],DATA[[#This Row],[COMBINADA]])</f>
        <v>0</v>
      </c>
      <c r="AO578" s="27">
        <f>IFERROR(VLOOKUP(DATA[[#This Row],[COMBINADA]],#REF!,6,0),0)</f>
        <v>0</v>
      </c>
      <c r="AP578" s="125">
        <f>IFERROR(VLOOKUP(DATA[[#This Row],[COMBINADA]],#REF!,9,0),0)/COUNTIFS(DATA[COMBINADA],DATA[[#This Row],[COMBINADA]])</f>
        <v>0</v>
      </c>
      <c r="AQ57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3097.35</v>
      </c>
      <c r="AR578" s="26" t="str">
        <f>IFERROR(IF(DATA[[#This Row],[estado_fact]]="FACTURADO",VLOOKUP(DATA[[#This Row],[SERIE2]]&amp;"-"&amp;DATA[[#This Row],[NUMERO]],#REF!,34,0),"NO CORRESPONDE"),"NO CORRESPONDE")</f>
        <v>NO CORRESPONDE</v>
      </c>
      <c r="AS578" s="22" t="str">
        <f>IF(DATA[[#This Row],[fecha_fs]]&gt;0,TEXT(DATA[[#This Row],[fecha_fs]],"Mmmm"),0)</f>
        <v>Abril</v>
      </c>
      <c r="AT578" s="22" t="str">
        <f>DATA[[#This Row],[SERIE2]]&amp;"-"&amp;DATA[[#This Row],[NUMERO]]</f>
        <v>FF01-55</v>
      </c>
      <c r="AU578" s="28">
        <f>DATA[[#This Row],[TOTAL]]*DATA[[#This Row],[T.C.]]</f>
        <v>3097.35</v>
      </c>
      <c r="AV578" s="6">
        <f>DATA[[#This Row],[FECHA DE VAL.]]</f>
        <v>45776</v>
      </c>
      <c r="AW578" s="6">
        <f>DATA[[#This Row],[FECHA DE EMISION]]</f>
        <v>45776</v>
      </c>
      <c r="AX578" s="6">
        <f>DATA[[#This Row],[F1]]</f>
        <v>0</v>
      </c>
      <c r="AY578" s="20">
        <f>IF(AV578-DATA[[#This Row],[fecha_fs]]&lt;0,0,AV578-DATA[[#This Row],[fecha_fs]])</f>
        <v>1</v>
      </c>
      <c r="AZ578" s="20">
        <f t="shared" si="64"/>
        <v>0</v>
      </c>
      <c r="BA578" s="20">
        <f t="shared" si="65"/>
        <v>0</v>
      </c>
      <c r="BB578" s="195">
        <f>IFERROR(SUM(DATA[[#This Row],[fs_val_ttf]:[fact_pago_ttf]]),0)</f>
        <v>1</v>
      </c>
      <c r="BC578" s="185">
        <v>45789</v>
      </c>
      <c r="BD578" s="185">
        <v>45793</v>
      </c>
      <c r="BE578" s="185">
        <v>45796</v>
      </c>
      <c r="BF578" s="185">
        <v>45804</v>
      </c>
      <c r="BG578" s="20">
        <f>IFERROR(IF(BC578-DATA[[#This Row],[fecha_fs]]&lt;0,0,BC578-DATA[[#This Row],[fecha_fs]]),0)</f>
        <v>14</v>
      </c>
      <c r="BH578" s="20">
        <f t="shared" si="59"/>
        <v>4</v>
      </c>
      <c r="BI578" s="20">
        <f t="shared" si="60"/>
        <v>3</v>
      </c>
      <c r="BJ578" s="20">
        <f t="shared" si="61"/>
        <v>8</v>
      </c>
      <c r="BK578" s="218">
        <f>IFERROR(SUM(DATA[[#This Row],[fs_fd_ttd]:[fend_fenf_ttd]]),0)</f>
        <v>29</v>
      </c>
      <c r="BL578" s="20" t="str">
        <f>IF(DATA[[#This Row],[fecha_fs]]&gt;0,TEXT(DATA[[#This Row],[fecha_fs]],"YYYY"),0)</f>
        <v>2025</v>
      </c>
      <c r="BM578" s="221" t="b">
        <v>0</v>
      </c>
      <c r="BN578" s="278">
        <f>COUNTIF(DATA[[#This Row],[tiempo_td]], "&lt;=15")</f>
        <v>0</v>
      </c>
      <c r="BO578" s="222"/>
    </row>
    <row r="579" spans="1:67" ht="30.6" customHeight="1" x14ac:dyDescent="0.25">
      <c r="A579" s="4">
        <v>20496535066</v>
      </c>
      <c r="B579" s="5" t="s">
        <v>36</v>
      </c>
      <c r="C579" s="52" t="s">
        <v>230</v>
      </c>
      <c r="D579" s="4" t="s">
        <v>290</v>
      </c>
      <c r="E579" s="5" t="s">
        <v>294</v>
      </c>
      <c r="F579" s="24">
        <v>45776</v>
      </c>
      <c r="G579" s="7" t="s">
        <v>113</v>
      </c>
      <c r="H579" s="25">
        <f t="shared" si="63"/>
        <v>1</v>
      </c>
      <c r="I579" s="67">
        <v>4438</v>
      </c>
      <c r="J579" s="8" t="s">
        <v>115</v>
      </c>
      <c r="K579" s="9" t="s">
        <v>195</v>
      </c>
      <c r="L579" s="10" t="s">
        <v>117</v>
      </c>
      <c r="M579" s="11">
        <v>7950</v>
      </c>
      <c r="N579" s="12" t="s">
        <v>233</v>
      </c>
      <c r="O579" s="6">
        <v>45777</v>
      </c>
      <c r="P579" s="13">
        <v>3433</v>
      </c>
      <c r="Q579" s="14" t="s">
        <v>85</v>
      </c>
      <c r="R579" s="15">
        <f>DATA[[#This Row],[cantidad_fs]]*0.08</f>
        <v>636</v>
      </c>
      <c r="S579" s="15">
        <f>3426/2</f>
        <v>1713</v>
      </c>
      <c r="T579" s="15">
        <f>DATA[[#This Row],[C. DF]]+DATA[[#This Row],[C.OPE.]]</f>
        <v>2349</v>
      </c>
      <c r="U579" s="15">
        <f>DATA[[#This Row],[SUB TOTAL]]*0.18</f>
        <v>422.82</v>
      </c>
      <c r="V579" s="15">
        <f>IFERROR(ROUND(DATA[[#This Row],[SUB TOTAL]]+DATA[[#This Row],[IGV]],2),0)</f>
        <v>2771.82</v>
      </c>
      <c r="W579" s="16" t="str">
        <f>IF(DATA[[#This Row],[VALORIZACIÓN ]]="-","NO CORRESPONDE",IF(OR(A579=20558226979,A579=10470707866,A579=20111157058,A579=20100226902),"NO CORRESPONDE",IF(J579="Emitida",IF(P579&gt;0,"EMITIDA","PENDIENTE"),"NO CORRESPONDE")))</f>
        <v>EMITIDA</v>
      </c>
      <c r="X579" s="29" t="s">
        <v>231</v>
      </c>
      <c r="Y579" s="17" t="s">
        <v>118</v>
      </c>
      <c r="Z579" s="30">
        <v>45831</v>
      </c>
      <c r="AA579" s="10" t="s">
        <v>150</v>
      </c>
      <c r="AB579" s="19">
        <v>130</v>
      </c>
      <c r="AC579" s="20">
        <v>15</v>
      </c>
      <c r="AD579" s="18">
        <f>DATA[[#This Row],[FECHA DE EMISION]]+DATA[[#This Row],[CONDICION DE PAGO]]</f>
        <v>45846</v>
      </c>
      <c r="AE579" s="23">
        <f>IF(DATA[[#This Row],[MONEDA]]="USD",VLOOKUP(DATA[[#This Row],[COMBINADA]],#REF!,11,0),1)</f>
        <v>1</v>
      </c>
      <c r="AF579" s="39" t="str">
        <f>IF(DATA[[#This Row],[SERIE2]]="-","NO CORRESPONDE",IF(W579="NO CORRESPONDE","NO CORRESPONDE",IF(Z579&gt;0,"FACTURADO","PENDIENTE")))</f>
        <v>FACTURADO</v>
      </c>
      <c r="AG579" s="27">
        <f>IFERROR(VLOOKUP(DATA[[#This Row],[COMBINADA]],#REF!,6,0),0)</f>
        <v>0</v>
      </c>
      <c r="AH579" s="125">
        <f>IFERROR(VLOOKUP(DATA[[#This Row],[COMBINADA]],#REF!,9,0),0)/COUNTIFS(DATA[COMBINADA],DATA[[#This Row],[COMBINADA]])</f>
        <v>0</v>
      </c>
      <c r="AI579" s="27">
        <f>IFERROR(VLOOKUP(DATA[[#This Row],[COMBINADA]],#REF!,6,0),0)</f>
        <v>0</v>
      </c>
      <c r="AJ579" s="125">
        <f>IFERROR(VLOOKUP(DATA[[#This Row],[COMBINADA]],#REF!,9,0),0)/COUNTIFS(DATA[COMBINADA],DATA[[#This Row],[COMBINADA]])</f>
        <v>0</v>
      </c>
      <c r="AK579" s="27">
        <f>IFERROR(VLOOKUP(DATA[[#This Row],[COMBINADA]],#REF!,6,0),0)</f>
        <v>0</v>
      </c>
      <c r="AL579" s="125">
        <f>IFERROR(VLOOKUP(DATA[[#This Row],[COMBINADA]],#REF!,9,0),0)/COUNTIFS(DATA[COMBINADA],DATA[[#This Row],[COMBINADA]])</f>
        <v>0</v>
      </c>
      <c r="AM579" s="27">
        <f>IFERROR(VLOOKUP(DATA[[#This Row],[COMBINADA]],#REF!,6,0),0)</f>
        <v>0</v>
      </c>
      <c r="AN579" s="125">
        <f>IFERROR(VLOOKUP(DATA[[#This Row],[COMBINADA]],#REF!,9,0),0)/COUNTIFS(DATA[COMBINADA],DATA[[#This Row],[COMBINADA]])</f>
        <v>0</v>
      </c>
      <c r="AO579" s="27">
        <f>IFERROR(VLOOKUP(DATA[[#This Row],[COMBINADA]],#REF!,6,0),0)</f>
        <v>0</v>
      </c>
      <c r="AP579" s="125">
        <f>IFERROR(VLOOKUP(DATA[[#This Row],[COMBINADA]],#REF!,9,0),0)/COUNTIFS(DATA[COMBINADA],DATA[[#This Row],[COMBINADA]])</f>
        <v>0</v>
      </c>
      <c r="AQ57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3831.7899999999995</v>
      </c>
      <c r="AR579" s="26" t="str">
        <f>IFERROR(IF(DATA[[#This Row],[estado_fact]]="FACTURADO",VLOOKUP(DATA[[#This Row],[SERIE2]]&amp;"-"&amp;DATA[[#This Row],[NUMERO]],#REF!,34,0),"NO CORRESPONDE"),"NO CORRESPONDE")</f>
        <v>NO CORRESPONDE</v>
      </c>
      <c r="AS579" s="22" t="str">
        <f>IF(DATA[[#This Row],[fecha_fs]]&gt;0,TEXT(DATA[[#This Row],[fecha_fs]],"Mmmm"),0)</f>
        <v>Abril</v>
      </c>
      <c r="AT579" s="22" t="str">
        <f>DATA[[#This Row],[SERIE2]]&amp;"-"&amp;DATA[[#This Row],[NUMERO]]</f>
        <v>FF01-130</v>
      </c>
      <c r="AU579" s="28">
        <f>DATA[[#This Row],[TOTAL]]*DATA[[#This Row],[T.C.]]</f>
        <v>2771.82</v>
      </c>
      <c r="AV579" s="6">
        <f>DATA[[#This Row],[FECHA DE VAL.]]</f>
        <v>45777</v>
      </c>
      <c r="AW579" s="6">
        <f>DATA[[#This Row],[FECHA DE EMISION]]</f>
        <v>45831</v>
      </c>
      <c r="AX579" s="6">
        <f>DATA[[#This Row],[F1]]</f>
        <v>0</v>
      </c>
      <c r="AY579" s="20">
        <f>IF(AV579-DATA[[#This Row],[fecha_fs]]&lt;0,0,AV579-DATA[[#This Row],[fecha_fs]])</f>
        <v>1</v>
      </c>
      <c r="AZ579" s="20">
        <f t="shared" si="64"/>
        <v>54</v>
      </c>
      <c r="BA579" s="20">
        <f t="shared" si="65"/>
        <v>0</v>
      </c>
      <c r="BB579" s="195">
        <f>IFERROR(SUM(DATA[[#This Row],[fs_val_ttf]:[fact_pago_ttf]]),0)</f>
        <v>55</v>
      </c>
      <c r="BC579" s="185">
        <v>45783</v>
      </c>
      <c r="BD579" s="185">
        <v>45789</v>
      </c>
      <c r="BE579" s="185">
        <v>45797</v>
      </c>
      <c r="BF579" s="185">
        <v>45798</v>
      </c>
      <c r="BG579" s="20">
        <f>IFERROR(IF(BC579-DATA[[#This Row],[fecha_fs]]&lt;0,0,BC579-DATA[[#This Row],[fecha_fs]]),0)</f>
        <v>7</v>
      </c>
      <c r="BH579" s="20">
        <f t="shared" si="59"/>
        <v>6</v>
      </c>
      <c r="BI579" s="20">
        <f t="shared" si="60"/>
        <v>8</v>
      </c>
      <c r="BJ579" s="20">
        <f t="shared" si="61"/>
        <v>1</v>
      </c>
      <c r="BK579" s="218">
        <f>IFERROR(SUM(DATA[[#This Row],[fs_fd_ttd]:[fend_fenf_ttd]]),0)</f>
        <v>22</v>
      </c>
      <c r="BL579" s="20" t="str">
        <f>IF(DATA[[#This Row],[fecha_fs]]&gt;0,TEXT(DATA[[#This Row],[fecha_fs]],"YYYY"),0)</f>
        <v>2025</v>
      </c>
      <c r="BM579" s="221" t="b">
        <v>1</v>
      </c>
      <c r="BN579" s="278">
        <f>COUNTIF(DATA[[#This Row],[tiempo_td]], "&lt;=15")</f>
        <v>0</v>
      </c>
      <c r="BO579" s="222"/>
    </row>
    <row r="580" spans="1:67" ht="30.6" customHeight="1" x14ac:dyDescent="0.25">
      <c r="A580" s="4">
        <v>20417573705</v>
      </c>
      <c r="B580" s="5" t="s">
        <v>75</v>
      </c>
      <c r="C580" s="52" t="s">
        <v>18</v>
      </c>
      <c r="D580" s="4" t="s">
        <v>112</v>
      </c>
      <c r="E580" s="5" t="s">
        <v>1</v>
      </c>
      <c r="F580" s="24">
        <v>45775</v>
      </c>
      <c r="G580" s="7" t="s">
        <v>113</v>
      </c>
      <c r="H580" s="25">
        <f t="shared" si="63"/>
        <v>1</v>
      </c>
      <c r="I580" s="67">
        <v>4439</v>
      </c>
      <c r="J580" s="8" t="s">
        <v>115</v>
      </c>
      <c r="K580" s="9" t="s">
        <v>116</v>
      </c>
      <c r="L580" s="10" t="s">
        <v>117</v>
      </c>
      <c r="M580" s="11">
        <v>2530</v>
      </c>
      <c r="N580" s="12" t="s">
        <v>243</v>
      </c>
      <c r="O580" s="6">
        <v>45777</v>
      </c>
      <c r="P580" s="13">
        <v>3429</v>
      </c>
      <c r="Q580" s="14" t="s">
        <v>85</v>
      </c>
      <c r="R580" s="15">
        <f>DATA[[#This Row],[cantidad_fs]]*0.35</f>
        <v>885.5</v>
      </c>
      <c r="S580" s="15">
        <v>3024.25</v>
      </c>
      <c r="T580" s="15">
        <f>DATA[[#This Row],[C. DF]]+DATA[[#This Row],[C.OPE.]]</f>
        <v>3909.75</v>
      </c>
      <c r="U580" s="15">
        <f>DATA[[#This Row],[SUB TOTAL]]*0.18</f>
        <v>703.755</v>
      </c>
      <c r="V580" s="15">
        <f>IFERROR(ROUND(DATA[[#This Row],[SUB TOTAL]]+DATA[[#This Row],[IGV]],2),0)</f>
        <v>4613.51</v>
      </c>
      <c r="W580" s="16" t="str">
        <f>IF(DATA[[#This Row],[VALORIZACIÓN ]]="-","NO CORRESPONDE",IF(OR(A580=20558226979,A580=10470707866,A580=20111157058,A580=20100226902),"NO CORRESPONDE",IF(J580="Emitida",IF(P580&gt;0,"EMITIDA","PENDIENTE"),"NO CORRESPONDE")))</f>
        <v>EMITIDA</v>
      </c>
      <c r="X580" s="29"/>
      <c r="Y580" s="17" t="s">
        <v>118</v>
      </c>
      <c r="Z580" s="30">
        <v>45803</v>
      </c>
      <c r="AA580" s="10" t="s">
        <v>150</v>
      </c>
      <c r="AB580" s="19">
        <v>90</v>
      </c>
      <c r="AC580" s="20">
        <v>30</v>
      </c>
      <c r="AD580" s="18">
        <f>DATA[[#This Row],[FECHA DE EMISION]]+DATA[[#This Row],[CONDICION DE PAGO]]</f>
        <v>45833</v>
      </c>
      <c r="AE580" s="23">
        <f>IF(DATA[[#This Row],[MONEDA]]="USD",VLOOKUP(DATA[[#This Row],[COMBINADA]],#REF!,11,0),1)</f>
        <v>1</v>
      </c>
      <c r="AF580" s="39" t="str">
        <f>IF(DATA[[#This Row],[SERIE2]]="-","NO CORRESPONDE",IF(W580="NO CORRESPONDE","NO CORRESPONDE",IF(Z580&gt;0,"FACTURADO","PENDIENTE")))</f>
        <v>FACTURADO</v>
      </c>
      <c r="AG580" s="27">
        <f>IFERROR(VLOOKUP(DATA[[#This Row],[COMBINADA]],#REF!,6,0),0)</f>
        <v>0</v>
      </c>
      <c r="AH580" s="125">
        <f>IFERROR(VLOOKUP(DATA[[#This Row],[COMBINADA]],#REF!,9,0),0)/COUNTIFS(DATA[COMBINADA],DATA[[#This Row],[COMBINADA]])</f>
        <v>0</v>
      </c>
      <c r="AI580" s="27">
        <f>IFERROR(VLOOKUP(DATA[[#This Row],[COMBINADA]],#REF!,6,0),0)</f>
        <v>0</v>
      </c>
      <c r="AJ580" s="125">
        <f>IFERROR(VLOOKUP(DATA[[#This Row],[COMBINADA]],#REF!,9,0),0)/COUNTIFS(DATA[COMBINADA],DATA[[#This Row],[COMBINADA]])</f>
        <v>0</v>
      </c>
      <c r="AK580" s="27">
        <f>IFERROR(VLOOKUP(DATA[[#This Row],[COMBINADA]],#REF!,6,0),0)</f>
        <v>0</v>
      </c>
      <c r="AL580" s="125">
        <f>IFERROR(VLOOKUP(DATA[[#This Row],[COMBINADA]],#REF!,9,0),0)/COUNTIFS(DATA[COMBINADA],DATA[[#This Row],[COMBINADA]])</f>
        <v>0</v>
      </c>
      <c r="AM580" s="27">
        <f>IFERROR(VLOOKUP(DATA[[#This Row],[COMBINADA]],#REF!,6,0),0)</f>
        <v>0</v>
      </c>
      <c r="AN580" s="125">
        <f>IFERROR(VLOOKUP(DATA[[#This Row],[COMBINADA]],#REF!,9,0),0)/COUNTIFS(DATA[COMBINADA],DATA[[#This Row],[COMBINADA]])</f>
        <v>0</v>
      </c>
      <c r="AO580" s="27">
        <f>IFERROR(VLOOKUP(DATA[[#This Row],[COMBINADA]],#REF!,6,0),0)</f>
        <v>0</v>
      </c>
      <c r="AP580" s="125">
        <f>IFERROR(VLOOKUP(DATA[[#This Row],[COMBINADA]],#REF!,9,0),0)/COUNTIFS(DATA[COMBINADA],DATA[[#This Row],[COMBINADA]])</f>
        <v>0</v>
      </c>
      <c r="AQ58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4613.51</v>
      </c>
      <c r="AR580" s="26" t="str">
        <f>IFERROR(IF(DATA[[#This Row],[estado_fact]]="FACTURADO",VLOOKUP(DATA[[#This Row],[SERIE2]]&amp;"-"&amp;DATA[[#This Row],[NUMERO]],#REF!,34,0),"NO CORRESPONDE"),"NO CORRESPONDE")</f>
        <v>NO CORRESPONDE</v>
      </c>
      <c r="AS580" s="22" t="str">
        <f>IF(DATA[[#This Row],[fecha_fs]]&gt;0,TEXT(DATA[[#This Row],[fecha_fs]],"Mmmm"),0)</f>
        <v>Abril</v>
      </c>
      <c r="AT580" s="22" t="str">
        <f>DATA[[#This Row],[SERIE2]]&amp;"-"&amp;DATA[[#This Row],[NUMERO]]</f>
        <v>FF01-90</v>
      </c>
      <c r="AU580" s="28">
        <f>DATA[[#This Row],[TOTAL]]*DATA[[#This Row],[T.C.]]</f>
        <v>4613.51</v>
      </c>
      <c r="AV580" s="6">
        <f>DATA[[#This Row],[FECHA DE VAL.]]</f>
        <v>45777</v>
      </c>
      <c r="AW580" s="6">
        <f>DATA[[#This Row],[FECHA DE EMISION]]</f>
        <v>45803</v>
      </c>
      <c r="AX580" s="6">
        <f>DATA[[#This Row],[F1]]</f>
        <v>0</v>
      </c>
      <c r="AY580" s="20">
        <f>IF(AV580-DATA[[#This Row],[fecha_fs]]&lt;0,0,AV580-DATA[[#This Row],[fecha_fs]])</f>
        <v>2</v>
      </c>
      <c r="AZ580" s="20">
        <f t="shared" si="64"/>
        <v>26</v>
      </c>
      <c r="BA580" s="20">
        <f t="shared" si="65"/>
        <v>0</v>
      </c>
      <c r="BB580" s="195">
        <f>IFERROR(SUM(DATA[[#This Row],[fs_val_ttf]:[fact_pago_ttf]]),0)</f>
        <v>28</v>
      </c>
      <c r="BC580" s="185">
        <v>45789</v>
      </c>
      <c r="BD580" s="185">
        <v>45793</v>
      </c>
      <c r="BE580" s="185">
        <v>45796</v>
      </c>
      <c r="BF580" s="185">
        <v>45798</v>
      </c>
      <c r="BG580" s="20">
        <f>IFERROR(IF(BC580-DATA[[#This Row],[fecha_fs]]&lt;0,0,BC580-DATA[[#This Row],[fecha_fs]]),0)</f>
        <v>14</v>
      </c>
      <c r="BH580" s="20">
        <f t="shared" si="59"/>
        <v>4</v>
      </c>
      <c r="BI580" s="20">
        <f t="shared" si="60"/>
        <v>3</v>
      </c>
      <c r="BJ580" s="20">
        <f t="shared" si="61"/>
        <v>2</v>
      </c>
      <c r="BK580" s="218">
        <f>IFERROR(SUM(DATA[[#This Row],[fs_fd_ttd]:[fend_fenf_ttd]]),0)</f>
        <v>23</v>
      </c>
      <c r="BL580" s="20" t="str">
        <f>IF(DATA[[#This Row],[fecha_fs]]&gt;0,TEXT(DATA[[#This Row],[fecha_fs]],"YYYY"),0)</f>
        <v>2025</v>
      </c>
      <c r="BM580" s="221" t="b">
        <v>1</v>
      </c>
      <c r="BN580" s="278">
        <f>COUNTIF(DATA[[#This Row],[tiempo_td]], "&lt;=15")</f>
        <v>0</v>
      </c>
      <c r="BO580" s="222"/>
    </row>
    <row r="581" spans="1:67" ht="30.6" customHeight="1" x14ac:dyDescent="0.25">
      <c r="A581" s="4">
        <v>20141637941</v>
      </c>
      <c r="B581" s="5" t="s">
        <v>79</v>
      </c>
      <c r="C581" s="52" t="s">
        <v>18</v>
      </c>
      <c r="D581" s="4" t="s">
        <v>120</v>
      </c>
      <c r="E581" s="5" t="s">
        <v>3</v>
      </c>
      <c r="F581" s="24">
        <v>45777</v>
      </c>
      <c r="G581" s="7" t="s">
        <v>113</v>
      </c>
      <c r="H581" s="25">
        <f t="shared" si="63"/>
        <v>1</v>
      </c>
      <c r="I581" s="67">
        <v>4440</v>
      </c>
      <c r="J581" s="8" t="s">
        <v>115</v>
      </c>
      <c r="K581" s="9" t="s">
        <v>121</v>
      </c>
      <c r="L581" s="10" t="s">
        <v>117</v>
      </c>
      <c r="M581" s="11">
        <v>1150</v>
      </c>
      <c r="N581" s="12" t="s">
        <v>244</v>
      </c>
      <c r="O581" s="6">
        <v>45777</v>
      </c>
      <c r="P581" s="68">
        <v>3431</v>
      </c>
      <c r="Q581" s="14" t="s">
        <v>85</v>
      </c>
      <c r="R581" s="15">
        <f>70+(DATA[[#This Row],[cantidad_fs]]-1000)*0.1</f>
        <v>85</v>
      </c>
      <c r="S581" s="15">
        <v>517</v>
      </c>
      <c r="T581" s="15">
        <f>DATA[[#This Row],[C. DF]]+DATA[[#This Row],[C.OPE.]]</f>
        <v>602</v>
      </c>
      <c r="U581" s="15">
        <f>DATA[[#This Row],[SUB TOTAL]]*0.18</f>
        <v>108.36</v>
      </c>
      <c r="V581" s="15">
        <f>IFERROR(ROUND(DATA[[#This Row],[SUB TOTAL]]+DATA[[#This Row],[IGV]],2),0)</f>
        <v>710.36</v>
      </c>
      <c r="W581" s="16" t="str">
        <f>IF(DATA[[#This Row],[VALORIZACIÓN ]]="-","NO CORRESPONDE",IF(OR(A581=20558226979,A581=10470707866,A581=20111157058,A581=20100226902),"NO CORRESPONDE",IF(J581="Emitida",IF(P581&gt;0,"EMITIDA","PENDIENTE"),"NO CORRESPONDE")))</f>
        <v>EMITIDA</v>
      </c>
      <c r="X581" s="29"/>
      <c r="Y581" s="17" t="s">
        <v>118</v>
      </c>
      <c r="Z581" s="30">
        <v>45783</v>
      </c>
      <c r="AA581" s="10" t="s">
        <v>150</v>
      </c>
      <c r="AB581" s="19">
        <v>71</v>
      </c>
      <c r="AC581" s="20">
        <v>30</v>
      </c>
      <c r="AD581" s="18">
        <f>DATA[[#This Row],[FECHA DE EMISION]]+DATA[[#This Row],[CONDICION DE PAGO]]</f>
        <v>45813</v>
      </c>
      <c r="AE581" s="23">
        <f>IF(DATA[[#This Row],[MONEDA]]="USD",VLOOKUP(DATA[[#This Row],[COMBINADA]],#REF!,11,0),1)</f>
        <v>1</v>
      </c>
      <c r="AF581" s="39" t="str">
        <f>IF(DATA[[#This Row],[SERIE2]]="-","NO CORRESPONDE",IF(W581="NO CORRESPONDE","NO CORRESPONDE",IF(Z581&gt;0,"FACTURADO","PENDIENTE")))</f>
        <v>FACTURADO</v>
      </c>
      <c r="AG581" s="27">
        <f>IFERROR(VLOOKUP(DATA[[#This Row],[COMBINADA]],#REF!,6,0),0)</f>
        <v>0</v>
      </c>
      <c r="AH581" s="125">
        <f>IFERROR(VLOOKUP(DATA[[#This Row],[COMBINADA]],#REF!,9,0),0)/COUNTIFS(DATA[COMBINADA],DATA[[#This Row],[COMBINADA]])</f>
        <v>0</v>
      </c>
      <c r="AI581" s="27">
        <f>IFERROR(VLOOKUP(DATA[[#This Row],[COMBINADA]],#REF!,6,0),0)</f>
        <v>0</v>
      </c>
      <c r="AJ581" s="125">
        <f>IFERROR(VLOOKUP(DATA[[#This Row],[COMBINADA]],#REF!,9,0),0)/COUNTIFS(DATA[COMBINADA],DATA[[#This Row],[COMBINADA]])</f>
        <v>0</v>
      </c>
      <c r="AK581" s="27">
        <f>IFERROR(VLOOKUP(DATA[[#This Row],[COMBINADA]],#REF!,6,0),0)</f>
        <v>0</v>
      </c>
      <c r="AL581" s="125">
        <f>IFERROR(VLOOKUP(DATA[[#This Row],[COMBINADA]],#REF!,9,0),0)/COUNTIFS(DATA[COMBINADA],DATA[[#This Row],[COMBINADA]])</f>
        <v>0</v>
      </c>
      <c r="AM581" s="27">
        <f>IFERROR(VLOOKUP(DATA[[#This Row],[COMBINADA]],#REF!,6,0),0)</f>
        <v>0</v>
      </c>
      <c r="AN581" s="125">
        <f>IFERROR(VLOOKUP(DATA[[#This Row],[COMBINADA]],#REF!,9,0),0)/COUNTIFS(DATA[COMBINADA],DATA[[#This Row],[COMBINADA]])</f>
        <v>0</v>
      </c>
      <c r="AO581" s="27">
        <f>IFERROR(VLOOKUP(DATA[[#This Row],[COMBINADA]],#REF!,6,0),0)</f>
        <v>0</v>
      </c>
      <c r="AP581" s="125">
        <f>IFERROR(VLOOKUP(DATA[[#This Row],[COMBINADA]],#REF!,9,0),0)/COUNTIFS(DATA[COMBINADA],DATA[[#This Row],[COMBINADA]])</f>
        <v>0</v>
      </c>
      <c r="AQ58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708.59</v>
      </c>
      <c r="AR581" s="26" t="str">
        <f>IFERROR(IF(DATA[[#This Row],[estado_fact]]="FACTURADO",VLOOKUP(DATA[[#This Row],[SERIE2]]&amp;"-"&amp;DATA[[#This Row],[NUMERO]],#REF!,34,0),"NO CORRESPONDE"),"NO CORRESPONDE")</f>
        <v>NO CORRESPONDE</v>
      </c>
      <c r="AS581" s="22" t="str">
        <f>IF(DATA[[#This Row],[fecha_fs]]&gt;0,TEXT(DATA[[#This Row],[fecha_fs]],"Mmmm"),0)</f>
        <v>Abril</v>
      </c>
      <c r="AT581" s="22" t="str">
        <f>DATA[[#This Row],[SERIE2]]&amp;"-"&amp;DATA[[#This Row],[NUMERO]]</f>
        <v>FF01-71</v>
      </c>
      <c r="AU581" s="28">
        <f>DATA[[#This Row],[TOTAL]]*DATA[[#This Row],[T.C.]]</f>
        <v>710.36</v>
      </c>
      <c r="AV581" s="6">
        <f>DATA[[#This Row],[FECHA DE VAL.]]</f>
        <v>45777</v>
      </c>
      <c r="AW581" s="6">
        <f>DATA[[#This Row],[FECHA DE EMISION]]</f>
        <v>45783</v>
      </c>
      <c r="AX581" s="6">
        <f>DATA[[#This Row],[F1]]</f>
        <v>0</v>
      </c>
      <c r="AY581" s="20">
        <f>IF(AV581-DATA[[#This Row],[fecha_fs]]&lt;0,0,AV581-DATA[[#This Row],[fecha_fs]])</f>
        <v>0</v>
      </c>
      <c r="AZ581" s="20">
        <f t="shared" si="64"/>
        <v>6</v>
      </c>
      <c r="BA581" s="20">
        <f t="shared" si="65"/>
        <v>0</v>
      </c>
      <c r="BB581" s="195">
        <f>IFERROR(SUM(DATA[[#This Row],[fs_val_ttf]:[fact_pago_ttf]]),0)</f>
        <v>6</v>
      </c>
      <c r="BC581" s="185">
        <v>45777</v>
      </c>
      <c r="BD581" s="185">
        <v>45777</v>
      </c>
      <c r="BE581" s="185">
        <v>45783</v>
      </c>
      <c r="BF581" s="185">
        <v>45783</v>
      </c>
      <c r="BG581" s="20">
        <f>IFERROR(IF(BC581-DATA[[#This Row],[fecha_fs]]&lt;0,0,BC581-DATA[[#This Row],[fecha_fs]]),0)</f>
        <v>0</v>
      </c>
      <c r="BH581" s="20">
        <f t="shared" si="59"/>
        <v>0</v>
      </c>
      <c r="BI581" s="20">
        <f t="shared" si="60"/>
        <v>6</v>
      </c>
      <c r="BJ581" s="20">
        <f t="shared" si="61"/>
        <v>0</v>
      </c>
      <c r="BK581" s="218">
        <f>IFERROR(SUM(DATA[[#This Row],[fs_fd_ttd]:[fend_fenf_ttd]]),0)</f>
        <v>6</v>
      </c>
      <c r="BL581" s="20" t="str">
        <f>IF(DATA[[#This Row],[fecha_fs]]&gt;0,TEXT(DATA[[#This Row],[fecha_fs]],"YYYY"),0)</f>
        <v>2025</v>
      </c>
      <c r="BM581" s="221" t="b">
        <v>1</v>
      </c>
      <c r="BN581" s="278">
        <f>COUNTIF(DATA[[#This Row],[tiempo_td]], "&lt;=15")</f>
        <v>1</v>
      </c>
      <c r="BO581" s="222"/>
    </row>
    <row r="582" spans="1:67" ht="30.6" customHeight="1" x14ac:dyDescent="0.25">
      <c r="A582" s="4">
        <v>20100211115</v>
      </c>
      <c r="B582" s="5" t="s">
        <v>41</v>
      </c>
      <c r="C582" s="52" t="s">
        <v>18</v>
      </c>
      <c r="D582" s="4" t="s">
        <v>120</v>
      </c>
      <c r="E582" s="5" t="s">
        <v>3</v>
      </c>
      <c r="F582" s="24">
        <v>45777</v>
      </c>
      <c r="G582" s="7" t="s">
        <v>113</v>
      </c>
      <c r="H582" s="25">
        <f t="shared" si="63"/>
        <v>1</v>
      </c>
      <c r="I582" s="67">
        <v>4441</v>
      </c>
      <c r="J582" s="8" t="s">
        <v>115</v>
      </c>
      <c r="K582" s="9" t="s">
        <v>121</v>
      </c>
      <c r="L582" s="10" t="s">
        <v>117</v>
      </c>
      <c r="M582" s="11">
        <v>90</v>
      </c>
      <c r="N582" s="112" t="s">
        <v>200</v>
      </c>
      <c r="O582" s="6">
        <v>45803</v>
      </c>
      <c r="P582" s="115">
        <v>3455</v>
      </c>
      <c r="Q582" s="14" t="s">
        <v>85</v>
      </c>
      <c r="R582" s="15"/>
      <c r="S582" s="15">
        <f>(DATA[[#This Row],[cantidad_fs]]*4.37)</f>
        <v>393.3</v>
      </c>
      <c r="T582" s="15">
        <f>DATA[[#This Row],[C. DF]]+DATA[[#This Row],[C.OPE.]]</f>
        <v>393.3</v>
      </c>
      <c r="U582" s="15">
        <f>DATA[[#This Row],[SUB TOTAL]]*0.18</f>
        <v>70.793999999999997</v>
      </c>
      <c r="V582" s="15">
        <f>IFERROR(ROUND(DATA[[#This Row],[SUB TOTAL]]+DATA[[#This Row],[IGV]],2),0)</f>
        <v>464.09</v>
      </c>
      <c r="W582" s="16" t="str">
        <f>IF(DATA[[#This Row],[VALORIZACIÓN ]]="-","NO CORRESPONDE",IF(OR(A582=20558226979,A582=10470707866,A582=20111157058,A582=20100226902),"NO CORRESPONDE",IF(J582="Emitida",IF(P582&gt;0,"EMITIDA","PENDIENTE"),"NO CORRESPONDE")))</f>
        <v>EMITIDA</v>
      </c>
      <c r="X582" s="29" t="s">
        <v>245</v>
      </c>
      <c r="Y582" s="17" t="s">
        <v>118</v>
      </c>
      <c r="Z582" s="30">
        <v>45804</v>
      </c>
      <c r="AA582" s="10" t="s">
        <v>150</v>
      </c>
      <c r="AB582" s="19">
        <v>94</v>
      </c>
      <c r="AC582" s="20">
        <v>30</v>
      </c>
      <c r="AD582" s="18">
        <f>DATA[[#This Row],[FECHA DE EMISION]]+DATA[[#This Row],[CONDICION DE PAGO]]</f>
        <v>45834</v>
      </c>
      <c r="AE582" s="23">
        <f>IF(DATA[[#This Row],[MONEDA]]="USD",VLOOKUP(DATA[[#This Row],[COMBINADA]],#REF!,11,0),1)</f>
        <v>1</v>
      </c>
      <c r="AF582" s="39" t="str">
        <f>IF(DATA[[#This Row],[SERIE2]]="-","NO CORRESPONDE",IF(W582="NO CORRESPONDE","NO CORRESPONDE",IF(Z582&gt;0,"FACTURADO","PENDIENTE")))</f>
        <v>FACTURADO</v>
      </c>
      <c r="AG582" s="27">
        <f>IFERROR(VLOOKUP(DATA[[#This Row],[COMBINADA]],#REF!,6,0),0)</f>
        <v>0</v>
      </c>
      <c r="AH582" s="125">
        <f>IFERROR(VLOOKUP(DATA[[#This Row],[COMBINADA]],#REF!,9,0),0)/COUNTIFS(DATA[COMBINADA],DATA[[#This Row],[COMBINADA]])</f>
        <v>0</v>
      </c>
      <c r="AI582" s="27">
        <f>IFERROR(VLOOKUP(DATA[[#This Row],[COMBINADA]],#REF!,6,0),0)</f>
        <v>0</v>
      </c>
      <c r="AJ582" s="125">
        <f>IFERROR(VLOOKUP(DATA[[#This Row],[COMBINADA]],#REF!,9,0),0)/COUNTIFS(DATA[COMBINADA],DATA[[#This Row],[COMBINADA]])</f>
        <v>0</v>
      </c>
      <c r="AK582" s="27">
        <f>IFERROR(VLOOKUP(DATA[[#This Row],[COMBINADA]],#REF!,6,0),0)</f>
        <v>0</v>
      </c>
      <c r="AL582" s="125">
        <f>IFERROR(VLOOKUP(DATA[[#This Row],[COMBINADA]],#REF!,9,0),0)/COUNTIFS(DATA[COMBINADA],DATA[[#This Row],[COMBINADA]])</f>
        <v>0</v>
      </c>
      <c r="AM582" s="27">
        <f>IFERROR(VLOOKUP(DATA[[#This Row],[COMBINADA]],#REF!,6,0),0)</f>
        <v>0</v>
      </c>
      <c r="AN582" s="125">
        <f>IFERROR(VLOOKUP(DATA[[#This Row],[COMBINADA]],#REF!,9,0),0)/COUNTIFS(DATA[COMBINADA],DATA[[#This Row],[COMBINADA]])</f>
        <v>0</v>
      </c>
      <c r="AO582" s="27">
        <f>IFERROR(VLOOKUP(DATA[[#This Row],[COMBINADA]],#REF!,6,0),0)</f>
        <v>0</v>
      </c>
      <c r="AP582" s="125">
        <f>IFERROR(VLOOKUP(DATA[[#This Row],[COMBINADA]],#REF!,9,0),0)/COUNTIFS(DATA[COMBINADA],DATA[[#This Row],[COMBINADA]])</f>
        <v>0</v>
      </c>
      <c r="AQ58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582" s="26" t="str">
        <f>IFERROR(IF(DATA[[#This Row],[estado_fact]]="FACTURADO",VLOOKUP(DATA[[#This Row],[SERIE2]]&amp;"-"&amp;DATA[[#This Row],[NUMERO]],#REF!,34,0),"NO CORRESPONDE"),"NO CORRESPONDE")</f>
        <v>NO CORRESPONDE</v>
      </c>
      <c r="AS582" s="22" t="str">
        <f>IF(DATA[[#This Row],[fecha_fs]]&gt;0,TEXT(DATA[[#This Row],[fecha_fs]],"Mmmm"),0)</f>
        <v>Abril</v>
      </c>
      <c r="AT582" s="22" t="str">
        <f>DATA[[#This Row],[SERIE2]]&amp;"-"&amp;DATA[[#This Row],[NUMERO]]</f>
        <v>FF01-94</v>
      </c>
      <c r="AU582" s="28">
        <f>DATA[[#This Row],[TOTAL]]*DATA[[#This Row],[T.C.]]</f>
        <v>464.09</v>
      </c>
      <c r="AV582" s="6">
        <f>DATA[[#This Row],[FECHA DE VAL.]]</f>
        <v>45803</v>
      </c>
      <c r="AW582" s="6">
        <f>DATA[[#This Row],[FECHA DE EMISION]]</f>
        <v>45804</v>
      </c>
      <c r="AX582" s="6">
        <f>DATA[[#This Row],[F1]]</f>
        <v>0</v>
      </c>
      <c r="AY582" s="20">
        <f>IF(AV582-DATA[[#This Row],[fecha_fs]]&lt;0,0,AV582-DATA[[#This Row],[fecha_fs]])</f>
        <v>26</v>
      </c>
      <c r="AZ582" s="20">
        <f t="shared" si="64"/>
        <v>1</v>
      </c>
      <c r="BA582" s="20">
        <f t="shared" si="65"/>
        <v>0</v>
      </c>
      <c r="BB582" s="195">
        <f>IFERROR(SUM(DATA[[#This Row],[fs_val_ttf]:[fact_pago_ttf]]),0)</f>
        <v>27</v>
      </c>
      <c r="BC582" s="185">
        <v>45807</v>
      </c>
      <c r="BD582" s="185">
        <v>45814</v>
      </c>
      <c r="BE582" s="185">
        <v>45814</v>
      </c>
      <c r="BF582" s="185">
        <v>45821</v>
      </c>
      <c r="BG582" s="20">
        <f>IFERROR(IF(BC582-DATA[[#This Row],[fecha_fs]]&lt;0,0,BC582-DATA[[#This Row],[fecha_fs]]),0)</f>
        <v>30</v>
      </c>
      <c r="BH582" s="20">
        <f t="shared" ref="BH582:BH645" si="66">IFERROR(IF(BD582-BC582&lt;0,0,BD582-BC582),0)</f>
        <v>7</v>
      </c>
      <c r="BI582" s="20">
        <f t="shared" ref="BI582:BI645" si="67">IFERROR(IF(BE582-BD582&lt;0,0,BE582-BD582),0)</f>
        <v>0</v>
      </c>
      <c r="BJ582" s="20">
        <f t="shared" ref="BJ582:BJ645" si="68">IFERROR(IF(BF582-BE582&lt;0,0,BF582-BE582),0)</f>
        <v>7</v>
      </c>
      <c r="BK582" s="218">
        <f>IFERROR(SUM(DATA[[#This Row],[fs_fd_ttd]:[fend_fenf_ttd]]),0)</f>
        <v>44</v>
      </c>
      <c r="BL582" s="20" t="str">
        <f>IF(DATA[[#This Row],[fecha_fs]]&gt;0,TEXT(DATA[[#This Row],[fecha_fs]],"YYYY"),0)</f>
        <v>2025</v>
      </c>
      <c r="BM582" s="221" t="b">
        <v>1</v>
      </c>
      <c r="BN582" s="278">
        <f>COUNTIF(DATA[[#This Row],[tiempo_td]], "&lt;=15")</f>
        <v>0</v>
      </c>
      <c r="BO582" s="222"/>
    </row>
    <row r="583" spans="1:67" ht="30.6" customHeight="1" x14ac:dyDescent="0.25">
      <c r="A583" s="4">
        <v>20553956324</v>
      </c>
      <c r="B583" s="5" t="s">
        <v>281</v>
      </c>
      <c r="C583" s="52" t="s">
        <v>175</v>
      </c>
      <c r="D583" s="4" t="s">
        <v>120</v>
      </c>
      <c r="E583" s="5" t="s">
        <v>3</v>
      </c>
      <c r="F583" s="24">
        <v>45777</v>
      </c>
      <c r="G583" s="7" t="s">
        <v>113</v>
      </c>
      <c r="H583" s="25">
        <f t="shared" si="63"/>
        <v>1</v>
      </c>
      <c r="I583" s="67">
        <v>4442</v>
      </c>
      <c r="J583" s="8" t="s">
        <v>115</v>
      </c>
      <c r="K583" s="9" t="s">
        <v>121</v>
      </c>
      <c r="L583" s="10" t="s">
        <v>117</v>
      </c>
      <c r="M583" s="11">
        <v>200</v>
      </c>
      <c r="N583" s="112" t="s">
        <v>200</v>
      </c>
      <c r="O583" s="6">
        <v>45803</v>
      </c>
      <c r="P583" s="109">
        <v>3458</v>
      </c>
      <c r="Q583" s="14" t="s">
        <v>85</v>
      </c>
      <c r="R583" s="15">
        <f>DATA[[#This Row],[cantidad_fs]]*0.08</f>
        <v>16</v>
      </c>
      <c r="S583" s="15">
        <v>395.1</v>
      </c>
      <c r="T583" s="15">
        <f>DATA[[#This Row],[C. DF]]+DATA[[#This Row],[C.OPE.]]</f>
        <v>411.1</v>
      </c>
      <c r="U583" s="15">
        <f>DATA[[#This Row],[SUB TOTAL]]*0.18</f>
        <v>73.998000000000005</v>
      </c>
      <c r="V583" s="15">
        <f>IFERROR(ROUND(DATA[[#This Row],[SUB TOTAL]]+DATA[[#This Row],[IGV]],2),0)</f>
        <v>485.1</v>
      </c>
      <c r="W583" s="16" t="str">
        <f>IF(DATA[[#This Row],[VALORIZACIÓN ]]="-","NO CORRESPONDE",IF(OR(A583=20558226979,A583=10470707866,A583=20111157058,A583=20100226902),"NO CORRESPONDE",IF(J583="Emitida",IF(P583&gt;0,"EMITIDA","PENDIENTE"),"NO CORRESPONDE")))</f>
        <v>EMITIDA</v>
      </c>
      <c r="X583" s="29" t="s">
        <v>234</v>
      </c>
      <c r="Y583" s="17" t="s">
        <v>118</v>
      </c>
      <c r="Z583" s="30">
        <v>45845</v>
      </c>
      <c r="AA583" s="10" t="s">
        <v>150</v>
      </c>
      <c r="AB583" s="19">
        <v>143</v>
      </c>
      <c r="AC583" s="20">
        <v>0</v>
      </c>
      <c r="AD583" s="18">
        <f>DATA[[#This Row],[FECHA DE EMISION]]+DATA[[#This Row],[CONDICION DE PAGO]]</f>
        <v>45845</v>
      </c>
      <c r="AE583" s="23">
        <f>IF(DATA[[#This Row],[MONEDA]]="USD",VLOOKUP(DATA[[#This Row],[COMBINADA]],#REF!,11,0),1)</f>
        <v>1</v>
      </c>
      <c r="AF583" s="39" t="str">
        <f>IF(DATA[[#This Row],[SERIE2]]="-","NO CORRESPONDE",IF(W583="NO CORRESPONDE","NO CORRESPONDE",IF(Z583&gt;0,"FACTURADO","PENDIENTE")))</f>
        <v>FACTURADO</v>
      </c>
      <c r="AG583" s="27">
        <f>IFERROR(VLOOKUP(DATA[[#This Row],[COMBINADA]],#REF!,6,0),0)</f>
        <v>0</v>
      </c>
      <c r="AH583" s="125">
        <f>IFERROR(VLOOKUP(DATA[[#This Row],[COMBINADA]],#REF!,9,0),0)/COUNTIFS(DATA[COMBINADA],DATA[[#This Row],[COMBINADA]])</f>
        <v>0</v>
      </c>
      <c r="AI583" s="27">
        <f>IFERROR(VLOOKUP(DATA[[#This Row],[COMBINADA]],#REF!,6,0),0)</f>
        <v>0</v>
      </c>
      <c r="AJ583" s="125">
        <f>IFERROR(VLOOKUP(DATA[[#This Row],[COMBINADA]],#REF!,9,0),0)/COUNTIFS(DATA[COMBINADA],DATA[[#This Row],[COMBINADA]])</f>
        <v>0</v>
      </c>
      <c r="AK583" s="27">
        <f>IFERROR(VLOOKUP(DATA[[#This Row],[COMBINADA]],#REF!,6,0),0)</f>
        <v>0</v>
      </c>
      <c r="AL583" s="125">
        <f>IFERROR(VLOOKUP(DATA[[#This Row],[COMBINADA]],#REF!,9,0),0)/COUNTIFS(DATA[COMBINADA],DATA[[#This Row],[COMBINADA]])</f>
        <v>0</v>
      </c>
      <c r="AM583" s="27">
        <f>IFERROR(VLOOKUP(DATA[[#This Row],[COMBINADA]],#REF!,6,0),0)</f>
        <v>0</v>
      </c>
      <c r="AN583" s="125">
        <f>IFERROR(VLOOKUP(DATA[[#This Row],[COMBINADA]],#REF!,9,0),0)/COUNTIFS(DATA[COMBINADA],DATA[[#This Row],[COMBINADA]])</f>
        <v>0</v>
      </c>
      <c r="AO583" s="27">
        <f>IFERROR(VLOOKUP(DATA[[#This Row],[COMBINADA]],#REF!,6,0),0)</f>
        <v>0</v>
      </c>
      <c r="AP583" s="125">
        <f>IFERROR(VLOOKUP(DATA[[#This Row],[COMBINADA]],#REF!,9,0),0)/COUNTIFS(DATA[COMBINADA],DATA[[#This Row],[COMBINADA]])</f>
        <v>0</v>
      </c>
      <c r="AQ58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481.06363636363642</v>
      </c>
      <c r="AR583" s="26" t="str">
        <f>IFERROR(IF(DATA[[#This Row],[estado_fact]]="FACTURADO",VLOOKUP(DATA[[#This Row],[SERIE2]]&amp;"-"&amp;DATA[[#This Row],[NUMERO]],#REF!,34,0),"NO CORRESPONDE"),"NO CORRESPONDE")</f>
        <v>NO CORRESPONDE</v>
      </c>
      <c r="AS583" s="22" t="str">
        <f>IF(DATA[[#This Row],[fecha_fs]]&gt;0,TEXT(DATA[[#This Row],[fecha_fs]],"Mmmm"),0)</f>
        <v>Abril</v>
      </c>
      <c r="AT583" s="22" t="str">
        <f>DATA[[#This Row],[SERIE2]]&amp;"-"&amp;DATA[[#This Row],[NUMERO]]</f>
        <v>FF01-143</v>
      </c>
      <c r="AU583" s="28">
        <f>DATA[[#This Row],[TOTAL]]*DATA[[#This Row],[T.C.]]</f>
        <v>485.1</v>
      </c>
      <c r="AV583" s="6">
        <f>DATA[[#This Row],[FECHA DE VAL.]]</f>
        <v>45803</v>
      </c>
      <c r="AW583" s="6">
        <f>DATA[[#This Row],[FECHA DE EMISION]]</f>
        <v>45845</v>
      </c>
      <c r="AX583" s="6">
        <f>DATA[[#This Row],[F1]]</f>
        <v>0</v>
      </c>
      <c r="AY583" s="20">
        <f>IF(AV583-DATA[[#This Row],[fecha_fs]]&lt;0,0,AV583-DATA[[#This Row],[fecha_fs]])</f>
        <v>26</v>
      </c>
      <c r="AZ583" s="20">
        <f t="shared" si="64"/>
        <v>42</v>
      </c>
      <c r="BA583" s="20">
        <f t="shared" si="65"/>
        <v>0</v>
      </c>
      <c r="BB583" s="195">
        <f>IFERROR(SUM(DATA[[#This Row],[fs_val_ttf]:[fact_pago_ttf]]),0)</f>
        <v>68</v>
      </c>
      <c r="BC583" s="187">
        <v>45790</v>
      </c>
      <c r="BD583" s="187">
        <v>45828</v>
      </c>
      <c r="BE583" s="187">
        <v>45831</v>
      </c>
      <c r="BF583" s="185">
        <v>45832</v>
      </c>
      <c r="BG583" s="20">
        <f>IFERROR(IF(BC583-DATA[[#This Row],[fecha_fs]]&lt;0,0,BC583-DATA[[#This Row],[fecha_fs]]),0)</f>
        <v>13</v>
      </c>
      <c r="BH583" s="20">
        <f t="shared" si="66"/>
        <v>38</v>
      </c>
      <c r="BI583" s="20">
        <f t="shared" si="67"/>
        <v>3</v>
      </c>
      <c r="BJ583" s="20">
        <f t="shared" si="68"/>
        <v>1</v>
      </c>
      <c r="BK583" s="218">
        <f>IFERROR(SUM(DATA[[#This Row],[fs_fd_ttd]:[fend_fenf_ttd]]),0)</f>
        <v>55</v>
      </c>
      <c r="BL583" s="20" t="str">
        <f>IF(DATA[[#This Row],[fecha_fs]]&gt;0,TEXT(DATA[[#This Row],[fecha_fs]],"YYYY"),0)</f>
        <v>2025</v>
      </c>
      <c r="BM583" s="221" t="b">
        <v>1</v>
      </c>
      <c r="BN583" s="278">
        <f>COUNTIF(DATA[[#This Row],[tiempo_td]], "&lt;=15")</f>
        <v>0</v>
      </c>
      <c r="BO583" s="222"/>
    </row>
    <row r="584" spans="1:67" ht="30.6" customHeight="1" x14ac:dyDescent="0.25">
      <c r="A584" s="4">
        <v>20100192064</v>
      </c>
      <c r="B584" s="5" t="s">
        <v>60</v>
      </c>
      <c r="C584" s="52" t="s">
        <v>65</v>
      </c>
      <c r="D584" s="4" t="s">
        <v>112</v>
      </c>
      <c r="E584" s="5" t="s">
        <v>1</v>
      </c>
      <c r="F584" s="24">
        <v>45779</v>
      </c>
      <c r="G584" s="7" t="s">
        <v>142</v>
      </c>
      <c r="H584" s="25">
        <f t="shared" si="63"/>
        <v>2</v>
      </c>
      <c r="I584" s="67">
        <v>1080</v>
      </c>
      <c r="J584" s="8" t="s">
        <v>115</v>
      </c>
      <c r="K584" s="9" t="s">
        <v>116</v>
      </c>
      <c r="L584" s="10" t="s">
        <v>117</v>
      </c>
      <c r="M584" s="11">
        <v>2970</v>
      </c>
      <c r="N584" s="12" t="s">
        <v>143</v>
      </c>
      <c r="O584" s="6">
        <v>45803</v>
      </c>
      <c r="P584" s="71">
        <v>3467</v>
      </c>
      <c r="Q584" s="14" t="s">
        <v>123</v>
      </c>
      <c r="R584" s="15">
        <f>(DATA[[#This Row],[cantidad_fs]]/1000)*(147+81.01)</f>
        <v>677.18970000000002</v>
      </c>
      <c r="S584" s="15">
        <v>103.6</v>
      </c>
      <c r="T584" s="15">
        <f>DATA[[#This Row],[C. DF]]+DATA[[#This Row],[C.OPE.]]</f>
        <v>780.78970000000004</v>
      </c>
      <c r="U584" s="15">
        <f>DATA[[#This Row],[SUB TOTAL]]*0.18</f>
        <v>140.542146</v>
      </c>
      <c r="V584" s="15">
        <f>IFERROR(ROUND(DATA[[#This Row],[SUB TOTAL]]+DATA[[#This Row],[IGV]],2),0)</f>
        <v>921.33</v>
      </c>
      <c r="W584" s="16" t="str">
        <f>IF(DATA[[#This Row],[VALORIZACIÓN ]]="-","NO CORRESPONDE",IF(OR(A584=20558226979,A584=10470707866,A584=20111157058,A584=20100226902),"NO CORRESPONDE",IF(J584="Emitida",IF(P584&gt;0,"EMITIDA","PENDIENTE"),"NO CORRESPONDE")))</f>
        <v>EMITIDA</v>
      </c>
      <c r="X584" s="29"/>
      <c r="Y584" s="17" t="s">
        <v>118</v>
      </c>
      <c r="Z584" s="30">
        <v>45805</v>
      </c>
      <c r="AA584" s="10" t="s">
        <v>150</v>
      </c>
      <c r="AB584" s="19">
        <v>98</v>
      </c>
      <c r="AC584" s="20">
        <v>30</v>
      </c>
      <c r="AD584" s="18">
        <f>DATA[[#This Row],[FECHA DE EMISION]]+DATA[[#This Row],[CONDICION DE PAGO]]</f>
        <v>45835</v>
      </c>
      <c r="AE584" s="23" t="e">
        <f>IF(DATA[[#This Row],[MONEDA]]="USD",VLOOKUP(DATA[[#This Row],[COMBINADA]],#REF!,11,0),1)</f>
        <v>#REF!</v>
      </c>
      <c r="AF584" s="39" t="str">
        <f>IF(DATA[[#This Row],[SERIE2]]="-","NO CORRESPONDE",IF(W584="NO CORRESPONDE","NO CORRESPONDE",IF(Z584&gt;0,"FACTURADO","PENDIENTE")))</f>
        <v>FACTURADO</v>
      </c>
      <c r="AG584" s="27">
        <f>IFERROR(VLOOKUP(DATA[[#This Row],[COMBINADA]],#REF!,6,0),0)</f>
        <v>0</v>
      </c>
      <c r="AH584" s="125">
        <f>IFERROR(VLOOKUP(DATA[[#This Row],[COMBINADA]],#REF!,9,0),0)/COUNTIFS(DATA[COMBINADA],DATA[[#This Row],[COMBINADA]])</f>
        <v>0</v>
      </c>
      <c r="AI584" s="27">
        <f>IFERROR(VLOOKUP(DATA[[#This Row],[COMBINADA]],#REF!,6,0),0)</f>
        <v>0</v>
      </c>
      <c r="AJ584" s="125">
        <f>IFERROR(VLOOKUP(DATA[[#This Row],[COMBINADA]],#REF!,9,0),0)/COUNTIFS(DATA[COMBINADA],DATA[[#This Row],[COMBINADA]])</f>
        <v>0</v>
      </c>
      <c r="AK584" s="27">
        <f>IFERROR(VLOOKUP(DATA[[#This Row],[COMBINADA]],#REF!,6,0),0)</f>
        <v>0</v>
      </c>
      <c r="AL584" s="125">
        <f>IFERROR(VLOOKUP(DATA[[#This Row],[COMBINADA]],#REF!,9,0),0)/COUNTIFS(DATA[COMBINADA],DATA[[#This Row],[COMBINADA]])</f>
        <v>0</v>
      </c>
      <c r="AM584" s="27">
        <f>IFERROR(VLOOKUP(DATA[[#This Row],[COMBINADA]],#REF!,6,0),0)</f>
        <v>0</v>
      </c>
      <c r="AN584" s="125">
        <f>IFERROR(VLOOKUP(DATA[[#This Row],[COMBINADA]],#REF!,9,0),0)/COUNTIFS(DATA[COMBINADA],DATA[[#This Row],[COMBINADA]])</f>
        <v>0</v>
      </c>
      <c r="AO584" s="27">
        <f>IFERROR(VLOOKUP(DATA[[#This Row],[COMBINADA]],#REF!,6,0),0)</f>
        <v>0</v>
      </c>
      <c r="AP584" s="125">
        <f>IFERROR(VLOOKUP(DATA[[#This Row],[COMBINADA]],#REF!,9,0),0)/COUNTIFS(DATA[COMBINADA],DATA[[#This Row],[COMBINADA]])</f>
        <v>0</v>
      </c>
      <c r="AQ58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647.4955555555556</v>
      </c>
      <c r="AR584" s="26" t="str">
        <f>IFERROR(IF(DATA[[#This Row],[estado_fact]]="FACTURADO",VLOOKUP(DATA[[#This Row],[SERIE2]]&amp;"-"&amp;DATA[[#This Row],[NUMERO]],#REF!,34,0),"NO CORRESPONDE"),"NO CORRESPONDE")</f>
        <v>NO CORRESPONDE</v>
      </c>
      <c r="AS584" s="22" t="str">
        <f>IF(DATA[[#This Row],[fecha_fs]]&gt;0,TEXT(DATA[[#This Row],[fecha_fs]],"Mmmm"),0)</f>
        <v>Mayo</v>
      </c>
      <c r="AT584" s="22" t="str">
        <f>DATA[[#This Row],[SERIE2]]&amp;"-"&amp;DATA[[#This Row],[NUMERO]]</f>
        <v>FF01-98</v>
      </c>
      <c r="AU584" s="28" t="e">
        <f>DATA[[#This Row],[TOTAL]]*DATA[[#This Row],[T.C.]]</f>
        <v>#REF!</v>
      </c>
      <c r="AV584" s="6">
        <f>DATA[[#This Row],[FECHA DE VAL.]]</f>
        <v>45803</v>
      </c>
      <c r="AW584" s="6">
        <f>DATA[[#This Row],[FECHA DE EMISION]]</f>
        <v>45805</v>
      </c>
      <c r="AX584" s="6">
        <f>DATA[[#This Row],[F1]]</f>
        <v>0</v>
      </c>
      <c r="AY584" s="20">
        <f>IF(AV584-DATA[[#This Row],[fecha_fs]]&lt;0,0,AV584-DATA[[#This Row],[fecha_fs]])</f>
        <v>24</v>
      </c>
      <c r="AZ584" s="20">
        <f t="shared" si="64"/>
        <v>2</v>
      </c>
      <c r="BA584" s="20">
        <f t="shared" si="65"/>
        <v>0</v>
      </c>
      <c r="BB584" s="195">
        <f>IFERROR(SUM(DATA[[#This Row],[fs_val_ttf]:[fact_pago_ttf]]),0)</f>
        <v>26</v>
      </c>
      <c r="BC584" s="185">
        <v>45785</v>
      </c>
      <c r="BD584" s="185">
        <v>45798</v>
      </c>
      <c r="BE584" s="185">
        <v>45811</v>
      </c>
      <c r="BF584" s="185">
        <v>45846</v>
      </c>
      <c r="BG584" s="20">
        <f>IFERROR(IF(BC584-DATA[[#This Row],[fecha_fs]]&lt;0,0,BC584-DATA[[#This Row],[fecha_fs]]),0)</f>
        <v>6</v>
      </c>
      <c r="BH584" s="20">
        <f t="shared" si="66"/>
        <v>13</v>
      </c>
      <c r="BI584" s="20">
        <f t="shared" si="67"/>
        <v>13</v>
      </c>
      <c r="BJ584" s="20">
        <f t="shared" si="68"/>
        <v>35</v>
      </c>
      <c r="BK584" s="218">
        <f>IFERROR(SUM(DATA[[#This Row],[fs_fd_ttd]:[fend_fenf_ttd]]),0)</f>
        <v>67</v>
      </c>
      <c r="BL584" s="20" t="str">
        <f>IF(DATA[[#This Row],[fecha_fs]]&gt;0,TEXT(DATA[[#This Row],[fecha_fs]],"YYYY"),0)</f>
        <v>2025</v>
      </c>
      <c r="BM584" s="221" t="b">
        <v>1</v>
      </c>
      <c r="BN584" s="278">
        <f>COUNTIF(DATA[[#This Row],[tiempo_td]], "&lt;=15")</f>
        <v>0</v>
      </c>
      <c r="BO584" s="222"/>
    </row>
    <row r="585" spans="1:67" ht="30.6" customHeight="1" x14ac:dyDescent="0.25">
      <c r="A585" s="4">
        <v>20100192064</v>
      </c>
      <c r="B585" s="5" t="s">
        <v>60</v>
      </c>
      <c r="C585" s="52" t="s">
        <v>65</v>
      </c>
      <c r="D585" s="4" t="s">
        <v>120</v>
      </c>
      <c r="E585" s="5" t="s">
        <v>3</v>
      </c>
      <c r="F585" s="24">
        <v>45779</v>
      </c>
      <c r="G585" s="7" t="s">
        <v>142</v>
      </c>
      <c r="H585" s="25">
        <f t="shared" si="63"/>
        <v>2</v>
      </c>
      <c r="I585" s="67">
        <v>1081</v>
      </c>
      <c r="J585" s="8" t="s">
        <v>115</v>
      </c>
      <c r="K585" s="9" t="s">
        <v>121</v>
      </c>
      <c r="L585" s="10" t="s">
        <v>117</v>
      </c>
      <c r="M585" s="11">
        <v>450</v>
      </c>
      <c r="N585" s="12" t="s">
        <v>143</v>
      </c>
      <c r="O585" s="6">
        <v>45803</v>
      </c>
      <c r="P585" s="71">
        <v>3466</v>
      </c>
      <c r="Q585" s="14" t="s">
        <v>123</v>
      </c>
      <c r="R585" s="15">
        <f>(DATA[[#This Row],[cantidad_fs]]/1000)*(37+81.01)</f>
        <v>53.104500000000002</v>
      </c>
      <c r="S585" s="15">
        <v>103.6</v>
      </c>
      <c r="T585" s="15">
        <f>DATA[[#This Row],[C. DF]]+DATA[[#This Row],[C.OPE.]]</f>
        <v>156.7045</v>
      </c>
      <c r="U585" s="15">
        <f>DATA[[#This Row],[SUB TOTAL]]*0.18</f>
        <v>28.206809999999997</v>
      </c>
      <c r="V585" s="15">
        <f>IFERROR(ROUND(DATA[[#This Row],[SUB TOTAL]]+DATA[[#This Row],[IGV]],2),0)</f>
        <v>184.91</v>
      </c>
      <c r="W585" s="16" t="str">
        <f>IF(DATA[[#This Row],[VALORIZACIÓN ]]="-","NO CORRESPONDE",IF(OR(A585=20558226979,A585=10470707866,A585=20111157058,A585=20100226902),"NO CORRESPONDE",IF(J585="Emitida",IF(P585&gt;0,"EMITIDA","PENDIENTE"),"NO CORRESPONDE")))</f>
        <v>EMITIDA</v>
      </c>
      <c r="X585" s="29"/>
      <c r="Y585" s="17" t="s">
        <v>118</v>
      </c>
      <c r="Z585" s="30">
        <v>45805</v>
      </c>
      <c r="AA585" s="10" t="s">
        <v>150</v>
      </c>
      <c r="AB585" s="19">
        <v>98</v>
      </c>
      <c r="AC585" s="20">
        <v>30</v>
      </c>
      <c r="AD585" s="18">
        <f>DATA[[#This Row],[FECHA DE EMISION]]+DATA[[#This Row],[CONDICION DE PAGO]]</f>
        <v>45835</v>
      </c>
      <c r="AE585" s="23" t="e">
        <f>IF(DATA[[#This Row],[MONEDA]]="USD",VLOOKUP(DATA[[#This Row],[COMBINADA]],#REF!,11,0),1)</f>
        <v>#REF!</v>
      </c>
      <c r="AF585" s="39" t="str">
        <f>IF(DATA[[#This Row],[SERIE2]]="-","NO CORRESPONDE",IF(W585="NO CORRESPONDE","NO CORRESPONDE",IF(Z585&gt;0,"FACTURADO","PENDIENTE")))</f>
        <v>FACTURADO</v>
      </c>
      <c r="AG585" s="27">
        <f>IFERROR(VLOOKUP(DATA[[#This Row],[COMBINADA]],#REF!,6,0),0)</f>
        <v>0</v>
      </c>
      <c r="AH585" s="125">
        <f>IFERROR(VLOOKUP(DATA[[#This Row],[COMBINADA]],#REF!,9,0),0)/COUNTIFS(DATA[COMBINADA],DATA[[#This Row],[COMBINADA]])</f>
        <v>0</v>
      </c>
      <c r="AI585" s="27">
        <f>IFERROR(VLOOKUP(DATA[[#This Row],[COMBINADA]],#REF!,6,0),0)</f>
        <v>0</v>
      </c>
      <c r="AJ585" s="125">
        <f>IFERROR(VLOOKUP(DATA[[#This Row],[COMBINADA]],#REF!,9,0),0)/COUNTIFS(DATA[COMBINADA],DATA[[#This Row],[COMBINADA]])</f>
        <v>0</v>
      </c>
      <c r="AK585" s="27">
        <f>IFERROR(VLOOKUP(DATA[[#This Row],[COMBINADA]],#REF!,6,0),0)</f>
        <v>0</v>
      </c>
      <c r="AL585" s="125">
        <f>IFERROR(VLOOKUP(DATA[[#This Row],[COMBINADA]],#REF!,9,0),0)/COUNTIFS(DATA[COMBINADA],DATA[[#This Row],[COMBINADA]])</f>
        <v>0</v>
      </c>
      <c r="AM585" s="27">
        <f>IFERROR(VLOOKUP(DATA[[#This Row],[COMBINADA]],#REF!,6,0),0)</f>
        <v>0</v>
      </c>
      <c r="AN585" s="125">
        <f>IFERROR(VLOOKUP(DATA[[#This Row],[COMBINADA]],#REF!,9,0),0)/COUNTIFS(DATA[COMBINADA],DATA[[#This Row],[COMBINADA]])</f>
        <v>0</v>
      </c>
      <c r="AO585" s="27">
        <f>IFERROR(VLOOKUP(DATA[[#This Row],[COMBINADA]],#REF!,6,0),0)</f>
        <v>0</v>
      </c>
      <c r="AP585" s="125">
        <f>IFERROR(VLOOKUP(DATA[[#This Row],[COMBINADA]],#REF!,9,0),0)/COUNTIFS(DATA[COMBINADA],DATA[[#This Row],[COMBINADA]])</f>
        <v>0</v>
      </c>
      <c r="AQ58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647.4955555555556</v>
      </c>
      <c r="AR585" s="26" t="str">
        <f>IFERROR(IF(DATA[[#This Row],[estado_fact]]="FACTURADO",VLOOKUP(DATA[[#This Row],[SERIE2]]&amp;"-"&amp;DATA[[#This Row],[NUMERO]],#REF!,34,0),"NO CORRESPONDE"),"NO CORRESPONDE")</f>
        <v>NO CORRESPONDE</v>
      </c>
      <c r="AS585" s="22" t="str">
        <f>IF(DATA[[#This Row],[fecha_fs]]&gt;0,TEXT(DATA[[#This Row],[fecha_fs]],"Mmmm"),0)</f>
        <v>Mayo</v>
      </c>
      <c r="AT585" s="22" t="str">
        <f>DATA[[#This Row],[SERIE2]]&amp;"-"&amp;DATA[[#This Row],[NUMERO]]</f>
        <v>FF01-98</v>
      </c>
      <c r="AU585" s="28" t="e">
        <f>DATA[[#This Row],[TOTAL]]*DATA[[#This Row],[T.C.]]</f>
        <v>#REF!</v>
      </c>
      <c r="AV585" s="6">
        <f>DATA[[#This Row],[FECHA DE VAL.]]</f>
        <v>45803</v>
      </c>
      <c r="AW585" s="6">
        <f>DATA[[#This Row],[FECHA DE EMISION]]</f>
        <v>45805</v>
      </c>
      <c r="AX585" s="6">
        <f>DATA[[#This Row],[F1]]</f>
        <v>0</v>
      </c>
      <c r="AY585" s="20">
        <f>IF(AV585-DATA[[#This Row],[fecha_fs]]&lt;0,0,AV585-DATA[[#This Row],[fecha_fs]])</f>
        <v>24</v>
      </c>
      <c r="AZ585" s="20">
        <f t="shared" si="64"/>
        <v>2</v>
      </c>
      <c r="BA585" s="20">
        <f t="shared" si="65"/>
        <v>0</v>
      </c>
      <c r="BB585" s="195">
        <f>IFERROR(SUM(DATA[[#This Row],[fs_val_ttf]:[fact_pago_ttf]]),0)</f>
        <v>26</v>
      </c>
      <c r="BC585" s="185">
        <v>45779</v>
      </c>
      <c r="BD585" s="185">
        <v>45804</v>
      </c>
      <c r="BE585" s="185">
        <v>45811</v>
      </c>
      <c r="BF585" s="185">
        <v>45846</v>
      </c>
      <c r="BG585" s="20">
        <f>IFERROR(IF(BC585-DATA[[#This Row],[fecha_fs]]&lt;0,0,BC585-DATA[[#This Row],[fecha_fs]]),0)</f>
        <v>0</v>
      </c>
      <c r="BH585" s="20">
        <f t="shared" si="66"/>
        <v>25</v>
      </c>
      <c r="BI585" s="20">
        <f t="shared" si="67"/>
        <v>7</v>
      </c>
      <c r="BJ585" s="20">
        <f t="shared" si="68"/>
        <v>35</v>
      </c>
      <c r="BK585" s="218">
        <f>IFERROR(SUM(DATA[[#This Row],[fs_fd_ttd]:[fend_fenf_ttd]]),0)</f>
        <v>67</v>
      </c>
      <c r="BL585" s="20" t="str">
        <f>IF(DATA[[#This Row],[fecha_fs]]&gt;0,TEXT(DATA[[#This Row],[fecha_fs]],"YYYY"),0)</f>
        <v>2025</v>
      </c>
      <c r="BM585" s="221" t="b">
        <v>1</v>
      </c>
      <c r="BN585" s="278">
        <f>COUNTIF(DATA[[#This Row],[tiempo_td]], "&lt;=15")</f>
        <v>0</v>
      </c>
      <c r="BO585" s="222"/>
    </row>
    <row r="586" spans="1:67" ht="30.6" customHeight="1" x14ac:dyDescent="0.25">
      <c r="A586" s="4">
        <v>20100192064</v>
      </c>
      <c r="B586" s="5" t="s">
        <v>60</v>
      </c>
      <c r="C586" s="52" t="s">
        <v>64</v>
      </c>
      <c r="D586" s="4" t="s">
        <v>112</v>
      </c>
      <c r="E586" s="5" t="s">
        <v>1</v>
      </c>
      <c r="F586" s="24">
        <v>45779</v>
      </c>
      <c r="G586" s="7" t="s">
        <v>113</v>
      </c>
      <c r="H586" s="25">
        <f t="shared" si="63"/>
        <v>1</v>
      </c>
      <c r="I586" s="67">
        <v>4443</v>
      </c>
      <c r="J586" s="8" t="s">
        <v>115</v>
      </c>
      <c r="K586" s="9" t="s">
        <v>203</v>
      </c>
      <c r="L586" s="10" t="s">
        <v>117</v>
      </c>
      <c r="M586" s="11">
        <v>5260</v>
      </c>
      <c r="N586" s="12" t="s">
        <v>129</v>
      </c>
      <c r="O586" s="6">
        <v>45779</v>
      </c>
      <c r="P586" s="13">
        <v>3432</v>
      </c>
      <c r="Q586" s="14" t="s">
        <v>85</v>
      </c>
      <c r="R586" s="15">
        <f>DATA[[#This Row],[cantidad_fs]]*0.57</f>
        <v>2998.2</v>
      </c>
      <c r="S586" s="15">
        <v>5997.73</v>
      </c>
      <c r="T586" s="15">
        <f>DATA[[#This Row],[C. DF]]+DATA[[#This Row],[C.OPE.]]</f>
        <v>8995.93</v>
      </c>
      <c r="U586" s="15">
        <f>DATA[[#This Row],[SUB TOTAL]]*0.18</f>
        <v>1619.2674</v>
      </c>
      <c r="V586" s="15">
        <f>IFERROR(ROUND(DATA[[#This Row],[SUB TOTAL]]+DATA[[#This Row],[IGV]],2),0)</f>
        <v>10615.2</v>
      </c>
      <c r="W586" s="16" t="str">
        <f>IF(DATA[[#This Row],[VALORIZACIÓN ]]="-","NO CORRESPONDE",IF(OR(A586=20558226979,A586=10470707866,A586=20111157058,A586=20100226902),"NO CORRESPONDE",IF(J586="Emitida",IF(P586&gt;0,"EMITIDA","PENDIENTE"),"NO CORRESPONDE")))</f>
        <v>EMITIDA</v>
      </c>
      <c r="X586" s="29" t="s">
        <v>246</v>
      </c>
      <c r="Y586" s="17" t="s">
        <v>118</v>
      </c>
      <c r="Z586" s="30">
        <v>45782</v>
      </c>
      <c r="AA586" s="10" t="s">
        <v>150</v>
      </c>
      <c r="AB586" s="19">
        <v>68</v>
      </c>
      <c r="AC586" s="20">
        <v>30</v>
      </c>
      <c r="AD586" s="18">
        <f>DATA[[#This Row],[FECHA DE EMISION]]+DATA[[#This Row],[CONDICION DE PAGO]]</f>
        <v>45812</v>
      </c>
      <c r="AE586" s="23">
        <f>IF(DATA[[#This Row],[MONEDA]]="USD",VLOOKUP(DATA[[#This Row],[COMBINADA]],#REF!,11,0),1)</f>
        <v>1</v>
      </c>
      <c r="AF586" s="39" t="str">
        <f>IF(DATA[[#This Row],[SERIE2]]="-","NO CORRESPONDE",IF(W586="NO CORRESPONDE","NO CORRESPONDE",IF(Z586&gt;0,"FACTURADO","PENDIENTE")))</f>
        <v>FACTURADO</v>
      </c>
      <c r="AG586" s="27">
        <f>IFERROR(VLOOKUP(DATA[[#This Row],[COMBINADA]],#REF!,6,0),0)</f>
        <v>0</v>
      </c>
      <c r="AH586" s="125">
        <f>IFERROR(VLOOKUP(DATA[[#This Row],[COMBINADA]],#REF!,9,0),0)/COUNTIFS(DATA[COMBINADA],DATA[[#This Row],[COMBINADA]])</f>
        <v>0</v>
      </c>
      <c r="AI586" s="27">
        <f>IFERROR(VLOOKUP(DATA[[#This Row],[COMBINADA]],#REF!,6,0),0)</f>
        <v>0</v>
      </c>
      <c r="AJ586" s="125">
        <f>IFERROR(VLOOKUP(DATA[[#This Row],[COMBINADA]],#REF!,9,0),0)/COUNTIFS(DATA[COMBINADA],DATA[[#This Row],[COMBINADA]])</f>
        <v>0</v>
      </c>
      <c r="AK586" s="27">
        <f>IFERROR(VLOOKUP(DATA[[#This Row],[COMBINADA]],#REF!,6,0),0)</f>
        <v>0</v>
      </c>
      <c r="AL586" s="125">
        <f>IFERROR(VLOOKUP(DATA[[#This Row],[COMBINADA]],#REF!,9,0),0)/COUNTIFS(DATA[COMBINADA],DATA[[#This Row],[COMBINADA]])</f>
        <v>0</v>
      </c>
      <c r="AM586" s="27">
        <f>IFERROR(VLOOKUP(DATA[[#This Row],[COMBINADA]],#REF!,6,0),0)</f>
        <v>0</v>
      </c>
      <c r="AN586" s="125">
        <f>IFERROR(VLOOKUP(DATA[[#This Row],[COMBINADA]],#REF!,9,0),0)/COUNTIFS(DATA[COMBINADA],DATA[[#This Row],[COMBINADA]])</f>
        <v>0</v>
      </c>
      <c r="AO586" s="27">
        <f>IFERROR(VLOOKUP(DATA[[#This Row],[COMBINADA]],#REF!,6,0),0)</f>
        <v>0</v>
      </c>
      <c r="AP586" s="125">
        <f>IFERROR(VLOOKUP(DATA[[#This Row],[COMBINADA]],#REF!,9,0),0)/COUNTIFS(DATA[COMBINADA],DATA[[#This Row],[COMBINADA]])</f>
        <v>0</v>
      </c>
      <c r="AQ58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10615.2</v>
      </c>
      <c r="AR586" s="26" t="str">
        <f>IFERROR(IF(DATA[[#This Row],[estado_fact]]="FACTURADO",VLOOKUP(DATA[[#This Row],[SERIE2]]&amp;"-"&amp;DATA[[#This Row],[NUMERO]],#REF!,34,0),"NO CORRESPONDE"),"NO CORRESPONDE")</f>
        <v>NO CORRESPONDE</v>
      </c>
      <c r="AS586" s="22" t="str">
        <f>IF(DATA[[#This Row],[fecha_fs]]&gt;0,TEXT(DATA[[#This Row],[fecha_fs]],"Mmmm"),0)</f>
        <v>Mayo</v>
      </c>
      <c r="AT586" s="22" t="str">
        <f>DATA[[#This Row],[SERIE2]]&amp;"-"&amp;DATA[[#This Row],[NUMERO]]</f>
        <v>FF01-68</v>
      </c>
      <c r="AU586" s="28">
        <f>DATA[[#This Row],[TOTAL]]*DATA[[#This Row],[T.C.]]</f>
        <v>10615.2</v>
      </c>
      <c r="AV586" s="6">
        <f>DATA[[#This Row],[FECHA DE VAL.]]</f>
        <v>45779</v>
      </c>
      <c r="AW586" s="6">
        <f>DATA[[#This Row],[FECHA DE EMISION]]</f>
        <v>45782</v>
      </c>
      <c r="AX586" s="6">
        <f>DATA[[#This Row],[F1]]</f>
        <v>0</v>
      </c>
      <c r="AY586" s="20">
        <f>IF(AV586-DATA[[#This Row],[fecha_fs]]&lt;0,0,AV586-DATA[[#This Row],[fecha_fs]])</f>
        <v>0</v>
      </c>
      <c r="AZ586" s="20">
        <f t="shared" si="64"/>
        <v>3</v>
      </c>
      <c r="BA586" s="20">
        <f t="shared" si="65"/>
        <v>0</v>
      </c>
      <c r="BB586" s="195">
        <f>IFERROR(SUM(DATA[[#This Row],[fs_val_ttf]:[fact_pago_ttf]]),0)</f>
        <v>3</v>
      </c>
      <c r="BC586" s="184">
        <v>45793</v>
      </c>
      <c r="BD586" s="184">
        <v>45804</v>
      </c>
      <c r="BE586" s="184">
        <v>45814</v>
      </c>
      <c r="BF586" s="184">
        <v>45863</v>
      </c>
      <c r="BG586" s="20">
        <f>IFERROR(IF(BC586-DATA[[#This Row],[fecha_fs]]&lt;0,0,BC586-DATA[[#This Row],[fecha_fs]]),0)</f>
        <v>14</v>
      </c>
      <c r="BH586" s="20">
        <f t="shared" si="66"/>
        <v>11</v>
      </c>
      <c r="BI586" s="20">
        <f t="shared" si="67"/>
        <v>10</v>
      </c>
      <c r="BJ586" s="20">
        <f t="shared" si="68"/>
        <v>49</v>
      </c>
      <c r="BK586" s="218">
        <f>IFERROR(SUM(DATA[[#This Row],[fs_fd_ttd]:[fend_fenf_ttd]]),0)</f>
        <v>84</v>
      </c>
      <c r="BL586" s="20" t="str">
        <f>IF(DATA[[#This Row],[fecha_fs]]&gt;0,TEXT(DATA[[#This Row],[fecha_fs]],"YYYY"),0)</f>
        <v>2025</v>
      </c>
      <c r="BM586" s="221" t="b">
        <v>1</v>
      </c>
      <c r="BN586" s="278">
        <f>COUNTIF(DATA[[#This Row],[tiempo_td]], "&lt;=15")</f>
        <v>0</v>
      </c>
      <c r="BO586" s="222"/>
    </row>
    <row r="587" spans="1:67" ht="30.6" customHeight="1" x14ac:dyDescent="0.25">
      <c r="A587" s="4">
        <v>20141637941</v>
      </c>
      <c r="B587" s="5" t="s">
        <v>79</v>
      </c>
      <c r="C587" s="52" t="s">
        <v>18</v>
      </c>
      <c r="D587" s="4" t="s">
        <v>120</v>
      </c>
      <c r="E587" s="5" t="s">
        <v>3</v>
      </c>
      <c r="F587" s="24">
        <v>45779</v>
      </c>
      <c r="G587" s="7" t="s">
        <v>113</v>
      </c>
      <c r="H587" s="25">
        <f t="shared" si="63"/>
        <v>1</v>
      </c>
      <c r="I587" s="67">
        <v>4444</v>
      </c>
      <c r="J587" s="8" t="s">
        <v>115</v>
      </c>
      <c r="K587" s="9" t="s">
        <v>121</v>
      </c>
      <c r="L587" s="10" t="s">
        <v>117</v>
      </c>
      <c r="M587" s="11">
        <v>580</v>
      </c>
      <c r="N587" s="12" t="s">
        <v>125</v>
      </c>
      <c r="O587" s="6">
        <v>45786</v>
      </c>
      <c r="P587" s="68">
        <v>3439</v>
      </c>
      <c r="Q587" s="14" t="s">
        <v>85</v>
      </c>
      <c r="R587" s="15">
        <f>70</f>
        <v>70</v>
      </c>
      <c r="S587" s="15">
        <v>517</v>
      </c>
      <c r="T587" s="15">
        <f>DATA[[#This Row],[C. DF]]+DATA[[#This Row],[C.OPE.]]</f>
        <v>587</v>
      </c>
      <c r="U587" s="15">
        <f>DATA[[#This Row],[SUB TOTAL]]*0.18</f>
        <v>105.66</v>
      </c>
      <c r="V587" s="15">
        <f>IFERROR(ROUND(DATA[[#This Row],[SUB TOTAL]]+DATA[[#This Row],[IGV]],2),0)</f>
        <v>692.66</v>
      </c>
      <c r="W587" s="16" t="str">
        <f>IF(DATA[[#This Row],[VALORIZACIÓN ]]="-","NO CORRESPONDE",IF(OR(A587=20558226979,A587=10470707866,A587=20111157058,A587=20100226902),"NO CORRESPONDE",IF(J587="Emitida",IF(P587&gt;0,"EMITIDA","PENDIENTE"),"NO CORRESPONDE")))</f>
        <v>EMITIDA</v>
      </c>
      <c r="X587" s="29"/>
      <c r="Y587" s="17" t="s">
        <v>118</v>
      </c>
      <c r="Z587" s="30">
        <v>45790</v>
      </c>
      <c r="AA587" s="10" t="s">
        <v>150</v>
      </c>
      <c r="AB587" s="19">
        <v>77</v>
      </c>
      <c r="AC587" s="20">
        <v>30</v>
      </c>
      <c r="AD587" s="18">
        <f>DATA[[#This Row],[FECHA DE EMISION]]+DATA[[#This Row],[CONDICION DE PAGO]]</f>
        <v>45820</v>
      </c>
      <c r="AE587" s="23">
        <f>IF(DATA[[#This Row],[MONEDA]]="USD",VLOOKUP(DATA[[#This Row],[COMBINADA]],#REF!,11,0),1)</f>
        <v>1</v>
      </c>
      <c r="AF587" s="39" t="str">
        <f>IF(DATA[[#This Row],[SERIE2]]="-","NO CORRESPONDE",IF(W587="NO CORRESPONDE","NO CORRESPONDE",IF(Z587&gt;0,"FACTURADO","PENDIENTE")))</f>
        <v>FACTURADO</v>
      </c>
      <c r="AG587" s="27">
        <f>IFERROR(VLOOKUP(DATA[[#This Row],[COMBINADA]],#REF!,6,0),0)</f>
        <v>0</v>
      </c>
      <c r="AH587" s="125">
        <f>IFERROR(VLOOKUP(DATA[[#This Row],[COMBINADA]],#REF!,9,0),0)/COUNTIFS(DATA[COMBINADA],DATA[[#This Row],[COMBINADA]])</f>
        <v>0</v>
      </c>
      <c r="AI587" s="27">
        <f>IFERROR(VLOOKUP(DATA[[#This Row],[COMBINADA]],#REF!,6,0),0)</f>
        <v>0</v>
      </c>
      <c r="AJ587" s="125">
        <f>IFERROR(VLOOKUP(DATA[[#This Row],[COMBINADA]],#REF!,9,0),0)/COUNTIFS(DATA[COMBINADA],DATA[[#This Row],[COMBINADA]])</f>
        <v>0</v>
      </c>
      <c r="AK587" s="27">
        <f>IFERROR(VLOOKUP(DATA[[#This Row],[COMBINADA]],#REF!,6,0),0)</f>
        <v>0</v>
      </c>
      <c r="AL587" s="125">
        <f>IFERROR(VLOOKUP(DATA[[#This Row],[COMBINADA]],#REF!,9,0),0)/COUNTIFS(DATA[COMBINADA],DATA[[#This Row],[COMBINADA]])</f>
        <v>0</v>
      </c>
      <c r="AM587" s="27">
        <f>IFERROR(VLOOKUP(DATA[[#This Row],[COMBINADA]],#REF!,6,0),0)</f>
        <v>0</v>
      </c>
      <c r="AN587" s="125">
        <f>IFERROR(VLOOKUP(DATA[[#This Row],[COMBINADA]],#REF!,9,0),0)/COUNTIFS(DATA[COMBINADA],DATA[[#This Row],[COMBINADA]])</f>
        <v>0</v>
      </c>
      <c r="AO587" s="27">
        <f>IFERROR(VLOOKUP(DATA[[#This Row],[COMBINADA]],#REF!,6,0),0)</f>
        <v>0</v>
      </c>
      <c r="AP587" s="125">
        <f>IFERROR(VLOOKUP(DATA[[#This Row],[COMBINADA]],#REF!,9,0),0)/COUNTIFS(DATA[COMBINADA],DATA[[#This Row],[COMBINADA]])</f>
        <v>0</v>
      </c>
      <c r="AQ58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713.31</v>
      </c>
      <c r="AR587" s="26" t="str">
        <f>IFERROR(IF(DATA[[#This Row],[estado_fact]]="FACTURADO",VLOOKUP(DATA[[#This Row],[SERIE2]]&amp;"-"&amp;DATA[[#This Row],[NUMERO]],#REF!,34,0),"NO CORRESPONDE"),"NO CORRESPONDE")</f>
        <v>NO CORRESPONDE</v>
      </c>
      <c r="AS587" s="22" t="str">
        <f>IF(DATA[[#This Row],[fecha_fs]]&gt;0,TEXT(DATA[[#This Row],[fecha_fs]],"Mmmm"),0)</f>
        <v>Mayo</v>
      </c>
      <c r="AT587" s="22" t="str">
        <f>DATA[[#This Row],[SERIE2]]&amp;"-"&amp;DATA[[#This Row],[NUMERO]]</f>
        <v>FF01-77</v>
      </c>
      <c r="AU587" s="28">
        <f>DATA[[#This Row],[TOTAL]]*DATA[[#This Row],[T.C.]]</f>
        <v>692.66</v>
      </c>
      <c r="AV587" s="6">
        <f>DATA[[#This Row],[FECHA DE VAL.]]</f>
        <v>45786</v>
      </c>
      <c r="AW587" s="6">
        <f>DATA[[#This Row],[FECHA DE EMISION]]</f>
        <v>45790</v>
      </c>
      <c r="AX587" s="6">
        <f>DATA[[#This Row],[F1]]</f>
        <v>0</v>
      </c>
      <c r="AY587" s="20">
        <f>IF(AV587-DATA[[#This Row],[fecha_fs]]&lt;0,0,AV587-DATA[[#This Row],[fecha_fs]])</f>
        <v>7</v>
      </c>
      <c r="AZ587" s="20">
        <f t="shared" si="64"/>
        <v>4</v>
      </c>
      <c r="BA587" s="20">
        <f t="shared" si="65"/>
        <v>0</v>
      </c>
      <c r="BB587" s="195">
        <f>IFERROR(SUM(DATA[[#This Row],[fs_val_ttf]:[fact_pago_ttf]]),0)</f>
        <v>11</v>
      </c>
      <c r="BC587" s="185">
        <v>45779</v>
      </c>
      <c r="BD587" s="185">
        <v>45779</v>
      </c>
      <c r="BE587" s="185">
        <v>45790</v>
      </c>
      <c r="BF587" s="185">
        <v>45790</v>
      </c>
      <c r="BG587" s="20">
        <f>IFERROR(IF(BC587-DATA[[#This Row],[fecha_fs]]&lt;0,0,BC587-DATA[[#This Row],[fecha_fs]]),0)</f>
        <v>0</v>
      </c>
      <c r="BH587" s="20">
        <f t="shared" si="66"/>
        <v>0</v>
      </c>
      <c r="BI587" s="20">
        <f t="shared" si="67"/>
        <v>11</v>
      </c>
      <c r="BJ587" s="20">
        <f t="shared" si="68"/>
        <v>0</v>
      </c>
      <c r="BK587" s="218">
        <f>IFERROR(SUM(DATA[[#This Row],[fs_fd_ttd]:[fend_fenf_ttd]]),0)</f>
        <v>11</v>
      </c>
      <c r="BL587" s="20" t="str">
        <f>IF(DATA[[#This Row],[fecha_fs]]&gt;0,TEXT(DATA[[#This Row],[fecha_fs]],"YYYY"),0)</f>
        <v>2025</v>
      </c>
      <c r="BM587" s="221" t="b">
        <v>1</v>
      </c>
      <c r="BN587" s="278">
        <f>COUNTIF(DATA[[#This Row],[tiempo_td]], "&lt;=15")</f>
        <v>1</v>
      </c>
      <c r="BO587" s="222"/>
    </row>
    <row r="588" spans="1:67" ht="30.6" customHeight="1" x14ac:dyDescent="0.25">
      <c r="A588" s="4">
        <v>20496535066</v>
      </c>
      <c r="B588" s="5" t="s">
        <v>36</v>
      </c>
      <c r="C588" s="52" t="s">
        <v>230</v>
      </c>
      <c r="D588" s="4" t="s">
        <v>290</v>
      </c>
      <c r="E588" s="5" t="s">
        <v>294</v>
      </c>
      <c r="F588" s="24">
        <v>45777</v>
      </c>
      <c r="G588" s="7" t="s">
        <v>113</v>
      </c>
      <c r="H588" s="25">
        <f t="shared" si="63"/>
        <v>1</v>
      </c>
      <c r="I588" s="67">
        <v>4445</v>
      </c>
      <c r="J588" s="8" t="s">
        <v>115</v>
      </c>
      <c r="K588" s="9" t="s">
        <v>195</v>
      </c>
      <c r="L588" s="10" t="s">
        <v>117</v>
      </c>
      <c r="M588" s="11">
        <v>10310</v>
      </c>
      <c r="N588" s="12" t="s">
        <v>114</v>
      </c>
      <c r="O588" s="6">
        <v>45777</v>
      </c>
      <c r="P588" s="13">
        <v>3433</v>
      </c>
      <c r="Q588" s="14" t="s">
        <v>85</v>
      </c>
      <c r="R588" s="15">
        <f>DATA[[#This Row],[cantidad_fs]]*0.08</f>
        <v>824.80000000000007</v>
      </c>
      <c r="S588" s="15">
        <f>3426/2</f>
        <v>1713</v>
      </c>
      <c r="T588" s="15">
        <f>DATA[[#This Row],[C. DF]]+DATA[[#This Row],[C.OPE.]]</f>
        <v>2537.8000000000002</v>
      </c>
      <c r="U588" s="15">
        <f>DATA[[#This Row],[SUB TOTAL]]*0.18</f>
        <v>456.80400000000003</v>
      </c>
      <c r="V588" s="15">
        <f>IFERROR(ROUND(DATA[[#This Row],[SUB TOTAL]]+DATA[[#This Row],[IGV]],2),0)</f>
        <v>2994.6</v>
      </c>
      <c r="W588" s="16" t="str">
        <f>IF(DATA[[#This Row],[VALORIZACIÓN ]]="-","NO CORRESPONDE",IF(OR(A588=20558226979,A588=10470707866,A588=20111157058,A588=20100226902),"NO CORRESPONDE",IF(J588="Emitida",IF(P588&gt;0,"EMITIDA","PENDIENTE"),"NO CORRESPONDE")))</f>
        <v>EMITIDA</v>
      </c>
      <c r="X588" s="29" t="s">
        <v>231</v>
      </c>
      <c r="Y588" s="17" t="s">
        <v>118</v>
      </c>
      <c r="Z588" s="30">
        <v>45831</v>
      </c>
      <c r="AA588" s="10" t="s">
        <v>150</v>
      </c>
      <c r="AB588" s="19">
        <v>130</v>
      </c>
      <c r="AC588" s="20">
        <v>15</v>
      </c>
      <c r="AD588" s="18">
        <f>DATA[[#This Row],[FECHA DE EMISION]]+DATA[[#This Row],[CONDICION DE PAGO]]</f>
        <v>45846</v>
      </c>
      <c r="AE588" s="23">
        <f>IF(DATA[[#This Row],[MONEDA]]="USD",VLOOKUP(DATA[[#This Row],[COMBINADA]],#REF!,11,0),1)</f>
        <v>1</v>
      </c>
      <c r="AF588" s="39" t="str">
        <f>IF(DATA[[#This Row],[SERIE2]]="-","NO CORRESPONDE",IF(W588="NO CORRESPONDE","NO CORRESPONDE",IF(Z588&gt;0,"FACTURADO","PENDIENTE")))</f>
        <v>FACTURADO</v>
      </c>
      <c r="AG588" s="27">
        <f>IFERROR(VLOOKUP(DATA[[#This Row],[COMBINADA]],#REF!,6,0),0)</f>
        <v>0</v>
      </c>
      <c r="AH588" s="125">
        <f>IFERROR(VLOOKUP(DATA[[#This Row],[COMBINADA]],#REF!,9,0),0)/COUNTIFS(DATA[COMBINADA],DATA[[#This Row],[COMBINADA]])</f>
        <v>0</v>
      </c>
      <c r="AI588" s="27">
        <f>IFERROR(VLOOKUP(DATA[[#This Row],[COMBINADA]],#REF!,6,0),0)</f>
        <v>0</v>
      </c>
      <c r="AJ588" s="125">
        <f>IFERROR(VLOOKUP(DATA[[#This Row],[COMBINADA]],#REF!,9,0),0)/COUNTIFS(DATA[COMBINADA],DATA[[#This Row],[COMBINADA]])</f>
        <v>0</v>
      </c>
      <c r="AK588" s="27">
        <f>IFERROR(VLOOKUP(DATA[[#This Row],[COMBINADA]],#REF!,6,0),0)</f>
        <v>0</v>
      </c>
      <c r="AL588" s="125">
        <f>IFERROR(VLOOKUP(DATA[[#This Row],[COMBINADA]],#REF!,9,0),0)/COUNTIFS(DATA[COMBINADA],DATA[[#This Row],[COMBINADA]])</f>
        <v>0</v>
      </c>
      <c r="AM588" s="27">
        <f>IFERROR(VLOOKUP(DATA[[#This Row],[COMBINADA]],#REF!,6,0),0)</f>
        <v>0</v>
      </c>
      <c r="AN588" s="125">
        <f>IFERROR(VLOOKUP(DATA[[#This Row],[COMBINADA]],#REF!,9,0),0)/COUNTIFS(DATA[COMBINADA],DATA[[#This Row],[COMBINADA]])</f>
        <v>0</v>
      </c>
      <c r="AO588" s="27">
        <f>IFERROR(VLOOKUP(DATA[[#This Row],[COMBINADA]],#REF!,6,0),0)</f>
        <v>0</v>
      </c>
      <c r="AP588" s="125">
        <f>IFERROR(VLOOKUP(DATA[[#This Row],[COMBINADA]],#REF!,9,0),0)/COUNTIFS(DATA[COMBINADA],DATA[[#This Row],[COMBINADA]])</f>
        <v>0</v>
      </c>
      <c r="AQ58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3831.7899999999995</v>
      </c>
      <c r="AR588" s="26" t="str">
        <f>IFERROR(IF(DATA[[#This Row],[estado_fact]]="FACTURADO",VLOOKUP(DATA[[#This Row],[SERIE2]]&amp;"-"&amp;DATA[[#This Row],[NUMERO]],#REF!,34,0),"NO CORRESPONDE"),"NO CORRESPONDE")</f>
        <v>NO CORRESPONDE</v>
      </c>
      <c r="AS588" s="22" t="str">
        <f>IF(DATA[[#This Row],[fecha_fs]]&gt;0,TEXT(DATA[[#This Row],[fecha_fs]],"Mmmm"),0)</f>
        <v>Abril</v>
      </c>
      <c r="AT588" s="22" t="str">
        <f>DATA[[#This Row],[SERIE2]]&amp;"-"&amp;DATA[[#This Row],[NUMERO]]</f>
        <v>FF01-130</v>
      </c>
      <c r="AU588" s="28">
        <f>DATA[[#This Row],[TOTAL]]*DATA[[#This Row],[T.C.]]</f>
        <v>2994.6</v>
      </c>
      <c r="AV588" s="6">
        <f>DATA[[#This Row],[FECHA DE VAL.]]</f>
        <v>45777</v>
      </c>
      <c r="AW588" s="6">
        <f>DATA[[#This Row],[FECHA DE EMISION]]</f>
        <v>45831</v>
      </c>
      <c r="AX588" s="6">
        <f>DATA[[#This Row],[F1]]</f>
        <v>0</v>
      </c>
      <c r="AY588" s="20">
        <f>IF(AV588-DATA[[#This Row],[fecha_fs]]&lt;0,0,AV588-DATA[[#This Row],[fecha_fs]])</f>
        <v>0</v>
      </c>
      <c r="AZ588" s="20">
        <f t="shared" si="64"/>
        <v>54</v>
      </c>
      <c r="BA588" s="20">
        <f t="shared" si="65"/>
        <v>0</v>
      </c>
      <c r="BB588" s="195">
        <f>IFERROR(SUM(DATA[[#This Row],[fs_val_ttf]:[fact_pago_ttf]]),0)</f>
        <v>54</v>
      </c>
      <c r="BC588" s="185">
        <v>45783</v>
      </c>
      <c r="BD588" s="185">
        <v>45789</v>
      </c>
      <c r="BE588" s="185">
        <v>45797</v>
      </c>
      <c r="BF588" s="185">
        <v>45798</v>
      </c>
      <c r="BG588" s="20">
        <f>IFERROR(IF(BC588-DATA[[#This Row],[fecha_fs]]&lt;0,0,BC588-DATA[[#This Row],[fecha_fs]]),0)</f>
        <v>6</v>
      </c>
      <c r="BH588" s="20">
        <f t="shared" si="66"/>
        <v>6</v>
      </c>
      <c r="BI588" s="20">
        <f t="shared" si="67"/>
        <v>8</v>
      </c>
      <c r="BJ588" s="20">
        <f t="shared" si="68"/>
        <v>1</v>
      </c>
      <c r="BK588" s="218">
        <f>IFERROR(SUM(DATA[[#This Row],[fs_fd_ttd]:[fend_fenf_ttd]]),0)</f>
        <v>21</v>
      </c>
      <c r="BL588" s="20" t="str">
        <f>IF(DATA[[#This Row],[fecha_fs]]&gt;0,TEXT(DATA[[#This Row],[fecha_fs]],"YYYY"),0)</f>
        <v>2025</v>
      </c>
      <c r="BM588" s="221" t="b">
        <v>1</v>
      </c>
      <c r="BN588" s="278">
        <f>COUNTIF(DATA[[#This Row],[tiempo_td]], "&lt;=15")</f>
        <v>0</v>
      </c>
      <c r="BO588" s="222"/>
    </row>
    <row r="589" spans="1:67" ht="30.6" customHeight="1" x14ac:dyDescent="0.25">
      <c r="A589" s="4">
        <v>20100211115</v>
      </c>
      <c r="B589" s="5" t="s">
        <v>41</v>
      </c>
      <c r="C589" s="52" t="s">
        <v>18</v>
      </c>
      <c r="D589" s="4" t="s">
        <v>120</v>
      </c>
      <c r="E589" s="5" t="s">
        <v>3</v>
      </c>
      <c r="F589" s="24">
        <v>45779</v>
      </c>
      <c r="G589" s="7" t="s">
        <v>113</v>
      </c>
      <c r="H589" s="25">
        <f t="shared" si="63"/>
        <v>1</v>
      </c>
      <c r="I589" s="67">
        <v>4446</v>
      </c>
      <c r="J589" s="8" t="s">
        <v>115</v>
      </c>
      <c r="K589" s="9" t="s">
        <v>121</v>
      </c>
      <c r="L589" s="10" t="s">
        <v>117</v>
      </c>
      <c r="M589" s="11">
        <v>90</v>
      </c>
      <c r="N589" s="112" t="s">
        <v>200</v>
      </c>
      <c r="O589" s="6">
        <v>45803</v>
      </c>
      <c r="P589" s="115">
        <v>3455</v>
      </c>
      <c r="Q589" s="14" t="s">
        <v>85</v>
      </c>
      <c r="R589" s="15"/>
      <c r="S589" s="15">
        <f>(DATA[[#This Row],[cantidad_fs]]*4.37)</f>
        <v>393.3</v>
      </c>
      <c r="T589" s="15">
        <f>DATA[[#This Row],[C. DF]]+DATA[[#This Row],[C.OPE.]]</f>
        <v>393.3</v>
      </c>
      <c r="U589" s="15">
        <f>DATA[[#This Row],[SUB TOTAL]]*0.18</f>
        <v>70.793999999999997</v>
      </c>
      <c r="V589" s="15">
        <f>IFERROR(ROUND(DATA[[#This Row],[SUB TOTAL]]+DATA[[#This Row],[IGV]],2),0)</f>
        <v>464.09</v>
      </c>
      <c r="W589" s="16" t="str">
        <f>IF(DATA[[#This Row],[VALORIZACIÓN ]]="-","NO CORRESPONDE",IF(OR(A589=20558226979,A589=10470707866,A589=20111157058,A589=20100226902),"NO CORRESPONDE",IF(J589="Emitida",IF(P589&gt;0,"EMITIDA","PENDIENTE"),"NO CORRESPONDE")))</f>
        <v>EMITIDA</v>
      </c>
      <c r="X589" s="29"/>
      <c r="Y589" s="17" t="s">
        <v>118</v>
      </c>
      <c r="Z589" s="30">
        <v>45804</v>
      </c>
      <c r="AA589" s="10" t="s">
        <v>150</v>
      </c>
      <c r="AB589" s="19">
        <v>94</v>
      </c>
      <c r="AC589" s="20">
        <v>30</v>
      </c>
      <c r="AD589" s="18">
        <f>DATA[[#This Row],[FECHA DE EMISION]]+DATA[[#This Row],[CONDICION DE PAGO]]</f>
        <v>45834</v>
      </c>
      <c r="AE589" s="23">
        <f>IF(DATA[[#This Row],[MONEDA]]="USD",VLOOKUP(DATA[[#This Row],[COMBINADA]],#REF!,11,0),1)</f>
        <v>1</v>
      </c>
      <c r="AF589" s="39" t="str">
        <f>IF(DATA[[#This Row],[SERIE2]]="-","NO CORRESPONDE",IF(W589="NO CORRESPONDE","NO CORRESPONDE",IF(Z589&gt;0,"FACTURADO","PENDIENTE")))</f>
        <v>FACTURADO</v>
      </c>
      <c r="AG589" s="27">
        <f>IFERROR(VLOOKUP(DATA[[#This Row],[COMBINADA]],#REF!,6,0),0)</f>
        <v>0</v>
      </c>
      <c r="AH589" s="125">
        <f>IFERROR(VLOOKUP(DATA[[#This Row],[COMBINADA]],#REF!,9,0),0)/COUNTIFS(DATA[COMBINADA],DATA[[#This Row],[COMBINADA]])</f>
        <v>0</v>
      </c>
      <c r="AI589" s="27">
        <f>IFERROR(VLOOKUP(DATA[[#This Row],[COMBINADA]],#REF!,6,0),0)</f>
        <v>0</v>
      </c>
      <c r="AJ589" s="125">
        <f>IFERROR(VLOOKUP(DATA[[#This Row],[COMBINADA]],#REF!,9,0),0)/COUNTIFS(DATA[COMBINADA],DATA[[#This Row],[COMBINADA]])</f>
        <v>0</v>
      </c>
      <c r="AK589" s="27">
        <f>IFERROR(VLOOKUP(DATA[[#This Row],[COMBINADA]],#REF!,6,0),0)</f>
        <v>0</v>
      </c>
      <c r="AL589" s="125">
        <f>IFERROR(VLOOKUP(DATA[[#This Row],[COMBINADA]],#REF!,9,0),0)/COUNTIFS(DATA[COMBINADA],DATA[[#This Row],[COMBINADA]])</f>
        <v>0</v>
      </c>
      <c r="AM589" s="27">
        <f>IFERROR(VLOOKUP(DATA[[#This Row],[COMBINADA]],#REF!,6,0),0)</f>
        <v>0</v>
      </c>
      <c r="AN589" s="125">
        <f>IFERROR(VLOOKUP(DATA[[#This Row],[COMBINADA]],#REF!,9,0),0)/COUNTIFS(DATA[COMBINADA],DATA[[#This Row],[COMBINADA]])</f>
        <v>0</v>
      </c>
      <c r="AO589" s="27">
        <f>IFERROR(VLOOKUP(DATA[[#This Row],[COMBINADA]],#REF!,6,0),0)</f>
        <v>0</v>
      </c>
      <c r="AP589" s="125">
        <f>IFERROR(VLOOKUP(DATA[[#This Row],[COMBINADA]],#REF!,9,0),0)/COUNTIFS(DATA[COMBINADA],DATA[[#This Row],[COMBINADA]])</f>
        <v>0</v>
      </c>
      <c r="AQ58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589" s="26" t="str">
        <f>IFERROR(IF(DATA[[#This Row],[estado_fact]]="FACTURADO",VLOOKUP(DATA[[#This Row],[SERIE2]]&amp;"-"&amp;DATA[[#This Row],[NUMERO]],#REF!,34,0),"NO CORRESPONDE"),"NO CORRESPONDE")</f>
        <v>NO CORRESPONDE</v>
      </c>
      <c r="AS589" s="22" t="str">
        <f>IF(DATA[[#This Row],[fecha_fs]]&gt;0,TEXT(DATA[[#This Row],[fecha_fs]],"Mmmm"),0)</f>
        <v>Mayo</v>
      </c>
      <c r="AT589" s="22" t="str">
        <f>DATA[[#This Row],[SERIE2]]&amp;"-"&amp;DATA[[#This Row],[NUMERO]]</f>
        <v>FF01-94</v>
      </c>
      <c r="AU589" s="28">
        <f>DATA[[#This Row],[TOTAL]]*DATA[[#This Row],[T.C.]]</f>
        <v>464.09</v>
      </c>
      <c r="AV589" s="6">
        <f>DATA[[#This Row],[FECHA DE VAL.]]</f>
        <v>45803</v>
      </c>
      <c r="AW589" s="6">
        <f>DATA[[#This Row],[FECHA DE EMISION]]</f>
        <v>45804</v>
      </c>
      <c r="AX589" s="6">
        <f>DATA[[#This Row],[F1]]</f>
        <v>0</v>
      </c>
      <c r="AY589" s="20">
        <f>IF(AV589-DATA[[#This Row],[fecha_fs]]&lt;0,0,AV589-DATA[[#This Row],[fecha_fs]])</f>
        <v>24</v>
      </c>
      <c r="AZ589" s="20">
        <f t="shared" si="64"/>
        <v>1</v>
      </c>
      <c r="BA589" s="20">
        <f t="shared" si="65"/>
        <v>0</v>
      </c>
      <c r="BB589" s="195">
        <f>IFERROR(SUM(DATA[[#This Row],[fs_val_ttf]:[fact_pago_ttf]]),0)</f>
        <v>25</v>
      </c>
      <c r="BC589" s="185">
        <v>45807</v>
      </c>
      <c r="BD589" s="185">
        <v>45814</v>
      </c>
      <c r="BE589" s="185">
        <v>45814</v>
      </c>
      <c r="BF589" s="185">
        <v>45821</v>
      </c>
      <c r="BG589" s="20">
        <f>IFERROR(IF(BC589-DATA[[#This Row],[fecha_fs]]&lt;0,0,BC589-DATA[[#This Row],[fecha_fs]]),0)</f>
        <v>28</v>
      </c>
      <c r="BH589" s="20">
        <f t="shared" si="66"/>
        <v>7</v>
      </c>
      <c r="BI589" s="20">
        <f t="shared" si="67"/>
        <v>0</v>
      </c>
      <c r="BJ589" s="20">
        <f t="shared" si="68"/>
        <v>7</v>
      </c>
      <c r="BK589" s="218">
        <f>IFERROR(SUM(DATA[[#This Row],[fs_fd_ttd]:[fend_fenf_ttd]]),0)</f>
        <v>42</v>
      </c>
      <c r="BL589" s="20" t="str">
        <f>IF(DATA[[#This Row],[fecha_fs]]&gt;0,TEXT(DATA[[#This Row],[fecha_fs]],"YYYY"),0)</f>
        <v>2025</v>
      </c>
      <c r="BM589" s="221" t="b">
        <v>1</v>
      </c>
      <c r="BN589" s="278">
        <f>COUNTIF(DATA[[#This Row],[tiempo_td]], "&lt;=15")</f>
        <v>0</v>
      </c>
      <c r="BO589" s="222"/>
    </row>
    <row r="590" spans="1:67" ht="30.6" customHeight="1" x14ac:dyDescent="0.25">
      <c r="A590" s="4">
        <v>20100192064</v>
      </c>
      <c r="B590" s="5" t="s">
        <v>60</v>
      </c>
      <c r="C590" s="52" t="s">
        <v>64</v>
      </c>
      <c r="D590" s="4" t="s">
        <v>112</v>
      </c>
      <c r="E590" s="5" t="s">
        <v>1</v>
      </c>
      <c r="F590" s="24">
        <v>45779</v>
      </c>
      <c r="G590" s="7" t="s">
        <v>113</v>
      </c>
      <c r="H590" s="25">
        <f t="shared" si="63"/>
        <v>1</v>
      </c>
      <c r="I590" s="67">
        <v>4447</v>
      </c>
      <c r="J590" s="8" t="s">
        <v>115</v>
      </c>
      <c r="K590" s="9" t="s">
        <v>136</v>
      </c>
      <c r="L590" s="10" t="s">
        <v>137</v>
      </c>
      <c r="M590" s="11">
        <v>22</v>
      </c>
      <c r="N590" s="12" t="s">
        <v>129</v>
      </c>
      <c r="O590" s="6">
        <v>45803</v>
      </c>
      <c r="P590" s="71">
        <v>3464</v>
      </c>
      <c r="Q590" s="14" t="s">
        <v>123</v>
      </c>
      <c r="R590" s="15">
        <f>DATA[[#This Row],[cantidad_fs]]*33.34</f>
        <v>733.48</v>
      </c>
      <c r="S590" s="15"/>
      <c r="T590" s="15">
        <f>DATA[[#This Row],[C. DF]]+DATA[[#This Row],[C.OPE.]]</f>
        <v>733.48</v>
      </c>
      <c r="U590" s="15">
        <f>DATA[[#This Row],[SUB TOTAL]]*0.18</f>
        <v>132.0264</v>
      </c>
      <c r="V590" s="15">
        <f>IFERROR(ROUND(DATA[[#This Row],[SUB TOTAL]]+DATA[[#This Row],[IGV]],2),0)</f>
        <v>865.51</v>
      </c>
      <c r="W590" s="16" t="str">
        <f>IF(DATA[[#This Row],[VALORIZACIÓN ]]="-","NO CORRESPONDE",IF(OR(A590=20558226979,A590=10470707866,A590=20111157058,A590=20100226902),"NO CORRESPONDE",IF(J590="Emitida",IF(P590&gt;0,"EMITIDA","PENDIENTE"),"NO CORRESPONDE")))</f>
        <v>EMITIDA</v>
      </c>
      <c r="X590" s="29" t="s">
        <v>242</v>
      </c>
      <c r="Y590" s="17" t="s">
        <v>118</v>
      </c>
      <c r="Z590" s="30">
        <v>45804</v>
      </c>
      <c r="AA590" s="10" t="s">
        <v>150</v>
      </c>
      <c r="AB590" s="19">
        <v>97</v>
      </c>
      <c r="AC590" s="20">
        <v>30</v>
      </c>
      <c r="AD590" s="18">
        <f>DATA[[#This Row],[FECHA DE EMISION]]+DATA[[#This Row],[CONDICION DE PAGO]]</f>
        <v>45834</v>
      </c>
      <c r="AE590" s="23" t="e">
        <f>IF(DATA[[#This Row],[MONEDA]]="USD",VLOOKUP(DATA[[#This Row],[COMBINADA]],#REF!,11,0),1)</f>
        <v>#REF!</v>
      </c>
      <c r="AF590" s="39" t="str">
        <f>IF(DATA[[#This Row],[SERIE2]]="-","NO CORRESPONDE",IF(W590="NO CORRESPONDE","NO CORRESPONDE",IF(Z590&gt;0,"FACTURADO","PENDIENTE")))</f>
        <v>FACTURADO</v>
      </c>
      <c r="AG590" s="27">
        <f>IFERROR(VLOOKUP(DATA[[#This Row],[COMBINADA]],#REF!,6,0),0)</f>
        <v>0</v>
      </c>
      <c r="AH590" s="125">
        <f>IFERROR(VLOOKUP(DATA[[#This Row],[COMBINADA]],#REF!,9,0),0)/COUNTIFS(DATA[COMBINADA],DATA[[#This Row],[COMBINADA]])</f>
        <v>0</v>
      </c>
      <c r="AI590" s="27">
        <f>IFERROR(VLOOKUP(DATA[[#This Row],[COMBINADA]],#REF!,6,0),0)</f>
        <v>0</v>
      </c>
      <c r="AJ590" s="125">
        <f>IFERROR(VLOOKUP(DATA[[#This Row],[COMBINADA]],#REF!,9,0),0)/COUNTIFS(DATA[COMBINADA],DATA[[#This Row],[COMBINADA]])</f>
        <v>0</v>
      </c>
      <c r="AK590" s="27">
        <f>IFERROR(VLOOKUP(DATA[[#This Row],[COMBINADA]],#REF!,6,0),0)</f>
        <v>0</v>
      </c>
      <c r="AL590" s="125">
        <f>IFERROR(VLOOKUP(DATA[[#This Row],[COMBINADA]],#REF!,9,0),0)/COUNTIFS(DATA[COMBINADA],DATA[[#This Row],[COMBINADA]])</f>
        <v>0</v>
      </c>
      <c r="AM590" s="27">
        <f>IFERROR(VLOOKUP(DATA[[#This Row],[COMBINADA]],#REF!,6,0),0)</f>
        <v>0</v>
      </c>
      <c r="AN590" s="125">
        <f>IFERROR(VLOOKUP(DATA[[#This Row],[COMBINADA]],#REF!,9,0),0)/COUNTIFS(DATA[COMBINADA],DATA[[#This Row],[COMBINADA]])</f>
        <v>0</v>
      </c>
      <c r="AO590" s="27">
        <f>IFERROR(VLOOKUP(DATA[[#This Row],[COMBINADA]],#REF!,6,0),0)</f>
        <v>0</v>
      </c>
      <c r="AP590" s="125">
        <f>IFERROR(VLOOKUP(DATA[[#This Row],[COMBINADA]],#REF!,9,0),0)/COUNTIFS(DATA[COMBINADA],DATA[[#This Row],[COMBINADA]])</f>
        <v>0</v>
      </c>
      <c r="AQ59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685.70466666666675</v>
      </c>
      <c r="AR590" s="26" t="str">
        <f>IFERROR(IF(DATA[[#This Row],[estado_fact]]="FACTURADO",VLOOKUP(DATA[[#This Row],[SERIE2]]&amp;"-"&amp;DATA[[#This Row],[NUMERO]],#REF!,34,0),"NO CORRESPONDE"),"NO CORRESPONDE")</f>
        <v>NO CORRESPONDE</v>
      </c>
      <c r="AS590" s="22" t="str">
        <f>IF(DATA[[#This Row],[fecha_fs]]&gt;0,TEXT(DATA[[#This Row],[fecha_fs]],"Mmmm"),0)</f>
        <v>Mayo</v>
      </c>
      <c r="AT590" s="22" t="str">
        <f>DATA[[#This Row],[SERIE2]]&amp;"-"&amp;DATA[[#This Row],[NUMERO]]</f>
        <v>FF01-97</v>
      </c>
      <c r="AU590" s="28" t="e">
        <f>DATA[[#This Row],[TOTAL]]*DATA[[#This Row],[T.C.]]</f>
        <v>#REF!</v>
      </c>
      <c r="AV590" s="6">
        <f>DATA[[#This Row],[FECHA DE VAL.]]</f>
        <v>45803</v>
      </c>
      <c r="AW590" s="6">
        <f>DATA[[#This Row],[FECHA DE EMISION]]</f>
        <v>45804</v>
      </c>
      <c r="AX590" s="6">
        <f>DATA[[#This Row],[F1]]</f>
        <v>0</v>
      </c>
      <c r="AY590" s="20">
        <f>IF(AV590-DATA[[#This Row],[fecha_fs]]&lt;0,0,AV590-DATA[[#This Row],[fecha_fs]])</f>
        <v>24</v>
      </c>
      <c r="AZ590" s="20">
        <f t="shared" si="64"/>
        <v>1</v>
      </c>
      <c r="BA590" s="20">
        <f t="shared" si="65"/>
        <v>0</v>
      </c>
      <c r="BB590" s="195">
        <f>IFERROR(SUM(DATA[[#This Row],[fs_val_ttf]:[fact_pago_ttf]]),0)</f>
        <v>25</v>
      </c>
      <c r="BC590" s="185">
        <v>45790</v>
      </c>
      <c r="BD590" s="185">
        <v>45807</v>
      </c>
      <c r="BE590" s="185">
        <v>45814</v>
      </c>
      <c r="BF590" s="184">
        <v>45863</v>
      </c>
      <c r="BG590" s="20">
        <f>IFERROR(IF(BC590-DATA[[#This Row],[fecha_fs]]&lt;0,0,BC590-DATA[[#This Row],[fecha_fs]]),0)</f>
        <v>11</v>
      </c>
      <c r="BH590" s="20">
        <f t="shared" si="66"/>
        <v>17</v>
      </c>
      <c r="BI590" s="20">
        <f t="shared" si="67"/>
        <v>7</v>
      </c>
      <c r="BJ590" s="20">
        <f t="shared" si="68"/>
        <v>49</v>
      </c>
      <c r="BK590" s="218">
        <f>IFERROR(SUM(DATA[[#This Row],[fs_fd_ttd]:[fend_fenf_ttd]]),0)</f>
        <v>84</v>
      </c>
      <c r="BL590" s="20" t="str">
        <f>IF(DATA[[#This Row],[fecha_fs]]&gt;0,TEXT(DATA[[#This Row],[fecha_fs]],"YYYY"),0)</f>
        <v>2025</v>
      </c>
      <c r="BM590" s="221" t="b">
        <v>1</v>
      </c>
      <c r="BN590" s="278">
        <f>COUNTIF(DATA[[#This Row],[tiempo_td]], "&lt;=15")</f>
        <v>0</v>
      </c>
      <c r="BO590" s="222"/>
    </row>
    <row r="591" spans="1:67" ht="30.6" customHeight="1" x14ac:dyDescent="0.25">
      <c r="A591" s="4">
        <v>20100192064</v>
      </c>
      <c r="B591" s="5" t="s">
        <v>60</v>
      </c>
      <c r="C591" s="52" t="s">
        <v>43</v>
      </c>
      <c r="D591" s="4" t="s">
        <v>120</v>
      </c>
      <c r="E591" s="5" t="s">
        <v>3</v>
      </c>
      <c r="F591" s="24">
        <v>45779</v>
      </c>
      <c r="G591" s="7" t="s">
        <v>113</v>
      </c>
      <c r="H591" s="25">
        <f t="shared" si="63"/>
        <v>1</v>
      </c>
      <c r="I591" s="67">
        <v>4448</v>
      </c>
      <c r="J591" s="8" t="s">
        <v>115</v>
      </c>
      <c r="K591" s="9" t="s">
        <v>121</v>
      </c>
      <c r="L591" s="10" t="s">
        <v>117</v>
      </c>
      <c r="M591" s="11">
        <v>520</v>
      </c>
      <c r="N591" s="12" t="s">
        <v>167</v>
      </c>
      <c r="O591" s="6">
        <v>45803</v>
      </c>
      <c r="P591" s="71">
        <v>3460</v>
      </c>
      <c r="Q591" s="14" t="s">
        <v>123</v>
      </c>
      <c r="R591" s="15">
        <f>(DATA[[#This Row],[cantidad_fs]]/1000)*(47+174.34)</f>
        <v>115.0968</v>
      </c>
      <c r="S591" s="15">
        <v>137</v>
      </c>
      <c r="T591" s="15">
        <f>DATA[[#This Row],[C. DF]]+DATA[[#This Row],[C.OPE.]]</f>
        <v>252.0968</v>
      </c>
      <c r="U591" s="15">
        <f>DATA[[#This Row],[SUB TOTAL]]*0.18</f>
        <v>45.377423999999998</v>
      </c>
      <c r="V591" s="15">
        <f>IFERROR(ROUND(DATA[[#This Row],[SUB TOTAL]]+DATA[[#This Row],[IGV]],2),0)</f>
        <v>297.47000000000003</v>
      </c>
      <c r="W591" s="16" t="str">
        <f>IF(DATA[[#This Row],[VALORIZACIÓN ]]="-","NO CORRESPONDE",IF(OR(A591=20558226979,A591=10470707866,A591=20111157058,A591=20100226902),"NO CORRESPONDE",IF(J591="Emitida",IF(P591&gt;0,"EMITIDA","PENDIENTE"),"NO CORRESPONDE")))</f>
        <v>EMITIDA</v>
      </c>
      <c r="X591" s="29" t="s">
        <v>242</v>
      </c>
      <c r="Y591" s="17" t="s">
        <v>118</v>
      </c>
      <c r="Z591" s="30">
        <v>45804</v>
      </c>
      <c r="AA591" s="10" t="s">
        <v>150</v>
      </c>
      <c r="AB591" s="19">
        <v>97</v>
      </c>
      <c r="AC591" s="20">
        <v>30</v>
      </c>
      <c r="AD591" s="18">
        <f>DATA[[#This Row],[FECHA DE EMISION]]+DATA[[#This Row],[CONDICION DE PAGO]]</f>
        <v>45834</v>
      </c>
      <c r="AE591" s="23" t="e">
        <f>IF(DATA[[#This Row],[MONEDA]]="USD",VLOOKUP(DATA[[#This Row],[COMBINADA]],#REF!,11,0),1)</f>
        <v>#REF!</v>
      </c>
      <c r="AF591" s="39" t="str">
        <f>IF(DATA[[#This Row],[SERIE2]]="-","NO CORRESPONDE",IF(W591="NO CORRESPONDE","NO CORRESPONDE",IF(Z591&gt;0,"FACTURADO","PENDIENTE")))</f>
        <v>FACTURADO</v>
      </c>
      <c r="AG591" s="27">
        <f>IFERROR(VLOOKUP(DATA[[#This Row],[COMBINADA]],#REF!,6,0),0)</f>
        <v>0</v>
      </c>
      <c r="AH591" s="125">
        <f>IFERROR(VLOOKUP(DATA[[#This Row],[COMBINADA]],#REF!,9,0),0)/COUNTIFS(DATA[COMBINADA],DATA[[#This Row],[COMBINADA]])</f>
        <v>0</v>
      </c>
      <c r="AI591" s="27">
        <f>IFERROR(VLOOKUP(DATA[[#This Row],[COMBINADA]],#REF!,6,0),0)</f>
        <v>0</v>
      </c>
      <c r="AJ591" s="125">
        <f>IFERROR(VLOOKUP(DATA[[#This Row],[COMBINADA]],#REF!,9,0),0)/COUNTIFS(DATA[COMBINADA],DATA[[#This Row],[COMBINADA]])</f>
        <v>0</v>
      </c>
      <c r="AK591" s="27">
        <f>IFERROR(VLOOKUP(DATA[[#This Row],[COMBINADA]],#REF!,6,0),0)</f>
        <v>0</v>
      </c>
      <c r="AL591" s="125">
        <f>IFERROR(VLOOKUP(DATA[[#This Row],[COMBINADA]],#REF!,9,0),0)/COUNTIFS(DATA[COMBINADA],DATA[[#This Row],[COMBINADA]])</f>
        <v>0</v>
      </c>
      <c r="AM591" s="27">
        <f>IFERROR(VLOOKUP(DATA[[#This Row],[COMBINADA]],#REF!,6,0),0)</f>
        <v>0</v>
      </c>
      <c r="AN591" s="125">
        <f>IFERROR(VLOOKUP(DATA[[#This Row],[COMBINADA]],#REF!,9,0),0)/COUNTIFS(DATA[COMBINADA],DATA[[#This Row],[COMBINADA]])</f>
        <v>0</v>
      </c>
      <c r="AO591" s="27">
        <f>IFERROR(VLOOKUP(DATA[[#This Row],[COMBINADA]],#REF!,6,0),0)</f>
        <v>0</v>
      </c>
      <c r="AP591" s="125">
        <f>IFERROR(VLOOKUP(DATA[[#This Row],[COMBINADA]],#REF!,9,0),0)/COUNTIFS(DATA[COMBINADA],DATA[[#This Row],[COMBINADA]])</f>
        <v>0</v>
      </c>
      <c r="AQ59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685.70466666666675</v>
      </c>
      <c r="AR591" s="26" t="str">
        <f>IFERROR(IF(DATA[[#This Row],[estado_fact]]="FACTURADO",VLOOKUP(DATA[[#This Row],[SERIE2]]&amp;"-"&amp;DATA[[#This Row],[NUMERO]],#REF!,34,0),"NO CORRESPONDE"),"NO CORRESPONDE")</f>
        <v>NO CORRESPONDE</v>
      </c>
      <c r="AS591" s="22" t="str">
        <f>IF(DATA[[#This Row],[fecha_fs]]&gt;0,TEXT(DATA[[#This Row],[fecha_fs]],"Mmmm"),0)</f>
        <v>Mayo</v>
      </c>
      <c r="AT591" s="22" t="str">
        <f>DATA[[#This Row],[SERIE2]]&amp;"-"&amp;DATA[[#This Row],[NUMERO]]</f>
        <v>FF01-97</v>
      </c>
      <c r="AU591" s="28" t="e">
        <f>DATA[[#This Row],[TOTAL]]*DATA[[#This Row],[T.C.]]</f>
        <v>#REF!</v>
      </c>
      <c r="AV591" s="6">
        <f>DATA[[#This Row],[FECHA DE VAL.]]</f>
        <v>45803</v>
      </c>
      <c r="AW591" s="6">
        <f>DATA[[#This Row],[FECHA DE EMISION]]</f>
        <v>45804</v>
      </c>
      <c r="AX591" s="6">
        <f>DATA[[#This Row],[F1]]</f>
        <v>0</v>
      </c>
      <c r="AY591" s="20">
        <f>IF(AV591-DATA[[#This Row],[fecha_fs]]&lt;0,0,AV591-DATA[[#This Row],[fecha_fs]])</f>
        <v>24</v>
      </c>
      <c r="AZ591" s="20">
        <f t="shared" si="64"/>
        <v>1</v>
      </c>
      <c r="BA591" s="20">
        <f t="shared" si="65"/>
        <v>0</v>
      </c>
      <c r="BB591" s="195">
        <f>IFERROR(SUM(DATA[[#This Row],[fs_val_ttf]:[fact_pago_ttf]]),0)</f>
        <v>25</v>
      </c>
      <c r="BC591" s="185">
        <v>45817</v>
      </c>
      <c r="BD591" s="185">
        <v>45828</v>
      </c>
      <c r="BE591" s="185">
        <v>45831</v>
      </c>
      <c r="BF591" s="184">
        <v>45863</v>
      </c>
      <c r="BG591" s="20">
        <f>IFERROR(IF(BC591-DATA[[#This Row],[fecha_fs]]&lt;0,0,BC591-DATA[[#This Row],[fecha_fs]]),0)</f>
        <v>38</v>
      </c>
      <c r="BH591" s="20">
        <f t="shared" si="66"/>
        <v>11</v>
      </c>
      <c r="BI591" s="20">
        <f t="shared" si="67"/>
        <v>3</v>
      </c>
      <c r="BJ591" s="20">
        <f t="shared" si="68"/>
        <v>32</v>
      </c>
      <c r="BK591" s="218">
        <f>IFERROR(SUM(DATA[[#This Row],[fs_fd_ttd]:[fend_fenf_ttd]]),0)</f>
        <v>84</v>
      </c>
      <c r="BL591" s="20" t="str">
        <f>IF(DATA[[#This Row],[fecha_fs]]&gt;0,TEXT(DATA[[#This Row],[fecha_fs]],"YYYY"),0)</f>
        <v>2025</v>
      </c>
      <c r="BM591" s="221" t="b">
        <v>1</v>
      </c>
      <c r="BN591" s="278">
        <f>COUNTIF(DATA[[#This Row],[tiempo_td]], "&lt;=15")</f>
        <v>0</v>
      </c>
      <c r="BO591" s="222"/>
    </row>
    <row r="592" spans="1:67" ht="30.6" customHeight="1" x14ac:dyDescent="0.25">
      <c r="A592" s="4">
        <v>20141637941</v>
      </c>
      <c r="B592" s="5" t="s">
        <v>79</v>
      </c>
      <c r="C592" s="52" t="s">
        <v>18</v>
      </c>
      <c r="D592" s="4" t="s">
        <v>120</v>
      </c>
      <c r="E592" s="5" t="s">
        <v>3</v>
      </c>
      <c r="F592" s="24">
        <v>45782</v>
      </c>
      <c r="G592" s="7" t="s">
        <v>113</v>
      </c>
      <c r="H592" s="25">
        <f t="shared" si="63"/>
        <v>1</v>
      </c>
      <c r="I592" s="67">
        <v>4449</v>
      </c>
      <c r="J592" s="8" t="s">
        <v>115</v>
      </c>
      <c r="K592" s="9" t="s">
        <v>121</v>
      </c>
      <c r="L592" s="10" t="s">
        <v>117</v>
      </c>
      <c r="M592" s="11">
        <v>1040</v>
      </c>
      <c r="N592" s="12" t="s">
        <v>125</v>
      </c>
      <c r="O592" s="6">
        <v>45786</v>
      </c>
      <c r="P592" s="68">
        <v>3439</v>
      </c>
      <c r="Q592" s="14" t="s">
        <v>85</v>
      </c>
      <c r="R592" s="15">
        <f>70+(DATA[[#This Row],[cantidad_fs]]-1000)*0.1</f>
        <v>74</v>
      </c>
      <c r="S592" s="15">
        <v>517</v>
      </c>
      <c r="T592" s="15">
        <f>DATA[[#This Row],[C. DF]]+DATA[[#This Row],[C.OPE.]]</f>
        <v>591</v>
      </c>
      <c r="U592" s="15">
        <f>DATA[[#This Row],[SUB TOTAL]]*0.18</f>
        <v>106.38</v>
      </c>
      <c r="V592" s="15">
        <f>IFERROR(ROUND(DATA[[#This Row],[SUB TOTAL]]+DATA[[#This Row],[IGV]],2),0)</f>
        <v>697.38</v>
      </c>
      <c r="W592" s="16" t="str">
        <f>IF(DATA[[#This Row],[VALORIZACIÓN ]]="-","NO CORRESPONDE",IF(OR(A592=20558226979,A592=10470707866,A592=20111157058,A592=20100226902),"NO CORRESPONDE",IF(J592="Emitida",IF(P592&gt;0,"EMITIDA","PENDIENTE"),"NO CORRESPONDE")))</f>
        <v>EMITIDA</v>
      </c>
      <c r="X592" s="29"/>
      <c r="Y592" s="17" t="s">
        <v>118</v>
      </c>
      <c r="Z592" s="30">
        <v>45790</v>
      </c>
      <c r="AA592" s="10" t="s">
        <v>150</v>
      </c>
      <c r="AB592" s="19">
        <v>77</v>
      </c>
      <c r="AC592" s="20">
        <v>30</v>
      </c>
      <c r="AD592" s="18">
        <f>DATA[[#This Row],[FECHA DE EMISION]]+DATA[[#This Row],[CONDICION DE PAGO]]</f>
        <v>45820</v>
      </c>
      <c r="AE592" s="23">
        <f>IF(DATA[[#This Row],[MONEDA]]="USD",VLOOKUP(DATA[[#This Row],[COMBINADA]],#REF!,11,0),1)</f>
        <v>1</v>
      </c>
      <c r="AF592" s="39" t="str">
        <f>IF(DATA[[#This Row],[SERIE2]]="-","NO CORRESPONDE",IF(W592="NO CORRESPONDE","NO CORRESPONDE",IF(Z592&gt;0,"FACTURADO","PENDIENTE")))</f>
        <v>FACTURADO</v>
      </c>
      <c r="AG592" s="27">
        <f>IFERROR(VLOOKUP(DATA[[#This Row],[COMBINADA]],#REF!,6,0),0)</f>
        <v>0</v>
      </c>
      <c r="AH592" s="125">
        <f>IFERROR(VLOOKUP(DATA[[#This Row],[COMBINADA]],#REF!,9,0),0)/COUNTIFS(DATA[COMBINADA],DATA[[#This Row],[COMBINADA]])</f>
        <v>0</v>
      </c>
      <c r="AI592" s="27">
        <f>IFERROR(VLOOKUP(DATA[[#This Row],[COMBINADA]],#REF!,6,0),0)</f>
        <v>0</v>
      </c>
      <c r="AJ592" s="125">
        <f>IFERROR(VLOOKUP(DATA[[#This Row],[COMBINADA]],#REF!,9,0),0)/COUNTIFS(DATA[COMBINADA],DATA[[#This Row],[COMBINADA]])</f>
        <v>0</v>
      </c>
      <c r="AK592" s="27">
        <f>IFERROR(VLOOKUP(DATA[[#This Row],[COMBINADA]],#REF!,6,0),0)</f>
        <v>0</v>
      </c>
      <c r="AL592" s="125">
        <f>IFERROR(VLOOKUP(DATA[[#This Row],[COMBINADA]],#REF!,9,0),0)/COUNTIFS(DATA[COMBINADA],DATA[[#This Row],[COMBINADA]])</f>
        <v>0</v>
      </c>
      <c r="AM592" s="27">
        <f>IFERROR(VLOOKUP(DATA[[#This Row],[COMBINADA]],#REF!,6,0),0)</f>
        <v>0</v>
      </c>
      <c r="AN592" s="125">
        <f>IFERROR(VLOOKUP(DATA[[#This Row],[COMBINADA]],#REF!,9,0),0)/COUNTIFS(DATA[COMBINADA],DATA[[#This Row],[COMBINADA]])</f>
        <v>0</v>
      </c>
      <c r="AO592" s="27">
        <f>IFERROR(VLOOKUP(DATA[[#This Row],[COMBINADA]],#REF!,6,0),0)</f>
        <v>0</v>
      </c>
      <c r="AP592" s="125">
        <f>IFERROR(VLOOKUP(DATA[[#This Row],[COMBINADA]],#REF!,9,0),0)/COUNTIFS(DATA[COMBINADA],DATA[[#This Row],[COMBINADA]])</f>
        <v>0</v>
      </c>
      <c r="AQ59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713.31</v>
      </c>
      <c r="AR592" s="26" t="str">
        <f>IFERROR(IF(DATA[[#This Row],[estado_fact]]="FACTURADO",VLOOKUP(DATA[[#This Row],[SERIE2]]&amp;"-"&amp;DATA[[#This Row],[NUMERO]],#REF!,34,0),"NO CORRESPONDE"),"NO CORRESPONDE")</f>
        <v>NO CORRESPONDE</v>
      </c>
      <c r="AS592" s="22" t="str">
        <f>IF(DATA[[#This Row],[fecha_fs]]&gt;0,TEXT(DATA[[#This Row],[fecha_fs]],"Mmmm"),0)</f>
        <v>Mayo</v>
      </c>
      <c r="AT592" s="22" t="str">
        <f>DATA[[#This Row],[SERIE2]]&amp;"-"&amp;DATA[[#This Row],[NUMERO]]</f>
        <v>FF01-77</v>
      </c>
      <c r="AU592" s="28">
        <f>DATA[[#This Row],[TOTAL]]*DATA[[#This Row],[T.C.]]</f>
        <v>697.38</v>
      </c>
      <c r="AV592" s="6">
        <f>DATA[[#This Row],[FECHA DE VAL.]]</f>
        <v>45786</v>
      </c>
      <c r="AW592" s="6">
        <f>DATA[[#This Row],[FECHA DE EMISION]]</f>
        <v>45790</v>
      </c>
      <c r="AX592" s="6">
        <f>DATA[[#This Row],[F1]]</f>
        <v>0</v>
      </c>
      <c r="AY592" s="20">
        <f>IF(AV592-DATA[[#This Row],[fecha_fs]]&lt;0,0,AV592-DATA[[#This Row],[fecha_fs]])</f>
        <v>4</v>
      </c>
      <c r="AZ592" s="20">
        <f t="shared" si="64"/>
        <v>4</v>
      </c>
      <c r="BA592" s="20">
        <f t="shared" si="65"/>
        <v>0</v>
      </c>
      <c r="BB592" s="195">
        <f>IFERROR(SUM(DATA[[#This Row],[fs_val_ttf]:[fact_pago_ttf]]),0)</f>
        <v>8</v>
      </c>
      <c r="BC592" s="185">
        <v>45782</v>
      </c>
      <c r="BD592" s="185">
        <v>45782</v>
      </c>
      <c r="BE592" s="185">
        <v>45790</v>
      </c>
      <c r="BF592" s="185">
        <v>45790</v>
      </c>
      <c r="BG592" s="20">
        <f>IFERROR(IF(BC592-DATA[[#This Row],[fecha_fs]]&lt;0,0,BC592-DATA[[#This Row],[fecha_fs]]),0)</f>
        <v>0</v>
      </c>
      <c r="BH592" s="20">
        <f t="shared" si="66"/>
        <v>0</v>
      </c>
      <c r="BI592" s="20">
        <f t="shared" si="67"/>
        <v>8</v>
      </c>
      <c r="BJ592" s="20">
        <f t="shared" si="68"/>
        <v>0</v>
      </c>
      <c r="BK592" s="218">
        <f>IFERROR(SUM(DATA[[#This Row],[fs_fd_ttd]:[fend_fenf_ttd]]),0)</f>
        <v>8</v>
      </c>
      <c r="BL592" s="20" t="str">
        <f>IF(DATA[[#This Row],[fecha_fs]]&gt;0,TEXT(DATA[[#This Row],[fecha_fs]],"YYYY"),0)</f>
        <v>2025</v>
      </c>
      <c r="BM592" s="221" t="b">
        <v>1</v>
      </c>
      <c r="BN592" s="278">
        <f>COUNTIF(DATA[[#This Row],[tiempo_td]], "&lt;=15")</f>
        <v>1</v>
      </c>
      <c r="BO592" s="222"/>
    </row>
    <row r="593" spans="1:67" ht="30.6" customHeight="1" x14ac:dyDescent="0.25">
      <c r="A593" s="4">
        <v>20120788389</v>
      </c>
      <c r="B593" s="5" t="s">
        <v>283</v>
      </c>
      <c r="C593" s="52" t="s">
        <v>18</v>
      </c>
      <c r="D593" s="4" t="s">
        <v>120</v>
      </c>
      <c r="E593" s="5" t="s">
        <v>3</v>
      </c>
      <c r="F593" s="24">
        <v>45779</v>
      </c>
      <c r="G593" s="7" t="s">
        <v>113</v>
      </c>
      <c r="H593" s="25">
        <f t="shared" si="63"/>
        <v>1</v>
      </c>
      <c r="I593" s="67">
        <v>4450</v>
      </c>
      <c r="J593" s="8" t="s">
        <v>115</v>
      </c>
      <c r="K593" s="9" t="s">
        <v>121</v>
      </c>
      <c r="L593" s="10" t="s">
        <v>117</v>
      </c>
      <c r="M593" s="11">
        <v>90</v>
      </c>
      <c r="N593" s="12" t="s">
        <v>167</v>
      </c>
      <c r="O593" s="6">
        <v>45782</v>
      </c>
      <c r="P593" s="13">
        <v>3434</v>
      </c>
      <c r="Q593" s="14" t="s">
        <v>85</v>
      </c>
      <c r="R593" s="15"/>
      <c r="S593" s="15">
        <v>670.43</v>
      </c>
      <c r="T593" s="15">
        <f>DATA[[#This Row],[C. DF]]+DATA[[#This Row],[C.OPE.]]</f>
        <v>670.43</v>
      </c>
      <c r="U593" s="15">
        <f>DATA[[#This Row],[SUB TOTAL]]*0.18</f>
        <v>120.67739999999999</v>
      </c>
      <c r="V593" s="15">
        <f>IFERROR(ROUND(DATA[[#This Row],[SUB TOTAL]]+DATA[[#This Row],[IGV]],2),0)</f>
        <v>791.11</v>
      </c>
      <c r="W593" s="16" t="str">
        <f>IF(DATA[[#This Row],[VALORIZACIÓN ]]="-","NO CORRESPONDE",IF(OR(A593=20558226979,A593=10470707866,A593=20111157058,A593=20100226902),"NO CORRESPONDE",IF(J593="Emitida",IF(P593&gt;0,"EMITIDA","PENDIENTE"),"NO CORRESPONDE")))</f>
        <v>EMITIDA</v>
      </c>
      <c r="X593" s="29"/>
      <c r="Y593" s="17" t="s">
        <v>118</v>
      </c>
      <c r="Z593" s="30">
        <v>45790</v>
      </c>
      <c r="AA593" s="10" t="s">
        <v>150</v>
      </c>
      <c r="AB593" s="19">
        <v>78</v>
      </c>
      <c r="AC593" s="20">
        <v>15</v>
      </c>
      <c r="AD593" s="18">
        <f>DATA[[#This Row],[FECHA DE EMISION]]+DATA[[#This Row],[CONDICION DE PAGO]]</f>
        <v>45805</v>
      </c>
      <c r="AE593" s="23">
        <f>IF(DATA[[#This Row],[MONEDA]]="USD",VLOOKUP(DATA[[#This Row],[COMBINADA]],#REF!,11,0),1)</f>
        <v>1</v>
      </c>
      <c r="AF593" s="39" t="str">
        <f>IF(DATA[[#This Row],[SERIE2]]="-","NO CORRESPONDE",IF(W593="NO CORRESPONDE","NO CORRESPONDE",IF(Z593&gt;0,"FACTURADO","PENDIENTE")))</f>
        <v>FACTURADO</v>
      </c>
      <c r="AG593" s="27">
        <f>IFERROR(VLOOKUP(DATA[[#This Row],[COMBINADA]],#REF!,6,0),0)</f>
        <v>0</v>
      </c>
      <c r="AH593" s="125">
        <f>IFERROR(VLOOKUP(DATA[[#This Row],[COMBINADA]],#REF!,9,0),0)/COUNTIFS(DATA[COMBINADA],DATA[[#This Row],[COMBINADA]])</f>
        <v>0</v>
      </c>
      <c r="AI593" s="27">
        <f>IFERROR(VLOOKUP(DATA[[#This Row],[COMBINADA]],#REF!,6,0),0)</f>
        <v>0</v>
      </c>
      <c r="AJ593" s="125">
        <f>IFERROR(VLOOKUP(DATA[[#This Row],[COMBINADA]],#REF!,9,0),0)/COUNTIFS(DATA[COMBINADA],DATA[[#This Row],[COMBINADA]])</f>
        <v>0</v>
      </c>
      <c r="AK593" s="27">
        <f>IFERROR(VLOOKUP(DATA[[#This Row],[COMBINADA]],#REF!,6,0),0)</f>
        <v>0</v>
      </c>
      <c r="AL593" s="125">
        <f>IFERROR(VLOOKUP(DATA[[#This Row],[COMBINADA]],#REF!,9,0),0)/COUNTIFS(DATA[COMBINADA],DATA[[#This Row],[COMBINADA]])</f>
        <v>0</v>
      </c>
      <c r="AM593" s="27">
        <f>IFERROR(VLOOKUP(DATA[[#This Row],[COMBINADA]],#REF!,6,0),0)</f>
        <v>0</v>
      </c>
      <c r="AN593" s="125">
        <f>IFERROR(VLOOKUP(DATA[[#This Row],[COMBINADA]],#REF!,9,0),0)/COUNTIFS(DATA[COMBINADA],DATA[[#This Row],[COMBINADA]])</f>
        <v>0</v>
      </c>
      <c r="AO593" s="27">
        <f>IFERROR(VLOOKUP(DATA[[#This Row],[COMBINADA]],#REF!,6,0),0)</f>
        <v>0</v>
      </c>
      <c r="AP593" s="125">
        <f>IFERROR(VLOOKUP(DATA[[#This Row],[COMBINADA]],#REF!,9,0),0)/COUNTIFS(DATA[COMBINADA],DATA[[#This Row],[COMBINADA]])</f>
        <v>0</v>
      </c>
      <c r="AQ59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791.11</v>
      </c>
      <c r="AR593" s="26" t="str">
        <f>IFERROR(IF(DATA[[#This Row],[estado_fact]]="FACTURADO",VLOOKUP(DATA[[#This Row],[SERIE2]]&amp;"-"&amp;DATA[[#This Row],[NUMERO]],#REF!,34,0),"NO CORRESPONDE"),"NO CORRESPONDE")</f>
        <v>NO CORRESPONDE</v>
      </c>
      <c r="AS593" s="22" t="str">
        <f>IF(DATA[[#This Row],[fecha_fs]]&gt;0,TEXT(DATA[[#This Row],[fecha_fs]],"Mmmm"),0)</f>
        <v>Mayo</v>
      </c>
      <c r="AT593" s="22" t="str">
        <f>DATA[[#This Row],[SERIE2]]&amp;"-"&amp;DATA[[#This Row],[NUMERO]]</f>
        <v>FF01-78</v>
      </c>
      <c r="AU593" s="28">
        <f>DATA[[#This Row],[TOTAL]]*DATA[[#This Row],[T.C.]]</f>
        <v>791.11</v>
      </c>
      <c r="AV593" s="6">
        <f>DATA[[#This Row],[FECHA DE VAL.]]</f>
        <v>45782</v>
      </c>
      <c r="AW593" s="6">
        <f>DATA[[#This Row],[FECHA DE EMISION]]</f>
        <v>45790</v>
      </c>
      <c r="AX593" s="6">
        <f>DATA[[#This Row],[F1]]</f>
        <v>0</v>
      </c>
      <c r="AY593" s="20">
        <f>IF(AV593-DATA[[#This Row],[fecha_fs]]&lt;0,0,AV593-DATA[[#This Row],[fecha_fs]])</f>
        <v>3</v>
      </c>
      <c r="AZ593" s="20">
        <f t="shared" si="64"/>
        <v>8</v>
      </c>
      <c r="BA593" s="20">
        <f t="shared" si="65"/>
        <v>0</v>
      </c>
      <c r="BB593" s="195">
        <f>IFERROR(SUM(DATA[[#This Row],[fs_val_ttf]:[fact_pago_ttf]]),0)</f>
        <v>11</v>
      </c>
      <c r="BC593" s="185">
        <v>45785</v>
      </c>
      <c r="BD593" s="185">
        <v>45789</v>
      </c>
      <c r="BE593" s="185">
        <v>45796</v>
      </c>
      <c r="BF593" s="185">
        <v>45798</v>
      </c>
      <c r="BG593" s="20">
        <f>IFERROR(IF(BC593-DATA[[#This Row],[fecha_fs]]&lt;0,0,BC593-DATA[[#This Row],[fecha_fs]]),0)</f>
        <v>6</v>
      </c>
      <c r="BH593" s="20">
        <f t="shared" si="66"/>
        <v>4</v>
      </c>
      <c r="BI593" s="20">
        <f t="shared" si="67"/>
        <v>7</v>
      </c>
      <c r="BJ593" s="20">
        <f t="shared" si="68"/>
        <v>2</v>
      </c>
      <c r="BK593" s="218">
        <f>IFERROR(SUM(DATA[[#This Row],[fs_fd_ttd]:[fend_fenf_ttd]]),0)</f>
        <v>19</v>
      </c>
      <c r="BL593" s="20" t="str">
        <f>IF(DATA[[#This Row],[fecha_fs]]&gt;0,TEXT(DATA[[#This Row],[fecha_fs]],"YYYY"),0)</f>
        <v>2025</v>
      </c>
      <c r="BM593" s="221" t="b">
        <v>0</v>
      </c>
      <c r="BN593" s="278">
        <f>COUNTIF(DATA[[#This Row],[tiempo_td]], "&lt;=15")</f>
        <v>0</v>
      </c>
      <c r="BO593" s="222"/>
    </row>
    <row r="594" spans="1:67" ht="30.6" customHeight="1" x14ac:dyDescent="0.25">
      <c r="A594" s="4">
        <v>20553956324</v>
      </c>
      <c r="B594" s="5" t="s">
        <v>281</v>
      </c>
      <c r="C594" s="52" t="s">
        <v>175</v>
      </c>
      <c r="D594" s="4" t="s">
        <v>120</v>
      </c>
      <c r="E594" s="5" t="s">
        <v>3</v>
      </c>
      <c r="F594" s="24">
        <v>45779</v>
      </c>
      <c r="G594" s="7" t="s">
        <v>113</v>
      </c>
      <c r="H594" s="25">
        <f t="shared" si="63"/>
        <v>1</v>
      </c>
      <c r="I594" s="67">
        <v>4451</v>
      </c>
      <c r="J594" s="8" t="s">
        <v>115</v>
      </c>
      <c r="K594" s="9" t="s">
        <v>121</v>
      </c>
      <c r="L594" s="10" t="s">
        <v>117</v>
      </c>
      <c r="M594" s="11">
        <v>300</v>
      </c>
      <c r="N594" s="12" t="s">
        <v>132</v>
      </c>
      <c r="O594" s="6">
        <v>45803</v>
      </c>
      <c r="P594" s="109">
        <v>3458</v>
      </c>
      <c r="Q594" s="14" t="s">
        <v>85</v>
      </c>
      <c r="R594" s="15">
        <f>DATA[[#This Row],[cantidad_fs]]*0.08</f>
        <v>24</v>
      </c>
      <c r="S594" s="15">
        <v>395.1</v>
      </c>
      <c r="T594" s="15">
        <f>DATA[[#This Row],[C. DF]]+DATA[[#This Row],[C.OPE.]]</f>
        <v>419.1</v>
      </c>
      <c r="U594" s="15">
        <f>DATA[[#This Row],[SUB TOTAL]]*0.18</f>
        <v>75.438000000000002</v>
      </c>
      <c r="V594" s="15">
        <f>IFERROR(ROUND(DATA[[#This Row],[SUB TOTAL]]+DATA[[#This Row],[IGV]],2),0)</f>
        <v>494.54</v>
      </c>
      <c r="W594" s="16" t="str">
        <f>IF(DATA[[#This Row],[VALORIZACIÓN ]]="-","NO CORRESPONDE",IF(OR(A594=20558226979,A594=10470707866,A594=20111157058,A594=20100226902),"NO CORRESPONDE",IF(J594="Emitida",IF(P594&gt;0,"EMITIDA","PENDIENTE"),"NO CORRESPONDE")))</f>
        <v>EMITIDA</v>
      </c>
      <c r="X594" s="29" t="s">
        <v>234</v>
      </c>
      <c r="Y594" s="17" t="s">
        <v>118</v>
      </c>
      <c r="Z594" s="30">
        <v>45845</v>
      </c>
      <c r="AA594" s="10" t="s">
        <v>150</v>
      </c>
      <c r="AB594" s="19">
        <v>143</v>
      </c>
      <c r="AC594" s="20">
        <v>0</v>
      </c>
      <c r="AD594" s="18">
        <f>DATA[[#This Row],[FECHA DE EMISION]]+DATA[[#This Row],[CONDICION DE PAGO]]</f>
        <v>45845</v>
      </c>
      <c r="AE594" s="23">
        <f>IF(DATA[[#This Row],[MONEDA]]="USD",VLOOKUP(DATA[[#This Row],[COMBINADA]],#REF!,11,0),1)</f>
        <v>1</v>
      </c>
      <c r="AF594" s="39" t="str">
        <f>IF(DATA[[#This Row],[SERIE2]]="-","NO CORRESPONDE",IF(W594="NO CORRESPONDE","NO CORRESPONDE",IF(Z594&gt;0,"FACTURADO","PENDIENTE")))</f>
        <v>FACTURADO</v>
      </c>
      <c r="AG594" s="27">
        <f>IFERROR(VLOOKUP(DATA[[#This Row],[COMBINADA]],#REF!,6,0),0)</f>
        <v>0</v>
      </c>
      <c r="AH594" s="125">
        <f>IFERROR(VLOOKUP(DATA[[#This Row],[COMBINADA]],#REF!,9,0),0)/COUNTIFS(DATA[COMBINADA],DATA[[#This Row],[COMBINADA]])</f>
        <v>0</v>
      </c>
      <c r="AI594" s="27">
        <f>IFERROR(VLOOKUP(DATA[[#This Row],[COMBINADA]],#REF!,6,0),0)</f>
        <v>0</v>
      </c>
      <c r="AJ594" s="125">
        <f>IFERROR(VLOOKUP(DATA[[#This Row],[COMBINADA]],#REF!,9,0),0)/COUNTIFS(DATA[COMBINADA],DATA[[#This Row],[COMBINADA]])</f>
        <v>0</v>
      </c>
      <c r="AK594" s="27">
        <f>IFERROR(VLOOKUP(DATA[[#This Row],[COMBINADA]],#REF!,6,0),0)</f>
        <v>0</v>
      </c>
      <c r="AL594" s="125">
        <f>IFERROR(VLOOKUP(DATA[[#This Row],[COMBINADA]],#REF!,9,0),0)/COUNTIFS(DATA[COMBINADA],DATA[[#This Row],[COMBINADA]])</f>
        <v>0</v>
      </c>
      <c r="AM594" s="27">
        <f>IFERROR(VLOOKUP(DATA[[#This Row],[COMBINADA]],#REF!,6,0),0)</f>
        <v>0</v>
      </c>
      <c r="AN594" s="125">
        <f>IFERROR(VLOOKUP(DATA[[#This Row],[COMBINADA]],#REF!,9,0),0)/COUNTIFS(DATA[COMBINADA],DATA[[#This Row],[COMBINADA]])</f>
        <v>0</v>
      </c>
      <c r="AO594" s="27">
        <f>IFERROR(VLOOKUP(DATA[[#This Row],[COMBINADA]],#REF!,6,0),0)</f>
        <v>0</v>
      </c>
      <c r="AP594" s="125">
        <f>IFERROR(VLOOKUP(DATA[[#This Row],[COMBINADA]],#REF!,9,0),0)/COUNTIFS(DATA[COMBINADA],DATA[[#This Row],[COMBINADA]])</f>
        <v>0</v>
      </c>
      <c r="AQ59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481.06363636363642</v>
      </c>
      <c r="AR594" s="26" t="str">
        <f>IFERROR(IF(DATA[[#This Row],[estado_fact]]="FACTURADO",VLOOKUP(DATA[[#This Row],[SERIE2]]&amp;"-"&amp;DATA[[#This Row],[NUMERO]],#REF!,34,0),"NO CORRESPONDE"),"NO CORRESPONDE")</f>
        <v>NO CORRESPONDE</v>
      </c>
      <c r="AS594" s="22" t="str">
        <f>IF(DATA[[#This Row],[fecha_fs]]&gt;0,TEXT(DATA[[#This Row],[fecha_fs]],"Mmmm"),0)</f>
        <v>Mayo</v>
      </c>
      <c r="AT594" s="22" t="str">
        <f>DATA[[#This Row],[SERIE2]]&amp;"-"&amp;DATA[[#This Row],[NUMERO]]</f>
        <v>FF01-143</v>
      </c>
      <c r="AU594" s="28">
        <f>DATA[[#This Row],[TOTAL]]*DATA[[#This Row],[T.C.]]</f>
        <v>494.54</v>
      </c>
      <c r="AV594" s="6">
        <f>DATA[[#This Row],[FECHA DE VAL.]]</f>
        <v>45803</v>
      </c>
      <c r="AW594" s="6">
        <f>DATA[[#This Row],[FECHA DE EMISION]]</f>
        <v>45845</v>
      </c>
      <c r="AX594" s="6">
        <f>DATA[[#This Row],[F1]]</f>
        <v>0</v>
      </c>
      <c r="AY594" s="20">
        <f>IF(AV594-DATA[[#This Row],[fecha_fs]]&lt;0,0,AV594-DATA[[#This Row],[fecha_fs]])</f>
        <v>24</v>
      </c>
      <c r="AZ594" s="20">
        <f t="shared" si="64"/>
        <v>42</v>
      </c>
      <c r="BA594" s="20">
        <f t="shared" si="65"/>
        <v>0</v>
      </c>
      <c r="BB594" s="195">
        <f>IFERROR(SUM(DATA[[#This Row],[fs_val_ttf]:[fact_pago_ttf]]),0)</f>
        <v>66</v>
      </c>
      <c r="BC594" s="185">
        <v>45821</v>
      </c>
      <c r="BD594" s="185">
        <v>45828</v>
      </c>
      <c r="BE594" s="185">
        <v>45831</v>
      </c>
      <c r="BF594" s="185">
        <v>45832</v>
      </c>
      <c r="BG594" s="20">
        <f>IFERROR(IF(BC594-DATA[[#This Row],[fecha_fs]]&lt;0,0,BC594-DATA[[#This Row],[fecha_fs]]),0)</f>
        <v>42</v>
      </c>
      <c r="BH594" s="20">
        <f t="shared" si="66"/>
        <v>7</v>
      </c>
      <c r="BI594" s="20">
        <f t="shared" si="67"/>
        <v>3</v>
      </c>
      <c r="BJ594" s="20">
        <f t="shared" si="68"/>
        <v>1</v>
      </c>
      <c r="BK594" s="218">
        <f>IFERROR(SUM(DATA[[#This Row],[fs_fd_ttd]:[fend_fenf_ttd]]),0)</f>
        <v>53</v>
      </c>
      <c r="BL594" s="20" t="str">
        <f>IF(DATA[[#This Row],[fecha_fs]]&gt;0,TEXT(DATA[[#This Row],[fecha_fs]],"YYYY"),0)</f>
        <v>2025</v>
      </c>
      <c r="BM594" s="221" t="b">
        <v>1</v>
      </c>
      <c r="BN594" s="278">
        <f>COUNTIF(DATA[[#This Row],[tiempo_td]], "&lt;=15")</f>
        <v>0</v>
      </c>
      <c r="BO594" s="222"/>
    </row>
    <row r="595" spans="1:67" ht="30.6" customHeight="1" x14ac:dyDescent="0.25">
      <c r="A595" s="4">
        <v>20419158462</v>
      </c>
      <c r="B595" s="5" t="s">
        <v>2</v>
      </c>
      <c r="C595" s="52" t="s">
        <v>4</v>
      </c>
      <c r="D595" s="4" t="s">
        <v>120</v>
      </c>
      <c r="E595" s="5" t="s">
        <v>3</v>
      </c>
      <c r="F595" s="24">
        <v>45779</v>
      </c>
      <c r="G595" s="7" t="s">
        <v>113</v>
      </c>
      <c r="H595" s="25">
        <f t="shared" si="63"/>
        <v>1</v>
      </c>
      <c r="I595" s="67">
        <v>4452</v>
      </c>
      <c r="J595" s="8" t="s">
        <v>115</v>
      </c>
      <c r="K595" s="9" t="s">
        <v>156</v>
      </c>
      <c r="L595" s="10" t="s">
        <v>117</v>
      </c>
      <c r="M595" s="11">
        <v>450</v>
      </c>
      <c r="N595" s="12" t="s">
        <v>125</v>
      </c>
      <c r="O595" s="6">
        <v>45782</v>
      </c>
      <c r="P595" s="83">
        <v>3435</v>
      </c>
      <c r="Q595" s="14" t="s">
        <v>85</v>
      </c>
      <c r="R595" s="15"/>
      <c r="S595" s="15">
        <f>1429.7/2</f>
        <v>714.85</v>
      </c>
      <c r="T595" s="15">
        <f>DATA[[#This Row],[C. DF]]+DATA[[#This Row],[C.OPE.]]</f>
        <v>714.85</v>
      </c>
      <c r="U595" s="15">
        <f>DATA[[#This Row],[SUB TOTAL]]*0.18</f>
        <v>128.673</v>
      </c>
      <c r="V595" s="15">
        <f>IFERROR(ROUND(DATA[[#This Row],[SUB TOTAL]]+DATA[[#This Row],[IGV]],2),0)</f>
        <v>843.52</v>
      </c>
      <c r="W595" s="16" t="str">
        <f>IF(DATA[[#This Row],[VALORIZACIÓN ]]="-","NO CORRESPONDE",IF(OR(A595=20558226979,A595=10470707866,A595=20111157058,A595=20100226902),"NO CORRESPONDE",IF(J595="Emitida",IF(P595&gt;0,"EMITIDA","PENDIENTE"),"NO CORRESPONDE")))</f>
        <v>EMITIDA</v>
      </c>
      <c r="X595" s="29" t="s">
        <v>231</v>
      </c>
      <c r="Y595" s="17" t="s">
        <v>118</v>
      </c>
      <c r="Z595" s="30">
        <v>45845</v>
      </c>
      <c r="AA595" s="10" t="s">
        <v>150</v>
      </c>
      <c r="AB595" s="19">
        <v>149</v>
      </c>
      <c r="AC595" s="20">
        <v>15</v>
      </c>
      <c r="AD595" s="18">
        <f>DATA[[#This Row],[FECHA DE EMISION]]+DATA[[#This Row],[CONDICION DE PAGO]]</f>
        <v>45860</v>
      </c>
      <c r="AE595" s="23">
        <f>IF(DATA[[#This Row],[MONEDA]]="USD",VLOOKUP(DATA[[#This Row],[COMBINADA]],#REF!,11,0),1)</f>
        <v>1</v>
      </c>
      <c r="AF595" s="39" t="str">
        <f>IF(DATA[[#This Row],[SERIE2]]="-","NO CORRESPONDE",IF(W595="NO CORRESPONDE","NO CORRESPONDE",IF(Z595&gt;0,"FACTURADO","PENDIENTE")))</f>
        <v>FACTURADO</v>
      </c>
      <c r="AG595" s="27">
        <f>IFERROR(VLOOKUP(DATA[[#This Row],[COMBINADA]],#REF!,6,0),0)</f>
        <v>0</v>
      </c>
      <c r="AH595" s="125">
        <f>IFERROR(VLOOKUP(DATA[[#This Row],[COMBINADA]],#REF!,9,0),0)/COUNTIFS(DATA[COMBINADA],DATA[[#This Row],[COMBINADA]])</f>
        <v>0</v>
      </c>
      <c r="AI595" s="27">
        <f>IFERROR(VLOOKUP(DATA[[#This Row],[COMBINADA]],#REF!,6,0),0)</f>
        <v>0</v>
      </c>
      <c r="AJ595" s="125">
        <f>IFERROR(VLOOKUP(DATA[[#This Row],[COMBINADA]],#REF!,9,0),0)/COUNTIFS(DATA[COMBINADA],DATA[[#This Row],[COMBINADA]])</f>
        <v>0</v>
      </c>
      <c r="AK595" s="27">
        <f>IFERROR(VLOOKUP(DATA[[#This Row],[COMBINADA]],#REF!,6,0),0)</f>
        <v>0</v>
      </c>
      <c r="AL595" s="125">
        <f>IFERROR(VLOOKUP(DATA[[#This Row],[COMBINADA]],#REF!,9,0),0)/COUNTIFS(DATA[COMBINADA],DATA[[#This Row],[COMBINADA]])</f>
        <v>0</v>
      </c>
      <c r="AM595" s="27">
        <f>IFERROR(VLOOKUP(DATA[[#This Row],[COMBINADA]],#REF!,6,0),0)</f>
        <v>0</v>
      </c>
      <c r="AN595" s="125">
        <f>IFERROR(VLOOKUP(DATA[[#This Row],[COMBINADA]],#REF!,9,0),0)/COUNTIFS(DATA[COMBINADA],DATA[[#This Row],[COMBINADA]])</f>
        <v>0</v>
      </c>
      <c r="AO595" s="27">
        <f>IFERROR(VLOOKUP(DATA[[#This Row],[COMBINADA]],#REF!,6,0),0)</f>
        <v>0</v>
      </c>
      <c r="AP595" s="125">
        <f>IFERROR(VLOOKUP(DATA[[#This Row],[COMBINADA]],#REF!,9,0),0)/COUNTIFS(DATA[COMBINADA],DATA[[#This Row],[COMBINADA]])</f>
        <v>0</v>
      </c>
      <c r="AQ59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595" s="26" t="str">
        <f>IFERROR(IF(DATA[[#This Row],[estado_fact]]="FACTURADO",VLOOKUP(DATA[[#This Row],[SERIE2]]&amp;"-"&amp;DATA[[#This Row],[NUMERO]],#REF!,34,0),"NO CORRESPONDE"),"NO CORRESPONDE")</f>
        <v>NO CORRESPONDE</v>
      </c>
      <c r="AS595" s="22" t="str">
        <f>IF(DATA[[#This Row],[fecha_fs]]&gt;0,TEXT(DATA[[#This Row],[fecha_fs]],"Mmmm"),0)</f>
        <v>Mayo</v>
      </c>
      <c r="AT595" s="22" t="str">
        <f>DATA[[#This Row],[SERIE2]]&amp;"-"&amp;DATA[[#This Row],[NUMERO]]</f>
        <v>FF01-149</v>
      </c>
      <c r="AU595" s="28">
        <f>DATA[[#This Row],[TOTAL]]*DATA[[#This Row],[T.C.]]</f>
        <v>843.52</v>
      </c>
      <c r="AV595" s="6">
        <f>DATA[[#This Row],[FECHA DE VAL.]]</f>
        <v>45782</v>
      </c>
      <c r="AW595" s="6">
        <f>DATA[[#This Row],[FECHA DE EMISION]]</f>
        <v>45845</v>
      </c>
      <c r="AX595" s="6">
        <f>DATA[[#This Row],[F1]]</f>
        <v>0</v>
      </c>
      <c r="AY595" s="20">
        <f>IF(AV595-DATA[[#This Row],[fecha_fs]]&lt;0,0,AV595-DATA[[#This Row],[fecha_fs]])</f>
        <v>3</v>
      </c>
      <c r="AZ595" s="20">
        <f t="shared" si="64"/>
        <v>63</v>
      </c>
      <c r="BA595" s="20">
        <f t="shared" si="65"/>
        <v>0</v>
      </c>
      <c r="BB595" s="195">
        <f>IFERROR(SUM(DATA[[#This Row],[fs_val_ttf]:[fact_pago_ttf]]),0)</f>
        <v>66</v>
      </c>
      <c r="BC595" s="185">
        <v>45779</v>
      </c>
      <c r="BD595" s="185">
        <v>45779</v>
      </c>
      <c r="BE595" s="185">
        <v>45807</v>
      </c>
      <c r="BF595" s="185">
        <v>45807</v>
      </c>
      <c r="BG595" s="20">
        <f>IFERROR(IF(BC595-DATA[[#This Row],[fecha_fs]]&lt;0,0,BC595-DATA[[#This Row],[fecha_fs]]),0)</f>
        <v>0</v>
      </c>
      <c r="BH595" s="20">
        <f t="shared" si="66"/>
        <v>0</v>
      </c>
      <c r="BI595" s="20">
        <f t="shared" si="67"/>
        <v>28</v>
      </c>
      <c r="BJ595" s="20">
        <f t="shared" si="68"/>
        <v>0</v>
      </c>
      <c r="BK595" s="218">
        <f>IFERROR(SUM(DATA[[#This Row],[fs_fd_ttd]:[fend_fenf_ttd]]),0)</f>
        <v>28</v>
      </c>
      <c r="BL595" s="20" t="str">
        <f>IF(DATA[[#This Row],[fecha_fs]]&gt;0,TEXT(DATA[[#This Row],[fecha_fs]],"YYYY"),0)</f>
        <v>2025</v>
      </c>
      <c r="BM595" s="221" t="b">
        <v>1</v>
      </c>
      <c r="BN595" s="278">
        <f>COUNTIF(DATA[[#This Row],[tiempo_td]], "&lt;=15")</f>
        <v>0</v>
      </c>
      <c r="BO595" s="222"/>
    </row>
    <row r="596" spans="1:67" ht="30.6" customHeight="1" x14ac:dyDescent="0.25">
      <c r="A596" s="4">
        <v>20100226902</v>
      </c>
      <c r="B596" s="5" t="s">
        <v>24</v>
      </c>
      <c r="C596" s="52" t="s">
        <v>18</v>
      </c>
      <c r="D596" s="4" t="s">
        <v>120</v>
      </c>
      <c r="E596" s="5" t="s">
        <v>3</v>
      </c>
      <c r="F596" s="24">
        <v>45782</v>
      </c>
      <c r="G596" s="7" t="s">
        <v>113</v>
      </c>
      <c r="H596" s="25">
        <f t="shared" si="63"/>
        <v>1</v>
      </c>
      <c r="I596" s="67">
        <v>4453</v>
      </c>
      <c r="J596" s="8" t="s">
        <v>115</v>
      </c>
      <c r="K596" s="9" t="s">
        <v>121</v>
      </c>
      <c r="L596" s="10" t="s">
        <v>117</v>
      </c>
      <c r="M596" s="11">
        <v>670</v>
      </c>
      <c r="N596" s="12" t="s">
        <v>240</v>
      </c>
      <c r="O596" s="40"/>
      <c r="P596" s="41" t="s">
        <v>114</v>
      </c>
      <c r="Q596" s="42"/>
      <c r="R596" s="43"/>
      <c r="S596" s="43"/>
      <c r="T596" s="43">
        <f>DATA[[#This Row],[C. DF]]+DATA[[#This Row],[C.OPE.]]</f>
        <v>0</v>
      </c>
      <c r="U596" s="43">
        <f>DATA[[#This Row],[SUB TOTAL]]*0.18</f>
        <v>0</v>
      </c>
      <c r="V596" s="43">
        <f>IFERROR(ROUND(DATA[[#This Row],[SUB TOTAL]]+DATA[[#This Row],[IGV]],2),0)</f>
        <v>0</v>
      </c>
      <c r="W596" s="58" t="str">
        <f>IF(DATA[[#This Row],[VALORIZACIÓN ]]="-","NO CORRESPONDE",IF(OR(A596=20558226979,A596=10470707866,A596=20111157058,A596=20100226902),"NO CORRESPONDE",IF(J596="Emitida",IF(P596&gt;0,"EMITIDA","PENDIENTE"),"NO CORRESPONDE")))</f>
        <v>NO CORRESPONDE</v>
      </c>
      <c r="X596" s="45"/>
      <c r="Y596" s="58" t="s">
        <v>128</v>
      </c>
      <c r="Z596" s="46"/>
      <c r="AA596" s="47"/>
      <c r="AB596" s="48"/>
      <c r="AC596" s="49"/>
      <c r="AD596" s="50">
        <f>DATA[[#This Row],[FECHA DE EMISION]]+DATA[[#This Row],[CONDICION DE PAGO]]</f>
        <v>0</v>
      </c>
      <c r="AE596" s="23">
        <f>IF(DATA[[#This Row],[MONEDA]]="USD",VLOOKUP(DATA[[#This Row],[COMBINADA]],#REF!,11,0),1)</f>
        <v>1</v>
      </c>
      <c r="AF596" s="39" t="str">
        <f>IF(DATA[[#This Row],[SERIE2]]="-","NO CORRESPONDE",IF(W596="NO CORRESPONDE","NO CORRESPONDE",IF(Z596&gt;0,"FACTURADO","PENDIENTE")))</f>
        <v>NO CORRESPONDE</v>
      </c>
      <c r="AG596" s="60">
        <f>IFERROR(VLOOKUP(DATA[[#This Row],[COMBINADA]],#REF!,6,0),0)</f>
        <v>0</v>
      </c>
      <c r="AH596" s="126">
        <f>IFERROR(VLOOKUP(DATA[[#This Row],[COMBINADA]],#REF!,9,0),0)/COUNTIFS(DATA[COMBINADA],DATA[[#This Row],[COMBINADA]])</f>
        <v>0</v>
      </c>
      <c r="AI596" s="60">
        <f>IFERROR(VLOOKUP(DATA[[#This Row],[COMBINADA]],#REF!,6,0),0)</f>
        <v>0</v>
      </c>
      <c r="AJ596" s="126">
        <f>IFERROR(VLOOKUP(DATA[[#This Row],[COMBINADA]],#REF!,9,0),0)/COUNTIFS(DATA[COMBINADA],DATA[[#This Row],[COMBINADA]])</f>
        <v>0</v>
      </c>
      <c r="AK596" s="60">
        <f>IFERROR(VLOOKUP(DATA[[#This Row],[COMBINADA]],#REF!,6,0),0)</f>
        <v>0</v>
      </c>
      <c r="AL596" s="126">
        <f>IFERROR(VLOOKUP(DATA[[#This Row],[COMBINADA]],#REF!,9,0),0)/COUNTIFS(DATA[COMBINADA],DATA[[#This Row],[COMBINADA]])</f>
        <v>0</v>
      </c>
      <c r="AM596" s="60">
        <f>IFERROR(VLOOKUP(DATA[[#This Row],[COMBINADA]],#REF!,6,0),0)</f>
        <v>0</v>
      </c>
      <c r="AN596" s="126">
        <f>IFERROR(VLOOKUP(DATA[[#This Row],[COMBINADA]],#REF!,9,0),0)/COUNTIFS(DATA[COMBINADA],DATA[[#This Row],[COMBINADA]])</f>
        <v>0</v>
      </c>
      <c r="AO596" s="60">
        <f>IFERROR(VLOOKUP(DATA[[#This Row],[COMBINADA]],#REF!,6,0),0)</f>
        <v>0</v>
      </c>
      <c r="AP596" s="126">
        <f>IFERROR(VLOOKUP(DATA[[#This Row],[COMBINADA]],#REF!,9,0),0)/COUNTIFS(DATA[COMBINADA],DATA[[#This Row],[COMBINADA]])</f>
        <v>0</v>
      </c>
      <c r="AQ596"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596" s="22" t="str">
        <f>IFERROR(IF(DATA[[#This Row],[estado_fact]]="FACTURADO",VLOOKUP(DATA[[#This Row],[SERIE2]]&amp;"-"&amp;DATA[[#This Row],[NUMERO]],#REF!,34,0),"NO CORRESPONDE"),"NO CORRESPONDE")</f>
        <v>NO CORRESPONDE</v>
      </c>
      <c r="AS596" s="22" t="str">
        <f>IF(DATA[[#This Row],[fecha_fs]]&gt;0,TEXT(DATA[[#This Row],[fecha_fs]],"Mmmm"),0)</f>
        <v>Mayo</v>
      </c>
      <c r="AT596" s="22" t="str">
        <f>DATA[[#This Row],[SERIE2]]&amp;"-"&amp;DATA[[#This Row],[NUMERO]]</f>
        <v>-</v>
      </c>
      <c r="AU596" s="28">
        <f>DATA[[#This Row],[TOTAL]]*DATA[[#This Row],[T.C.]]</f>
        <v>0</v>
      </c>
      <c r="AV596" s="6">
        <f>DATA[[#This Row],[FECHA DE VAL.]]</f>
        <v>0</v>
      </c>
      <c r="AW596" s="6">
        <f>DATA[[#This Row],[FECHA DE EMISION]]</f>
        <v>0</v>
      </c>
      <c r="AX596" s="6">
        <f>DATA[[#This Row],[F1]]</f>
        <v>0</v>
      </c>
      <c r="AY596" s="20">
        <f>IF(AV596-DATA[[#This Row],[fecha_fs]]&lt;0,0,AV596-DATA[[#This Row],[fecha_fs]])</f>
        <v>0</v>
      </c>
      <c r="AZ596" s="20">
        <f t="shared" si="64"/>
        <v>0</v>
      </c>
      <c r="BA596" s="20">
        <f t="shared" si="65"/>
        <v>0</v>
      </c>
      <c r="BB596" s="195">
        <f>IFERROR(SUM(DATA[[#This Row],[fs_val_ttf]:[fact_pago_ttf]]),0)</f>
        <v>0</v>
      </c>
      <c r="BC596" s="185">
        <v>45782</v>
      </c>
      <c r="BD596" s="185">
        <v>45782</v>
      </c>
      <c r="BE596" s="185">
        <v>45825</v>
      </c>
      <c r="BF596" s="185">
        <v>45825</v>
      </c>
      <c r="BG596" s="20">
        <f>IFERROR(IF(BC596-DATA[[#This Row],[fecha_fs]]&lt;0,0,BC596-DATA[[#This Row],[fecha_fs]]),0)</f>
        <v>0</v>
      </c>
      <c r="BH596" s="20">
        <f t="shared" si="66"/>
        <v>0</v>
      </c>
      <c r="BI596" s="20">
        <f t="shared" si="67"/>
        <v>43</v>
      </c>
      <c r="BJ596" s="20">
        <f t="shared" si="68"/>
        <v>0</v>
      </c>
      <c r="BK596" s="218">
        <f>IFERROR(SUM(DATA[[#This Row],[fs_fd_ttd]:[fend_fenf_ttd]]),0)</f>
        <v>43</v>
      </c>
      <c r="BL596" s="20" t="str">
        <f>IF(DATA[[#This Row],[fecha_fs]]&gt;0,TEXT(DATA[[#This Row],[fecha_fs]],"YYYY"),0)</f>
        <v>2025</v>
      </c>
      <c r="BM596" s="221" t="b">
        <v>1</v>
      </c>
      <c r="BN596" s="278">
        <f>COUNTIF(DATA[[#This Row],[tiempo_td]], "&lt;=15")</f>
        <v>0</v>
      </c>
      <c r="BO596" s="222"/>
    </row>
    <row r="597" spans="1:67" ht="30.6" customHeight="1" x14ac:dyDescent="0.25">
      <c r="A597" s="4">
        <v>20419158462</v>
      </c>
      <c r="B597" s="5" t="s">
        <v>2</v>
      </c>
      <c r="C597" s="52" t="s">
        <v>6</v>
      </c>
      <c r="D597" s="4" t="s">
        <v>120</v>
      </c>
      <c r="E597" s="5" t="s">
        <v>3</v>
      </c>
      <c r="F597" s="24">
        <v>45779</v>
      </c>
      <c r="G597" s="7" t="s">
        <v>113</v>
      </c>
      <c r="H597" s="25">
        <f t="shared" si="63"/>
        <v>1</v>
      </c>
      <c r="I597" s="67">
        <v>4454</v>
      </c>
      <c r="J597" s="8" t="s">
        <v>115</v>
      </c>
      <c r="K597" s="9" t="s">
        <v>156</v>
      </c>
      <c r="L597" s="10" t="s">
        <v>117</v>
      </c>
      <c r="M597" s="11">
        <v>370</v>
      </c>
      <c r="N597" s="12" t="s">
        <v>125</v>
      </c>
      <c r="O597" s="6">
        <v>45782</v>
      </c>
      <c r="P597" s="83">
        <v>3435</v>
      </c>
      <c r="Q597" s="14" t="s">
        <v>85</v>
      </c>
      <c r="R597" s="15"/>
      <c r="S597" s="15">
        <f>1429.7/2</f>
        <v>714.85</v>
      </c>
      <c r="T597" s="15">
        <f>DATA[[#This Row],[C. DF]]+DATA[[#This Row],[C.OPE.]]</f>
        <v>714.85</v>
      </c>
      <c r="U597" s="15">
        <f>DATA[[#This Row],[SUB TOTAL]]*0.18</f>
        <v>128.673</v>
      </c>
      <c r="V597" s="15">
        <f>IFERROR(ROUND(DATA[[#This Row],[SUB TOTAL]]+DATA[[#This Row],[IGV]],2),0)</f>
        <v>843.52</v>
      </c>
      <c r="W597" s="16" t="str">
        <f>IF(DATA[[#This Row],[VALORIZACIÓN ]]="-","NO CORRESPONDE",IF(OR(A597=20558226979,A597=10470707866,A597=20111157058,A597=20100226902),"NO CORRESPONDE",IF(J597="Emitida",IF(P597&gt;0,"EMITIDA","PENDIENTE"),"NO CORRESPONDE")))</f>
        <v>EMITIDA</v>
      </c>
      <c r="X597" s="29" t="s">
        <v>231</v>
      </c>
      <c r="Y597" s="17" t="s">
        <v>118</v>
      </c>
      <c r="Z597" s="30">
        <v>45845</v>
      </c>
      <c r="AA597" s="10" t="s">
        <v>150</v>
      </c>
      <c r="AB597" s="19">
        <v>149</v>
      </c>
      <c r="AC597" s="20">
        <v>15</v>
      </c>
      <c r="AD597" s="18">
        <f>DATA[[#This Row],[FECHA DE EMISION]]+DATA[[#This Row],[CONDICION DE PAGO]]</f>
        <v>45860</v>
      </c>
      <c r="AE597" s="23">
        <f>IF(DATA[[#This Row],[MONEDA]]="USD",VLOOKUP(DATA[[#This Row],[COMBINADA]],#REF!,11,0),1)</f>
        <v>1</v>
      </c>
      <c r="AF597" s="39" t="str">
        <f>IF(DATA[[#This Row],[SERIE2]]="-","NO CORRESPONDE",IF(W597="NO CORRESPONDE","NO CORRESPONDE",IF(Z597&gt;0,"FACTURADO","PENDIENTE")))</f>
        <v>FACTURADO</v>
      </c>
      <c r="AG597" s="27">
        <f>IFERROR(VLOOKUP(DATA[[#This Row],[COMBINADA]],#REF!,6,0),0)</f>
        <v>0</v>
      </c>
      <c r="AH597" s="125">
        <f>IFERROR(VLOOKUP(DATA[[#This Row],[COMBINADA]],#REF!,9,0),0)/COUNTIFS(DATA[COMBINADA],DATA[[#This Row],[COMBINADA]])</f>
        <v>0</v>
      </c>
      <c r="AI597" s="27">
        <f>IFERROR(VLOOKUP(DATA[[#This Row],[COMBINADA]],#REF!,6,0),0)</f>
        <v>0</v>
      </c>
      <c r="AJ597" s="125">
        <f>IFERROR(VLOOKUP(DATA[[#This Row],[COMBINADA]],#REF!,9,0),0)/COUNTIFS(DATA[COMBINADA],DATA[[#This Row],[COMBINADA]])</f>
        <v>0</v>
      </c>
      <c r="AK597" s="27">
        <f>IFERROR(VLOOKUP(DATA[[#This Row],[COMBINADA]],#REF!,6,0),0)</f>
        <v>0</v>
      </c>
      <c r="AL597" s="125">
        <f>IFERROR(VLOOKUP(DATA[[#This Row],[COMBINADA]],#REF!,9,0),0)/COUNTIFS(DATA[COMBINADA],DATA[[#This Row],[COMBINADA]])</f>
        <v>0</v>
      </c>
      <c r="AM597" s="27">
        <f>IFERROR(VLOOKUP(DATA[[#This Row],[COMBINADA]],#REF!,6,0),0)</f>
        <v>0</v>
      </c>
      <c r="AN597" s="125">
        <f>IFERROR(VLOOKUP(DATA[[#This Row],[COMBINADA]],#REF!,9,0),0)/COUNTIFS(DATA[COMBINADA],DATA[[#This Row],[COMBINADA]])</f>
        <v>0</v>
      </c>
      <c r="AO597" s="27">
        <f>IFERROR(VLOOKUP(DATA[[#This Row],[COMBINADA]],#REF!,6,0),0)</f>
        <v>0</v>
      </c>
      <c r="AP597" s="125">
        <f>IFERROR(VLOOKUP(DATA[[#This Row],[COMBINADA]],#REF!,9,0),0)/COUNTIFS(DATA[COMBINADA],DATA[[#This Row],[COMBINADA]])</f>
        <v>0</v>
      </c>
      <c r="AQ59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597" s="26" t="str">
        <f>IFERROR(IF(DATA[[#This Row],[estado_fact]]="FACTURADO",VLOOKUP(DATA[[#This Row],[SERIE2]]&amp;"-"&amp;DATA[[#This Row],[NUMERO]],#REF!,34,0),"NO CORRESPONDE"),"NO CORRESPONDE")</f>
        <v>NO CORRESPONDE</v>
      </c>
      <c r="AS597" s="22" t="str">
        <f>IF(DATA[[#This Row],[fecha_fs]]&gt;0,TEXT(DATA[[#This Row],[fecha_fs]],"Mmmm"),0)</f>
        <v>Mayo</v>
      </c>
      <c r="AT597" s="22" t="str">
        <f>DATA[[#This Row],[SERIE2]]&amp;"-"&amp;DATA[[#This Row],[NUMERO]]</f>
        <v>FF01-149</v>
      </c>
      <c r="AU597" s="28">
        <f>DATA[[#This Row],[TOTAL]]*DATA[[#This Row],[T.C.]]</f>
        <v>843.52</v>
      </c>
      <c r="AV597" s="6">
        <f>DATA[[#This Row],[FECHA DE VAL.]]</f>
        <v>45782</v>
      </c>
      <c r="AW597" s="6">
        <f>DATA[[#This Row],[FECHA DE EMISION]]</f>
        <v>45845</v>
      </c>
      <c r="AX597" s="6">
        <f>DATA[[#This Row],[F1]]</f>
        <v>0</v>
      </c>
      <c r="AY597" s="20">
        <f>IF(AV597-DATA[[#This Row],[fecha_fs]]&lt;0,0,AV597-DATA[[#This Row],[fecha_fs]])</f>
        <v>3</v>
      </c>
      <c r="AZ597" s="20">
        <f t="shared" si="64"/>
        <v>63</v>
      </c>
      <c r="BA597" s="20">
        <f t="shared" si="65"/>
        <v>0</v>
      </c>
      <c r="BB597" s="195">
        <f>IFERROR(SUM(DATA[[#This Row],[fs_val_ttf]:[fact_pago_ttf]]),0)</f>
        <v>66</v>
      </c>
      <c r="BC597" s="185">
        <v>45779</v>
      </c>
      <c r="BD597" s="185">
        <v>45779</v>
      </c>
      <c r="BE597" s="185">
        <v>45807</v>
      </c>
      <c r="BF597" s="185">
        <v>45807</v>
      </c>
      <c r="BG597" s="20">
        <f>IFERROR(IF(BC597-DATA[[#This Row],[fecha_fs]]&lt;0,0,BC597-DATA[[#This Row],[fecha_fs]]),0)</f>
        <v>0</v>
      </c>
      <c r="BH597" s="20">
        <f t="shared" si="66"/>
        <v>0</v>
      </c>
      <c r="BI597" s="20">
        <f t="shared" si="67"/>
        <v>28</v>
      </c>
      <c r="BJ597" s="20">
        <f t="shared" si="68"/>
        <v>0</v>
      </c>
      <c r="BK597" s="218">
        <f>IFERROR(SUM(DATA[[#This Row],[fs_fd_ttd]:[fend_fenf_ttd]]),0)</f>
        <v>28</v>
      </c>
      <c r="BL597" s="20" t="str">
        <f>IF(DATA[[#This Row],[fecha_fs]]&gt;0,TEXT(DATA[[#This Row],[fecha_fs]],"YYYY"),0)</f>
        <v>2025</v>
      </c>
      <c r="BM597" s="221" t="b">
        <v>1</v>
      </c>
      <c r="BN597" s="278">
        <f>COUNTIF(DATA[[#This Row],[tiempo_td]], "&lt;=15")</f>
        <v>0</v>
      </c>
      <c r="BO597" s="222"/>
    </row>
    <row r="598" spans="1:67" ht="30.6" customHeight="1" x14ac:dyDescent="0.25">
      <c r="A598" s="4">
        <v>20100211115</v>
      </c>
      <c r="B598" s="5" t="s">
        <v>41</v>
      </c>
      <c r="C598" s="52" t="s">
        <v>18</v>
      </c>
      <c r="D598" s="4" t="s">
        <v>112</v>
      </c>
      <c r="E598" s="5" t="s">
        <v>1</v>
      </c>
      <c r="F598" s="24">
        <v>45779</v>
      </c>
      <c r="G598" s="7" t="s">
        <v>113</v>
      </c>
      <c r="H598" s="25">
        <f t="shared" si="63"/>
        <v>1</v>
      </c>
      <c r="I598" s="67">
        <v>4455</v>
      </c>
      <c r="J598" s="8" t="s">
        <v>115</v>
      </c>
      <c r="K598" s="9" t="s">
        <v>116</v>
      </c>
      <c r="L598" s="10" t="s">
        <v>117</v>
      </c>
      <c r="M598" s="11">
        <v>20</v>
      </c>
      <c r="N598" s="112" t="s">
        <v>200</v>
      </c>
      <c r="O598" s="6">
        <v>45803</v>
      </c>
      <c r="P598" s="115">
        <v>3456</v>
      </c>
      <c r="Q598" s="14" t="s">
        <v>85</v>
      </c>
      <c r="R598" s="15"/>
      <c r="S598" s="15">
        <f>(DATA[[#This Row],[cantidad_fs]]*4.57)</f>
        <v>91.4</v>
      </c>
      <c r="T598" s="15">
        <f>DATA[[#This Row],[C.OPE.]]</f>
        <v>91.4</v>
      </c>
      <c r="U598" s="15">
        <f>DATA[[#This Row],[SUB TOTAL]]*0.18</f>
        <v>16.452000000000002</v>
      </c>
      <c r="V598" s="15">
        <f>IFERROR(ROUND(DATA[[#This Row],[SUB TOTAL]]+DATA[[#This Row],[IGV]],2),0)</f>
        <v>107.85</v>
      </c>
      <c r="W598" s="16" t="str">
        <f>IF(DATA[[#This Row],[VALORIZACIÓN ]]="-","NO CORRESPONDE",IF(OR(A598=20558226979,A598=10470707866,A598=20111157058,A598=20100226902),"NO CORRESPONDE",IF(J598="Emitida",IF(P598&gt;0,"EMITIDA","PENDIENTE"),"NO CORRESPONDE")))</f>
        <v>EMITIDA</v>
      </c>
      <c r="X598" s="29"/>
      <c r="Y598" s="17" t="s">
        <v>118</v>
      </c>
      <c r="Z598" s="30">
        <v>45804</v>
      </c>
      <c r="AA598" s="10" t="s">
        <v>150</v>
      </c>
      <c r="AB598" s="19">
        <v>95</v>
      </c>
      <c r="AC598" s="20">
        <v>30</v>
      </c>
      <c r="AD598" s="18">
        <f>DATA[[#This Row],[FECHA DE EMISION]]+DATA[[#This Row],[CONDICION DE PAGO]]</f>
        <v>45834</v>
      </c>
      <c r="AE598" s="23">
        <f>IF(DATA[[#This Row],[MONEDA]]="USD",VLOOKUP(DATA[[#This Row],[COMBINADA]],#REF!,11,0),1)</f>
        <v>1</v>
      </c>
      <c r="AF598" s="39" t="str">
        <f>IF(DATA[[#This Row],[SERIE2]]="-","NO CORRESPONDE",IF(W598="NO CORRESPONDE","NO CORRESPONDE",IF(Z598&gt;0,"FACTURADO","PENDIENTE")))</f>
        <v>FACTURADO</v>
      </c>
      <c r="AG598" s="27">
        <f>IFERROR(VLOOKUP(DATA[[#This Row],[COMBINADA]],#REF!,6,0),0)</f>
        <v>0</v>
      </c>
      <c r="AH598" s="125">
        <f>IFERROR(VLOOKUP(DATA[[#This Row],[COMBINADA]],#REF!,9,0),0)/COUNTIFS(DATA[COMBINADA],DATA[[#This Row],[COMBINADA]])</f>
        <v>0</v>
      </c>
      <c r="AI598" s="27">
        <f>IFERROR(VLOOKUP(DATA[[#This Row],[COMBINADA]],#REF!,6,0),0)</f>
        <v>0</v>
      </c>
      <c r="AJ598" s="125">
        <f>IFERROR(VLOOKUP(DATA[[#This Row],[COMBINADA]],#REF!,9,0),0)/COUNTIFS(DATA[COMBINADA],DATA[[#This Row],[COMBINADA]])</f>
        <v>0</v>
      </c>
      <c r="AK598" s="27">
        <f>IFERROR(VLOOKUP(DATA[[#This Row],[COMBINADA]],#REF!,6,0),0)</f>
        <v>0</v>
      </c>
      <c r="AL598" s="125">
        <f>IFERROR(VLOOKUP(DATA[[#This Row],[COMBINADA]],#REF!,9,0),0)/COUNTIFS(DATA[COMBINADA],DATA[[#This Row],[COMBINADA]])</f>
        <v>0</v>
      </c>
      <c r="AM598" s="27">
        <f>IFERROR(VLOOKUP(DATA[[#This Row],[COMBINADA]],#REF!,6,0),0)</f>
        <v>0</v>
      </c>
      <c r="AN598" s="125">
        <f>IFERROR(VLOOKUP(DATA[[#This Row],[COMBINADA]],#REF!,9,0),0)/COUNTIFS(DATA[COMBINADA],DATA[[#This Row],[COMBINADA]])</f>
        <v>0</v>
      </c>
      <c r="AO598" s="27">
        <f>IFERROR(VLOOKUP(DATA[[#This Row],[COMBINADA]],#REF!,6,0),0)</f>
        <v>0</v>
      </c>
      <c r="AP598" s="125">
        <f>IFERROR(VLOOKUP(DATA[[#This Row],[COMBINADA]],#REF!,9,0),0)/COUNTIFS(DATA[COMBINADA],DATA[[#This Row],[COMBINADA]])</f>
        <v>0</v>
      </c>
      <c r="AQ59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88.076666666666668</v>
      </c>
      <c r="AR598" s="26" t="str">
        <f>IFERROR(IF(DATA[[#This Row],[estado_fact]]="FACTURADO",VLOOKUP(DATA[[#This Row],[SERIE2]]&amp;"-"&amp;DATA[[#This Row],[NUMERO]],#REF!,34,0),"NO CORRESPONDE"),"NO CORRESPONDE")</f>
        <v>NO CORRESPONDE</v>
      </c>
      <c r="AS598" s="22" t="str">
        <f>IF(DATA[[#This Row],[fecha_fs]]&gt;0,TEXT(DATA[[#This Row],[fecha_fs]],"Mmmm"),0)</f>
        <v>Mayo</v>
      </c>
      <c r="AT598" s="22" t="str">
        <f>DATA[[#This Row],[SERIE2]]&amp;"-"&amp;DATA[[#This Row],[NUMERO]]</f>
        <v>FF01-95</v>
      </c>
      <c r="AU598" s="28">
        <f>DATA[[#This Row],[TOTAL]]*DATA[[#This Row],[T.C.]]</f>
        <v>107.85</v>
      </c>
      <c r="AV598" s="6">
        <f>DATA[[#This Row],[FECHA DE VAL.]]</f>
        <v>45803</v>
      </c>
      <c r="AW598" s="6">
        <f>DATA[[#This Row],[FECHA DE EMISION]]</f>
        <v>45804</v>
      </c>
      <c r="AX598" s="6">
        <f>DATA[[#This Row],[F1]]</f>
        <v>0</v>
      </c>
      <c r="AY598" s="20">
        <f>IF(AV598-DATA[[#This Row],[fecha_fs]]&lt;0,0,AV598-DATA[[#This Row],[fecha_fs]])</f>
        <v>24</v>
      </c>
      <c r="AZ598" s="20">
        <f t="shared" si="64"/>
        <v>1</v>
      </c>
      <c r="BA598" s="20">
        <f t="shared" si="65"/>
        <v>0</v>
      </c>
      <c r="BB598" s="195">
        <f>IFERROR(SUM(DATA[[#This Row],[fs_val_ttf]:[fact_pago_ttf]]),0)</f>
        <v>25</v>
      </c>
      <c r="BC598" s="185">
        <v>45806</v>
      </c>
      <c r="BD598" s="185">
        <v>45814</v>
      </c>
      <c r="BE598" s="185">
        <v>45814</v>
      </c>
      <c r="BF598" s="185">
        <v>45817</v>
      </c>
      <c r="BG598" s="20">
        <f>IFERROR(IF(BC598-DATA[[#This Row],[fecha_fs]]&lt;0,0,BC598-DATA[[#This Row],[fecha_fs]]),0)</f>
        <v>27</v>
      </c>
      <c r="BH598" s="20">
        <f t="shared" si="66"/>
        <v>8</v>
      </c>
      <c r="BI598" s="20">
        <f t="shared" si="67"/>
        <v>0</v>
      </c>
      <c r="BJ598" s="20">
        <f t="shared" si="68"/>
        <v>3</v>
      </c>
      <c r="BK598" s="218">
        <f>IFERROR(SUM(DATA[[#This Row],[fs_fd_ttd]:[fend_fenf_ttd]]),0)</f>
        <v>38</v>
      </c>
      <c r="BL598" s="20" t="str">
        <f>IF(DATA[[#This Row],[fecha_fs]]&gt;0,TEXT(DATA[[#This Row],[fecha_fs]],"YYYY"),0)</f>
        <v>2025</v>
      </c>
      <c r="BM598" s="221" t="b">
        <v>1</v>
      </c>
      <c r="BN598" s="278">
        <f>COUNTIF(DATA[[#This Row],[tiempo_td]], "&lt;=15")</f>
        <v>0</v>
      </c>
      <c r="BO598" s="222"/>
    </row>
    <row r="599" spans="1:67" ht="30.6" customHeight="1" x14ac:dyDescent="0.25">
      <c r="A599" s="4">
        <v>20496535066</v>
      </c>
      <c r="B599" s="5" t="s">
        <v>36</v>
      </c>
      <c r="C599" s="52" t="s">
        <v>230</v>
      </c>
      <c r="D599" s="4" t="s">
        <v>290</v>
      </c>
      <c r="E599" s="5" t="s">
        <v>294</v>
      </c>
      <c r="F599" s="24">
        <v>45779</v>
      </c>
      <c r="G599" s="7" t="s">
        <v>113</v>
      </c>
      <c r="H599" s="25">
        <f t="shared" si="63"/>
        <v>1</v>
      </c>
      <c r="I599" s="67">
        <v>4456</v>
      </c>
      <c r="J599" s="8" t="s">
        <v>115</v>
      </c>
      <c r="K599" s="9" t="s">
        <v>195</v>
      </c>
      <c r="L599" s="10" t="s">
        <v>117</v>
      </c>
      <c r="M599" s="11">
        <v>7930</v>
      </c>
      <c r="N599" s="12" t="s">
        <v>233</v>
      </c>
      <c r="O599" s="6">
        <v>45805</v>
      </c>
      <c r="P599" s="13">
        <v>3478</v>
      </c>
      <c r="Q599" s="14" t="s">
        <v>85</v>
      </c>
      <c r="R599" s="15">
        <f>DATA[[#This Row],[cantidad_fs]]*0.08</f>
        <v>634.4</v>
      </c>
      <c r="S599" s="15">
        <f>3426/2</f>
        <v>1713</v>
      </c>
      <c r="T599" s="15">
        <f>DATA[[#This Row],[C. DF]]+DATA[[#This Row],[C.OPE.]]</f>
        <v>2347.4</v>
      </c>
      <c r="U599" s="15">
        <f>DATA[[#This Row],[SUB TOTAL]]*0.18</f>
        <v>422.53199999999998</v>
      </c>
      <c r="V599" s="15">
        <f>IFERROR(ROUND(DATA[[#This Row],[SUB TOTAL]]+DATA[[#This Row],[IGV]],2),0)</f>
        <v>2769.93</v>
      </c>
      <c r="W599" s="16" t="str">
        <f>IF(DATA[[#This Row],[VALORIZACIÓN ]]="-","NO CORRESPONDE",IF(OR(A599=20558226979,A599=10470707866,A599=20111157058,A599=20100226902),"NO CORRESPONDE",IF(J599="Emitida",IF(P599&gt;0,"EMITIDA","PENDIENTE"),"NO CORRESPONDE")))</f>
        <v>EMITIDA</v>
      </c>
      <c r="X599" s="29" t="s">
        <v>247</v>
      </c>
      <c r="Y599" s="17" t="s">
        <v>118</v>
      </c>
      <c r="Z599" s="30">
        <v>45831</v>
      </c>
      <c r="AA599" s="10" t="s">
        <v>150</v>
      </c>
      <c r="AB599" s="19">
        <v>130</v>
      </c>
      <c r="AC599" s="20">
        <v>15</v>
      </c>
      <c r="AD599" s="18">
        <f>DATA[[#This Row],[FECHA DE EMISION]]+DATA[[#This Row],[CONDICION DE PAGO]]</f>
        <v>45846</v>
      </c>
      <c r="AE599" s="23">
        <f>IF(DATA[[#This Row],[MONEDA]]="USD",VLOOKUP(DATA[[#This Row],[COMBINADA]],#REF!,11,0),1)</f>
        <v>1</v>
      </c>
      <c r="AF599" s="39" t="str">
        <f>IF(DATA[[#This Row],[SERIE2]]="-","NO CORRESPONDE",IF(W599="NO CORRESPONDE","NO CORRESPONDE",IF(Z599&gt;0,"FACTURADO","PENDIENTE")))</f>
        <v>FACTURADO</v>
      </c>
      <c r="AG599" s="27">
        <f>IFERROR(VLOOKUP(DATA[[#This Row],[COMBINADA]],#REF!,6,0),0)</f>
        <v>0</v>
      </c>
      <c r="AH599" s="125">
        <f>IFERROR(VLOOKUP(DATA[[#This Row],[COMBINADA]],#REF!,9,0),0)/COUNTIFS(DATA[COMBINADA],DATA[[#This Row],[COMBINADA]])</f>
        <v>0</v>
      </c>
      <c r="AI599" s="27">
        <f>IFERROR(VLOOKUP(DATA[[#This Row],[COMBINADA]],#REF!,6,0),0)</f>
        <v>0</v>
      </c>
      <c r="AJ599" s="125">
        <f>IFERROR(VLOOKUP(DATA[[#This Row],[COMBINADA]],#REF!,9,0),0)/COUNTIFS(DATA[COMBINADA],DATA[[#This Row],[COMBINADA]])</f>
        <v>0</v>
      </c>
      <c r="AK599" s="27">
        <f>IFERROR(VLOOKUP(DATA[[#This Row],[COMBINADA]],#REF!,6,0),0)</f>
        <v>0</v>
      </c>
      <c r="AL599" s="125">
        <f>IFERROR(VLOOKUP(DATA[[#This Row],[COMBINADA]],#REF!,9,0),0)/COUNTIFS(DATA[COMBINADA],DATA[[#This Row],[COMBINADA]])</f>
        <v>0</v>
      </c>
      <c r="AM599" s="27">
        <f>IFERROR(VLOOKUP(DATA[[#This Row],[COMBINADA]],#REF!,6,0),0)</f>
        <v>0</v>
      </c>
      <c r="AN599" s="125">
        <f>IFERROR(VLOOKUP(DATA[[#This Row],[COMBINADA]],#REF!,9,0),0)/COUNTIFS(DATA[COMBINADA],DATA[[#This Row],[COMBINADA]])</f>
        <v>0</v>
      </c>
      <c r="AO599" s="27">
        <f>IFERROR(VLOOKUP(DATA[[#This Row],[COMBINADA]],#REF!,6,0),0)</f>
        <v>0</v>
      </c>
      <c r="AP599" s="125">
        <f>IFERROR(VLOOKUP(DATA[[#This Row],[COMBINADA]],#REF!,9,0),0)/COUNTIFS(DATA[COMBINADA],DATA[[#This Row],[COMBINADA]])</f>
        <v>0</v>
      </c>
      <c r="AQ59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3831.7899999999995</v>
      </c>
      <c r="AR599" s="26" t="str">
        <f>IFERROR(IF(DATA[[#This Row],[estado_fact]]="FACTURADO",VLOOKUP(DATA[[#This Row],[SERIE2]]&amp;"-"&amp;DATA[[#This Row],[NUMERO]],#REF!,34,0),"NO CORRESPONDE"),"NO CORRESPONDE")</f>
        <v>NO CORRESPONDE</v>
      </c>
      <c r="AS599" s="22" t="str">
        <f>IF(DATA[[#This Row],[fecha_fs]]&gt;0,TEXT(DATA[[#This Row],[fecha_fs]],"Mmmm"),0)</f>
        <v>Mayo</v>
      </c>
      <c r="AT599" s="22" t="str">
        <f>DATA[[#This Row],[SERIE2]]&amp;"-"&amp;DATA[[#This Row],[NUMERO]]</f>
        <v>FF01-130</v>
      </c>
      <c r="AU599" s="28">
        <f>DATA[[#This Row],[TOTAL]]*DATA[[#This Row],[T.C.]]</f>
        <v>2769.93</v>
      </c>
      <c r="AV599" s="6">
        <f>DATA[[#This Row],[FECHA DE VAL.]]</f>
        <v>45805</v>
      </c>
      <c r="AW599" s="6">
        <f>DATA[[#This Row],[FECHA DE EMISION]]</f>
        <v>45831</v>
      </c>
      <c r="AX599" s="6">
        <f>DATA[[#This Row],[F1]]</f>
        <v>0</v>
      </c>
      <c r="AY599" s="20">
        <f>IF(AV599-DATA[[#This Row],[fecha_fs]]&lt;0,0,AV599-DATA[[#This Row],[fecha_fs]])</f>
        <v>26</v>
      </c>
      <c r="AZ599" s="20">
        <f t="shared" si="64"/>
        <v>26</v>
      </c>
      <c r="BA599" s="20">
        <f t="shared" si="65"/>
        <v>0</v>
      </c>
      <c r="BB599" s="195">
        <f>IFERROR(SUM(DATA[[#This Row],[fs_val_ttf]:[fact_pago_ttf]]),0)</f>
        <v>52</v>
      </c>
      <c r="BC599" s="185">
        <v>45785</v>
      </c>
      <c r="BD599" s="185">
        <v>45789</v>
      </c>
      <c r="BE599" s="185">
        <v>45797</v>
      </c>
      <c r="BF599" s="185">
        <v>45798</v>
      </c>
      <c r="BG599" s="20">
        <f>IFERROR(IF(BC599-DATA[[#This Row],[fecha_fs]]&lt;0,0,BC599-DATA[[#This Row],[fecha_fs]]),0)</f>
        <v>6</v>
      </c>
      <c r="BH599" s="20">
        <f t="shared" si="66"/>
        <v>4</v>
      </c>
      <c r="BI599" s="20">
        <f t="shared" si="67"/>
        <v>8</v>
      </c>
      <c r="BJ599" s="20">
        <f t="shared" si="68"/>
        <v>1</v>
      </c>
      <c r="BK599" s="218">
        <f>IFERROR(SUM(DATA[[#This Row],[fs_fd_ttd]:[fend_fenf_ttd]]),0)</f>
        <v>19</v>
      </c>
      <c r="BL599" s="20" t="str">
        <f>IF(DATA[[#This Row],[fecha_fs]]&gt;0,TEXT(DATA[[#This Row],[fecha_fs]],"YYYY"),0)</f>
        <v>2025</v>
      </c>
      <c r="BM599" s="221" t="b">
        <v>1</v>
      </c>
      <c r="BN599" s="278">
        <f>COUNTIF(DATA[[#This Row],[tiempo_td]], "&lt;=15")</f>
        <v>0</v>
      </c>
      <c r="BO599" s="222"/>
    </row>
    <row r="600" spans="1:67" ht="30.6" customHeight="1" x14ac:dyDescent="0.25">
      <c r="A600" s="4">
        <v>20496535066</v>
      </c>
      <c r="B600" s="5" t="s">
        <v>36</v>
      </c>
      <c r="C600" s="52" t="s">
        <v>230</v>
      </c>
      <c r="D600" s="4" t="s">
        <v>290</v>
      </c>
      <c r="E600" s="5" t="s">
        <v>294</v>
      </c>
      <c r="F600" s="24">
        <v>45779</v>
      </c>
      <c r="G600" s="7" t="s">
        <v>113</v>
      </c>
      <c r="H600" s="25">
        <f t="shared" si="63"/>
        <v>1</v>
      </c>
      <c r="I600" s="67">
        <v>4457</v>
      </c>
      <c r="J600" s="8" t="s">
        <v>115</v>
      </c>
      <c r="K600" s="9" t="s">
        <v>195</v>
      </c>
      <c r="L600" s="10" t="s">
        <v>117</v>
      </c>
      <c r="M600" s="134">
        <f>12570</f>
        <v>12570</v>
      </c>
      <c r="N600" s="12" t="s">
        <v>233</v>
      </c>
      <c r="O600" s="6">
        <v>45805</v>
      </c>
      <c r="P600" s="13">
        <v>3478</v>
      </c>
      <c r="Q600" s="14" t="s">
        <v>85</v>
      </c>
      <c r="R600" s="15">
        <f>DATA[[#This Row],[cantidad_fs]]*0.08</f>
        <v>1005.6</v>
      </c>
      <c r="S600" s="15">
        <f>3426/2</f>
        <v>1713</v>
      </c>
      <c r="T600" s="15">
        <f>DATA[[#This Row],[C. DF]]+DATA[[#This Row],[C.OPE.]]</f>
        <v>2718.6</v>
      </c>
      <c r="U600" s="15">
        <f>DATA[[#This Row],[SUB TOTAL]]*0.18</f>
        <v>489.34799999999996</v>
      </c>
      <c r="V600" s="15">
        <f>IFERROR(ROUND(DATA[[#This Row],[SUB TOTAL]]+DATA[[#This Row],[IGV]],2),0)</f>
        <v>3207.95</v>
      </c>
      <c r="W600" s="16" t="str">
        <f>IF(DATA[[#This Row],[VALORIZACIÓN ]]="-","NO CORRESPONDE",IF(OR(A600=20558226979,A600=10470707866,A600=20111157058,A600=20100226902),"NO CORRESPONDE",IF(J600="Emitida",IF(P600&gt;0,"EMITIDA","PENDIENTE"),"NO CORRESPONDE")))</f>
        <v>EMITIDA</v>
      </c>
      <c r="X600" s="29" t="s">
        <v>247</v>
      </c>
      <c r="Y600" s="17" t="s">
        <v>118</v>
      </c>
      <c r="Z600" s="30">
        <v>45831</v>
      </c>
      <c r="AA600" s="10" t="s">
        <v>150</v>
      </c>
      <c r="AB600" s="19">
        <v>130</v>
      </c>
      <c r="AC600" s="20">
        <v>15</v>
      </c>
      <c r="AD600" s="18">
        <f>DATA[[#This Row],[FECHA DE EMISION]]+DATA[[#This Row],[CONDICION DE PAGO]]</f>
        <v>45846</v>
      </c>
      <c r="AE600" s="23">
        <f>IF(DATA[[#This Row],[MONEDA]]="USD",VLOOKUP(DATA[[#This Row],[COMBINADA]],#REF!,11,0),1)</f>
        <v>1</v>
      </c>
      <c r="AF600" s="39" t="str">
        <f>IF(DATA[[#This Row],[SERIE2]]="-","NO CORRESPONDE",IF(W600="NO CORRESPONDE","NO CORRESPONDE",IF(Z600&gt;0,"FACTURADO","PENDIENTE")))</f>
        <v>FACTURADO</v>
      </c>
      <c r="AG600" s="27">
        <f>IFERROR(VLOOKUP(DATA[[#This Row],[COMBINADA]],#REF!,6,0),0)</f>
        <v>0</v>
      </c>
      <c r="AH600" s="125">
        <f>IFERROR(VLOOKUP(DATA[[#This Row],[COMBINADA]],#REF!,9,0),0)/COUNTIFS(DATA[COMBINADA],DATA[[#This Row],[COMBINADA]])</f>
        <v>0</v>
      </c>
      <c r="AI600" s="27">
        <f>IFERROR(VLOOKUP(DATA[[#This Row],[COMBINADA]],#REF!,6,0),0)</f>
        <v>0</v>
      </c>
      <c r="AJ600" s="125">
        <f>IFERROR(VLOOKUP(DATA[[#This Row],[COMBINADA]],#REF!,9,0),0)/COUNTIFS(DATA[COMBINADA],DATA[[#This Row],[COMBINADA]])</f>
        <v>0</v>
      </c>
      <c r="AK600" s="27">
        <f>IFERROR(VLOOKUP(DATA[[#This Row],[COMBINADA]],#REF!,6,0),0)</f>
        <v>0</v>
      </c>
      <c r="AL600" s="125">
        <f>IFERROR(VLOOKUP(DATA[[#This Row],[COMBINADA]],#REF!,9,0),0)/COUNTIFS(DATA[COMBINADA],DATA[[#This Row],[COMBINADA]])</f>
        <v>0</v>
      </c>
      <c r="AM600" s="27">
        <f>IFERROR(VLOOKUP(DATA[[#This Row],[COMBINADA]],#REF!,6,0),0)</f>
        <v>0</v>
      </c>
      <c r="AN600" s="125">
        <f>IFERROR(VLOOKUP(DATA[[#This Row],[COMBINADA]],#REF!,9,0),0)/COUNTIFS(DATA[COMBINADA],DATA[[#This Row],[COMBINADA]])</f>
        <v>0</v>
      </c>
      <c r="AO600" s="27">
        <f>IFERROR(VLOOKUP(DATA[[#This Row],[COMBINADA]],#REF!,6,0),0)</f>
        <v>0</v>
      </c>
      <c r="AP600" s="125">
        <f>IFERROR(VLOOKUP(DATA[[#This Row],[COMBINADA]],#REF!,9,0),0)/COUNTIFS(DATA[COMBINADA],DATA[[#This Row],[COMBINADA]])</f>
        <v>0</v>
      </c>
      <c r="AQ60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3831.7899999999995</v>
      </c>
      <c r="AR600" s="26" t="str">
        <f>IFERROR(IF(DATA[[#This Row],[estado_fact]]="FACTURADO",VLOOKUP(DATA[[#This Row],[SERIE2]]&amp;"-"&amp;DATA[[#This Row],[NUMERO]],#REF!,34,0),"NO CORRESPONDE"),"NO CORRESPONDE")</f>
        <v>NO CORRESPONDE</v>
      </c>
      <c r="AS600" s="22" t="str">
        <f>IF(DATA[[#This Row],[fecha_fs]]&gt;0,TEXT(DATA[[#This Row],[fecha_fs]],"Mmmm"),0)</f>
        <v>Mayo</v>
      </c>
      <c r="AT600" s="22" t="str">
        <f>DATA[[#This Row],[SERIE2]]&amp;"-"&amp;DATA[[#This Row],[NUMERO]]</f>
        <v>FF01-130</v>
      </c>
      <c r="AU600" s="28">
        <f>DATA[[#This Row],[TOTAL]]*DATA[[#This Row],[T.C.]]</f>
        <v>3207.95</v>
      </c>
      <c r="AV600" s="6">
        <f>DATA[[#This Row],[FECHA DE VAL.]]</f>
        <v>45805</v>
      </c>
      <c r="AW600" s="6">
        <f>DATA[[#This Row],[FECHA DE EMISION]]</f>
        <v>45831</v>
      </c>
      <c r="AX600" s="6">
        <f>DATA[[#This Row],[F1]]</f>
        <v>0</v>
      </c>
      <c r="AY600" s="20">
        <f>IF(AV600-DATA[[#This Row],[fecha_fs]]&lt;0,0,AV600-DATA[[#This Row],[fecha_fs]])</f>
        <v>26</v>
      </c>
      <c r="AZ600" s="20">
        <f t="shared" si="64"/>
        <v>26</v>
      </c>
      <c r="BA600" s="20">
        <f t="shared" si="65"/>
        <v>0</v>
      </c>
      <c r="BB600" s="195">
        <f>IFERROR(SUM(DATA[[#This Row],[fs_val_ttf]:[fact_pago_ttf]]),0)</f>
        <v>52</v>
      </c>
      <c r="BC600" s="185">
        <v>45783</v>
      </c>
      <c r="BD600" s="185">
        <v>45789</v>
      </c>
      <c r="BE600" s="185">
        <v>45797</v>
      </c>
      <c r="BF600" s="185">
        <v>45798</v>
      </c>
      <c r="BG600" s="20">
        <f>IFERROR(IF(BC600-DATA[[#This Row],[fecha_fs]]&lt;0,0,BC600-DATA[[#This Row],[fecha_fs]]),0)</f>
        <v>4</v>
      </c>
      <c r="BH600" s="20">
        <f t="shared" si="66"/>
        <v>6</v>
      </c>
      <c r="BI600" s="20">
        <f t="shared" si="67"/>
        <v>8</v>
      </c>
      <c r="BJ600" s="20">
        <f t="shared" si="68"/>
        <v>1</v>
      </c>
      <c r="BK600" s="218">
        <f>IFERROR(SUM(DATA[[#This Row],[fs_fd_ttd]:[fend_fenf_ttd]]),0)</f>
        <v>19</v>
      </c>
      <c r="BL600" s="20" t="str">
        <f>IF(DATA[[#This Row],[fecha_fs]]&gt;0,TEXT(DATA[[#This Row],[fecha_fs]],"YYYY"),0)</f>
        <v>2025</v>
      </c>
      <c r="BM600" s="221" t="b">
        <v>1</v>
      </c>
      <c r="BN600" s="278">
        <f>COUNTIF(DATA[[#This Row],[tiempo_td]], "&lt;=15")</f>
        <v>0</v>
      </c>
      <c r="BO600" s="222"/>
    </row>
    <row r="601" spans="1:67" ht="30" customHeight="1" x14ac:dyDescent="0.3">
      <c r="A601" s="4"/>
      <c r="B601" s="5" t="s">
        <v>0</v>
      </c>
      <c r="C601" s="52"/>
      <c r="D601" s="4"/>
      <c r="E601" s="5" t="s">
        <v>0</v>
      </c>
      <c r="F601" s="24">
        <v>45779</v>
      </c>
      <c r="G601" s="7" t="s">
        <v>113</v>
      </c>
      <c r="H601" s="25">
        <f t="shared" si="63"/>
        <v>1</v>
      </c>
      <c r="I601" s="67">
        <v>4458</v>
      </c>
      <c r="J601" s="8" t="s">
        <v>151</v>
      </c>
      <c r="K601" s="9"/>
      <c r="L601" s="10"/>
      <c r="M601" s="111"/>
      <c r="N601"/>
      <c r="O601" s="6"/>
      <c r="P601" s="13" t="s">
        <v>114</v>
      </c>
      <c r="Q601" s="14"/>
      <c r="R601" s="15"/>
      <c r="S601" s="15"/>
      <c r="T601" s="15">
        <f>DATA[[#This Row],[C. DF]]+DATA[[#This Row],[C.OPE.]]</f>
        <v>0</v>
      </c>
      <c r="U601" s="73">
        <f>DATA[[#This Row],[SUB TOTAL]]*0.18</f>
        <v>0</v>
      </c>
      <c r="V601" s="45">
        <f>IFERROR(ROUND(DATA[[#This Row],[SUB TOTAL]]+DATA[[#This Row],[IGV]],2),0)</f>
        <v>0</v>
      </c>
      <c r="W601" s="73" t="str">
        <f>IF(DATA[[#This Row],[VALORIZACIÓN ]]="-","NO CORRESPONDE",IF(OR(A601=20558226979,A601=10470707866,A601=20111157058,A601=20100226902),"NO CORRESPONDE",IF(J601="Emitida",IF(P601&gt;0,"EMITIDA","PENDIENTE"),"NO CORRESPONDE")))</f>
        <v>NO CORRESPONDE</v>
      </c>
      <c r="X601" s="46"/>
      <c r="Y601" s="17" t="s">
        <v>128</v>
      </c>
      <c r="Z601" s="48"/>
      <c r="AA601" s="49"/>
      <c r="AB601" s="50"/>
      <c r="AC601" s="51"/>
      <c r="AD601" s="59">
        <f>DATA[[#This Row],[FECHA DE EMISION]]+DATA[[#This Row],[CONDICION DE PAGO]]</f>
        <v>0</v>
      </c>
      <c r="AE601" s="23">
        <f>IF(DATA[[#This Row],[MONEDA]]="USD",VLOOKUP(DATA[[#This Row],[COMBINADA]],#REF!,11,0),1)</f>
        <v>1</v>
      </c>
      <c r="AF601" s="39" t="str">
        <f>IF(DATA[[#This Row],[SERIE2]]="-","NO CORRESPONDE",IF(W601="NO CORRESPONDE","NO CORRESPONDE",IF(Z601&gt;0,"FACTURADO","PENDIENTE")))</f>
        <v>NO CORRESPONDE</v>
      </c>
      <c r="AG601" s="61">
        <f>IFERROR(VLOOKUP(DATA[[#This Row],[COMBINADA]],#REF!,6,0),0)</f>
        <v>0</v>
      </c>
      <c r="AH601" s="62">
        <f>IFERROR(VLOOKUP(DATA[[#This Row],[COMBINADA]],#REF!,9,0),0)/COUNTIFS(DATA[COMBINADA],DATA[[#This Row],[COMBINADA]])</f>
        <v>0</v>
      </c>
      <c r="AI601" s="61">
        <f>IFERROR(VLOOKUP(DATA[[#This Row],[COMBINADA]],#REF!,6,0),0)</f>
        <v>0</v>
      </c>
      <c r="AJ601" s="62">
        <f>IFERROR(VLOOKUP(DATA[[#This Row],[COMBINADA]],#REF!,9,0),0)/COUNTIFS(DATA[COMBINADA],DATA[[#This Row],[COMBINADA]])</f>
        <v>0</v>
      </c>
      <c r="AK601" s="61">
        <f>IFERROR(VLOOKUP(DATA[[#This Row],[COMBINADA]],#REF!,6,0),0)</f>
        <v>0</v>
      </c>
      <c r="AL601" s="62">
        <f>IFERROR(VLOOKUP(DATA[[#This Row],[COMBINADA]],#REF!,9,0),0)/COUNTIFS(DATA[COMBINADA],DATA[[#This Row],[COMBINADA]])</f>
        <v>0</v>
      </c>
      <c r="AM601" s="61">
        <f>IFERROR(VLOOKUP(DATA[[#This Row],[COMBINADA]],#REF!,6,0),0)</f>
        <v>0</v>
      </c>
      <c r="AN601" s="62">
        <f>IFERROR(VLOOKUP(DATA[[#This Row],[COMBINADA]],#REF!,9,0),0)/COUNTIFS(DATA[COMBINADA],DATA[[#This Row],[COMBINADA]])</f>
        <v>0</v>
      </c>
      <c r="AO601" s="61">
        <f>IFERROR(VLOOKUP(DATA[[#This Row],[COMBINADA]],#REF!,6,0),0)</f>
        <v>0</v>
      </c>
      <c r="AP601" s="62">
        <f>IFERROR(VLOOKUP(DATA[[#This Row],[COMBINADA]],#REF!,9,0),0)/COUNTIFS(DATA[COMBINADA],DATA[[#This Row],[COMBINADA]])</f>
        <v>0</v>
      </c>
      <c r="AQ601"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601" s="22" t="str">
        <f>IFERROR(IF(DATA[[#This Row],[estado_fact]]="FACTURADO",VLOOKUP(DATA[[#This Row],[SERIE2]]&amp;"-"&amp;DATA[[#This Row],[NUMERO]],#REF!,34,0),"NO CORRESPONDE"),"NO CORRESPONDE")</f>
        <v>NO CORRESPONDE</v>
      </c>
      <c r="AS601" s="198" t="str">
        <f>IF(DATA[[#This Row],[fecha_fs]]&gt;0,TEXT(DATA[[#This Row],[fecha_fs]],"Mmmm"),0)</f>
        <v>Mayo</v>
      </c>
      <c r="AT601" s="199" t="str">
        <f>DATA[[#This Row],[SERIE2]]&amp;"-"&amp;DATA[[#This Row],[NUMERO]]</f>
        <v>-</v>
      </c>
      <c r="AU601" s="198">
        <f>DATA[[#This Row],[TOTAL]]*DATA[[#This Row],[T.C.]]</f>
        <v>0</v>
      </c>
      <c r="AV601" s="40">
        <f>DATA[[#This Row],[FECHA DE VAL.]]</f>
        <v>0</v>
      </c>
      <c r="AW601" s="40">
        <f>DATA[[#This Row],[FECHA DE EMISION]]</f>
        <v>0</v>
      </c>
      <c r="AX601" s="40">
        <f>DATA[[#This Row],[F1]]</f>
        <v>0</v>
      </c>
      <c r="AY601" s="49">
        <f>IF(AV601-DATA[[#This Row],[fecha_fs]]&lt;0,0,AV601-DATA[[#This Row],[fecha_fs]])</f>
        <v>0</v>
      </c>
      <c r="AZ601" s="49">
        <f t="shared" si="64"/>
        <v>0</v>
      </c>
      <c r="BA601" s="49">
        <f t="shared" si="65"/>
        <v>0</v>
      </c>
      <c r="BB601" s="195">
        <f>IFERROR(SUM(DATA[[#This Row],[fs_val_ttf]:[fact_pago_ttf]]),0)</f>
        <v>0</v>
      </c>
      <c r="BC601" s="200"/>
      <c r="BD601" s="200"/>
      <c r="BE601" s="200"/>
      <c r="BF601" s="200"/>
      <c r="BG601" s="49">
        <f>IFERROR(IF(BC601-DATA[[#This Row],[fecha_fs]]&lt;0,0,BC601-DATA[[#This Row],[fecha_fs]]),0)</f>
        <v>0</v>
      </c>
      <c r="BH601" s="49">
        <f t="shared" si="66"/>
        <v>0</v>
      </c>
      <c r="BI601" s="49">
        <f t="shared" si="67"/>
        <v>0</v>
      </c>
      <c r="BJ601" s="49">
        <f t="shared" si="68"/>
        <v>0</v>
      </c>
      <c r="BK601" s="218">
        <f>IFERROR(SUM(DATA[[#This Row],[fs_fd_ttd]:[fend_fenf_ttd]]),0)</f>
        <v>0</v>
      </c>
      <c r="BL601" s="20" t="str">
        <f>IF(DATA[[#This Row],[fecha_fs]]&gt;0,TEXT(DATA[[#This Row],[fecha_fs]],"YYYY"),0)</f>
        <v>2025</v>
      </c>
      <c r="BM601" s="221" t="b">
        <v>0</v>
      </c>
      <c r="BN601" s="278"/>
      <c r="BO601" s="222"/>
    </row>
    <row r="602" spans="1:67" ht="30.6" customHeight="1" x14ac:dyDescent="0.25">
      <c r="A602" s="4">
        <v>20100211115</v>
      </c>
      <c r="B602" s="5" t="s">
        <v>41</v>
      </c>
      <c r="C602" s="52" t="s">
        <v>18</v>
      </c>
      <c r="D602" s="4" t="s">
        <v>120</v>
      </c>
      <c r="E602" s="5" t="s">
        <v>3</v>
      </c>
      <c r="F602" s="24">
        <v>45782</v>
      </c>
      <c r="G602" s="7" t="s">
        <v>113</v>
      </c>
      <c r="H602" s="25">
        <f t="shared" si="63"/>
        <v>1</v>
      </c>
      <c r="I602" s="67">
        <v>4459</v>
      </c>
      <c r="J602" s="8" t="s">
        <v>115</v>
      </c>
      <c r="K602" s="9" t="s">
        <v>121</v>
      </c>
      <c r="L602" s="10" t="s">
        <v>117</v>
      </c>
      <c r="M602" s="11">
        <v>90</v>
      </c>
      <c r="N602" s="12" t="s">
        <v>167</v>
      </c>
      <c r="O602" s="6">
        <v>45803</v>
      </c>
      <c r="P602" s="115">
        <v>3455</v>
      </c>
      <c r="Q602" s="14" t="s">
        <v>85</v>
      </c>
      <c r="R602" s="15"/>
      <c r="S602" s="15">
        <f>(DATA[[#This Row],[cantidad_fs]]*4.37)</f>
        <v>393.3</v>
      </c>
      <c r="T602" s="15">
        <f>DATA[[#This Row],[C. DF]]+DATA[[#This Row],[C.OPE.]]</f>
        <v>393.3</v>
      </c>
      <c r="U602" s="15">
        <f>DATA[[#This Row],[SUB TOTAL]]*0.18</f>
        <v>70.793999999999997</v>
      </c>
      <c r="V602" s="15">
        <f>IFERROR(ROUND(DATA[[#This Row],[SUB TOTAL]]+DATA[[#This Row],[IGV]],2),0)</f>
        <v>464.09</v>
      </c>
      <c r="W602" s="16" t="str">
        <f>IF(DATA[[#This Row],[VALORIZACIÓN ]]="-","NO CORRESPONDE",IF(OR(A602=20558226979,A602=10470707866,A602=20111157058,A602=20100226902),"NO CORRESPONDE",IF(J602="Emitida",IF(P602&gt;0,"EMITIDA","PENDIENTE"),"NO CORRESPONDE")))</f>
        <v>EMITIDA</v>
      </c>
      <c r="X602" s="29"/>
      <c r="Y602" s="17" t="s">
        <v>118</v>
      </c>
      <c r="Z602" s="30">
        <v>45804</v>
      </c>
      <c r="AA602" s="10" t="s">
        <v>150</v>
      </c>
      <c r="AB602" s="19">
        <v>94</v>
      </c>
      <c r="AC602" s="20">
        <v>30</v>
      </c>
      <c r="AD602" s="18">
        <f>DATA[[#This Row],[FECHA DE EMISION]]+DATA[[#This Row],[CONDICION DE PAGO]]</f>
        <v>45834</v>
      </c>
      <c r="AE602" s="23">
        <f>IF(DATA[[#This Row],[MONEDA]]="USD",VLOOKUP(DATA[[#This Row],[COMBINADA]],#REF!,11,0),1)</f>
        <v>1</v>
      </c>
      <c r="AF602" s="39" t="str">
        <f>IF(DATA[[#This Row],[SERIE2]]="-","NO CORRESPONDE",IF(W602="NO CORRESPONDE","NO CORRESPONDE",IF(Z602&gt;0,"FACTURADO","PENDIENTE")))</f>
        <v>FACTURADO</v>
      </c>
      <c r="AG602" s="27">
        <f>IFERROR(VLOOKUP(DATA[[#This Row],[COMBINADA]],#REF!,6,0),0)</f>
        <v>0</v>
      </c>
      <c r="AH602" s="125">
        <f>IFERROR(VLOOKUP(DATA[[#This Row],[COMBINADA]],#REF!,9,0),0)/COUNTIFS(DATA[COMBINADA],DATA[[#This Row],[COMBINADA]])</f>
        <v>0</v>
      </c>
      <c r="AI602" s="27">
        <f>IFERROR(VLOOKUP(DATA[[#This Row],[COMBINADA]],#REF!,6,0),0)</f>
        <v>0</v>
      </c>
      <c r="AJ602" s="125">
        <f>IFERROR(VLOOKUP(DATA[[#This Row],[COMBINADA]],#REF!,9,0),0)/COUNTIFS(DATA[COMBINADA],DATA[[#This Row],[COMBINADA]])</f>
        <v>0</v>
      </c>
      <c r="AK602" s="27">
        <f>IFERROR(VLOOKUP(DATA[[#This Row],[COMBINADA]],#REF!,6,0),0)</f>
        <v>0</v>
      </c>
      <c r="AL602" s="125">
        <f>IFERROR(VLOOKUP(DATA[[#This Row],[COMBINADA]],#REF!,9,0),0)/COUNTIFS(DATA[COMBINADA],DATA[[#This Row],[COMBINADA]])</f>
        <v>0</v>
      </c>
      <c r="AM602" s="27">
        <f>IFERROR(VLOOKUP(DATA[[#This Row],[COMBINADA]],#REF!,6,0),0)</f>
        <v>0</v>
      </c>
      <c r="AN602" s="125">
        <f>IFERROR(VLOOKUP(DATA[[#This Row],[COMBINADA]],#REF!,9,0),0)/COUNTIFS(DATA[COMBINADA],DATA[[#This Row],[COMBINADA]])</f>
        <v>0</v>
      </c>
      <c r="AO602" s="27">
        <f>IFERROR(VLOOKUP(DATA[[#This Row],[COMBINADA]],#REF!,6,0),0)</f>
        <v>0</v>
      </c>
      <c r="AP602" s="125">
        <f>IFERROR(VLOOKUP(DATA[[#This Row],[COMBINADA]],#REF!,9,0),0)/COUNTIFS(DATA[COMBINADA],DATA[[#This Row],[COMBINADA]])</f>
        <v>0</v>
      </c>
      <c r="AQ60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602" s="26" t="str">
        <f>IFERROR(IF(DATA[[#This Row],[estado_fact]]="FACTURADO",VLOOKUP(DATA[[#This Row],[SERIE2]]&amp;"-"&amp;DATA[[#This Row],[NUMERO]],#REF!,34,0),"NO CORRESPONDE"),"NO CORRESPONDE")</f>
        <v>NO CORRESPONDE</v>
      </c>
      <c r="AS602" s="22" t="str">
        <f>IF(DATA[[#This Row],[fecha_fs]]&gt;0,TEXT(DATA[[#This Row],[fecha_fs]],"Mmmm"),0)</f>
        <v>Mayo</v>
      </c>
      <c r="AT602" s="22" t="str">
        <f>DATA[[#This Row],[SERIE2]]&amp;"-"&amp;DATA[[#This Row],[NUMERO]]</f>
        <v>FF01-94</v>
      </c>
      <c r="AU602" s="28">
        <f>DATA[[#This Row],[TOTAL]]*DATA[[#This Row],[T.C.]]</f>
        <v>464.09</v>
      </c>
      <c r="AV602" s="6">
        <f>DATA[[#This Row],[FECHA DE VAL.]]</f>
        <v>45803</v>
      </c>
      <c r="AW602" s="6">
        <f>DATA[[#This Row],[FECHA DE EMISION]]</f>
        <v>45804</v>
      </c>
      <c r="AX602" s="6">
        <f>DATA[[#This Row],[F1]]</f>
        <v>0</v>
      </c>
      <c r="AY602" s="20">
        <f>IF(AV602-DATA[[#This Row],[fecha_fs]]&lt;0,0,AV602-DATA[[#This Row],[fecha_fs]])</f>
        <v>21</v>
      </c>
      <c r="AZ602" s="20">
        <f t="shared" si="64"/>
        <v>1</v>
      </c>
      <c r="BA602" s="20">
        <f t="shared" si="65"/>
        <v>0</v>
      </c>
      <c r="BB602" s="195">
        <f>IFERROR(SUM(DATA[[#This Row],[fs_val_ttf]:[fact_pago_ttf]]),0)</f>
        <v>22</v>
      </c>
      <c r="BC602" s="185">
        <v>45807</v>
      </c>
      <c r="BD602" s="185">
        <v>45814</v>
      </c>
      <c r="BE602" s="185">
        <v>45814</v>
      </c>
      <c r="BF602" s="185">
        <v>45821</v>
      </c>
      <c r="BG602" s="20">
        <f>IFERROR(IF(BC602-DATA[[#This Row],[fecha_fs]]&lt;0,0,BC602-DATA[[#This Row],[fecha_fs]]),0)</f>
        <v>25</v>
      </c>
      <c r="BH602" s="20">
        <f t="shared" si="66"/>
        <v>7</v>
      </c>
      <c r="BI602" s="20">
        <f t="shared" si="67"/>
        <v>0</v>
      </c>
      <c r="BJ602" s="20">
        <f t="shared" si="68"/>
        <v>7</v>
      </c>
      <c r="BK602" s="218">
        <f>IFERROR(SUM(DATA[[#This Row],[fs_fd_ttd]:[fend_fenf_ttd]]),0)</f>
        <v>39</v>
      </c>
      <c r="BL602" s="20" t="str">
        <f>IF(DATA[[#This Row],[fecha_fs]]&gt;0,TEXT(DATA[[#This Row],[fecha_fs]],"YYYY"),0)</f>
        <v>2025</v>
      </c>
      <c r="BM602" s="221" t="b">
        <v>1</v>
      </c>
      <c r="BN602" s="278">
        <f>COUNTIF(DATA[[#This Row],[tiempo_td]], "&lt;=15")</f>
        <v>0</v>
      </c>
      <c r="BO602" s="222"/>
    </row>
    <row r="603" spans="1:67" ht="30.6" customHeight="1" x14ac:dyDescent="0.25">
      <c r="A603" s="4">
        <v>20553956324</v>
      </c>
      <c r="B603" s="5" t="s">
        <v>281</v>
      </c>
      <c r="C603" s="52" t="s">
        <v>175</v>
      </c>
      <c r="D603" s="4" t="s">
        <v>120</v>
      </c>
      <c r="E603" s="5" t="s">
        <v>3</v>
      </c>
      <c r="F603" s="24">
        <v>45782</v>
      </c>
      <c r="G603" s="7" t="s">
        <v>113</v>
      </c>
      <c r="H603" s="25">
        <f t="shared" si="63"/>
        <v>1</v>
      </c>
      <c r="I603" s="67">
        <v>4460</v>
      </c>
      <c r="J603" s="8" t="s">
        <v>115</v>
      </c>
      <c r="K603" s="9" t="s">
        <v>121</v>
      </c>
      <c r="L603" s="10" t="s">
        <v>117</v>
      </c>
      <c r="M603" s="11">
        <v>170</v>
      </c>
      <c r="N603" s="12" t="s">
        <v>167</v>
      </c>
      <c r="O603" s="6">
        <v>45803</v>
      </c>
      <c r="P603" s="109">
        <v>3458</v>
      </c>
      <c r="Q603" s="14" t="s">
        <v>85</v>
      </c>
      <c r="R603" s="15">
        <f>DATA[[#This Row],[cantidad_fs]]*0.08</f>
        <v>13.6</v>
      </c>
      <c r="S603" s="15">
        <v>395.1</v>
      </c>
      <c r="T603" s="15">
        <f>DATA[[#This Row],[C. DF]]+DATA[[#This Row],[C.OPE.]]</f>
        <v>408.70000000000005</v>
      </c>
      <c r="U603" s="15">
        <f>DATA[[#This Row],[SUB TOTAL]]*0.18</f>
        <v>73.566000000000003</v>
      </c>
      <c r="V603" s="15">
        <f>IFERROR(ROUND(DATA[[#This Row],[SUB TOTAL]]+DATA[[#This Row],[IGV]],2),0)</f>
        <v>482.27</v>
      </c>
      <c r="W603" s="16" t="str">
        <f>IF(DATA[[#This Row],[VALORIZACIÓN ]]="-","NO CORRESPONDE",IF(OR(A603=20558226979,A603=10470707866,A603=20111157058,A603=20100226902),"NO CORRESPONDE",IF(J603="Emitida",IF(P603&gt;0,"EMITIDA","PENDIENTE"),"NO CORRESPONDE")))</f>
        <v>EMITIDA</v>
      </c>
      <c r="X603" s="29" t="s">
        <v>234</v>
      </c>
      <c r="Y603" s="17" t="s">
        <v>118</v>
      </c>
      <c r="Z603" s="30">
        <v>45845</v>
      </c>
      <c r="AA603" s="10" t="s">
        <v>150</v>
      </c>
      <c r="AB603" s="19">
        <v>143</v>
      </c>
      <c r="AC603" s="20">
        <v>0</v>
      </c>
      <c r="AD603" s="18">
        <f>DATA[[#This Row],[FECHA DE EMISION]]+DATA[[#This Row],[CONDICION DE PAGO]]</f>
        <v>45845</v>
      </c>
      <c r="AE603" s="23">
        <f>IF(DATA[[#This Row],[MONEDA]]="USD",VLOOKUP(DATA[[#This Row],[COMBINADA]],#REF!,11,0),1)</f>
        <v>1</v>
      </c>
      <c r="AF603" s="39" t="str">
        <f>IF(DATA[[#This Row],[SERIE2]]="-","NO CORRESPONDE",IF(W603="NO CORRESPONDE","NO CORRESPONDE",IF(Z603&gt;0,"FACTURADO","PENDIENTE")))</f>
        <v>FACTURADO</v>
      </c>
      <c r="AG603" s="27">
        <f>IFERROR(VLOOKUP(DATA[[#This Row],[COMBINADA]],#REF!,6,0),0)</f>
        <v>0</v>
      </c>
      <c r="AH603" s="125">
        <f>IFERROR(VLOOKUP(DATA[[#This Row],[COMBINADA]],#REF!,9,0),0)/COUNTIFS(DATA[COMBINADA],DATA[[#This Row],[COMBINADA]])</f>
        <v>0</v>
      </c>
      <c r="AI603" s="27">
        <f>IFERROR(VLOOKUP(DATA[[#This Row],[COMBINADA]],#REF!,6,0),0)</f>
        <v>0</v>
      </c>
      <c r="AJ603" s="125">
        <f>IFERROR(VLOOKUP(DATA[[#This Row],[COMBINADA]],#REF!,9,0),0)/COUNTIFS(DATA[COMBINADA],DATA[[#This Row],[COMBINADA]])</f>
        <v>0</v>
      </c>
      <c r="AK603" s="27">
        <f>IFERROR(VLOOKUP(DATA[[#This Row],[COMBINADA]],#REF!,6,0),0)</f>
        <v>0</v>
      </c>
      <c r="AL603" s="125">
        <f>IFERROR(VLOOKUP(DATA[[#This Row],[COMBINADA]],#REF!,9,0),0)/COUNTIFS(DATA[COMBINADA],DATA[[#This Row],[COMBINADA]])</f>
        <v>0</v>
      </c>
      <c r="AM603" s="27">
        <f>IFERROR(VLOOKUP(DATA[[#This Row],[COMBINADA]],#REF!,6,0),0)</f>
        <v>0</v>
      </c>
      <c r="AN603" s="125">
        <f>IFERROR(VLOOKUP(DATA[[#This Row],[COMBINADA]],#REF!,9,0),0)/COUNTIFS(DATA[COMBINADA],DATA[[#This Row],[COMBINADA]])</f>
        <v>0</v>
      </c>
      <c r="AO603" s="27">
        <f>IFERROR(VLOOKUP(DATA[[#This Row],[COMBINADA]],#REF!,6,0),0)</f>
        <v>0</v>
      </c>
      <c r="AP603" s="125">
        <f>IFERROR(VLOOKUP(DATA[[#This Row],[COMBINADA]],#REF!,9,0),0)/COUNTIFS(DATA[COMBINADA],DATA[[#This Row],[COMBINADA]])</f>
        <v>0</v>
      </c>
      <c r="AQ60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481.06363636363642</v>
      </c>
      <c r="AR603" s="26" t="str">
        <f>IFERROR(IF(DATA[[#This Row],[estado_fact]]="FACTURADO",VLOOKUP(DATA[[#This Row],[SERIE2]]&amp;"-"&amp;DATA[[#This Row],[NUMERO]],#REF!,34,0),"NO CORRESPONDE"),"NO CORRESPONDE")</f>
        <v>NO CORRESPONDE</v>
      </c>
      <c r="AS603" s="22" t="str">
        <f>IF(DATA[[#This Row],[fecha_fs]]&gt;0,TEXT(DATA[[#This Row],[fecha_fs]],"Mmmm"),0)</f>
        <v>Mayo</v>
      </c>
      <c r="AT603" s="22" t="str">
        <f>DATA[[#This Row],[SERIE2]]&amp;"-"&amp;DATA[[#This Row],[NUMERO]]</f>
        <v>FF01-143</v>
      </c>
      <c r="AU603" s="28">
        <f>DATA[[#This Row],[TOTAL]]*DATA[[#This Row],[T.C.]]</f>
        <v>482.27</v>
      </c>
      <c r="AV603" s="6">
        <f>DATA[[#This Row],[FECHA DE VAL.]]</f>
        <v>45803</v>
      </c>
      <c r="AW603" s="6">
        <f>DATA[[#This Row],[FECHA DE EMISION]]</f>
        <v>45845</v>
      </c>
      <c r="AX603" s="6">
        <f>DATA[[#This Row],[F1]]</f>
        <v>0</v>
      </c>
      <c r="AY603" s="20">
        <f>IF(AV603-DATA[[#This Row],[fecha_fs]]&lt;0,0,AV603-DATA[[#This Row],[fecha_fs]])</f>
        <v>21</v>
      </c>
      <c r="AZ603" s="20">
        <f t="shared" si="64"/>
        <v>42</v>
      </c>
      <c r="BA603" s="20">
        <f t="shared" si="65"/>
        <v>0</v>
      </c>
      <c r="BB603" s="195">
        <f>IFERROR(SUM(DATA[[#This Row],[fs_val_ttf]:[fact_pago_ttf]]),0)</f>
        <v>63</v>
      </c>
      <c r="BC603" s="185">
        <v>45821</v>
      </c>
      <c r="BD603" s="185">
        <v>45828</v>
      </c>
      <c r="BE603" s="185">
        <v>45831</v>
      </c>
      <c r="BF603" s="185">
        <v>45832</v>
      </c>
      <c r="BG603" s="20">
        <f>IFERROR(IF(BC603-DATA[[#This Row],[fecha_fs]]&lt;0,0,BC603-DATA[[#This Row],[fecha_fs]]),0)</f>
        <v>39</v>
      </c>
      <c r="BH603" s="20">
        <f t="shared" si="66"/>
        <v>7</v>
      </c>
      <c r="BI603" s="20">
        <f t="shared" si="67"/>
        <v>3</v>
      </c>
      <c r="BJ603" s="20">
        <f t="shared" si="68"/>
        <v>1</v>
      </c>
      <c r="BK603" s="218">
        <f>IFERROR(SUM(DATA[[#This Row],[fs_fd_ttd]:[fend_fenf_ttd]]),0)</f>
        <v>50</v>
      </c>
      <c r="BL603" s="20" t="str">
        <f>IF(DATA[[#This Row],[fecha_fs]]&gt;0,TEXT(DATA[[#This Row],[fecha_fs]],"YYYY"),0)</f>
        <v>2025</v>
      </c>
      <c r="BM603" s="221" t="b">
        <v>1</v>
      </c>
      <c r="BN603" s="278">
        <f>COUNTIF(DATA[[#This Row],[tiempo_td]], "&lt;=15")</f>
        <v>0</v>
      </c>
      <c r="BO603" s="222"/>
    </row>
    <row r="604" spans="1:67" ht="30.6" customHeight="1" x14ac:dyDescent="0.25">
      <c r="A604" s="4">
        <v>20100192064</v>
      </c>
      <c r="B604" s="5" t="s">
        <v>60</v>
      </c>
      <c r="C604" s="52" t="s">
        <v>43</v>
      </c>
      <c r="D604" s="4" t="s">
        <v>112</v>
      </c>
      <c r="E604" s="5" t="s">
        <v>1</v>
      </c>
      <c r="F604" s="24">
        <v>45782</v>
      </c>
      <c r="G604" s="7" t="s">
        <v>113</v>
      </c>
      <c r="H604" s="25">
        <f t="shared" si="63"/>
        <v>1</v>
      </c>
      <c r="I604" s="67">
        <v>4461</v>
      </c>
      <c r="J604" s="8" t="s">
        <v>115</v>
      </c>
      <c r="K604" s="9" t="s">
        <v>116</v>
      </c>
      <c r="L604" s="10" t="s">
        <v>117</v>
      </c>
      <c r="M604" s="11">
        <v>3090</v>
      </c>
      <c r="N604" s="12" t="s">
        <v>129</v>
      </c>
      <c r="O604" s="6">
        <v>45803</v>
      </c>
      <c r="P604" s="71">
        <v>3461</v>
      </c>
      <c r="Q604" s="14" t="s">
        <v>123</v>
      </c>
      <c r="R604" s="15">
        <f>(DATA[[#This Row],[cantidad_fs]]/1000)*(143+175.34)</f>
        <v>983.67060000000004</v>
      </c>
      <c r="S604" s="15">
        <v>137</v>
      </c>
      <c r="T604" s="15">
        <f>DATA[[#This Row],[C. DF]]+DATA[[#This Row],[C.OPE.]]</f>
        <v>1120.6705999999999</v>
      </c>
      <c r="U604" s="15">
        <f>DATA[[#This Row],[SUB TOTAL]]*0.18</f>
        <v>201.72070799999997</v>
      </c>
      <c r="V604" s="15">
        <f>IFERROR(ROUND(DATA[[#This Row],[SUB TOTAL]]+DATA[[#This Row],[IGV]],2),0)</f>
        <v>1322.39</v>
      </c>
      <c r="W604" s="16" t="str">
        <f>IF(DATA[[#This Row],[VALORIZACIÓN ]]="-","NO CORRESPONDE",IF(OR(A604=20558226979,A604=10470707866,A604=20111157058,A604=20100226902),"NO CORRESPONDE",IF(J604="Emitida",IF(P604&gt;0,"EMITIDA","PENDIENTE"),"NO CORRESPONDE")))</f>
        <v>EMITIDA</v>
      </c>
      <c r="X604" s="29" t="s">
        <v>242</v>
      </c>
      <c r="Y604" s="17" t="s">
        <v>118</v>
      </c>
      <c r="Z604" s="30">
        <v>45804</v>
      </c>
      <c r="AA604" s="10" t="s">
        <v>150</v>
      </c>
      <c r="AB604" s="19">
        <v>97</v>
      </c>
      <c r="AC604" s="20">
        <v>30</v>
      </c>
      <c r="AD604" s="18">
        <f>DATA[[#This Row],[FECHA DE EMISION]]+DATA[[#This Row],[CONDICION DE PAGO]]</f>
        <v>45834</v>
      </c>
      <c r="AE604" s="23" t="e">
        <f>IF(DATA[[#This Row],[MONEDA]]="USD",VLOOKUP(DATA[[#This Row],[COMBINADA]],#REF!,11,0),1)</f>
        <v>#REF!</v>
      </c>
      <c r="AF604" s="39" t="str">
        <f>IF(DATA[[#This Row],[SERIE2]]="-","NO CORRESPONDE",IF(W604="NO CORRESPONDE","NO CORRESPONDE",IF(Z604&gt;0,"FACTURADO","PENDIENTE")))</f>
        <v>FACTURADO</v>
      </c>
      <c r="AG604" s="27">
        <f>IFERROR(VLOOKUP(DATA[[#This Row],[COMBINADA]],#REF!,6,0),0)</f>
        <v>0</v>
      </c>
      <c r="AH604" s="125">
        <f>IFERROR(VLOOKUP(DATA[[#This Row],[COMBINADA]],#REF!,9,0),0)/COUNTIFS(DATA[COMBINADA],DATA[[#This Row],[COMBINADA]])</f>
        <v>0</v>
      </c>
      <c r="AI604" s="27">
        <f>IFERROR(VLOOKUP(DATA[[#This Row],[COMBINADA]],#REF!,6,0),0)</f>
        <v>0</v>
      </c>
      <c r="AJ604" s="125">
        <f>IFERROR(VLOOKUP(DATA[[#This Row],[COMBINADA]],#REF!,9,0),0)/COUNTIFS(DATA[COMBINADA],DATA[[#This Row],[COMBINADA]])</f>
        <v>0</v>
      </c>
      <c r="AK604" s="27">
        <f>IFERROR(VLOOKUP(DATA[[#This Row],[COMBINADA]],#REF!,6,0),0)</f>
        <v>0</v>
      </c>
      <c r="AL604" s="125">
        <f>IFERROR(VLOOKUP(DATA[[#This Row],[COMBINADA]],#REF!,9,0),0)/COUNTIFS(DATA[COMBINADA],DATA[[#This Row],[COMBINADA]])</f>
        <v>0</v>
      </c>
      <c r="AM604" s="27">
        <f>IFERROR(VLOOKUP(DATA[[#This Row],[COMBINADA]],#REF!,6,0),0)</f>
        <v>0</v>
      </c>
      <c r="AN604" s="125">
        <f>IFERROR(VLOOKUP(DATA[[#This Row],[COMBINADA]],#REF!,9,0),0)/COUNTIFS(DATA[COMBINADA],DATA[[#This Row],[COMBINADA]])</f>
        <v>0</v>
      </c>
      <c r="AO604" s="27">
        <f>IFERROR(VLOOKUP(DATA[[#This Row],[COMBINADA]],#REF!,6,0),0)</f>
        <v>0</v>
      </c>
      <c r="AP604" s="125">
        <f>IFERROR(VLOOKUP(DATA[[#This Row],[COMBINADA]],#REF!,9,0),0)/COUNTIFS(DATA[COMBINADA],DATA[[#This Row],[COMBINADA]])</f>
        <v>0</v>
      </c>
      <c r="AQ60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685.70466666666675</v>
      </c>
      <c r="AR604" s="26" t="str">
        <f>IFERROR(IF(DATA[[#This Row],[estado_fact]]="FACTURADO",VLOOKUP(DATA[[#This Row],[SERIE2]]&amp;"-"&amp;DATA[[#This Row],[NUMERO]],#REF!,34,0),"NO CORRESPONDE"),"NO CORRESPONDE")</f>
        <v>NO CORRESPONDE</v>
      </c>
      <c r="AS604" s="22" t="str">
        <f>IF(DATA[[#This Row],[fecha_fs]]&gt;0,TEXT(DATA[[#This Row],[fecha_fs]],"Mmmm"),0)</f>
        <v>Mayo</v>
      </c>
      <c r="AT604" s="22" t="str">
        <f>DATA[[#This Row],[SERIE2]]&amp;"-"&amp;DATA[[#This Row],[NUMERO]]</f>
        <v>FF01-97</v>
      </c>
      <c r="AU604" s="28" t="e">
        <f>DATA[[#This Row],[TOTAL]]*DATA[[#This Row],[T.C.]]</f>
        <v>#REF!</v>
      </c>
      <c r="AV604" s="6">
        <f>DATA[[#This Row],[FECHA DE VAL.]]</f>
        <v>45803</v>
      </c>
      <c r="AW604" s="6">
        <f>DATA[[#This Row],[FECHA DE EMISION]]</f>
        <v>45804</v>
      </c>
      <c r="AX604" s="6">
        <f>DATA[[#This Row],[F1]]</f>
        <v>0</v>
      </c>
      <c r="AY604" s="20">
        <f>IF(AV604-DATA[[#This Row],[fecha_fs]]&lt;0,0,AV604-DATA[[#This Row],[fecha_fs]])</f>
        <v>21</v>
      </c>
      <c r="AZ604" s="20">
        <f t="shared" si="64"/>
        <v>1</v>
      </c>
      <c r="BA604" s="20">
        <f t="shared" si="65"/>
        <v>0</v>
      </c>
      <c r="BB604" s="195">
        <f>IFERROR(SUM(DATA[[#This Row],[fs_val_ttf]:[fact_pago_ttf]]),0)</f>
        <v>22</v>
      </c>
      <c r="BC604" s="185">
        <v>45790</v>
      </c>
      <c r="BD604" s="185">
        <v>45798</v>
      </c>
      <c r="BE604" s="185">
        <v>45751</v>
      </c>
      <c r="BF604" s="184">
        <v>45863</v>
      </c>
      <c r="BG604" s="20">
        <f>IFERROR(IF(BC604-DATA[[#This Row],[fecha_fs]]&lt;0,0,BC604-DATA[[#This Row],[fecha_fs]]),0)</f>
        <v>8</v>
      </c>
      <c r="BH604" s="20">
        <f t="shared" si="66"/>
        <v>8</v>
      </c>
      <c r="BI604" s="20">
        <f t="shared" si="67"/>
        <v>0</v>
      </c>
      <c r="BJ604" s="20">
        <f t="shared" si="68"/>
        <v>112</v>
      </c>
      <c r="BK604" s="218">
        <f>IFERROR(SUM(DATA[[#This Row],[fs_fd_ttd]:[fend_fenf_ttd]]),0)</f>
        <v>128</v>
      </c>
      <c r="BL604" s="20" t="str">
        <f>IF(DATA[[#This Row],[fecha_fs]]&gt;0,TEXT(DATA[[#This Row],[fecha_fs]],"YYYY"),0)</f>
        <v>2025</v>
      </c>
      <c r="BM604" s="221" t="b">
        <v>1</v>
      </c>
      <c r="BN604" s="278">
        <f>COUNTIF(DATA[[#This Row],[tiempo_td]], "&lt;=15")</f>
        <v>0</v>
      </c>
      <c r="BO604" s="222"/>
    </row>
    <row r="605" spans="1:67" ht="30.6" customHeight="1" x14ac:dyDescent="0.25">
      <c r="A605" s="4">
        <v>20496535066</v>
      </c>
      <c r="B605" s="5" t="s">
        <v>36</v>
      </c>
      <c r="C605" s="52" t="s">
        <v>230</v>
      </c>
      <c r="D605" s="4" t="s">
        <v>120</v>
      </c>
      <c r="E605" s="5" t="s">
        <v>3</v>
      </c>
      <c r="F605" s="24">
        <v>45779</v>
      </c>
      <c r="G605" s="7" t="s">
        <v>113</v>
      </c>
      <c r="H605" s="25">
        <f t="shared" si="63"/>
        <v>1</v>
      </c>
      <c r="I605" s="67">
        <v>4462</v>
      </c>
      <c r="J605" s="8" t="s">
        <v>115</v>
      </c>
      <c r="K605" s="9" t="s">
        <v>121</v>
      </c>
      <c r="L605" s="10" t="s">
        <v>117</v>
      </c>
      <c r="M605" s="11">
        <v>2680</v>
      </c>
      <c r="N605" s="12" t="s">
        <v>233</v>
      </c>
      <c r="O605" s="6">
        <v>45805</v>
      </c>
      <c r="P605" s="122">
        <v>3479</v>
      </c>
      <c r="Q605" s="14" t="s">
        <v>85</v>
      </c>
      <c r="R605" s="15">
        <f>DATA[[#This Row],[cantidad_fs]]*0.08</f>
        <v>214.4</v>
      </c>
      <c r="S605" s="15">
        <f>2945/2</f>
        <v>1472.5</v>
      </c>
      <c r="T605" s="15">
        <f>DATA[[#This Row],[C. DF]]+DATA[[#This Row],[C.OPE.]]</f>
        <v>1686.9</v>
      </c>
      <c r="U605" s="15">
        <f>DATA[[#This Row],[SUB TOTAL]]*0.18</f>
        <v>303.642</v>
      </c>
      <c r="V605" s="15">
        <f>IFERROR(ROUND(DATA[[#This Row],[SUB TOTAL]]+DATA[[#This Row],[IGV]],2),0)</f>
        <v>1990.54</v>
      </c>
      <c r="W605" s="16" t="str">
        <f>IF(DATA[[#This Row],[VALORIZACIÓN ]]="-","NO CORRESPONDE",IF(OR(A605=20558226979,A605=10470707866,A605=20111157058,A605=20100226902),"NO CORRESPONDE",IF(J605="Emitida",IF(P605&gt;0,"EMITIDA","PENDIENTE"),"NO CORRESPONDE")))</f>
        <v>EMITIDA</v>
      </c>
      <c r="X605" s="29" t="s">
        <v>247</v>
      </c>
      <c r="Y605" s="17" t="s">
        <v>118</v>
      </c>
      <c r="Z605" s="30">
        <v>45831</v>
      </c>
      <c r="AA605" s="10" t="s">
        <v>150</v>
      </c>
      <c r="AB605" s="19">
        <v>129</v>
      </c>
      <c r="AC605" s="20">
        <v>15</v>
      </c>
      <c r="AD605" s="18">
        <f>DATA[[#This Row],[FECHA DE EMISION]]+DATA[[#This Row],[CONDICION DE PAGO]]</f>
        <v>45846</v>
      </c>
      <c r="AE605" s="23">
        <f>IF(DATA[[#This Row],[MONEDA]]="USD",VLOOKUP(DATA[[#This Row],[COMBINADA]],#REF!,11,0),1)</f>
        <v>1</v>
      </c>
      <c r="AF605" s="39" t="str">
        <f>IF(DATA[[#This Row],[SERIE2]]="-","NO CORRESPONDE",IF(W605="NO CORRESPONDE","NO CORRESPONDE",IF(Z605&gt;0,"FACTURADO","PENDIENTE")))</f>
        <v>FACTURADO</v>
      </c>
      <c r="AG605" s="27">
        <f>IFERROR(VLOOKUP(DATA[[#This Row],[COMBINADA]],#REF!,6,0),0)</f>
        <v>0</v>
      </c>
      <c r="AH605" s="125">
        <f>IFERROR(VLOOKUP(DATA[[#This Row],[COMBINADA]],#REF!,9,0),0)/COUNTIFS(DATA[COMBINADA],DATA[[#This Row],[COMBINADA]])</f>
        <v>0</v>
      </c>
      <c r="AI605" s="27">
        <f>IFERROR(VLOOKUP(DATA[[#This Row],[COMBINADA]],#REF!,6,0),0)</f>
        <v>0</v>
      </c>
      <c r="AJ605" s="125">
        <f>IFERROR(VLOOKUP(DATA[[#This Row],[COMBINADA]],#REF!,9,0),0)/COUNTIFS(DATA[COMBINADA],DATA[[#This Row],[COMBINADA]])</f>
        <v>0</v>
      </c>
      <c r="AK605" s="27">
        <f>IFERROR(VLOOKUP(DATA[[#This Row],[COMBINADA]],#REF!,6,0),0)</f>
        <v>0</v>
      </c>
      <c r="AL605" s="125">
        <f>IFERROR(VLOOKUP(DATA[[#This Row],[COMBINADA]],#REF!,9,0),0)/COUNTIFS(DATA[COMBINADA],DATA[[#This Row],[COMBINADA]])</f>
        <v>0</v>
      </c>
      <c r="AM605" s="27">
        <f>IFERROR(VLOOKUP(DATA[[#This Row],[COMBINADA]],#REF!,6,0),0)</f>
        <v>0</v>
      </c>
      <c r="AN605" s="125">
        <f>IFERROR(VLOOKUP(DATA[[#This Row],[COMBINADA]],#REF!,9,0),0)/COUNTIFS(DATA[COMBINADA],DATA[[#This Row],[COMBINADA]])</f>
        <v>0</v>
      </c>
      <c r="AO605" s="27">
        <f>IFERROR(VLOOKUP(DATA[[#This Row],[COMBINADA]],#REF!,6,0),0)</f>
        <v>0</v>
      </c>
      <c r="AP605" s="125">
        <f>IFERROR(VLOOKUP(DATA[[#This Row],[COMBINADA]],#REF!,9,0),0)/COUNTIFS(DATA[COMBINADA],DATA[[#This Row],[COMBINADA]])</f>
        <v>0</v>
      </c>
      <c r="AQ60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2924</v>
      </c>
      <c r="AR605" s="26" t="str">
        <f>IFERROR(IF(DATA[[#This Row],[estado_fact]]="FACTURADO",VLOOKUP(DATA[[#This Row],[SERIE2]]&amp;"-"&amp;DATA[[#This Row],[NUMERO]],#REF!,34,0),"NO CORRESPONDE"),"NO CORRESPONDE")</f>
        <v>NO CORRESPONDE</v>
      </c>
      <c r="AS605" s="22" t="str">
        <f>IF(DATA[[#This Row],[fecha_fs]]&gt;0,TEXT(DATA[[#This Row],[fecha_fs]],"Mmmm"),0)</f>
        <v>Mayo</v>
      </c>
      <c r="AT605" s="22" t="str">
        <f>DATA[[#This Row],[SERIE2]]&amp;"-"&amp;DATA[[#This Row],[NUMERO]]</f>
        <v>FF01-129</v>
      </c>
      <c r="AU605" s="28">
        <f>DATA[[#This Row],[TOTAL]]*DATA[[#This Row],[T.C.]]</f>
        <v>1990.54</v>
      </c>
      <c r="AV605" s="6">
        <f>DATA[[#This Row],[FECHA DE VAL.]]</f>
        <v>45805</v>
      </c>
      <c r="AW605" s="6">
        <f>DATA[[#This Row],[FECHA DE EMISION]]</f>
        <v>45831</v>
      </c>
      <c r="AX605" s="6">
        <f>DATA[[#This Row],[F1]]</f>
        <v>0</v>
      </c>
      <c r="AY605" s="20">
        <f>IF(AV605-DATA[[#This Row],[fecha_fs]]&lt;0,0,AV605-DATA[[#This Row],[fecha_fs]])</f>
        <v>26</v>
      </c>
      <c r="AZ605" s="20">
        <f t="shared" si="64"/>
        <v>26</v>
      </c>
      <c r="BA605" s="20">
        <f t="shared" si="65"/>
        <v>0</v>
      </c>
      <c r="BB605" s="195">
        <f>IFERROR(SUM(DATA[[#This Row],[fs_val_ttf]:[fact_pago_ttf]]),0)</f>
        <v>52</v>
      </c>
      <c r="BC605" s="185">
        <v>45785</v>
      </c>
      <c r="BD605" s="185">
        <v>45789</v>
      </c>
      <c r="BE605" s="185">
        <v>45797</v>
      </c>
      <c r="BF605" s="185">
        <v>45798</v>
      </c>
      <c r="BG605" s="20">
        <f>IFERROR(IF(BC605-DATA[[#This Row],[fecha_fs]]&lt;0,0,BC605-DATA[[#This Row],[fecha_fs]]),0)</f>
        <v>6</v>
      </c>
      <c r="BH605" s="20">
        <f t="shared" si="66"/>
        <v>4</v>
      </c>
      <c r="BI605" s="20">
        <f t="shared" si="67"/>
        <v>8</v>
      </c>
      <c r="BJ605" s="20">
        <f t="shared" si="68"/>
        <v>1</v>
      </c>
      <c r="BK605" s="218">
        <f>IFERROR(SUM(DATA[[#This Row],[fs_fd_ttd]:[fend_fenf_ttd]]),0)</f>
        <v>19</v>
      </c>
      <c r="BL605" s="20" t="str">
        <f>IF(DATA[[#This Row],[fecha_fs]]&gt;0,TEXT(DATA[[#This Row],[fecha_fs]],"YYYY"),0)</f>
        <v>2025</v>
      </c>
      <c r="BM605" s="221" t="b">
        <v>1</v>
      </c>
      <c r="BN605" s="278">
        <f>COUNTIF(DATA[[#This Row],[tiempo_td]], "&lt;=15")</f>
        <v>0</v>
      </c>
      <c r="BO605" s="222"/>
    </row>
    <row r="606" spans="1:67" ht="30.6" customHeight="1" x14ac:dyDescent="0.25">
      <c r="A606" s="4">
        <v>20546530184</v>
      </c>
      <c r="B606" s="5" t="s">
        <v>50</v>
      </c>
      <c r="C606" s="52" t="s">
        <v>248</v>
      </c>
      <c r="D606" s="4" t="s">
        <v>112</v>
      </c>
      <c r="E606" s="5" t="s">
        <v>1</v>
      </c>
      <c r="F606" s="24">
        <v>45782</v>
      </c>
      <c r="G606" s="7" t="s">
        <v>113</v>
      </c>
      <c r="H606" s="25">
        <f t="shared" si="63"/>
        <v>1</v>
      </c>
      <c r="I606" s="67">
        <v>4463</v>
      </c>
      <c r="J606" s="8" t="s">
        <v>115</v>
      </c>
      <c r="K606" s="124" t="s">
        <v>116</v>
      </c>
      <c r="L606" s="10" t="s">
        <v>117</v>
      </c>
      <c r="M606" s="11">
        <v>36</v>
      </c>
      <c r="N606" s="12" t="s">
        <v>125</v>
      </c>
      <c r="O606" s="6">
        <v>45785</v>
      </c>
      <c r="P606" s="13">
        <v>3438</v>
      </c>
      <c r="Q606" s="14" t="s">
        <v>85</v>
      </c>
      <c r="R606" s="15"/>
      <c r="S606" s="15">
        <f>978.93/2</f>
        <v>489.46499999999997</v>
      </c>
      <c r="T606" s="15">
        <f>DATA[[#This Row],[C. DF]]+DATA[[#This Row],[C.OPE.]]</f>
        <v>489.46499999999997</v>
      </c>
      <c r="U606" s="15">
        <f>DATA[[#This Row],[SUB TOTAL]]*0.18</f>
        <v>88.103699999999989</v>
      </c>
      <c r="V606" s="15">
        <f>IFERROR(ROUND(DATA[[#This Row],[SUB TOTAL]]+DATA[[#This Row],[IGV]],2),0)</f>
        <v>577.57000000000005</v>
      </c>
      <c r="W606" s="16" t="str">
        <f>IF(DATA[[#This Row],[VALORIZACIÓN ]]="-","NO CORRESPONDE",IF(OR(A606=20558226979,A606=10470707866,A606=20111157058,A606=20100226902),"NO CORRESPONDE",IF(J606="Emitida",IF(P606&gt;0,"EMITIDA","PENDIENTE"),"NO CORRESPONDE")))</f>
        <v>EMITIDA</v>
      </c>
      <c r="X606" s="29" t="s">
        <v>231</v>
      </c>
      <c r="Y606" s="17" t="s">
        <v>118</v>
      </c>
      <c r="Z606" s="30">
        <v>45813</v>
      </c>
      <c r="AA606" s="10" t="s">
        <v>150</v>
      </c>
      <c r="AB606" s="19">
        <v>109</v>
      </c>
      <c r="AC606" s="20">
        <v>30</v>
      </c>
      <c r="AD606" s="18">
        <f>DATA[[#This Row],[FECHA DE EMISION]]+DATA[[#This Row],[CONDICION DE PAGO]]</f>
        <v>45843</v>
      </c>
      <c r="AE606" s="23">
        <f>IF(DATA[[#This Row],[MONEDA]]="USD",VLOOKUP(DATA[[#This Row],[COMBINADA]],#REF!,11,0),1)</f>
        <v>1</v>
      </c>
      <c r="AF606" s="39" t="str">
        <f>IF(DATA[[#This Row],[SERIE2]]="-","NO CORRESPONDE",IF(W606="NO CORRESPONDE","NO CORRESPONDE",IF(Z606&gt;0,"FACTURADO","PENDIENTE")))</f>
        <v>FACTURADO</v>
      </c>
      <c r="AG606" s="27">
        <f>IFERROR(VLOOKUP(DATA[[#This Row],[COMBINADA]],#REF!,6,0),0)</f>
        <v>0</v>
      </c>
      <c r="AH606" s="125">
        <f>IFERROR(VLOOKUP(DATA[[#This Row],[COMBINADA]],#REF!,9,0),0)/COUNTIFS(DATA[COMBINADA],DATA[[#This Row],[COMBINADA]])</f>
        <v>0</v>
      </c>
      <c r="AI606" s="27">
        <f>IFERROR(VLOOKUP(DATA[[#This Row],[COMBINADA]],#REF!,6,0),0)</f>
        <v>0</v>
      </c>
      <c r="AJ606" s="125">
        <f>IFERROR(VLOOKUP(DATA[[#This Row],[COMBINADA]],#REF!,9,0),0)/COUNTIFS(DATA[COMBINADA],DATA[[#This Row],[COMBINADA]])</f>
        <v>0</v>
      </c>
      <c r="AK606" s="27">
        <f>IFERROR(VLOOKUP(DATA[[#This Row],[COMBINADA]],#REF!,6,0),0)</f>
        <v>0</v>
      </c>
      <c r="AL606" s="125">
        <f>IFERROR(VLOOKUP(DATA[[#This Row],[COMBINADA]],#REF!,9,0),0)/COUNTIFS(DATA[COMBINADA],DATA[[#This Row],[COMBINADA]])</f>
        <v>0</v>
      </c>
      <c r="AM606" s="27">
        <f>IFERROR(VLOOKUP(DATA[[#This Row],[COMBINADA]],#REF!,6,0),0)</f>
        <v>0</v>
      </c>
      <c r="AN606" s="125">
        <f>IFERROR(VLOOKUP(DATA[[#This Row],[COMBINADA]],#REF!,9,0),0)/COUNTIFS(DATA[COMBINADA],DATA[[#This Row],[COMBINADA]])</f>
        <v>0</v>
      </c>
      <c r="AO606" s="27">
        <f>IFERROR(VLOOKUP(DATA[[#This Row],[COMBINADA]],#REF!,6,0),0)</f>
        <v>0</v>
      </c>
      <c r="AP606" s="125">
        <f>IFERROR(VLOOKUP(DATA[[#This Row],[COMBINADA]],#REF!,9,0),0)/COUNTIFS(DATA[COMBINADA],DATA[[#This Row],[COMBINADA]])</f>
        <v>0</v>
      </c>
      <c r="AQ60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690.30200000000002</v>
      </c>
      <c r="AR606" s="26" t="str">
        <f>IFERROR(IF(DATA[[#This Row],[estado_fact]]="FACTURADO",VLOOKUP(DATA[[#This Row],[SERIE2]]&amp;"-"&amp;DATA[[#This Row],[NUMERO]],#REF!,34,0),"NO CORRESPONDE"),"NO CORRESPONDE")</f>
        <v>NO CORRESPONDE</v>
      </c>
      <c r="AS606" s="22" t="str">
        <f>IF(DATA[[#This Row],[fecha_fs]]&gt;0,TEXT(DATA[[#This Row],[fecha_fs]],"Mmmm"),0)</f>
        <v>Mayo</v>
      </c>
      <c r="AT606" s="22" t="str">
        <f>DATA[[#This Row],[SERIE2]]&amp;"-"&amp;DATA[[#This Row],[NUMERO]]</f>
        <v>FF01-109</v>
      </c>
      <c r="AU606" s="28">
        <f>DATA[[#This Row],[TOTAL]]*DATA[[#This Row],[T.C.]]</f>
        <v>577.57000000000005</v>
      </c>
      <c r="AV606" s="6">
        <f>DATA[[#This Row],[FECHA DE VAL.]]</f>
        <v>45785</v>
      </c>
      <c r="AW606" s="6">
        <f>DATA[[#This Row],[FECHA DE EMISION]]</f>
        <v>45813</v>
      </c>
      <c r="AX606" s="6">
        <f>DATA[[#This Row],[F1]]</f>
        <v>0</v>
      </c>
      <c r="AY606" s="20">
        <f>IF(AV606-DATA[[#This Row],[fecha_fs]]&lt;0,0,AV606-DATA[[#This Row],[fecha_fs]])</f>
        <v>3</v>
      </c>
      <c r="AZ606" s="20">
        <f t="shared" si="64"/>
        <v>28</v>
      </c>
      <c r="BA606" s="20">
        <f t="shared" si="65"/>
        <v>0</v>
      </c>
      <c r="BB606" s="195">
        <f>IFERROR(SUM(DATA[[#This Row],[fs_val_ttf]:[fact_pago_ttf]]),0)</f>
        <v>31</v>
      </c>
      <c r="BC606" s="185">
        <v>45785</v>
      </c>
      <c r="BD606" s="185">
        <v>45793</v>
      </c>
      <c r="BE606" s="185">
        <v>45804</v>
      </c>
      <c r="BF606" s="185">
        <v>45832</v>
      </c>
      <c r="BG606" s="20">
        <f>IFERROR(IF(BC606-DATA[[#This Row],[fecha_fs]]&lt;0,0,BC606-DATA[[#This Row],[fecha_fs]]),0)</f>
        <v>3</v>
      </c>
      <c r="BH606" s="20">
        <f t="shared" si="66"/>
        <v>8</v>
      </c>
      <c r="BI606" s="20">
        <f t="shared" si="67"/>
        <v>11</v>
      </c>
      <c r="BJ606" s="20">
        <f t="shared" si="68"/>
        <v>28</v>
      </c>
      <c r="BK606" s="218">
        <f>IFERROR(SUM(DATA[[#This Row],[fs_fd_ttd]:[fend_fenf_ttd]]),0)</f>
        <v>50</v>
      </c>
      <c r="BL606" s="20" t="str">
        <f>IF(DATA[[#This Row],[fecha_fs]]&gt;0,TEXT(DATA[[#This Row],[fecha_fs]],"YYYY"),0)</f>
        <v>2025</v>
      </c>
      <c r="BM606" s="221" t="b">
        <v>1</v>
      </c>
      <c r="BN606" s="278">
        <f>COUNTIF(DATA[[#This Row],[tiempo_td]], "&lt;=15")</f>
        <v>0</v>
      </c>
      <c r="BO606" s="222"/>
    </row>
    <row r="607" spans="1:67" ht="30.6" customHeight="1" x14ac:dyDescent="0.25">
      <c r="A607" s="4">
        <v>20546530184</v>
      </c>
      <c r="B607" s="5" t="s">
        <v>50</v>
      </c>
      <c r="C607" s="52" t="s">
        <v>52</v>
      </c>
      <c r="D607" s="4" t="s">
        <v>112</v>
      </c>
      <c r="E607" s="5" t="s">
        <v>1</v>
      </c>
      <c r="F607" s="24">
        <v>45782</v>
      </c>
      <c r="G607" s="7" t="s">
        <v>113</v>
      </c>
      <c r="H607" s="25">
        <f t="shared" si="63"/>
        <v>1</v>
      </c>
      <c r="I607" s="67">
        <v>4464</v>
      </c>
      <c r="J607" s="8" t="s">
        <v>115</v>
      </c>
      <c r="K607" s="124" t="s">
        <v>116</v>
      </c>
      <c r="L607" s="10" t="s">
        <v>117</v>
      </c>
      <c r="M607" s="11">
        <v>18</v>
      </c>
      <c r="N607" s="12" t="s">
        <v>125</v>
      </c>
      <c r="O607" s="6">
        <v>45785</v>
      </c>
      <c r="P607" s="13">
        <v>3438</v>
      </c>
      <c r="Q607" s="14" t="s">
        <v>85</v>
      </c>
      <c r="R607" s="15"/>
      <c r="S607" s="15">
        <f>1303.88/2</f>
        <v>651.94000000000005</v>
      </c>
      <c r="T607" s="15">
        <f>DATA[[#This Row],[C. DF]]+DATA[[#This Row],[C.OPE.]]</f>
        <v>651.94000000000005</v>
      </c>
      <c r="U607" s="15">
        <f>DATA[[#This Row],[SUB TOTAL]]*0.18</f>
        <v>117.34920000000001</v>
      </c>
      <c r="V607" s="15">
        <f>IFERROR(ROUND(DATA[[#This Row],[SUB TOTAL]]+DATA[[#This Row],[IGV]],2),0)</f>
        <v>769.29</v>
      </c>
      <c r="W607" s="16" t="str">
        <f>IF(DATA[[#This Row],[VALORIZACIÓN ]]="-","NO CORRESPONDE",IF(OR(A607=20558226979,A607=10470707866,A607=20111157058,A607=20100226902),"NO CORRESPONDE",IF(J607="Emitida",IF(P607&gt;0,"EMITIDA","PENDIENTE"),"NO CORRESPONDE")))</f>
        <v>EMITIDA</v>
      </c>
      <c r="X607" s="29" t="s">
        <v>231</v>
      </c>
      <c r="Y607" s="17" t="s">
        <v>118</v>
      </c>
      <c r="Z607" s="30">
        <v>45813</v>
      </c>
      <c r="AA607" s="10" t="s">
        <v>150</v>
      </c>
      <c r="AB607" s="19">
        <v>109</v>
      </c>
      <c r="AC607" s="20">
        <v>30</v>
      </c>
      <c r="AD607" s="18">
        <f>DATA[[#This Row],[FECHA DE EMISION]]+DATA[[#This Row],[CONDICION DE PAGO]]</f>
        <v>45843</v>
      </c>
      <c r="AE607" s="23">
        <f>IF(DATA[[#This Row],[MONEDA]]="USD",VLOOKUP(DATA[[#This Row],[COMBINADA]],#REF!,11,0),1)</f>
        <v>1</v>
      </c>
      <c r="AF607" s="39" t="str">
        <f>IF(DATA[[#This Row],[SERIE2]]="-","NO CORRESPONDE",IF(W607="NO CORRESPONDE","NO CORRESPONDE",IF(Z607&gt;0,"FACTURADO","PENDIENTE")))</f>
        <v>FACTURADO</v>
      </c>
      <c r="AG607" s="27">
        <f>IFERROR(VLOOKUP(DATA[[#This Row],[COMBINADA]],#REF!,6,0),0)</f>
        <v>0</v>
      </c>
      <c r="AH607" s="125">
        <f>IFERROR(VLOOKUP(DATA[[#This Row],[COMBINADA]],#REF!,9,0),0)/COUNTIFS(DATA[COMBINADA],DATA[[#This Row],[COMBINADA]])</f>
        <v>0</v>
      </c>
      <c r="AI607" s="27">
        <f>IFERROR(VLOOKUP(DATA[[#This Row],[COMBINADA]],#REF!,6,0),0)</f>
        <v>0</v>
      </c>
      <c r="AJ607" s="125">
        <f>IFERROR(VLOOKUP(DATA[[#This Row],[COMBINADA]],#REF!,9,0),0)/COUNTIFS(DATA[COMBINADA],DATA[[#This Row],[COMBINADA]])</f>
        <v>0</v>
      </c>
      <c r="AK607" s="27">
        <f>IFERROR(VLOOKUP(DATA[[#This Row],[COMBINADA]],#REF!,6,0),0)</f>
        <v>0</v>
      </c>
      <c r="AL607" s="125">
        <f>IFERROR(VLOOKUP(DATA[[#This Row],[COMBINADA]],#REF!,9,0),0)/COUNTIFS(DATA[COMBINADA],DATA[[#This Row],[COMBINADA]])</f>
        <v>0</v>
      </c>
      <c r="AM607" s="27">
        <f>IFERROR(VLOOKUP(DATA[[#This Row],[COMBINADA]],#REF!,6,0),0)</f>
        <v>0</v>
      </c>
      <c r="AN607" s="125">
        <f>IFERROR(VLOOKUP(DATA[[#This Row],[COMBINADA]],#REF!,9,0),0)/COUNTIFS(DATA[COMBINADA],DATA[[#This Row],[COMBINADA]])</f>
        <v>0</v>
      </c>
      <c r="AO607" s="27">
        <f>IFERROR(VLOOKUP(DATA[[#This Row],[COMBINADA]],#REF!,6,0),0)</f>
        <v>0</v>
      </c>
      <c r="AP607" s="125">
        <f>IFERROR(VLOOKUP(DATA[[#This Row],[COMBINADA]],#REF!,9,0),0)/COUNTIFS(DATA[COMBINADA],DATA[[#This Row],[COMBINADA]])</f>
        <v>0</v>
      </c>
      <c r="AQ60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690.30200000000002</v>
      </c>
      <c r="AR607" s="26" t="str">
        <f>IFERROR(IF(DATA[[#This Row],[estado_fact]]="FACTURADO",VLOOKUP(DATA[[#This Row],[SERIE2]]&amp;"-"&amp;DATA[[#This Row],[NUMERO]],#REF!,34,0),"NO CORRESPONDE"),"NO CORRESPONDE")</f>
        <v>NO CORRESPONDE</v>
      </c>
      <c r="AS607" s="22" t="str">
        <f>IF(DATA[[#This Row],[fecha_fs]]&gt;0,TEXT(DATA[[#This Row],[fecha_fs]],"Mmmm"),0)</f>
        <v>Mayo</v>
      </c>
      <c r="AT607" s="22" t="str">
        <f>DATA[[#This Row],[SERIE2]]&amp;"-"&amp;DATA[[#This Row],[NUMERO]]</f>
        <v>FF01-109</v>
      </c>
      <c r="AU607" s="28">
        <f>DATA[[#This Row],[TOTAL]]*DATA[[#This Row],[T.C.]]</f>
        <v>769.29</v>
      </c>
      <c r="AV607" s="6">
        <f>DATA[[#This Row],[FECHA DE VAL.]]</f>
        <v>45785</v>
      </c>
      <c r="AW607" s="6">
        <f>DATA[[#This Row],[FECHA DE EMISION]]</f>
        <v>45813</v>
      </c>
      <c r="AX607" s="6">
        <f>DATA[[#This Row],[F1]]</f>
        <v>0</v>
      </c>
      <c r="AY607" s="20">
        <f>IF(AV607-DATA[[#This Row],[fecha_fs]]&lt;0,0,AV607-DATA[[#This Row],[fecha_fs]])</f>
        <v>3</v>
      </c>
      <c r="AZ607" s="20">
        <f t="shared" si="64"/>
        <v>28</v>
      </c>
      <c r="BA607" s="20">
        <f t="shared" si="65"/>
        <v>0</v>
      </c>
      <c r="BB607" s="195">
        <f>IFERROR(SUM(DATA[[#This Row],[fs_val_ttf]:[fact_pago_ttf]]),0)</f>
        <v>31</v>
      </c>
      <c r="BC607" s="185">
        <v>45785</v>
      </c>
      <c r="BD607" s="185">
        <v>45793</v>
      </c>
      <c r="BE607" s="185">
        <v>45804</v>
      </c>
      <c r="BF607" s="185">
        <v>45832</v>
      </c>
      <c r="BG607" s="20">
        <f>IFERROR(IF(BC607-DATA[[#This Row],[fecha_fs]]&lt;0,0,BC607-DATA[[#This Row],[fecha_fs]]),0)</f>
        <v>3</v>
      </c>
      <c r="BH607" s="20">
        <f t="shared" si="66"/>
        <v>8</v>
      </c>
      <c r="BI607" s="20">
        <f t="shared" si="67"/>
        <v>11</v>
      </c>
      <c r="BJ607" s="20">
        <f t="shared" si="68"/>
        <v>28</v>
      </c>
      <c r="BK607" s="218">
        <f>IFERROR(SUM(DATA[[#This Row],[fs_fd_ttd]:[fend_fenf_ttd]]),0)</f>
        <v>50</v>
      </c>
      <c r="BL607" s="20" t="str">
        <f>IF(DATA[[#This Row],[fecha_fs]]&gt;0,TEXT(DATA[[#This Row],[fecha_fs]],"YYYY"),0)</f>
        <v>2025</v>
      </c>
      <c r="BM607" s="221" t="b">
        <v>1</v>
      </c>
      <c r="BN607" s="278">
        <f>COUNTIF(DATA[[#This Row],[tiempo_td]], "&lt;=15")</f>
        <v>0</v>
      </c>
      <c r="BO607" s="222"/>
    </row>
    <row r="608" spans="1:67" ht="30.6" customHeight="1" x14ac:dyDescent="0.25">
      <c r="A608" s="4">
        <v>20546530184</v>
      </c>
      <c r="B608" s="5" t="s">
        <v>50</v>
      </c>
      <c r="C608" s="52" t="s">
        <v>51</v>
      </c>
      <c r="D608" s="4" t="s">
        <v>112</v>
      </c>
      <c r="E608" s="5" t="s">
        <v>1</v>
      </c>
      <c r="F608" s="24">
        <v>45782</v>
      </c>
      <c r="G608" s="7" t="s">
        <v>113</v>
      </c>
      <c r="H608" s="25">
        <f t="shared" si="63"/>
        <v>1</v>
      </c>
      <c r="I608" s="67">
        <v>4465</v>
      </c>
      <c r="J608" s="8" t="s">
        <v>115</v>
      </c>
      <c r="K608" s="124" t="s">
        <v>116</v>
      </c>
      <c r="L608" s="10" t="s">
        <v>117</v>
      </c>
      <c r="M608" s="11">
        <v>36</v>
      </c>
      <c r="N608" s="12" t="s">
        <v>125</v>
      </c>
      <c r="O608" s="6">
        <v>45785</v>
      </c>
      <c r="P608" s="13">
        <v>3438</v>
      </c>
      <c r="Q608" s="14" t="s">
        <v>85</v>
      </c>
      <c r="R608" s="15">
        <v>0</v>
      </c>
      <c r="S608" s="15">
        <f>978.93/2</f>
        <v>489.46499999999997</v>
      </c>
      <c r="T608" s="15">
        <f>DATA[[#This Row],[C. DF]]+DATA[[#This Row],[C.OPE.]]</f>
        <v>489.46499999999997</v>
      </c>
      <c r="U608" s="15">
        <f>DATA[[#This Row],[SUB TOTAL]]*0.18</f>
        <v>88.103699999999989</v>
      </c>
      <c r="V608" s="15">
        <f>IFERROR(ROUND(DATA[[#This Row],[SUB TOTAL]]+DATA[[#This Row],[IGV]],2),0)</f>
        <v>577.57000000000005</v>
      </c>
      <c r="W608" s="16" t="str">
        <f>IF(DATA[[#This Row],[VALORIZACIÓN ]]="-","NO CORRESPONDE",IF(OR(A608=20558226979,A608=10470707866,A608=20111157058,A608=20100226902),"NO CORRESPONDE",IF(J608="Emitida",IF(P608&gt;0,"EMITIDA","PENDIENTE"),"NO CORRESPONDE")))</f>
        <v>EMITIDA</v>
      </c>
      <c r="X608" s="29" t="s">
        <v>231</v>
      </c>
      <c r="Y608" s="17" t="s">
        <v>118</v>
      </c>
      <c r="Z608" s="30">
        <v>45813</v>
      </c>
      <c r="AA608" s="10" t="s">
        <v>150</v>
      </c>
      <c r="AB608" s="19">
        <v>109</v>
      </c>
      <c r="AC608" s="20">
        <v>30</v>
      </c>
      <c r="AD608" s="18">
        <f>DATA[[#This Row],[FECHA DE EMISION]]+DATA[[#This Row],[CONDICION DE PAGO]]</f>
        <v>45843</v>
      </c>
      <c r="AE608" s="23">
        <f>IF(DATA[[#This Row],[MONEDA]]="USD",VLOOKUP(DATA[[#This Row],[COMBINADA]],#REF!,11,0),1)</f>
        <v>1</v>
      </c>
      <c r="AF608" s="39" t="str">
        <f>IF(DATA[[#This Row],[SERIE2]]="-","NO CORRESPONDE",IF(W608="NO CORRESPONDE","NO CORRESPONDE",IF(Z608&gt;0,"FACTURADO","PENDIENTE")))</f>
        <v>FACTURADO</v>
      </c>
      <c r="AG608" s="27">
        <f>IFERROR(VLOOKUP(DATA[[#This Row],[COMBINADA]],#REF!,6,0),0)</f>
        <v>0</v>
      </c>
      <c r="AH608" s="125">
        <f>IFERROR(VLOOKUP(DATA[[#This Row],[COMBINADA]],#REF!,9,0),0)/COUNTIFS(DATA[COMBINADA],DATA[[#This Row],[COMBINADA]])</f>
        <v>0</v>
      </c>
      <c r="AI608" s="27">
        <f>IFERROR(VLOOKUP(DATA[[#This Row],[COMBINADA]],#REF!,6,0),0)</f>
        <v>0</v>
      </c>
      <c r="AJ608" s="125">
        <f>IFERROR(VLOOKUP(DATA[[#This Row],[COMBINADA]],#REF!,9,0),0)/COUNTIFS(DATA[COMBINADA],DATA[[#This Row],[COMBINADA]])</f>
        <v>0</v>
      </c>
      <c r="AK608" s="27">
        <f>IFERROR(VLOOKUP(DATA[[#This Row],[COMBINADA]],#REF!,6,0),0)</f>
        <v>0</v>
      </c>
      <c r="AL608" s="125">
        <f>IFERROR(VLOOKUP(DATA[[#This Row],[COMBINADA]],#REF!,9,0),0)/COUNTIFS(DATA[COMBINADA],DATA[[#This Row],[COMBINADA]])</f>
        <v>0</v>
      </c>
      <c r="AM608" s="27">
        <f>IFERROR(VLOOKUP(DATA[[#This Row],[COMBINADA]],#REF!,6,0),0)</f>
        <v>0</v>
      </c>
      <c r="AN608" s="125">
        <f>IFERROR(VLOOKUP(DATA[[#This Row],[COMBINADA]],#REF!,9,0),0)/COUNTIFS(DATA[COMBINADA],DATA[[#This Row],[COMBINADA]])</f>
        <v>0</v>
      </c>
      <c r="AO608" s="27">
        <f>IFERROR(VLOOKUP(DATA[[#This Row],[COMBINADA]],#REF!,6,0),0)</f>
        <v>0</v>
      </c>
      <c r="AP608" s="125">
        <f>IFERROR(VLOOKUP(DATA[[#This Row],[COMBINADA]],#REF!,9,0),0)/COUNTIFS(DATA[COMBINADA],DATA[[#This Row],[COMBINADA]])</f>
        <v>0</v>
      </c>
      <c r="AQ60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690.30200000000002</v>
      </c>
      <c r="AR608" s="26" t="str">
        <f>IFERROR(IF(DATA[[#This Row],[estado_fact]]="FACTURADO",VLOOKUP(DATA[[#This Row],[SERIE2]]&amp;"-"&amp;DATA[[#This Row],[NUMERO]],#REF!,34,0),"NO CORRESPONDE"),"NO CORRESPONDE")</f>
        <v>NO CORRESPONDE</v>
      </c>
      <c r="AS608" s="22" t="str">
        <f>IF(DATA[[#This Row],[fecha_fs]]&gt;0,TEXT(DATA[[#This Row],[fecha_fs]],"Mmmm"),0)</f>
        <v>Mayo</v>
      </c>
      <c r="AT608" s="22" t="str">
        <f>DATA[[#This Row],[SERIE2]]&amp;"-"&amp;DATA[[#This Row],[NUMERO]]</f>
        <v>FF01-109</v>
      </c>
      <c r="AU608" s="28">
        <f>DATA[[#This Row],[TOTAL]]*DATA[[#This Row],[T.C.]]</f>
        <v>577.57000000000005</v>
      </c>
      <c r="AV608" s="6">
        <f>DATA[[#This Row],[FECHA DE VAL.]]</f>
        <v>45785</v>
      </c>
      <c r="AW608" s="6">
        <f>DATA[[#This Row],[FECHA DE EMISION]]</f>
        <v>45813</v>
      </c>
      <c r="AX608" s="6">
        <f>DATA[[#This Row],[F1]]</f>
        <v>0</v>
      </c>
      <c r="AY608" s="20">
        <f>IF(AV608-DATA[[#This Row],[fecha_fs]]&lt;0,0,AV608-DATA[[#This Row],[fecha_fs]])</f>
        <v>3</v>
      </c>
      <c r="AZ608" s="20">
        <f t="shared" si="64"/>
        <v>28</v>
      </c>
      <c r="BA608" s="20">
        <f t="shared" si="65"/>
        <v>0</v>
      </c>
      <c r="BB608" s="195">
        <f>IFERROR(SUM(DATA[[#This Row],[fs_val_ttf]:[fact_pago_ttf]]),0)</f>
        <v>31</v>
      </c>
      <c r="BC608" s="185">
        <v>45785</v>
      </c>
      <c r="BD608" s="185">
        <v>45793</v>
      </c>
      <c r="BE608" s="185">
        <v>45804</v>
      </c>
      <c r="BF608" s="185">
        <v>45832</v>
      </c>
      <c r="BG608" s="20">
        <f>IFERROR(IF(BC608-DATA[[#This Row],[fecha_fs]]&lt;0,0,BC608-DATA[[#This Row],[fecha_fs]]),0)</f>
        <v>3</v>
      </c>
      <c r="BH608" s="20">
        <f t="shared" si="66"/>
        <v>8</v>
      </c>
      <c r="BI608" s="20">
        <f t="shared" si="67"/>
        <v>11</v>
      </c>
      <c r="BJ608" s="20">
        <f t="shared" si="68"/>
        <v>28</v>
      </c>
      <c r="BK608" s="218">
        <f>IFERROR(SUM(DATA[[#This Row],[fs_fd_ttd]:[fend_fenf_ttd]]),0)</f>
        <v>50</v>
      </c>
      <c r="BL608" s="20" t="str">
        <f>IF(DATA[[#This Row],[fecha_fs]]&gt;0,TEXT(DATA[[#This Row],[fecha_fs]],"YYYY"),0)</f>
        <v>2025</v>
      </c>
      <c r="BM608" s="221" t="b">
        <v>1</v>
      </c>
      <c r="BN608" s="278">
        <f>COUNTIF(DATA[[#This Row],[tiempo_td]], "&lt;=15")</f>
        <v>0</v>
      </c>
      <c r="BO608" s="222"/>
    </row>
    <row r="609" spans="1:67" ht="30.6" customHeight="1" x14ac:dyDescent="0.25">
      <c r="A609" s="4">
        <v>20546530184</v>
      </c>
      <c r="B609" s="5" t="s">
        <v>50</v>
      </c>
      <c r="C609" s="52" t="s">
        <v>248</v>
      </c>
      <c r="D609" s="4" t="s">
        <v>112</v>
      </c>
      <c r="E609" s="5" t="s">
        <v>1</v>
      </c>
      <c r="F609" s="24">
        <v>45782</v>
      </c>
      <c r="G609" s="7" t="s">
        <v>113</v>
      </c>
      <c r="H609" s="25">
        <f t="shared" si="63"/>
        <v>1</v>
      </c>
      <c r="I609" s="67">
        <v>4466</v>
      </c>
      <c r="J609" s="8" t="s">
        <v>115</v>
      </c>
      <c r="K609" s="9" t="s">
        <v>116</v>
      </c>
      <c r="L609" s="10" t="s">
        <v>117</v>
      </c>
      <c r="M609" s="11">
        <v>18</v>
      </c>
      <c r="N609" s="12" t="s">
        <v>125</v>
      </c>
      <c r="O609" s="6">
        <v>45785</v>
      </c>
      <c r="P609" s="13">
        <v>3438</v>
      </c>
      <c r="Q609" s="14" t="s">
        <v>85</v>
      </c>
      <c r="R609" s="15"/>
      <c r="S609" s="15">
        <f>978.93/2</f>
        <v>489.46499999999997</v>
      </c>
      <c r="T609" s="15">
        <f>DATA[[#This Row],[C. DF]]+DATA[[#This Row],[C.OPE.]]</f>
        <v>489.46499999999997</v>
      </c>
      <c r="U609" s="15">
        <f>DATA[[#This Row],[SUB TOTAL]]*0.18</f>
        <v>88.103699999999989</v>
      </c>
      <c r="V609" s="15">
        <f>IFERROR(ROUND(DATA[[#This Row],[SUB TOTAL]]+DATA[[#This Row],[IGV]],2),0)</f>
        <v>577.57000000000005</v>
      </c>
      <c r="W609" s="16" t="str">
        <f>IF(DATA[[#This Row],[VALORIZACIÓN ]]="-","NO CORRESPONDE",IF(OR(A609=20558226979,A609=10470707866,A609=20111157058,A609=20100226902),"NO CORRESPONDE",IF(J609="Emitida",IF(P609&gt;0,"EMITIDA","PENDIENTE"),"NO CORRESPONDE")))</f>
        <v>EMITIDA</v>
      </c>
      <c r="X609" s="29" t="s">
        <v>231</v>
      </c>
      <c r="Y609" s="17" t="s">
        <v>118</v>
      </c>
      <c r="Z609" s="30">
        <v>45813</v>
      </c>
      <c r="AA609" s="10" t="s">
        <v>150</v>
      </c>
      <c r="AB609" s="19">
        <v>109</v>
      </c>
      <c r="AC609" s="20">
        <v>30</v>
      </c>
      <c r="AD609" s="18">
        <f>DATA[[#This Row],[FECHA DE EMISION]]+DATA[[#This Row],[CONDICION DE PAGO]]</f>
        <v>45843</v>
      </c>
      <c r="AE609" s="23">
        <f>IF(DATA[[#This Row],[MONEDA]]="USD",VLOOKUP(DATA[[#This Row],[COMBINADA]],#REF!,11,0),1)</f>
        <v>1</v>
      </c>
      <c r="AF609" s="39" t="str">
        <f>IF(DATA[[#This Row],[SERIE2]]="-","NO CORRESPONDE",IF(W609="NO CORRESPONDE","NO CORRESPONDE",IF(Z609&gt;0,"FACTURADO","PENDIENTE")))</f>
        <v>FACTURADO</v>
      </c>
      <c r="AG609" s="27">
        <f>IFERROR(VLOOKUP(DATA[[#This Row],[COMBINADA]],#REF!,6,0),0)</f>
        <v>0</v>
      </c>
      <c r="AH609" s="125">
        <f>IFERROR(VLOOKUP(DATA[[#This Row],[COMBINADA]],#REF!,9,0),0)/COUNTIFS(DATA[COMBINADA],DATA[[#This Row],[COMBINADA]])</f>
        <v>0</v>
      </c>
      <c r="AI609" s="27">
        <f>IFERROR(VLOOKUP(DATA[[#This Row],[COMBINADA]],#REF!,6,0),0)</f>
        <v>0</v>
      </c>
      <c r="AJ609" s="125">
        <f>IFERROR(VLOOKUP(DATA[[#This Row],[COMBINADA]],#REF!,9,0),0)/COUNTIFS(DATA[COMBINADA],DATA[[#This Row],[COMBINADA]])</f>
        <v>0</v>
      </c>
      <c r="AK609" s="27">
        <f>IFERROR(VLOOKUP(DATA[[#This Row],[COMBINADA]],#REF!,6,0),0)</f>
        <v>0</v>
      </c>
      <c r="AL609" s="125">
        <f>IFERROR(VLOOKUP(DATA[[#This Row],[COMBINADA]],#REF!,9,0),0)/COUNTIFS(DATA[COMBINADA],DATA[[#This Row],[COMBINADA]])</f>
        <v>0</v>
      </c>
      <c r="AM609" s="27">
        <f>IFERROR(VLOOKUP(DATA[[#This Row],[COMBINADA]],#REF!,6,0),0)</f>
        <v>0</v>
      </c>
      <c r="AN609" s="125">
        <f>IFERROR(VLOOKUP(DATA[[#This Row],[COMBINADA]],#REF!,9,0),0)/COUNTIFS(DATA[COMBINADA],DATA[[#This Row],[COMBINADA]])</f>
        <v>0</v>
      </c>
      <c r="AO609" s="27">
        <f>IFERROR(VLOOKUP(DATA[[#This Row],[COMBINADA]],#REF!,6,0),0)</f>
        <v>0</v>
      </c>
      <c r="AP609" s="125">
        <f>IFERROR(VLOOKUP(DATA[[#This Row],[COMBINADA]],#REF!,9,0),0)/COUNTIFS(DATA[COMBINADA],DATA[[#This Row],[COMBINADA]])</f>
        <v>0</v>
      </c>
      <c r="AQ60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690.30200000000002</v>
      </c>
      <c r="AR609" s="26" t="str">
        <f>IFERROR(IF(DATA[[#This Row],[estado_fact]]="FACTURADO",VLOOKUP(DATA[[#This Row],[SERIE2]]&amp;"-"&amp;DATA[[#This Row],[NUMERO]],#REF!,34,0),"NO CORRESPONDE"),"NO CORRESPONDE")</f>
        <v>NO CORRESPONDE</v>
      </c>
      <c r="AS609" s="22" t="str">
        <f>IF(DATA[[#This Row],[fecha_fs]]&gt;0,TEXT(DATA[[#This Row],[fecha_fs]],"Mmmm"),0)</f>
        <v>Mayo</v>
      </c>
      <c r="AT609" s="22" t="str">
        <f>DATA[[#This Row],[SERIE2]]&amp;"-"&amp;DATA[[#This Row],[NUMERO]]</f>
        <v>FF01-109</v>
      </c>
      <c r="AU609" s="28">
        <f>DATA[[#This Row],[TOTAL]]*DATA[[#This Row],[T.C.]]</f>
        <v>577.57000000000005</v>
      </c>
      <c r="AV609" s="6">
        <f>DATA[[#This Row],[FECHA DE VAL.]]</f>
        <v>45785</v>
      </c>
      <c r="AW609" s="6">
        <f>DATA[[#This Row],[FECHA DE EMISION]]</f>
        <v>45813</v>
      </c>
      <c r="AX609" s="6">
        <f>DATA[[#This Row],[F1]]</f>
        <v>0</v>
      </c>
      <c r="AY609" s="20">
        <f>IF(AV609-DATA[[#This Row],[fecha_fs]]&lt;0,0,AV609-DATA[[#This Row],[fecha_fs]])</f>
        <v>3</v>
      </c>
      <c r="AZ609" s="20">
        <f t="shared" si="64"/>
        <v>28</v>
      </c>
      <c r="BA609" s="20">
        <f t="shared" si="65"/>
        <v>0</v>
      </c>
      <c r="BB609" s="195">
        <f>IFERROR(SUM(DATA[[#This Row],[fs_val_ttf]:[fact_pago_ttf]]),0)</f>
        <v>31</v>
      </c>
      <c r="BC609" s="185">
        <v>45790</v>
      </c>
      <c r="BD609" s="185">
        <v>45798</v>
      </c>
      <c r="BE609" s="185">
        <v>45804</v>
      </c>
      <c r="BF609" s="185">
        <v>45832</v>
      </c>
      <c r="BG609" s="20">
        <f>IFERROR(IF(BC609-DATA[[#This Row],[fecha_fs]]&lt;0,0,BC609-DATA[[#This Row],[fecha_fs]]),0)</f>
        <v>8</v>
      </c>
      <c r="BH609" s="20">
        <f t="shared" si="66"/>
        <v>8</v>
      </c>
      <c r="BI609" s="20">
        <f t="shared" si="67"/>
        <v>6</v>
      </c>
      <c r="BJ609" s="20">
        <f t="shared" si="68"/>
        <v>28</v>
      </c>
      <c r="BK609" s="218">
        <f>IFERROR(SUM(DATA[[#This Row],[fs_fd_ttd]:[fend_fenf_ttd]]),0)</f>
        <v>50</v>
      </c>
      <c r="BL609" s="20" t="str">
        <f>IF(DATA[[#This Row],[fecha_fs]]&gt;0,TEXT(DATA[[#This Row],[fecha_fs]],"YYYY"),0)</f>
        <v>2025</v>
      </c>
      <c r="BM609" s="221" t="b">
        <v>1</v>
      </c>
      <c r="BN609" s="278">
        <f>COUNTIF(DATA[[#This Row],[tiempo_td]], "&lt;=15")</f>
        <v>0</v>
      </c>
      <c r="BO609" s="222"/>
    </row>
    <row r="610" spans="1:67" ht="30.6" customHeight="1" x14ac:dyDescent="0.25">
      <c r="A610" s="4">
        <v>20546530184</v>
      </c>
      <c r="B610" s="5" t="s">
        <v>50</v>
      </c>
      <c r="C610" s="52" t="s">
        <v>51</v>
      </c>
      <c r="D610" s="4" t="s">
        <v>112</v>
      </c>
      <c r="E610" s="5" t="s">
        <v>1</v>
      </c>
      <c r="F610" s="24">
        <v>45782</v>
      </c>
      <c r="G610" s="7" t="s">
        <v>113</v>
      </c>
      <c r="H610" s="25">
        <f t="shared" si="63"/>
        <v>1</v>
      </c>
      <c r="I610" s="67">
        <v>4467</v>
      </c>
      <c r="J610" s="8" t="s">
        <v>115</v>
      </c>
      <c r="K610" s="9" t="s">
        <v>116</v>
      </c>
      <c r="L610" s="10" t="s">
        <v>117</v>
      </c>
      <c r="M610" s="11">
        <v>7</v>
      </c>
      <c r="N610" s="12" t="s">
        <v>125</v>
      </c>
      <c r="O610" s="6">
        <v>45785</v>
      </c>
      <c r="P610" s="13">
        <v>3438</v>
      </c>
      <c r="Q610" s="14" t="s">
        <v>85</v>
      </c>
      <c r="R610" s="15">
        <v>0</v>
      </c>
      <c r="S610" s="15">
        <f>978.93/2</f>
        <v>489.46499999999997</v>
      </c>
      <c r="T610" s="15">
        <f>DATA[[#This Row],[C. DF]]+DATA[[#This Row],[C.OPE.]]</f>
        <v>489.46499999999997</v>
      </c>
      <c r="U610" s="15">
        <f>DATA[[#This Row],[SUB TOTAL]]*0.18</f>
        <v>88.103699999999989</v>
      </c>
      <c r="V610" s="15">
        <f>IFERROR(ROUND(DATA[[#This Row],[SUB TOTAL]]+DATA[[#This Row],[IGV]],2),0)</f>
        <v>577.57000000000005</v>
      </c>
      <c r="W610" s="16" t="str">
        <f>IF(DATA[[#This Row],[VALORIZACIÓN ]]="-","NO CORRESPONDE",IF(OR(A610=20558226979,A610=10470707866,A610=20111157058,A610=20100226902),"NO CORRESPONDE",IF(J610="Emitida",IF(P610&gt;0,"EMITIDA","PENDIENTE"),"NO CORRESPONDE")))</f>
        <v>EMITIDA</v>
      </c>
      <c r="X610" s="29" t="s">
        <v>231</v>
      </c>
      <c r="Y610" s="17" t="s">
        <v>118</v>
      </c>
      <c r="Z610" s="30">
        <v>45813</v>
      </c>
      <c r="AA610" s="10" t="s">
        <v>150</v>
      </c>
      <c r="AB610" s="19">
        <v>109</v>
      </c>
      <c r="AC610" s="20">
        <v>30</v>
      </c>
      <c r="AD610" s="18">
        <f>DATA[[#This Row],[FECHA DE EMISION]]+DATA[[#This Row],[CONDICION DE PAGO]]</f>
        <v>45843</v>
      </c>
      <c r="AE610" s="23">
        <f>IF(DATA[[#This Row],[MONEDA]]="USD",VLOOKUP(DATA[[#This Row],[COMBINADA]],#REF!,11,0),1)</f>
        <v>1</v>
      </c>
      <c r="AF610" s="39" t="str">
        <f>IF(DATA[[#This Row],[SERIE2]]="-","NO CORRESPONDE",IF(W610="NO CORRESPONDE","NO CORRESPONDE",IF(Z610&gt;0,"FACTURADO","PENDIENTE")))</f>
        <v>FACTURADO</v>
      </c>
      <c r="AG610" s="27">
        <f>IFERROR(VLOOKUP(DATA[[#This Row],[COMBINADA]],#REF!,6,0),0)</f>
        <v>0</v>
      </c>
      <c r="AH610" s="125">
        <f>IFERROR(VLOOKUP(DATA[[#This Row],[COMBINADA]],#REF!,9,0),0)/COUNTIFS(DATA[COMBINADA],DATA[[#This Row],[COMBINADA]])</f>
        <v>0</v>
      </c>
      <c r="AI610" s="27">
        <f>IFERROR(VLOOKUP(DATA[[#This Row],[COMBINADA]],#REF!,6,0),0)</f>
        <v>0</v>
      </c>
      <c r="AJ610" s="125">
        <f>IFERROR(VLOOKUP(DATA[[#This Row],[COMBINADA]],#REF!,9,0),0)/COUNTIFS(DATA[COMBINADA],DATA[[#This Row],[COMBINADA]])</f>
        <v>0</v>
      </c>
      <c r="AK610" s="27">
        <f>IFERROR(VLOOKUP(DATA[[#This Row],[COMBINADA]],#REF!,6,0),0)</f>
        <v>0</v>
      </c>
      <c r="AL610" s="125">
        <f>IFERROR(VLOOKUP(DATA[[#This Row],[COMBINADA]],#REF!,9,0),0)/COUNTIFS(DATA[COMBINADA],DATA[[#This Row],[COMBINADA]])</f>
        <v>0</v>
      </c>
      <c r="AM610" s="27">
        <f>IFERROR(VLOOKUP(DATA[[#This Row],[COMBINADA]],#REF!,6,0),0)</f>
        <v>0</v>
      </c>
      <c r="AN610" s="125">
        <f>IFERROR(VLOOKUP(DATA[[#This Row],[COMBINADA]],#REF!,9,0),0)/COUNTIFS(DATA[COMBINADA],DATA[[#This Row],[COMBINADA]])</f>
        <v>0</v>
      </c>
      <c r="AO610" s="27">
        <f>IFERROR(VLOOKUP(DATA[[#This Row],[COMBINADA]],#REF!,6,0),0)</f>
        <v>0</v>
      </c>
      <c r="AP610" s="125">
        <f>IFERROR(VLOOKUP(DATA[[#This Row],[COMBINADA]],#REF!,9,0),0)/COUNTIFS(DATA[COMBINADA],DATA[[#This Row],[COMBINADA]])</f>
        <v>0</v>
      </c>
      <c r="AQ61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690.30200000000002</v>
      </c>
      <c r="AR610" s="26" t="str">
        <f>IFERROR(IF(DATA[[#This Row],[estado_fact]]="FACTURADO",VLOOKUP(DATA[[#This Row],[SERIE2]]&amp;"-"&amp;DATA[[#This Row],[NUMERO]],#REF!,34,0),"NO CORRESPONDE"),"NO CORRESPONDE")</f>
        <v>NO CORRESPONDE</v>
      </c>
      <c r="AS610" s="22" t="str">
        <f>IF(DATA[[#This Row],[fecha_fs]]&gt;0,TEXT(DATA[[#This Row],[fecha_fs]],"Mmmm"),0)</f>
        <v>Mayo</v>
      </c>
      <c r="AT610" s="22" t="str">
        <f>DATA[[#This Row],[SERIE2]]&amp;"-"&amp;DATA[[#This Row],[NUMERO]]</f>
        <v>FF01-109</v>
      </c>
      <c r="AU610" s="28">
        <f>DATA[[#This Row],[TOTAL]]*DATA[[#This Row],[T.C.]]</f>
        <v>577.57000000000005</v>
      </c>
      <c r="AV610" s="6">
        <f>DATA[[#This Row],[FECHA DE VAL.]]</f>
        <v>45785</v>
      </c>
      <c r="AW610" s="6">
        <f>DATA[[#This Row],[FECHA DE EMISION]]</f>
        <v>45813</v>
      </c>
      <c r="AX610" s="6">
        <f>DATA[[#This Row],[F1]]</f>
        <v>0</v>
      </c>
      <c r="AY610" s="20">
        <f>IF(AV610-DATA[[#This Row],[fecha_fs]]&lt;0,0,AV610-DATA[[#This Row],[fecha_fs]])</f>
        <v>3</v>
      </c>
      <c r="AZ610" s="20">
        <f t="shared" si="64"/>
        <v>28</v>
      </c>
      <c r="BA610" s="20">
        <f t="shared" si="65"/>
        <v>0</v>
      </c>
      <c r="BB610" s="195">
        <f>IFERROR(SUM(DATA[[#This Row],[fs_val_ttf]:[fact_pago_ttf]]),0)</f>
        <v>31</v>
      </c>
      <c r="BC610" s="185">
        <v>45790</v>
      </c>
      <c r="BD610" s="185">
        <v>45798</v>
      </c>
      <c r="BE610" s="185">
        <v>45804</v>
      </c>
      <c r="BF610" s="185">
        <v>45832</v>
      </c>
      <c r="BG610" s="20">
        <f>IFERROR(IF(BC610-DATA[[#This Row],[fecha_fs]]&lt;0,0,BC610-DATA[[#This Row],[fecha_fs]]),0)</f>
        <v>8</v>
      </c>
      <c r="BH610" s="20">
        <f t="shared" si="66"/>
        <v>8</v>
      </c>
      <c r="BI610" s="20">
        <f t="shared" si="67"/>
        <v>6</v>
      </c>
      <c r="BJ610" s="20">
        <f t="shared" si="68"/>
        <v>28</v>
      </c>
      <c r="BK610" s="218">
        <f>IFERROR(SUM(DATA[[#This Row],[fs_fd_ttd]:[fend_fenf_ttd]]),0)</f>
        <v>50</v>
      </c>
      <c r="BL610" s="20" t="str">
        <f>IF(DATA[[#This Row],[fecha_fs]]&gt;0,TEXT(DATA[[#This Row],[fecha_fs]],"YYYY"),0)</f>
        <v>2025</v>
      </c>
      <c r="BM610" s="221" t="b">
        <v>1</v>
      </c>
      <c r="BN610" s="278">
        <f>COUNTIF(DATA[[#This Row],[tiempo_td]], "&lt;=15")</f>
        <v>0</v>
      </c>
      <c r="BO610" s="222"/>
    </row>
    <row r="611" spans="1:67" ht="30.6" customHeight="1" x14ac:dyDescent="0.25">
      <c r="A611" s="4">
        <v>20558226979</v>
      </c>
      <c r="B611" s="5" t="s">
        <v>45</v>
      </c>
      <c r="C611" s="52" t="s">
        <v>18</v>
      </c>
      <c r="D611" s="4" t="s">
        <v>120</v>
      </c>
      <c r="E611" s="5" t="s">
        <v>3</v>
      </c>
      <c r="F611" s="24">
        <v>45782</v>
      </c>
      <c r="G611" s="7" t="s">
        <v>113</v>
      </c>
      <c r="H611" s="25">
        <f t="shared" si="63"/>
        <v>1</v>
      </c>
      <c r="I611" s="67">
        <v>4468</v>
      </c>
      <c r="J611" s="8" t="s">
        <v>115</v>
      </c>
      <c r="K611" s="9" t="s">
        <v>121</v>
      </c>
      <c r="L611" s="10" t="s">
        <v>117</v>
      </c>
      <c r="M611" s="11">
        <v>5590</v>
      </c>
      <c r="N611" s="12" t="s">
        <v>164</v>
      </c>
      <c r="O611" s="40"/>
      <c r="P611" s="41" t="s">
        <v>114</v>
      </c>
      <c r="Q611" s="42"/>
      <c r="R611" s="43"/>
      <c r="S611" s="43"/>
      <c r="T611" s="43">
        <f>DATA[[#This Row],[C. DF]]+DATA[[#This Row],[C.OPE.]]</f>
        <v>0</v>
      </c>
      <c r="U611" s="43">
        <f>DATA[[#This Row],[SUB TOTAL]]*0.18</f>
        <v>0</v>
      </c>
      <c r="V611" s="43">
        <f>IFERROR(ROUND(DATA[[#This Row],[SUB TOTAL]]+DATA[[#This Row],[IGV]],2),0)</f>
        <v>0</v>
      </c>
      <c r="W611" s="16" t="str">
        <f>IF(DATA[[#This Row],[VALORIZACIÓN ]]="-","NO CORRESPONDE",IF(OR(A611=20558226979,A611=10470707866,A611=20111157058,A611=20100226902),"NO CORRESPONDE",IF(J611="Emitida",IF(P611&gt;0,"EMITIDA","PENDIENTE"),"NO CORRESPONDE")))</f>
        <v>NO CORRESPONDE</v>
      </c>
      <c r="X611" s="29"/>
      <c r="Y611" s="17" t="s">
        <v>128</v>
      </c>
      <c r="Z611" s="30"/>
      <c r="AA611" s="10"/>
      <c r="AB611" s="19"/>
      <c r="AC611" s="20"/>
      <c r="AD611" s="18">
        <f>DATA[[#This Row],[FECHA DE EMISION]]+DATA[[#This Row],[CONDICION DE PAGO]]</f>
        <v>0</v>
      </c>
      <c r="AE611" s="23">
        <f>IF(DATA[[#This Row],[MONEDA]]="USD",VLOOKUP(DATA[[#This Row],[COMBINADA]],#REF!,11,0),1)</f>
        <v>1</v>
      </c>
      <c r="AF611" s="39" t="str">
        <f>IF(DATA[[#This Row],[SERIE2]]="-","NO CORRESPONDE",IF(W611="NO CORRESPONDE","NO CORRESPONDE",IF(Z611&gt;0,"FACTURADO","PENDIENTE")))</f>
        <v>NO CORRESPONDE</v>
      </c>
      <c r="AG611" s="27">
        <f>IFERROR(VLOOKUP(DATA[[#This Row],[COMBINADA]],#REF!,6,0),0)</f>
        <v>0</v>
      </c>
      <c r="AH611" s="125">
        <f>IFERROR(VLOOKUP(DATA[[#This Row],[COMBINADA]],#REF!,9,0),0)/COUNTIFS(DATA[COMBINADA],DATA[[#This Row],[COMBINADA]])</f>
        <v>0</v>
      </c>
      <c r="AI611" s="27">
        <f>IFERROR(VLOOKUP(DATA[[#This Row],[COMBINADA]],#REF!,6,0),0)</f>
        <v>0</v>
      </c>
      <c r="AJ611" s="125">
        <f>IFERROR(VLOOKUP(DATA[[#This Row],[COMBINADA]],#REF!,9,0),0)/COUNTIFS(DATA[COMBINADA],DATA[[#This Row],[COMBINADA]])</f>
        <v>0</v>
      </c>
      <c r="AK611" s="27">
        <f>IFERROR(VLOOKUP(DATA[[#This Row],[COMBINADA]],#REF!,6,0),0)</f>
        <v>0</v>
      </c>
      <c r="AL611" s="125">
        <f>IFERROR(VLOOKUP(DATA[[#This Row],[COMBINADA]],#REF!,9,0),0)/COUNTIFS(DATA[COMBINADA],DATA[[#This Row],[COMBINADA]])</f>
        <v>0</v>
      </c>
      <c r="AM611" s="27">
        <f>IFERROR(VLOOKUP(DATA[[#This Row],[COMBINADA]],#REF!,6,0),0)</f>
        <v>0</v>
      </c>
      <c r="AN611" s="125">
        <f>IFERROR(VLOOKUP(DATA[[#This Row],[COMBINADA]],#REF!,9,0),0)/COUNTIFS(DATA[COMBINADA],DATA[[#This Row],[COMBINADA]])</f>
        <v>0</v>
      </c>
      <c r="AO611" s="27">
        <f>IFERROR(VLOOKUP(DATA[[#This Row],[COMBINADA]],#REF!,6,0),0)</f>
        <v>0</v>
      </c>
      <c r="AP611" s="125">
        <f>IFERROR(VLOOKUP(DATA[[#This Row],[COMBINADA]],#REF!,9,0),0)/COUNTIFS(DATA[COMBINADA],DATA[[#This Row],[COMBINADA]])</f>
        <v>0</v>
      </c>
      <c r="AQ61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611" s="26" t="str">
        <f>IFERROR(IF(DATA[[#This Row],[estado_fact]]="FACTURADO",VLOOKUP(DATA[[#This Row],[SERIE2]]&amp;"-"&amp;DATA[[#This Row],[NUMERO]],#REF!,34,0),"NO CORRESPONDE"),"NO CORRESPONDE")</f>
        <v>NO CORRESPONDE</v>
      </c>
      <c r="AS611" s="22" t="str">
        <f>IF(DATA[[#This Row],[fecha_fs]]&gt;0,TEXT(DATA[[#This Row],[fecha_fs]],"Mmmm"),0)</f>
        <v>Mayo</v>
      </c>
      <c r="AT611" s="22" t="str">
        <f>DATA[[#This Row],[SERIE2]]&amp;"-"&amp;DATA[[#This Row],[NUMERO]]</f>
        <v>-</v>
      </c>
      <c r="AU611" s="28">
        <f>DATA[[#This Row],[TOTAL]]*DATA[[#This Row],[T.C.]]</f>
        <v>0</v>
      </c>
      <c r="AV611" s="6">
        <f>DATA[[#This Row],[FECHA DE VAL.]]</f>
        <v>0</v>
      </c>
      <c r="AW611" s="6">
        <f>DATA[[#This Row],[FECHA DE EMISION]]</f>
        <v>0</v>
      </c>
      <c r="AX611" s="6">
        <f>DATA[[#This Row],[F1]]</f>
        <v>0</v>
      </c>
      <c r="AY611" s="20">
        <f>IF(AV611-DATA[[#This Row],[fecha_fs]]&lt;0,0,AV611-DATA[[#This Row],[fecha_fs]])</f>
        <v>0</v>
      </c>
      <c r="AZ611" s="20">
        <f t="shared" si="64"/>
        <v>0</v>
      </c>
      <c r="BA611" s="20">
        <f t="shared" si="65"/>
        <v>0</v>
      </c>
      <c r="BB611" s="195">
        <f>IFERROR(SUM(DATA[[#This Row],[fs_val_ttf]:[fact_pago_ttf]]),0)</f>
        <v>0</v>
      </c>
      <c r="BC611" s="185">
        <v>45782</v>
      </c>
      <c r="BD611" s="185">
        <v>45796</v>
      </c>
      <c r="BE611" s="185">
        <v>45873</v>
      </c>
      <c r="BF611" s="185">
        <v>45873</v>
      </c>
      <c r="BG611" s="20">
        <f>IFERROR(IF(BC611-DATA[[#This Row],[fecha_fs]]&lt;0,0,BC611-DATA[[#This Row],[fecha_fs]]),0)</f>
        <v>0</v>
      </c>
      <c r="BH611" s="20">
        <f t="shared" si="66"/>
        <v>14</v>
      </c>
      <c r="BI611" s="20">
        <f t="shared" si="67"/>
        <v>77</v>
      </c>
      <c r="BJ611" s="20">
        <f t="shared" si="68"/>
        <v>0</v>
      </c>
      <c r="BK611" s="218">
        <f>IFERROR(SUM(DATA[[#This Row],[fs_fd_ttd]:[fend_fenf_ttd]]),0)</f>
        <v>91</v>
      </c>
      <c r="BL611" s="20" t="str">
        <f>IF(DATA[[#This Row],[fecha_fs]]&gt;0,TEXT(DATA[[#This Row],[fecha_fs]],"YYYY"),0)</f>
        <v>2025</v>
      </c>
      <c r="BM611" s="221" t="b">
        <v>1</v>
      </c>
      <c r="BN611" s="278">
        <f>COUNTIF(DATA[[#This Row],[tiempo_td]], "&lt;=15")</f>
        <v>0</v>
      </c>
      <c r="BO611" s="222"/>
    </row>
    <row r="612" spans="1:67" ht="30.6" customHeight="1" x14ac:dyDescent="0.25">
      <c r="A612" s="4">
        <v>20546530184</v>
      </c>
      <c r="B612" s="5" t="s">
        <v>50</v>
      </c>
      <c r="C612" s="52" t="s">
        <v>52</v>
      </c>
      <c r="D612" s="4" t="s">
        <v>112</v>
      </c>
      <c r="E612" s="5" t="s">
        <v>1</v>
      </c>
      <c r="F612" s="24">
        <v>45782</v>
      </c>
      <c r="G612" s="7" t="s">
        <v>113</v>
      </c>
      <c r="H612" s="25">
        <f t="shared" si="63"/>
        <v>1</v>
      </c>
      <c r="I612" s="67">
        <v>4469</v>
      </c>
      <c r="J612" s="8" t="s">
        <v>115</v>
      </c>
      <c r="K612" s="9" t="s">
        <v>116</v>
      </c>
      <c r="L612" s="10" t="s">
        <v>117</v>
      </c>
      <c r="M612" s="11">
        <v>5</v>
      </c>
      <c r="N612" s="12" t="s">
        <v>167</v>
      </c>
      <c r="O612" s="6">
        <v>45785</v>
      </c>
      <c r="P612" s="13">
        <v>3438</v>
      </c>
      <c r="Q612" s="14" t="s">
        <v>85</v>
      </c>
      <c r="R612" s="15"/>
      <c r="S612" s="15">
        <f>1303.88/2</f>
        <v>651.94000000000005</v>
      </c>
      <c r="T612" s="15">
        <f>DATA[[#This Row],[C. DF]]+DATA[[#This Row],[C.OPE.]]</f>
        <v>651.94000000000005</v>
      </c>
      <c r="U612" s="15">
        <f>DATA[[#This Row],[SUB TOTAL]]*0.18</f>
        <v>117.34920000000001</v>
      </c>
      <c r="V612" s="15">
        <f>IFERROR(ROUND(DATA[[#This Row],[SUB TOTAL]]+DATA[[#This Row],[IGV]],2),0)</f>
        <v>769.29</v>
      </c>
      <c r="W612" s="16" t="str">
        <f>IF(DATA[[#This Row],[VALORIZACIÓN ]]="-","NO CORRESPONDE",IF(OR(A612=20558226979,A612=10470707866,A612=20111157058,A612=20100226902),"NO CORRESPONDE",IF(J612="Emitida",IF(P612&gt;0,"EMITIDA","PENDIENTE"),"NO CORRESPONDE")))</f>
        <v>EMITIDA</v>
      </c>
      <c r="X612" s="29" t="s">
        <v>231</v>
      </c>
      <c r="Y612" s="17" t="s">
        <v>118</v>
      </c>
      <c r="Z612" s="30">
        <v>45813</v>
      </c>
      <c r="AA612" s="10" t="s">
        <v>150</v>
      </c>
      <c r="AB612" s="19">
        <v>109</v>
      </c>
      <c r="AC612" s="20">
        <v>30</v>
      </c>
      <c r="AD612" s="18">
        <f>DATA[[#This Row],[FECHA DE EMISION]]+DATA[[#This Row],[CONDICION DE PAGO]]</f>
        <v>45843</v>
      </c>
      <c r="AE612" s="23">
        <f>IF(DATA[[#This Row],[MONEDA]]="USD",VLOOKUP(DATA[[#This Row],[COMBINADA]],#REF!,11,0),1)</f>
        <v>1</v>
      </c>
      <c r="AF612" s="39" t="str">
        <f>IF(DATA[[#This Row],[SERIE2]]="-","NO CORRESPONDE",IF(W612="NO CORRESPONDE","NO CORRESPONDE",IF(Z612&gt;0,"FACTURADO","PENDIENTE")))</f>
        <v>FACTURADO</v>
      </c>
      <c r="AG612" s="27">
        <f>IFERROR(VLOOKUP(DATA[[#This Row],[COMBINADA]],#REF!,6,0),0)</f>
        <v>0</v>
      </c>
      <c r="AH612" s="125">
        <f>IFERROR(VLOOKUP(DATA[[#This Row],[COMBINADA]],#REF!,9,0),0)/COUNTIFS(DATA[COMBINADA],DATA[[#This Row],[COMBINADA]])</f>
        <v>0</v>
      </c>
      <c r="AI612" s="27">
        <f>IFERROR(VLOOKUP(DATA[[#This Row],[COMBINADA]],#REF!,6,0),0)</f>
        <v>0</v>
      </c>
      <c r="AJ612" s="125">
        <f>IFERROR(VLOOKUP(DATA[[#This Row],[COMBINADA]],#REF!,9,0),0)/COUNTIFS(DATA[COMBINADA],DATA[[#This Row],[COMBINADA]])</f>
        <v>0</v>
      </c>
      <c r="AK612" s="27">
        <f>IFERROR(VLOOKUP(DATA[[#This Row],[COMBINADA]],#REF!,6,0),0)</f>
        <v>0</v>
      </c>
      <c r="AL612" s="125">
        <f>IFERROR(VLOOKUP(DATA[[#This Row],[COMBINADA]],#REF!,9,0),0)/COUNTIFS(DATA[COMBINADA],DATA[[#This Row],[COMBINADA]])</f>
        <v>0</v>
      </c>
      <c r="AM612" s="27">
        <f>IFERROR(VLOOKUP(DATA[[#This Row],[COMBINADA]],#REF!,6,0),0)</f>
        <v>0</v>
      </c>
      <c r="AN612" s="125">
        <f>IFERROR(VLOOKUP(DATA[[#This Row],[COMBINADA]],#REF!,9,0),0)/COUNTIFS(DATA[COMBINADA],DATA[[#This Row],[COMBINADA]])</f>
        <v>0</v>
      </c>
      <c r="AO612" s="27">
        <f>IFERROR(VLOOKUP(DATA[[#This Row],[COMBINADA]],#REF!,6,0),0)</f>
        <v>0</v>
      </c>
      <c r="AP612" s="125">
        <f>IFERROR(VLOOKUP(DATA[[#This Row],[COMBINADA]],#REF!,9,0),0)/COUNTIFS(DATA[COMBINADA],DATA[[#This Row],[COMBINADA]])</f>
        <v>0</v>
      </c>
      <c r="AQ61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690.30200000000002</v>
      </c>
      <c r="AR612" s="26" t="str">
        <f>IFERROR(IF(DATA[[#This Row],[estado_fact]]="FACTURADO",VLOOKUP(DATA[[#This Row],[SERIE2]]&amp;"-"&amp;DATA[[#This Row],[NUMERO]],#REF!,34,0),"NO CORRESPONDE"),"NO CORRESPONDE")</f>
        <v>NO CORRESPONDE</v>
      </c>
      <c r="AS612" s="22" t="str">
        <f>IF(DATA[[#This Row],[fecha_fs]]&gt;0,TEXT(DATA[[#This Row],[fecha_fs]],"Mmmm"),0)</f>
        <v>Mayo</v>
      </c>
      <c r="AT612" s="22" t="str">
        <f>DATA[[#This Row],[SERIE2]]&amp;"-"&amp;DATA[[#This Row],[NUMERO]]</f>
        <v>FF01-109</v>
      </c>
      <c r="AU612" s="28">
        <f>DATA[[#This Row],[TOTAL]]*DATA[[#This Row],[T.C.]]</f>
        <v>769.29</v>
      </c>
      <c r="AV612" s="6">
        <f>DATA[[#This Row],[FECHA DE VAL.]]</f>
        <v>45785</v>
      </c>
      <c r="AW612" s="6">
        <f>DATA[[#This Row],[FECHA DE EMISION]]</f>
        <v>45813</v>
      </c>
      <c r="AX612" s="6">
        <f>DATA[[#This Row],[F1]]</f>
        <v>0</v>
      </c>
      <c r="AY612" s="20">
        <f>IF(AV612-DATA[[#This Row],[fecha_fs]]&lt;0,0,AV612-DATA[[#This Row],[fecha_fs]])</f>
        <v>3</v>
      </c>
      <c r="AZ612" s="20">
        <f t="shared" si="64"/>
        <v>28</v>
      </c>
      <c r="BA612" s="20">
        <f t="shared" si="65"/>
        <v>0</v>
      </c>
      <c r="BB612" s="195">
        <f>IFERROR(SUM(DATA[[#This Row],[fs_val_ttf]:[fact_pago_ttf]]),0)</f>
        <v>31</v>
      </c>
      <c r="BC612" s="185">
        <v>45790</v>
      </c>
      <c r="BD612" s="185">
        <v>45798</v>
      </c>
      <c r="BE612" s="185">
        <v>45804</v>
      </c>
      <c r="BF612" s="185">
        <v>45832</v>
      </c>
      <c r="BG612" s="20">
        <f>IFERROR(IF(BC612-DATA[[#This Row],[fecha_fs]]&lt;0,0,BC612-DATA[[#This Row],[fecha_fs]]),0)</f>
        <v>8</v>
      </c>
      <c r="BH612" s="20">
        <f t="shared" si="66"/>
        <v>8</v>
      </c>
      <c r="BI612" s="20">
        <f t="shared" si="67"/>
        <v>6</v>
      </c>
      <c r="BJ612" s="20">
        <f t="shared" si="68"/>
        <v>28</v>
      </c>
      <c r="BK612" s="218">
        <f>IFERROR(SUM(DATA[[#This Row],[fs_fd_ttd]:[fend_fenf_ttd]]),0)</f>
        <v>50</v>
      </c>
      <c r="BL612" s="20" t="str">
        <f>IF(DATA[[#This Row],[fecha_fs]]&gt;0,TEXT(DATA[[#This Row],[fecha_fs]],"YYYY"),0)</f>
        <v>2025</v>
      </c>
      <c r="BM612" s="221" t="b">
        <v>1</v>
      </c>
      <c r="BN612" s="278">
        <f>COUNTIF(DATA[[#This Row],[tiempo_td]], "&lt;=15")</f>
        <v>0</v>
      </c>
      <c r="BO612" s="222"/>
    </row>
    <row r="613" spans="1:67" ht="30.6" customHeight="1" x14ac:dyDescent="0.25">
      <c r="A613" s="4">
        <v>20100211115</v>
      </c>
      <c r="B613" s="5" t="s">
        <v>41</v>
      </c>
      <c r="C613" s="52" t="s">
        <v>18</v>
      </c>
      <c r="D613" s="4" t="s">
        <v>120</v>
      </c>
      <c r="E613" s="5" t="s">
        <v>3</v>
      </c>
      <c r="F613" s="24">
        <v>45783</v>
      </c>
      <c r="G613" s="7" t="s">
        <v>113</v>
      </c>
      <c r="H613" s="25">
        <f t="shared" si="63"/>
        <v>1</v>
      </c>
      <c r="I613" s="67">
        <v>4470</v>
      </c>
      <c r="J613" s="8" t="s">
        <v>115</v>
      </c>
      <c r="K613" s="9" t="s">
        <v>163</v>
      </c>
      <c r="L613" s="10" t="s">
        <v>117</v>
      </c>
      <c r="M613" s="11">
        <v>771</v>
      </c>
      <c r="N613" s="12" t="s">
        <v>186</v>
      </c>
      <c r="O613" s="6">
        <v>45803</v>
      </c>
      <c r="P613" s="115">
        <v>3457</v>
      </c>
      <c r="Q613" s="14" t="s">
        <v>85</v>
      </c>
      <c r="R613" s="15"/>
      <c r="S613" s="15">
        <f>DATA[[#This Row],[cantidad_fs]]*0.72</f>
        <v>555.12</v>
      </c>
      <c r="T613" s="15">
        <f>DATA[[#This Row],[C. DF]]+DATA[[#This Row],[C.OPE.]]</f>
        <v>555.12</v>
      </c>
      <c r="U613" s="15">
        <f>DATA[[#This Row],[SUB TOTAL]]*0.18</f>
        <v>99.921599999999998</v>
      </c>
      <c r="V613" s="15">
        <f>IFERROR(ROUND(DATA[[#This Row],[SUB TOTAL]]+DATA[[#This Row],[IGV]],2),0)</f>
        <v>655.04</v>
      </c>
      <c r="W613" s="16" t="str">
        <f>IF(DATA[[#This Row],[VALORIZACIÓN ]]="-","NO CORRESPONDE",IF(OR(A613=20558226979,A613=10470707866,A613=20111157058,A613=20100226902),"NO CORRESPONDE",IF(J613="Emitida",IF(P613&gt;0,"EMITIDA","PENDIENTE"),"NO CORRESPONDE")))</f>
        <v>EMITIDA</v>
      </c>
      <c r="X613" s="29"/>
      <c r="Y613" s="17" t="s">
        <v>118</v>
      </c>
      <c r="Z613" s="30">
        <v>45804</v>
      </c>
      <c r="AA613" s="10" t="s">
        <v>150</v>
      </c>
      <c r="AB613" s="19">
        <v>96</v>
      </c>
      <c r="AC613" s="20">
        <v>30</v>
      </c>
      <c r="AD613" s="18">
        <f>DATA[[#This Row],[FECHA DE EMISION]]+DATA[[#This Row],[CONDICION DE PAGO]]</f>
        <v>45834</v>
      </c>
      <c r="AE613" s="23">
        <f>IF(DATA[[#This Row],[MONEDA]]="USD",VLOOKUP(DATA[[#This Row],[COMBINADA]],#REF!,11,0),1)</f>
        <v>1</v>
      </c>
      <c r="AF613" s="39" t="str">
        <f>IF(DATA[[#This Row],[SERIE2]]="-","NO CORRESPONDE",IF(W613="NO CORRESPONDE","NO CORRESPONDE",IF(Z613&gt;0,"FACTURADO","PENDIENTE")))</f>
        <v>FACTURADO</v>
      </c>
      <c r="AG613" s="27">
        <f>IFERROR(VLOOKUP(DATA[[#This Row],[COMBINADA]],#REF!,6,0),0)</f>
        <v>0</v>
      </c>
      <c r="AH613" s="125">
        <f>IFERROR(VLOOKUP(DATA[[#This Row],[COMBINADA]],#REF!,9,0),0)/COUNTIFS(DATA[COMBINADA],DATA[[#This Row],[COMBINADA]])</f>
        <v>0</v>
      </c>
      <c r="AI613" s="27">
        <f>IFERROR(VLOOKUP(DATA[[#This Row],[COMBINADA]],#REF!,6,0),0)</f>
        <v>0</v>
      </c>
      <c r="AJ613" s="125">
        <f>IFERROR(VLOOKUP(DATA[[#This Row],[COMBINADA]],#REF!,9,0),0)/COUNTIFS(DATA[COMBINADA],DATA[[#This Row],[COMBINADA]])</f>
        <v>0</v>
      </c>
      <c r="AK613" s="27">
        <f>IFERROR(VLOOKUP(DATA[[#This Row],[COMBINADA]],#REF!,6,0),0)</f>
        <v>0</v>
      </c>
      <c r="AL613" s="125">
        <f>IFERROR(VLOOKUP(DATA[[#This Row],[COMBINADA]],#REF!,9,0),0)/COUNTIFS(DATA[COMBINADA],DATA[[#This Row],[COMBINADA]])</f>
        <v>0</v>
      </c>
      <c r="AM613" s="27">
        <f>IFERROR(VLOOKUP(DATA[[#This Row],[COMBINADA]],#REF!,6,0),0)</f>
        <v>0</v>
      </c>
      <c r="AN613" s="125">
        <f>IFERROR(VLOOKUP(DATA[[#This Row],[COMBINADA]],#REF!,9,0),0)/COUNTIFS(DATA[COMBINADA],DATA[[#This Row],[COMBINADA]])</f>
        <v>0</v>
      </c>
      <c r="AO613" s="27">
        <f>IFERROR(VLOOKUP(DATA[[#This Row],[COMBINADA]],#REF!,6,0),0)</f>
        <v>0</v>
      </c>
      <c r="AP613" s="125">
        <f>IFERROR(VLOOKUP(DATA[[#This Row],[COMBINADA]],#REF!,9,0),0)/COUNTIFS(DATA[COMBINADA],DATA[[#This Row],[COMBINADA]])</f>
        <v>0</v>
      </c>
      <c r="AQ61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655.04</v>
      </c>
      <c r="AR613" s="26" t="str">
        <f>IFERROR(IF(DATA[[#This Row],[estado_fact]]="FACTURADO",VLOOKUP(DATA[[#This Row],[SERIE2]]&amp;"-"&amp;DATA[[#This Row],[NUMERO]],#REF!,34,0),"NO CORRESPONDE"),"NO CORRESPONDE")</f>
        <v>NO CORRESPONDE</v>
      </c>
      <c r="AS613" s="22" t="str">
        <f>IF(DATA[[#This Row],[fecha_fs]]&gt;0,TEXT(DATA[[#This Row],[fecha_fs]],"Mmmm"),0)</f>
        <v>Mayo</v>
      </c>
      <c r="AT613" s="22" t="str">
        <f>DATA[[#This Row],[SERIE2]]&amp;"-"&amp;DATA[[#This Row],[NUMERO]]</f>
        <v>FF01-96</v>
      </c>
      <c r="AU613" s="28">
        <f>DATA[[#This Row],[TOTAL]]*DATA[[#This Row],[T.C.]]</f>
        <v>655.04</v>
      </c>
      <c r="AV613" s="6">
        <f>DATA[[#This Row],[FECHA DE VAL.]]</f>
        <v>45803</v>
      </c>
      <c r="AW613" s="6">
        <f>DATA[[#This Row],[FECHA DE EMISION]]</f>
        <v>45804</v>
      </c>
      <c r="AX613" s="6">
        <f>DATA[[#This Row],[F1]]</f>
        <v>0</v>
      </c>
      <c r="AY613" s="20">
        <f>IF(AV613-DATA[[#This Row],[fecha_fs]]&lt;0,0,AV613-DATA[[#This Row],[fecha_fs]])</f>
        <v>20</v>
      </c>
      <c r="AZ613" s="20">
        <f t="shared" si="64"/>
        <v>1</v>
      </c>
      <c r="BA613" s="20">
        <f t="shared" si="65"/>
        <v>0</v>
      </c>
      <c r="BB613" s="195">
        <f>IFERROR(SUM(DATA[[#This Row],[fs_val_ttf]:[fact_pago_ttf]]),0)</f>
        <v>21</v>
      </c>
      <c r="BC613" s="185">
        <v>45807</v>
      </c>
      <c r="BD613" s="185">
        <v>45814</v>
      </c>
      <c r="BE613" s="185">
        <v>45814</v>
      </c>
      <c r="BF613" s="185">
        <v>45817</v>
      </c>
      <c r="BG613" s="20">
        <f>IFERROR(IF(BC613-DATA[[#This Row],[fecha_fs]]&lt;0,0,BC613-DATA[[#This Row],[fecha_fs]]),0)</f>
        <v>24</v>
      </c>
      <c r="BH613" s="20">
        <f t="shared" si="66"/>
        <v>7</v>
      </c>
      <c r="BI613" s="20">
        <f t="shared" si="67"/>
        <v>0</v>
      </c>
      <c r="BJ613" s="20">
        <f t="shared" si="68"/>
        <v>3</v>
      </c>
      <c r="BK613" s="218">
        <f>IFERROR(SUM(DATA[[#This Row],[fs_fd_ttd]:[fend_fenf_ttd]]),0)</f>
        <v>34</v>
      </c>
      <c r="BL613" s="20" t="str">
        <f>IF(DATA[[#This Row],[fecha_fs]]&gt;0,TEXT(DATA[[#This Row],[fecha_fs]],"YYYY"),0)</f>
        <v>2025</v>
      </c>
      <c r="BM613" s="221" t="b">
        <v>1</v>
      </c>
      <c r="BN613" s="278">
        <f>COUNTIF(DATA[[#This Row],[tiempo_td]], "&lt;=15")</f>
        <v>0</v>
      </c>
      <c r="BO613" s="222"/>
    </row>
    <row r="614" spans="1:67" ht="30.6" customHeight="1" x14ac:dyDescent="0.25">
      <c r="A614" s="4">
        <v>20100055237</v>
      </c>
      <c r="B614" s="5" t="s">
        <v>21</v>
      </c>
      <c r="C614" s="52" t="s">
        <v>138</v>
      </c>
      <c r="D614" s="4" t="s">
        <v>139</v>
      </c>
      <c r="E614" s="5" t="s">
        <v>23</v>
      </c>
      <c r="F614" s="24">
        <v>45783</v>
      </c>
      <c r="G614" s="7" t="s">
        <v>113</v>
      </c>
      <c r="H614" s="25">
        <f t="shared" si="63"/>
        <v>1</v>
      </c>
      <c r="I614" s="67">
        <v>4471</v>
      </c>
      <c r="J614" s="8" t="s">
        <v>115</v>
      </c>
      <c r="K614" s="9" t="s">
        <v>121</v>
      </c>
      <c r="L614" s="10" t="s">
        <v>117</v>
      </c>
      <c r="M614" s="11">
        <v>160</v>
      </c>
      <c r="N614" s="12" t="s">
        <v>167</v>
      </c>
      <c r="O614" s="6">
        <v>45805</v>
      </c>
      <c r="P614" s="54">
        <v>3477</v>
      </c>
      <c r="Q614" s="14" t="s">
        <v>85</v>
      </c>
      <c r="R614" s="15"/>
      <c r="S614" s="15">
        <v>297.92</v>
      </c>
      <c r="T614" s="15">
        <f>DATA[[#This Row],[C. DF]]+DATA[[#This Row],[C.OPE.]]</f>
        <v>297.92</v>
      </c>
      <c r="U614" s="15">
        <f>DATA[[#This Row],[SUB TOTAL]]*0.18</f>
        <v>53.625599999999999</v>
      </c>
      <c r="V614" s="15">
        <f>IFERROR(ROUND(DATA[[#This Row],[SUB TOTAL]]+DATA[[#This Row],[IGV]],2),0)</f>
        <v>351.55</v>
      </c>
      <c r="W614" s="16" t="str">
        <f>IF(DATA[[#This Row],[VALORIZACIÓN ]]="-","NO CORRESPONDE",IF(OR(A614=20558226979,A614=10470707866,A614=20111157058,A614=20100226902),"NO CORRESPONDE",IF(J614="Emitida",IF(P614&gt;0,"EMITIDA","PENDIENTE"),"NO CORRESPONDE")))</f>
        <v>EMITIDA</v>
      </c>
      <c r="X614" s="29"/>
      <c r="Y614" s="17" t="s">
        <v>118</v>
      </c>
      <c r="Z614" s="30">
        <v>45820</v>
      </c>
      <c r="AA614" s="10" t="s">
        <v>150</v>
      </c>
      <c r="AB614" s="19">
        <v>120</v>
      </c>
      <c r="AC614" s="20">
        <v>30</v>
      </c>
      <c r="AD614" s="18">
        <f>DATA[[#This Row],[FECHA DE EMISION]]+DATA[[#This Row],[CONDICION DE PAGO]]</f>
        <v>45850</v>
      </c>
      <c r="AE614" s="23">
        <f>IF(DATA[[#This Row],[MONEDA]]="USD",VLOOKUP(DATA[[#This Row],[COMBINADA]],#REF!,11,0),1)</f>
        <v>1</v>
      </c>
      <c r="AF614" s="39" t="str">
        <f>IF(DATA[[#This Row],[SERIE2]]="-","NO CORRESPONDE",IF(W614="NO CORRESPONDE","NO CORRESPONDE",IF(Z614&gt;0,"FACTURADO","PENDIENTE")))</f>
        <v>FACTURADO</v>
      </c>
      <c r="AG614" s="27">
        <f>IFERROR(VLOOKUP(DATA[[#This Row],[COMBINADA]],#REF!,6,0),0)</f>
        <v>0</v>
      </c>
      <c r="AH614" s="125">
        <f>IFERROR(VLOOKUP(DATA[[#This Row],[COMBINADA]],#REF!,9,0),0)/COUNTIFS(DATA[COMBINADA],DATA[[#This Row],[COMBINADA]])</f>
        <v>0</v>
      </c>
      <c r="AI614" s="27">
        <f>IFERROR(VLOOKUP(DATA[[#This Row],[COMBINADA]],#REF!,6,0),0)</f>
        <v>0</v>
      </c>
      <c r="AJ614" s="125">
        <f>IFERROR(VLOOKUP(DATA[[#This Row],[COMBINADA]],#REF!,9,0),0)/COUNTIFS(DATA[COMBINADA],DATA[[#This Row],[COMBINADA]])</f>
        <v>0</v>
      </c>
      <c r="AK614" s="27">
        <f>IFERROR(VLOOKUP(DATA[[#This Row],[COMBINADA]],#REF!,6,0),0)</f>
        <v>0</v>
      </c>
      <c r="AL614" s="125">
        <f>IFERROR(VLOOKUP(DATA[[#This Row],[COMBINADA]],#REF!,9,0),0)/COUNTIFS(DATA[COMBINADA],DATA[[#This Row],[COMBINADA]])</f>
        <v>0</v>
      </c>
      <c r="AM614" s="27">
        <f>IFERROR(VLOOKUP(DATA[[#This Row],[COMBINADA]],#REF!,6,0),0)</f>
        <v>0</v>
      </c>
      <c r="AN614" s="125">
        <f>IFERROR(VLOOKUP(DATA[[#This Row],[COMBINADA]],#REF!,9,0),0)/COUNTIFS(DATA[COMBINADA],DATA[[#This Row],[COMBINADA]])</f>
        <v>0</v>
      </c>
      <c r="AO614" s="27">
        <f>IFERROR(VLOOKUP(DATA[[#This Row],[COMBINADA]],#REF!,6,0),0)</f>
        <v>0</v>
      </c>
      <c r="AP614" s="125">
        <f>IFERROR(VLOOKUP(DATA[[#This Row],[COMBINADA]],#REF!,9,0),0)/COUNTIFS(DATA[COMBINADA],DATA[[#This Row],[COMBINADA]])</f>
        <v>0</v>
      </c>
      <c r="AQ61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614" s="26" t="str">
        <f>IFERROR(IF(DATA[[#This Row],[estado_fact]]="FACTURADO",VLOOKUP(DATA[[#This Row],[SERIE2]]&amp;"-"&amp;DATA[[#This Row],[NUMERO]],#REF!,34,0),"NO CORRESPONDE"),"NO CORRESPONDE")</f>
        <v>NO CORRESPONDE</v>
      </c>
      <c r="AS614" s="22" t="str">
        <f>IF(DATA[[#This Row],[fecha_fs]]&gt;0,TEXT(DATA[[#This Row],[fecha_fs]],"Mmmm"),0)</f>
        <v>Mayo</v>
      </c>
      <c r="AT614" s="22" t="str">
        <f>DATA[[#This Row],[SERIE2]]&amp;"-"&amp;DATA[[#This Row],[NUMERO]]</f>
        <v>FF01-120</v>
      </c>
      <c r="AU614" s="28">
        <f>DATA[[#This Row],[TOTAL]]*DATA[[#This Row],[T.C.]]</f>
        <v>351.55</v>
      </c>
      <c r="AV614" s="6">
        <f>DATA[[#This Row],[FECHA DE VAL.]]</f>
        <v>45805</v>
      </c>
      <c r="AW614" s="6">
        <f>DATA[[#This Row],[FECHA DE EMISION]]</f>
        <v>45820</v>
      </c>
      <c r="AX614" s="6">
        <f>DATA[[#This Row],[F1]]</f>
        <v>0</v>
      </c>
      <c r="AY614" s="20">
        <f>IF(AV614-DATA[[#This Row],[fecha_fs]]&lt;0,0,AV614-DATA[[#This Row],[fecha_fs]])</f>
        <v>22</v>
      </c>
      <c r="AZ614" s="20">
        <f t="shared" si="64"/>
        <v>15</v>
      </c>
      <c r="BA614" s="20">
        <f t="shared" si="65"/>
        <v>0</v>
      </c>
      <c r="BB614" s="195">
        <f>IFERROR(SUM(DATA[[#This Row],[fs_val_ttf]:[fact_pago_ttf]]),0)</f>
        <v>37</v>
      </c>
      <c r="BC614" s="185">
        <v>45783</v>
      </c>
      <c r="BD614" s="185">
        <v>45783</v>
      </c>
      <c r="BE614" s="185">
        <v>45807</v>
      </c>
      <c r="BF614" s="185">
        <v>45807</v>
      </c>
      <c r="BG614" s="20">
        <f>IFERROR(IF(BC614-DATA[[#This Row],[fecha_fs]]&lt;0,0,BC614-DATA[[#This Row],[fecha_fs]]),0)</f>
        <v>0</v>
      </c>
      <c r="BH614" s="20">
        <f t="shared" si="66"/>
        <v>0</v>
      </c>
      <c r="BI614" s="20">
        <f t="shared" si="67"/>
        <v>24</v>
      </c>
      <c r="BJ614" s="20">
        <f t="shared" si="68"/>
        <v>0</v>
      </c>
      <c r="BK614" s="218">
        <f>IFERROR(SUM(DATA[[#This Row],[fs_fd_ttd]:[fend_fenf_ttd]]),0)</f>
        <v>24</v>
      </c>
      <c r="BL614" s="20" t="str">
        <f>IF(DATA[[#This Row],[fecha_fs]]&gt;0,TEXT(DATA[[#This Row],[fecha_fs]],"YYYY"),0)</f>
        <v>2025</v>
      </c>
      <c r="BM614" s="221" t="b">
        <v>1</v>
      </c>
      <c r="BN614" s="278">
        <f>COUNTIF(DATA[[#This Row],[tiempo_td]], "&lt;=15")</f>
        <v>0</v>
      </c>
      <c r="BO614" s="222"/>
    </row>
    <row r="615" spans="1:67" ht="30.6" customHeight="1" x14ac:dyDescent="0.25">
      <c r="A615" s="4">
        <v>20419158462</v>
      </c>
      <c r="B615" s="5" t="s">
        <v>2</v>
      </c>
      <c r="C615" s="52" t="s">
        <v>147</v>
      </c>
      <c r="D615" s="4" t="s">
        <v>120</v>
      </c>
      <c r="E615" s="5" t="s">
        <v>3</v>
      </c>
      <c r="F615" s="24">
        <v>45783</v>
      </c>
      <c r="G615" s="7" t="s">
        <v>113</v>
      </c>
      <c r="H615" s="25">
        <f t="shared" si="63"/>
        <v>1</v>
      </c>
      <c r="I615" s="67">
        <v>4472</v>
      </c>
      <c r="J615" s="8" t="s">
        <v>115</v>
      </c>
      <c r="K615" s="9" t="s">
        <v>148</v>
      </c>
      <c r="L615" s="10" t="s">
        <v>117</v>
      </c>
      <c r="M615" s="11">
        <v>3500</v>
      </c>
      <c r="N615" s="12" t="s">
        <v>122</v>
      </c>
      <c r="O615" s="6">
        <v>45784</v>
      </c>
      <c r="P615" s="83">
        <v>3436</v>
      </c>
      <c r="Q615" s="14" t="s">
        <v>85</v>
      </c>
      <c r="R615" s="15"/>
      <c r="S615" s="15">
        <v>2597.6999999999998</v>
      </c>
      <c r="T615" s="15">
        <f>DATA[[#This Row],[C. DF]]+DATA[[#This Row],[C.OPE.]]</f>
        <v>2597.6999999999998</v>
      </c>
      <c r="U615" s="15">
        <f>DATA[[#This Row],[SUB TOTAL]]*0.18</f>
        <v>467.58599999999996</v>
      </c>
      <c r="V615" s="15">
        <f>IFERROR(ROUND(DATA[[#This Row],[SUB TOTAL]]+DATA[[#This Row],[IGV]],2),0)</f>
        <v>3065.29</v>
      </c>
      <c r="W615" s="16" t="str">
        <f>IF(DATA[[#This Row],[VALORIZACIÓN ]]="-","NO CORRESPONDE",IF(OR(A615=20558226979,A615=10470707866,A615=20111157058,A615=20100226902),"NO CORRESPONDE",IF(J615="Emitida",IF(P615&gt;0,"EMITIDA","PENDIENTE"),"NO CORRESPONDE")))</f>
        <v>EMITIDA</v>
      </c>
      <c r="X615" s="29" t="s">
        <v>231</v>
      </c>
      <c r="Y615" s="17" t="s">
        <v>118</v>
      </c>
      <c r="Z615" s="30">
        <v>45846</v>
      </c>
      <c r="AA615" s="10" t="s">
        <v>150</v>
      </c>
      <c r="AB615" s="19">
        <v>158</v>
      </c>
      <c r="AC615" s="20">
        <v>15</v>
      </c>
      <c r="AD615" s="18">
        <f>DATA[[#This Row],[FECHA DE EMISION]]+DATA[[#This Row],[CONDICION DE PAGO]]</f>
        <v>45861</v>
      </c>
      <c r="AE615" s="23">
        <f>IF(DATA[[#This Row],[MONEDA]]="USD",VLOOKUP(DATA[[#This Row],[COMBINADA]],#REF!,11,0),1)</f>
        <v>1</v>
      </c>
      <c r="AF615" s="39" t="str">
        <f>IF(DATA[[#This Row],[SERIE2]]="-","NO CORRESPONDE",IF(W615="NO CORRESPONDE","NO CORRESPONDE",IF(Z615&gt;0,"FACTURADO","PENDIENTE")))</f>
        <v>FACTURADO</v>
      </c>
      <c r="AG615" s="27">
        <f>IFERROR(VLOOKUP(DATA[[#This Row],[COMBINADA]],#REF!,6,0),0)</f>
        <v>0</v>
      </c>
      <c r="AH615" s="125">
        <f>IFERROR(VLOOKUP(DATA[[#This Row],[COMBINADA]],#REF!,9,0),0)/COUNTIFS(DATA[COMBINADA],DATA[[#This Row],[COMBINADA]])</f>
        <v>0</v>
      </c>
      <c r="AI615" s="27">
        <f>IFERROR(VLOOKUP(DATA[[#This Row],[COMBINADA]],#REF!,6,0),0)</f>
        <v>0</v>
      </c>
      <c r="AJ615" s="125">
        <f>IFERROR(VLOOKUP(DATA[[#This Row],[COMBINADA]],#REF!,9,0),0)/COUNTIFS(DATA[COMBINADA],DATA[[#This Row],[COMBINADA]])</f>
        <v>0</v>
      </c>
      <c r="AK615" s="27">
        <f>IFERROR(VLOOKUP(DATA[[#This Row],[COMBINADA]],#REF!,6,0),0)</f>
        <v>0</v>
      </c>
      <c r="AL615" s="125">
        <f>IFERROR(VLOOKUP(DATA[[#This Row],[COMBINADA]],#REF!,9,0),0)/COUNTIFS(DATA[COMBINADA],DATA[[#This Row],[COMBINADA]])</f>
        <v>0</v>
      </c>
      <c r="AM615" s="27">
        <f>IFERROR(VLOOKUP(DATA[[#This Row],[COMBINADA]],#REF!,6,0),0)</f>
        <v>0</v>
      </c>
      <c r="AN615" s="125">
        <f>IFERROR(VLOOKUP(DATA[[#This Row],[COMBINADA]],#REF!,9,0),0)/COUNTIFS(DATA[COMBINADA],DATA[[#This Row],[COMBINADA]])</f>
        <v>0</v>
      </c>
      <c r="AO615" s="27">
        <f>IFERROR(VLOOKUP(DATA[[#This Row],[COMBINADA]],#REF!,6,0),0)</f>
        <v>0</v>
      </c>
      <c r="AP615" s="125">
        <f>IFERROR(VLOOKUP(DATA[[#This Row],[COMBINADA]],#REF!,9,0),0)/COUNTIFS(DATA[COMBINADA],DATA[[#This Row],[COMBINADA]])</f>
        <v>0</v>
      </c>
      <c r="AQ61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3065.29</v>
      </c>
      <c r="AR615" s="26" t="str">
        <f>IFERROR(IF(DATA[[#This Row],[estado_fact]]="FACTURADO",VLOOKUP(DATA[[#This Row],[SERIE2]]&amp;"-"&amp;DATA[[#This Row],[NUMERO]],#REF!,34,0),"NO CORRESPONDE"),"NO CORRESPONDE")</f>
        <v>NO CORRESPONDE</v>
      </c>
      <c r="AS615" s="22" t="str">
        <f>IF(DATA[[#This Row],[fecha_fs]]&gt;0,TEXT(DATA[[#This Row],[fecha_fs]],"Mmmm"),0)</f>
        <v>Mayo</v>
      </c>
      <c r="AT615" s="22" t="str">
        <f>DATA[[#This Row],[SERIE2]]&amp;"-"&amp;DATA[[#This Row],[NUMERO]]</f>
        <v>FF01-158</v>
      </c>
      <c r="AU615" s="28">
        <f>DATA[[#This Row],[TOTAL]]*DATA[[#This Row],[T.C.]]</f>
        <v>3065.29</v>
      </c>
      <c r="AV615" s="6">
        <f>DATA[[#This Row],[FECHA DE VAL.]]</f>
        <v>45784</v>
      </c>
      <c r="AW615" s="6">
        <f>DATA[[#This Row],[FECHA DE EMISION]]</f>
        <v>45846</v>
      </c>
      <c r="AX615" s="6">
        <f>DATA[[#This Row],[F1]]</f>
        <v>0</v>
      </c>
      <c r="AY615" s="20">
        <f>IF(AV615-DATA[[#This Row],[fecha_fs]]&lt;0,0,AV615-DATA[[#This Row],[fecha_fs]])</f>
        <v>1</v>
      </c>
      <c r="AZ615" s="20">
        <f t="shared" si="64"/>
        <v>62</v>
      </c>
      <c r="BA615" s="20">
        <f t="shared" si="65"/>
        <v>0</v>
      </c>
      <c r="BB615" s="195">
        <f>IFERROR(SUM(DATA[[#This Row],[fs_val_ttf]:[fact_pago_ttf]]),0)</f>
        <v>63</v>
      </c>
      <c r="BC615" s="185">
        <v>45783</v>
      </c>
      <c r="BD615" s="185">
        <v>45783</v>
      </c>
      <c r="BE615" s="185">
        <v>45807</v>
      </c>
      <c r="BF615" s="185">
        <v>45807</v>
      </c>
      <c r="BG615" s="20">
        <f>IFERROR(IF(BC615-DATA[[#This Row],[fecha_fs]]&lt;0,0,BC615-DATA[[#This Row],[fecha_fs]]),0)</f>
        <v>0</v>
      </c>
      <c r="BH615" s="20">
        <f t="shared" si="66"/>
        <v>0</v>
      </c>
      <c r="BI615" s="20">
        <f t="shared" si="67"/>
        <v>24</v>
      </c>
      <c r="BJ615" s="20">
        <f t="shared" si="68"/>
        <v>0</v>
      </c>
      <c r="BK615" s="218">
        <f>IFERROR(SUM(DATA[[#This Row],[fs_fd_ttd]:[fend_fenf_ttd]]),0)</f>
        <v>24</v>
      </c>
      <c r="BL615" s="20" t="str">
        <f>IF(DATA[[#This Row],[fecha_fs]]&gt;0,TEXT(DATA[[#This Row],[fecha_fs]],"YYYY"),0)</f>
        <v>2025</v>
      </c>
      <c r="BM615" s="221" t="b">
        <v>1</v>
      </c>
      <c r="BN615" s="278">
        <f>COUNTIF(DATA[[#This Row],[tiempo_td]], "&lt;=15")</f>
        <v>0</v>
      </c>
      <c r="BO615" s="222"/>
    </row>
    <row r="616" spans="1:67" ht="30.6" customHeight="1" x14ac:dyDescent="0.25">
      <c r="A616" s="4">
        <v>20419158462</v>
      </c>
      <c r="B616" s="5" t="s">
        <v>2</v>
      </c>
      <c r="C616" s="52" t="s">
        <v>6</v>
      </c>
      <c r="D616" s="4" t="s">
        <v>120</v>
      </c>
      <c r="E616" s="5" t="s">
        <v>3</v>
      </c>
      <c r="F616" s="24">
        <v>45783</v>
      </c>
      <c r="G616" s="7" t="s">
        <v>113</v>
      </c>
      <c r="H616" s="25">
        <f t="shared" si="63"/>
        <v>1</v>
      </c>
      <c r="I616" s="67">
        <v>4473</v>
      </c>
      <c r="J616" s="8" t="s">
        <v>115</v>
      </c>
      <c r="K616" s="9" t="s">
        <v>156</v>
      </c>
      <c r="L616" s="10" t="s">
        <v>117</v>
      </c>
      <c r="M616" s="11">
        <v>850</v>
      </c>
      <c r="N616" s="12" t="s">
        <v>125</v>
      </c>
      <c r="O616" s="6">
        <v>45784</v>
      </c>
      <c r="P616" s="83">
        <v>3437</v>
      </c>
      <c r="Q616" s="14" t="s">
        <v>85</v>
      </c>
      <c r="R616" s="15"/>
      <c r="S616" s="15">
        <f>1429.7/2</f>
        <v>714.85</v>
      </c>
      <c r="T616" s="15">
        <f>DATA[[#This Row],[C. DF]]+DATA[[#This Row],[C.OPE.]]</f>
        <v>714.85</v>
      </c>
      <c r="U616" s="15">
        <f>DATA[[#This Row],[SUB TOTAL]]*0.18</f>
        <v>128.673</v>
      </c>
      <c r="V616" s="15">
        <f>IFERROR(ROUND(DATA[[#This Row],[SUB TOTAL]]+DATA[[#This Row],[IGV]],2),0)</f>
        <v>843.52</v>
      </c>
      <c r="W616" s="16" t="str">
        <f>IF(DATA[[#This Row],[VALORIZACIÓN ]]="-","NO CORRESPONDE",IF(OR(A616=20558226979,A616=10470707866,A616=20111157058,A616=20100226902),"NO CORRESPONDE",IF(J616="Emitida",IF(P616&gt;0,"EMITIDA","PENDIENTE"),"NO CORRESPONDE")))</f>
        <v>EMITIDA</v>
      </c>
      <c r="X616" s="29" t="s">
        <v>231</v>
      </c>
      <c r="Y616" s="17" t="s">
        <v>118</v>
      </c>
      <c r="Z616" s="30">
        <v>45845</v>
      </c>
      <c r="AA616" s="10" t="s">
        <v>150</v>
      </c>
      <c r="AB616" s="19">
        <v>150</v>
      </c>
      <c r="AC616" s="20">
        <v>15</v>
      </c>
      <c r="AD616" s="18">
        <f>DATA[[#This Row],[FECHA DE EMISION]]+DATA[[#This Row],[CONDICION DE PAGO]]</f>
        <v>45860</v>
      </c>
      <c r="AE616" s="23">
        <f>IF(DATA[[#This Row],[MONEDA]]="USD",VLOOKUP(DATA[[#This Row],[COMBINADA]],#REF!,11,0),1)</f>
        <v>1</v>
      </c>
      <c r="AF616" s="39" t="str">
        <f>IF(DATA[[#This Row],[SERIE2]]="-","NO CORRESPONDE",IF(W616="NO CORRESPONDE","NO CORRESPONDE",IF(Z616&gt;0,"FACTURADO","PENDIENTE")))</f>
        <v>FACTURADO</v>
      </c>
      <c r="AG616" s="27">
        <f>IFERROR(VLOOKUP(DATA[[#This Row],[COMBINADA]],#REF!,6,0),0)</f>
        <v>0</v>
      </c>
      <c r="AH616" s="125">
        <f>IFERROR(VLOOKUP(DATA[[#This Row],[COMBINADA]],#REF!,9,0),0)/COUNTIFS(DATA[COMBINADA],DATA[[#This Row],[COMBINADA]])</f>
        <v>0</v>
      </c>
      <c r="AI616" s="27">
        <f>IFERROR(VLOOKUP(DATA[[#This Row],[COMBINADA]],#REF!,6,0),0)</f>
        <v>0</v>
      </c>
      <c r="AJ616" s="125">
        <f>IFERROR(VLOOKUP(DATA[[#This Row],[COMBINADA]],#REF!,9,0),0)/COUNTIFS(DATA[COMBINADA],DATA[[#This Row],[COMBINADA]])</f>
        <v>0</v>
      </c>
      <c r="AK616" s="27">
        <f>IFERROR(VLOOKUP(DATA[[#This Row],[COMBINADA]],#REF!,6,0),0)</f>
        <v>0</v>
      </c>
      <c r="AL616" s="125">
        <f>IFERROR(VLOOKUP(DATA[[#This Row],[COMBINADA]],#REF!,9,0),0)/COUNTIFS(DATA[COMBINADA],DATA[[#This Row],[COMBINADA]])</f>
        <v>0</v>
      </c>
      <c r="AM616" s="27">
        <f>IFERROR(VLOOKUP(DATA[[#This Row],[COMBINADA]],#REF!,6,0),0)</f>
        <v>0</v>
      </c>
      <c r="AN616" s="125">
        <f>IFERROR(VLOOKUP(DATA[[#This Row],[COMBINADA]],#REF!,9,0),0)/COUNTIFS(DATA[COMBINADA],DATA[[#This Row],[COMBINADA]])</f>
        <v>0</v>
      </c>
      <c r="AO616" s="27">
        <f>IFERROR(VLOOKUP(DATA[[#This Row],[COMBINADA]],#REF!,6,0),0)</f>
        <v>0</v>
      </c>
      <c r="AP616" s="125">
        <f>IFERROR(VLOOKUP(DATA[[#This Row],[COMBINADA]],#REF!,9,0),0)/COUNTIFS(DATA[COMBINADA],DATA[[#This Row],[COMBINADA]])</f>
        <v>0</v>
      </c>
      <c r="AQ61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616" s="26" t="str">
        <f>IFERROR(IF(DATA[[#This Row],[estado_fact]]="FACTURADO",VLOOKUP(DATA[[#This Row],[SERIE2]]&amp;"-"&amp;DATA[[#This Row],[NUMERO]],#REF!,34,0),"NO CORRESPONDE"),"NO CORRESPONDE")</f>
        <v>NO CORRESPONDE</v>
      </c>
      <c r="AS616" s="22" t="str">
        <f>IF(DATA[[#This Row],[fecha_fs]]&gt;0,TEXT(DATA[[#This Row],[fecha_fs]],"Mmmm"),0)</f>
        <v>Mayo</v>
      </c>
      <c r="AT616" s="22" t="str">
        <f>DATA[[#This Row],[SERIE2]]&amp;"-"&amp;DATA[[#This Row],[NUMERO]]</f>
        <v>FF01-150</v>
      </c>
      <c r="AU616" s="28">
        <f>DATA[[#This Row],[TOTAL]]*DATA[[#This Row],[T.C.]]</f>
        <v>843.52</v>
      </c>
      <c r="AV616" s="6">
        <f>DATA[[#This Row],[FECHA DE VAL.]]</f>
        <v>45784</v>
      </c>
      <c r="AW616" s="6">
        <f>DATA[[#This Row],[FECHA DE EMISION]]</f>
        <v>45845</v>
      </c>
      <c r="AX616" s="6">
        <f>DATA[[#This Row],[F1]]</f>
        <v>0</v>
      </c>
      <c r="AY616" s="20">
        <f>IF(AV616-DATA[[#This Row],[fecha_fs]]&lt;0,0,AV616-DATA[[#This Row],[fecha_fs]])</f>
        <v>1</v>
      </c>
      <c r="AZ616" s="20">
        <f t="shared" si="64"/>
        <v>61</v>
      </c>
      <c r="BA616" s="20">
        <f t="shared" si="65"/>
        <v>0</v>
      </c>
      <c r="BB616" s="195">
        <f>IFERROR(SUM(DATA[[#This Row],[fs_val_ttf]:[fact_pago_ttf]]),0)</f>
        <v>62</v>
      </c>
      <c r="BC616" s="185">
        <v>45783</v>
      </c>
      <c r="BD616" s="185">
        <v>45783</v>
      </c>
      <c r="BE616" s="185">
        <v>45807</v>
      </c>
      <c r="BF616" s="185">
        <v>45807</v>
      </c>
      <c r="BG616" s="20">
        <f>IFERROR(IF(BC616-DATA[[#This Row],[fecha_fs]]&lt;0,0,BC616-DATA[[#This Row],[fecha_fs]]),0)</f>
        <v>0</v>
      </c>
      <c r="BH616" s="20">
        <f t="shared" si="66"/>
        <v>0</v>
      </c>
      <c r="BI616" s="20">
        <f t="shared" si="67"/>
        <v>24</v>
      </c>
      <c r="BJ616" s="20">
        <f t="shared" si="68"/>
        <v>0</v>
      </c>
      <c r="BK616" s="218">
        <f>IFERROR(SUM(DATA[[#This Row],[fs_fd_ttd]:[fend_fenf_ttd]]),0)</f>
        <v>24</v>
      </c>
      <c r="BL616" s="20" t="str">
        <f>IF(DATA[[#This Row],[fecha_fs]]&gt;0,TEXT(DATA[[#This Row],[fecha_fs]],"YYYY"),0)</f>
        <v>2025</v>
      </c>
      <c r="BM616" s="221" t="b">
        <v>1</v>
      </c>
      <c r="BN616" s="278">
        <f>COUNTIF(DATA[[#This Row],[tiempo_td]], "&lt;=15")</f>
        <v>0</v>
      </c>
      <c r="BO616" s="222"/>
    </row>
    <row r="617" spans="1:67" ht="30.6" customHeight="1" x14ac:dyDescent="0.25">
      <c r="A617" s="4">
        <v>20419158462</v>
      </c>
      <c r="B617" s="5" t="s">
        <v>2</v>
      </c>
      <c r="C617" s="52" t="s">
        <v>155</v>
      </c>
      <c r="D617" s="4" t="s">
        <v>120</v>
      </c>
      <c r="E617" s="5" t="s">
        <v>3</v>
      </c>
      <c r="F617" s="24">
        <v>45783</v>
      </c>
      <c r="G617" s="7" t="s">
        <v>113</v>
      </c>
      <c r="H617" s="25">
        <f t="shared" si="63"/>
        <v>1</v>
      </c>
      <c r="I617" s="67">
        <v>4474</v>
      </c>
      <c r="J617" s="8" t="s">
        <v>115</v>
      </c>
      <c r="K617" s="9" t="s">
        <v>156</v>
      </c>
      <c r="L617" s="10" t="s">
        <v>117</v>
      </c>
      <c r="M617" s="11">
        <v>650</v>
      </c>
      <c r="N617" s="12" t="s">
        <v>125</v>
      </c>
      <c r="O617" s="6">
        <v>45784</v>
      </c>
      <c r="P617" s="83">
        <v>3437</v>
      </c>
      <c r="Q617" s="14" t="s">
        <v>85</v>
      </c>
      <c r="R617" s="15"/>
      <c r="S617" s="15">
        <f>1429.7/2</f>
        <v>714.85</v>
      </c>
      <c r="T617" s="15">
        <f>DATA[[#This Row],[C. DF]]+DATA[[#This Row],[C.OPE.]]</f>
        <v>714.85</v>
      </c>
      <c r="U617" s="15">
        <f>DATA[[#This Row],[SUB TOTAL]]*0.18</f>
        <v>128.673</v>
      </c>
      <c r="V617" s="15">
        <f>IFERROR(ROUND(DATA[[#This Row],[SUB TOTAL]]+DATA[[#This Row],[IGV]],2),0)</f>
        <v>843.52</v>
      </c>
      <c r="W617" s="16" t="str">
        <f>IF(DATA[[#This Row],[VALORIZACIÓN ]]="-","NO CORRESPONDE",IF(OR(A617=20558226979,A617=10470707866,A617=20111157058,A617=20100226902),"NO CORRESPONDE",IF(J617="Emitida",IF(P617&gt;0,"EMITIDA","PENDIENTE"),"NO CORRESPONDE")))</f>
        <v>EMITIDA</v>
      </c>
      <c r="X617" s="29" t="s">
        <v>231</v>
      </c>
      <c r="Y617" s="17" t="s">
        <v>118</v>
      </c>
      <c r="Z617" s="30">
        <v>45845</v>
      </c>
      <c r="AA617" s="10" t="s">
        <v>150</v>
      </c>
      <c r="AB617" s="19">
        <v>150</v>
      </c>
      <c r="AC617" s="20">
        <v>15</v>
      </c>
      <c r="AD617" s="18">
        <f>DATA[[#This Row],[FECHA DE EMISION]]+DATA[[#This Row],[CONDICION DE PAGO]]</f>
        <v>45860</v>
      </c>
      <c r="AE617" s="23">
        <f>IF(DATA[[#This Row],[MONEDA]]="USD",VLOOKUP(DATA[[#This Row],[COMBINADA]],#REF!,11,0),1)</f>
        <v>1</v>
      </c>
      <c r="AF617" s="39" t="str">
        <f>IF(DATA[[#This Row],[SERIE2]]="-","NO CORRESPONDE",IF(W617="NO CORRESPONDE","NO CORRESPONDE",IF(Z617&gt;0,"FACTURADO","PENDIENTE")))</f>
        <v>FACTURADO</v>
      </c>
      <c r="AG617" s="27">
        <f>IFERROR(VLOOKUP(DATA[[#This Row],[COMBINADA]],#REF!,6,0),0)</f>
        <v>0</v>
      </c>
      <c r="AH617" s="125">
        <f>IFERROR(VLOOKUP(DATA[[#This Row],[COMBINADA]],#REF!,9,0),0)/COUNTIFS(DATA[COMBINADA],DATA[[#This Row],[COMBINADA]])</f>
        <v>0</v>
      </c>
      <c r="AI617" s="27">
        <f>IFERROR(VLOOKUP(DATA[[#This Row],[COMBINADA]],#REF!,6,0),0)</f>
        <v>0</v>
      </c>
      <c r="AJ617" s="125">
        <f>IFERROR(VLOOKUP(DATA[[#This Row],[COMBINADA]],#REF!,9,0),0)/COUNTIFS(DATA[COMBINADA],DATA[[#This Row],[COMBINADA]])</f>
        <v>0</v>
      </c>
      <c r="AK617" s="27">
        <f>IFERROR(VLOOKUP(DATA[[#This Row],[COMBINADA]],#REF!,6,0),0)</f>
        <v>0</v>
      </c>
      <c r="AL617" s="125">
        <f>IFERROR(VLOOKUP(DATA[[#This Row],[COMBINADA]],#REF!,9,0),0)/COUNTIFS(DATA[COMBINADA],DATA[[#This Row],[COMBINADA]])</f>
        <v>0</v>
      </c>
      <c r="AM617" s="27">
        <f>IFERROR(VLOOKUP(DATA[[#This Row],[COMBINADA]],#REF!,6,0),0)</f>
        <v>0</v>
      </c>
      <c r="AN617" s="125">
        <f>IFERROR(VLOOKUP(DATA[[#This Row],[COMBINADA]],#REF!,9,0),0)/COUNTIFS(DATA[COMBINADA],DATA[[#This Row],[COMBINADA]])</f>
        <v>0</v>
      </c>
      <c r="AO617" s="27">
        <f>IFERROR(VLOOKUP(DATA[[#This Row],[COMBINADA]],#REF!,6,0),0)</f>
        <v>0</v>
      </c>
      <c r="AP617" s="125">
        <f>IFERROR(VLOOKUP(DATA[[#This Row],[COMBINADA]],#REF!,9,0),0)/COUNTIFS(DATA[COMBINADA],DATA[[#This Row],[COMBINADA]])</f>
        <v>0</v>
      </c>
      <c r="AQ61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617" s="26" t="str">
        <f>IFERROR(IF(DATA[[#This Row],[estado_fact]]="FACTURADO",VLOOKUP(DATA[[#This Row],[SERIE2]]&amp;"-"&amp;DATA[[#This Row],[NUMERO]],#REF!,34,0),"NO CORRESPONDE"),"NO CORRESPONDE")</f>
        <v>NO CORRESPONDE</v>
      </c>
      <c r="AS617" s="22" t="str">
        <f>IF(DATA[[#This Row],[fecha_fs]]&gt;0,TEXT(DATA[[#This Row],[fecha_fs]],"Mmmm"),0)</f>
        <v>Mayo</v>
      </c>
      <c r="AT617" s="22" t="str">
        <f>DATA[[#This Row],[SERIE2]]&amp;"-"&amp;DATA[[#This Row],[NUMERO]]</f>
        <v>FF01-150</v>
      </c>
      <c r="AU617" s="28">
        <f>DATA[[#This Row],[TOTAL]]*DATA[[#This Row],[T.C.]]</f>
        <v>843.52</v>
      </c>
      <c r="AV617" s="6">
        <f>DATA[[#This Row],[FECHA DE VAL.]]</f>
        <v>45784</v>
      </c>
      <c r="AW617" s="6">
        <f>DATA[[#This Row],[FECHA DE EMISION]]</f>
        <v>45845</v>
      </c>
      <c r="AX617" s="6">
        <f>DATA[[#This Row],[F1]]</f>
        <v>0</v>
      </c>
      <c r="AY617" s="20">
        <f>IF(AV617-DATA[[#This Row],[fecha_fs]]&lt;0,0,AV617-DATA[[#This Row],[fecha_fs]])</f>
        <v>1</v>
      </c>
      <c r="AZ617" s="20">
        <f t="shared" si="64"/>
        <v>61</v>
      </c>
      <c r="BA617" s="20">
        <f t="shared" si="65"/>
        <v>0</v>
      </c>
      <c r="BB617" s="195">
        <f>IFERROR(SUM(DATA[[#This Row],[fs_val_ttf]:[fact_pago_ttf]]),0)</f>
        <v>62</v>
      </c>
      <c r="BC617" s="185">
        <v>45783</v>
      </c>
      <c r="BD617" s="185">
        <v>45783</v>
      </c>
      <c r="BE617" s="185">
        <v>45807</v>
      </c>
      <c r="BF617" s="185">
        <v>45807</v>
      </c>
      <c r="BG617" s="20">
        <f>IFERROR(IF(BC617-DATA[[#This Row],[fecha_fs]]&lt;0,0,BC617-DATA[[#This Row],[fecha_fs]]),0)</f>
        <v>0</v>
      </c>
      <c r="BH617" s="20">
        <f t="shared" si="66"/>
        <v>0</v>
      </c>
      <c r="BI617" s="20">
        <f t="shared" si="67"/>
        <v>24</v>
      </c>
      <c r="BJ617" s="20">
        <f t="shared" si="68"/>
        <v>0</v>
      </c>
      <c r="BK617" s="218">
        <f>IFERROR(SUM(DATA[[#This Row],[fs_fd_ttd]:[fend_fenf_ttd]]),0)</f>
        <v>24</v>
      </c>
      <c r="BL617" s="20" t="str">
        <f>IF(DATA[[#This Row],[fecha_fs]]&gt;0,TEXT(DATA[[#This Row],[fecha_fs]],"YYYY"),0)</f>
        <v>2025</v>
      </c>
      <c r="BM617" s="221" t="b">
        <v>1</v>
      </c>
      <c r="BN617" s="278">
        <f>COUNTIF(DATA[[#This Row],[tiempo_td]], "&lt;=15")</f>
        <v>0</v>
      </c>
      <c r="BO617" s="222"/>
    </row>
    <row r="618" spans="1:67" ht="30.6" customHeight="1" x14ac:dyDescent="0.25">
      <c r="A618" s="4">
        <v>20558226979</v>
      </c>
      <c r="B618" s="5" t="s">
        <v>45</v>
      </c>
      <c r="C618" s="52" t="s">
        <v>18</v>
      </c>
      <c r="D618" s="4" t="s">
        <v>120</v>
      </c>
      <c r="E618" s="5" t="s">
        <v>3</v>
      </c>
      <c r="F618" s="24">
        <v>45783</v>
      </c>
      <c r="G618" s="7" t="s">
        <v>113</v>
      </c>
      <c r="H618" s="25">
        <f t="shared" si="63"/>
        <v>1</v>
      </c>
      <c r="I618" s="67">
        <v>4475</v>
      </c>
      <c r="J618" s="8" t="s">
        <v>115</v>
      </c>
      <c r="K618" s="9" t="s">
        <v>148</v>
      </c>
      <c r="L618" s="10" t="s">
        <v>117</v>
      </c>
      <c r="M618" s="11">
        <v>3500</v>
      </c>
      <c r="N618" s="12" t="s">
        <v>122</v>
      </c>
      <c r="O618" s="40"/>
      <c r="P618" s="41" t="s">
        <v>114</v>
      </c>
      <c r="Q618" s="42"/>
      <c r="R618" s="43"/>
      <c r="S618" s="43"/>
      <c r="T618" s="43">
        <f>DATA[[#This Row],[C. DF]]+DATA[[#This Row],[C.OPE.]]</f>
        <v>0</v>
      </c>
      <c r="U618" s="43">
        <f>DATA[[#This Row],[SUB TOTAL]]*0.18</f>
        <v>0</v>
      </c>
      <c r="V618" s="43">
        <f>IFERROR(ROUND(DATA[[#This Row],[SUB TOTAL]]+DATA[[#This Row],[IGV]],2),0)</f>
        <v>0</v>
      </c>
      <c r="W618" s="16" t="str">
        <f>IF(DATA[[#This Row],[VALORIZACIÓN ]]="-","NO CORRESPONDE",IF(OR(A618=20558226979,A618=10470707866,A618=20111157058,A618=20100226902),"NO CORRESPONDE",IF(J618="Emitida",IF(P618&gt;0,"EMITIDA","PENDIENTE"),"NO CORRESPONDE")))</f>
        <v>NO CORRESPONDE</v>
      </c>
      <c r="X618" s="29"/>
      <c r="Y618" s="17" t="s">
        <v>128</v>
      </c>
      <c r="Z618" s="30"/>
      <c r="AA618" s="10"/>
      <c r="AB618" s="19"/>
      <c r="AC618" s="20"/>
      <c r="AD618" s="18">
        <f>DATA[[#This Row],[FECHA DE EMISION]]+DATA[[#This Row],[CONDICION DE PAGO]]</f>
        <v>0</v>
      </c>
      <c r="AE618" s="23">
        <f>IF(DATA[[#This Row],[MONEDA]]="USD",VLOOKUP(DATA[[#This Row],[COMBINADA]],#REF!,11,0),1)</f>
        <v>1</v>
      </c>
      <c r="AF618" s="39" t="str">
        <f>IF(DATA[[#This Row],[SERIE2]]="-","NO CORRESPONDE",IF(W618="NO CORRESPONDE","NO CORRESPONDE",IF(Z618&gt;0,"FACTURADO","PENDIENTE")))</f>
        <v>NO CORRESPONDE</v>
      </c>
      <c r="AG618" s="27">
        <f>IFERROR(VLOOKUP(DATA[[#This Row],[COMBINADA]],#REF!,6,0),0)</f>
        <v>0</v>
      </c>
      <c r="AH618" s="125">
        <f>IFERROR(VLOOKUP(DATA[[#This Row],[COMBINADA]],#REF!,9,0),0)/COUNTIFS(DATA[COMBINADA],DATA[[#This Row],[COMBINADA]])</f>
        <v>0</v>
      </c>
      <c r="AI618" s="27">
        <f>IFERROR(VLOOKUP(DATA[[#This Row],[COMBINADA]],#REF!,6,0),0)</f>
        <v>0</v>
      </c>
      <c r="AJ618" s="125">
        <f>IFERROR(VLOOKUP(DATA[[#This Row],[COMBINADA]],#REF!,9,0),0)/COUNTIFS(DATA[COMBINADA],DATA[[#This Row],[COMBINADA]])</f>
        <v>0</v>
      </c>
      <c r="AK618" s="27">
        <f>IFERROR(VLOOKUP(DATA[[#This Row],[COMBINADA]],#REF!,6,0),0)</f>
        <v>0</v>
      </c>
      <c r="AL618" s="125">
        <f>IFERROR(VLOOKUP(DATA[[#This Row],[COMBINADA]],#REF!,9,0),0)/COUNTIFS(DATA[COMBINADA],DATA[[#This Row],[COMBINADA]])</f>
        <v>0</v>
      </c>
      <c r="AM618" s="27">
        <f>IFERROR(VLOOKUP(DATA[[#This Row],[COMBINADA]],#REF!,6,0),0)</f>
        <v>0</v>
      </c>
      <c r="AN618" s="125">
        <f>IFERROR(VLOOKUP(DATA[[#This Row],[COMBINADA]],#REF!,9,0),0)/COUNTIFS(DATA[COMBINADA],DATA[[#This Row],[COMBINADA]])</f>
        <v>0</v>
      </c>
      <c r="AO618" s="27">
        <f>IFERROR(VLOOKUP(DATA[[#This Row],[COMBINADA]],#REF!,6,0),0)</f>
        <v>0</v>
      </c>
      <c r="AP618" s="125">
        <f>IFERROR(VLOOKUP(DATA[[#This Row],[COMBINADA]],#REF!,9,0),0)/COUNTIFS(DATA[COMBINADA],DATA[[#This Row],[COMBINADA]])</f>
        <v>0</v>
      </c>
      <c r="AQ61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618" s="26" t="str">
        <f>IFERROR(IF(DATA[[#This Row],[estado_fact]]="FACTURADO",VLOOKUP(DATA[[#This Row],[SERIE2]]&amp;"-"&amp;DATA[[#This Row],[NUMERO]],#REF!,34,0),"NO CORRESPONDE"),"NO CORRESPONDE")</f>
        <v>NO CORRESPONDE</v>
      </c>
      <c r="AS618" s="22" t="str">
        <f>IF(DATA[[#This Row],[fecha_fs]]&gt;0,TEXT(DATA[[#This Row],[fecha_fs]],"Mmmm"),0)</f>
        <v>Mayo</v>
      </c>
      <c r="AT618" s="22" t="str">
        <f>DATA[[#This Row],[SERIE2]]&amp;"-"&amp;DATA[[#This Row],[NUMERO]]</f>
        <v>-</v>
      </c>
      <c r="AU618" s="28">
        <f>DATA[[#This Row],[TOTAL]]*DATA[[#This Row],[T.C.]]</f>
        <v>0</v>
      </c>
      <c r="AV618" s="6">
        <f>DATA[[#This Row],[FECHA DE VAL.]]</f>
        <v>0</v>
      </c>
      <c r="AW618" s="6">
        <f>DATA[[#This Row],[FECHA DE EMISION]]</f>
        <v>0</v>
      </c>
      <c r="AX618" s="6">
        <f>DATA[[#This Row],[F1]]</f>
        <v>0</v>
      </c>
      <c r="AY618" s="20">
        <f>IF(AV618-DATA[[#This Row],[fecha_fs]]&lt;0,0,AV618-DATA[[#This Row],[fecha_fs]])</f>
        <v>0</v>
      </c>
      <c r="AZ618" s="20">
        <f t="shared" si="64"/>
        <v>0</v>
      </c>
      <c r="BA618" s="20">
        <f t="shared" si="65"/>
        <v>0</v>
      </c>
      <c r="BB618" s="195">
        <f>IFERROR(SUM(DATA[[#This Row],[fs_val_ttf]:[fact_pago_ttf]]),0)</f>
        <v>0</v>
      </c>
      <c r="BC618" s="185">
        <v>45783</v>
      </c>
      <c r="BD618" s="185">
        <v>45796</v>
      </c>
      <c r="BE618" s="185">
        <v>45873</v>
      </c>
      <c r="BF618" s="185">
        <v>45873</v>
      </c>
      <c r="BG618" s="20">
        <f>IFERROR(IF(BC618-DATA[[#This Row],[fecha_fs]]&lt;0,0,BC618-DATA[[#This Row],[fecha_fs]]),0)</f>
        <v>0</v>
      </c>
      <c r="BH618" s="20">
        <f t="shared" si="66"/>
        <v>13</v>
      </c>
      <c r="BI618" s="20">
        <f t="shared" si="67"/>
        <v>77</v>
      </c>
      <c r="BJ618" s="20">
        <f t="shared" si="68"/>
        <v>0</v>
      </c>
      <c r="BK618" s="218">
        <f>IFERROR(SUM(DATA[[#This Row],[fs_fd_ttd]:[fend_fenf_ttd]]),0)</f>
        <v>90</v>
      </c>
      <c r="BL618" s="20" t="str">
        <f>IF(DATA[[#This Row],[fecha_fs]]&gt;0,TEXT(DATA[[#This Row],[fecha_fs]],"YYYY"),0)</f>
        <v>2025</v>
      </c>
      <c r="BM618" s="221" t="b">
        <v>1</v>
      </c>
      <c r="BN618" s="278">
        <f>COUNTIF(DATA[[#This Row],[tiempo_td]], "&lt;=15")</f>
        <v>0</v>
      </c>
      <c r="BO618" s="222"/>
    </row>
    <row r="619" spans="1:67" ht="30.6" customHeight="1" x14ac:dyDescent="0.25">
      <c r="A619" s="4">
        <v>20100192064</v>
      </c>
      <c r="B619" s="5" t="s">
        <v>60</v>
      </c>
      <c r="C619" s="52" t="s">
        <v>66</v>
      </c>
      <c r="D619" s="4" t="s">
        <v>120</v>
      </c>
      <c r="E619" s="5" t="s">
        <v>3</v>
      </c>
      <c r="F619" s="24">
        <v>45783</v>
      </c>
      <c r="G619" s="7" t="s">
        <v>142</v>
      </c>
      <c r="H619" s="25">
        <f t="shared" si="63"/>
        <v>2</v>
      </c>
      <c r="I619" s="67">
        <v>1082</v>
      </c>
      <c r="J619" s="8" t="s">
        <v>115</v>
      </c>
      <c r="K619" s="9" t="s">
        <v>169</v>
      </c>
      <c r="L619" s="10" t="s">
        <v>117</v>
      </c>
      <c r="M619" s="11">
        <v>2560</v>
      </c>
      <c r="N619" s="12" t="s">
        <v>143</v>
      </c>
      <c r="O619" s="6">
        <v>45803</v>
      </c>
      <c r="P619" s="71">
        <v>3469</v>
      </c>
      <c r="Q619" s="14" t="s">
        <v>123</v>
      </c>
      <c r="R619" s="15"/>
      <c r="S619" s="15">
        <f>227</f>
        <v>227</v>
      </c>
      <c r="T619" s="15">
        <f>DATA[[#This Row],[C. DF]]+DATA[[#This Row],[C.OPE.]]</f>
        <v>227</v>
      </c>
      <c r="U619" s="15">
        <f>DATA[[#This Row],[SUB TOTAL]]*0.18</f>
        <v>40.86</v>
      </c>
      <c r="V619" s="15">
        <f>IFERROR(ROUND(DATA[[#This Row],[SUB TOTAL]]+DATA[[#This Row],[IGV]],2),0)</f>
        <v>267.86</v>
      </c>
      <c r="W619" s="16" t="str">
        <f>IF(DATA[[#This Row],[VALORIZACIÓN ]]="-","NO CORRESPONDE",IF(OR(A619=20558226979,A619=10470707866,A619=20111157058,A619=20100226902),"NO CORRESPONDE",IF(J619="Emitida",IF(P619&gt;0,"EMITIDA","PENDIENTE"),"NO CORRESPONDE")))</f>
        <v>EMITIDA</v>
      </c>
      <c r="X619" s="29"/>
      <c r="Y619" s="17" t="s">
        <v>118</v>
      </c>
      <c r="Z619" s="30">
        <v>45805</v>
      </c>
      <c r="AA619" s="10" t="s">
        <v>150</v>
      </c>
      <c r="AB619" s="19">
        <v>98</v>
      </c>
      <c r="AC619" s="20">
        <v>30</v>
      </c>
      <c r="AD619" s="18">
        <f>DATA[[#This Row],[FECHA DE EMISION]]+DATA[[#This Row],[CONDICION DE PAGO]]</f>
        <v>45835</v>
      </c>
      <c r="AE619" s="23" t="e">
        <f>IF(DATA[[#This Row],[MONEDA]]="USD",VLOOKUP(DATA[[#This Row],[COMBINADA]],#REF!,11,0),1)</f>
        <v>#REF!</v>
      </c>
      <c r="AF619" s="39" t="str">
        <f>IF(DATA[[#This Row],[SERIE2]]="-","NO CORRESPONDE",IF(W619="NO CORRESPONDE","NO CORRESPONDE",IF(Z619&gt;0,"FACTURADO","PENDIENTE")))</f>
        <v>FACTURADO</v>
      </c>
      <c r="AG619" s="27">
        <f>IFERROR(VLOOKUP(DATA[[#This Row],[COMBINADA]],#REF!,6,0),0)</f>
        <v>0</v>
      </c>
      <c r="AH619" s="125">
        <f>IFERROR(VLOOKUP(DATA[[#This Row],[COMBINADA]],#REF!,9,0),0)/COUNTIFS(DATA[COMBINADA],DATA[[#This Row],[COMBINADA]])</f>
        <v>0</v>
      </c>
      <c r="AI619" s="27">
        <f>IFERROR(VLOOKUP(DATA[[#This Row],[COMBINADA]],#REF!,6,0),0)</f>
        <v>0</v>
      </c>
      <c r="AJ619" s="125">
        <f>IFERROR(VLOOKUP(DATA[[#This Row],[COMBINADA]],#REF!,9,0),0)/COUNTIFS(DATA[COMBINADA],DATA[[#This Row],[COMBINADA]])</f>
        <v>0</v>
      </c>
      <c r="AK619" s="27">
        <f>IFERROR(VLOOKUP(DATA[[#This Row],[COMBINADA]],#REF!,6,0),0)</f>
        <v>0</v>
      </c>
      <c r="AL619" s="125">
        <f>IFERROR(VLOOKUP(DATA[[#This Row],[COMBINADA]],#REF!,9,0),0)/COUNTIFS(DATA[COMBINADA],DATA[[#This Row],[COMBINADA]])</f>
        <v>0</v>
      </c>
      <c r="AM619" s="27">
        <f>IFERROR(VLOOKUP(DATA[[#This Row],[COMBINADA]],#REF!,6,0),0)</f>
        <v>0</v>
      </c>
      <c r="AN619" s="125">
        <f>IFERROR(VLOOKUP(DATA[[#This Row],[COMBINADA]],#REF!,9,0),0)/COUNTIFS(DATA[COMBINADA],DATA[[#This Row],[COMBINADA]])</f>
        <v>0</v>
      </c>
      <c r="AO619" s="27">
        <f>IFERROR(VLOOKUP(DATA[[#This Row],[COMBINADA]],#REF!,6,0),0)</f>
        <v>0</v>
      </c>
      <c r="AP619" s="125">
        <f>IFERROR(VLOOKUP(DATA[[#This Row],[COMBINADA]],#REF!,9,0),0)/COUNTIFS(DATA[COMBINADA],DATA[[#This Row],[COMBINADA]])</f>
        <v>0</v>
      </c>
      <c r="AQ61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647.4955555555556</v>
      </c>
      <c r="AR619" s="26" t="str">
        <f>IFERROR(IF(DATA[[#This Row],[estado_fact]]="FACTURADO",VLOOKUP(DATA[[#This Row],[SERIE2]]&amp;"-"&amp;DATA[[#This Row],[NUMERO]],#REF!,34,0),"NO CORRESPONDE"),"NO CORRESPONDE")</f>
        <v>NO CORRESPONDE</v>
      </c>
      <c r="AS619" s="22" t="str">
        <f>IF(DATA[[#This Row],[fecha_fs]]&gt;0,TEXT(DATA[[#This Row],[fecha_fs]],"Mmmm"),0)</f>
        <v>Mayo</v>
      </c>
      <c r="AT619" s="22" t="str">
        <f>DATA[[#This Row],[SERIE2]]&amp;"-"&amp;DATA[[#This Row],[NUMERO]]</f>
        <v>FF01-98</v>
      </c>
      <c r="AU619" s="28" t="e">
        <f>DATA[[#This Row],[TOTAL]]*DATA[[#This Row],[T.C.]]</f>
        <v>#REF!</v>
      </c>
      <c r="AV619" s="6">
        <f>DATA[[#This Row],[FECHA DE VAL.]]</f>
        <v>45803</v>
      </c>
      <c r="AW619" s="6">
        <f>DATA[[#This Row],[FECHA DE EMISION]]</f>
        <v>45805</v>
      </c>
      <c r="AX619" s="6">
        <f>DATA[[#This Row],[F1]]</f>
        <v>0</v>
      </c>
      <c r="AY619" s="20">
        <f>IF(AV619-DATA[[#This Row],[fecha_fs]]&lt;0,0,AV619-DATA[[#This Row],[fecha_fs]])</f>
        <v>20</v>
      </c>
      <c r="AZ619" s="20">
        <f t="shared" si="64"/>
        <v>2</v>
      </c>
      <c r="BA619" s="20">
        <f t="shared" si="65"/>
        <v>0</v>
      </c>
      <c r="BB619" s="195">
        <f>IFERROR(SUM(DATA[[#This Row],[fs_val_ttf]:[fact_pago_ttf]]),0)</f>
        <v>22</v>
      </c>
      <c r="BC619" s="185">
        <v>45783</v>
      </c>
      <c r="BD619" s="185">
        <v>45783</v>
      </c>
      <c r="BE619" s="185">
        <v>45811</v>
      </c>
      <c r="BF619" s="185">
        <v>45811</v>
      </c>
      <c r="BG619" s="20">
        <f>IFERROR(IF(BC619-DATA[[#This Row],[fecha_fs]]&lt;0,0,BC619-DATA[[#This Row],[fecha_fs]]),0)</f>
        <v>0</v>
      </c>
      <c r="BH619" s="20">
        <f t="shared" si="66"/>
        <v>0</v>
      </c>
      <c r="BI619" s="20">
        <f t="shared" si="67"/>
        <v>28</v>
      </c>
      <c r="BJ619" s="20">
        <f t="shared" si="68"/>
        <v>0</v>
      </c>
      <c r="BK619" s="218">
        <f>IFERROR(SUM(DATA[[#This Row],[fs_fd_ttd]:[fend_fenf_ttd]]),0)</f>
        <v>28</v>
      </c>
      <c r="BL619" s="20" t="str">
        <f>IF(DATA[[#This Row],[fecha_fs]]&gt;0,TEXT(DATA[[#This Row],[fecha_fs]],"YYYY"),0)</f>
        <v>2025</v>
      </c>
      <c r="BM619" s="221" t="b">
        <v>1</v>
      </c>
      <c r="BN619" s="278">
        <f>COUNTIF(DATA[[#This Row],[tiempo_td]], "&lt;=15")</f>
        <v>0</v>
      </c>
      <c r="BO619" s="222"/>
    </row>
    <row r="620" spans="1:67" ht="30.6" customHeight="1" x14ac:dyDescent="0.25">
      <c r="A620" s="4">
        <v>20141637941</v>
      </c>
      <c r="B620" s="5" t="s">
        <v>79</v>
      </c>
      <c r="C620" s="52" t="s">
        <v>18</v>
      </c>
      <c r="D620" s="4" t="s">
        <v>120</v>
      </c>
      <c r="E620" s="5" t="s">
        <v>3</v>
      </c>
      <c r="F620" s="24">
        <v>45784</v>
      </c>
      <c r="G620" s="7" t="s">
        <v>113</v>
      </c>
      <c r="H620" s="25">
        <f t="shared" si="63"/>
        <v>1</v>
      </c>
      <c r="I620" s="67">
        <v>4476</v>
      </c>
      <c r="J620" s="8" t="s">
        <v>115</v>
      </c>
      <c r="K620" s="9" t="s">
        <v>121</v>
      </c>
      <c r="L620" s="10" t="s">
        <v>117</v>
      </c>
      <c r="M620" s="11">
        <v>1610</v>
      </c>
      <c r="N620" s="12" t="s">
        <v>125</v>
      </c>
      <c r="O620" s="6">
        <v>45786</v>
      </c>
      <c r="P620" s="68">
        <v>3439</v>
      </c>
      <c r="Q620" s="14" t="s">
        <v>85</v>
      </c>
      <c r="R620" s="15">
        <f>70+(DATA[[#This Row],[cantidad_fs]]-1000)*0.1</f>
        <v>131</v>
      </c>
      <c r="S620" s="15">
        <v>517</v>
      </c>
      <c r="T620" s="15">
        <f>DATA[[#This Row],[C. DF]]+DATA[[#This Row],[C.OPE.]]</f>
        <v>648</v>
      </c>
      <c r="U620" s="15">
        <f>DATA[[#This Row],[SUB TOTAL]]*0.18</f>
        <v>116.64</v>
      </c>
      <c r="V620" s="15">
        <f>IFERROR(ROUND(DATA[[#This Row],[SUB TOTAL]]+DATA[[#This Row],[IGV]],2),0)</f>
        <v>764.64</v>
      </c>
      <c r="W620" s="16" t="str">
        <f>IF(DATA[[#This Row],[VALORIZACIÓN ]]="-","NO CORRESPONDE",IF(OR(A620=20558226979,A620=10470707866,A620=20111157058,A620=20100226902),"NO CORRESPONDE",IF(J620="Emitida",IF(P620&gt;0,"EMITIDA","PENDIENTE"),"NO CORRESPONDE")))</f>
        <v>EMITIDA</v>
      </c>
      <c r="X620" s="29"/>
      <c r="Y620" s="17" t="s">
        <v>118</v>
      </c>
      <c r="Z620" s="30">
        <v>45790</v>
      </c>
      <c r="AA620" s="10" t="s">
        <v>150</v>
      </c>
      <c r="AB620" s="19">
        <v>77</v>
      </c>
      <c r="AC620" s="20">
        <v>30</v>
      </c>
      <c r="AD620" s="18">
        <f>DATA[[#This Row],[FECHA DE EMISION]]+DATA[[#This Row],[CONDICION DE PAGO]]</f>
        <v>45820</v>
      </c>
      <c r="AE620" s="23">
        <f>IF(DATA[[#This Row],[MONEDA]]="USD",VLOOKUP(DATA[[#This Row],[COMBINADA]],#REF!,11,0),1)</f>
        <v>1</v>
      </c>
      <c r="AF620" s="39" t="str">
        <f>IF(DATA[[#This Row],[SERIE2]]="-","NO CORRESPONDE",IF(W620="NO CORRESPONDE","NO CORRESPONDE",IF(Z620&gt;0,"FACTURADO","PENDIENTE")))</f>
        <v>FACTURADO</v>
      </c>
      <c r="AG620" s="27">
        <f>IFERROR(VLOOKUP(DATA[[#This Row],[COMBINADA]],#REF!,6,0),0)</f>
        <v>0</v>
      </c>
      <c r="AH620" s="125">
        <f>IFERROR(VLOOKUP(DATA[[#This Row],[COMBINADA]],#REF!,9,0),0)/COUNTIFS(DATA[COMBINADA],DATA[[#This Row],[COMBINADA]])</f>
        <v>0</v>
      </c>
      <c r="AI620" s="27">
        <f>IFERROR(VLOOKUP(DATA[[#This Row],[COMBINADA]],#REF!,6,0),0)</f>
        <v>0</v>
      </c>
      <c r="AJ620" s="125">
        <f>IFERROR(VLOOKUP(DATA[[#This Row],[COMBINADA]],#REF!,9,0),0)/COUNTIFS(DATA[COMBINADA],DATA[[#This Row],[COMBINADA]])</f>
        <v>0</v>
      </c>
      <c r="AK620" s="27">
        <f>IFERROR(VLOOKUP(DATA[[#This Row],[COMBINADA]],#REF!,6,0),0)</f>
        <v>0</v>
      </c>
      <c r="AL620" s="125">
        <f>IFERROR(VLOOKUP(DATA[[#This Row],[COMBINADA]],#REF!,9,0),0)/COUNTIFS(DATA[COMBINADA],DATA[[#This Row],[COMBINADA]])</f>
        <v>0</v>
      </c>
      <c r="AM620" s="27">
        <f>IFERROR(VLOOKUP(DATA[[#This Row],[COMBINADA]],#REF!,6,0),0)</f>
        <v>0</v>
      </c>
      <c r="AN620" s="125">
        <f>IFERROR(VLOOKUP(DATA[[#This Row],[COMBINADA]],#REF!,9,0),0)/COUNTIFS(DATA[COMBINADA],DATA[[#This Row],[COMBINADA]])</f>
        <v>0</v>
      </c>
      <c r="AO620" s="27">
        <f>IFERROR(VLOOKUP(DATA[[#This Row],[COMBINADA]],#REF!,6,0),0)</f>
        <v>0</v>
      </c>
      <c r="AP620" s="125">
        <f>IFERROR(VLOOKUP(DATA[[#This Row],[COMBINADA]],#REF!,9,0),0)/COUNTIFS(DATA[COMBINADA],DATA[[#This Row],[COMBINADA]])</f>
        <v>0</v>
      </c>
      <c r="AQ62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713.31</v>
      </c>
      <c r="AR620" s="26" t="str">
        <f>IFERROR(IF(DATA[[#This Row],[estado_fact]]="FACTURADO",VLOOKUP(DATA[[#This Row],[SERIE2]]&amp;"-"&amp;DATA[[#This Row],[NUMERO]],#REF!,34,0),"NO CORRESPONDE"),"NO CORRESPONDE")</f>
        <v>NO CORRESPONDE</v>
      </c>
      <c r="AS620" s="22" t="str">
        <f>IF(DATA[[#This Row],[fecha_fs]]&gt;0,TEXT(DATA[[#This Row],[fecha_fs]],"Mmmm"),0)</f>
        <v>Mayo</v>
      </c>
      <c r="AT620" s="22" t="str">
        <f>DATA[[#This Row],[SERIE2]]&amp;"-"&amp;DATA[[#This Row],[NUMERO]]</f>
        <v>FF01-77</v>
      </c>
      <c r="AU620" s="28">
        <f>DATA[[#This Row],[TOTAL]]*DATA[[#This Row],[T.C.]]</f>
        <v>764.64</v>
      </c>
      <c r="AV620" s="6">
        <f>DATA[[#This Row],[FECHA DE VAL.]]</f>
        <v>45786</v>
      </c>
      <c r="AW620" s="6">
        <f>DATA[[#This Row],[FECHA DE EMISION]]</f>
        <v>45790</v>
      </c>
      <c r="AX620" s="6">
        <f>DATA[[#This Row],[F1]]</f>
        <v>0</v>
      </c>
      <c r="AY620" s="20">
        <f>IF(AV620-DATA[[#This Row],[fecha_fs]]&lt;0,0,AV620-DATA[[#This Row],[fecha_fs]])</f>
        <v>2</v>
      </c>
      <c r="AZ620" s="20">
        <f t="shared" si="64"/>
        <v>4</v>
      </c>
      <c r="BA620" s="20">
        <f t="shared" si="65"/>
        <v>0</v>
      </c>
      <c r="BB620" s="195">
        <f>IFERROR(SUM(DATA[[#This Row],[fs_val_ttf]:[fact_pago_ttf]]),0)</f>
        <v>6</v>
      </c>
      <c r="BC620" s="184">
        <v>45784</v>
      </c>
      <c r="BD620" s="184">
        <v>45784</v>
      </c>
      <c r="BE620" s="184">
        <v>45790</v>
      </c>
      <c r="BF620" s="184">
        <v>45790</v>
      </c>
      <c r="BG620" s="20">
        <f>IFERROR(IF(BC620-DATA[[#This Row],[fecha_fs]]&lt;0,0,BC620-DATA[[#This Row],[fecha_fs]]),0)</f>
        <v>0</v>
      </c>
      <c r="BH620" s="20">
        <f t="shared" si="66"/>
        <v>0</v>
      </c>
      <c r="BI620" s="20">
        <f t="shared" si="67"/>
        <v>6</v>
      </c>
      <c r="BJ620" s="20">
        <f t="shared" si="68"/>
        <v>0</v>
      </c>
      <c r="BK620" s="218">
        <f>IFERROR(SUM(DATA[[#This Row],[fs_fd_ttd]:[fend_fenf_ttd]]),0)</f>
        <v>6</v>
      </c>
      <c r="BL620" s="20" t="str">
        <f>IF(DATA[[#This Row],[fecha_fs]]&gt;0,TEXT(DATA[[#This Row],[fecha_fs]],"YYYY"),0)</f>
        <v>2025</v>
      </c>
      <c r="BM620" s="221" t="b">
        <v>1</v>
      </c>
      <c r="BN620" s="278">
        <f>COUNTIF(DATA[[#This Row],[tiempo_td]], "&lt;=15")</f>
        <v>1</v>
      </c>
      <c r="BO620" s="222"/>
    </row>
    <row r="621" spans="1:67" ht="30.6" customHeight="1" x14ac:dyDescent="0.25">
      <c r="A621" s="4">
        <v>20100226902</v>
      </c>
      <c r="B621" s="5" t="s">
        <v>24</v>
      </c>
      <c r="C621" s="52" t="s">
        <v>18</v>
      </c>
      <c r="D621" s="4" t="s">
        <v>120</v>
      </c>
      <c r="E621" s="5" t="s">
        <v>3</v>
      </c>
      <c r="F621" s="24">
        <v>45784</v>
      </c>
      <c r="G621" s="7" t="s">
        <v>113</v>
      </c>
      <c r="H621" s="25">
        <f t="shared" si="63"/>
        <v>1</v>
      </c>
      <c r="I621" s="67">
        <v>4477</v>
      </c>
      <c r="J621" s="8" t="s">
        <v>115</v>
      </c>
      <c r="K621" s="9" t="s">
        <v>121</v>
      </c>
      <c r="L621" s="10" t="s">
        <v>117</v>
      </c>
      <c r="M621" s="11">
        <v>620</v>
      </c>
      <c r="N621" s="12" t="s">
        <v>240</v>
      </c>
      <c r="O621" s="40"/>
      <c r="P621" s="41" t="s">
        <v>114</v>
      </c>
      <c r="Q621" s="42"/>
      <c r="R621" s="43"/>
      <c r="S621" s="43"/>
      <c r="T621" s="43">
        <f>DATA[[#This Row],[C. DF]]+DATA[[#This Row],[C.OPE.]]</f>
        <v>0</v>
      </c>
      <c r="U621" s="43">
        <f>DATA[[#This Row],[SUB TOTAL]]*0.18</f>
        <v>0</v>
      </c>
      <c r="V621" s="43">
        <f>IFERROR(ROUND(DATA[[#This Row],[SUB TOTAL]]+DATA[[#This Row],[IGV]],2),0)</f>
        <v>0</v>
      </c>
      <c r="W621" s="58" t="str">
        <f>IF(DATA[[#This Row],[VALORIZACIÓN ]]="-","NO CORRESPONDE",IF(OR(A621=20558226979,A621=10470707866,A621=20111157058,A621=20100226902),"NO CORRESPONDE",IF(J621="Emitida",IF(P621&gt;0,"EMITIDA","PENDIENTE"),"NO CORRESPONDE")))</f>
        <v>NO CORRESPONDE</v>
      </c>
      <c r="X621" s="45"/>
      <c r="Y621" s="58" t="s">
        <v>128</v>
      </c>
      <c r="Z621" s="46"/>
      <c r="AA621" s="47"/>
      <c r="AB621" s="48"/>
      <c r="AC621" s="49"/>
      <c r="AD621" s="50">
        <f>DATA[[#This Row],[FECHA DE EMISION]]+DATA[[#This Row],[CONDICION DE PAGO]]</f>
        <v>0</v>
      </c>
      <c r="AE621" s="23">
        <f>IF(DATA[[#This Row],[MONEDA]]="USD",VLOOKUP(DATA[[#This Row],[COMBINADA]],#REF!,11,0),1)</f>
        <v>1</v>
      </c>
      <c r="AF621" s="39" t="str">
        <f>IF(DATA[[#This Row],[SERIE2]]="-","NO CORRESPONDE",IF(W621="NO CORRESPONDE","NO CORRESPONDE",IF(Z621&gt;0,"FACTURADO","PENDIENTE")))</f>
        <v>NO CORRESPONDE</v>
      </c>
      <c r="AG621" s="60">
        <f>IFERROR(VLOOKUP(DATA[[#This Row],[COMBINADA]],#REF!,6,0),0)</f>
        <v>0</v>
      </c>
      <c r="AH621" s="126">
        <f>IFERROR(VLOOKUP(DATA[[#This Row],[COMBINADA]],#REF!,9,0),0)/COUNTIFS(DATA[COMBINADA],DATA[[#This Row],[COMBINADA]])</f>
        <v>0</v>
      </c>
      <c r="AI621" s="60">
        <f>IFERROR(VLOOKUP(DATA[[#This Row],[COMBINADA]],#REF!,6,0),0)</f>
        <v>0</v>
      </c>
      <c r="AJ621" s="126">
        <f>IFERROR(VLOOKUP(DATA[[#This Row],[COMBINADA]],#REF!,9,0),0)/COUNTIFS(DATA[COMBINADA],DATA[[#This Row],[COMBINADA]])</f>
        <v>0</v>
      </c>
      <c r="AK621" s="60">
        <f>IFERROR(VLOOKUP(DATA[[#This Row],[COMBINADA]],#REF!,6,0),0)</f>
        <v>0</v>
      </c>
      <c r="AL621" s="126">
        <f>IFERROR(VLOOKUP(DATA[[#This Row],[COMBINADA]],#REF!,9,0),0)/COUNTIFS(DATA[COMBINADA],DATA[[#This Row],[COMBINADA]])</f>
        <v>0</v>
      </c>
      <c r="AM621" s="60">
        <f>IFERROR(VLOOKUP(DATA[[#This Row],[COMBINADA]],#REF!,6,0),0)</f>
        <v>0</v>
      </c>
      <c r="AN621" s="126">
        <f>IFERROR(VLOOKUP(DATA[[#This Row],[COMBINADA]],#REF!,9,0),0)/COUNTIFS(DATA[COMBINADA],DATA[[#This Row],[COMBINADA]])</f>
        <v>0</v>
      </c>
      <c r="AO621" s="60">
        <f>IFERROR(VLOOKUP(DATA[[#This Row],[COMBINADA]],#REF!,6,0),0)</f>
        <v>0</v>
      </c>
      <c r="AP621" s="126">
        <f>IFERROR(VLOOKUP(DATA[[#This Row],[COMBINADA]],#REF!,9,0),0)/COUNTIFS(DATA[COMBINADA],DATA[[#This Row],[COMBINADA]])</f>
        <v>0</v>
      </c>
      <c r="AQ621"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621" s="22" t="str">
        <f>IFERROR(IF(DATA[[#This Row],[estado_fact]]="FACTURADO",VLOOKUP(DATA[[#This Row],[SERIE2]]&amp;"-"&amp;DATA[[#This Row],[NUMERO]],#REF!,34,0),"NO CORRESPONDE"),"NO CORRESPONDE")</f>
        <v>NO CORRESPONDE</v>
      </c>
      <c r="AS621" s="22" t="str">
        <f>IF(DATA[[#This Row],[fecha_fs]]&gt;0,TEXT(DATA[[#This Row],[fecha_fs]],"Mmmm"),0)</f>
        <v>Mayo</v>
      </c>
      <c r="AT621" s="22" t="str">
        <f>DATA[[#This Row],[SERIE2]]&amp;"-"&amp;DATA[[#This Row],[NUMERO]]</f>
        <v>-</v>
      </c>
      <c r="AU621" s="28">
        <f>DATA[[#This Row],[TOTAL]]*DATA[[#This Row],[T.C.]]</f>
        <v>0</v>
      </c>
      <c r="AV621" s="6">
        <f>DATA[[#This Row],[FECHA DE VAL.]]</f>
        <v>0</v>
      </c>
      <c r="AW621" s="6">
        <f>DATA[[#This Row],[FECHA DE EMISION]]</f>
        <v>0</v>
      </c>
      <c r="AX621" s="6">
        <f>DATA[[#This Row],[F1]]</f>
        <v>0</v>
      </c>
      <c r="AY621" s="20">
        <f>IF(AV621-DATA[[#This Row],[fecha_fs]]&lt;0,0,AV621-DATA[[#This Row],[fecha_fs]])</f>
        <v>0</v>
      </c>
      <c r="AZ621" s="20">
        <f t="shared" si="64"/>
        <v>0</v>
      </c>
      <c r="BA621" s="20">
        <f t="shared" si="65"/>
        <v>0</v>
      </c>
      <c r="BB621" s="195">
        <f>IFERROR(SUM(DATA[[#This Row],[fs_val_ttf]:[fact_pago_ttf]]),0)</f>
        <v>0</v>
      </c>
      <c r="BC621" s="185">
        <v>45784</v>
      </c>
      <c r="BD621" s="185">
        <v>45784</v>
      </c>
      <c r="BE621" s="185">
        <v>45825</v>
      </c>
      <c r="BF621" s="185">
        <v>45825</v>
      </c>
      <c r="BG621" s="20">
        <f>IFERROR(IF(BC621-DATA[[#This Row],[fecha_fs]]&lt;0,0,BC621-DATA[[#This Row],[fecha_fs]]),0)</f>
        <v>0</v>
      </c>
      <c r="BH621" s="20">
        <f t="shared" si="66"/>
        <v>0</v>
      </c>
      <c r="BI621" s="20">
        <f t="shared" si="67"/>
        <v>41</v>
      </c>
      <c r="BJ621" s="20">
        <f t="shared" si="68"/>
        <v>0</v>
      </c>
      <c r="BK621" s="218">
        <f>IFERROR(SUM(DATA[[#This Row],[fs_fd_ttd]:[fend_fenf_ttd]]),0)</f>
        <v>41</v>
      </c>
      <c r="BL621" s="20" t="str">
        <f>IF(DATA[[#This Row],[fecha_fs]]&gt;0,TEXT(DATA[[#This Row],[fecha_fs]],"YYYY"),0)</f>
        <v>2025</v>
      </c>
      <c r="BM621" s="221" t="b">
        <v>1</v>
      </c>
      <c r="BN621" s="278">
        <f>COUNTIF(DATA[[#This Row],[tiempo_td]], "&lt;=15")</f>
        <v>0</v>
      </c>
      <c r="BO621" s="222"/>
    </row>
    <row r="622" spans="1:67" ht="30.6" customHeight="1" x14ac:dyDescent="0.25">
      <c r="A622" s="4">
        <v>20100211115</v>
      </c>
      <c r="B622" s="5" t="s">
        <v>41</v>
      </c>
      <c r="C622" s="52" t="s">
        <v>18</v>
      </c>
      <c r="D622" s="4" t="s">
        <v>120</v>
      </c>
      <c r="E622" s="5" t="s">
        <v>3</v>
      </c>
      <c r="F622" s="24">
        <v>45784</v>
      </c>
      <c r="G622" s="7" t="s">
        <v>113</v>
      </c>
      <c r="H622" s="25">
        <f t="shared" si="63"/>
        <v>1</v>
      </c>
      <c r="I622" s="67">
        <v>4478</v>
      </c>
      <c r="J622" s="8" t="s">
        <v>115</v>
      </c>
      <c r="K622" s="9" t="s">
        <v>121</v>
      </c>
      <c r="L622" s="10" t="s">
        <v>117</v>
      </c>
      <c r="M622" s="11">
        <v>90</v>
      </c>
      <c r="N622" s="12" t="s">
        <v>167</v>
      </c>
      <c r="O622" s="6">
        <v>45803</v>
      </c>
      <c r="P622" s="115">
        <v>3455</v>
      </c>
      <c r="Q622" s="14" t="s">
        <v>85</v>
      </c>
      <c r="R622" s="15"/>
      <c r="S622" s="15">
        <f>(DATA[[#This Row],[cantidad_fs]]*4.37)</f>
        <v>393.3</v>
      </c>
      <c r="T622" s="15">
        <f>DATA[[#This Row],[C. DF]]+DATA[[#This Row],[C.OPE.]]</f>
        <v>393.3</v>
      </c>
      <c r="U622" s="15">
        <f>DATA[[#This Row],[SUB TOTAL]]*0.18</f>
        <v>70.793999999999997</v>
      </c>
      <c r="V622" s="15">
        <f>IFERROR(ROUND(DATA[[#This Row],[SUB TOTAL]]+DATA[[#This Row],[IGV]],2),0)</f>
        <v>464.09</v>
      </c>
      <c r="W622" s="16" t="str">
        <f>IF(DATA[[#This Row],[VALORIZACIÓN ]]="-","NO CORRESPONDE",IF(OR(A622=20558226979,A622=10470707866,A622=20111157058,A622=20100226902),"NO CORRESPONDE",IF(J622="Emitida",IF(P622&gt;0,"EMITIDA","PENDIENTE"),"NO CORRESPONDE")))</f>
        <v>EMITIDA</v>
      </c>
      <c r="X622" s="29"/>
      <c r="Y622" s="17" t="s">
        <v>118</v>
      </c>
      <c r="Z622" s="30">
        <v>45804</v>
      </c>
      <c r="AA622" s="10" t="s">
        <v>150</v>
      </c>
      <c r="AB622" s="19">
        <v>94</v>
      </c>
      <c r="AC622" s="20">
        <v>30</v>
      </c>
      <c r="AD622" s="18">
        <f>DATA[[#This Row],[FECHA DE EMISION]]+DATA[[#This Row],[CONDICION DE PAGO]]</f>
        <v>45834</v>
      </c>
      <c r="AE622" s="23">
        <f>IF(DATA[[#This Row],[MONEDA]]="USD",VLOOKUP(DATA[[#This Row],[COMBINADA]],#REF!,11,0),1)</f>
        <v>1</v>
      </c>
      <c r="AF622" s="39" t="str">
        <f>IF(DATA[[#This Row],[SERIE2]]="-","NO CORRESPONDE",IF(W622="NO CORRESPONDE","NO CORRESPONDE",IF(Z622&gt;0,"FACTURADO","PENDIENTE")))</f>
        <v>FACTURADO</v>
      </c>
      <c r="AG622" s="27">
        <f>IFERROR(VLOOKUP(DATA[[#This Row],[COMBINADA]],#REF!,6,0),0)</f>
        <v>0</v>
      </c>
      <c r="AH622" s="125">
        <f>IFERROR(VLOOKUP(DATA[[#This Row],[COMBINADA]],#REF!,9,0),0)/COUNTIFS(DATA[COMBINADA],DATA[[#This Row],[COMBINADA]])</f>
        <v>0</v>
      </c>
      <c r="AI622" s="27">
        <f>IFERROR(VLOOKUP(DATA[[#This Row],[COMBINADA]],#REF!,6,0),0)</f>
        <v>0</v>
      </c>
      <c r="AJ622" s="125">
        <f>IFERROR(VLOOKUP(DATA[[#This Row],[COMBINADA]],#REF!,9,0),0)/COUNTIFS(DATA[COMBINADA],DATA[[#This Row],[COMBINADA]])</f>
        <v>0</v>
      </c>
      <c r="AK622" s="27">
        <f>IFERROR(VLOOKUP(DATA[[#This Row],[COMBINADA]],#REF!,6,0),0)</f>
        <v>0</v>
      </c>
      <c r="AL622" s="125">
        <f>IFERROR(VLOOKUP(DATA[[#This Row],[COMBINADA]],#REF!,9,0),0)/COUNTIFS(DATA[COMBINADA],DATA[[#This Row],[COMBINADA]])</f>
        <v>0</v>
      </c>
      <c r="AM622" s="27">
        <f>IFERROR(VLOOKUP(DATA[[#This Row],[COMBINADA]],#REF!,6,0),0)</f>
        <v>0</v>
      </c>
      <c r="AN622" s="125">
        <f>IFERROR(VLOOKUP(DATA[[#This Row],[COMBINADA]],#REF!,9,0),0)/COUNTIFS(DATA[COMBINADA],DATA[[#This Row],[COMBINADA]])</f>
        <v>0</v>
      </c>
      <c r="AO622" s="27">
        <f>IFERROR(VLOOKUP(DATA[[#This Row],[COMBINADA]],#REF!,6,0),0)</f>
        <v>0</v>
      </c>
      <c r="AP622" s="125">
        <f>IFERROR(VLOOKUP(DATA[[#This Row],[COMBINADA]],#REF!,9,0),0)/COUNTIFS(DATA[COMBINADA],DATA[[#This Row],[COMBINADA]])</f>
        <v>0</v>
      </c>
      <c r="AQ62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622" s="26" t="str">
        <f>IFERROR(IF(DATA[[#This Row],[estado_fact]]="FACTURADO",VLOOKUP(DATA[[#This Row],[SERIE2]]&amp;"-"&amp;DATA[[#This Row],[NUMERO]],#REF!,34,0),"NO CORRESPONDE"),"NO CORRESPONDE")</f>
        <v>NO CORRESPONDE</v>
      </c>
      <c r="AS622" s="22" t="str">
        <f>IF(DATA[[#This Row],[fecha_fs]]&gt;0,TEXT(DATA[[#This Row],[fecha_fs]],"Mmmm"),0)</f>
        <v>Mayo</v>
      </c>
      <c r="AT622" s="22" t="str">
        <f>DATA[[#This Row],[SERIE2]]&amp;"-"&amp;DATA[[#This Row],[NUMERO]]</f>
        <v>FF01-94</v>
      </c>
      <c r="AU622" s="28">
        <f>DATA[[#This Row],[TOTAL]]*DATA[[#This Row],[T.C.]]</f>
        <v>464.09</v>
      </c>
      <c r="AV622" s="6">
        <f>DATA[[#This Row],[FECHA DE VAL.]]</f>
        <v>45803</v>
      </c>
      <c r="AW622" s="6">
        <f>DATA[[#This Row],[FECHA DE EMISION]]</f>
        <v>45804</v>
      </c>
      <c r="AX622" s="6">
        <f>DATA[[#This Row],[F1]]</f>
        <v>0</v>
      </c>
      <c r="AY622" s="20">
        <f>IF(AV622-DATA[[#This Row],[fecha_fs]]&lt;0,0,AV622-DATA[[#This Row],[fecha_fs]])</f>
        <v>19</v>
      </c>
      <c r="AZ622" s="20">
        <f t="shared" si="64"/>
        <v>1</v>
      </c>
      <c r="BA622" s="20">
        <f t="shared" si="65"/>
        <v>0</v>
      </c>
      <c r="BB622" s="195">
        <f>IFERROR(SUM(DATA[[#This Row],[fs_val_ttf]:[fact_pago_ttf]]),0)</f>
        <v>20</v>
      </c>
      <c r="BC622" s="185">
        <v>45807</v>
      </c>
      <c r="BD622" s="185">
        <v>45814</v>
      </c>
      <c r="BE622" s="185">
        <v>45814</v>
      </c>
      <c r="BF622" s="185">
        <v>45821</v>
      </c>
      <c r="BG622" s="20">
        <f>IFERROR(IF(BC622-DATA[[#This Row],[fecha_fs]]&lt;0,0,BC622-DATA[[#This Row],[fecha_fs]]),0)</f>
        <v>23</v>
      </c>
      <c r="BH622" s="20">
        <f t="shared" si="66"/>
        <v>7</v>
      </c>
      <c r="BI622" s="20">
        <f t="shared" si="67"/>
        <v>0</v>
      </c>
      <c r="BJ622" s="20">
        <f t="shared" si="68"/>
        <v>7</v>
      </c>
      <c r="BK622" s="218">
        <f>IFERROR(SUM(DATA[[#This Row],[fs_fd_ttd]:[fend_fenf_ttd]]),0)</f>
        <v>37</v>
      </c>
      <c r="BL622" s="20" t="str">
        <f>IF(DATA[[#This Row],[fecha_fs]]&gt;0,TEXT(DATA[[#This Row],[fecha_fs]],"YYYY"),0)</f>
        <v>2025</v>
      </c>
      <c r="BM622" s="221" t="b">
        <v>1</v>
      </c>
      <c r="BN622" s="278">
        <f>COUNTIF(DATA[[#This Row],[tiempo_td]], "&lt;=15")</f>
        <v>0</v>
      </c>
      <c r="BO622" s="222"/>
    </row>
    <row r="623" spans="1:67" ht="30.6" customHeight="1" x14ac:dyDescent="0.25">
      <c r="A623" s="4">
        <v>20553956324</v>
      </c>
      <c r="B623" s="5" t="s">
        <v>281</v>
      </c>
      <c r="C623" s="52" t="s">
        <v>175</v>
      </c>
      <c r="D623" s="4" t="s">
        <v>120</v>
      </c>
      <c r="E623" s="5" t="s">
        <v>3</v>
      </c>
      <c r="F623" s="24">
        <v>45784</v>
      </c>
      <c r="G623" s="7" t="s">
        <v>113</v>
      </c>
      <c r="H623" s="25">
        <f t="shared" si="63"/>
        <v>1</v>
      </c>
      <c r="I623" s="67">
        <v>4479</v>
      </c>
      <c r="J623" s="8" t="s">
        <v>115</v>
      </c>
      <c r="K623" s="9" t="s">
        <v>121</v>
      </c>
      <c r="L623" s="10" t="s">
        <v>117</v>
      </c>
      <c r="M623" s="11">
        <v>90</v>
      </c>
      <c r="N623" s="12" t="s">
        <v>167</v>
      </c>
      <c r="O623" s="6">
        <v>45803</v>
      </c>
      <c r="P623" s="109">
        <v>3458</v>
      </c>
      <c r="Q623" s="14" t="s">
        <v>85</v>
      </c>
      <c r="R623" s="15">
        <f>DATA[[#This Row],[cantidad_fs]]*0.08</f>
        <v>7.2</v>
      </c>
      <c r="S623" s="15">
        <v>395.1</v>
      </c>
      <c r="T623" s="15">
        <f>DATA[[#This Row],[C. DF]]+DATA[[#This Row],[C.OPE.]]</f>
        <v>402.3</v>
      </c>
      <c r="U623" s="15">
        <f>DATA[[#This Row],[SUB TOTAL]]*0.18</f>
        <v>72.414000000000001</v>
      </c>
      <c r="V623" s="15">
        <f>IFERROR(ROUND(DATA[[#This Row],[SUB TOTAL]]+DATA[[#This Row],[IGV]],2),0)</f>
        <v>474.71</v>
      </c>
      <c r="W623" s="16" t="str">
        <f>IF(DATA[[#This Row],[VALORIZACIÓN ]]="-","NO CORRESPONDE",IF(OR(A623=20558226979,A623=10470707866,A623=20111157058,A623=20100226902),"NO CORRESPONDE",IF(J623="Emitida",IF(P623&gt;0,"EMITIDA","PENDIENTE"),"NO CORRESPONDE")))</f>
        <v>EMITIDA</v>
      </c>
      <c r="X623" s="29" t="s">
        <v>234</v>
      </c>
      <c r="Y623" s="17" t="s">
        <v>118</v>
      </c>
      <c r="Z623" s="30">
        <v>45845</v>
      </c>
      <c r="AA623" s="10" t="s">
        <v>150</v>
      </c>
      <c r="AB623" s="19">
        <v>143</v>
      </c>
      <c r="AC623" s="20">
        <v>0</v>
      </c>
      <c r="AD623" s="18">
        <f>DATA[[#This Row],[FECHA DE EMISION]]+DATA[[#This Row],[CONDICION DE PAGO]]</f>
        <v>45845</v>
      </c>
      <c r="AE623" s="23">
        <f>IF(DATA[[#This Row],[MONEDA]]="USD",VLOOKUP(DATA[[#This Row],[COMBINADA]],#REF!,11,0),1)</f>
        <v>1</v>
      </c>
      <c r="AF623" s="39" t="str">
        <f>IF(DATA[[#This Row],[SERIE2]]="-","NO CORRESPONDE",IF(W623="NO CORRESPONDE","NO CORRESPONDE",IF(Z623&gt;0,"FACTURADO","PENDIENTE")))</f>
        <v>FACTURADO</v>
      </c>
      <c r="AG623" s="27">
        <f>IFERROR(VLOOKUP(DATA[[#This Row],[COMBINADA]],#REF!,6,0),0)</f>
        <v>0</v>
      </c>
      <c r="AH623" s="125">
        <f>IFERROR(VLOOKUP(DATA[[#This Row],[COMBINADA]],#REF!,9,0),0)/COUNTIFS(DATA[COMBINADA],DATA[[#This Row],[COMBINADA]])</f>
        <v>0</v>
      </c>
      <c r="AI623" s="27">
        <f>IFERROR(VLOOKUP(DATA[[#This Row],[COMBINADA]],#REF!,6,0),0)</f>
        <v>0</v>
      </c>
      <c r="AJ623" s="125">
        <f>IFERROR(VLOOKUP(DATA[[#This Row],[COMBINADA]],#REF!,9,0),0)/COUNTIFS(DATA[COMBINADA],DATA[[#This Row],[COMBINADA]])</f>
        <v>0</v>
      </c>
      <c r="AK623" s="27">
        <f>IFERROR(VLOOKUP(DATA[[#This Row],[COMBINADA]],#REF!,6,0),0)</f>
        <v>0</v>
      </c>
      <c r="AL623" s="125">
        <f>IFERROR(VLOOKUP(DATA[[#This Row],[COMBINADA]],#REF!,9,0),0)/COUNTIFS(DATA[COMBINADA],DATA[[#This Row],[COMBINADA]])</f>
        <v>0</v>
      </c>
      <c r="AM623" s="27">
        <f>IFERROR(VLOOKUP(DATA[[#This Row],[COMBINADA]],#REF!,6,0),0)</f>
        <v>0</v>
      </c>
      <c r="AN623" s="125">
        <f>IFERROR(VLOOKUP(DATA[[#This Row],[COMBINADA]],#REF!,9,0),0)/COUNTIFS(DATA[COMBINADA],DATA[[#This Row],[COMBINADA]])</f>
        <v>0</v>
      </c>
      <c r="AO623" s="27">
        <f>IFERROR(VLOOKUP(DATA[[#This Row],[COMBINADA]],#REF!,6,0),0)</f>
        <v>0</v>
      </c>
      <c r="AP623" s="125">
        <f>IFERROR(VLOOKUP(DATA[[#This Row],[COMBINADA]],#REF!,9,0),0)/COUNTIFS(DATA[COMBINADA],DATA[[#This Row],[COMBINADA]])</f>
        <v>0</v>
      </c>
      <c r="AQ62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481.06363636363642</v>
      </c>
      <c r="AR623" s="26" t="str">
        <f>IFERROR(IF(DATA[[#This Row],[estado_fact]]="FACTURADO",VLOOKUP(DATA[[#This Row],[SERIE2]]&amp;"-"&amp;DATA[[#This Row],[NUMERO]],#REF!,34,0),"NO CORRESPONDE"),"NO CORRESPONDE")</f>
        <v>NO CORRESPONDE</v>
      </c>
      <c r="AS623" s="22" t="str">
        <f>IF(DATA[[#This Row],[fecha_fs]]&gt;0,TEXT(DATA[[#This Row],[fecha_fs]],"Mmmm"),0)</f>
        <v>Mayo</v>
      </c>
      <c r="AT623" s="22" t="str">
        <f>DATA[[#This Row],[SERIE2]]&amp;"-"&amp;DATA[[#This Row],[NUMERO]]</f>
        <v>FF01-143</v>
      </c>
      <c r="AU623" s="28">
        <f>DATA[[#This Row],[TOTAL]]*DATA[[#This Row],[T.C.]]</f>
        <v>474.71</v>
      </c>
      <c r="AV623" s="6">
        <f>DATA[[#This Row],[FECHA DE VAL.]]</f>
        <v>45803</v>
      </c>
      <c r="AW623" s="6">
        <f>DATA[[#This Row],[FECHA DE EMISION]]</f>
        <v>45845</v>
      </c>
      <c r="AX623" s="6">
        <f>DATA[[#This Row],[F1]]</f>
        <v>0</v>
      </c>
      <c r="AY623" s="20">
        <f>IF(AV623-DATA[[#This Row],[fecha_fs]]&lt;0,0,AV623-DATA[[#This Row],[fecha_fs]])</f>
        <v>19</v>
      </c>
      <c r="AZ623" s="20">
        <f t="shared" si="64"/>
        <v>42</v>
      </c>
      <c r="BA623" s="20">
        <f t="shared" si="65"/>
        <v>0</v>
      </c>
      <c r="BB623" s="195">
        <f>IFERROR(SUM(DATA[[#This Row],[fs_val_ttf]:[fact_pago_ttf]]),0)</f>
        <v>61</v>
      </c>
      <c r="BC623" s="185">
        <v>45821</v>
      </c>
      <c r="BD623" s="185">
        <v>45828</v>
      </c>
      <c r="BE623" s="185">
        <v>45831</v>
      </c>
      <c r="BF623" s="185">
        <v>45832</v>
      </c>
      <c r="BG623" s="20">
        <f>IFERROR(IF(BC623-DATA[[#This Row],[fecha_fs]]&lt;0,0,BC623-DATA[[#This Row],[fecha_fs]]),0)</f>
        <v>37</v>
      </c>
      <c r="BH623" s="20">
        <f t="shared" si="66"/>
        <v>7</v>
      </c>
      <c r="BI623" s="20">
        <f t="shared" si="67"/>
        <v>3</v>
      </c>
      <c r="BJ623" s="20">
        <f t="shared" si="68"/>
        <v>1</v>
      </c>
      <c r="BK623" s="218">
        <f>IFERROR(SUM(DATA[[#This Row],[fs_fd_ttd]:[fend_fenf_ttd]]),0)</f>
        <v>48</v>
      </c>
      <c r="BL623" s="20" t="str">
        <f>IF(DATA[[#This Row],[fecha_fs]]&gt;0,TEXT(DATA[[#This Row],[fecha_fs]],"YYYY"),0)</f>
        <v>2025</v>
      </c>
      <c r="BM623" s="221" t="b">
        <v>1</v>
      </c>
      <c r="BN623" s="278">
        <f>COUNTIF(DATA[[#This Row],[tiempo_td]], "&lt;=15")</f>
        <v>0</v>
      </c>
      <c r="BO623" s="222"/>
    </row>
    <row r="624" spans="1:67" ht="30.6" customHeight="1" x14ac:dyDescent="0.25">
      <c r="A624" s="4">
        <v>20100192064</v>
      </c>
      <c r="B624" s="5" t="s">
        <v>60</v>
      </c>
      <c r="C624" s="52" t="s">
        <v>64</v>
      </c>
      <c r="D624" s="4" t="s">
        <v>112</v>
      </c>
      <c r="E624" s="5" t="s">
        <v>1</v>
      </c>
      <c r="F624" s="24">
        <v>45784</v>
      </c>
      <c r="G624" s="7" t="s">
        <v>113</v>
      </c>
      <c r="H624" s="25">
        <f t="shared" si="63"/>
        <v>1</v>
      </c>
      <c r="I624" s="67">
        <v>4480</v>
      </c>
      <c r="J624" s="8" t="s">
        <v>115</v>
      </c>
      <c r="K624" s="9" t="s">
        <v>116</v>
      </c>
      <c r="L624" s="10" t="s">
        <v>117</v>
      </c>
      <c r="M624" s="11">
        <v>230</v>
      </c>
      <c r="N624" s="12" t="s">
        <v>167</v>
      </c>
      <c r="O624" s="6">
        <v>45803</v>
      </c>
      <c r="P624" s="71">
        <v>3465</v>
      </c>
      <c r="Q624" s="14" t="s">
        <v>123</v>
      </c>
      <c r="R624" s="15">
        <f>(DATA[[#This Row],[cantidad_fs]]/1000)*(143+175.34)</f>
        <v>73.21820000000001</v>
      </c>
      <c r="S624" s="15">
        <v>137</v>
      </c>
      <c r="T624" s="15">
        <f>DATA[[#This Row],[C. DF]]+DATA[[#This Row],[C.OPE.]]</f>
        <v>210.21820000000002</v>
      </c>
      <c r="U624" s="15">
        <f>DATA[[#This Row],[SUB TOTAL]]*0.18</f>
        <v>37.839276000000005</v>
      </c>
      <c r="V624" s="15">
        <f>IFERROR(ROUND(DATA[[#This Row],[SUB TOTAL]]+DATA[[#This Row],[IGV]],2),0)</f>
        <v>248.06</v>
      </c>
      <c r="W624" s="16" t="str">
        <f>IF(DATA[[#This Row],[VALORIZACIÓN ]]="-","NO CORRESPONDE",IF(OR(A624=20558226979,A624=10470707866,A624=20111157058,A624=20100226902),"NO CORRESPONDE",IF(J624="Emitida",IF(P624&gt;0,"EMITIDA","PENDIENTE"),"NO CORRESPONDE")))</f>
        <v>EMITIDA</v>
      </c>
      <c r="X624" s="29" t="s">
        <v>242</v>
      </c>
      <c r="Y624" s="17" t="s">
        <v>118</v>
      </c>
      <c r="Z624" s="30">
        <v>45804</v>
      </c>
      <c r="AA624" s="10" t="s">
        <v>150</v>
      </c>
      <c r="AB624" s="19">
        <v>97</v>
      </c>
      <c r="AC624" s="20">
        <v>30</v>
      </c>
      <c r="AD624" s="18">
        <f>DATA[[#This Row],[FECHA DE EMISION]]+DATA[[#This Row],[CONDICION DE PAGO]]</f>
        <v>45834</v>
      </c>
      <c r="AE624" s="23" t="e">
        <f>IF(DATA[[#This Row],[MONEDA]]="USD",VLOOKUP(DATA[[#This Row],[COMBINADA]],#REF!,11,0),1)</f>
        <v>#REF!</v>
      </c>
      <c r="AF624" s="39" t="str">
        <f>IF(DATA[[#This Row],[SERIE2]]="-","NO CORRESPONDE",IF(W624="NO CORRESPONDE","NO CORRESPONDE",IF(Z624&gt;0,"FACTURADO","PENDIENTE")))</f>
        <v>FACTURADO</v>
      </c>
      <c r="AG624" s="27">
        <f>IFERROR(VLOOKUP(DATA[[#This Row],[COMBINADA]],#REF!,6,0),0)</f>
        <v>0</v>
      </c>
      <c r="AH624" s="125">
        <f>IFERROR(VLOOKUP(DATA[[#This Row],[COMBINADA]],#REF!,9,0),0)/COUNTIFS(DATA[COMBINADA],DATA[[#This Row],[COMBINADA]])</f>
        <v>0</v>
      </c>
      <c r="AI624" s="27">
        <f>IFERROR(VLOOKUP(DATA[[#This Row],[COMBINADA]],#REF!,6,0),0)</f>
        <v>0</v>
      </c>
      <c r="AJ624" s="125">
        <f>IFERROR(VLOOKUP(DATA[[#This Row],[COMBINADA]],#REF!,9,0),0)/COUNTIFS(DATA[COMBINADA],DATA[[#This Row],[COMBINADA]])</f>
        <v>0</v>
      </c>
      <c r="AK624" s="27">
        <f>IFERROR(VLOOKUP(DATA[[#This Row],[COMBINADA]],#REF!,6,0),0)</f>
        <v>0</v>
      </c>
      <c r="AL624" s="125">
        <f>IFERROR(VLOOKUP(DATA[[#This Row],[COMBINADA]],#REF!,9,0),0)/COUNTIFS(DATA[COMBINADA],DATA[[#This Row],[COMBINADA]])</f>
        <v>0</v>
      </c>
      <c r="AM624" s="27">
        <f>IFERROR(VLOOKUP(DATA[[#This Row],[COMBINADA]],#REF!,6,0),0)</f>
        <v>0</v>
      </c>
      <c r="AN624" s="125">
        <f>IFERROR(VLOOKUP(DATA[[#This Row],[COMBINADA]],#REF!,9,0),0)/COUNTIFS(DATA[COMBINADA],DATA[[#This Row],[COMBINADA]])</f>
        <v>0</v>
      </c>
      <c r="AO624" s="27">
        <f>IFERROR(VLOOKUP(DATA[[#This Row],[COMBINADA]],#REF!,6,0),0)</f>
        <v>0</v>
      </c>
      <c r="AP624" s="125">
        <f>IFERROR(VLOOKUP(DATA[[#This Row],[COMBINADA]],#REF!,9,0),0)/COUNTIFS(DATA[COMBINADA],DATA[[#This Row],[COMBINADA]])</f>
        <v>0</v>
      </c>
      <c r="AQ62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685.70466666666675</v>
      </c>
      <c r="AR624" s="26" t="str">
        <f>IFERROR(IF(DATA[[#This Row],[estado_fact]]="FACTURADO",VLOOKUP(DATA[[#This Row],[SERIE2]]&amp;"-"&amp;DATA[[#This Row],[NUMERO]],#REF!,34,0),"NO CORRESPONDE"),"NO CORRESPONDE")</f>
        <v>NO CORRESPONDE</v>
      </c>
      <c r="AS624" s="22" t="str">
        <f>IF(DATA[[#This Row],[fecha_fs]]&gt;0,TEXT(DATA[[#This Row],[fecha_fs]],"Mmmm"),0)</f>
        <v>Mayo</v>
      </c>
      <c r="AT624" s="22" t="str">
        <f>DATA[[#This Row],[SERIE2]]&amp;"-"&amp;DATA[[#This Row],[NUMERO]]</f>
        <v>FF01-97</v>
      </c>
      <c r="AU624" s="28" t="e">
        <f>DATA[[#This Row],[TOTAL]]*DATA[[#This Row],[T.C.]]</f>
        <v>#REF!</v>
      </c>
      <c r="AV624" s="6">
        <f>DATA[[#This Row],[FECHA DE VAL.]]</f>
        <v>45803</v>
      </c>
      <c r="AW624" s="6">
        <f>DATA[[#This Row],[FECHA DE EMISION]]</f>
        <v>45804</v>
      </c>
      <c r="AX624" s="6">
        <f>DATA[[#This Row],[F1]]</f>
        <v>0</v>
      </c>
      <c r="AY624" s="20">
        <f>IF(AV624-DATA[[#This Row],[fecha_fs]]&lt;0,0,AV624-DATA[[#This Row],[fecha_fs]])</f>
        <v>19</v>
      </c>
      <c r="AZ624" s="20">
        <f t="shared" si="64"/>
        <v>1</v>
      </c>
      <c r="BA624" s="20">
        <f t="shared" si="65"/>
        <v>0</v>
      </c>
      <c r="BB624" s="195">
        <f>IFERROR(SUM(DATA[[#This Row],[fs_val_ttf]:[fact_pago_ttf]]),0)</f>
        <v>20</v>
      </c>
      <c r="BC624" s="185">
        <v>45790</v>
      </c>
      <c r="BD624" s="185">
        <v>45798</v>
      </c>
      <c r="BE624" s="185">
        <v>45814</v>
      </c>
      <c r="BF624" s="184">
        <v>45863</v>
      </c>
      <c r="BG624" s="20">
        <f>IFERROR(IF(BC624-DATA[[#This Row],[fecha_fs]]&lt;0,0,BC624-DATA[[#This Row],[fecha_fs]]),0)</f>
        <v>6</v>
      </c>
      <c r="BH624" s="20">
        <f t="shared" si="66"/>
        <v>8</v>
      </c>
      <c r="BI624" s="20">
        <f t="shared" si="67"/>
        <v>16</v>
      </c>
      <c r="BJ624" s="20">
        <f t="shared" si="68"/>
        <v>49</v>
      </c>
      <c r="BK624" s="218">
        <f>IFERROR(SUM(DATA[[#This Row],[fs_fd_ttd]:[fend_fenf_ttd]]),0)</f>
        <v>79</v>
      </c>
      <c r="BL624" s="20" t="str">
        <f>IF(DATA[[#This Row],[fecha_fs]]&gt;0,TEXT(DATA[[#This Row],[fecha_fs]],"YYYY"),0)</f>
        <v>2025</v>
      </c>
      <c r="BM624" s="221" t="b">
        <v>1</v>
      </c>
      <c r="BN624" s="278">
        <f>COUNTIF(DATA[[#This Row],[tiempo_td]], "&lt;=15")</f>
        <v>0</v>
      </c>
      <c r="BO624" s="222"/>
    </row>
    <row r="625" spans="1:67" ht="30.6" customHeight="1" x14ac:dyDescent="0.25">
      <c r="A625" s="4">
        <v>20100055237</v>
      </c>
      <c r="B625" s="5" t="s">
        <v>21</v>
      </c>
      <c r="C625" s="52" t="s">
        <v>138</v>
      </c>
      <c r="D625" s="4" t="s">
        <v>139</v>
      </c>
      <c r="E625" s="5" t="s">
        <v>23</v>
      </c>
      <c r="F625" s="24">
        <v>45785</v>
      </c>
      <c r="G625" s="7" t="s">
        <v>113</v>
      </c>
      <c r="H625" s="25">
        <f t="shared" si="63"/>
        <v>1</v>
      </c>
      <c r="I625" s="67">
        <v>4481</v>
      </c>
      <c r="J625" s="8" t="s">
        <v>115</v>
      </c>
      <c r="K625" s="9" t="s">
        <v>121</v>
      </c>
      <c r="L625" s="10" t="s">
        <v>117</v>
      </c>
      <c r="M625" s="11">
        <v>50</v>
      </c>
      <c r="N625" s="12" t="s">
        <v>132</v>
      </c>
      <c r="O625" s="6">
        <v>45805</v>
      </c>
      <c r="P625" s="54">
        <v>3477</v>
      </c>
      <c r="Q625" s="14" t="s">
        <v>85</v>
      </c>
      <c r="R625" s="15"/>
      <c r="S625" s="15">
        <v>297.92</v>
      </c>
      <c r="T625" s="15">
        <f>DATA[[#This Row],[C. DF]]+DATA[[#This Row],[C.OPE.]]</f>
        <v>297.92</v>
      </c>
      <c r="U625" s="15">
        <f>DATA[[#This Row],[SUB TOTAL]]*0.18</f>
        <v>53.625599999999999</v>
      </c>
      <c r="V625" s="15">
        <f>IFERROR(ROUND(DATA[[#This Row],[SUB TOTAL]]+DATA[[#This Row],[IGV]],2),0)</f>
        <v>351.55</v>
      </c>
      <c r="W625" s="16" t="str">
        <f>IF(DATA[[#This Row],[VALORIZACIÓN ]]="-","NO CORRESPONDE",IF(OR(A625=20558226979,A625=10470707866,A625=20111157058,A625=20100226902),"NO CORRESPONDE",IF(J625="Emitida",IF(P625&gt;0,"EMITIDA","PENDIENTE"),"NO CORRESPONDE")))</f>
        <v>EMITIDA</v>
      </c>
      <c r="X625" s="29"/>
      <c r="Y625" s="17" t="s">
        <v>118</v>
      </c>
      <c r="Z625" s="30">
        <v>45820</v>
      </c>
      <c r="AA625" s="10" t="s">
        <v>150</v>
      </c>
      <c r="AB625" s="19">
        <v>120</v>
      </c>
      <c r="AC625" s="20">
        <v>30</v>
      </c>
      <c r="AD625" s="18">
        <f>DATA[[#This Row],[FECHA DE EMISION]]+DATA[[#This Row],[CONDICION DE PAGO]]</f>
        <v>45850</v>
      </c>
      <c r="AE625" s="23">
        <f>IF(DATA[[#This Row],[MONEDA]]="USD",VLOOKUP(DATA[[#This Row],[COMBINADA]],#REF!,11,0),1)</f>
        <v>1</v>
      </c>
      <c r="AF625" s="39" t="str">
        <f>IF(DATA[[#This Row],[SERIE2]]="-","NO CORRESPONDE",IF(W625="NO CORRESPONDE","NO CORRESPONDE",IF(Z625&gt;0,"FACTURADO","PENDIENTE")))</f>
        <v>FACTURADO</v>
      </c>
      <c r="AG625" s="27">
        <f>IFERROR(VLOOKUP(DATA[[#This Row],[COMBINADA]],#REF!,6,0),0)</f>
        <v>0</v>
      </c>
      <c r="AH625" s="125">
        <f>IFERROR(VLOOKUP(DATA[[#This Row],[COMBINADA]],#REF!,9,0),0)/COUNTIFS(DATA[COMBINADA],DATA[[#This Row],[COMBINADA]])</f>
        <v>0</v>
      </c>
      <c r="AI625" s="27">
        <f>IFERROR(VLOOKUP(DATA[[#This Row],[COMBINADA]],#REF!,6,0),0)</f>
        <v>0</v>
      </c>
      <c r="AJ625" s="125">
        <f>IFERROR(VLOOKUP(DATA[[#This Row],[COMBINADA]],#REF!,9,0),0)/COUNTIFS(DATA[COMBINADA],DATA[[#This Row],[COMBINADA]])</f>
        <v>0</v>
      </c>
      <c r="AK625" s="27">
        <f>IFERROR(VLOOKUP(DATA[[#This Row],[COMBINADA]],#REF!,6,0),0)</f>
        <v>0</v>
      </c>
      <c r="AL625" s="125">
        <f>IFERROR(VLOOKUP(DATA[[#This Row],[COMBINADA]],#REF!,9,0),0)/COUNTIFS(DATA[COMBINADA],DATA[[#This Row],[COMBINADA]])</f>
        <v>0</v>
      </c>
      <c r="AM625" s="27">
        <f>IFERROR(VLOOKUP(DATA[[#This Row],[COMBINADA]],#REF!,6,0),0)</f>
        <v>0</v>
      </c>
      <c r="AN625" s="125">
        <f>IFERROR(VLOOKUP(DATA[[#This Row],[COMBINADA]],#REF!,9,0),0)/COUNTIFS(DATA[COMBINADA],DATA[[#This Row],[COMBINADA]])</f>
        <v>0</v>
      </c>
      <c r="AO625" s="27">
        <f>IFERROR(VLOOKUP(DATA[[#This Row],[COMBINADA]],#REF!,6,0),0)</f>
        <v>0</v>
      </c>
      <c r="AP625" s="125">
        <f>IFERROR(VLOOKUP(DATA[[#This Row],[COMBINADA]],#REF!,9,0),0)/COUNTIFS(DATA[COMBINADA],DATA[[#This Row],[COMBINADA]])</f>
        <v>0</v>
      </c>
      <c r="AQ62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625" s="26" t="str">
        <f>IFERROR(IF(DATA[[#This Row],[estado_fact]]="FACTURADO",VLOOKUP(DATA[[#This Row],[SERIE2]]&amp;"-"&amp;DATA[[#This Row],[NUMERO]],#REF!,34,0),"NO CORRESPONDE"),"NO CORRESPONDE")</f>
        <v>NO CORRESPONDE</v>
      </c>
      <c r="AS625" s="22" t="str">
        <f>IF(DATA[[#This Row],[fecha_fs]]&gt;0,TEXT(DATA[[#This Row],[fecha_fs]],"Mmmm"),0)</f>
        <v>Mayo</v>
      </c>
      <c r="AT625" s="22" t="str">
        <f>DATA[[#This Row],[SERIE2]]&amp;"-"&amp;DATA[[#This Row],[NUMERO]]</f>
        <v>FF01-120</v>
      </c>
      <c r="AU625" s="28">
        <f>DATA[[#This Row],[TOTAL]]*DATA[[#This Row],[T.C.]]</f>
        <v>351.55</v>
      </c>
      <c r="AV625" s="6">
        <f>DATA[[#This Row],[FECHA DE VAL.]]</f>
        <v>45805</v>
      </c>
      <c r="AW625" s="6">
        <f>DATA[[#This Row],[FECHA DE EMISION]]</f>
        <v>45820</v>
      </c>
      <c r="AX625" s="6">
        <f>DATA[[#This Row],[F1]]</f>
        <v>0</v>
      </c>
      <c r="AY625" s="20">
        <f>IF(AV625-DATA[[#This Row],[fecha_fs]]&lt;0,0,AV625-DATA[[#This Row],[fecha_fs]])</f>
        <v>20</v>
      </c>
      <c r="AZ625" s="20">
        <f t="shared" si="64"/>
        <v>15</v>
      </c>
      <c r="BA625" s="20">
        <f t="shared" si="65"/>
        <v>0</v>
      </c>
      <c r="BB625" s="195">
        <f>IFERROR(SUM(DATA[[#This Row],[fs_val_ttf]:[fact_pago_ttf]]),0)</f>
        <v>35</v>
      </c>
      <c r="BC625" s="185">
        <v>45785</v>
      </c>
      <c r="BD625" s="185">
        <v>45785</v>
      </c>
      <c r="BE625" s="185">
        <v>45807</v>
      </c>
      <c r="BF625" s="185">
        <v>45807</v>
      </c>
      <c r="BG625" s="20">
        <f>IFERROR(IF(BC625-DATA[[#This Row],[fecha_fs]]&lt;0,0,BC625-DATA[[#This Row],[fecha_fs]]),0)</f>
        <v>0</v>
      </c>
      <c r="BH625" s="20">
        <f t="shared" si="66"/>
        <v>0</v>
      </c>
      <c r="BI625" s="20">
        <f t="shared" si="67"/>
        <v>22</v>
      </c>
      <c r="BJ625" s="20">
        <f t="shared" si="68"/>
        <v>0</v>
      </c>
      <c r="BK625" s="218">
        <f>IFERROR(SUM(DATA[[#This Row],[fs_fd_ttd]:[fend_fenf_ttd]]),0)</f>
        <v>22</v>
      </c>
      <c r="BL625" s="20" t="str">
        <f>IF(DATA[[#This Row],[fecha_fs]]&gt;0,TEXT(DATA[[#This Row],[fecha_fs]],"YYYY"),0)</f>
        <v>2025</v>
      </c>
      <c r="BM625" s="221" t="b">
        <v>1</v>
      </c>
      <c r="BN625" s="278">
        <f>COUNTIF(DATA[[#This Row],[tiempo_td]], "&lt;=15")</f>
        <v>0</v>
      </c>
      <c r="BO625" s="222"/>
    </row>
    <row r="626" spans="1:67" ht="30.6" customHeight="1" x14ac:dyDescent="0.25">
      <c r="A626" s="4">
        <v>20546530184</v>
      </c>
      <c r="B626" s="5" t="s">
        <v>50</v>
      </c>
      <c r="C626" s="52" t="s">
        <v>35</v>
      </c>
      <c r="D626" s="4" t="s">
        <v>112</v>
      </c>
      <c r="E626" s="5" t="s">
        <v>1</v>
      </c>
      <c r="F626" s="24">
        <v>45785</v>
      </c>
      <c r="G626" s="7" t="s">
        <v>113</v>
      </c>
      <c r="H626" s="25">
        <f t="shared" si="63"/>
        <v>1</v>
      </c>
      <c r="I626" s="67">
        <v>4482</v>
      </c>
      <c r="J626" s="8" t="s">
        <v>115</v>
      </c>
      <c r="K626" s="124" t="s">
        <v>116</v>
      </c>
      <c r="L626" s="10" t="s">
        <v>117</v>
      </c>
      <c r="M626" s="11">
        <v>18</v>
      </c>
      <c r="N626" s="12" t="s">
        <v>125</v>
      </c>
      <c r="O626" s="6">
        <v>45785</v>
      </c>
      <c r="P626" s="13">
        <v>3438</v>
      </c>
      <c r="Q626" s="14" t="s">
        <v>85</v>
      </c>
      <c r="R626" s="15"/>
      <c r="S626" s="15">
        <f>2588.28/4</f>
        <v>647.07000000000005</v>
      </c>
      <c r="T626" s="15">
        <f>DATA[[#This Row],[C. DF]]+DATA[[#This Row],[C.OPE.]]</f>
        <v>647.07000000000005</v>
      </c>
      <c r="U626" s="15">
        <f>DATA[[#This Row],[SUB TOTAL]]*0.18</f>
        <v>116.4726</v>
      </c>
      <c r="V626" s="15">
        <f>IFERROR(ROUND(DATA[[#This Row],[SUB TOTAL]]+DATA[[#This Row],[IGV]],2),0)</f>
        <v>763.54</v>
      </c>
      <c r="W626" s="16" t="str">
        <f>IF(DATA[[#This Row],[VALORIZACIÓN ]]="-","NO CORRESPONDE",IF(OR(A626=20558226979,A626=10470707866,A626=20111157058,A626=20100226902),"NO CORRESPONDE",IF(J626="Emitida",IF(P626&gt;0,"EMITIDA","PENDIENTE"),"NO CORRESPONDE")))</f>
        <v>EMITIDA</v>
      </c>
      <c r="X626" s="29" t="s">
        <v>231</v>
      </c>
      <c r="Y626" s="17" t="s">
        <v>118</v>
      </c>
      <c r="Z626" s="30">
        <v>45813</v>
      </c>
      <c r="AA626" s="10" t="s">
        <v>150</v>
      </c>
      <c r="AB626" s="19">
        <v>109</v>
      </c>
      <c r="AC626" s="20">
        <v>30</v>
      </c>
      <c r="AD626" s="18">
        <f>DATA[[#This Row],[FECHA DE EMISION]]+DATA[[#This Row],[CONDICION DE PAGO]]</f>
        <v>45843</v>
      </c>
      <c r="AE626" s="23">
        <f>IF(DATA[[#This Row],[MONEDA]]="USD",VLOOKUP(DATA[[#This Row],[COMBINADA]],#REF!,11,0),1)</f>
        <v>1</v>
      </c>
      <c r="AF626" s="39" t="str">
        <f>IF(DATA[[#This Row],[SERIE2]]="-","NO CORRESPONDE",IF(W626="NO CORRESPONDE","NO CORRESPONDE",IF(Z626&gt;0,"FACTURADO","PENDIENTE")))</f>
        <v>FACTURADO</v>
      </c>
      <c r="AG626" s="27">
        <f>IFERROR(VLOOKUP(DATA[[#This Row],[COMBINADA]],#REF!,6,0),0)</f>
        <v>0</v>
      </c>
      <c r="AH626" s="125">
        <f>IFERROR(VLOOKUP(DATA[[#This Row],[COMBINADA]],#REF!,9,0),0)/COUNTIFS(DATA[COMBINADA],DATA[[#This Row],[COMBINADA]])</f>
        <v>0</v>
      </c>
      <c r="AI626" s="27">
        <f>IFERROR(VLOOKUP(DATA[[#This Row],[COMBINADA]],#REF!,6,0),0)</f>
        <v>0</v>
      </c>
      <c r="AJ626" s="125">
        <f>IFERROR(VLOOKUP(DATA[[#This Row],[COMBINADA]],#REF!,9,0),0)/COUNTIFS(DATA[COMBINADA],DATA[[#This Row],[COMBINADA]])</f>
        <v>0</v>
      </c>
      <c r="AK626" s="27">
        <f>IFERROR(VLOOKUP(DATA[[#This Row],[COMBINADA]],#REF!,6,0),0)</f>
        <v>0</v>
      </c>
      <c r="AL626" s="125">
        <f>IFERROR(VLOOKUP(DATA[[#This Row],[COMBINADA]],#REF!,9,0),0)/COUNTIFS(DATA[COMBINADA],DATA[[#This Row],[COMBINADA]])</f>
        <v>0</v>
      </c>
      <c r="AM626" s="27">
        <f>IFERROR(VLOOKUP(DATA[[#This Row],[COMBINADA]],#REF!,6,0),0)</f>
        <v>0</v>
      </c>
      <c r="AN626" s="125">
        <f>IFERROR(VLOOKUP(DATA[[#This Row],[COMBINADA]],#REF!,9,0),0)/COUNTIFS(DATA[COMBINADA],DATA[[#This Row],[COMBINADA]])</f>
        <v>0</v>
      </c>
      <c r="AO626" s="27">
        <f>IFERROR(VLOOKUP(DATA[[#This Row],[COMBINADA]],#REF!,6,0),0)</f>
        <v>0</v>
      </c>
      <c r="AP626" s="125">
        <f>IFERROR(VLOOKUP(DATA[[#This Row],[COMBINADA]],#REF!,9,0),0)/COUNTIFS(DATA[COMBINADA],DATA[[#This Row],[COMBINADA]])</f>
        <v>0</v>
      </c>
      <c r="AQ62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690.30200000000002</v>
      </c>
      <c r="AR626" s="26" t="str">
        <f>IFERROR(IF(DATA[[#This Row],[estado_fact]]="FACTURADO",VLOOKUP(DATA[[#This Row],[SERIE2]]&amp;"-"&amp;DATA[[#This Row],[NUMERO]],#REF!,34,0),"NO CORRESPONDE"),"NO CORRESPONDE")</f>
        <v>NO CORRESPONDE</v>
      </c>
      <c r="AS626" s="22" t="str">
        <f>IF(DATA[[#This Row],[fecha_fs]]&gt;0,TEXT(DATA[[#This Row],[fecha_fs]],"Mmmm"),0)</f>
        <v>Mayo</v>
      </c>
      <c r="AT626" s="22" t="str">
        <f>DATA[[#This Row],[SERIE2]]&amp;"-"&amp;DATA[[#This Row],[NUMERO]]</f>
        <v>FF01-109</v>
      </c>
      <c r="AU626" s="28">
        <f>DATA[[#This Row],[TOTAL]]*DATA[[#This Row],[T.C.]]</f>
        <v>763.54</v>
      </c>
      <c r="AV626" s="6">
        <f>DATA[[#This Row],[FECHA DE VAL.]]</f>
        <v>45785</v>
      </c>
      <c r="AW626" s="6">
        <f>DATA[[#This Row],[FECHA DE EMISION]]</f>
        <v>45813</v>
      </c>
      <c r="AX626" s="6">
        <f>DATA[[#This Row],[F1]]</f>
        <v>0</v>
      </c>
      <c r="AY626" s="20">
        <f>IF(AV626-DATA[[#This Row],[fecha_fs]]&lt;0,0,AV626-DATA[[#This Row],[fecha_fs]])</f>
        <v>0</v>
      </c>
      <c r="AZ626" s="20">
        <f t="shared" si="64"/>
        <v>28</v>
      </c>
      <c r="BA626" s="20">
        <f t="shared" si="65"/>
        <v>0</v>
      </c>
      <c r="BB626" s="195">
        <f>IFERROR(SUM(DATA[[#This Row],[fs_val_ttf]:[fact_pago_ttf]]),0)</f>
        <v>28</v>
      </c>
      <c r="BC626" s="185">
        <v>45800</v>
      </c>
      <c r="BD626" s="185">
        <v>45806</v>
      </c>
      <c r="BE626" s="185">
        <v>45806</v>
      </c>
      <c r="BF626" s="185">
        <v>45832</v>
      </c>
      <c r="BG626" s="20">
        <f>IFERROR(IF(BC626-DATA[[#This Row],[fecha_fs]]&lt;0,0,BC626-DATA[[#This Row],[fecha_fs]]),0)</f>
        <v>15</v>
      </c>
      <c r="BH626" s="20">
        <f t="shared" si="66"/>
        <v>6</v>
      </c>
      <c r="BI626" s="20">
        <f t="shared" si="67"/>
        <v>0</v>
      </c>
      <c r="BJ626" s="20">
        <f t="shared" si="68"/>
        <v>26</v>
      </c>
      <c r="BK626" s="218">
        <f>IFERROR(SUM(DATA[[#This Row],[fs_fd_ttd]:[fend_fenf_ttd]]),0)</f>
        <v>47</v>
      </c>
      <c r="BL626" s="20" t="str">
        <f>IF(DATA[[#This Row],[fecha_fs]]&gt;0,TEXT(DATA[[#This Row],[fecha_fs]],"YYYY"),0)</f>
        <v>2025</v>
      </c>
      <c r="BM626" s="221" t="b">
        <v>1</v>
      </c>
      <c r="BN626" s="278">
        <f>COUNTIF(DATA[[#This Row],[tiempo_td]], "&lt;=15")</f>
        <v>0</v>
      </c>
      <c r="BO626" s="222"/>
    </row>
    <row r="627" spans="1:67" ht="30" customHeight="1" x14ac:dyDescent="0.25">
      <c r="A627" s="4"/>
      <c r="B627" s="5" t="s">
        <v>0</v>
      </c>
      <c r="C627" s="52"/>
      <c r="D627" s="4"/>
      <c r="E627" s="5" t="s">
        <v>0</v>
      </c>
      <c r="F627" s="24">
        <v>45784</v>
      </c>
      <c r="G627" s="7" t="s">
        <v>113</v>
      </c>
      <c r="H627" s="25">
        <f t="shared" si="63"/>
        <v>1</v>
      </c>
      <c r="I627" s="67">
        <v>4483</v>
      </c>
      <c r="J627" s="8" t="s">
        <v>151</v>
      </c>
      <c r="K627" s="9"/>
      <c r="L627" s="10"/>
      <c r="M627" s="111"/>
      <c r="N627" s="112"/>
      <c r="O627" s="6"/>
      <c r="P627" s="13" t="s">
        <v>114</v>
      </c>
      <c r="Q627" s="14"/>
      <c r="R627" s="15"/>
      <c r="S627" s="15"/>
      <c r="T627" s="15">
        <f>DATA[[#This Row],[C. DF]]+DATA[[#This Row],[C.OPE.]]</f>
        <v>0</v>
      </c>
      <c r="U627" s="73">
        <f>DATA[[#This Row],[SUB TOTAL]]*0.18</f>
        <v>0</v>
      </c>
      <c r="V627" s="45">
        <f>IFERROR(ROUND(DATA[[#This Row],[SUB TOTAL]]+DATA[[#This Row],[IGV]],2),0)</f>
        <v>0</v>
      </c>
      <c r="W627" s="73" t="str">
        <f>IF(DATA[[#This Row],[VALORIZACIÓN ]]="-","NO CORRESPONDE",IF(OR(A627=20558226979,A627=10470707866,A627=20111157058,A627=20100226902),"NO CORRESPONDE",IF(J627="Emitida",IF(P627&gt;0,"EMITIDA","PENDIENTE"),"NO CORRESPONDE")))</f>
        <v>NO CORRESPONDE</v>
      </c>
      <c r="X627" s="46"/>
      <c r="Y627" s="17" t="s">
        <v>128</v>
      </c>
      <c r="Z627" s="48"/>
      <c r="AA627" s="49"/>
      <c r="AB627" s="50"/>
      <c r="AC627" s="51"/>
      <c r="AD627" s="59">
        <f>DATA[[#This Row],[FECHA DE EMISION]]+DATA[[#This Row],[CONDICION DE PAGO]]</f>
        <v>0</v>
      </c>
      <c r="AE627" s="23">
        <f>IF(DATA[[#This Row],[MONEDA]]="USD",VLOOKUP(DATA[[#This Row],[COMBINADA]],#REF!,11,0),1)</f>
        <v>1</v>
      </c>
      <c r="AF627" s="39" t="str">
        <f>IF(DATA[[#This Row],[SERIE2]]="-","NO CORRESPONDE",IF(W627="NO CORRESPONDE","NO CORRESPONDE",IF(Z627&gt;0,"FACTURADO","PENDIENTE")))</f>
        <v>NO CORRESPONDE</v>
      </c>
      <c r="AG627" s="61">
        <f>IFERROR(VLOOKUP(DATA[[#This Row],[COMBINADA]],#REF!,6,0),0)</f>
        <v>0</v>
      </c>
      <c r="AH627" s="62">
        <f>IFERROR(VLOOKUP(DATA[[#This Row],[COMBINADA]],#REF!,9,0),0)/COUNTIFS(DATA[COMBINADA],DATA[[#This Row],[COMBINADA]])</f>
        <v>0</v>
      </c>
      <c r="AI627" s="61">
        <f>IFERROR(VLOOKUP(DATA[[#This Row],[COMBINADA]],#REF!,6,0),0)</f>
        <v>0</v>
      </c>
      <c r="AJ627" s="62">
        <f>IFERROR(VLOOKUP(DATA[[#This Row],[COMBINADA]],#REF!,9,0),0)/COUNTIFS(DATA[COMBINADA],DATA[[#This Row],[COMBINADA]])</f>
        <v>0</v>
      </c>
      <c r="AK627" s="61">
        <f>IFERROR(VLOOKUP(DATA[[#This Row],[COMBINADA]],#REF!,6,0),0)</f>
        <v>0</v>
      </c>
      <c r="AL627" s="62">
        <f>IFERROR(VLOOKUP(DATA[[#This Row],[COMBINADA]],#REF!,9,0),0)/COUNTIFS(DATA[COMBINADA],DATA[[#This Row],[COMBINADA]])</f>
        <v>0</v>
      </c>
      <c r="AM627" s="61">
        <f>IFERROR(VLOOKUP(DATA[[#This Row],[COMBINADA]],#REF!,6,0),0)</f>
        <v>0</v>
      </c>
      <c r="AN627" s="62">
        <f>IFERROR(VLOOKUP(DATA[[#This Row],[COMBINADA]],#REF!,9,0),0)/COUNTIFS(DATA[COMBINADA],DATA[[#This Row],[COMBINADA]])</f>
        <v>0</v>
      </c>
      <c r="AO627" s="61">
        <f>IFERROR(VLOOKUP(DATA[[#This Row],[COMBINADA]],#REF!,6,0),0)</f>
        <v>0</v>
      </c>
      <c r="AP627" s="62">
        <f>IFERROR(VLOOKUP(DATA[[#This Row],[COMBINADA]],#REF!,9,0),0)/COUNTIFS(DATA[COMBINADA],DATA[[#This Row],[COMBINADA]])</f>
        <v>0</v>
      </c>
      <c r="AQ627"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627" s="22" t="str">
        <f>IFERROR(IF(DATA[[#This Row],[estado_fact]]="FACTURADO",VLOOKUP(DATA[[#This Row],[SERIE2]]&amp;"-"&amp;DATA[[#This Row],[NUMERO]],#REF!,34,0),"NO CORRESPONDE"),"NO CORRESPONDE")</f>
        <v>NO CORRESPONDE</v>
      </c>
      <c r="AS627" s="198" t="str">
        <f>IF(DATA[[#This Row],[fecha_fs]]&gt;0,TEXT(DATA[[#This Row],[fecha_fs]],"Mmmm"),0)</f>
        <v>Mayo</v>
      </c>
      <c r="AT627" s="199" t="str">
        <f>DATA[[#This Row],[SERIE2]]&amp;"-"&amp;DATA[[#This Row],[NUMERO]]</f>
        <v>-</v>
      </c>
      <c r="AU627" s="198">
        <f>DATA[[#This Row],[TOTAL]]*DATA[[#This Row],[T.C.]]</f>
        <v>0</v>
      </c>
      <c r="AV627" s="40">
        <f>DATA[[#This Row],[FECHA DE VAL.]]</f>
        <v>0</v>
      </c>
      <c r="AW627" s="40">
        <f>DATA[[#This Row],[FECHA DE EMISION]]</f>
        <v>0</v>
      </c>
      <c r="AX627" s="40">
        <f>DATA[[#This Row],[F1]]</f>
        <v>0</v>
      </c>
      <c r="AY627" s="49">
        <f>IF(AV627-DATA[[#This Row],[fecha_fs]]&lt;0,0,AV627-DATA[[#This Row],[fecha_fs]])</f>
        <v>0</v>
      </c>
      <c r="AZ627" s="49">
        <f t="shared" si="64"/>
        <v>0</v>
      </c>
      <c r="BA627" s="49">
        <f t="shared" si="65"/>
        <v>0</v>
      </c>
      <c r="BB627" s="195">
        <f>IFERROR(SUM(DATA[[#This Row],[fs_val_ttf]:[fact_pago_ttf]]),0)</f>
        <v>0</v>
      </c>
      <c r="BC627" s="200"/>
      <c r="BD627" s="200"/>
      <c r="BE627" s="200"/>
      <c r="BF627" s="200"/>
      <c r="BG627" s="49">
        <f>IFERROR(IF(BC627-DATA[[#This Row],[fecha_fs]]&lt;0,0,BC627-DATA[[#This Row],[fecha_fs]]),0)</f>
        <v>0</v>
      </c>
      <c r="BH627" s="49">
        <f t="shared" si="66"/>
        <v>0</v>
      </c>
      <c r="BI627" s="49">
        <f t="shared" si="67"/>
        <v>0</v>
      </c>
      <c r="BJ627" s="49">
        <f t="shared" si="68"/>
        <v>0</v>
      </c>
      <c r="BK627" s="218">
        <f>IFERROR(SUM(DATA[[#This Row],[fs_fd_ttd]:[fend_fenf_ttd]]),0)</f>
        <v>0</v>
      </c>
      <c r="BL627" s="20" t="str">
        <f>IF(DATA[[#This Row],[fecha_fs]]&gt;0,TEXT(DATA[[#This Row],[fecha_fs]],"YYYY"),0)</f>
        <v>2025</v>
      </c>
      <c r="BM627" s="221" t="b">
        <v>0</v>
      </c>
      <c r="BN627" s="278"/>
      <c r="BO627" s="222"/>
    </row>
    <row r="628" spans="1:67" ht="30" customHeight="1" x14ac:dyDescent="0.25">
      <c r="A628" s="4"/>
      <c r="B628" s="5" t="s">
        <v>0</v>
      </c>
      <c r="C628" s="52"/>
      <c r="D628" s="4"/>
      <c r="E628" s="5" t="s">
        <v>0</v>
      </c>
      <c r="F628" s="24">
        <v>45784</v>
      </c>
      <c r="G628" s="7" t="s">
        <v>113</v>
      </c>
      <c r="H628" s="25">
        <f t="shared" si="63"/>
        <v>1</v>
      </c>
      <c r="I628" s="67">
        <v>4484</v>
      </c>
      <c r="J628" s="8" t="s">
        <v>151</v>
      </c>
      <c r="K628" s="9"/>
      <c r="L628" s="10"/>
      <c r="M628" s="111"/>
      <c r="N628" s="112"/>
      <c r="O628" s="6"/>
      <c r="P628" s="13" t="s">
        <v>114</v>
      </c>
      <c r="Q628" s="14"/>
      <c r="R628" s="15"/>
      <c r="S628" s="15"/>
      <c r="T628" s="15">
        <f>DATA[[#This Row],[C. DF]]+DATA[[#This Row],[C.OPE.]]</f>
        <v>0</v>
      </c>
      <c r="U628" s="73">
        <f>DATA[[#This Row],[SUB TOTAL]]*0.18</f>
        <v>0</v>
      </c>
      <c r="V628" s="45">
        <f>IFERROR(ROUND(DATA[[#This Row],[SUB TOTAL]]+DATA[[#This Row],[IGV]],2),0)</f>
        <v>0</v>
      </c>
      <c r="W628" s="73" t="str">
        <f>IF(DATA[[#This Row],[VALORIZACIÓN ]]="-","NO CORRESPONDE",IF(OR(A628=20558226979,A628=10470707866,A628=20111157058,A628=20100226902),"NO CORRESPONDE",IF(J628="Emitida",IF(P628&gt;0,"EMITIDA","PENDIENTE"),"NO CORRESPONDE")))</f>
        <v>NO CORRESPONDE</v>
      </c>
      <c r="X628" s="46"/>
      <c r="Y628" s="17" t="s">
        <v>128</v>
      </c>
      <c r="Z628" s="48"/>
      <c r="AA628" s="49"/>
      <c r="AB628" s="50"/>
      <c r="AC628" s="51"/>
      <c r="AD628" s="59">
        <f>DATA[[#This Row],[FECHA DE EMISION]]+DATA[[#This Row],[CONDICION DE PAGO]]</f>
        <v>0</v>
      </c>
      <c r="AE628" s="23">
        <f>IF(DATA[[#This Row],[MONEDA]]="USD",VLOOKUP(DATA[[#This Row],[COMBINADA]],#REF!,11,0),1)</f>
        <v>1</v>
      </c>
      <c r="AF628" s="39" t="str">
        <f>IF(DATA[[#This Row],[SERIE2]]="-","NO CORRESPONDE",IF(W628="NO CORRESPONDE","NO CORRESPONDE",IF(Z628&gt;0,"FACTURADO","PENDIENTE")))</f>
        <v>NO CORRESPONDE</v>
      </c>
      <c r="AG628" s="61">
        <f>IFERROR(VLOOKUP(DATA[[#This Row],[COMBINADA]],#REF!,6,0),0)</f>
        <v>0</v>
      </c>
      <c r="AH628" s="62">
        <f>IFERROR(VLOOKUP(DATA[[#This Row],[COMBINADA]],#REF!,9,0),0)/COUNTIFS(DATA[COMBINADA],DATA[[#This Row],[COMBINADA]])</f>
        <v>0</v>
      </c>
      <c r="AI628" s="61">
        <f>IFERROR(VLOOKUP(DATA[[#This Row],[COMBINADA]],#REF!,6,0),0)</f>
        <v>0</v>
      </c>
      <c r="AJ628" s="62">
        <f>IFERROR(VLOOKUP(DATA[[#This Row],[COMBINADA]],#REF!,9,0),0)/COUNTIFS(DATA[COMBINADA],DATA[[#This Row],[COMBINADA]])</f>
        <v>0</v>
      </c>
      <c r="AK628" s="61">
        <f>IFERROR(VLOOKUP(DATA[[#This Row],[COMBINADA]],#REF!,6,0),0)</f>
        <v>0</v>
      </c>
      <c r="AL628" s="62">
        <f>IFERROR(VLOOKUP(DATA[[#This Row],[COMBINADA]],#REF!,9,0),0)/COUNTIFS(DATA[COMBINADA],DATA[[#This Row],[COMBINADA]])</f>
        <v>0</v>
      </c>
      <c r="AM628" s="61">
        <f>IFERROR(VLOOKUP(DATA[[#This Row],[COMBINADA]],#REF!,6,0),0)</f>
        <v>0</v>
      </c>
      <c r="AN628" s="62">
        <f>IFERROR(VLOOKUP(DATA[[#This Row],[COMBINADA]],#REF!,9,0),0)/COUNTIFS(DATA[COMBINADA],DATA[[#This Row],[COMBINADA]])</f>
        <v>0</v>
      </c>
      <c r="AO628" s="61">
        <f>IFERROR(VLOOKUP(DATA[[#This Row],[COMBINADA]],#REF!,6,0),0)</f>
        <v>0</v>
      </c>
      <c r="AP628" s="62">
        <f>IFERROR(VLOOKUP(DATA[[#This Row],[COMBINADA]],#REF!,9,0),0)/COUNTIFS(DATA[COMBINADA],DATA[[#This Row],[COMBINADA]])</f>
        <v>0</v>
      </c>
      <c r="AQ628"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628" s="22" t="str">
        <f>IFERROR(IF(DATA[[#This Row],[estado_fact]]="FACTURADO",VLOOKUP(DATA[[#This Row],[SERIE2]]&amp;"-"&amp;DATA[[#This Row],[NUMERO]],#REF!,34,0),"NO CORRESPONDE"),"NO CORRESPONDE")</f>
        <v>NO CORRESPONDE</v>
      </c>
      <c r="AS628" s="198" t="str">
        <f>IF(DATA[[#This Row],[fecha_fs]]&gt;0,TEXT(DATA[[#This Row],[fecha_fs]],"Mmmm"),0)</f>
        <v>Mayo</v>
      </c>
      <c r="AT628" s="199" t="str">
        <f>DATA[[#This Row],[SERIE2]]&amp;"-"&amp;DATA[[#This Row],[NUMERO]]</f>
        <v>-</v>
      </c>
      <c r="AU628" s="198">
        <f>DATA[[#This Row],[TOTAL]]*DATA[[#This Row],[T.C.]]</f>
        <v>0</v>
      </c>
      <c r="AV628" s="40">
        <f>DATA[[#This Row],[FECHA DE VAL.]]</f>
        <v>0</v>
      </c>
      <c r="AW628" s="40">
        <f>DATA[[#This Row],[FECHA DE EMISION]]</f>
        <v>0</v>
      </c>
      <c r="AX628" s="40">
        <f>DATA[[#This Row],[F1]]</f>
        <v>0</v>
      </c>
      <c r="AY628" s="49">
        <f>IF(AV628-DATA[[#This Row],[fecha_fs]]&lt;0,0,AV628-DATA[[#This Row],[fecha_fs]])</f>
        <v>0</v>
      </c>
      <c r="AZ628" s="49">
        <f t="shared" si="64"/>
        <v>0</v>
      </c>
      <c r="BA628" s="49">
        <f t="shared" si="65"/>
        <v>0</v>
      </c>
      <c r="BB628" s="195">
        <f>IFERROR(SUM(DATA[[#This Row],[fs_val_ttf]:[fact_pago_ttf]]),0)</f>
        <v>0</v>
      </c>
      <c r="BC628" s="200"/>
      <c r="BD628" s="200"/>
      <c r="BE628" s="200"/>
      <c r="BF628" s="200"/>
      <c r="BG628" s="49">
        <f>IFERROR(IF(BC628-DATA[[#This Row],[fecha_fs]]&lt;0,0,BC628-DATA[[#This Row],[fecha_fs]]),0)</f>
        <v>0</v>
      </c>
      <c r="BH628" s="49">
        <f t="shared" si="66"/>
        <v>0</v>
      </c>
      <c r="BI628" s="49">
        <f t="shared" si="67"/>
        <v>0</v>
      </c>
      <c r="BJ628" s="49">
        <f t="shared" si="68"/>
        <v>0</v>
      </c>
      <c r="BK628" s="218">
        <f>IFERROR(SUM(DATA[[#This Row],[fs_fd_ttd]:[fend_fenf_ttd]]),0)</f>
        <v>0</v>
      </c>
      <c r="BL628" s="20" t="str">
        <f>IF(DATA[[#This Row],[fecha_fs]]&gt;0,TEXT(DATA[[#This Row],[fecha_fs]],"YYYY"),0)</f>
        <v>2025</v>
      </c>
      <c r="BM628" s="221" t="b">
        <v>0</v>
      </c>
      <c r="BN628" s="278"/>
      <c r="BO628" s="222"/>
    </row>
    <row r="629" spans="1:67" ht="30.6" customHeight="1" x14ac:dyDescent="0.25">
      <c r="A629" s="4">
        <v>20546530184</v>
      </c>
      <c r="B629" s="5" t="s">
        <v>50</v>
      </c>
      <c r="C629" s="52" t="s">
        <v>250</v>
      </c>
      <c r="D629" s="4" t="s">
        <v>112</v>
      </c>
      <c r="E629" s="5" t="s">
        <v>1</v>
      </c>
      <c r="F629" s="24">
        <v>45785</v>
      </c>
      <c r="G629" s="7" t="s">
        <v>113</v>
      </c>
      <c r="H629" s="25">
        <f t="shared" si="63"/>
        <v>1</v>
      </c>
      <c r="I629" s="67">
        <v>4485</v>
      </c>
      <c r="J629" s="8" t="s">
        <v>115</v>
      </c>
      <c r="K629" s="124" t="s">
        <v>116</v>
      </c>
      <c r="L629" s="10" t="s">
        <v>117</v>
      </c>
      <c r="M629" s="11">
        <v>18</v>
      </c>
      <c r="N629" s="12" t="s">
        <v>125</v>
      </c>
      <c r="O629" s="6">
        <v>45785</v>
      </c>
      <c r="P629" s="13">
        <v>3438</v>
      </c>
      <c r="Q629" s="14" t="s">
        <v>85</v>
      </c>
      <c r="R629" s="15"/>
      <c r="S629" s="15">
        <f>2588.28/4</f>
        <v>647.07000000000005</v>
      </c>
      <c r="T629" s="15">
        <f>DATA[[#This Row],[C. DF]]+DATA[[#This Row],[C.OPE.]]</f>
        <v>647.07000000000005</v>
      </c>
      <c r="U629" s="15">
        <f>DATA[[#This Row],[SUB TOTAL]]*0.18</f>
        <v>116.4726</v>
      </c>
      <c r="V629" s="15">
        <f>IFERROR(ROUND(DATA[[#This Row],[SUB TOTAL]]+DATA[[#This Row],[IGV]],2),0)</f>
        <v>763.54</v>
      </c>
      <c r="W629" s="16" t="str">
        <f>IF(DATA[[#This Row],[VALORIZACIÓN ]]="-","NO CORRESPONDE",IF(OR(A629=20558226979,A629=10470707866,A629=20111157058,A629=20100226902),"NO CORRESPONDE",IF(J629="Emitida",IF(P629&gt;0,"EMITIDA","PENDIENTE"),"NO CORRESPONDE")))</f>
        <v>EMITIDA</v>
      </c>
      <c r="X629" s="29" t="s">
        <v>231</v>
      </c>
      <c r="Y629" s="17" t="s">
        <v>118</v>
      </c>
      <c r="Z629" s="30">
        <v>45813</v>
      </c>
      <c r="AA629" s="10" t="s">
        <v>150</v>
      </c>
      <c r="AB629" s="19">
        <v>109</v>
      </c>
      <c r="AC629" s="20">
        <v>30</v>
      </c>
      <c r="AD629" s="18">
        <f>DATA[[#This Row],[FECHA DE EMISION]]+DATA[[#This Row],[CONDICION DE PAGO]]</f>
        <v>45843</v>
      </c>
      <c r="AE629" s="23">
        <f>IF(DATA[[#This Row],[MONEDA]]="USD",VLOOKUP(DATA[[#This Row],[COMBINADA]],#REF!,11,0),1)</f>
        <v>1</v>
      </c>
      <c r="AF629" s="39" t="str">
        <f>IF(DATA[[#This Row],[SERIE2]]="-","NO CORRESPONDE",IF(W629="NO CORRESPONDE","NO CORRESPONDE",IF(Z629&gt;0,"FACTURADO","PENDIENTE")))</f>
        <v>FACTURADO</v>
      </c>
      <c r="AG629" s="27">
        <f>IFERROR(VLOOKUP(DATA[[#This Row],[COMBINADA]],#REF!,6,0),0)</f>
        <v>0</v>
      </c>
      <c r="AH629" s="125">
        <f>IFERROR(VLOOKUP(DATA[[#This Row],[COMBINADA]],#REF!,9,0),0)/COUNTIFS(DATA[COMBINADA],DATA[[#This Row],[COMBINADA]])</f>
        <v>0</v>
      </c>
      <c r="AI629" s="27">
        <f>IFERROR(VLOOKUP(DATA[[#This Row],[COMBINADA]],#REF!,6,0),0)</f>
        <v>0</v>
      </c>
      <c r="AJ629" s="125">
        <f>IFERROR(VLOOKUP(DATA[[#This Row],[COMBINADA]],#REF!,9,0),0)/COUNTIFS(DATA[COMBINADA],DATA[[#This Row],[COMBINADA]])</f>
        <v>0</v>
      </c>
      <c r="AK629" s="27">
        <f>IFERROR(VLOOKUP(DATA[[#This Row],[COMBINADA]],#REF!,6,0),0)</f>
        <v>0</v>
      </c>
      <c r="AL629" s="125">
        <f>IFERROR(VLOOKUP(DATA[[#This Row],[COMBINADA]],#REF!,9,0),0)/COUNTIFS(DATA[COMBINADA],DATA[[#This Row],[COMBINADA]])</f>
        <v>0</v>
      </c>
      <c r="AM629" s="27">
        <f>IFERROR(VLOOKUP(DATA[[#This Row],[COMBINADA]],#REF!,6,0),0)</f>
        <v>0</v>
      </c>
      <c r="AN629" s="125">
        <f>IFERROR(VLOOKUP(DATA[[#This Row],[COMBINADA]],#REF!,9,0),0)/COUNTIFS(DATA[COMBINADA],DATA[[#This Row],[COMBINADA]])</f>
        <v>0</v>
      </c>
      <c r="AO629" s="27">
        <f>IFERROR(VLOOKUP(DATA[[#This Row],[COMBINADA]],#REF!,6,0),0)</f>
        <v>0</v>
      </c>
      <c r="AP629" s="125">
        <f>IFERROR(VLOOKUP(DATA[[#This Row],[COMBINADA]],#REF!,9,0),0)/COUNTIFS(DATA[COMBINADA],DATA[[#This Row],[COMBINADA]])</f>
        <v>0</v>
      </c>
      <c r="AQ62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690.30200000000002</v>
      </c>
      <c r="AR629" s="26" t="str">
        <f>IFERROR(IF(DATA[[#This Row],[estado_fact]]="FACTURADO",VLOOKUP(DATA[[#This Row],[SERIE2]]&amp;"-"&amp;DATA[[#This Row],[NUMERO]],#REF!,34,0),"NO CORRESPONDE"),"NO CORRESPONDE")</f>
        <v>NO CORRESPONDE</v>
      </c>
      <c r="AS629" s="22" t="str">
        <f>IF(DATA[[#This Row],[fecha_fs]]&gt;0,TEXT(DATA[[#This Row],[fecha_fs]],"Mmmm"),0)</f>
        <v>Mayo</v>
      </c>
      <c r="AT629" s="22" t="str">
        <f>DATA[[#This Row],[SERIE2]]&amp;"-"&amp;DATA[[#This Row],[NUMERO]]</f>
        <v>FF01-109</v>
      </c>
      <c r="AU629" s="28">
        <f>DATA[[#This Row],[TOTAL]]*DATA[[#This Row],[T.C.]]</f>
        <v>763.54</v>
      </c>
      <c r="AV629" s="6">
        <f>DATA[[#This Row],[FECHA DE VAL.]]</f>
        <v>45785</v>
      </c>
      <c r="AW629" s="6">
        <f>DATA[[#This Row],[FECHA DE EMISION]]</f>
        <v>45813</v>
      </c>
      <c r="AX629" s="6">
        <f>DATA[[#This Row],[F1]]</f>
        <v>0</v>
      </c>
      <c r="AY629" s="20">
        <f>IF(AV629-DATA[[#This Row],[fecha_fs]]&lt;0,0,AV629-DATA[[#This Row],[fecha_fs]])</f>
        <v>0</v>
      </c>
      <c r="AZ629" s="20">
        <f t="shared" si="64"/>
        <v>28</v>
      </c>
      <c r="BA629" s="20">
        <f t="shared" si="65"/>
        <v>0</v>
      </c>
      <c r="BB629" s="195">
        <f>IFERROR(SUM(DATA[[#This Row],[fs_val_ttf]:[fact_pago_ttf]]),0)</f>
        <v>28</v>
      </c>
      <c r="BC629" s="185">
        <v>45800</v>
      </c>
      <c r="BD629" s="185">
        <v>45806</v>
      </c>
      <c r="BE629" s="185">
        <v>45806</v>
      </c>
      <c r="BF629" s="185">
        <v>45832</v>
      </c>
      <c r="BG629" s="20">
        <f>IFERROR(IF(BC629-DATA[[#This Row],[fecha_fs]]&lt;0,0,BC629-DATA[[#This Row],[fecha_fs]]),0)</f>
        <v>15</v>
      </c>
      <c r="BH629" s="20">
        <f t="shared" si="66"/>
        <v>6</v>
      </c>
      <c r="BI629" s="20">
        <f t="shared" si="67"/>
        <v>0</v>
      </c>
      <c r="BJ629" s="20">
        <f t="shared" si="68"/>
        <v>26</v>
      </c>
      <c r="BK629" s="218">
        <f>IFERROR(SUM(DATA[[#This Row],[fs_fd_ttd]:[fend_fenf_ttd]]),0)</f>
        <v>47</v>
      </c>
      <c r="BL629" s="20" t="str">
        <f>IF(DATA[[#This Row],[fecha_fs]]&gt;0,TEXT(DATA[[#This Row],[fecha_fs]],"YYYY"),0)</f>
        <v>2025</v>
      </c>
      <c r="BM629" s="221" t="b">
        <v>1</v>
      </c>
      <c r="BN629" s="278">
        <f>COUNTIF(DATA[[#This Row],[tiempo_td]], "&lt;=15")</f>
        <v>0</v>
      </c>
      <c r="BO629" s="222"/>
    </row>
    <row r="630" spans="1:67" ht="30.6" customHeight="1" x14ac:dyDescent="0.25">
      <c r="A630" s="4">
        <v>20546530184</v>
      </c>
      <c r="B630" s="5" t="s">
        <v>50</v>
      </c>
      <c r="C630" s="52" t="s">
        <v>82</v>
      </c>
      <c r="D630" s="4" t="s">
        <v>112</v>
      </c>
      <c r="E630" s="5" t="s">
        <v>1</v>
      </c>
      <c r="F630" s="24">
        <v>45785</v>
      </c>
      <c r="G630" s="7" t="s">
        <v>113</v>
      </c>
      <c r="H630" s="25">
        <f t="shared" si="63"/>
        <v>1</v>
      </c>
      <c r="I630" s="67">
        <v>4486</v>
      </c>
      <c r="J630" s="8" t="s">
        <v>115</v>
      </c>
      <c r="K630" s="124" t="s">
        <v>116</v>
      </c>
      <c r="L630" s="10" t="s">
        <v>117</v>
      </c>
      <c r="M630" s="11">
        <v>18</v>
      </c>
      <c r="N630" s="12" t="s">
        <v>125</v>
      </c>
      <c r="O630" s="6">
        <v>45785</v>
      </c>
      <c r="P630" s="13">
        <v>3438</v>
      </c>
      <c r="Q630" s="14" t="s">
        <v>85</v>
      </c>
      <c r="R630" s="15"/>
      <c r="S630" s="15">
        <f>2588.28/4</f>
        <v>647.07000000000005</v>
      </c>
      <c r="T630" s="15">
        <f>DATA[[#This Row],[C. DF]]+DATA[[#This Row],[C.OPE.]]</f>
        <v>647.07000000000005</v>
      </c>
      <c r="U630" s="15">
        <f>DATA[[#This Row],[SUB TOTAL]]*0.18</f>
        <v>116.4726</v>
      </c>
      <c r="V630" s="15">
        <f>IFERROR(ROUND(DATA[[#This Row],[SUB TOTAL]]+DATA[[#This Row],[IGV]],2),0)</f>
        <v>763.54</v>
      </c>
      <c r="W630" s="16" t="str">
        <f>IF(DATA[[#This Row],[VALORIZACIÓN ]]="-","NO CORRESPONDE",IF(OR(A630=20558226979,A630=10470707866,A630=20111157058,A630=20100226902),"NO CORRESPONDE",IF(J630="Emitida",IF(P630&gt;0,"EMITIDA","PENDIENTE"),"NO CORRESPONDE")))</f>
        <v>EMITIDA</v>
      </c>
      <c r="X630" s="29" t="s">
        <v>231</v>
      </c>
      <c r="Y630" s="17" t="s">
        <v>118</v>
      </c>
      <c r="Z630" s="30">
        <v>45813</v>
      </c>
      <c r="AA630" s="10" t="s">
        <v>150</v>
      </c>
      <c r="AB630" s="19">
        <v>109</v>
      </c>
      <c r="AC630" s="20">
        <v>30</v>
      </c>
      <c r="AD630" s="18">
        <f>DATA[[#This Row],[FECHA DE EMISION]]+DATA[[#This Row],[CONDICION DE PAGO]]</f>
        <v>45843</v>
      </c>
      <c r="AE630" s="23">
        <f>IF(DATA[[#This Row],[MONEDA]]="USD",VLOOKUP(DATA[[#This Row],[COMBINADA]],#REF!,11,0),1)</f>
        <v>1</v>
      </c>
      <c r="AF630" s="39" t="str">
        <f>IF(DATA[[#This Row],[SERIE2]]="-","NO CORRESPONDE",IF(W630="NO CORRESPONDE","NO CORRESPONDE",IF(Z630&gt;0,"FACTURADO","PENDIENTE")))</f>
        <v>FACTURADO</v>
      </c>
      <c r="AG630" s="27">
        <f>IFERROR(VLOOKUP(DATA[[#This Row],[COMBINADA]],#REF!,6,0),0)</f>
        <v>0</v>
      </c>
      <c r="AH630" s="125">
        <f>IFERROR(VLOOKUP(DATA[[#This Row],[COMBINADA]],#REF!,9,0),0)/COUNTIFS(DATA[COMBINADA],DATA[[#This Row],[COMBINADA]])</f>
        <v>0</v>
      </c>
      <c r="AI630" s="27">
        <f>IFERROR(VLOOKUP(DATA[[#This Row],[COMBINADA]],#REF!,6,0),0)</f>
        <v>0</v>
      </c>
      <c r="AJ630" s="125">
        <f>IFERROR(VLOOKUP(DATA[[#This Row],[COMBINADA]],#REF!,9,0),0)/COUNTIFS(DATA[COMBINADA],DATA[[#This Row],[COMBINADA]])</f>
        <v>0</v>
      </c>
      <c r="AK630" s="27">
        <f>IFERROR(VLOOKUP(DATA[[#This Row],[COMBINADA]],#REF!,6,0),0)</f>
        <v>0</v>
      </c>
      <c r="AL630" s="125">
        <f>IFERROR(VLOOKUP(DATA[[#This Row],[COMBINADA]],#REF!,9,0),0)/COUNTIFS(DATA[COMBINADA],DATA[[#This Row],[COMBINADA]])</f>
        <v>0</v>
      </c>
      <c r="AM630" s="27">
        <f>IFERROR(VLOOKUP(DATA[[#This Row],[COMBINADA]],#REF!,6,0),0)</f>
        <v>0</v>
      </c>
      <c r="AN630" s="125">
        <f>IFERROR(VLOOKUP(DATA[[#This Row],[COMBINADA]],#REF!,9,0),0)/COUNTIFS(DATA[COMBINADA],DATA[[#This Row],[COMBINADA]])</f>
        <v>0</v>
      </c>
      <c r="AO630" s="27">
        <f>IFERROR(VLOOKUP(DATA[[#This Row],[COMBINADA]],#REF!,6,0),0)</f>
        <v>0</v>
      </c>
      <c r="AP630" s="125">
        <f>IFERROR(VLOOKUP(DATA[[#This Row],[COMBINADA]],#REF!,9,0),0)/COUNTIFS(DATA[COMBINADA],DATA[[#This Row],[COMBINADA]])</f>
        <v>0</v>
      </c>
      <c r="AQ63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690.30200000000002</v>
      </c>
      <c r="AR630" s="26" t="str">
        <f>IFERROR(IF(DATA[[#This Row],[estado_fact]]="FACTURADO",VLOOKUP(DATA[[#This Row],[SERIE2]]&amp;"-"&amp;DATA[[#This Row],[NUMERO]],#REF!,34,0),"NO CORRESPONDE"),"NO CORRESPONDE")</f>
        <v>NO CORRESPONDE</v>
      </c>
      <c r="AS630" s="22" t="str">
        <f>IF(DATA[[#This Row],[fecha_fs]]&gt;0,TEXT(DATA[[#This Row],[fecha_fs]],"Mmmm"),0)</f>
        <v>Mayo</v>
      </c>
      <c r="AT630" s="22" t="str">
        <f>DATA[[#This Row],[SERIE2]]&amp;"-"&amp;DATA[[#This Row],[NUMERO]]</f>
        <v>FF01-109</v>
      </c>
      <c r="AU630" s="28">
        <f>DATA[[#This Row],[TOTAL]]*DATA[[#This Row],[T.C.]]</f>
        <v>763.54</v>
      </c>
      <c r="AV630" s="6">
        <f>DATA[[#This Row],[FECHA DE VAL.]]</f>
        <v>45785</v>
      </c>
      <c r="AW630" s="6">
        <f>DATA[[#This Row],[FECHA DE EMISION]]</f>
        <v>45813</v>
      </c>
      <c r="AX630" s="6">
        <f>DATA[[#This Row],[F1]]</f>
        <v>0</v>
      </c>
      <c r="AY630" s="20">
        <f>IF(AV630-DATA[[#This Row],[fecha_fs]]&lt;0,0,AV630-DATA[[#This Row],[fecha_fs]])</f>
        <v>0</v>
      </c>
      <c r="AZ630" s="20">
        <f t="shared" si="64"/>
        <v>28</v>
      </c>
      <c r="BA630" s="20">
        <f t="shared" si="65"/>
        <v>0</v>
      </c>
      <c r="BB630" s="195">
        <f>IFERROR(SUM(DATA[[#This Row],[fs_val_ttf]:[fact_pago_ttf]]),0)</f>
        <v>28</v>
      </c>
      <c r="BC630" s="185">
        <v>45800</v>
      </c>
      <c r="BD630" s="185">
        <v>45806</v>
      </c>
      <c r="BE630" s="185">
        <v>45806</v>
      </c>
      <c r="BF630" s="185">
        <v>45832</v>
      </c>
      <c r="BG630" s="20">
        <f>IFERROR(IF(BC630-DATA[[#This Row],[fecha_fs]]&lt;0,0,BC630-DATA[[#This Row],[fecha_fs]]),0)</f>
        <v>15</v>
      </c>
      <c r="BH630" s="20">
        <f t="shared" si="66"/>
        <v>6</v>
      </c>
      <c r="BI630" s="20">
        <f t="shared" si="67"/>
        <v>0</v>
      </c>
      <c r="BJ630" s="20">
        <f t="shared" si="68"/>
        <v>26</v>
      </c>
      <c r="BK630" s="218">
        <f>IFERROR(SUM(DATA[[#This Row],[fs_fd_ttd]:[fend_fenf_ttd]]),0)</f>
        <v>47</v>
      </c>
      <c r="BL630" s="20" t="str">
        <f>IF(DATA[[#This Row],[fecha_fs]]&gt;0,TEXT(DATA[[#This Row],[fecha_fs]],"YYYY"),0)</f>
        <v>2025</v>
      </c>
      <c r="BM630" s="221" t="b">
        <v>1</v>
      </c>
      <c r="BN630" s="278">
        <f>COUNTIF(DATA[[#This Row],[tiempo_td]], "&lt;=15")</f>
        <v>0</v>
      </c>
      <c r="BO630" s="222"/>
    </row>
    <row r="631" spans="1:67" ht="30.6" customHeight="1" x14ac:dyDescent="0.25">
      <c r="A631" s="4">
        <v>20100192064</v>
      </c>
      <c r="B631" s="5" t="s">
        <v>60</v>
      </c>
      <c r="C631" s="52" t="s">
        <v>65</v>
      </c>
      <c r="D631" s="4" t="s">
        <v>120</v>
      </c>
      <c r="E631" s="5" t="s">
        <v>3</v>
      </c>
      <c r="F631" s="24">
        <v>45785</v>
      </c>
      <c r="G631" s="7" t="s">
        <v>142</v>
      </c>
      <c r="H631" s="25">
        <f>IF(G631="","",IF(G631="LIM",2,1))</f>
        <v>2</v>
      </c>
      <c r="I631" s="67">
        <v>1083</v>
      </c>
      <c r="J631" s="8" t="s">
        <v>115</v>
      </c>
      <c r="K631" s="9" t="s">
        <v>121</v>
      </c>
      <c r="L631" s="10" t="s">
        <v>117</v>
      </c>
      <c r="M631" s="11">
        <v>360</v>
      </c>
      <c r="N631" s="12" t="s">
        <v>143</v>
      </c>
      <c r="O631" s="6">
        <v>45803</v>
      </c>
      <c r="P631" s="71">
        <v>3466</v>
      </c>
      <c r="Q631" s="14" t="s">
        <v>123</v>
      </c>
      <c r="R631" s="15">
        <f>(DATA[[#This Row],[cantidad_fs]]/1000)*(37+81.01)</f>
        <v>42.483600000000003</v>
      </c>
      <c r="S631" s="15">
        <v>103.6</v>
      </c>
      <c r="T631" s="15">
        <f>DATA[[#This Row],[C. DF]]+DATA[[#This Row],[C.OPE.]]</f>
        <v>146.08359999999999</v>
      </c>
      <c r="U631" s="15">
        <f>DATA[[#This Row],[SUB TOTAL]]*0.18</f>
        <v>26.295047999999998</v>
      </c>
      <c r="V631" s="15">
        <f>IFERROR(ROUND(DATA[[#This Row],[SUB TOTAL]]+DATA[[#This Row],[IGV]],2),0)</f>
        <v>172.38</v>
      </c>
      <c r="W631" s="16" t="str">
        <f>IF(DATA[[#This Row],[VALORIZACIÓN ]]="-","NO CORRESPONDE",IF(OR(A631=20558226979,A631=10470707866,A631=20111157058,A631=20100226902),"NO CORRESPONDE",IF(J631="Emitida",IF(P631&gt;0,"EMITIDA","PENDIENTE"),"NO CORRESPONDE")))</f>
        <v>EMITIDA</v>
      </c>
      <c r="X631" s="29"/>
      <c r="Y631" s="17" t="s">
        <v>118</v>
      </c>
      <c r="Z631" s="30">
        <v>45805</v>
      </c>
      <c r="AA631" s="10" t="s">
        <v>150</v>
      </c>
      <c r="AB631" s="19">
        <v>98</v>
      </c>
      <c r="AC631" s="20">
        <v>30</v>
      </c>
      <c r="AD631" s="18">
        <f>DATA[[#This Row],[FECHA DE EMISION]]+DATA[[#This Row],[CONDICION DE PAGO]]</f>
        <v>45835</v>
      </c>
      <c r="AE631" s="23" t="e">
        <f>IF(DATA[[#This Row],[MONEDA]]="USD",VLOOKUP(DATA[[#This Row],[COMBINADA]],#REF!,11,0),1)</f>
        <v>#REF!</v>
      </c>
      <c r="AF631" s="39" t="str">
        <f>IF(DATA[[#This Row],[SERIE2]]="-","NO CORRESPONDE",IF(W631="NO CORRESPONDE","NO CORRESPONDE",IF(Z631&gt;0,"FACTURADO","PENDIENTE")))</f>
        <v>FACTURADO</v>
      </c>
      <c r="AG631" s="27">
        <f>IFERROR(VLOOKUP(DATA[[#This Row],[COMBINADA]],#REF!,6,0),0)</f>
        <v>0</v>
      </c>
      <c r="AH631" s="125">
        <f>IFERROR(VLOOKUP(DATA[[#This Row],[COMBINADA]],#REF!,9,0),0)/COUNTIFS(DATA[COMBINADA],DATA[[#This Row],[COMBINADA]])</f>
        <v>0</v>
      </c>
      <c r="AI631" s="27">
        <f>IFERROR(VLOOKUP(DATA[[#This Row],[COMBINADA]],#REF!,6,0),0)</f>
        <v>0</v>
      </c>
      <c r="AJ631" s="125">
        <f>IFERROR(VLOOKUP(DATA[[#This Row],[COMBINADA]],#REF!,9,0),0)/COUNTIFS(DATA[COMBINADA],DATA[[#This Row],[COMBINADA]])</f>
        <v>0</v>
      </c>
      <c r="AK631" s="27">
        <f>IFERROR(VLOOKUP(DATA[[#This Row],[COMBINADA]],#REF!,6,0),0)</f>
        <v>0</v>
      </c>
      <c r="AL631" s="125">
        <f>IFERROR(VLOOKUP(DATA[[#This Row],[COMBINADA]],#REF!,9,0),0)/COUNTIFS(DATA[COMBINADA],DATA[[#This Row],[COMBINADA]])</f>
        <v>0</v>
      </c>
      <c r="AM631" s="27">
        <f>IFERROR(VLOOKUP(DATA[[#This Row],[COMBINADA]],#REF!,6,0),0)</f>
        <v>0</v>
      </c>
      <c r="AN631" s="125">
        <f>IFERROR(VLOOKUP(DATA[[#This Row],[COMBINADA]],#REF!,9,0),0)/COUNTIFS(DATA[COMBINADA],DATA[[#This Row],[COMBINADA]])</f>
        <v>0</v>
      </c>
      <c r="AO631" s="27">
        <f>IFERROR(VLOOKUP(DATA[[#This Row],[COMBINADA]],#REF!,6,0),0)</f>
        <v>0</v>
      </c>
      <c r="AP631" s="125">
        <f>IFERROR(VLOOKUP(DATA[[#This Row],[COMBINADA]],#REF!,9,0),0)/COUNTIFS(DATA[COMBINADA],DATA[[#This Row],[COMBINADA]])</f>
        <v>0</v>
      </c>
      <c r="AQ63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647.4955555555556</v>
      </c>
      <c r="AR631" s="26" t="str">
        <f>IFERROR(IF(DATA[[#This Row],[estado_fact]]="FACTURADO",VLOOKUP(DATA[[#This Row],[SERIE2]]&amp;"-"&amp;DATA[[#This Row],[NUMERO]],#REF!,34,0),"NO CORRESPONDE"),"NO CORRESPONDE")</f>
        <v>NO CORRESPONDE</v>
      </c>
      <c r="AS631" s="22" t="str">
        <f>IF(DATA[[#This Row],[fecha_fs]]&gt;0,TEXT(DATA[[#This Row],[fecha_fs]],"Mmmm"),0)</f>
        <v>Mayo</v>
      </c>
      <c r="AT631" s="22" t="str">
        <f>DATA[[#This Row],[SERIE2]]&amp;"-"&amp;DATA[[#This Row],[NUMERO]]</f>
        <v>FF01-98</v>
      </c>
      <c r="AU631" s="28" t="e">
        <f>DATA[[#This Row],[TOTAL]]*DATA[[#This Row],[T.C.]]</f>
        <v>#REF!</v>
      </c>
      <c r="AV631" s="6">
        <f>DATA[[#This Row],[FECHA DE VAL.]]</f>
        <v>45803</v>
      </c>
      <c r="AW631" s="6">
        <f>DATA[[#This Row],[FECHA DE EMISION]]</f>
        <v>45805</v>
      </c>
      <c r="AX631" s="6">
        <f>DATA[[#This Row],[F1]]</f>
        <v>0</v>
      </c>
      <c r="AY631" s="20">
        <f>IF(AV631-DATA[[#This Row],[fecha_fs]]&lt;0,0,AV631-DATA[[#This Row],[fecha_fs]])</f>
        <v>18</v>
      </c>
      <c r="AZ631" s="20">
        <f>IF(AW631-AV631&lt;0,0,AW631-AV631)</f>
        <v>2</v>
      </c>
      <c r="BA631" s="20">
        <f>IF(AX631-AW631&lt;0,0,AX631-AW631)</f>
        <v>0</v>
      </c>
      <c r="BB631" s="195">
        <f>IFERROR(SUM(DATA[[#This Row],[fs_val_ttf]:[fact_pago_ttf]]),0)</f>
        <v>20</v>
      </c>
      <c r="BC631" s="185">
        <v>45796</v>
      </c>
      <c r="BD631" s="185">
        <v>45804</v>
      </c>
      <c r="BE631" s="185">
        <v>45811</v>
      </c>
      <c r="BF631" s="185">
        <v>45846</v>
      </c>
      <c r="BG631" s="20">
        <f>IFERROR(IF(BC631-DATA[[#This Row],[fecha_fs]]&lt;0,0,BC631-DATA[[#This Row],[fecha_fs]]),0)</f>
        <v>11</v>
      </c>
      <c r="BH631" s="20">
        <f>IFERROR(IF(BD631-BC631&lt;0,0,BD631-BC631),0)</f>
        <v>8</v>
      </c>
      <c r="BI631" s="20">
        <f>IFERROR(IF(BE631-BD631&lt;0,0,BE631-BD631),0)</f>
        <v>7</v>
      </c>
      <c r="BJ631" s="20">
        <f>IFERROR(IF(BF631-BE631&lt;0,0,BF631-BE631),0)</f>
        <v>35</v>
      </c>
      <c r="BK631" s="218">
        <f>IFERROR(SUM(DATA[[#This Row],[fs_fd_ttd]:[fend_fenf_ttd]]),0)</f>
        <v>61</v>
      </c>
      <c r="BL631" s="20" t="str">
        <f>IF(DATA[[#This Row],[fecha_fs]]&gt;0,TEXT(DATA[[#This Row],[fecha_fs]],"YYYY"),0)</f>
        <v>2025</v>
      </c>
      <c r="BM631" s="221" t="b">
        <v>1</v>
      </c>
      <c r="BN631" s="278">
        <f>COUNTIF(DATA[[#This Row],[tiempo_td]], "&lt;=15")</f>
        <v>0</v>
      </c>
      <c r="BO631" s="222"/>
    </row>
    <row r="632" spans="1:67" ht="30.6" customHeight="1" x14ac:dyDescent="0.25">
      <c r="A632" s="4">
        <v>20546530184</v>
      </c>
      <c r="B632" s="5" t="s">
        <v>50</v>
      </c>
      <c r="C632" s="52" t="s">
        <v>35</v>
      </c>
      <c r="D632" s="4" t="s">
        <v>112</v>
      </c>
      <c r="E632" s="5" t="s">
        <v>1</v>
      </c>
      <c r="F632" s="24">
        <v>45785</v>
      </c>
      <c r="G632" s="7" t="s">
        <v>113</v>
      </c>
      <c r="H632" s="25">
        <f t="shared" si="63"/>
        <v>1</v>
      </c>
      <c r="I632" s="67">
        <v>4487</v>
      </c>
      <c r="J632" s="8" t="s">
        <v>115</v>
      </c>
      <c r="K632" s="9" t="s">
        <v>116</v>
      </c>
      <c r="L632" s="10" t="s">
        <v>117</v>
      </c>
      <c r="M632" s="11">
        <v>3</v>
      </c>
      <c r="N632" s="12" t="s">
        <v>125</v>
      </c>
      <c r="O632" s="6">
        <v>45785</v>
      </c>
      <c r="P632" s="13">
        <v>3438</v>
      </c>
      <c r="Q632" s="14" t="s">
        <v>85</v>
      </c>
      <c r="R632" s="15"/>
      <c r="S632" s="15">
        <f>2588.28/4</f>
        <v>647.07000000000005</v>
      </c>
      <c r="T632" s="15">
        <f>DATA[[#This Row],[C. DF]]+DATA[[#This Row],[C.OPE.]]</f>
        <v>647.07000000000005</v>
      </c>
      <c r="U632" s="15">
        <f>DATA[[#This Row],[SUB TOTAL]]*0.18</f>
        <v>116.4726</v>
      </c>
      <c r="V632" s="15">
        <f>IFERROR(ROUND(DATA[[#This Row],[SUB TOTAL]]+DATA[[#This Row],[IGV]],2),0)</f>
        <v>763.54</v>
      </c>
      <c r="W632" s="16" t="str">
        <f>IF(DATA[[#This Row],[VALORIZACIÓN ]]="-","NO CORRESPONDE",IF(OR(A632=20558226979,A632=10470707866,A632=20111157058,A632=20100226902),"NO CORRESPONDE",IF(J632="Emitida",IF(P632&gt;0,"EMITIDA","PENDIENTE"),"NO CORRESPONDE")))</f>
        <v>EMITIDA</v>
      </c>
      <c r="X632" s="29" t="s">
        <v>231</v>
      </c>
      <c r="Y632" s="17" t="s">
        <v>118</v>
      </c>
      <c r="Z632" s="30">
        <v>45813</v>
      </c>
      <c r="AA632" s="10" t="s">
        <v>150</v>
      </c>
      <c r="AB632" s="19">
        <v>109</v>
      </c>
      <c r="AC632" s="20">
        <v>30</v>
      </c>
      <c r="AD632" s="18">
        <f>DATA[[#This Row],[FECHA DE EMISION]]+DATA[[#This Row],[CONDICION DE PAGO]]</f>
        <v>45843</v>
      </c>
      <c r="AE632" s="23">
        <f>IF(DATA[[#This Row],[MONEDA]]="USD",VLOOKUP(DATA[[#This Row],[COMBINADA]],#REF!,11,0),1)</f>
        <v>1</v>
      </c>
      <c r="AF632" s="39" t="str">
        <f>IF(DATA[[#This Row],[SERIE2]]="-","NO CORRESPONDE",IF(W632="NO CORRESPONDE","NO CORRESPONDE",IF(Z632&gt;0,"FACTURADO","PENDIENTE")))</f>
        <v>FACTURADO</v>
      </c>
      <c r="AG632" s="27">
        <f>IFERROR(VLOOKUP(DATA[[#This Row],[COMBINADA]],#REF!,6,0),0)</f>
        <v>0</v>
      </c>
      <c r="AH632" s="125">
        <f>IFERROR(VLOOKUP(DATA[[#This Row],[COMBINADA]],#REF!,9,0),0)/COUNTIFS(DATA[COMBINADA],DATA[[#This Row],[COMBINADA]])</f>
        <v>0</v>
      </c>
      <c r="AI632" s="27">
        <f>IFERROR(VLOOKUP(DATA[[#This Row],[COMBINADA]],#REF!,6,0),0)</f>
        <v>0</v>
      </c>
      <c r="AJ632" s="125">
        <f>IFERROR(VLOOKUP(DATA[[#This Row],[COMBINADA]],#REF!,9,0),0)/COUNTIFS(DATA[COMBINADA],DATA[[#This Row],[COMBINADA]])</f>
        <v>0</v>
      </c>
      <c r="AK632" s="27">
        <f>IFERROR(VLOOKUP(DATA[[#This Row],[COMBINADA]],#REF!,6,0),0)</f>
        <v>0</v>
      </c>
      <c r="AL632" s="125">
        <f>IFERROR(VLOOKUP(DATA[[#This Row],[COMBINADA]],#REF!,9,0),0)/COUNTIFS(DATA[COMBINADA],DATA[[#This Row],[COMBINADA]])</f>
        <v>0</v>
      </c>
      <c r="AM632" s="27">
        <f>IFERROR(VLOOKUP(DATA[[#This Row],[COMBINADA]],#REF!,6,0),0)</f>
        <v>0</v>
      </c>
      <c r="AN632" s="125">
        <f>IFERROR(VLOOKUP(DATA[[#This Row],[COMBINADA]],#REF!,9,0),0)/COUNTIFS(DATA[COMBINADA],DATA[[#This Row],[COMBINADA]])</f>
        <v>0</v>
      </c>
      <c r="AO632" s="27">
        <f>IFERROR(VLOOKUP(DATA[[#This Row],[COMBINADA]],#REF!,6,0),0)</f>
        <v>0</v>
      </c>
      <c r="AP632" s="125">
        <f>IFERROR(VLOOKUP(DATA[[#This Row],[COMBINADA]],#REF!,9,0),0)/COUNTIFS(DATA[COMBINADA],DATA[[#This Row],[COMBINADA]])</f>
        <v>0</v>
      </c>
      <c r="AQ63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690.30200000000002</v>
      </c>
      <c r="AR632" s="26" t="str">
        <f>IFERROR(IF(DATA[[#This Row],[estado_fact]]="FACTURADO",VLOOKUP(DATA[[#This Row],[SERIE2]]&amp;"-"&amp;DATA[[#This Row],[NUMERO]],#REF!,34,0),"NO CORRESPONDE"),"NO CORRESPONDE")</f>
        <v>NO CORRESPONDE</v>
      </c>
      <c r="AS632" s="22" t="str">
        <f>IF(DATA[[#This Row],[fecha_fs]]&gt;0,TEXT(DATA[[#This Row],[fecha_fs]],"Mmmm"),0)</f>
        <v>Mayo</v>
      </c>
      <c r="AT632" s="22" t="str">
        <f>DATA[[#This Row],[SERIE2]]&amp;"-"&amp;DATA[[#This Row],[NUMERO]]</f>
        <v>FF01-109</v>
      </c>
      <c r="AU632" s="28">
        <f>DATA[[#This Row],[TOTAL]]*DATA[[#This Row],[T.C.]]</f>
        <v>763.54</v>
      </c>
      <c r="AV632" s="6">
        <f>DATA[[#This Row],[FECHA DE VAL.]]</f>
        <v>45785</v>
      </c>
      <c r="AW632" s="6">
        <f>DATA[[#This Row],[FECHA DE EMISION]]</f>
        <v>45813</v>
      </c>
      <c r="AX632" s="6">
        <f>DATA[[#This Row],[F1]]</f>
        <v>0</v>
      </c>
      <c r="AY632" s="20">
        <f>IF(AV632-DATA[[#This Row],[fecha_fs]]&lt;0,0,AV632-DATA[[#This Row],[fecha_fs]])</f>
        <v>0</v>
      </c>
      <c r="AZ632" s="20">
        <f t="shared" si="64"/>
        <v>28</v>
      </c>
      <c r="BA632" s="20">
        <f t="shared" si="65"/>
        <v>0</v>
      </c>
      <c r="BB632" s="195">
        <f>IFERROR(SUM(DATA[[#This Row],[fs_val_ttf]:[fact_pago_ttf]]),0)</f>
        <v>28</v>
      </c>
      <c r="BC632" s="185">
        <v>45790</v>
      </c>
      <c r="BD632" s="185">
        <v>45798</v>
      </c>
      <c r="BE632" s="185">
        <v>45804</v>
      </c>
      <c r="BF632" s="185">
        <v>45832</v>
      </c>
      <c r="BG632" s="20">
        <f>IFERROR(IF(BC632-DATA[[#This Row],[fecha_fs]]&lt;0,0,BC632-DATA[[#This Row],[fecha_fs]]),0)</f>
        <v>5</v>
      </c>
      <c r="BH632" s="20">
        <f t="shared" si="66"/>
        <v>8</v>
      </c>
      <c r="BI632" s="20">
        <f t="shared" si="67"/>
        <v>6</v>
      </c>
      <c r="BJ632" s="20">
        <f t="shared" si="68"/>
        <v>28</v>
      </c>
      <c r="BK632" s="218">
        <f>IFERROR(SUM(DATA[[#This Row],[fs_fd_ttd]:[fend_fenf_ttd]]),0)</f>
        <v>47</v>
      </c>
      <c r="BL632" s="20" t="str">
        <f>IF(DATA[[#This Row],[fecha_fs]]&gt;0,TEXT(DATA[[#This Row],[fecha_fs]],"YYYY"),0)</f>
        <v>2025</v>
      </c>
      <c r="BM632" s="221" t="b">
        <v>1</v>
      </c>
      <c r="BN632" s="278">
        <f>COUNTIF(DATA[[#This Row],[tiempo_td]], "&lt;=15")</f>
        <v>0</v>
      </c>
      <c r="BO632" s="222"/>
    </row>
    <row r="633" spans="1:67" ht="30.6" customHeight="1" x14ac:dyDescent="0.25">
      <c r="A633" s="4">
        <v>20100192064</v>
      </c>
      <c r="B633" s="5" t="s">
        <v>60</v>
      </c>
      <c r="C633" s="52" t="s">
        <v>43</v>
      </c>
      <c r="D633" s="4" t="s">
        <v>112</v>
      </c>
      <c r="E633" s="5" t="s">
        <v>1</v>
      </c>
      <c r="F633" s="24">
        <v>45786</v>
      </c>
      <c r="G633" s="7" t="s">
        <v>113</v>
      </c>
      <c r="H633" s="25">
        <f t="shared" si="63"/>
        <v>1</v>
      </c>
      <c r="I633" s="67">
        <v>4488</v>
      </c>
      <c r="J633" s="8" t="s">
        <v>115</v>
      </c>
      <c r="K633" s="9" t="s">
        <v>116</v>
      </c>
      <c r="L633" s="10" t="s">
        <v>117</v>
      </c>
      <c r="M633" s="11">
        <v>1760</v>
      </c>
      <c r="N633" s="12" t="s">
        <v>125</v>
      </c>
      <c r="O633" s="6">
        <v>45803</v>
      </c>
      <c r="P633" s="71">
        <v>3461</v>
      </c>
      <c r="Q633" s="14" t="s">
        <v>123</v>
      </c>
      <c r="R633" s="15">
        <f>(DATA[[#This Row],[cantidad_fs]]/1000)*(143+175.34)</f>
        <v>560.27840000000003</v>
      </c>
      <c r="S633" s="15">
        <v>137</v>
      </c>
      <c r="T633" s="15">
        <f>DATA[[#This Row],[C. DF]]+DATA[[#This Row],[C.OPE.]]</f>
        <v>697.27840000000003</v>
      </c>
      <c r="U633" s="15">
        <f>DATA[[#This Row],[SUB TOTAL]]*0.18</f>
        <v>125.51011200000001</v>
      </c>
      <c r="V633" s="15">
        <f>IFERROR(ROUND(DATA[[#This Row],[SUB TOTAL]]+DATA[[#This Row],[IGV]],2),0)</f>
        <v>822.79</v>
      </c>
      <c r="W633" s="16" t="str">
        <f>IF(DATA[[#This Row],[VALORIZACIÓN ]]="-","NO CORRESPONDE",IF(OR(A633=20558226979,A633=10470707866,A633=20111157058,A633=20100226902),"NO CORRESPONDE",IF(J633="Emitida",IF(P633&gt;0,"EMITIDA","PENDIENTE"),"NO CORRESPONDE")))</f>
        <v>EMITIDA</v>
      </c>
      <c r="X633" s="29" t="s">
        <v>242</v>
      </c>
      <c r="Y633" s="17" t="s">
        <v>118</v>
      </c>
      <c r="Z633" s="30">
        <v>45804</v>
      </c>
      <c r="AA633" s="10" t="s">
        <v>150</v>
      </c>
      <c r="AB633" s="19">
        <v>97</v>
      </c>
      <c r="AC633" s="20">
        <v>30</v>
      </c>
      <c r="AD633" s="18">
        <f>DATA[[#This Row],[FECHA DE EMISION]]+DATA[[#This Row],[CONDICION DE PAGO]]</f>
        <v>45834</v>
      </c>
      <c r="AE633" s="23" t="e">
        <f>IF(DATA[[#This Row],[MONEDA]]="USD",VLOOKUP(DATA[[#This Row],[COMBINADA]],#REF!,11,0),1)</f>
        <v>#REF!</v>
      </c>
      <c r="AF633" s="39" t="str">
        <f>IF(DATA[[#This Row],[SERIE2]]="-","NO CORRESPONDE",IF(W633="NO CORRESPONDE","NO CORRESPONDE",IF(Z633&gt;0,"FACTURADO","PENDIENTE")))</f>
        <v>FACTURADO</v>
      </c>
      <c r="AG633" s="27">
        <f>IFERROR(VLOOKUP(DATA[[#This Row],[COMBINADA]],#REF!,6,0),0)</f>
        <v>0</v>
      </c>
      <c r="AH633" s="125">
        <f>IFERROR(VLOOKUP(DATA[[#This Row],[COMBINADA]],#REF!,9,0),0)/COUNTIFS(DATA[COMBINADA],DATA[[#This Row],[COMBINADA]])</f>
        <v>0</v>
      </c>
      <c r="AI633" s="27">
        <f>IFERROR(VLOOKUP(DATA[[#This Row],[COMBINADA]],#REF!,6,0),0)</f>
        <v>0</v>
      </c>
      <c r="AJ633" s="125">
        <f>IFERROR(VLOOKUP(DATA[[#This Row],[COMBINADA]],#REF!,9,0),0)/COUNTIFS(DATA[COMBINADA],DATA[[#This Row],[COMBINADA]])</f>
        <v>0</v>
      </c>
      <c r="AK633" s="27">
        <f>IFERROR(VLOOKUP(DATA[[#This Row],[COMBINADA]],#REF!,6,0),0)</f>
        <v>0</v>
      </c>
      <c r="AL633" s="125">
        <f>IFERROR(VLOOKUP(DATA[[#This Row],[COMBINADA]],#REF!,9,0),0)/COUNTIFS(DATA[COMBINADA],DATA[[#This Row],[COMBINADA]])</f>
        <v>0</v>
      </c>
      <c r="AM633" s="27">
        <f>IFERROR(VLOOKUP(DATA[[#This Row],[COMBINADA]],#REF!,6,0),0)</f>
        <v>0</v>
      </c>
      <c r="AN633" s="125">
        <f>IFERROR(VLOOKUP(DATA[[#This Row],[COMBINADA]],#REF!,9,0),0)/COUNTIFS(DATA[COMBINADA],DATA[[#This Row],[COMBINADA]])</f>
        <v>0</v>
      </c>
      <c r="AO633" s="27">
        <f>IFERROR(VLOOKUP(DATA[[#This Row],[COMBINADA]],#REF!,6,0),0)</f>
        <v>0</v>
      </c>
      <c r="AP633" s="125">
        <f>IFERROR(VLOOKUP(DATA[[#This Row],[COMBINADA]],#REF!,9,0),0)/COUNTIFS(DATA[COMBINADA],DATA[[#This Row],[COMBINADA]])</f>
        <v>0</v>
      </c>
      <c r="AQ63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685.70466666666675</v>
      </c>
      <c r="AR633" s="26" t="str">
        <f>IFERROR(IF(DATA[[#This Row],[estado_fact]]="FACTURADO",VLOOKUP(DATA[[#This Row],[SERIE2]]&amp;"-"&amp;DATA[[#This Row],[NUMERO]],#REF!,34,0),"NO CORRESPONDE"),"NO CORRESPONDE")</f>
        <v>NO CORRESPONDE</v>
      </c>
      <c r="AS633" s="22" t="str">
        <f>IF(DATA[[#This Row],[fecha_fs]]&gt;0,TEXT(DATA[[#This Row],[fecha_fs]],"Mmmm"),0)</f>
        <v>Mayo</v>
      </c>
      <c r="AT633" s="22" t="str">
        <f>DATA[[#This Row],[SERIE2]]&amp;"-"&amp;DATA[[#This Row],[NUMERO]]</f>
        <v>FF01-97</v>
      </c>
      <c r="AU633" s="28" t="e">
        <f>DATA[[#This Row],[TOTAL]]*DATA[[#This Row],[T.C.]]</f>
        <v>#REF!</v>
      </c>
      <c r="AV633" s="6">
        <f>DATA[[#This Row],[FECHA DE VAL.]]</f>
        <v>45803</v>
      </c>
      <c r="AW633" s="6">
        <f>DATA[[#This Row],[FECHA DE EMISION]]</f>
        <v>45804</v>
      </c>
      <c r="AX633" s="6">
        <f>DATA[[#This Row],[F1]]</f>
        <v>0</v>
      </c>
      <c r="AY633" s="20">
        <f>IF(AV633-DATA[[#This Row],[fecha_fs]]&lt;0,0,AV633-DATA[[#This Row],[fecha_fs]])</f>
        <v>17</v>
      </c>
      <c r="AZ633" s="20">
        <f t="shared" si="64"/>
        <v>1</v>
      </c>
      <c r="BA633" s="20">
        <f t="shared" si="65"/>
        <v>0</v>
      </c>
      <c r="BB633" s="195">
        <f>IFERROR(SUM(DATA[[#This Row],[fs_val_ttf]:[fact_pago_ttf]]),0)</f>
        <v>18</v>
      </c>
      <c r="BC633" s="185">
        <v>45793</v>
      </c>
      <c r="BD633" s="185">
        <v>45812</v>
      </c>
      <c r="BE633" s="185">
        <v>45812</v>
      </c>
      <c r="BF633" s="185">
        <v>45863</v>
      </c>
      <c r="BG633" s="20">
        <f>IFERROR(IF(BC633-DATA[[#This Row],[fecha_fs]]&lt;0,0,BC633-DATA[[#This Row],[fecha_fs]]),0)</f>
        <v>7</v>
      </c>
      <c r="BH633" s="20">
        <f t="shared" si="66"/>
        <v>19</v>
      </c>
      <c r="BI633" s="20">
        <f t="shared" si="67"/>
        <v>0</v>
      </c>
      <c r="BJ633" s="20">
        <f t="shared" si="68"/>
        <v>51</v>
      </c>
      <c r="BK633" s="218">
        <f>IFERROR(SUM(DATA[[#This Row],[fs_fd_ttd]:[fend_fenf_ttd]]),0)</f>
        <v>77</v>
      </c>
      <c r="BL633" s="20" t="str">
        <f>IF(DATA[[#This Row],[fecha_fs]]&gt;0,TEXT(DATA[[#This Row],[fecha_fs]],"YYYY"),0)</f>
        <v>2025</v>
      </c>
      <c r="BM633" s="221" t="b">
        <v>1</v>
      </c>
      <c r="BN633" s="278">
        <f>COUNTIF(DATA[[#This Row],[tiempo_td]], "&lt;=15")</f>
        <v>0</v>
      </c>
      <c r="BO633" s="222"/>
    </row>
    <row r="634" spans="1:67" ht="30.6" customHeight="1" x14ac:dyDescent="0.25">
      <c r="A634" s="4">
        <v>20100226902</v>
      </c>
      <c r="B634" s="5" t="s">
        <v>24</v>
      </c>
      <c r="C634" s="52" t="s">
        <v>18</v>
      </c>
      <c r="D634" s="4" t="s">
        <v>120</v>
      </c>
      <c r="E634" s="5" t="s">
        <v>3</v>
      </c>
      <c r="F634" s="24">
        <v>45786</v>
      </c>
      <c r="G634" s="7" t="s">
        <v>113</v>
      </c>
      <c r="H634" s="25">
        <f t="shared" si="63"/>
        <v>1</v>
      </c>
      <c r="I634" s="67">
        <v>4489</v>
      </c>
      <c r="J634" s="8" t="s">
        <v>115</v>
      </c>
      <c r="K634" s="9" t="s">
        <v>121</v>
      </c>
      <c r="L634" s="10" t="s">
        <v>117</v>
      </c>
      <c r="M634" s="11">
        <v>800</v>
      </c>
      <c r="N634" s="12" t="s">
        <v>251</v>
      </c>
      <c r="O634" s="40"/>
      <c r="P634" s="41" t="s">
        <v>114</v>
      </c>
      <c r="Q634" s="42"/>
      <c r="R634" s="43"/>
      <c r="S634" s="43"/>
      <c r="T634" s="43">
        <f>DATA[[#This Row],[C. DF]]+DATA[[#This Row],[C.OPE.]]</f>
        <v>0</v>
      </c>
      <c r="U634" s="43">
        <f>DATA[[#This Row],[SUB TOTAL]]*0.18</f>
        <v>0</v>
      </c>
      <c r="V634" s="43">
        <f>IFERROR(ROUND(DATA[[#This Row],[SUB TOTAL]]+DATA[[#This Row],[IGV]],2),0)</f>
        <v>0</v>
      </c>
      <c r="W634" s="58" t="str">
        <f>IF(DATA[[#This Row],[VALORIZACIÓN ]]="-","NO CORRESPONDE",IF(OR(A634=20558226979,A634=10470707866,A634=20111157058,A634=20100226902),"NO CORRESPONDE",IF(J634="Emitida",IF(P634&gt;0,"EMITIDA","PENDIENTE"),"NO CORRESPONDE")))</f>
        <v>NO CORRESPONDE</v>
      </c>
      <c r="X634" s="45"/>
      <c r="Y634" s="17" t="s">
        <v>128</v>
      </c>
      <c r="Z634" s="46"/>
      <c r="AA634" s="47"/>
      <c r="AB634" s="48"/>
      <c r="AC634" s="49"/>
      <c r="AD634" s="50">
        <f>DATA[[#This Row],[FECHA DE EMISION]]+DATA[[#This Row],[CONDICION DE PAGO]]</f>
        <v>0</v>
      </c>
      <c r="AE634" s="23">
        <f>IF(DATA[[#This Row],[MONEDA]]="USD",VLOOKUP(DATA[[#This Row],[COMBINADA]],#REF!,11,0),1)</f>
        <v>1</v>
      </c>
      <c r="AF634" s="39" t="str">
        <f>IF(DATA[[#This Row],[SERIE2]]="-","NO CORRESPONDE",IF(W634="NO CORRESPONDE","NO CORRESPONDE",IF(Z634&gt;0,"FACTURADO","PENDIENTE")))</f>
        <v>NO CORRESPONDE</v>
      </c>
      <c r="AG634" s="60">
        <f>IFERROR(VLOOKUP(DATA[[#This Row],[COMBINADA]],#REF!,6,0),0)</f>
        <v>0</v>
      </c>
      <c r="AH634" s="126">
        <f>IFERROR(VLOOKUP(DATA[[#This Row],[COMBINADA]],#REF!,9,0),0)/COUNTIFS(DATA[COMBINADA],DATA[[#This Row],[COMBINADA]])</f>
        <v>0</v>
      </c>
      <c r="AI634" s="60">
        <f>IFERROR(VLOOKUP(DATA[[#This Row],[COMBINADA]],#REF!,6,0),0)</f>
        <v>0</v>
      </c>
      <c r="AJ634" s="126">
        <f>IFERROR(VLOOKUP(DATA[[#This Row],[COMBINADA]],#REF!,9,0),0)/COUNTIFS(DATA[COMBINADA],DATA[[#This Row],[COMBINADA]])</f>
        <v>0</v>
      </c>
      <c r="AK634" s="60">
        <f>IFERROR(VLOOKUP(DATA[[#This Row],[COMBINADA]],#REF!,6,0),0)</f>
        <v>0</v>
      </c>
      <c r="AL634" s="126">
        <f>IFERROR(VLOOKUP(DATA[[#This Row],[COMBINADA]],#REF!,9,0),0)/COUNTIFS(DATA[COMBINADA],DATA[[#This Row],[COMBINADA]])</f>
        <v>0</v>
      </c>
      <c r="AM634" s="60">
        <f>IFERROR(VLOOKUP(DATA[[#This Row],[COMBINADA]],#REF!,6,0),0)</f>
        <v>0</v>
      </c>
      <c r="AN634" s="126">
        <f>IFERROR(VLOOKUP(DATA[[#This Row],[COMBINADA]],#REF!,9,0),0)/COUNTIFS(DATA[COMBINADA],DATA[[#This Row],[COMBINADA]])</f>
        <v>0</v>
      </c>
      <c r="AO634" s="60">
        <f>IFERROR(VLOOKUP(DATA[[#This Row],[COMBINADA]],#REF!,6,0),0)</f>
        <v>0</v>
      </c>
      <c r="AP634" s="126">
        <f>IFERROR(VLOOKUP(DATA[[#This Row],[COMBINADA]],#REF!,9,0),0)/COUNTIFS(DATA[COMBINADA],DATA[[#This Row],[COMBINADA]])</f>
        <v>0</v>
      </c>
      <c r="AQ634"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634" s="22" t="str">
        <f>IFERROR(IF(DATA[[#This Row],[estado_fact]]="FACTURADO",VLOOKUP(DATA[[#This Row],[SERIE2]]&amp;"-"&amp;DATA[[#This Row],[NUMERO]],#REF!,34,0),"NO CORRESPONDE"),"NO CORRESPONDE")</f>
        <v>NO CORRESPONDE</v>
      </c>
      <c r="AS634" s="22" t="str">
        <f>IF(DATA[[#This Row],[fecha_fs]]&gt;0,TEXT(DATA[[#This Row],[fecha_fs]],"Mmmm"),0)</f>
        <v>Mayo</v>
      </c>
      <c r="AT634" s="22" t="str">
        <f>DATA[[#This Row],[SERIE2]]&amp;"-"&amp;DATA[[#This Row],[NUMERO]]</f>
        <v>-</v>
      </c>
      <c r="AU634" s="28">
        <f>DATA[[#This Row],[TOTAL]]*DATA[[#This Row],[T.C.]]</f>
        <v>0</v>
      </c>
      <c r="AV634" s="6">
        <f>DATA[[#This Row],[FECHA DE VAL.]]</f>
        <v>0</v>
      </c>
      <c r="AW634" s="6">
        <f>DATA[[#This Row],[FECHA DE EMISION]]</f>
        <v>0</v>
      </c>
      <c r="AX634" s="6">
        <f>DATA[[#This Row],[F1]]</f>
        <v>0</v>
      </c>
      <c r="AY634" s="20">
        <f>IF(AV634-DATA[[#This Row],[fecha_fs]]&lt;0,0,AV634-DATA[[#This Row],[fecha_fs]])</f>
        <v>0</v>
      </c>
      <c r="AZ634" s="20">
        <f t="shared" si="64"/>
        <v>0</v>
      </c>
      <c r="BA634" s="20">
        <f t="shared" si="65"/>
        <v>0</v>
      </c>
      <c r="BB634" s="195">
        <f>IFERROR(SUM(DATA[[#This Row],[fs_val_ttf]:[fact_pago_ttf]]),0)</f>
        <v>0</v>
      </c>
      <c r="BC634" s="185">
        <v>45786</v>
      </c>
      <c r="BD634" s="185">
        <v>45786</v>
      </c>
      <c r="BE634" s="185">
        <v>45825</v>
      </c>
      <c r="BF634" s="185">
        <v>45825</v>
      </c>
      <c r="BG634" s="20">
        <f>IFERROR(IF(BC634-DATA[[#This Row],[fecha_fs]]&lt;0,0,BC634-DATA[[#This Row],[fecha_fs]]),0)</f>
        <v>0</v>
      </c>
      <c r="BH634" s="20">
        <f t="shared" si="66"/>
        <v>0</v>
      </c>
      <c r="BI634" s="20">
        <f t="shared" si="67"/>
        <v>39</v>
      </c>
      <c r="BJ634" s="20">
        <f t="shared" si="68"/>
        <v>0</v>
      </c>
      <c r="BK634" s="218">
        <f>IFERROR(SUM(DATA[[#This Row],[fs_fd_ttd]:[fend_fenf_ttd]]),0)</f>
        <v>39</v>
      </c>
      <c r="BL634" s="20" t="str">
        <f>IF(DATA[[#This Row],[fecha_fs]]&gt;0,TEXT(DATA[[#This Row],[fecha_fs]],"YYYY"),0)</f>
        <v>2025</v>
      </c>
      <c r="BM634" s="221" t="b">
        <v>1</v>
      </c>
      <c r="BN634" s="278">
        <f>COUNTIF(DATA[[#This Row],[tiempo_td]], "&lt;=15")</f>
        <v>0</v>
      </c>
      <c r="BO634" s="222"/>
    </row>
    <row r="635" spans="1:67" ht="30.6" customHeight="1" x14ac:dyDescent="0.25">
      <c r="A635" s="4">
        <v>20141637941</v>
      </c>
      <c r="B635" s="5" t="s">
        <v>79</v>
      </c>
      <c r="C635" s="52" t="s">
        <v>18</v>
      </c>
      <c r="D635" s="4" t="s">
        <v>120</v>
      </c>
      <c r="E635" s="5" t="s">
        <v>3</v>
      </c>
      <c r="F635" s="24">
        <v>45786</v>
      </c>
      <c r="G635" s="7" t="s">
        <v>113</v>
      </c>
      <c r="H635" s="25">
        <f t="shared" si="63"/>
        <v>1</v>
      </c>
      <c r="I635" s="67">
        <v>4490</v>
      </c>
      <c r="J635" s="8" t="s">
        <v>115</v>
      </c>
      <c r="K635" s="9" t="s">
        <v>121</v>
      </c>
      <c r="L635" s="10" t="s">
        <v>117</v>
      </c>
      <c r="M635" s="11">
        <v>1050</v>
      </c>
      <c r="N635" s="12" t="s">
        <v>125</v>
      </c>
      <c r="O635" s="6">
        <v>45786</v>
      </c>
      <c r="P635" s="68">
        <v>3439</v>
      </c>
      <c r="Q635" s="14" t="s">
        <v>85</v>
      </c>
      <c r="R635" s="15">
        <f>70+(DATA[[#This Row],[cantidad_fs]]-1000)*0.1</f>
        <v>75</v>
      </c>
      <c r="S635" s="15">
        <v>517</v>
      </c>
      <c r="T635" s="15">
        <f>DATA[[#This Row],[C. DF]]+DATA[[#This Row],[C.OPE.]]</f>
        <v>592</v>
      </c>
      <c r="U635" s="15">
        <f>DATA[[#This Row],[SUB TOTAL]]*0.18</f>
        <v>106.56</v>
      </c>
      <c r="V635" s="15">
        <f>IFERROR(ROUND(DATA[[#This Row],[SUB TOTAL]]+DATA[[#This Row],[IGV]],2),0)</f>
        <v>698.56</v>
      </c>
      <c r="W635" s="16" t="str">
        <f>IF(DATA[[#This Row],[VALORIZACIÓN ]]="-","NO CORRESPONDE",IF(OR(A635=20558226979,A635=10470707866,A635=20111157058,A635=20100226902),"NO CORRESPONDE",IF(J635="Emitida",IF(P635&gt;0,"EMITIDA","PENDIENTE"),"NO CORRESPONDE")))</f>
        <v>EMITIDA</v>
      </c>
      <c r="X635" s="29"/>
      <c r="Y635" s="17" t="s">
        <v>118</v>
      </c>
      <c r="Z635" s="30">
        <v>45790</v>
      </c>
      <c r="AA635" s="10" t="s">
        <v>150</v>
      </c>
      <c r="AB635" s="19">
        <v>77</v>
      </c>
      <c r="AC635" s="20">
        <v>30</v>
      </c>
      <c r="AD635" s="18">
        <f>DATA[[#This Row],[FECHA DE EMISION]]+DATA[[#This Row],[CONDICION DE PAGO]]</f>
        <v>45820</v>
      </c>
      <c r="AE635" s="23">
        <f>IF(DATA[[#This Row],[MONEDA]]="USD",VLOOKUP(DATA[[#This Row],[COMBINADA]],#REF!,11,0),1)</f>
        <v>1</v>
      </c>
      <c r="AF635" s="39" t="str">
        <f>IF(DATA[[#This Row],[SERIE2]]="-","NO CORRESPONDE",IF(W635="NO CORRESPONDE","NO CORRESPONDE",IF(Z635&gt;0,"FACTURADO","PENDIENTE")))</f>
        <v>FACTURADO</v>
      </c>
      <c r="AG635" s="27">
        <f>IFERROR(VLOOKUP(DATA[[#This Row],[COMBINADA]],#REF!,6,0),0)</f>
        <v>0</v>
      </c>
      <c r="AH635" s="125">
        <f>IFERROR(VLOOKUP(DATA[[#This Row],[COMBINADA]],#REF!,9,0),0)/COUNTIFS(DATA[COMBINADA],DATA[[#This Row],[COMBINADA]])</f>
        <v>0</v>
      </c>
      <c r="AI635" s="27">
        <f>IFERROR(VLOOKUP(DATA[[#This Row],[COMBINADA]],#REF!,6,0),0)</f>
        <v>0</v>
      </c>
      <c r="AJ635" s="125">
        <f>IFERROR(VLOOKUP(DATA[[#This Row],[COMBINADA]],#REF!,9,0),0)/COUNTIFS(DATA[COMBINADA],DATA[[#This Row],[COMBINADA]])</f>
        <v>0</v>
      </c>
      <c r="AK635" s="27">
        <f>IFERROR(VLOOKUP(DATA[[#This Row],[COMBINADA]],#REF!,6,0),0)</f>
        <v>0</v>
      </c>
      <c r="AL635" s="125">
        <f>IFERROR(VLOOKUP(DATA[[#This Row],[COMBINADA]],#REF!,9,0),0)/COUNTIFS(DATA[COMBINADA],DATA[[#This Row],[COMBINADA]])</f>
        <v>0</v>
      </c>
      <c r="AM635" s="27">
        <f>IFERROR(VLOOKUP(DATA[[#This Row],[COMBINADA]],#REF!,6,0),0)</f>
        <v>0</v>
      </c>
      <c r="AN635" s="125">
        <f>IFERROR(VLOOKUP(DATA[[#This Row],[COMBINADA]],#REF!,9,0),0)/COUNTIFS(DATA[COMBINADA],DATA[[#This Row],[COMBINADA]])</f>
        <v>0</v>
      </c>
      <c r="AO635" s="27">
        <f>IFERROR(VLOOKUP(DATA[[#This Row],[COMBINADA]],#REF!,6,0),0)</f>
        <v>0</v>
      </c>
      <c r="AP635" s="125">
        <f>IFERROR(VLOOKUP(DATA[[#This Row],[COMBINADA]],#REF!,9,0),0)/COUNTIFS(DATA[COMBINADA],DATA[[#This Row],[COMBINADA]])</f>
        <v>0</v>
      </c>
      <c r="AQ63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713.31</v>
      </c>
      <c r="AR635" s="26" t="str">
        <f>IFERROR(IF(DATA[[#This Row],[estado_fact]]="FACTURADO",VLOOKUP(DATA[[#This Row],[SERIE2]]&amp;"-"&amp;DATA[[#This Row],[NUMERO]],#REF!,34,0),"NO CORRESPONDE"),"NO CORRESPONDE")</f>
        <v>NO CORRESPONDE</v>
      </c>
      <c r="AS635" s="22" t="str">
        <f>IF(DATA[[#This Row],[fecha_fs]]&gt;0,TEXT(DATA[[#This Row],[fecha_fs]],"Mmmm"),0)</f>
        <v>Mayo</v>
      </c>
      <c r="AT635" s="22" t="str">
        <f>DATA[[#This Row],[SERIE2]]&amp;"-"&amp;DATA[[#This Row],[NUMERO]]</f>
        <v>FF01-77</v>
      </c>
      <c r="AU635" s="28">
        <f>DATA[[#This Row],[TOTAL]]*DATA[[#This Row],[T.C.]]</f>
        <v>698.56</v>
      </c>
      <c r="AV635" s="6">
        <f>DATA[[#This Row],[FECHA DE VAL.]]</f>
        <v>45786</v>
      </c>
      <c r="AW635" s="6">
        <f>DATA[[#This Row],[FECHA DE EMISION]]</f>
        <v>45790</v>
      </c>
      <c r="AX635" s="6">
        <f>DATA[[#This Row],[F1]]</f>
        <v>0</v>
      </c>
      <c r="AY635" s="20">
        <f>IF(AV635-DATA[[#This Row],[fecha_fs]]&lt;0,0,AV635-DATA[[#This Row],[fecha_fs]])</f>
        <v>0</v>
      </c>
      <c r="AZ635" s="20">
        <f t="shared" si="64"/>
        <v>4</v>
      </c>
      <c r="BA635" s="20">
        <f t="shared" si="65"/>
        <v>0</v>
      </c>
      <c r="BB635" s="195">
        <f>IFERROR(SUM(DATA[[#This Row],[fs_val_ttf]:[fact_pago_ttf]]),0)</f>
        <v>4</v>
      </c>
      <c r="BC635" s="185">
        <v>45786</v>
      </c>
      <c r="BD635" s="185">
        <v>45786</v>
      </c>
      <c r="BE635" s="185">
        <v>45790</v>
      </c>
      <c r="BF635" s="185">
        <v>45790</v>
      </c>
      <c r="BG635" s="20">
        <f>IFERROR(IF(BC635-DATA[[#This Row],[fecha_fs]]&lt;0,0,BC635-DATA[[#This Row],[fecha_fs]]),0)</f>
        <v>0</v>
      </c>
      <c r="BH635" s="20">
        <f t="shared" si="66"/>
        <v>0</v>
      </c>
      <c r="BI635" s="20">
        <f t="shared" si="67"/>
        <v>4</v>
      </c>
      <c r="BJ635" s="20">
        <f t="shared" si="68"/>
        <v>0</v>
      </c>
      <c r="BK635" s="218">
        <f>IFERROR(SUM(DATA[[#This Row],[fs_fd_ttd]:[fend_fenf_ttd]]),0)</f>
        <v>4</v>
      </c>
      <c r="BL635" s="20" t="str">
        <f>IF(DATA[[#This Row],[fecha_fs]]&gt;0,TEXT(DATA[[#This Row],[fecha_fs]],"YYYY"),0)</f>
        <v>2025</v>
      </c>
      <c r="BM635" s="221" t="b">
        <v>1</v>
      </c>
      <c r="BN635" s="278">
        <f>COUNTIF(DATA[[#This Row],[tiempo_td]], "&lt;=15")</f>
        <v>1</v>
      </c>
      <c r="BO635" s="222"/>
    </row>
    <row r="636" spans="1:67" ht="30.6" customHeight="1" x14ac:dyDescent="0.25">
      <c r="A636" s="4">
        <v>20100192064</v>
      </c>
      <c r="B636" s="5" t="s">
        <v>60</v>
      </c>
      <c r="C636" s="52" t="s">
        <v>43</v>
      </c>
      <c r="D636" s="4" t="s">
        <v>120</v>
      </c>
      <c r="E636" s="5" t="s">
        <v>3</v>
      </c>
      <c r="F636" s="24">
        <v>45786</v>
      </c>
      <c r="G636" s="7" t="s">
        <v>113</v>
      </c>
      <c r="H636" s="25">
        <f t="shared" si="63"/>
        <v>1</v>
      </c>
      <c r="I636" s="67">
        <v>4491</v>
      </c>
      <c r="J636" s="8" t="s">
        <v>115</v>
      </c>
      <c r="K636" s="9" t="s">
        <v>121</v>
      </c>
      <c r="L636" s="10" t="s">
        <v>117</v>
      </c>
      <c r="M636" s="11">
        <v>650</v>
      </c>
      <c r="N636" s="12" t="s">
        <v>125</v>
      </c>
      <c r="O636" s="6">
        <v>45803</v>
      </c>
      <c r="P636" s="71">
        <v>3460</v>
      </c>
      <c r="Q636" s="14" t="s">
        <v>123</v>
      </c>
      <c r="R636" s="15">
        <f>(DATA[[#This Row],[cantidad_fs]]/1000)*(47+174.34)</f>
        <v>143.87100000000001</v>
      </c>
      <c r="S636" s="15">
        <v>137</v>
      </c>
      <c r="T636" s="15">
        <f>DATA[[#This Row],[C. DF]]+DATA[[#This Row],[C.OPE.]]</f>
        <v>280.87099999999998</v>
      </c>
      <c r="U636" s="15">
        <f>DATA[[#This Row],[SUB TOTAL]]*0.18</f>
        <v>50.556779999999996</v>
      </c>
      <c r="V636" s="15">
        <f>IFERROR(ROUND(DATA[[#This Row],[SUB TOTAL]]+DATA[[#This Row],[IGV]],2),0)</f>
        <v>331.43</v>
      </c>
      <c r="W636" s="16" t="str">
        <f>IF(DATA[[#This Row],[VALORIZACIÓN ]]="-","NO CORRESPONDE",IF(OR(A636=20558226979,A636=10470707866,A636=20111157058,A636=20100226902),"NO CORRESPONDE",IF(J636="Emitida",IF(P636&gt;0,"EMITIDA","PENDIENTE"),"NO CORRESPONDE")))</f>
        <v>EMITIDA</v>
      </c>
      <c r="X636" s="29"/>
      <c r="Y636" s="17" t="s">
        <v>118</v>
      </c>
      <c r="Z636" s="30">
        <v>45804</v>
      </c>
      <c r="AA636" s="10" t="s">
        <v>150</v>
      </c>
      <c r="AB636" s="19">
        <v>97</v>
      </c>
      <c r="AC636" s="20">
        <v>30</v>
      </c>
      <c r="AD636" s="18">
        <f>DATA[[#This Row],[FECHA DE EMISION]]+DATA[[#This Row],[CONDICION DE PAGO]]</f>
        <v>45834</v>
      </c>
      <c r="AE636" s="23" t="e">
        <f>IF(DATA[[#This Row],[MONEDA]]="USD",VLOOKUP(DATA[[#This Row],[COMBINADA]],#REF!,11,0),1)</f>
        <v>#REF!</v>
      </c>
      <c r="AF636" s="39" t="str">
        <f>IF(DATA[[#This Row],[SERIE2]]="-","NO CORRESPONDE",IF(W636="NO CORRESPONDE","NO CORRESPONDE",IF(Z636&gt;0,"FACTURADO","PENDIENTE")))</f>
        <v>FACTURADO</v>
      </c>
      <c r="AG636" s="27">
        <f>IFERROR(VLOOKUP(DATA[[#This Row],[COMBINADA]],#REF!,6,0),0)</f>
        <v>0</v>
      </c>
      <c r="AH636" s="125">
        <f>IFERROR(VLOOKUP(DATA[[#This Row],[COMBINADA]],#REF!,9,0),0)/COUNTIFS(DATA[COMBINADA],DATA[[#This Row],[COMBINADA]])</f>
        <v>0</v>
      </c>
      <c r="AI636" s="27">
        <f>IFERROR(VLOOKUP(DATA[[#This Row],[COMBINADA]],#REF!,6,0),0)</f>
        <v>0</v>
      </c>
      <c r="AJ636" s="125">
        <f>IFERROR(VLOOKUP(DATA[[#This Row],[COMBINADA]],#REF!,9,0),0)/COUNTIFS(DATA[COMBINADA],DATA[[#This Row],[COMBINADA]])</f>
        <v>0</v>
      </c>
      <c r="AK636" s="27">
        <f>IFERROR(VLOOKUP(DATA[[#This Row],[COMBINADA]],#REF!,6,0),0)</f>
        <v>0</v>
      </c>
      <c r="AL636" s="125">
        <f>IFERROR(VLOOKUP(DATA[[#This Row],[COMBINADA]],#REF!,9,0),0)/COUNTIFS(DATA[COMBINADA],DATA[[#This Row],[COMBINADA]])</f>
        <v>0</v>
      </c>
      <c r="AM636" s="27">
        <f>IFERROR(VLOOKUP(DATA[[#This Row],[COMBINADA]],#REF!,6,0),0)</f>
        <v>0</v>
      </c>
      <c r="AN636" s="125">
        <f>IFERROR(VLOOKUP(DATA[[#This Row],[COMBINADA]],#REF!,9,0),0)/COUNTIFS(DATA[COMBINADA],DATA[[#This Row],[COMBINADA]])</f>
        <v>0</v>
      </c>
      <c r="AO636" s="27">
        <f>IFERROR(VLOOKUP(DATA[[#This Row],[COMBINADA]],#REF!,6,0),0)</f>
        <v>0</v>
      </c>
      <c r="AP636" s="125">
        <f>IFERROR(VLOOKUP(DATA[[#This Row],[COMBINADA]],#REF!,9,0),0)/COUNTIFS(DATA[COMBINADA],DATA[[#This Row],[COMBINADA]])</f>
        <v>0</v>
      </c>
      <c r="AQ63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685.70466666666675</v>
      </c>
      <c r="AR636" s="26" t="str">
        <f>IFERROR(IF(DATA[[#This Row],[estado_fact]]="FACTURADO",VLOOKUP(DATA[[#This Row],[SERIE2]]&amp;"-"&amp;DATA[[#This Row],[NUMERO]],#REF!,34,0),"NO CORRESPONDE"),"NO CORRESPONDE")</f>
        <v>NO CORRESPONDE</v>
      </c>
      <c r="AS636" s="22" t="str">
        <f>IF(DATA[[#This Row],[fecha_fs]]&gt;0,TEXT(DATA[[#This Row],[fecha_fs]],"Mmmm"),0)</f>
        <v>Mayo</v>
      </c>
      <c r="AT636" s="22" t="str">
        <f>DATA[[#This Row],[SERIE2]]&amp;"-"&amp;DATA[[#This Row],[NUMERO]]</f>
        <v>FF01-97</v>
      </c>
      <c r="AU636" s="28" t="e">
        <f>DATA[[#This Row],[TOTAL]]*DATA[[#This Row],[T.C.]]</f>
        <v>#REF!</v>
      </c>
      <c r="AV636" s="6">
        <f>DATA[[#This Row],[FECHA DE VAL.]]</f>
        <v>45803</v>
      </c>
      <c r="AW636" s="6">
        <f>DATA[[#This Row],[FECHA DE EMISION]]</f>
        <v>45804</v>
      </c>
      <c r="AX636" s="6">
        <f>DATA[[#This Row],[F1]]</f>
        <v>0</v>
      </c>
      <c r="AY636" s="20">
        <f>IF(AV636-DATA[[#This Row],[fecha_fs]]&lt;0,0,AV636-DATA[[#This Row],[fecha_fs]])</f>
        <v>17</v>
      </c>
      <c r="AZ636" s="20">
        <f t="shared" si="64"/>
        <v>1</v>
      </c>
      <c r="BA636" s="20">
        <f t="shared" si="65"/>
        <v>0</v>
      </c>
      <c r="BB636" s="195">
        <f>IFERROR(SUM(DATA[[#This Row],[fs_val_ttf]:[fact_pago_ttf]]),0)</f>
        <v>18</v>
      </c>
      <c r="BC636" s="185">
        <v>45817</v>
      </c>
      <c r="BD636" s="185">
        <v>45828</v>
      </c>
      <c r="BE636" s="185">
        <v>45831</v>
      </c>
      <c r="BF636" s="185">
        <v>45863</v>
      </c>
      <c r="BG636" s="20">
        <f>IFERROR(IF(BC636-DATA[[#This Row],[fecha_fs]]&lt;0,0,BC636-DATA[[#This Row],[fecha_fs]]),0)</f>
        <v>31</v>
      </c>
      <c r="BH636" s="20">
        <f t="shared" si="66"/>
        <v>11</v>
      </c>
      <c r="BI636" s="20">
        <f t="shared" si="67"/>
        <v>3</v>
      </c>
      <c r="BJ636" s="20">
        <f t="shared" si="68"/>
        <v>32</v>
      </c>
      <c r="BK636" s="218">
        <f>IFERROR(SUM(DATA[[#This Row],[fs_fd_ttd]:[fend_fenf_ttd]]),0)</f>
        <v>77</v>
      </c>
      <c r="BL636" s="20" t="str">
        <f>IF(DATA[[#This Row],[fecha_fs]]&gt;0,TEXT(DATA[[#This Row],[fecha_fs]],"YYYY"),0)</f>
        <v>2025</v>
      </c>
      <c r="BM636" s="221" t="b">
        <v>1</v>
      </c>
      <c r="BN636" s="278">
        <f>COUNTIF(DATA[[#This Row],[tiempo_td]], "&lt;=15")</f>
        <v>0</v>
      </c>
      <c r="BO636" s="222"/>
    </row>
    <row r="637" spans="1:67" ht="30.6" customHeight="1" x14ac:dyDescent="0.25">
      <c r="A637" s="4">
        <v>20100211115</v>
      </c>
      <c r="B637" s="5" t="s">
        <v>41</v>
      </c>
      <c r="C637" s="52" t="s">
        <v>18</v>
      </c>
      <c r="D637" s="4" t="s">
        <v>120</v>
      </c>
      <c r="E637" s="5" t="s">
        <v>3</v>
      </c>
      <c r="F637" s="24">
        <v>45786</v>
      </c>
      <c r="G637" s="7" t="s">
        <v>113</v>
      </c>
      <c r="H637" s="25">
        <f t="shared" ref="H637:H700" si="69">IF(G637="","",IF(G637="LIM",2,1))</f>
        <v>1</v>
      </c>
      <c r="I637" s="67">
        <v>4492</v>
      </c>
      <c r="J637" s="8" t="s">
        <v>115</v>
      </c>
      <c r="K637" s="9" t="s">
        <v>121</v>
      </c>
      <c r="L637" s="10" t="s">
        <v>117</v>
      </c>
      <c r="M637" s="11">
        <v>90</v>
      </c>
      <c r="N637" s="12" t="s">
        <v>167</v>
      </c>
      <c r="O637" s="6">
        <v>45803</v>
      </c>
      <c r="P637" s="115">
        <v>3455</v>
      </c>
      <c r="Q637" s="14" t="s">
        <v>85</v>
      </c>
      <c r="R637" s="15"/>
      <c r="S637" s="15">
        <f>(DATA[[#This Row],[cantidad_fs]]*4.37)</f>
        <v>393.3</v>
      </c>
      <c r="T637" s="15">
        <f>DATA[[#This Row],[C. DF]]+DATA[[#This Row],[C.OPE.]]</f>
        <v>393.3</v>
      </c>
      <c r="U637" s="15">
        <f>DATA[[#This Row],[SUB TOTAL]]*0.18</f>
        <v>70.793999999999997</v>
      </c>
      <c r="V637" s="15">
        <f>IFERROR(ROUND(DATA[[#This Row],[SUB TOTAL]]+DATA[[#This Row],[IGV]],2),0)</f>
        <v>464.09</v>
      </c>
      <c r="W637" s="16" t="str">
        <f>IF(DATA[[#This Row],[VALORIZACIÓN ]]="-","NO CORRESPONDE",IF(OR(A637=20558226979,A637=10470707866,A637=20111157058,A637=20100226902),"NO CORRESPONDE",IF(J637="Emitida",IF(P637&gt;0,"EMITIDA","PENDIENTE"),"NO CORRESPONDE")))</f>
        <v>EMITIDA</v>
      </c>
      <c r="X637" s="29"/>
      <c r="Y637" s="17" t="s">
        <v>118</v>
      </c>
      <c r="Z637" s="30">
        <v>45804</v>
      </c>
      <c r="AA637" s="10" t="s">
        <v>150</v>
      </c>
      <c r="AB637" s="19">
        <v>94</v>
      </c>
      <c r="AC637" s="20">
        <v>30</v>
      </c>
      <c r="AD637" s="18">
        <f>DATA[[#This Row],[FECHA DE EMISION]]+DATA[[#This Row],[CONDICION DE PAGO]]</f>
        <v>45834</v>
      </c>
      <c r="AE637" s="23">
        <f>IF(DATA[[#This Row],[MONEDA]]="USD",VLOOKUP(DATA[[#This Row],[COMBINADA]],#REF!,11,0),1)</f>
        <v>1</v>
      </c>
      <c r="AF637" s="39" t="str">
        <f>IF(DATA[[#This Row],[SERIE2]]="-","NO CORRESPONDE",IF(W637="NO CORRESPONDE","NO CORRESPONDE",IF(Z637&gt;0,"FACTURADO","PENDIENTE")))</f>
        <v>FACTURADO</v>
      </c>
      <c r="AG637" s="27">
        <f>IFERROR(VLOOKUP(DATA[[#This Row],[COMBINADA]],#REF!,6,0),0)</f>
        <v>0</v>
      </c>
      <c r="AH637" s="125">
        <f>IFERROR(VLOOKUP(DATA[[#This Row],[COMBINADA]],#REF!,9,0),0)/COUNTIFS(DATA[COMBINADA],DATA[[#This Row],[COMBINADA]])</f>
        <v>0</v>
      </c>
      <c r="AI637" s="27">
        <f>IFERROR(VLOOKUP(DATA[[#This Row],[COMBINADA]],#REF!,6,0),0)</f>
        <v>0</v>
      </c>
      <c r="AJ637" s="125">
        <f>IFERROR(VLOOKUP(DATA[[#This Row],[COMBINADA]],#REF!,9,0),0)/COUNTIFS(DATA[COMBINADA],DATA[[#This Row],[COMBINADA]])</f>
        <v>0</v>
      </c>
      <c r="AK637" s="27">
        <f>IFERROR(VLOOKUP(DATA[[#This Row],[COMBINADA]],#REF!,6,0),0)</f>
        <v>0</v>
      </c>
      <c r="AL637" s="125">
        <f>IFERROR(VLOOKUP(DATA[[#This Row],[COMBINADA]],#REF!,9,0),0)/COUNTIFS(DATA[COMBINADA],DATA[[#This Row],[COMBINADA]])</f>
        <v>0</v>
      </c>
      <c r="AM637" s="27">
        <f>IFERROR(VLOOKUP(DATA[[#This Row],[COMBINADA]],#REF!,6,0),0)</f>
        <v>0</v>
      </c>
      <c r="AN637" s="125">
        <f>IFERROR(VLOOKUP(DATA[[#This Row],[COMBINADA]],#REF!,9,0),0)/COUNTIFS(DATA[COMBINADA],DATA[[#This Row],[COMBINADA]])</f>
        <v>0</v>
      </c>
      <c r="AO637" s="27">
        <f>IFERROR(VLOOKUP(DATA[[#This Row],[COMBINADA]],#REF!,6,0),0)</f>
        <v>0</v>
      </c>
      <c r="AP637" s="125">
        <f>IFERROR(VLOOKUP(DATA[[#This Row],[COMBINADA]],#REF!,9,0),0)/COUNTIFS(DATA[COMBINADA],DATA[[#This Row],[COMBINADA]])</f>
        <v>0</v>
      </c>
      <c r="AQ63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637" s="26" t="str">
        <f>IFERROR(IF(DATA[[#This Row],[estado_fact]]="FACTURADO",VLOOKUP(DATA[[#This Row],[SERIE2]]&amp;"-"&amp;DATA[[#This Row],[NUMERO]],#REF!,34,0),"NO CORRESPONDE"),"NO CORRESPONDE")</f>
        <v>NO CORRESPONDE</v>
      </c>
      <c r="AS637" s="22" t="str">
        <f>IF(DATA[[#This Row],[fecha_fs]]&gt;0,TEXT(DATA[[#This Row],[fecha_fs]],"Mmmm"),0)</f>
        <v>Mayo</v>
      </c>
      <c r="AT637" s="22" t="str">
        <f>DATA[[#This Row],[SERIE2]]&amp;"-"&amp;DATA[[#This Row],[NUMERO]]</f>
        <v>FF01-94</v>
      </c>
      <c r="AU637" s="28">
        <f>DATA[[#This Row],[TOTAL]]*DATA[[#This Row],[T.C.]]</f>
        <v>464.09</v>
      </c>
      <c r="AV637" s="6">
        <f>DATA[[#This Row],[FECHA DE VAL.]]</f>
        <v>45803</v>
      </c>
      <c r="AW637" s="6">
        <f>DATA[[#This Row],[FECHA DE EMISION]]</f>
        <v>45804</v>
      </c>
      <c r="AX637" s="6">
        <f>DATA[[#This Row],[F1]]</f>
        <v>0</v>
      </c>
      <c r="AY637" s="20">
        <f>IF(AV637-DATA[[#This Row],[fecha_fs]]&lt;0,0,AV637-DATA[[#This Row],[fecha_fs]])</f>
        <v>17</v>
      </c>
      <c r="AZ637" s="20">
        <f t="shared" si="64"/>
        <v>1</v>
      </c>
      <c r="BA637" s="20">
        <f t="shared" si="65"/>
        <v>0</v>
      </c>
      <c r="BB637" s="195">
        <f>IFERROR(SUM(DATA[[#This Row],[fs_val_ttf]:[fact_pago_ttf]]),0)</f>
        <v>18</v>
      </c>
      <c r="BC637" s="185">
        <v>45807</v>
      </c>
      <c r="BD637" s="185">
        <v>45814</v>
      </c>
      <c r="BE637" s="185">
        <v>45814</v>
      </c>
      <c r="BF637" s="185">
        <v>45821</v>
      </c>
      <c r="BG637" s="20">
        <f>IFERROR(IF(BC637-DATA[[#This Row],[fecha_fs]]&lt;0,0,BC637-DATA[[#This Row],[fecha_fs]]),0)</f>
        <v>21</v>
      </c>
      <c r="BH637" s="20">
        <f t="shared" si="66"/>
        <v>7</v>
      </c>
      <c r="BI637" s="20">
        <f t="shared" si="67"/>
        <v>0</v>
      </c>
      <c r="BJ637" s="20">
        <f t="shared" si="68"/>
        <v>7</v>
      </c>
      <c r="BK637" s="218">
        <f>IFERROR(SUM(DATA[[#This Row],[fs_fd_ttd]:[fend_fenf_ttd]]),0)</f>
        <v>35</v>
      </c>
      <c r="BL637" s="20" t="str">
        <f>IF(DATA[[#This Row],[fecha_fs]]&gt;0,TEXT(DATA[[#This Row],[fecha_fs]],"YYYY"),0)</f>
        <v>2025</v>
      </c>
      <c r="BM637" s="221" t="b">
        <v>1</v>
      </c>
      <c r="BN637" s="278">
        <f>COUNTIF(DATA[[#This Row],[tiempo_td]], "&lt;=15")</f>
        <v>0</v>
      </c>
      <c r="BO637" s="222"/>
    </row>
    <row r="638" spans="1:67" ht="30.6" customHeight="1" x14ac:dyDescent="0.25">
      <c r="A638" s="4">
        <v>20553956324</v>
      </c>
      <c r="B638" s="5" t="s">
        <v>281</v>
      </c>
      <c r="C638" s="52" t="s">
        <v>175</v>
      </c>
      <c r="D638" s="4" t="s">
        <v>120</v>
      </c>
      <c r="E638" s="5" t="s">
        <v>3</v>
      </c>
      <c r="F638" s="24">
        <v>45786</v>
      </c>
      <c r="G638" s="7" t="s">
        <v>113</v>
      </c>
      <c r="H638" s="25">
        <f t="shared" si="69"/>
        <v>1</v>
      </c>
      <c r="I638" s="67">
        <v>4493</v>
      </c>
      <c r="J638" s="8" t="s">
        <v>115</v>
      </c>
      <c r="K638" s="9" t="s">
        <v>121</v>
      </c>
      <c r="L638" s="10" t="s">
        <v>117</v>
      </c>
      <c r="M638" s="11">
        <v>130</v>
      </c>
      <c r="N638" s="12" t="s">
        <v>141</v>
      </c>
      <c r="O638" s="6">
        <v>45803</v>
      </c>
      <c r="P638" s="109">
        <v>3458</v>
      </c>
      <c r="Q638" s="14" t="s">
        <v>85</v>
      </c>
      <c r="R638" s="15">
        <f>DATA[[#This Row],[cantidad_fs]]*0.08</f>
        <v>10.4</v>
      </c>
      <c r="S638" s="15">
        <v>395.1</v>
      </c>
      <c r="T638" s="15">
        <f>DATA[[#This Row],[C. DF]]+DATA[[#This Row],[C.OPE.]]</f>
        <v>405.5</v>
      </c>
      <c r="U638" s="15">
        <f>DATA[[#This Row],[SUB TOTAL]]*0.18</f>
        <v>72.989999999999995</v>
      </c>
      <c r="V638" s="15">
        <f>IFERROR(ROUND(DATA[[#This Row],[SUB TOTAL]]+DATA[[#This Row],[IGV]],2),0)</f>
        <v>478.49</v>
      </c>
      <c r="W638" s="16" t="str">
        <f>IF(DATA[[#This Row],[VALORIZACIÓN ]]="-","NO CORRESPONDE",IF(OR(A638=20558226979,A638=10470707866,A638=20111157058,A638=20100226902),"NO CORRESPONDE",IF(J638="Emitida",IF(P638&gt;0,"EMITIDA","PENDIENTE"),"NO CORRESPONDE")))</f>
        <v>EMITIDA</v>
      </c>
      <c r="X638" s="29" t="s">
        <v>234</v>
      </c>
      <c r="Y638" s="17" t="s">
        <v>118</v>
      </c>
      <c r="Z638" s="30">
        <v>45845</v>
      </c>
      <c r="AA638" s="10" t="s">
        <v>150</v>
      </c>
      <c r="AB638" s="19">
        <v>143</v>
      </c>
      <c r="AC638" s="20">
        <v>0</v>
      </c>
      <c r="AD638" s="18">
        <f>DATA[[#This Row],[FECHA DE EMISION]]+DATA[[#This Row],[CONDICION DE PAGO]]</f>
        <v>45845</v>
      </c>
      <c r="AE638" s="23">
        <f>IF(DATA[[#This Row],[MONEDA]]="USD",VLOOKUP(DATA[[#This Row],[COMBINADA]],#REF!,11,0),1)</f>
        <v>1</v>
      </c>
      <c r="AF638" s="39" t="str">
        <f>IF(DATA[[#This Row],[SERIE2]]="-","NO CORRESPONDE",IF(W638="NO CORRESPONDE","NO CORRESPONDE",IF(Z638&gt;0,"FACTURADO","PENDIENTE")))</f>
        <v>FACTURADO</v>
      </c>
      <c r="AG638" s="27">
        <f>IFERROR(VLOOKUP(DATA[[#This Row],[COMBINADA]],#REF!,6,0),0)</f>
        <v>0</v>
      </c>
      <c r="AH638" s="125">
        <f>IFERROR(VLOOKUP(DATA[[#This Row],[COMBINADA]],#REF!,9,0),0)/COUNTIFS(DATA[COMBINADA],DATA[[#This Row],[COMBINADA]])</f>
        <v>0</v>
      </c>
      <c r="AI638" s="27">
        <f>IFERROR(VLOOKUP(DATA[[#This Row],[COMBINADA]],#REF!,6,0),0)</f>
        <v>0</v>
      </c>
      <c r="AJ638" s="125">
        <f>IFERROR(VLOOKUP(DATA[[#This Row],[COMBINADA]],#REF!,9,0),0)/COUNTIFS(DATA[COMBINADA],DATA[[#This Row],[COMBINADA]])</f>
        <v>0</v>
      </c>
      <c r="AK638" s="27">
        <f>IFERROR(VLOOKUP(DATA[[#This Row],[COMBINADA]],#REF!,6,0),0)</f>
        <v>0</v>
      </c>
      <c r="AL638" s="125">
        <f>IFERROR(VLOOKUP(DATA[[#This Row],[COMBINADA]],#REF!,9,0),0)/COUNTIFS(DATA[COMBINADA],DATA[[#This Row],[COMBINADA]])</f>
        <v>0</v>
      </c>
      <c r="AM638" s="27">
        <f>IFERROR(VLOOKUP(DATA[[#This Row],[COMBINADA]],#REF!,6,0),0)</f>
        <v>0</v>
      </c>
      <c r="AN638" s="125">
        <f>IFERROR(VLOOKUP(DATA[[#This Row],[COMBINADA]],#REF!,9,0),0)/COUNTIFS(DATA[COMBINADA],DATA[[#This Row],[COMBINADA]])</f>
        <v>0</v>
      </c>
      <c r="AO638" s="27">
        <f>IFERROR(VLOOKUP(DATA[[#This Row],[COMBINADA]],#REF!,6,0),0)</f>
        <v>0</v>
      </c>
      <c r="AP638" s="125">
        <f>IFERROR(VLOOKUP(DATA[[#This Row],[COMBINADA]],#REF!,9,0),0)/COUNTIFS(DATA[COMBINADA],DATA[[#This Row],[COMBINADA]])</f>
        <v>0</v>
      </c>
      <c r="AQ63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481.06363636363642</v>
      </c>
      <c r="AR638" s="26" t="str">
        <f>IFERROR(IF(DATA[[#This Row],[estado_fact]]="FACTURADO",VLOOKUP(DATA[[#This Row],[SERIE2]]&amp;"-"&amp;DATA[[#This Row],[NUMERO]],#REF!,34,0),"NO CORRESPONDE"),"NO CORRESPONDE")</f>
        <v>NO CORRESPONDE</v>
      </c>
      <c r="AS638" s="22" t="str">
        <f>IF(DATA[[#This Row],[fecha_fs]]&gt;0,TEXT(DATA[[#This Row],[fecha_fs]],"Mmmm"),0)</f>
        <v>Mayo</v>
      </c>
      <c r="AT638" s="22" t="str">
        <f>DATA[[#This Row],[SERIE2]]&amp;"-"&amp;DATA[[#This Row],[NUMERO]]</f>
        <v>FF01-143</v>
      </c>
      <c r="AU638" s="28">
        <f>DATA[[#This Row],[TOTAL]]*DATA[[#This Row],[T.C.]]</f>
        <v>478.49</v>
      </c>
      <c r="AV638" s="6">
        <f>DATA[[#This Row],[FECHA DE VAL.]]</f>
        <v>45803</v>
      </c>
      <c r="AW638" s="6">
        <f>DATA[[#This Row],[FECHA DE EMISION]]</f>
        <v>45845</v>
      </c>
      <c r="AX638" s="6">
        <f>DATA[[#This Row],[F1]]</f>
        <v>0</v>
      </c>
      <c r="AY638" s="20">
        <f>IF(AV638-DATA[[#This Row],[fecha_fs]]&lt;0,0,AV638-DATA[[#This Row],[fecha_fs]])</f>
        <v>17</v>
      </c>
      <c r="AZ638" s="20">
        <f t="shared" ref="AZ638:AZ701" si="70">IF(AW638-AV638&lt;0,0,AW638-AV638)</f>
        <v>42</v>
      </c>
      <c r="BA638" s="20">
        <f t="shared" ref="BA638:BA701" si="71">IF(AX638-AW638&lt;0,0,AX638-AW638)</f>
        <v>0</v>
      </c>
      <c r="BB638" s="195">
        <f>IFERROR(SUM(DATA[[#This Row],[fs_val_ttf]:[fact_pago_ttf]]),0)</f>
        <v>59</v>
      </c>
      <c r="BC638" s="185">
        <v>45821</v>
      </c>
      <c r="BD638" s="185">
        <v>45828</v>
      </c>
      <c r="BE638" s="185">
        <v>45831</v>
      </c>
      <c r="BF638" s="185">
        <v>45832</v>
      </c>
      <c r="BG638" s="20">
        <f>IFERROR(IF(BC638-DATA[[#This Row],[fecha_fs]]&lt;0,0,BC638-DATA[[#This Row],[fecha_fs]]),0)</f>
        <v>35</v>
      </c>
      <c r="BH638" s="20">
        <f t="shared" si="66"/>
        <v>7</v>
      </c>
      <c r="BI638" s="20">
        <f t="shared" si="67"/>
        <v>3</v>
      </c>
      <c r="BJ638" s="20">
        <f t="shared" si="68"/>
        <v>1</v>
      </c>
      <c r="BK638" s="218">
        <f>IFERROR(SUM(DATA[[#This Row],[fs_fd_ttd]:[fend_fenf_ttd]]),0)</f>
        <v>46</v>
      </c>
      <c r="BL638" s="20" t="str">
        <f>IF(DATA[[#This Row],[fecha_fs]]&gt;0,TEXT(DATA[[#This Row],[fecha_fs]],"YYYY"),0)</f>
        <v>2025</v>
      </c>
      <c r="BM638" s="221" t="b">
        <v>0</v>
      </c>
      <c r="BN638" s="278">
        <f>COUNTIF(DATA[[#This Row],[tiempo_td]], "&lt;=15")</f>
        <v>0</v>
      </c>
      <c r="BO638" s="222"/>
    </row>
    <row r="639" spans="1:67" ht="30.6" customHeight="1" x14ac:dyDescent="0.25">
      <c r="A639" s="4">
        <v>20100211115</v>
      </c>
      <c r="B639" s="5" t="s">
        <v>41</v>
      </c>
      <c r="C639" s="52" t="s">
        <v>18</v>
      </c>
      <c r="D639" s="4" t="s">
        <v>112</v>
      </c>
      <c r="E639" s="5" t="s">
        <v>1</v>
      </c>
      <c r="F639" s="24">
        <v>45786</v>
      </c>
      <c r="G639" s="7" t="s">
        <v>113</v>
      </c>
      <c r="H639" s="25">
        <f t="shared" si="69"/>
        <v>1</v>
      </c>
      <c r="I639" s="67">
        <v>4494</v>
      </c>
      <c r="J639" s="8" t="s">
        <v>115</v>
      </c>
      <c r="K639" s="9" t="s">
        <v>116</v>
      </c>
      <c r="L639" s="10" t="s">
        <v>117</v>
      </c>
      <c r="M639" s="11">
        <v>13</v>
      </c>
      <c r="N639" s="12" t="s">
        <v>132</v>
      </c>
      <c r="O639" s="6">
        <v>45803</v>
      </c>
      <c r="P639" s="115">
        <v>3456</v>
      </c>
      <c r="Q639" s="14" t="s">
        <v>85</v>
      </c>
      <c r="R639" s="15"/>
      <c r="S639" s="15">
        <f>(DATA[[#This Row],[cantidad_fs]]*4.57)</f>
        <v>59.410000000000004</v>
      </c>
      <c r="T639" s="15">
        <f>DATA[[#This Row],[C.OPE.]]</f>
        <v>59.410000000000004</v>
      </c>
      <c r="U639" s="15">
        <f>DATA[[#This Row],[SUB TOTAL]]*0.18</f>
        <v>10.6938</v>
      </c>
      <c r="V639" s="15">
        <f>IFERROR(ROUND(DATA[[#This Row],[SUB TOTAL]]+DATA[[#This Row],[IGV]],2),0)</f>
        <v>70.099999999999994</v>
      </c>
      <c r="W639" s="16" t="str">
        <f>IF(DATA[[#This Row],[VALORIZACIÓN ]]="-","NO CORRESPONDE",IF(OR(A639=20558226979,A639=10470707866,A639=20111157058,A639=20100226902),"NO CORRESPONDE",IF(J639="Emitida",IF(P639&gt;0,"EMITIDA","PENDIENTE"),"NO CORRESPONDE")))</f>
        <v>EMITIDA</v>
      </c>
      <c r="X639" s="29"/>
      <c r="Y639" s="17" t="s">
        <v>118</v>
      </c>
      <c r="Z639" s="30">
        <v>45784</v>
      </c>
      <c r="AA639" s="10" t="s">
        <v>150</v>
      </c>
      <c r="AB639" s="19">
        <v>95</v>
      </c>
      <c r="AC639" s="20">
        <v>30</v>
      </c>
      <c r="AD639" s="18">
        <f>DATA[[#This Row],[FECHA DE EMISION]]+DATA[[#This Row],[CONDICION DE PAGO]]</f>
        <v>45814</v>
      </c>
      <c r="AE639" s="23">
        <f>IF(DATA[[#This Row],[MONEDA]]="USD",VLOOKUP(DATA[[#This Row],[COMBINADA]],#REF!,11,0),1)</f>
        <v>1</v>
      </c>
      <c r="AF639" s="39" t="str">
        <f>IF(DATA[[#This Row],[SERIE2]]="-","NO CORRESPONDE",IF(W639="NO CORRESPONDE","NO CORRESPONDE",IF(Z639&gt;0,"FACTURADO","PENDIENTE")))</f>
        <v>FACTURADO</v>
      </c>
      <c r="AG639" s="27">
        <f>IFERROR(VLOOKUP(DATA[[#This Row],[COMBINADA]],#REF!,6,0),0)</f>
        <v>0</v>
      </c>
      <c r="AH639" s="125">
        <f>IFERROR(VLOOKUP(DATA[[#This Row],[COMBINADA]],#REF!,9,0),0)/COUNTIFS(DATA[COMBINADA],DATA[[#This Row],[COMBINADA]])</f>
        <v>0</v>
      </c>
      <c r="AI639" s="27">
        <f>IFERROR(VLOOKUP(DATA[[#This Row],[COMBINADA]],#REF!,6,0),0)</f>
        <v>0</v>
      </c>
      <c r="AJ639" s="125">
        <f>IFERROR(VLOOKUP(DATA[[#This Row],[COMBINADA]],#REF!,9,0),0)/COUNTIFS(DATA[COMBINADA],DATA[[#This Row],[COMBINADA]])</f>
        <v>0</v>
      </c>
      <c r="AK639" s="27">
        <f>IFERROR(VLOOKUP(DATA[[#This Row],[COMBINADA]],#REF!,6,0),0)</f>
        <v>0</v>
      </c>
      <c r="AL639" s="125">
        <f>IFERROR(VLOOKUP(DATA[[#This Row],[COMBINADA]],#REF!,9,0),0)/COUNTIFS(DATA[COMBINADA],DATA[[#This Row],[COMBINADA]])</f>
        <v>0</v>
      </c>
      <c r="AM639" s="27">
        <f>IFERROR(VLOOKUP(DATA[[#This Row],[COMBINADA]],#REF!,6,0),0)</f>
        <v>0</v>
      </c>
      <c r="AN639" s="125">
        <f>IFERROR(VLOOKUP(DATA[[#This Row],[COMBINADA]],#REF!,9,0),0)/COUNTIFS(DATA[COMBINADA],DATA[[#This Row],[COMBINADA]])</f>
        <v>0</v>
      </c>
      <c r="AO639" s="27">
        <f>IFERROR(VLOOKUP(DATA[[#This Row],[COMBINADA]],#REF!,6,0),0)</f>
        <v>0</v>
      </c>
      <c r="AP639" s="125">
        <f>IFERROR(VLOOKUP(DATA[[#This Row],[COMBINADA]],#REF!,9,0),0)/COUNTIFS(DATA[COMBINADA],DATA[[#This Row],[COMBINADA]])</f>
        <v>0</v>
      </c>
      <c r="AQ63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88.076666666666668</v>
      </c>
      <c r="AR639" s="26" t="str">
        <f>IFERROR(IF(DATA[[#This Row],[estado_fact]]="FACTURADO",VLOOKUP(DATA[[#This Row],[SERIE2]]&amp;"-"&amp;DATA[[#This Row],[NUMERO]],#REF!,34,0),"NO CORRESPONDE"),"NO CORRESPONDE")</f>
        <v>NO CORRESPONDE</v>
      </c>
      <c r="AS639" s="22" t="str">
        <f>IF(DATA[[#This Row],[fecha_fs]]&gt;0,TEXT(DATA[[#This Row],[fecha_fs]],"Mmmm"),0)</f>
        <v>Mayo</v>
      </c>
      <c r="AT639" s="22" t="str">
        <f>DATA[[#This Row],[SERIE2]]&amp;"-"&amp;DATA[[#This Row],[NUMERO]]</f>
        <v>FF01-95</v>
      </c>
      <c r="AU639" s="28">
        <f>DATA[[#This Row],[TOTAL]]*DATA[[#This Row],[T.C.]]</f>
        <v>70.099999999999994</v>
      </c>
      <c r="AV639" s="6">
        <f>DATA[[#This Row],[FECHA DE VAL.]]</f>
        <v>45803</v>
      </c>
      <c r="AW639" s="6">
        <f>DATA[[#This Row],[FECHA DE EMISION]]</f>
        <v>45784</v>
      </c>
      <c r="AX639" s="6">
        <f>DATA[[#This Row],[F1]]</f>
        <v>0</v>
      </c>
      <c r="AY639" s="20">
        <f>IF(AV639-DATA[[#This Row],[fecha_fs]]&lt;0,0,AV639-DATA[[#This Row],[fecha_fs]])</f>
        <v>17</v>
      </c>
      <c r="AZ639" s="20">
        <f t="shared" si="70"/>
        <v>0</v>
      </c>
      <c r="BA639" s="20">
        <f t="shared" si="71"/>
        <v>0</v>
      </c>
      <c r="BB639" s="195">
        <f>IFERROR(SUM(DATA[[#This Row],[fs_val_ttf]:[fact_pago_ttf]]),0)</f>
        <v>17</v>
      </c>
      <c r="BC639" s="185">
        <v>45806</v>
      </c>
      <c r="BD639" s="185">
        <v>45814</v>
      </c>
      <c r="BE639" s="185">
        <v>45814</v>
      </c>
      <c r="BF639" s="185">
        <v>45817</v>
      </c>
      <c r="BG639" s="20">
        <f>IFERROR(IF(BC639-DATA[[#This Row],[fecha_fs]]&lt;0,0,BC639-DATA[[#This Row],[fecha_fs]]),0)</f>
        <v>20</v>
      </c>
      <c r="BH639" s="20">
        <f t="shared" si="66"/>
        <v>8</v>
      </c>
      <c r="BI639" s="20">
        <f t="shared" si="67"/>
        <v>0</v>
      </c>
      <c r="BJ639" s="20">
        <f t="shared" si="68"/>
        <v>3</v>
      </c>
      <c r="BK639" s="218">
        <f>IFERROR(SUM(DATA[[#This Row],[fs_fd_ttd]:[fend_fenf_ttd]]),0)</f>
        <v>31</v>
      </c>
      <c r="BL639" s="20" t="str">
        <f>IF(DATA[[#This Row],[fecha_fs]]&gt;0,TEXT(DATA[[#This Row],[fecha_fs]],"YYYY"),0)</f>
        <v>2025</v>
      </c>
      <c r="BM639" s="221" t="b">
        <v>1</v>
      </c>
      <c r="BN639" s="278">
        <f>COUNTIF(DATA[[#This Row],[tiempo_td]], "&lt;=15")</f>
        <v>0</v>
      </c>
      <c r="BO639" s="222"/>
    </row>
    <row r="640" spans="1:67" ht="30.6" customHeight="1" x14ac:dyDescent="0.25">
      <c r="A640" s="4">
        <v>20496535066</v>
      </c>
      <c r="B640" s="5" t="s">
        <v>36</v>
      </c>
      <c r="C640" s="52" t="s">
        <v>230</v>
      </c>
      <c r="D640" s="4" t="s">
        <v>290</v>
      </c>
      <c r="E640" s="5" t="s">
        <v>294</v>
      </c>
      <c r="F640" s="24">
        <v>45784</v>
      </c>
      <c r="G640" s="7" t="s">
        <v>113</v>
      </c>
      <c r="H640" s="25">
        <f t="shared" si="69"/>
        <v>1</v>
      </c>
      <c r="I640" s="67">
        <v>4495</v>
      </c>
      <c r="J640" s="8" t="s">
        <v>115</v>
      </c>
      <c r="K640" s="9" t="s">
        <v>195</v>
      </c>
      <c r="L640" s="10" t="s">
        <v>117</v>
      </c>
      <c r="M640" s="11">
        <v>35720</v>
      </c>
      <c r="N640" s="12" t="s">
        <v>114</v>
      </c>
      <c r="O640" s="6">
        <v>45805</v>
      </c>
      <c r="P640" s="13">
        <v>3478</v>
      </c>
      <c r="Q640" s="14" t="s">
        <v>85</v>
      </c>
      <c r="R640" s="15">
        <f>DATA[[#This Row],[cantidad_fs]]*0.08</f>
        <v>2857.6</v>
      </c>
      <c r="S640" s="15">
        <v>3426</v>
      </c>
      <c r="T640" s="15">
        <f>DATA[[#This Row],[C. DF]]+DATA[[#This Row],[C.OPE.]]</f>
        <v>6283.6</v>
      </c>
      <c r="U640" s="15">
        <f>DATA[[#This Row],[SUB TOTAL]]*0.18</f>
        <v>1131.048</v>
      </c>
      <c r="V640" s="15">
        <f>IFERROR(ROUND(DATA[[#This Row],[SUB TOTAL]]+DATA[[#This Row],[IGV]],2),0)</f>
        <v>7414.65</v>
      </c>
      <c r="W640" s="16" t="str">
        <f>IF(DATA[[#This Row],[VALORIZACIÓN ]]="-","NO CORRESPONDE",IF(OR(A640=20558226979,A640=10470707866,A640=20111157058,A640=20100226902),"NO CORRESPONDE",IF(J640="Emitida",IF(P640&gt;0,"EMITIDA","PENDIENTE"),"NO CORRESPONDE")))</f>
        <v>EMITIDA</v>
      </c>
      <c r="X640" s="29" t="s">
        <v>247</v>
      </c>
      <c r="Y640" s="17" t="s">
        <v>118</v>
      </c>
      <c r="Z640" s="30">
        <v>45831</v>
      </c>
      <c r="AA640" s="10" t="s">
        <v>150</v>
      </c>
      <c r="AB640" s="19">
        <v>130</v>
      </c>
      <c r="AC640" s="20">
        <v>15</v>
      </c>
      <c r="AD640" s="18">
        <f>DATA[[#This Row],[FECHA DE EMISION]]+DATA[[#This Row],[CONDICION DE PAGO]]</f>
        <v>45846</v>
      </c>
      <c r="AE640" s="23">
        <f>IF(DATA[[#This Row],[MONEDA]]="USD",VLOOKUP(DATA[[#This Row],[COMBINADA]],#REF!,11,0),1)</f>
        <v>1</v>
      </c>
      <c r="AF640" s="39" t="str">
        <f>IF(DATA[[#This Row],[SERIE2]]="-","NO CORRESPONDE",IF(W640="NO CORRESPONDE","NO CORRESPONDE",IF(Z640&gt;0,"FACTURADO","PENDIENTE")))</f>
        <v>FACTURADO</v>
      </c>
      <c r="AG640" s="27">
        <f>IFERROR(VLOOKUP(DATA[[#This Row],[COMBINADA]],#REF!,6,0),0)</f>
        <v>0</v>
      </c>
      <c r="AH640" s="125">
        <f>IFERROR(VLOOKUP(DATA[[#This Row],[COMBINADA]],#REF!,9,0),0)/COUNTIFS(DATA[COMBINADA],DATA[[#This Row],[COMBINADA]])</f>
        <v>0</v>
      </c>
      <c r="AI640" s="27">
        <f>IFERROR(VLOOKUP(DATA[[#This Row],[COMBINADA]],#REF!,6,0),0)</f>
        <v>0</v>
      </c>
      <c r="AJ640" s="125">
        <f>IFERROR(VLOOKUP(DATA[[#This Row],[COMBINADA]],#REF!,9,0),0)/COUNTIFS(DATA[COMBINADA],DATA[[#This Row],[COMBINADA]])</f>
        <v>0</v>
      </c>
      <c r="AK640" s="27">
        <f>IFERROR(VLOOKUP(DATA[[#This Row],[COMBINADA]],#REF!,6,0),0)</f>
        <v>0</v>
      </c>
      <c r="AL640" s="125">
        <f>IFERROR(VLOOKUP(DATA[[#This Row],[COMBINADA]],#REF!,9,0),0)/COUNTIFS(DATA[COMBINADA],DATA[[#This Row],[COMBINADA]])</f>
        <v>0</v>
      </c>
      <c r="AM640" s="27">
        <f>IFERROR(VLOOKUP(DATA[[#This Row],[COMBINADA]],#REF!,6,0),0)</f>
        <v>0</v>
      </c>
      <c r="AN640" s="125">
        <f>IFERROR(VLOOKUP(DATA[[#This Row],[COMBINADA]],#REF!,9,0),0)/COUNTIFS(DATA[COMBINADA],DATA[[#This Row],[COMBINADA]])</f>
        <v>0</v>
      </c>
      <c r="AO640" s="27">
        <f>IFERROR(VLOOKUP(DATA[[#This Row],[COMBINADA]],#REF!,6,0),0)</f>
        <v>0</v>
      </c>
      <c r="AP640" s="125">
        <f>IFERROR(VLOOKUP(DATA[[#This Row],[COMBINADA]],#REF!,9,0),0)/COUNTIFS(DATA[COMBINADA],DATA[[#This Row],[COMBINADA]])</f>
        <v>0</v>
      </c>
      <c r="AQ64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3831.7899999999995</v>
      </c>
      <c r="AR640" s="26" t="str">
        <f>IFERROR(IF(DATA[[#This Row],[estado_fact]]="FACTURADO",VLOOKUP(DATA[[#This Row],[SERIE2]]&amp;"-"&amp;DATA[[#This Row],[NUMERO]],#REF!,34,0),"NO CORRESPONDE"),"NO CORRESPONDE")</f>
        <v>NO CORRESPONDE</v>
      </c>
      <c r="AS640" s="22" t="str">
        <f>IF(DATA[[#This Row],[fecha_fs]]&gt;0,TEXT(DATA[[#This Row],[fecha_fs]],"Mmmm"),0)</f>
        <v>Mayo</v>
      </c>
      <c r="AT640" s="22" t="str">
        <f>DATA[[#This Row],[SERIE2]]&amp;"-"&amp;DATA[[#This Row],[NUMERO]]</f>
        <v>FF01-130</v>
      </c>
      <c r="AU640" s="28">
        <f>DATA[[#This Row],[TOTAL]]*DATA[[#This Row],[T.C.]]</f>
        <v>7414.65</v>
      </c>
      <c r="AV640" s="6">
        <f>DATA[[#This Row],[FECHA DE VAL.]]</f>
        <v>45805</v>
      </c>
      <c r="AW640" s="6">
        <f>DATA[[#This Row],[FECHA DE EMISION]]</f>
        <v>45831</v>
      </c>
      <c r="AX640" s="6">
        <f>DATA[[#This Row],[F1]]</f>
        <v>0</v>
      </c>
      <c r="AY640" s="20">
        <f>IF(AV640-DATA[[#This Row],[fecha_fs]]&lt;0,0,AV640-DATA[[#This Row],[fecha_fs]])</f>
        <v>21</v>
      </c>
      <c r="AZ640" s="20">
        <f t="shared" si="70"/>
        <v>26</v>
      </c>
      <c r="BA640" s="20">
        <f t="shared" si="71"/>
        <v>0</v>
      </c>
      <c r="BB640" s="195">
        <f>IFERROR(SUM(DATA[[#This Row],[fs_val_ttf]:[fact_pago_ttf]]),0)</f>
        <v>47</v>
      </c>
      <c r="BC640" s="185">
        <v>45786</v>
      </c>
      <c r="BD640" s="185">
        <v>45789</v>
      </c>
      <c r="BE640" s="185">
        <v>45797</v>
      </c>
      <c r="BF640" s="185">
        <v>45798</v>
      </c>
      <c r="BG640" s="20">
        <f>IFERROR(IF(BC640-DATA[[#This Row],[fecha_fs]]&lt;0,0,BC640-DATA[[#This Row],[fecha_fs]]),0)</f>
        <v>2</v>
      </c>
      <c r="BH640" s="20">
        <f t="shared" si="66"/>
        <v>3</v>
      </c>
      <c r="BI640" s="20">
        <f t="shared" si="67"/>
        <v>8</v>
      </c>
      <c r="BJ640" s="20">
        <f t="shared" si="68"/>
        <v>1</v>
      </c>
      <c r="BK640" s="218">
        <f>IFERROR(SUM(DATA[[#This Row],[fs_fd_ttd]:[fend_fenf_ttd]]),0)</f>
        <v>14</v>
      </c>
      <c r="BL640" s="20" t="str">
        <f>IF(DATA[[#This Row],[fecha_fs]]&gt;0,TEXT(DATA[[#This Row],[fecha_fs]],"YYYY"),0)</f>
        <v>2025</v>
      </c>
      <c r="BM640" s="221" t="b">
        <v>1</v>
      </c>
      <c r="BN640" s="278">
        <f>COUNTIF(DATA[[#This Row],[tiempo_td]], "&lt;=15")</f>
        <v>1</v>
      </c>
      <c r="BO640" s="222"/>
    </row>
    <row r="641" spans="1:67" ht="30.6" customHeight="1" x14ac:dyDescent="0.25">
      <c r="A641" s="4">
        <v>20141637941</v>
      </c>
      <c r="B641" s="5" t="s">
        <v>79</v>
      </c>
      <c r="C641" s="52" t="s">
        <v>18</v>
      </c>
      <c r="D641" s="4" t="s">
        <v>120</v>
      </c>
      <c r="E641" s="5" t="s">
        <v>3</v>
      </c>
      <c r="F641" s="24">
        <v>45789</v>
      </c>
      <c r="G641" s="7" t="s">
        <v>113</v>
      </c>
      <c r="H641" s="25">
        <f t="shared" si="69"/>
        <v>1</v>
      </c>
      <c r="I641" s="67">
        <v>4496</v>
      </c>
      <c r="J641" s="8" t="s">
        <v>115</v>
      </c>
      <c r="K641" s="9" t="s">
        <v>121</v>
      </c>
      <c r="L641" s="10" t="s">
        <v>117</v>
      </c>
      <c r="M641" s="11">
        <v>1040</v>
      </c>
      <c r="N641" s="12" t="s">
        <v>125</v>
      </c>
      <c r="O641" s="6">
        <v>45793</v>
      </c>
      <c r="P641" s="68">
        <v>3444</v>
      </c>
      <c r="Q641" s="14" t="s">
        <v>85</v>
      </c>
      <c r="R641" s="15">
        <f>70+(DATA[[#This Row],[cantidad_fs]]-1000)*0.1</f>
        <v>74</v>
      </c>
      <c r="S641" s="15">
        <v>517</v>
      </c>
      <c r="T641" s="15">
        <f>DATA[[#This Row],[C. DF]]+DATA[[#This Row],[C.OPE.]]</f>
        <v>591</v>
      </c>
      <c r="U641" s="15">
        <f>DATA[[#This Row],[SUB TOTAL]]*0.18</f>
        <v>106.38</v>
      </c>
      <c r="V641" s="15">
        <f>IFERROR(ROUND(DATA[[#This Row],[SUB TOTAL]]+DATA[[#This Row],[IGV]],2),0)</f>
        <v>697.38</v>
      </c>
      <c r="W641" s="16" t="str">
        <f>IF(DATA[[#This Row],[VALORIZACIÓN ]]="-","NO CORRESPONDE",IF(OR(A641=20558226979,A641=10470707866,A641=20111157058,A641=20100226902),"NO CORRESPONDE",IF(J641="Emitida",IF(P641&gt;0,"EMITIDA","PENDIENTE"),"NO CORRESPONDE")))</f>
        <v>EMITIDA</v>
      </c>
      <c r="X641" s="29"/>
      <c r="Y641" s="17" t="s">
        <v>118</v>
      </c>
      <c r="Z641" s="30">
        <v>45793</v>
      </c>
      <c r="AA641" s="10" t="s">
        <v>150</v>
      </c>
      <c r="AB641" s="19">
        <v>79</v>
      </c>
      <c r="AC641" s="20">
        <v>30</v>
      </c>
      <c r="AD641" s="18">
        <f>DATA[[#This Row],[FECHA DE EMISION]]+DATA[[#This Row],[CONDICION DE PAGO]]</f>
        <v>45823</v>
      </c>
      <c r="AE641" s="23">
        <f>IF(DATA[[#This Row],[MONEDA]]="USD",VLOOKUP(DATA[[#This Row],[COMBINADA]],#REF!,11,0),1)</f>
        <v>1</v>
      </c>
      <c r="AF641" s="39" t="str">
        <f>IF(DATA[[#This Row],[SERIE2]]="-","NO CORRESPONDE",IF(W641="NO CORRESPONDE","NO CORRESPONDE",IF(Z641&gt;0,"FACTURADO","PENDIENTE")))</f>
        <v>FACTURADO</v>
      </c>
      <c r="AG641" s="27">
        <f>IFERROR(VLOOKUP(DATA[[#This Row],[COMBINADA]],#REF!,6,0),0)</f>
        <v>0</v>
      </c>
      <c r="AH641" s="125">
        <f>IFERROR(VLOOKUP(DATA[[#This Row],[COMBINADA]],#REF!,9,0),0)/COUNTIFS(DATA[COMBINADA],DATA[[#This Row],[COMBINADA]])</f>
        <v>0</v>
      </c>
      <c r="AI641" s="27">
        <f>IFERROR(VLOOKUP(DATA[[#This Row],[COMBINADA]],#REF!,6,0),0)</f>
        <v>0</v>
      </c>
      <c r="AJ641" s="125">
        <f>IFERROR(VLOOKUP(DATA[[#This Row],[COMBINADA]],#REF!,9,0),0)/COUNTIFS(DATA[COMBINADA],DATA[[#This Row],[COMBINADA]])</f>
        <v>0</v>
      </c>
      <c r="AK641" s="27">
        <f>IFERROR(VLOOKUP(DATA[[#This Row],[COMBINADA]],#REF!,6,0),0)</f>
        <v>0</v>
      </c>
      <c r="AL641" s="125">
        <f>IFERROR(VLOOKUP(DATA[[#This Row],[COMBINADA]],#REF!,9,0),0)/COUNTIFS(DATA[COMBINADA],DATA[[#This Row],[COMBINADA]])</f>
        <v>0</v>
      </c>
      <c r="AM641" s="27">
        <f>IFERROR(VLOOKUP(DATA[[#This Row],[COMBINADA]],#REF!,6,0),0)</f>
        <v>0</v>
      </c>
      <c r="AN641" s="125">
        <f>IFERROR(VLOOKUP(DATA[[#This Row],[COMBINADA]],#REF!,9,0),0)/COUNTIFS(DATA[COMBINADA],DATA[[#This Row],[COMBINADA]])</f>
        <v>0</v>
      </c>
      <c r="AO641" s="27">
        <f>IFERROR(VLOOKUP(DATA[[#This Row],[COMBINADA]],#REF!,6,0),0)</f>
        <v>0</v>
      </c>
      <c r="AP641" s="125">
        <f>IFERROR(VLOOKUP(DATA[[#This Row],[COMBINADA]],#REF!,9,0),0)/COUNTIFS(DATA[COMBINADA],DATA[[#This Row],[COMBINADA]])</f>
        <v>0</v>
      </c>
      <c r="AQ64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716.65333333333331</v>
      </c>
      <c r="AR641" s="26" t="str">
        <f>IFERROR(IF(DATA[[#This Row],[estado_fact]]="FACTURADO",VLOOKUP(DATA[[#This Row],[SERIE2]]&amp;"-"&amp;DATA[[#This Row],[NUMERO]],#REF!,34,0),"NO CORRESPONDE"),"NO CORRESPONDE")</f>
        <v>NO CORRESPONDE</v>
      </c>
      <c r="AS641" s="22" t="str">
        <f>IF(DATA[[#This Row],[fecha_fs]]&gt;0,TEXT(DATA[[#This Row],[fecha_fs]],"Mmmm"),0)</f>
        <v>Mayo</v>
      </c>
      <c r="AT641" s="22" t="str">
        <f>DATA[[#This Row],[SERIE2]]&amp;"-"&amp;DATA[[#This Row],[NUMERO]]</f>
        <v>FF01-79</v>
      </c>
      <c r="AU641" s="28">
        <f>DATA[[#This Row],[TOTAL]]*DATA[[#This Row],[T.C.]]</f>
        <v>697.38</v>
      </c>
      <c r="AV641" s="6">
        <f>DATA[[#This Row],[FECHA DE VAL.]]</f>
        <v>45793</v>
      </c>
      <c r="AW641" s="6">
        <f>DATA[[#This Row],[FECHA DE EMISION]]</f>
        <v>45793</v>
      </c>
      <c r="AX641" s="6">
        <f>DATA[[#This Row],[F1]]</f>
        <v>0</v>
      </c>
      <c r="AY641" s="20">
        <f>IF(AV641-DATA[[#This Row],[fecha_fs]]&lt;0,0,AV641-DATA[[#This Row],[fecha_fs]])</f>
        <v>4</v>
      </c>
      <c r="AZ641" s="20">
        <f t="shared" si="70"/>
        <v>0</v>
      </c>
      <c r="BA641" s="20">
        <f t="shared" si="71"/>
        <v>0</v>
      </c>
      <c r="BB641" s="195">
        <f>IFERROR(SUM(DATA[[#This Row],[fs_val_ttf]:[fact_pago_ttf]]),0)</f>
        <v>4</v>
      </c>
      <c r="BC641" s="185">
        <v>45789</v>
      </c>
      <c r="BD641" s="185">
        <v>45789</v>
      </c>
      <c r="BE641" s="185">
        <v>45793</v>
      </c>
      <c r="BF641" s="185">
        <v>45793</v>
      </c>
      <c r="BG641" s="20">
        <f>IFERROR(IF(BC641-DATA[[#This Row],[fecha_fs]]&lt;0,0,BC641-DATA[[#This Row],[fecha_fs]]),0)</f>
        <v>0</v>
      </c>
      <c r="BH641" s="20">
        <f t="shared" si="66"/>
        <v>0</v>
      </c>
      <c r="BI641" s="20">
        <f t="shared" si="67"/>
        <v>4</v>
      </c>
      <c r="BJ641" s="20">
        <f t="shared" si="68"/>
        <v>0</v>
      </c>
      <c r="BK641" s="218">
        <f>IFERROR(SUM(DATA[[#This Row],[fs_fd_ttd]:[fend_fenf_ttd]]),0)</f>
        <v>4</v>
      </c>
      <c r="BL641" s="20" t="str">
        <f>IF(DATA[[#This Row],[fecha_fs]]&gt;0,TEXT(DATA[[#This Row],[fecha_fs]],"YYYY"),0)</f>
        <v>2025</v>
      </c>
      <c r="BM641" s="221" t="b">
        <v>1</v>
      </c>
      <c r="BN641" s="278">
        <f>COUNTIF(DATA[[#This Row],[tiempo_td]], "&lt;=15")</f>
        <v>1</v>
      </c>
      <c r="BO641" s="222"/>
    </row>
    <row r="642" spans="1:67" ht="30.6" customHeight="1" x14ac:dyDescent="0.25">
      <c r="A642" s="4">
        <v>20558226979</v>
      </c>
      <c r="B642" s="5" t="s">
        <v>45</v>
      </c>
      <c r="C642" s="52" t="s">
        <v>18</v>
      </c>
      <c r="D642" s="4" t="s">
        <v>120</v>
      </c>
      <c r="E642" s="5" t="s">
        <v>3</v>
      </c>
      <c r="F642" s="24">
        <v>45789</v>
      </c>
      <c r="G642" s="7" t="s">
        <v>113</v>
      </c>
      <c r="H642" s="25">
        <f t="shared" si="69"/>
        <v>1</v>
      </c>
      <c r="I642" s="67">
        <v>4497</v>
      </c>
      <c r="J642" s="8" t="s">
        <v>115</v>
      </c>
      <c r="K642" s="9" t="s">
        <v>121</v>
      </c>
      <c r="L642" s="10" t="s">
        <v>117</v>
      </c>
      <c r="M642" s="11">
        <v>1890</v>
      </c>
      <c r="N642" s="12" t="s">
        <v>129</v>
      </c>
      <c r="O642" s="40"/>
      <c r="P642" s="41" t="s">
        <v>114</v>
      </c>
      <c r="Q642" s="42"/>
      <c r="R642" s="43"/>
      <c r="S642" s="43"/>
      <c r="T642" s="43">
        <f>DATA[[#This Row],[C. DF]]+DATA[[#This Row],[C.OPE.]]</f>
        <v>0</v>
      </c>
      <c r="U642" s="43">
        <f>DATA[[#This Row],[SUB TOTAL]]*0.18</f>
        <v>0</v>
      </c>
      <c r="V642" s="43">
        <f>IFERROR(ROUND(DATA[[#This Row],[SUB TOTAL]]+DATA[[#This Row],[IGV]],2),0)</f>
        <v>0</v>
      </c>
      <c r="W642" s="16" t="str">
        <f>IF(DATA[[#This Row],[VALORIZACIÓN ]]="-","NO CORRESPONDE",IF(OR(A642=20558226979,A642=10470707866,A642=20111157058,A642=20100226902),"NO CORRESPONDE",IF(J642="Emitida",IF(P642&gt;0,"EMITIDA","PENDIENTE"),"NO CORRESPONDE")))</f>
        <v>NO CORRESPONDE</v>
      </c>
      <c r="X642" s="29"/>
      <c r="Y642" s="17" t="s">
        <v>128</v>
      </c>
      <c r="Z642" s="30"/>
      <c r="AA642" s="10"/>
      <c r="AB642" s="19"/>
      <c r="AC642" s="20"/>
      <c r="AD642" s="18">
        <f>DATA[[#This Row],[FECHA DE EMISION]]+DATA[[#This Row],[CONDICION DE PAGO]]</f>
        <v>0</v>
      </c>
      <c r="AE642" s="23">
        <f>IF(DATA[[#This Row],[MONEDA]]="USD",VLOOKUP(DATA[[#This Row],[COMBINADA]],#REF!,11,0),1)</f>
        <v>1</v>
      </c>
      <c r="AF642" s="39" t="str">
        <f>IF(DATA[[#This Row],[SERIE2]]="-","NO CORRESPONDE",IF(W642="NO CORRESPONDE","NO CORRESPONDE",IF(Z642&gt;0,"FACTURADO","PENDIENTE")))</f>
        <v>NO CORRESPONDE</v>
      </c>
      <c r="AG642" s="27">
        <f>IFERROR(VLOOKUP(DATA[[#This Row],[COMBINADA]],#REF!,6,0),0)</f>
        <v>0</v>
      </c>
      <c r="AH642" s="125">
        <f>IFERROR(VLOOKUP(DATA[[#This Row],[COMBINADA]],#REF!,9,0),0)/COUNTIFS(DATA[COMBINADA],DATA[[#This Row],[COMBINADA]])</f>
        <v>0</v>
      </c>
      <c r="AI642" s="27">
        <f>IFERROR(VLOOKUP(DATA[[#This Row],[COMBINADA]],#REF!,6,0),0)</f>
        <v>0</v>
      </c>
      <c r="AJ642" s="125">
        <f>IFERROR(VLOOKUP(DATA[[#This Row],[COMBINADA]],#REF!,9,0),0)/COUNTIFS(DATA[COMBINADA],DATA[[#This Row],[COMBINADA]])</f>
        <v>0</v>
      </c>
      <c r="AK642" s="27">
        <f>IFERROR(VLOOKUP(DATA[[#This Row],[COMBINADA]],#REF!,6,0),0)</f>
        <v>0</v>
      </c>
      <c r="AL642" s="125">
        <f>IFERROR(VLOOKUP(DATA[[#This Row],[COMBINADA]],#REF!,9,0),0)/COUNTIFS(DATA[COMBINADA],DATA[[#This Row],[COMBINADA]])</f>
        <v>0</v>
      </c>
      <c r="AM642" s="27">
        <f>IFERROR(VLOOKUP(DATA[[#This Row],[COMBINADA]],#REF!,6,0),0)</f>
        <v>0</v>
      </c>
      <c r="AN642" s="125">
        <f>IFERROR(VLOOKUP(DATA[[#This Row],[COMBINADA]],#REF!,9,0),0)/COUNTIFS(DATA[COMBINADA],DATA[[#This Row],[COMBINADA]])</f>
        <v>0</v>
      </c>
      <c r="AO642" s="27">
        <f>IFERROR(VLOOKUP(DATA[[#This Row],[COMBINADA]],#REF!,6,0),0)</f>
        <v>0</v>
      </c>
      <c r="AP642" s="125">
        <f>IFERROR(VLOOKUP(DATA[[#This Row],[COMBINADA]],#REF!,9,0),0)/COUNTIFS(DATA[COMBINADA],DATA[[#This Row],[COMBINADA]])</f>
        <v>0</v>
      </c>
      <c r="AQ64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642" s="26" t="str">
        <f>IFERROR(IF(DATA[[#This Row],[estado_fact]]="FACTURADO",VLOOKUP(DATA[[#This Row],[SERIE2]]&amp;"-"&amp;DATA[[#This Row],[NUMERO]],#REF!,34,0),"NO CORRESPONDE"),"NO CORRESPONDE")</f>
        <v>NO CORRESPONDE</v>
      </c>
      <c r="AS642" s="22" t="str">
        <f>IF(DATA[[#This Row],[fecha_fs]]&gt;0,TEXT(DATA[[#This Row],[fecha_fs]],"Mmmm"),0)</f>
        <v>Mayo</v>
      </c>
      <c r="AT642" s="22" t="str">
        <f>DATA[[#This Row],[SERIE2]]&amp;"-"&amp;DATA[[#This Row],[NUMERO]]</f>
        <v>-</v>
      </c>
      <c r="AU642" s="28">
        <f>DATA[[#This Row],[TOTAL]]*DATA[[#This Row],[T.C.]]</f>
        <v>0</v>
      </c>
      <c r="AV642" s="6">
        <f>DATA[[#This Row],[FECHA DE VAL.]]</f>
        <v>0</v>
      </c>
      <c r="AW642" s="6">
        <f>DATA[[#This Row],[FECHA DE EMISION]]</f>
        <v>0</v>
      </c>
      <c r="AX642" s="6">
        <f>DATA[[#This Row],[F1]]</f>
        <v>0</v>
      </c>
      <c r="AY642" s="20">
        <f>IF(AV642-DATA[[#This Row],[fecha_fs]]&lt;0,0,AV642-DATA[[#This Row],[fecha_fs]])</f>
        <v>0</v>
      </c>
      <c r="AZ642" s="20">
        <f t="shared" si="70"/>
        <v>0</v>
      </c>
      <c r="BA642" s="20">
        <f t="shared" si="71"/>
        <v>0</v>
      </c>
      <c r="BB642" s="195">
        <f>IFERROR(SUM(DATA[[#This Row],[fs_val_ttf]:[fact_pago_ttf]]),0)</f>
        <v>0</v>
      </c>
      <c r="BC642" s="185">
        <v>45785</v>
      </c>
      <c r="BD642" s="185">
        <v>45796</v>
      </c>
      <c r="BE642" s="185">
        <v>45873</v>
      </c>
      <c r="BF642" s="185">
        <v>45873</v>
      </c>
      <c r="BG642" s="20">
        <f>IFERROR(IF(BC642-DATA[[#This Row],[fecha_fs]]&lt;0,0,BC642-DATA[[#This Row],[fecha_fs]]),0)</f>
        <v>0</v>
      </c>
      <c r="BH642" s="20">
        <f t="shared" si="66"/>
        <v>11</v>
      </c>
      <c r="BI642" s="20">
        <f t="shared" si="67"/>
        <v>77</v>
      </c>
      <c r="BJ642" s="20">
        <f t="shared" si="68"/>
        <v>0</v>
      </c>
      <c r="BK642" s="218">
        <f>IFERROR(SUM(DATA[[#This Row],[fs_fd_ttd]:[fend_fenf_ttd]]),0)</f>
        <v>88</v>
      </c>
      <c r="BL642" s="20" t="str">
        <f>IF(DATA[[#This Row],[fecha_fs]]&gt;0,TEXT(DATA[[#This Row],[fecha_fs]],"YYYY"),0)</f>
        <v>2025</v>
      </c>
      <c r="BM642" s="221" t="b">
        <v>1</v>
      </c>
      <c r="BN642" s="278">
        <f>COUNTIF(DATA[[#This Row],[tiempo_td]], "&lt;=15")</f>
        <v>0</v>
      </c>
      <c r="BO642" s="222"/>
    </row>
    <row r="643" spans="1:67" ht="30.6" customHeight="1" x14ac:dyDescent="0.25">
      <c r="A643" s="4">
        <v>20100211115</v>
      </c>
      <c r="B643" s="5" t="s">
        <v>41</v>
      </c>
      <c r="C643" s="52" t="s">
        <v>18</v>
      </c>
      <c r="D643" s="4" t="s">
        <v>120</v>
      </c>
      <c r="E643" s="5" t="s">
        <v>3</v>
      </c>
      <c r="F643" s="24">
        <v>45789</v>
      </c>
      <c r="G643" s="7" t="s">
        <v>113</v>
      </c>
      <c r="H643" s="25">
        <f t="shared" si="69"/>
        <v>1</v>
      </c>
      <c r="I643" s="67">
        <v>4498</v>
      </c>
      <c r="J643" s="8" t="s">
        <v>115</v>
      </c>
      <c r="K643" s="9" t="s">
        <v>121</v>
      </c>
      <c r="L643" s="10" t="s">
        <v>117</v>
      </c>
      <c r="M643" s="11">
        <v>90</v>
      </c>
      <c r="N643" s="12" t="s">
        <v>132</v>
      </c>
      <c r="O643" s="6">
        <v>45803</v>
      </c>
      <c r="P643" s="115">
        <v>3455</v>
      </c>
      <c r="Q643" s="14" t="s">
        <v>85</v>
      </c>
      <c r="R643" s="15"/>
      <c r="S643" s="15">
        <f>(DATA[[#This Row],[cantidad_fs]]*4.37)</f>
        <v>393.3</v>
      </c>
      <c r="T643" s="15">
        <f>DATA[[#This Row],[C. DF]]+DATA[[#This Row],[C.OPE.]]</f>
        <v>393.3</v>
      </c>
      <c r="U643" s="15">
        <f>DATA[[#This Row],[SUB TOTAL]]*0.18</f>
        <v>70.793999999999997</v>
      </c>
      <c r="V643" s="15">
        <f>IFERROR(ROUND(DATA[[#This Row],[SUB TOTAL]]+DATA[[#This Row],[IGV]],2),0)</f>
        <v>464.09</v>
      </c>
      <c r="W643" s="16" t="str">
        <f>IF(DATA[[#This Row],[VALORIZACIÓN ]]="-","NO CORRESPONDE",IF(OR(A643=20558226979,A643=10470707866,A643=20111157058,A643=20100226902),"NO CORRESPONDE",IF(J643="Emitida",IF(P643&gt;0,"EMITIDA","PENDIENTE"),"NO CORRESPONDE")))</f>
        <v>EMITIDA</v>
      </c>
      <c r="X643" s="29"/>
      <c r="Y643" s="17" t="s">
        <v>118</v>
      </c>
      <c r="Z643" s="30">
        <v>45804</v>
      </c>
      <c r="AA643" s="10" t="s">
        <v>150</v>
      </c>
      <c r="AB643" s="19">
        <v>94</v>
      </c>
      <c r="AC643" s="20">
        <v>30</v>
      </c>
      <c r="AD643" s="18">
        <f>DATA[[#This Row],[FECHA DE EMISION]]+DATA[[#This Row],[CONDICION DE PAGO]]</f>
        <v>45834</v>
      </c>
      <c r="AE643" s="23">
        <f>IF(DATA[[#This Row],[MONEDA]]="USD",VLOOKUP(DATA[[#This Row],[COMBINADA]],#REF!,11,0),1)</f>
        <v>1</v>
      </c>
      <c r="AF643" s="39" t="str">
        <f>IF(DATA[[#This Row],[SERIE2]]="-","NO CORRESPONDE",IF(W643="NO CORRESPONDE","NO CORRESPONDE",IF(Z643&gt;0,"FACTURADO","PENDIENTE")))</f>
        <v>FACTURADO</v>
      </c>
      <c r="AG643" s="27">
        <f>IFERROR(VLOOKUP(DATA[[#This Row],[COMBINADA]],#REF!,6,0),0)</f>
        <v>0</v>
      </c>
      <c r="AH643" s="125">
        <f>IFERROR(VLOOKUP(DATA[[#This Row],[COMBINADA]],#REF!,9,0),0)/COUNTIFS(DATA[COMBINADA],DATA[[#This Row],[COMBINADA]])</f>
        <v>0</v>
      </c>
      <c r="AI643" s="27">
        <f>IFERROR(VLOOKUP(DATA[[#This Row],[COMBINADA]],#REF!,6,0),0)</f>
        <v>0</v>
      </c>
      <c r="AJ643" s="125">
        <f>IFERROR(VLOOKUP(DATA[[#This Row],[COMBINADA]],#REF!,9,0),0)/COUNTIFS(DATA[COMBINADA],DATA[[#This Row],[COMBINADA]])</f>
        <v>0</v>
      </c>
      <c r="AK643" s="27">
        <f>IFERROR(VLOOKUP(DATA[[#This Row],[COMBINADA]],#REF!,6,0),0)</f>
        <v>0</v>
      </c>
      <c r="AL643" s="125">
        <f>IFERROR(VLOOKUP(DATA[[#This Row],[COMBINADA]],#REF!,9,0),0)/COUNTIFS(DATA[COMBINADA],DATA[[#This Row],[COMBINADA]])</f>
        <v>0</v>
      </c>
      <c r="AM643" s="27">
        <f>IFERROR(VLOOKUP(DATA[[#This Row],[COMBINADA]],#REF!,6,0),0)</f>
        <v>0</v>
      </c>
      <c r="AN643" s="125">
        <f>IFERROR(VLOOKUP(DATA[[#This Row],[COMBINADA]],#REF!,9,0),0)/COUNTIFS(DATA[COMBINADA],DATA[[#This Row],[COMBINADA]])</f>
        <v>0</v>
      </c>
      <c r="AO643" s="27">
        <f>IFERROR(VLOOKUP(DATA[[#This Row],[COMBINADA]],#REF!,6,0),0)</f>
        <v>0</v>
      </c>
      <c r="AP643" s="125">
        <f>IFERROR(VLOOKUP(DATA[[#This Row],[COMBINADA]],#REF!,9,0),0)/COUNTIFS(DATA[COMBINADA],DATA[[#This Row],[COMBINADA]])</f>
        <v>0</v>
      </c>
      <c r="AQ64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643" s="26" t="str">
        <f>IFERROR(IF(DATA[[#This Row],[estado_fact]]="FACTURADO",VLOOKUP(DATA[[#This Row],[SERIE2]]&amp;"-"&amp;DATA[[#This Row],[NUMERO]],#REF!,34,0),"NO CORRESPONDE"),"NO CORRESPONDE")</f>
        <v>NO CORRESPONDE</v>
      </c>
      <c r="AS643" s="22" t="str">
        <f>IF(DATA[[#This Row],[fecha_fs]]&gt;0,TEXT(DATA[[#This Row],[fecha_fs]],"Mmmm"),0)</f>
        <v>Mayo</v>
      </c>
      <c r="AT643" s="22" t="str">
        <f>DATA[[#This Row],[SERIE2]]&amp;"-"&amp;DATA[[#This Row],[NUMERO]]</f>
        <v>FF01-94</v>
      </c>
      <c r="AU643" s="28">
        <f>DATA[[#This Row],[TOTAL]]*DATA[[#This Row],[T.C.]]</f>
        <v>464.09</v>
      </c>
      <c r="AV643" s="6">
        <f>DATA[[#This Row],[FECHA DE VAL.]]</f>
        <v>45803</v>
      </c>
      <c r="AW643" s="6">
        <f>DATA[[#This Row],[FECHA DE EMISION]]</f>
        <v>45804</v>
      </c>
      <c r="AX643" s="6">
        <f>DATA[[#This Row],[F1]]</f>
        <v>0</v>
      </c>
      <c r="AY643" s="20">
        <f>IF(AV643-DATA[[#This Row],[fecha_fs]]&lt;0,0,AV643-DATA[[#This Row],[fecha_fs]])</f>
        <v>14</v>
      </c>
      <c r="AZ643" s="20">
        <f t="shared" si="70"/>
        <v>1</v>
      </c>
      <c r="BA643" s="20">
        <f t="shared" si="71"/>
        <v>0</v>
      </c>
      <c r="BB643" s="195">
        <f>IFERROR(SUM(DATA[[#This Row],[fs_val_ttf]:[fact_pago_ttf]]),0)</f>
        <v>15</v>
      </c>
      <c r="BC643" s="185">
        <v>45807</v>
      </c>
      <c r="BD643" s="185">
        <v>45814</v>
      </c>
      <c r="BE643" s="185">
        <v>45814</v>
      </c>
      <c r="BF643" s="185">
        <v>45821</v>
      </c>
      <c r="BG643" s="20">
        <f>IFERROR(IF(BC643-DATA[[#This Row],[fecha_fs]]&lt;0,0,BC643-DATA[[#This Row],[fecha_fs]]),0)</f>
        <v>18</v>
      </c>
      <c r="BH643" s="20">
        <f t="shared" si="66"/>
        <v>7</v>
      </c>
      <c r="BI643" s="20">
        <f t="shared" si="67"/>
        <v>0</v>
      </c>
      <c r="BJ643" s="20">
        <f t="shared" si="68"/>
        <v>7</v>
      </c>
      <c r="BK643" s="218">
        <f>IFERROR(SUM(DATA[[#This Row],[fs_fd_ttd]:[fend_fenf_ttd]]),0)</f>
        <v>32</v>
      </c>
      <c r="BL643" s="20" t="str">
        <f>IF(DATA[[#This Row],[fecha_fs]]&gt;0,TEXT(DATA[[#This Row],[fecha_fs]],"YYYY"),0)</f>
        <v>2025</v>
      </c>
      <c r="BM643" s="221" t="b">
        <v>1</v>
      </c>
      <c r="BN643" s="278">
        <f>COUNTIF(DATA[[#This Row],[tiempo_td]], "&lt;=15")</f>
        <v>0</v>
      </c>
      <c r="BO643" s="222"/>
    </row>
    <row r="644" spans="1:67" ht="30.6" customHeight="1" x14ac:dyDescent="0.25">
      <c r="A644" s="4">
        <v>20553956324</v>
      </c>
      <c r="B644" s="5" t="s">
        <v>281</v>
      </c>
      <c r="C644" s="52" t="s">
        <v>175</v>
      </c>
      <c r="D644" s="4" t="s">
        <v>120</v>
      </c>
      <c r="E644" s="5" t="s">
        <v>3</v>
      </c>
      <c r="F644" s="24">
        <v>45789</v>
      </c>
      <c r="G644" s="7" t="s">
        <v>113</v>
      </c>
      <c r="H644" s="25">
        <f t="shared" si="69"/>
        <v>1</v>
      </c>
      <c r="I644" s="67">
        <v>4499</v>
      </c>
      <c r="J644" s="8" t="s">
        <v>115</v>
      </c>
      <c r="K644" s="9" t="s">
        <v>121</v>
      </c>
      <c r="L644" s="10" t="s">
        <v>117</v>
      </c>
      <c r="M644" s="11">
        <v>90</v>
      </c>
      <c r="N644" s="12" t="s">
        <v>132</v>
      </c>
      <c r="O644" s="6">
        <v>45803</v>
      </c>
      <c r="P644" s="109">
        <v>3458</v>
      </c>
      <c r="Q644" s="14" t="s">
        <v>85</v>
      </c>
      <c r="R644" s="15">
        <f>DATA[[#This Row],[cantidad_fs]]*0.08</f>
        <v>7.2</v>
      </c>
      <c r="S644" s="15">
        <v>395.1</v>
      </c>
      <c r="T644" s="15">
        <f>DATA[[#This Row],[C. DF]]+DATA[[#This Row],[C.OPE.]]</f>
        <v>402.3</v>
      </c>
      <c r="U644" s="15">
        <f>DATA[[#This Row],[SUB TOTAL]]*0.18</f>
        <v>72.414000000000001</v>
      </c>
      <c r="V644" s="15">
        <f>IFERROR(ROUND(DATA[[#This Row],[SUB TOTAL]]+DATA[[#This Row],[IGV]],2),0)</f>
        <v>474.71</v>
      </c>
      <c r="W644" s="16" t="str">
        <f>IF(DATA[[#This Row],[VALORIZACIÓN ]]="-","NO CORRESPONDE",IF(OR(A644=20558226979,A644=10470707866,A644=20111157058,A644=20100226902),"NO CORRESPONDE",IF(J644="Emitida",IF(P644&gt;0,"EMITIDA","PENDIENTE"),"NO CORRESPONDE")))</f>
        <v>EMITIDA</v>
      </c>
      <c r="X644" s="29" t="s">
        <v>234</v>
      </c>
      <c r="Y644" s="17" t="s">
        <v>118</v>
      </c>
      <c r="Z644" s="30">
        <v>45845</v>
      </c>
      <c r="AA644" s="10" t="s">
        <v>150</v>
      </c>
      <c r="AB644" s="19">
        <v>143</v>
      </c>
      <c r="AC644" s="20">
        <v>0</v>
      </c>
      <c r="AD644" s="18">
        <f>DATA[[#This Row],[FECHA DE EMISION]]+DATA[[#This Row],[CONDICION DE PAGO]]</f>
        <v>45845</v>
      </c>
      <c r="AE644" s="23">
        <f>IF(DATA[[#This Row],[MONEDA]]="USD",VLOOKUP(DATA[[#This Row],[COMBINADA]],#REF!,11,0),1)</f>
        <v>1</v>
      </c>
      <c r="AF644" s="39" t="str">
        <f>IF(DATA[[#This Row],[SERIE2]]="-","NO CORRESPONDE",IF(W644="NO CORRESPONDE","NO CORRESPONDE",IF(Z644&gt;0,"FACTURADO","PENDIENTE")))</f>
        <v>FACTURADO</v>
      </c>
      <c r="AG644" s="27">
        <f>IFERROR(VLOOKUP(DATA[[#This Row],[COMBINADA]],#REF!,6,0),0)</f>
        <v>0</v>
      </c>
      <c r="AH644" s="125">
        <f>IFERROR(VLOOKUP(DATA[[#This Row],[COMBINADA]],#REF!,9,0),0)/COUNTIFS(DATA[COMBINADA],DATA[[#This Row],[COMBINADA]])</f>
        <v>0</v>
      </c>
      <c r="AI644" s="27">
        <f>IFERROR(VLOOKUP(DATA[[#This Row],[COMBINADA]],#REF!,6,0),0)</f>
        <v>0</v>
      </c>
      <c r="AJ644" s="125">
        <f>IFERROR(VLOOKUP(DATA[[#This Row],[COMBINADA]],#REF!,9,0),0)/COUNTIFS(DATA[COMBINADA],DATA[[#This Row],[COMBINADA]])</f>
        <v>0</v>
      </c>
      <c r="AK644" s="27">
        <f>IFERROR(VLOOKUP(DATA[[#This Row],[COMBINADA]],#REF!,6,0),0)</f>
        <v>0</v>
      </c>
      <c r="AL644" s="125">
        <f>IFERROR(VLOOKUP(DATA[[#This Row],[COMBINADA]],#REF!,9,0),0)/COUNTIFS(DATA[COMBINADA],DATA[[#This Row],[COMBINADA]])</f>
        <v>0</v>
      </c>
      <c r="AM644" s="27">
        <f>IFERROR(VLOOKUP(DATA[[#This Row],[COMBINADA]],#REF!,6,0),0)</f>
        <v>0</v>
      </c>
      <c r="AN644" s="125">
        <f>IFERROR(VLOOKUP(DATA[[#This Row],[COMBINADA]],#REF!,9,0),0)/COUNTIFS(DATA[COMBINADA],DATA[[#This Row],[COMBINADA]])</f>
        <v>0</v>
      </c>
      <c r="AO644" s="27">
        <f>IFERROR(VLOOKUP(DATA[[#This Row],[COMBINADA]],#REF!,6,0),0)</f>
        <v>0</v>
      </c>
      <c r="AP644" s="125">
        <f>IFERROR(VLOOKUP(DATA[[#This Row],[COMBINADA]],#REF!,9,0),0)/COUNTIFS(DATA[COMBINADA],DATA[[#This Row],[COMBINADA]])</f>
        <v>0</v>
      </c>
      <c r="AQ64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481.06363636363642</v>
      </c>
      <c r="AR644" s="26" t="str">
        <f>IFERROR(IF(DATA[[#This Row],[estado_fact]]="FACTURADO",VLOOKUP(DATA[[#This Row],[SERIE2]]&amp;"-"&amp;DATA[[#This Row],[NUMERO]],#REF!,34,0),"NO CORRESPONDE"),"NO CORRESPONDE")</f>
        <v>NO CORRESPONDE</v>
      </c>
      <c r="AS644" s="22" t="str">
        <f>IF(DATA[[#This Row],[fecha_fs]]&gt;0,TEXT(DATA[[#This Row],[fecha_fs]],"Mmmm"),0)</f>
        <v>Mayo</v>
      </c>
      <c r="AT644" s="22" t="str">
        <f>DATA[[#This Row],[SERIE2]]&amp;"-"&amp;DATA[[#This Row],[NUMERO]]</f>
        <v>FF01-143</v>
      </c>
      <c r="AU644" s="28">
        <f>DATA[[#This Row],[TOTAL]]*DATA[[#This Row],[T.C.]]</f>
        <v>474.71</v>
      </c>
      <c r="AV644" s="6">
        <f>DATA[[#This Row],[FECHA DE VAL.]]</f>
        <v>45803</v>
      </c>
      <c r="AW644" s="6">
        <f>DATA[[#This Row],[FECHA DE EMISION]]</f>
        <v>45845</v>
      </c>
      <c r="AX644" s="6">
        <f>DATA[[#This Row],[F1]]</f>
        <v>0</v>
      </c>
      <c r="AY644" s="20">
        <f>IF(AV644-DATA[[#This Row],[fecha_fs]]&lt;0,0,AV644-DATA[[#This Row],[fecha_fs]])</f>
        <v>14</v>
      </c>
      <c r="AZ644" s="20">
        <f t="shared" si="70"/>
        <v>42</v>
      </c>
      <c r="BA644" s="20">
        <f t="shared" si="71"/>
        <v>0</v>
      </c>
      <c r="BB644" s="195">
        <f>IFERROR(SUM(DATA[[#This Row],[fs_val_ttf]:[fact_pago_ttf]]),0)</f>
        <v>56</v>
      </c>
      <c r="BC644" s="187">
        <v>45821</v>
      </c>
      <c r="BD644" s="187">
        <v>45828</v>
      </c>
      <c r="BE644" s="187">
        <v>45831</v>
      </c>
      <c r="BF644" s="185">
        <v>45832</v>
      </c>
      <c r="BG644" s="171">
        <f>IFERROR(IF(BC644-DATA[[#This Row],[fecha_fs]]&lt;0,0,BC644-DATA[[#This Row],[fecha_fs]]),0)</f>
        <v>32</v>
      </c>
      <c r="BH644" s="171">
        <f t="shared" si="66"/>
        <v>7</v>
      </c>
      <c r="BI644" s="171">
        <f t="shared" si="67"/>
        <v>3</v>
      </c>
      <c r="BJ644" s="171">
        <f t="shared" si="68"/>
        <v>1</v>
      </c>
      <c r="BK644" s="219">
        <f>IFERROR(SUM(DATA[[#This Row],[fs_fd_ttd]:[fend_fenf_ttd]]),0)</f>
        <v>43</v>
      </c>
      <c r="BL644" s="20" t="str">
        <f>IF(DATA[[#This Row],[fecha_fs]]&gt;0,TEXT(DATA[[#This Row],[fecha_fs]],"YYYY"),0)</f>
        <v>2025</v>
      </c>
      <c r="BM644" s="221" t="b">
        <v>0</v>
      </c>
      <c r="BN644" s="278">
        <f>COUNTIF(DATA[[#This Row],[tiempo_td]], "&lt;=15")</f>
        <v>0</v>
      </c>
      <c r="BO644" s="222"/>
    </row>
    <row r="645" spans="1:67" ht="30.6" customHeight="1" x14ac:dyDescent="0.25">
      <c r="A645" s="4">
        <v>20523573226</v>
      </c>
      <c r="B645" s="5" t="s">
        <v>31</v>
      </c>
      <c r="C645" s="52" t="s">
        <v>20</v>
      </c>
      <c r="D645" s="4" t="s">
        <v>120</v>
      </c>
      <c r="E645" s="5" t="s">
        <v>3</v>
      </c>
      <c r="F645" s="24">
        <v>45789</v>
      </c>
      <c r="G645" s="7" t="s">
        <v>113</v>
      </c>
      <c r="H645" s="25">
        <f t="shared" si="69"/>
        <v>1</v>
      </c>
      <c r="I645" s="67">
        <v>4500</v>
      </c>
      <c r="J645" s="8" t="s">
        <v>115</v>
      </c>
      <c r="K645" s="9" t="s">
        <v>121</v>
      </c>
      <c r="L645" s="10" t="s">
        <v>117</v>
      </c>
      <c r="M645" s="11">
        <v>640</v>
      </c>
      <c r="N645" s="12" t="s">
        <v>132</v>
      </c>
      <c r="O645" s="6">
        <v>45789</v>
      </c>
      <c r="P645" s="13">
        <v>3440</v>
      </c>
      <c r="Q645" s="14" t="s">
        <v>85</v>
      </c>
      <c r="R645" s="15">
        <f>256+((DATA[[#This Row],[cantidad_fs]]-400)*0.64)</f>
        <v>409.6</v>
      </c>
      <c r="S645" s="15">
        <v>552.04</v>
      </c>
      <c r="T645" s="15">
        <f>DATA[[#This Row],[C. DF]]+DATA[[#This Row],[C.OPE.]]</f>
        <v>961.64</v>
      </c>
      <c r="U645" s="15">
        <f>DATA[[#This Row],[SUB TOTAL]]*0.18</f>
        <v>173.09519999999998</v>
      </c>
      <c r="V645" s="15">
        <f>IFERROR(ROUND(DATA[[#This Row],[SUB TOTAL]]+DATA[[#This Row],[IGV]],2),0)</f>
        <v>1134.74</v>
      </c>
      <c r="W645" s="16" t="str">
        <f>IF(DATA[[#This Row],[VALORIZACIÓN ]]="-","NO CORRESPONDE",IF(OR(A645=20558226979,A645=10470707866,A645=20111157058,A645=20100226902),"NO CORRESPONDE",IF(J645="Emitida",IF(P645&gt;0,"EMITIDA","PENDIENTE"),"NO CORRESPONDE")))</f>
        <v>EMITIDA</v>
      </c>
      <c r="X645" s="29" t="s">
        <v>242</v>
      </c>
      <c r="Y645" s="17" t="s">
        <v>118</v>
      </c>
      <c r="Z645" s="30">
        <v>45807</v>
      </c>
      <c r="AA645" s="10" t="s">
        <v>150</v>
      </c>
      <c r="AB645" s="19">
        <v>102</v>
      </c>
      <c r="AC645" s="20">
        <v>15</v>
      </c>
      <c r="AD645" s="18">
        <f>DATA[[#This Row],[FECHA DE EMISION]]+DATA[[#This Row],[CONDICION DE PAGO]]</f>
        <v>45822</v>
      </c>
      <c r="AE645" s="23">
        <f>IF(DATA[[#This Row],[MONEDA]]="USD",VLOOKUP(DATA[[#This Row],[COMBINADA]],#REF!,11,0),1)</f>
        <v>1</v>
      </c>
      <c r="AF645" s="39" t="str">
        <f>IF(DATA[[#This Row],[SERIE2]]="-","NO CORRESPONDE",IF(W645="NO CORRESPONDE","NO CORRESPONDE",IF(Z645&gt;0,"FACTURADO","PENDIENTE")))</f>
        <v>FACTURADO</v>
      </c>
      <c r="AG645" s="27">
        <f>IFERROR(VLOOKUP(DATA[[#This Row],[COMBINADA]],#REF!,6,0),0)</f>
        <v>0</v>
      </c>
      <c r="AH645" s="125">
        <f>IFERROR(VLOOKUP(DATA[[#This Row],[COMBINADA]],#REF!,9,0),0)/COUNTIFS(DATA[COMBINADA],DATA[[#This Row],[COMBINADA]])</f>
        <v>0</v>
      </c>
      <c r="AI645" s="27">
        <f>IFERROR(VLOOKUP(DATA[[#This Row],[COMBINADA]],#REF!,6,0),0)</f>
        <v>0</v>
      </c>
      <c r="AJ645" s="125">
        <f>IFERROR(VLOOKUP(DATA[[#This Row],[COMBINADA]],#REF!,9,0),0)/COUNTIFS(DATA[COMBINADA],DATA[[#This Row],[COMBINADA]])</f>
        <v>0</v>
      </c>
      <c r="AK645" s="27">
        <f>IFERROR(VLOOKUP(DATA[[#This Row],[COMBINADA]],#REF!,6,0),0)</f>
        <v>0</v>
      </c>
      <c r="AL645" s="125">
        <f>IFERROR(VLOOKUP(DATA[[#This Row],[COMBINADA]],#REF!,9,0),0)/COUNTIFS(DATA[COMBINADA],DATA[[#This Row],[COMBINADA]])</f>
        <v>0</v>
      </c>
      <c r="AM645" s="27">
        <f>IFERROR(VLOOKUP(DATA[[#This Row],[COMBINADA]],#REF!,6,0),0)</f>
        <v>0</v>
      </c>
      <c r="AN645" s="125">
        <f>IFERROR(VLOOKUP(DATA[[#This Row],[COMBINADA]],#REF!,9,0),0)/COUNTIFS(DATA[COMBINADA],DATA[[#This Row],[COMBINADA]])</f>
        <v>0</v>
      </c>
      <c r="AO645" s="27">
        <f>IFERROR(VLOOKUP(DATA[[#This Row],[COMBINADA]],#REF!,6,0),0)</f>
        <v>0</v>
      </c>
      <c r="AP645" s="125">
        <f>IFERROR(VLOOKUP(DATA[[#This Row],[COMBINADA]],#REF!,9,0),0)/COUNTIFS(DATA[COMBINADA],DATA[[#This Row],[COMBINADA]])</f>
        <v>0</v>
      </c>
      <c r="AQ64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1134.74</v>
      </c>
      <c r="AR645" s="26" t="str">
        <f>IFERROR(IF(DATA[[#This Row],[estado_fact]]="FACTURADO",VLOOKUP(DATA[[#This Row],[SERIE2]]&amp;"-"&amp;DATA[[#This Row],[NUMERO]],#REF!,34,0),"NO CORRESPONDE"),"NO CORRESPONDE")</f>
        <v>NO CORRESPONDE</v>
      </c>
      <c r="AS645" s="22" t="str">
        <f>IF(DATA[[#This Row],[fecha_fs]]&gt;0,TEXT(DATA[[#This Row],[fecha_fs]],"Mmmm"),0)</f>
        <v>Mayo</v>
      </c>
      <c r="AT645" s="22" t="str">
        <f>DATA[[#This Row],[SERIE2]]&amp;"-"&amp;DATA[[#This Row],[NUMERO]]</f>
        <v>FF01-102</v>
      </c>
      <c r="AU645" s="28">
        <f>DATA[[#This Row],[TOTAL]]*DATA[[#This Row],[T.C.]]</f>
        <v>1134.74</v>
      </c>
      <c r="AV645" s="6">
        <f>DATA[[#This Row],[FECHA DE VAL.]]</f>
        <v>45789</v>
      </c>
      <c r="AW645" s="6">
        <f>DATA[[#This Row],[FECHA DE EMISION]]</f>
        <v>45807</v>
      </c>
      <c r="AX645" s="6">
        <f>DATA[[#This Row],[F1]]</f>
        <v>0</v>
      </c>
      <c r="AY645" s="20">
        <f>IF(AV645-DATA[[#This Row],[fecha_fs]]&lt;0,0,AV645-DATA[[#This Row],[fecha_fs]])</f>
        <v>0</v>
      </c>
      <c r="AZ645" s="20">
        <f t="shared" si="70"/>
        <v>18</v>
      </c>
      <c r="BA645" s="20">
        <f t="shared" si="71"/>
        <v>0</v>
      </c>
      <c r="BB645" s="195">
        <f>IFERROR(SUM(DATA[[#This Row],[fs_val_ttf]:[fact_pago_ttf]]),0)</f>
        <v>18</v>
      </c>
      <c r="BC645" s="185">
        <v>45798</v>
      </c>
      <c r="BD645" s="185">
        <v>45804</v>
      </c>
      <c r="BE645" s="185">
        <v>45811</v>
      </c>
      <c r="BF645" s="185">
        <v>45818</v>
      </c>
      <c r="BG645" s="20">
        <f>IFERROR(IF(BC645-DATA[[#This Row],[fecha_fs]]&lt;0,0,BC645-DATA[[#This Row],[fecha_fs]]),0)</f>
        <v>9</v>
      </c>
      <c r="BH645" s="20">
        <f t="shared" si="66"/>
        <v>6</v>
      </c>
      <c r="BI645" s="20">
        <f t="shared" si="67"/>
        <v>7</v>
      </c>
      <c r="BJ645" s="20">
        <f t="shared" si="68"/>
        <v>7</v>
      </c>
      <c r="BK645" s="189">
        <f>IFERROR(SUM(DATA[[#This Row],[fs_fd_ttd]:[fend_fenf_ttd]]),0)</f>
        <v>29</v>
      </c>
      <c r="BL645" s="20" t="str">
        <f>IF(DATA[[#This Row],[fecha_fs]]&gt;0,TEXT(DATA[[#This Row],[fecha_fs]],"YYYY"),0)</f>
        <v>2025</v>
      </c>
      <c r="BM645" s="221" t="b">
        <v>1</v>
      </c>
      <c r="BN645" s="278">
        <f>COUNTIF(DATA[[#This Row],[tiempo_td]], "&lt;=15")</f>
        <v>0</v>
      </c>
      <c r="BO645" s="222"/>
    </row>
    <row r="646" spans="1:67" ht="30.6" customHeight="1" x14ac:dyDescent="0.25">
      <c r="A646" s="4">
        <v>20558353814</v>
      </c>
      <c r="B646" s="5" t="s">
        <v>275</v>
      </c>
      <c r="C646" s="52" t="s">
        <v>194</v>
      </c>
      <c r="D646" s="4" t="s">
        <v>290</v>
      </c>
      <c r="E646" s="5" t="s">
        <v>294</v>
      </c>
      <c r="F646" s="24">
        <v>45789</v>
      </c>
      <c r="G646" s="7" t="s">
        <v>142</v>
      </c>
      <c r="H646" s="25">
        <f t="shared" si="69"/>
        <v>2</v>
      </c>
      <c r="I646" s="67">
        <v>1084</v>
      </c>
      <c r="J646" s="8" t="s">
        <v>115</v>
      </c>
      <c r="K646" s="9" t="s">
        <v>195</v>
      </c>
      <c r="L646" s="10" t="s">
        <v>117</v>
      </c>
      <c r="M646" s="11">
        <v>5250</v>
      </c>
      <c r="N646" s="12" t="s">
        <v>143</v>
      </c>
      <c r="O646" s="6">
        <v>45791</v>
      </c>
      <c r="P646" s="13">
        <v>3445</v>
      </c>
      <c r="Q646" s="14" t="s">
        <v>85</v>
      </c>
      <c r="R646" s="15">
        <f>350+((DATA[[#This Row],[cantidad_fs]]-5000)*0.07)</f>
        <v>367.5</v>
      </c>
      <c r="S646" s="15">
        <f>1762</f>
        <v>1762</v>
      </c>
      <c r="T646" s="15">
        <f>DATA[[#This Row],[C. DF]]+DATA[[#This Row],[C.OPE.]]</f>
        <v>2129.5</v>
      </c>
      <c r="U646" s="15">
        <f>DATA[[#This Row],[SUB TOTAL]]*0.18</f>
        <v>383.31</v>
      </c>
      <c r="V646" s="15">
        <f>IFERROR(ROUND(DATA[[#This Row],[SUB TOTAL]]+DATA[[#This Row],[IGV]],2),0)</f>
        <v>2512.81</v>
      </c>
      <c r="W646" s="16" t="str">
        <f>IF(DATA[[#This Row],[VALORIZACIÓN ]]="-","NO CORRESPONDE",IF(OR(A646=20558226979,A646=10470707866,A646=20111157058,A646=20100226902),"NO CORRESPONDE",IF(J646="Emitida",IF(P646&gt;0,"EMITIDA","PENDIENTE"),"NO CORRESPONDE")))</f>
        <v>EMITIDA</v>
      </c>
      <c r="X646" s="29"/>
      <c r="Y646" s="17" t="s">
        <v>118</v>
      </c>
      <c r="Z646" s="30">
        <v>45803</v>
      </c>
      <c r="AA646" s="10" t="s">
        <v>150</v>
      </c>
      <c r="AB646" s="19">
        <v>92</v>
      </c>
      <c r="AC646" s="20">
        <v>15</v>
      </c>
      <c r="AD646" s="18">
        <f>DATA[[#This Row],[FECHA DE EMISION]]+DATA[[#This Row],[CONDICION DE PAGO]]</f>
        <v>45818</v>
      </c>
      <c r="AE646" s="23">
        <f>IF(DATA[[#This Row],[MONEDA]]="USD",VLOOKUP(DATA[[#This Row],[COMBINADA]],#REF!,11,0),1)</f>
        <v>1</v>
      </c>
      <c r="AF646" s="39" t="str">
        <f>IF(DATA[[#This Row],[SERIE2]]="-","NO CORRESPONDE",IF(W646="NO CORRESPONDE","NO CORRESPONDE",IF(Z646&gt;0,"FACTURADO","PENDIENTE")))</f>
        <v>FACTURADO</v>
      </c>
      <c r="AG646" s="27">
        <f>IFERROR(VLOOKUP(DATA[[#This Row],[COMBINADA]],#REF!,6,0),0)</f>
        <v>0</v>
      </c>
      <c r="AH646" s="125">
        <f>IFERROR(VLOOKUP(DATA[[#This Row],[COMBINADA]],#REF!,9,0),0)/COUNTIFS(DATA[COMBINADA],DATA[[#This Row],[COMBINADA]])</f>
        <v>0</v>
      </c>
      <c r="AI646" s="27">
        <f>IFERROR(VLOOKUP(DATA[[#This Row],[COMBINADA]],#REF!,6,0),0)</f>
        <v>0</v>
      </c>
      <c r="AJ646" s="125">
        <f>IFERROR(VLOOKUP(DATA[[#This Row],[COMBINADA]],#REF!,9,0),0)/COUNTIFS(DATA[COMBINADA],DATA[[#This Row],[COMBINADA]])</f>
        <v>0</v>
      </c>
      <c r="AK646" s="27">
        <f>IFERROR(VLOOKUP(DATA[[#This Row],[COMBINADA]],#REF!,6,0),0)</f>
        <v>0</v>
      </c>
      <c r="AL646" s="125">
        <f>IFERROR(VLOOKUP(DATA[[#This Row],[COMBINADA]],#REF!,9,0),0)/COUNTIFS(DATA[COMBINADA],DATA[[#This Row],[COMBINADA]])</f>
        <v>0</v>
      </c>
      <c r="AM646" s="27">
        <f>IFERROR(VLOOKUP(DATA[[#This Row],[COMBINADA]],#REF!,6,0),0)</f>
        <v>0</v>
      </c>
      <c r="AN646" s="125">
        <f>IFERROR(VLOOKUP(DATA[[#This Row],[COMBINADA]],#REF!,9,0),0)/COUNTIFS(DATA[COMBINADA],DATA[[#This Row],[COMBINADA]])</f>
        <v>0</v>
      </c>
      <c r="AO646" s="27">
        <f>IFERROR(VLOOKUP(DATA[[#This Row],[COMBINADA]],#REF!,6,0),0)</f>
        <v>0</v>
      </c>
      <c r="AP646" s="125">
        <f>IFERROR(VLOOKUP(DATA[[#This Row],[COMBINADA]],#REF!,9,0),0)/COUNTIFS(DATA[COMBINADA],DATA[[#This Row],[COMBINADA]])</f>
        <v>0</v>
      </c>
      <c r="AQ64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2512.81</v>
      </c>
      <c r="AR646" s="26" t="str">
        <f>IFERROR(IF(DATA[[#This Row],[estado_fact]]="FACTURADO",VLOOKUP(DATA[[#This Row],[SERIE2]]&amp;"-"&amp;DATA[[#This Row],[NUMERO]],#REF!,34,0),"NO CORRESPONDE"),"NO CORRESPONDE")</f>
        <v>NO CORRESPONDE</v>
      </c>
      <c r="AS646" s="22" t="str">
        <f>IF(DATA[[#This Row],[fecha_fs]]&gt;0,TEXT(DATA[[#This Row],[fecha_fs]],"Mmmm"),0)</f>
        <v>Mayo</v>
      </c>
      <c r="AT646" s="22" t="str">
        <f>DATA[[#This Row],[SERIE2]]&amp;"-"&amp;DATA[[#This Row],[NUMERO]]</f>
        <v>FF01-92</v>
      </c>
      <c r="AU646" s="28">
        <f>DATA[[#This Row],[TOTAL]]*DATA[[#This Row],[T.C.]]</f>
        <v>2512.81</v>
      </c>
      <c r="AV646" s="6">
        <f>DATA[[#This Row],[FECHA DE VAL.]]</f>
        <v>45791</v>
      </c>
      <c r="AW646" s="6">
        <f>DATA[[#This Row],[FECHA DE EMISION]]</f>
        <v>45803</v>
      </c>
      <c r="AX646" s="6">
        <f>DATA[[#This Row],[F1]]</f>
        <v>0</v>
      </c>
      <c r="AY646" s="20">
        <f>IF(AV646-DATA[[#This Row],[fecha_fs]]&lt;0,0,AV646-DATA[[#This Row],[fecha_fs]])</f>
        <v>2</v>
      </c>
      <c r="AZ646" s="20">
        <f t="shared" si="70"/>
        <v>12</v>
      </c>
      <c r="BA646" s="20">
        <f t="shared" si="71"/>
        <v>0</v>
      </c>
      <c r="BB646" s="195">
        <f>IFERROR(SUM(DATA[[#This Row],[fs_val_ttf]:[fact_pago_ttf]]),0)</f>
        <v>14</v>
      </c>
      <c r="BC646" s="184">
        <v>45799</v>
      </c>
      <c r="BD646" s="184">
        <v>45804</v>
      </c>
      <c r="BE646" s="184">
        <v>45811</v>
      </c>
      <c r="BF646" s="185">
        <v>45846</v>
      </c>
      <c r="BG646" s="226">
        <f>IFERROR(IF(BC646-DATA[[#This Row],[fecha_fs]]&lt;0,0,BC646-DATA[[#This Row],[fecha_fs]]),0)</f>
        <v>10</v>
      </c>
      <c r="BH646" s="226">
        <f t="shared" ref="BH646:BH709" si="72">IFERROR(IF(BD646-BC646&lt;0,0,BD646-BC646),0)</f>
        <v>5</v>
      </c>
      <c r="BI646" s="226">
        <f t="shared" ref="BI646:BI709" si="73">IFERROR(IF(BE646-BD646&lt;0,0,BE646-BD646),0)</f>
        <v>7</v>
      </c>
      <c r="BJ646" s="226">
        <f t="shared" ref="BJ646:BJ709" si="74">IFERROR(IF(BF646-BE646&lt;0,0,BF646-BE646),0)</f>
        <v>35</v>
      </c>
      <c r="BK646" s="228">
        <f>IFERROR(SUM(DATA[[#This Row],[fs_fd_ttd]:[fend_fenf_ttd]]),0)</f>
        <v>57</v>
      </c>
      <c r="BL646" s="20" t="str">
        <f>IF(DATA[[#This Row],[fecha_fs]]&gt;0,TEXT(DATA[[#This Row],[fecha_fs]],"YYYY"),0)</f>
        <v>2025</v>
      </c>
      <c r="BM646" s="221" t="b">
        <v>1</v>
      </c>
      <c r="BN646" s="278">
        <f>COUNTIF(DATA[[#This Row],[tiempo_td]], "&lt;=15")</f>
        <v>0</v>
      </c>
      <c r="BO646" s="222"/>
    </row>
    <row r="647" spans="1:67" ht="30.6" customHeight="1" x14ac:dyDescent="0.25">
      <c r="A647" s="4">
        <v>20100192064</v>
      </c>
      <c r="B647" s="5" t="s">
        <v>60</v>
      </c>
      <c r="C647" s="52" t="s">
        <v>65</v>
      </c>
      <c r="D647" s="4" t="s">
        <v>112</v>
      </c>
      <c r="E647" s="5" t="s">
        <v>1</v>
      </c>
      <c r="F647" s="24">
        <v>45790</v>
      </c>
      <c r="G647" s="7" t="s">
        <v>142</v>
      </c>
      <c r="H647" s="25">
        <f t="shared" si="69"/>
        <v>2</v>
      </c>
      <c r="I647" s="67">
        <v>1085</v>
      </c>
      <c r="J647" s="8" t="s">
        <v>115</v>
      </c>
      <c r="K647" s="9" t="s">
        <v>116</v>
      </c>
      <c r="L647" s="10" t="s">
        <v>117</v>
      </c>
      <c r="M647" s="11">
        <v>4090</v>
      </c>
      <c r="N647" s="12" t="s">
        <v>143</v>
      </c>
      <c r="O647" s="6">
        <v>45803</v>
      </c>
      <c r="P647" s="71">
        <v>3467</v>
      </c>
      <c r="Q647" s="14" t="s">
        <v>123</v>
      </c>
      <c r="R647" s="15">
        <f>(DATA[[#This Row],[cantidad_fs]]/1000)*(147+81.01)</f>
        <v>932.56089999999995</v>
      </c>
      <c r="S647" s="15">
        <v>103.6</v>
      </c>
      <c r="T647" s="15">
        <f>DATA[[#This Row],[C. DF]]+DATA[[#This Row],[C.OPE.]]</f>
        <v>1036.1608999999999</v>
      </c>
      <c r="U647" s="15">
        <f>DATA[[#This Row],[SUB TOTAL]]*0.18</f>
        <v>186.50896199999997</v>
      </c>
      <c r="V647" s="15">
        <f>IFERROR(ROUND(DATA[[#This Row],[SUB TOTAL]]+DATA[[#This Row],[IGV]],2),0)</f>
        <v>1222.67</v>
      </c>
      <c r="W647" s="16" t="str">
        <f>IF(DATA[[#This Row],[VALORIZACIÓN ]]="-","NO CORRESPONDE",IF(OR(A647=20558226979,A647=10470707866,A647=20111157058,A647=20100226902),"NO CORRESPONDE",IF(J647="Emitida",IF(P647&gt;0,"EMITIDA","PENDIENTE"),"NO CORRESPONDE")))</f>
        <v>EMITIDA</v>
      </c>
      <c r="X647" s="29"/>
      <c r="Y647" s="17" t="s">
        <v>118</v>
      </c>
      <c r="Z647" s="30">
        <v>45805</v>
      </c>
      <c r="AA647" s="10" t="s">
        <v>150</v>
      </c>
      <c r="AB647" s="19">
        <v>98</v>
      </c>
      <c r="AC647" s="20">
        <v>30</v>
      </c>
      <c r="AD647" s="18">
        <f>DATA[[#This Row],[FECHA DE EMISION]]+DATA[[#This Row],[CONDICION DE PAGO]]</f>
        <v>45835</v>
      </c>
      <c r="AE647" s="23" t="e">
        <f>IF(DATA[[#This Row],[MONEDA]]="USD",VLOOKUP(DATA[[#This Row],[COMBINADA]],#REF!,11,0),1)</f>
        <v>#REF!</v>
      </c>
      <c r="AF647" s="39" t="str">
        <f>IF(DATA[[#This Row],[SERIE2]]="-","NO CORRESPONDE",IF(W647="NO CORRESPONDE","NO CORRESPONDE",IF(Z647&gt;0,"FACTURADO","PENDIENTE")))</f>
        <v>FACTURADO</v>
      </c>
      <c r="AG647" s="27">
        <f>IFERROR(VLOOKUP(DATA[[#This Row],[COMBINADA]],#REF!,6,0),0)</f>
        <v>0</v>
      </c>
      <c r="AH647" s="125">
        <f>IFERROR(VLOOKUP(DATA[[#This Row],[COMBINADA]],#REF!,9,0),0)/COUNTIFS(DATA[COMBINADA],DATA[[#This Row],[COMBINADA]])</f>
        <v>0</v>
      </c>
      <c r="AI647" s="27">
        <f>IFERROR(VLOOKUP(DATA[[#This Row],[COMBINADA]],#REF!,6,0),0)</f>
        <v>0</v>
      </c>
      <c r="AJ647" s="125">
        <f>IFERROR(VLOOKUP(DATA[[#This Row],[COMBINADA]],#REF!,9,0),0)/COUNTIFS(DATA[COMBINADA],DATA[[#This Row],[COMBINADA]])</f>
        <v>0</v>
      </c>
      <c r="AK647" s="27">
        <f>IFERROR(VLOOKUP(DATA[[#This Row],[COMBINADA]],#REF!,6,0),0)</f>
        <v>0</v>
      </c>
      <c r="AL647" s="125">
        <f>IFERROR(VLOOKUP(DATA[[#This Row],[COMBINADA]],#REF!,9,0),0)/COUNTIFS(DATA[COMBINADA],DATA[[#This Row],[COMBINADA]])</f>
        <v>0</v>
      </c>
      <c r="AM647" s="27">
        <f>IFERROR(VLOOKUP(DATA[[#This Row],[COMBINADA]],#REF!,6,0),0)</f>
        <v>0</v>
      </c>
      <c r="AN647" s="125">
        <f>IFERROR(VLOOKUP(DATA[[#This Row],[COMBINADA]],#REF!,9,0),0)/COUNTIFS(DATA[COMBINADA],DATA[[#This Row],[COMBINADA]])</f>
        <v>0</v>
      </c>
      <c r="AO647" s="27">
        <f>IFERROR(VLOOKUP(DATA[[#This Row],[COMBINADA]],#REF!,6,0),0)</f>
        <v>0</v>
      </c>
      <c r="AP647" s="125">
        <f>IFERROR(VLOOKUP(DATA[[#This Row],[COMBINADA]],#REF!,9,0),0)/COUNTIFS(DATA[COMBINADA],DATA[[#This Row],[COMBINADA]])</f>
        <v>0</v>
      </c>
      <c r="AQ64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647.4955555555556</v>
      </c>
      <c r="AR647" s="26" t="str">
        <f>IFERROR(IF(DATA[[#This Row],[estado_fact]]="FACTURADO",VLOOKUP(DATA[[#This Row],[SERIE2]]&amp;"-"&amp;DATA[[#This Row],[NUMERO]],#REF!,34,0),"NO CORRESPONDE"),"NO CORRESPONDE")</f>
        <v>NO CORRESPONDE</v>
      </c>
      <c r="AS647" s="22" t="str">
        <f>IF(DATA[[#This Row],[fecha_fs]]&gt;0,TEXT(DATA[[#This Row],[fecha_fs]],"Mmmm"),0)</f>
        <v>Mayo</v>
      </c>
      <c r="AT647" s="22" t="str">
        <f>DATA[[#This Row],[SERIE2]]&amp;"-"&amp;DATA[[#This Row],[NUMERO]]</f>
        <v>FF01-98</v>
      </c>
      <c r="AU647" s="28" t="e">
        <f>DATA[[#This Row],[TOTAL]]*DATA[[#This Row],[T.C.]]</f>
        <v>#REF!</v>
      </c>
      <c r="AV647" s="6">
        <f>DATA[[#This Row],[FECHA DE VAL.]]</f>
        <v>45803</v>
      </c>
      <c r="AW647" s="6">
        <f>DATA[[#This Row],[FECHA DE EMISION]]</f>
        <v>45805</v>
      </c>
      <c r="AX647" s="6">
        <f>DATA[[#This Row],[F1]]</f>
        <v>0</v>
      </c>
      <c r="AY647" s="20">
        <f>IF(AV647-DATA[[#This Row],[fecha_fs]]&lt;0,0,AV647-DATA[[#This Row],[fecha_fs]])</f>
        <v>13</v>
      </c>
      <c r="AZ647" s="20">
        <f t="shared" si="70"/>
        <v>2</v>
      </c>
      <c r="BA647" s="20">
        <f t="shared" si="71"/>
        <v>0</v>
      </c>
      <c r="BB647" s="195">
        <f>IFERROR(SUM(DATA[[#This Row],[fs_val_ttf]:[fact_pago_ttf]]),0)</f>
        <v>15</v>
      </c>
      <c r="BC647" s="185">
        <v>45798</v>
      </c>
      <c r="BD647" s="185">
        <v>45804</v>
      </c>
      <c r="BE647" s="185">
        <v>45811</v>
      </c>
      <c r="BF647" s="185">
        <v>45846</v>
      </c>
      <c r="BG647" s="20">
        <f>IFERROR(IF(BC647-DATA[[#This Row],[fecha_fs]]&lt;0,0,BC647-DATA[[#This Row],[fecha_fs]]),0)</f>
        <v>8</v>
      </c>
      <c r="BH647" s="20">
        <f t="shared" si="72"/>
        <v>6</v>
      </c>
      <c r="BI647" s="20">
        <f t="shared" si="73"/>
        <v>7</v>
      </c>
      <c r="BJ647" s="20">
        <f t="shared" si="74"/>
        <v>35</v>
      </c>
      <c r="BK647" s="218">
        <f>IFERROR(SUM(DATA[[#This Row],[fs_fd_ttd]:[fend_fenf_ttd]]),0)</f>
        <v>56</v>
      </c>
      <c r="BL647" s="20" t="str">
        <f>IF(DATA[[#This Row],[fecha_fs]]&gt;0,TEXT(DATA[[#This Row],[fecha_fs]],"YYYY"),0)</f>
        <v>2025</v>
      </c>
      <c r="BM647" s="221" t="b">
        <v>1</v>
      </c>
      <c r="BN647" s="278">
        <f>COUNTIF(DATA[[#This Row],[tiempo_td]], "&lt;=15")</f>
        <v>0</v>
      </c>
      <c r="BO647" s="222"/>
    </row>
    <row r="648" spans="1:67" ht="30.6" customHeight="1" x14ac:dyDescent="0.25">
      <c r="A648" s="4">
        <v>20100055237</v>
      </c>
      <c r="B648" s="5" t="s">
        <v>21</v>
      </c>
      <c r="C648" s="52" t="s">
        <v>138</v>
      </c>
      <c r="D648" s="4" t="s">
        <v>139</v>
      </c>
      <c r="E648" s="5" t="s">
        <v>23</v>
      </c>
      <c r="F648" s="24">
        <v>45790</v>
      </c>
      <c r="G648" s="7" t="s">
        <v>113</v>
      </c>
      <c r="H648" s="25">
        <f t="shared" si="69"/>
        <v>1</v>
      </c>
      <c r="I648" s="67">
        <v>4501</v>
      </c>
      <c r="J648" s="8" t="s">
        <v>115</v>
      </c>
      <c r="K648" s="9" t="s">
        <v>121</v>
      </c>
      <c r="L648" s="10" t="s">
        <v>117</v>
      </c>
      <c r="M648" s="11">
        <v>130</v>
      </c>
      <c r="N648" s="12" t="s">
        <v>132</v>
      </c>
      <c r="O648" s="6">
        <v>45805</v>
      </c>
      <c r="P648" s="54">
        <v>3477</v>
      </c>
      <c r="Q648" s="14" t="s">
        <v>85</v>
      </c>
      <c r="R648" s="15"/>
      <c r="S648" s="56">
        <v>297.92</v>
      </c>
      <c r="T648" s="15">
        <f>DATA[[#This Row],[C. DF]]+DATA[[#This Row],[C.OPE.]]</f>
        <v>297.92</v>
      </c>
      <c r="U648" s="15">
        <f>DATA[[#This Row],[SUB TOTAL]]*0.18</f>
        <v>53.625599999999999</v>
      </c>
      <c r="V648" s="15">
        <f>IFERROR(ROUND(DATA[[#This Row],[SUB TOTAL]]+DATA[[#This Row],[IGV]],2),0)</f>
        <v>351.55</v>
      </c>
      <c r="W648" s="16" t="str">
        <f>IF(DATA[[#This Row],[VALORIZACIÓN ]]="-","NO CORRESPONDE",IF(OR(A648=20558226979,A648=10470707866,A648=20111157058,A648=20100226902),"NO CORRESPONDE",IF(J648="Emitida",IF(P648&gt;0,"EMITIDA","PENDIENTE"),"NO CORRESPONDE")))</f>
        <v>EMITIDA</v>
      </c>
      <c r="X648" s="29"/>
      <c r="Y648" s="17" t="s">
        <v>118</v>
      </c>
      <c r="Z648" s="30">
        <v>45820</v>
      </c>
      <c r="AA648" s="10" t="s">
        <v>150</v>
      </c>
      <c r="AB648" s="19">
        <v>120</v>
      </c>
      <c r="AC648" s="20">
        <v>30</v>
      </c>
      <c r="AD648" s="18">
        <f>DATA[[#This Row],[FECHA DE EMISION]]+DATA[[#This Row],[CONDICION DE PAGO]]</f>
        <v>45850</v>
      </c>
      <c r="AE648" s="23">
        <f>IF(DATA[[#This Row],[MONEDA]]="USD",VLOOKUP(DATA[[#This Row],[COMBINADA]],#REF!,11,0),1)</f>
        <v>1</v>
      </c>
      <c r="AF648" s="39" t="str">
        <f>IF(DATA[[#This Row],[SERIE2]]="-","NO CORRESPONDE",IF(W648="NO CORRESPONDE","NO CORRESPONDE",IF(Z648&gt;0,"FACTURADO","PENDIENTE")))</f>
        <v>FACTURADO</v>
      </c>
      <c r="AG648" s="27">
        <f>IFERROR(VLOOKUP(DATA[[#This Row],[COMBINADA]],#REF!,6,0),0)</f>
        <v>0</v>
      </c>
      <c r="AH648" s="125">
        <f>IFERROR(VLOOKUP(DATA[[#This Row],[COMBINADA]],#REF!,9,0),0)/COUNTIFS(DATA[COMBINADA],DATA[[#This Row],[COMBINADA]])</f>
        <v>0</v>
      </c>
      <c r="AI648" s="27">
        <f>IFERROR(VLOOKUP(DATA[[#This Row],[COMBINADA]],#REF!,6,0),0)</f>
        <v>0</v>
      </c>
      <c r="AJ648" s="125">
        <f>IFERROR(VLOOKUP(DATA[[#This Row],[COMBINADA]],#REF!,9,0),0)/COUNTIFS(DATA[COMBINADA],DATA[[#This Row],[COMBINADA]])</f>
        <v>0</v>
      </c>
      <c r="AK648" s="27">
        <f>IFERROR(VLOOKUP(DATA[[#This Row],[COMBINADA]],#REF!,6,0),0)</f>
        <v>0</v>
      </c>
      <c r="AL648" s="125">
        <f>IFERROR(VLOOKUP(DATA[[#This Row],[COMBINADA]],#REF!,9,0),0)/COUNTIFS(DATA[COMBINADA],DATA[[#This Row],[COMBINADA]])</f>
        <v>0</v>
      </c>
      <c r="AM648" s="27">
        <f>IFERROR(VLOOKUP(DATA[[#This Row],[COMBINADA]],#REF!,6,0),0)</f>
        <v>0</v>
      </c>
      <c r="AN648" s="125">
        <f>IFERROR(VLOOKUP(DATA[[#This Row],[COMBINADA]],#REF!,9,0),0)/COUNTIFS(DATA[COMBINADA],DATA[[#This Row],[COMBINADA]])</f>
        <v>0</v>
      </c>
      <c r="AO648" s="27">
        <f>IFERROR(VLOOKUP(DATA[[#This Row],[COMBINADA]],#REF!,6,0),0)</f>
        <v>0</v>
      </c>
      <c r="AP648" s="125">
        <f>IFERROR(VLOOKUP(DATA[[#This Row],[COMBINADA]],#REF!,9,0),0)/COUNTIFS(DATA[COMBINADA],DATA[[#This Row],[COMBINADA]])</f>
        <v>0</v>
      </c>
      <c r="AQ64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648" s="26" t="str">
        <f>IFERROR(IF(DATA[[#This Row],[estado_fact]]="FACTURADO",VLOOKUP(DATA[[#This Row],[SERIE2]]&amp;"-"&amp;DATA[[#This Row],[NUMERO]],#REF!,34,0),"NO CORRESPONDE"),"NO CORRESPONDE")</f>
        <v>NO CORRESPONDE</v>
      </c>
      <c r="AS648" s="22" t="str">
        <f>IF(DATA[[#This Row],[fecha_fs]]&gt;0,TEXT(DATA[[#This Row],[fecha_fs]],"Mmmm"),0)</f>
        <v>Mayo</v>
      </c>
      <c r="AT648" s="22" t="str">
        <f>DATA[[#This Row],[SERIE2]]&amp;"-"&amp;DATA[[#This Row],[NUMERO]]</f>
        <v>FF01-120</v>
      </c>
      <c r="AU648" s="28">
        <f>DATA[[#This Row],[TOTAL]]*DATA[[#This Row],[T.C.]]</f>
        <v>351.55</v>
      </c>
      <c r="AV648" s="6">
        <f>DATA[[#This Row],[FECHA DE VAL.]]</f>
        <v>45805</v>
      </c>
      <c r="AW648" s="6">
        <f>DATA[[#This Row],[FECHA DE EMISION]]</f>
        <v>45820</v>
      </c>
      <c r="AX648" s="6">
        <f>DATA[[#This Row],[F1]]</f>
        <v>0</v>
      </c>
      <c r="AY648" s="20">
        <f>IF(AV648-DATA[[#This Row],[fecha_fs]]&lt;0,0,AV648-DATA[[#This Row],[fecha_fs]])</f>
        <v>15</v>
      </c>
      <c r="AZ648" s="20">
        <f t="shared" si="70"/>
        <v>15</v>
      </c>
      <c r="BA648" s="20">
        <f t="shared" si="71"/>
        <v>0</v>
      </c>
      <c r="BB648" s="195">
        <f>IFERROR(SUM(DATA[[#This Row],[fs_val_ttf]:[fact_pago_ttf]]),0)</f>
        <v>30</v>
      </c>
      <c r="BC648" s="184">
        <v>45790</v>
      </c>
      <c r="BD648" s="184">
        <v>45790</v>
      </c>
      <c r="BE648" s="184">
        <v>45807</v>
      </c>
      <c r="BF648" s="184">
        <v>45807</v>
      </c>
      <c r="BG648" s="20">
        <f>IFERROR(IF(BC648-DATA[[#This Row],[fecha_fs]]&lt;0,0,BC648-DATA[[#This Row],[fecha_fs]]),0)</f>
        <v>0</v>
      </c>
      <c r="BH648" s="20">
        <f t="shared" si="72"/>
        <v>0</v>
      </c>
      <c r="BI648" s="20">
        <f t="shared" si="73"/>
        <v>17</v>
      </c>
      <c r="BJ648" s="20">
        <f t="shared" si="74"/>
        <v>0</v>
      </c>
      <c r="BK648" s="218">
        <f>IFERROR(SUM(DATA[[#This Row],[fs_fd_ttd]:[fend_fenf_ttd]]),0)</f>
        <v>17</v>
      </c>
      <c r="BL648" s="20" t="str">
        <f>IF(DATA[[#This Row],[fecha_fs]]&gt;0,TEXT(DATA[[#This Row],[fecha_fs]],"YYYY"),0)</f>
        <v>2025</v>
      </c>
      <c r="BM648" s="221" t="b">
        <v>1</v>
      </c>
      <c r="BN648" s="278">
        <f>COUNTIF(DATA[[#This Row],[tiempo_td]], "&lt;=15")</f>
        <v>0</v>
      </c>
      <c r="BO648" s="222"/>
    </row>
    <row r="649" spans="1:67" ht="30.6" customHeight="1" x14ac:dyDescent="0.25">
      <c r="A649" s="4">
        <v>20419158462</v>
      </c>
      <c r="B649" s="5" t="s">
        <v>2</v>
      </c>
      <c r="C649" s="52" t="s">
        <v>147</v>
      </c>
      <c r="D649" s="4" t="s">
        <v>120</v>
      </c>
      <c r="E649" s="5" t="s">
        <v>3</v>
      </c>
      <c r="F649" s="87">
        <v>45790</v>
      </c>
      <c r="G649" s="88" t="s">
        <v>113</v>
      </c>
      <c r="H649" s="89">
        <f t="shared" si="69"/>
        <v>1</v>
      </c>
      <c r="I649" s="67">
        <v>4502</v>
      </c>
      <c r="J649" s="90" t="s">
        <v>115</v>
      </c>
      <c r="K649" s="91" t="s">
        <v>148</v>
      </c>
      <c r="L649" s="92" t="s">
        <v>117</v>
      </c>
      <c r="M649" s="93">
        <v>4700</v>
      </c>
      <c r="N649" s="12" t="s">
        <v>122</v>
      </c>
      <c r="O649" s="6">
        <v>45791</v>
      </c>
      <c r="P649" s="13">
        <v>3441</v>
      </c>
      <c r="Q649" s="14" t="s">
        <v>85</v>
      </c>
      <c r="R649" s="75"/>
      <c r="S649" s="56">
        <v>2597.6999999999998</v>
      </c>
      <c r="T649" s="15">
        <f>DATA[[#This Row],[C. DF]]+DATA[[#This Row],[C.OPE.]]</f>
        <v>2597.6999999999998</v>
      </c>
      <c r="U649" s="15">
        <f>DATA[[#This Row],[SUB TOTAL]]*0.18</f>
        <v>467.58599999999996</v>
      </c>
      <c r="V649" s="292">
        <f>IFERROR(ROUND(DATA[[#This Row],[SUB TOTAL]]+DATA[[#This Row],[IGV]],2),0)</f>
        <v>3065.29</v>
      </c>
      <c r="W649" s="16" t="str">
        <f>IF(DATA[[#This Row],[VALORIZACIÓN ]]="-","NO CORRESPONDE",IF(OR(A649=20558226979,A649=10470707866,A649=20111157058,A649=20100226902),"NO CORRESPONDE",IF(J649="Emitida",IF(P649&gt;0,"EMITIDA","PENDIENTE"),"NO CORRESPONDE")))</f>
        <v>EMITIDA</v>
      </c>
      <c r="X649" s="29" t="s">
        <v>231</v>
      </c>
      <c r="Y649" s="17" t="s">
        <v>232</v>
      </c>
      <c r="Z649" s="30"/>
      <c r="AA649" s="10"/>
      <c r="AB649" s="19"/>
      <c r="AC649" s="20"/>
      <c r="AD649" s="18">
        <f>DATA[[#This Row],[FECHA DE EMISION]]+DATA[[#This Row],[CONDICION DE PAGO]]</f>
        <v>0</v>
      </c>
      <c r="AE649" s="23">
        <f>IF(DATA[[#This Row],[MONEDA]]="USD",VLOOKUP(DATA[[#This Row],[COMBINADA]],#REF!,11,0),1)</f>
        <v>1</v>
      </c>
      <c r="AF649" s="39" t="str">
        <f>IF(DATA[[#This Row],[SERIE2]]="-","NO CORRESPONDE",IF(W649="NO CORRESPONDE","NO CORRESPONDE",IF(Z649&gt;0,"FACTURADO","PENDIENTE")))</f>
        <v>PENDIENTE</v>
      </c>
      <c r="AG649" s="27">
        <f>IFERROR(VLOOKUP(DATA[[#This Row],[COMBINADA]],#REF!,6,0),0)</f>
        <v>0</v>
      </c>
      <c r="AH649" s="125">
        <f>IFERROR(VLOOKUP(DATA[[#This Row],[COMBINADA]],#REF!,9,0),0)/COUNTIFS(DATA[COMBINADA],DATA[[#This Row],[COMBINADA]])</f>
        <v>0</v>
      </c>
      <c r="AI649" s="27">
        <f>IFERROR(VLOOKUP(DATA[[#This Row],[COMBINADA]],#REF!,6,0),0)</f>
        <v>0</v>
      </c>
      <c r="AJ649" s="125">
        <f>IFERROR(VLOOKUP(DATA[[#This Row],[COMBINADA]],#REF!,9,0),0)/COUNTIFS(DATA[COMBINADA],DATA[[#This Row],[COMBINADA]])</f>
        <v>0</v>
      </c>
      <c r="AK649" s="27">
        <f>IFERROR(VLOOKUP(DATA[[#This Row],[COMBINADA]],#REF!,6,0),0)</f>
        <v>0</v>
      </c>
      <c r="AL649" s="125">
        <f>IFERROR(VLOOKUP(DATA[[#This Row],[COMBINADA]],#REF!,9,0),0)/COUNTIFS(DATA[COMBINADA],DATA[[#This Row],[COMBINADA]])</f>
        <v>0</v>
      </c>
      <c r="AM649" s="27">
        <f>IFERROR(VLOOKUP(DATA[[#This Row],[COMBINADA]],#REF!,6,0),0)</f>
        <v>0</v>
      </c>
      <c r="AN649" s="125">
        <f>IFERROR(VLOOKUP(DATA[[#This Row],[COMBINADA]],#REF!,9,0),0)/COUNTIFS(DATA[COMBINADA],DATA[[#This Row],[COMBINADA]])</f>
        <v>0</v>
      </c>
      <c r="AO649" s="27">
        <f>IFERROR(VLOOKUP(DATA[[#This Row],[COMBINADA]],#REF!,6,0),0)</f>
        <v>0</v>
      </c>
      <c r="AP649" s="125">
        <f>IFERROR(VLOOKUP(DATA[[#This Row],[COMBINADA]],#REF!,9,0),0)/COUNTIFS(DATA[COMBINADA],DATA[[#This Row],[COMBINADA]])</f>
        <v>0</v>
      </c>
      <c r="AQ64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649" s="26" t="str">
        <f>IFERROR(IF(DATA[[#This Row],[estado_fact]]="FACTURADO",VLOOKUP(DATA[[#This Row],[SERIE2]]&amp;"-"&amp;DATA[[#This Row],[NUMERO]],#REF!,34,0),"NO CORRESPONDE"),"NO CORRESPONDE")</f>
        <v>NO CORRESPONDE</v>
      </c>
      <c r="AS649" s="22" t="str">
        <f>IF(DATA[[#This Row],[fecha_fs]]&gt;0,TEXT(DATA[[#This Row],[fecha_fs]],"Mmmm"),0)</f>
        <v>Mayo</v>
      </c>
      <c r="AT649" s="22" t="str">
        <f>DATA[[#This Row],[SERIE2]]&amp;"-"&amp;DATA[[#This Row],[NUMERO]]</f>
        <v>-</v>
      </c>
      <c r="AU649" s="28">
        <f>DATA[[#This Row],[TOTAL]]*DATA[[#This Row],[T.C.]]</f>
        <v>3065.29</v>
      </c>
      <c r="AV649" s="6">
        <f>DATA[[#This Row],[FECHA DE VAL.]]</f>
        <v>45791</v>
      </c>
      <c r="AW649" s="6">
        <f>DATA[[#This Row],[FECHA DE EMISION]]</f>
        <v>0</v>
      </c>
      <c r="AX649" s="6">
        <f>DATA[[#This Row],[F1]]</f>
        <v>0</v>
      </c>
      <c r="AY649" s="20">
        <f>IF(AV649-DATA[[#This Row],[fecha_fs]]&lt;0,0,AV649-DATA[[#This Row],[fecha_fs]])</f>
        <v>1</v>
      </c>
      <c r="AZ649" s="20">
        <f t="shared" si="70"/>
        <v>0</v>
      </c>
      <c r="BA649" s="20">
        <f t="shared" si="71"/>
        <v>0</v>
      </c>
      <c r="BB649" s="195">
        <f>IFERROR(SUM(DATA[[#This Row],[fs_val_ttf]:[fact_pago_ttf]]),0)</f>
        <v>1</v>
      </c>
      <c r="BC649" s="184">
        <v>45790</v>
      </c>
      <c r="BD649" s="184">
        <v>45790</v>
      </c>
      <c r="BE649" s="184">
        <v>45807</v>
      </c>
      <c r="BF649" s="184">
        <v>45807</v>
      </c>
      <c r="BG649" s="20">
        <f>IFERROR(IF(BC649-DATA[[#This Row],[fecha_fs]]&lt;0,0,BC649-DATA[[#This Row],[fecha_fs]]),0)</f>
        <v>0</v>
      </c>
      <c r="BH649" s="20">
        <f t="shared" si="72"/>
        <v>0</v>
      </c>
      <c r="BI649" s="20">
        <f t="shared" si="73"/>
        <v>17</v>
      </c>
      <c r="BJ649" s="20">
        <f t="shared" si="74"/>
        <v>0</v>
      </c>
      <c r="BK649" s="218">
        <f>IFERROR(SUM(DATA[[#This Row],[fs_fd_ttd]:[fend_fenf_ttd]]),0)</f>
        <v>17</v>
      </c>
      <c r="BL649" s="20" t="str">
        <f>IF(DATA[[#This Row],[fecha_fs]]&gt;0,TEXT(DATA[[#This Row],[fecha_fs]],"YYYY"),0)</f>
        <v>2025</v>
      </c>
      <c r="BM649" s="221" t="b">
        <v>1</v>
      </c>
      <c r="BN649" s="278">
        <f>COUNTIF(DATA[[#This Row],[tiempo_td]], "&lt;=15")</f>
        <v>0</v>
      </c>
      <c r="BO649" s="222"/>
    </row>
    <row r="650" spans="1:67" ht="30.6" customHeight="1" x14ac:dyDescent="0.25">
      <c r="A650" s="4">
        <v>20419158462</v>
      </c>
      <c r="B650" s="5" t="s">
        <v>2</v>
      </c>
      <c r="C650" s="52" t="s">
        <v>11</v>
      </c>
      <c r="D650" s="4" t="s">
        <v>120</v>
      </c>
      <c r="E650" s="5" t="s">
        <v>3</v>
      </c>
      <c r="F650" s="24">
        <v>45790</v>
      </c>
      <c r="G650" s="7" t="s">
        <v>113</v>
      </c>
      <c r="H650" s="25">
        <f t="shared" si="69"/>
        <v>1</v>
      </c>
      <c r="I650" s="67">
        <v>4503</v>
      </c>
      <c r="J650" s="8" t="s">
        <v>115</v>
      </c>
      <c r="K650" s="9" t="s">
        <v>156</v>
      </c>
      <c r="L650" s="10" t="s">
        <v>117</v>
      </c>
      <c r="M650" s="11">
        <v>420</v>
      </c>
      <c r="N650" s="12" t="s">
        <v>125</v>
      </c>
      <c r="O650" s="6">
        <v>45791</v>
      </c>
      <c r="P650" s="13">
        <v>3442</v>
      </c>
      <c r="Q650" s="14" t="s">
        <v>85</v>
      </c>
      <c r="R650" s="15"/>
      <c r="S650" s="56">
        <f>1429.7/3</f>
        <v>476.56666666666666</v>
      </c>
      <c r="T650" s="15">
        <f>DATA[[#This Row],[C. DF]]+DATA[[#This Row],[C.OPE.]]</f>
        <v>476.56666666666666</v>
      </c>
      <c r="U650" s="15">
        <f>DATA[[#This Row],[SUB TOTAL]]*0.18</f>
        <v>85.781999999999996</v>
      </c>
      <c r="V650" s="15">
        <f>IFERROR(ROUND(DATA[[#This Row],[SUB TOTAL]]+DATA[[#This Row],[IGV]],2),0)</f>
        <v>562.35</v>
      </c>
      <c r="W650" s="16" t="str">
        <f>IF(DATA[[#This Row],[VALORIZACIÓN ]]="-","NO CORRESPONDE",IF(OR(A650=20558226979,A650=10470707866,A650=20111157058,A650=20100226902),"NO CORRESPONDE",IF(J650="Emitida",IF(P650&gt;0,"EMITIDA","PENDIENTE"),"NO CORRESPONDE")))</f>
        <v>EMITIDA</v>
      </c>
      <c r="X650" s="29" t="s">
        <v>231</v>
      </c>
      <c r="Y650" s="17" t="s">
        <v>118</v>
      </c>
      <c r="Z650" s="30">
        <v>45846</v>
      </c>
      <c r="AA650" s="10" t="s">
        <v>150</v>
      </c>
      <c r="AB650" s="19">
        <v>151</v>
      </c>
      <c r="AC650" s="20">
        <v>15</v>
      </c>
      <c r="AD650" s="18">
        <f>DATA[[#This Row],[FECHA DE EMISION]]+DATA[[#This Row],[CONDICION DE PAGO]]</f>
        <v>45861</v>
      </c>
      <c r="AE650" s="23">
        <f>IF(DATA[[#This Row],[MONEDA]]="USD",VLOOKUP(DATA[[#This Row],[COMBINADA]],#REF!,11,0),1)</f>
        <v>1</v>
      </c>
      <c r="AF650" s="39" t="str">
        <f>IF(DATA[[#This Row],[SERIE2]]="-","NO CORRESPONDE",IF(W650="NO CORRESPONDE","NO CORRESPONDE",IF(Z650&gt;0,"FACTURADO","PENDIENTE")))</f>
        <v>FACTURADO</v>
      </c>
      <c r="AG650" s="27">
        <f>IFERROR(VLOOKUP(DATA[[#This Row],[COMBINADA]],#REF!,6,0),0)</f>
        <v>0</v>
      </c>
      <c r="AH650" s="125">
        <f>IFERROR(VLOOKUP(DATA[[#This Row],[COMBINADA]],#REF!,9,0),0)/COUNTIFS(DATA[COMBINADA],DATA[[#This Row],[COMBINADA]])</f>
        <v>0</v>
      </c>
      <c r="AI650" s="27">
        <f>IFERROR(VLOOKUP(DATA[[#This Row],[COMBINADA]],#REF!,6,0),0)</f>
        <v>0</v>
      </c>
      <c r="AJ650" s="125">
        <f>IFERROR(VLOOKUP(DATA[[#This Row],[COMBINADA]],#REF!,9,0),0)/COUNTIFS(DATA[COMBINADA],DATA[[#This Row],[COMBINADA]])</f>
        <v>0</v>
      </c>
      <c r="AK650" s="27">
        <f>IFERROR(VLOOKUP(DATA[[#This Row],[COMBINADA]],#REF!,6,0),0)</f>
        <v>0</v>
      </c>
      <c r="AL650" s="125">
        <f>IFERROR(VLOOKUP(DATA[[#This Row],[COMBINADA]],#REF!,9,0),0)/COUNTIFS(DATA[COMBINADA],DATA[[#This Row],[COMBINADA]])</f>
        <v>0</v>
      </c>
      <c r="AM650" s="27">
        <f>IFERROR(VLOOKUP(DATA[[#This Row],[COMBINADA]],#REF!,6,0),0)</f>
        <v>0</v>
      </c>
      <c r="AN650" s="125">
        <f>IFERROR(VLOOKUP(DATA[[#This Row],[COMBINADA]],#REF!,9,0),0)/COUNTIFS(DATA[COMBINADA],DATA[[#This Row],[COMBINADA]])</f>
        <v>0</v>
      </c>
      <c r="AO650" s="27">
        <f>IFERROR(VLOOKUP(DATA[[#This Row],[COMBINADA]],#REF!,6,0),0)</f>
        <v>0</v>
      </c>
      <c r="AP650" s="125">
        <f>IFERROR(VLOOKUP(DATA[[#This Row],[COMBINADA]],#REF!,9,0),0)/COUNTIFS(DATA[COMBINADA],DATA[[#This Row],[COMBINADA]])</f>
        <v>0</v>
      </c>
      <c r="AQ65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562.35</v>
      </c>
      <c r="AR650" s="26" t="str">
        <f>IFERROR(IF(DATA[[#This Row],[estado_fact]]="FACTURADO",VLOOKUP(DATA[[#This Row],[SERIE2]]&amp;"-"&amp;DATA[[#This Row],[NUMERO]],#REF!,34,0),"NO CORRESPONDE"),"NO CORRESPONDE")</f>
        <v>NO CORRESPONDE</v>
      </c>
      <c r="AS650" s="22" t="str">
        <f>IF(DATA[[#This Row],[fecha_fs]]&gt;0,TEXT(DATA[[#This Row],[fecha_fs]],"Mmmm"),0)</f>
        <v>Mayo</v>
      </c>
      <c r="AT650" s="22" t="str">
        <f>DATA[[#This Row],[SERIE2]]&amp;"-"&amp;DATA[[#This Row],[NUMERO]]</f>
        <v>FF01-151</v>
      </c>
      <c r="AU650" s="28">
        <f>DATA[[#This Row],[TOTAL]]*DATA[[#This Row],[T.C.]]</f>
        <v>562.35</v>
      </c>
      <c r="AV650" s="6">
        <f>DATA[[#This Row],[FECHA DE VAL.]]</f>
        <v>45791</v>
      </c>
      <c r="AW650" s="6">
        <f>DATA[[#This Row],[FECHA DE EMISION]]</f>
        <v>45846</v>
      </c>
      <c r="AX650" s="6">
        <f>DATA[[#This Row],[F1]]</f>
        <v>0</v>
      </c>
      <c r="AY650" s="20">
        <f>IF(AV650-DATA[[#This Row],[fecha_fs]]&lt;0,0,AV650-DATA[[#This Row],[fecha_fs]])</f>
        <v>1</v>
      </c>
      <c r="AZ650" s="20">
        <f t="shared" si="70"/>
        <v>55</v>
      </c>
      <c r="BA650" s="20">
        <f t="shared" si="71"/>
        <v>0</v>
      </c>
      <c r="BB650" s="195">
        <f>IFERROR(SUM(DATA[[#This Row],[fs_val_ttf]:[fact_pago_ttf]]),0)</f>
        <v>56</v>
      </c>
      <c r="BC650" s="184">
        <v>45790</v>
      </c>
      <c r="BD650" s="184">
        <v>45790</v>
      </c>
      <c r="BE650" s="184">
        <v>45807</v>
      </c>
      <c r="BF650" s="184">
        <v>45807</v>
      </c>
      <c r="BG650" s="20">
        <f>IFERROR(IF(BC650-DATA[[#This Row],[fecha_fs]]&lt;0,0,BC650-DATA[[#This Row],[fecha_fs]]),0)</f>
        <v>0</v>
      </c>
      <c r="BH650" s="20">
        <f t="shared" si="72"/>
        <v>0</v>
      </c>
      <c r="BI650" s="20">
        <f t="shared" si="73"/>
        <v>17</v>
      </c>
      <c r="BJ650" s="20">
        <f t="shared" si="74"/>
        <v>0</v>
      </c>
      <c r="BK650" s="218">
        <f>IFERROR(SUM(DATA[[#This Row],[fs_fd_ttd]:[fend_fenf_ttd]]),0)</f>
        <v>17</v>
      </c>
      <c r="BL650" s="20" t="str">
        <f>IF(DATA[[#This Row],[fecha_fs]]&gt;0,TEXT(DATA[[#This Row],[fecha_fs]],"YYYY"),0)</f>
        <v>2025</v>
      </c>
      <c r="BM650" s="221" t="b">
        <v>1</v>
      </c>
      <c r="BN650" s="278">
        <f>COUNTIF(DATA[[#This Row],[tiempo_td]], "&lt;=15")</f>
        <v>0</v>
      </c>
      <c r="BO650" s="222"/>
    </row>
    <row r="651" spans="1:67" ht="30.6" customHeight="1" x14ac:dyDescent="0.25">
      <c r="A651" s="4">
        <v>20419158462</v>
      </c>
      <c r="B651" s="5" t="s">
        <v>2</v>
      </c>
      <c r="C651" s="52" t="s">
        <v>12</v>
      </c>
      <c r="D651" s="4" t="s">
        <v>120</v>
      </c>
      <c r="E651" s="5" t="s">
        <v>3</v>
      </c>
      <c r="F651" s="24">
        <v>45790</v>
      </c>
      <c r="G651" s="7" t="s">
        <v>113</v>
      </c>
      <c r="H651" s="25">
        <f t="shared" si="69"/>
        <v>1</v>
      </c>
      <c r="I651" s="67">
        <v>4504</v>
      </c>
      <c r="J651" s="8" t="s">
        <v>115</v>
      </c>
      <c r="K651" s="9" t="s">
        <v>156</v>
      </c>
      <c r="L651" s="10" t="s">
        <v>117</v>
      </c>
      <c r="M651" s="11">
        <v>550</v>
      </c>
      <c r="N651" s="12" t="s">
        <v>125</v>
      </c>
      <c r="O651" s="6">
        <v>45791</v>
      </c>
      <c r="P651" s="13">
        <v>3442</v>
      </c>
      <c r="Q651" s="14" t="s">
        <v>85</v>
      </c>
      <c r="R651" s="15"/>
      <c r="S651" s="56">
        <f>1429.7/3</f>
        <v>476.56666666666666</v>
      </c>
      <c r="T651" s="15">
        <f>DATA[[#This Row],[C. DF]]+DATA[[#This Row],[C.OPE.]]</f>
        <v>476.56666666666666</v>
      </c>
      <c r="U651" s="15">
        <f>DATA[[#This Row],[SUB TOTAL]]*0.18</f>
        <v>85.781999999999996</v>
      </c>
      <c r="V651" s="15">
        <f>IFERROR(ROUND(DATA[[#This Row],[SUB TOTAL]]+DATA[[#This Row],[IGV]],2),0)</f>
        <v>562.35</v>
      </c>
      <c r="W651" s="16" t="str">
        <f>IF(DATA[[#This Row],[VALORIZACIÓN ]]="-","NO CORRESPONDE",IF(OR(A651=20558226979,A651=10470707866,A651=20111157058,A651=20100226902),"NO CORRESPONDE",IF(J651="Emitida",IF(P651&gt;0,"EMITIDA","PENDIENTE"),"NO CORRESPONDE")))</f>
        <v>EMITIDA</v>
      </c>
      <c r="X651" s="29" t="s">
        <v>231</v>
      </c>
      <c r="Y651" s="17" t="s">
        <v>118</v>
      </c>
      <c r="Z651" s="30">
        <v>45846</v>
      </c>
      <c r="AA651" s="10" t="s">
        <v>150</v>
      </c>
      <c r="AB651" s="19">
        <v>151</v>
      </c>
      <c r="AC651" s="20">
        <v>15</v>
      </c>
      <c r="AD651" s="18">
        <f>DATA[[#This Row],[FECHA DE EMISION]]+DATA[[#This Row],[CONDICION DE PAGO]]</f>
        <v>45861</v>
      </c>
      <c r="AE651" s="23">
        <f>IF(DATA[[#This Row],[MONEDA]]="USD",VLOOKUP(DATA[[#This Row],[COMBINADA]],#REF!,11,0),1)</f>
        <v>1</v>
      </c>
      <c r="AF651" s="39" t="str">
        <f>IF(DATA[[#This Row],[SERIE2]]="-","NO CORRESPONDE",IF(W651="NO CORRESPONDE","NO CORRESPONDE",IF(Z651&gt;0,"FACTURADO","PENDIENTE")))</f>
        <v>FACTURADO</v>
      </c>
      <c r="AG651" s="27">
        <f>IFERROR(VLOOKUP(DATA[[#This Row],[COMBINADA]],#REF!,6,0),0)</f>
        <v>0</v>
      </c>
      <c r="AH651" s="125">
        <f>IFERROR(VLOOKUP(DATA[[#This Row],[COMBINADA]],#REF!,9,0),0)/COUNTIFS(DATA[COMBINADA],DATA[[#This Row],[COMBINADA]])</f>
        <v>0</v>
      </c>
      <c r="AI651" s="27">
        <f>IFERROR(VLOOKUP(DATA[[#This Row],[COMBINADA]],#REF!,6,0),0)</f>
        <v>0</v>
      </c>
      <c r="AJ651" s="125">
        <f>IFERROR(VLOOKUP(DATA[[#This Row],[COMBINADA]],#REF!,9,0),0)/COUNTIFS(DATA[COMBINADA],DATA[[#This Row],[COMBINADA]])</f>
        <v>0</v>
      </c>
      <c r="AK651" s="27">
        <f>IFERROR(VLOOKUP(DATA[[#This Row],[COMBINADA]],#REF!,6,0),0)</f>
        <v>0</v>
      </c>
      <c r="AL651" s="125">
        <f>IFERROR(VLOOKUP(DATA[[#This Row],[COMBINADA]],#REF!,9,0),0)/COUNTIFS(DATA[COMBINADA],DATA[[#This Row],[COMBINADA]])</f>
        <v>0</v>
      </c>
      <c r="AM651" s="27">
        <f>IFERROR(VLOOKUP(DATA[[#This Row],[COMBINADA]],#REF!,6,0),0)</f>
        <v>0</v>
      </c>
      <c r="AN651" s="125">
        <f>IFERROR(VLOOKUP(DATA[[#This Row],[COMBINADA]],#REF!,9,0),0)/COUNTIFS(DATA[COMBINADA],DATA[[#This Row],[COMBINADA]])</f>
        <v>0</v>
      </c>
      <c r="AO651" s="27">
        <f>IFERROR(VLOOKUP(DATA[[#This Row],[COMBINADA]],#REF!,6,0),0)</f>
        <v>0</v>
      </c>
      <c r="AP651" s="125">
        <f>IFERROR(VLOOKUP(DATA[[#This Row],[COMBINADA]],#REF!,9,0),0)/COUNTIFS(DATA[COMBINADA],DATA[[#This Row],[COMBINADA]])</f>
        <v>0</v>
      </c>
      <c r="AQ65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562.35</v>
      </c>
      <c r="AR651" s="26" t="str">
        <f>IFERROR(IF(DATA[[#This Row],[estado_fact]]="FACTURADO",VLOOKUP(DATA[[#This Row],[SERIE2]]&amp;"-"&amp;DATA[[#This Row],[NUMERO]],#REF!,34,0),"NO CORRESPONDE"),"NO CORRESPONDE")</f>
        <v>NO CORRESPONDE</v>
      </c>
      <c r="AS651" s="22" t="str">
        <f>IF(DATA[[#This Row],[fecha_fs]]&gt;0,TEXT(DATA[[#This Row],[fecha_fs]],"Mmmm"),0)</f>
        <v>Mayo</v>
      </c>
      <c r="AT651" s="22" t="str">
        <f>DATA[[#This Row],[SERIE2]]&amp;"-"&amp;DATA[[#This Row],[NUMERO]]</f>
        <v>FF01-151</v>
      </c>
      <c r="AU651" s="28">
        <f>DATA[[#This Row],[TOTAL]]*DATA[[#This Row],[T.C.]]</f>
        <v>562.35</v>
      </c>
      <c r="AV651" s="6">
        <f>DATA[[#This Row],[FECHA DE VAL.]]</f>
        <v>45791</v>
      </c>
      <c r="AW651" s="6">
        <f>DATA[[#This Row],[FECHA DE EMISION]]</f>
        <v>45846</v>
      </c>
      <c r="AX651" s="6">
        <f>DATA[[#This Row],[F1]]</f>
        <v>0</v>
      </c>
      <c r="AY651" s="20">
        <f>IF(AV651-DATA[[#This Row],[fecha_fs]]&lt;0,0,AV651-DATA[[#This Row],[fecha_fs]])</f>
        <v>1</v>
      </c>
      <c r="AZ651" s="20">
        <f t="shared" si="70"/>
        <v>55</v>
      </c>
      <c r="BA651" s="20">
        <f t="shared" si="71"/>
        <v>0</v>
      </c>
      <c r="BB651" s="195">
        <f>IFERROR(SUM(DATA[[#This Row],[fs_val_ttf]:[fact_pago_ttf]]),0)</f>
        <v>56</v>
      </c>
      <c r="BC651" s="184">
        <v>45790</v>
      </c>
      <c r="BD651" s="184">
        <v>45790</v>
      </c>
      <c r="BE651" s="184">
        <v>45807</v>
      </c>
      <c r="BF651" s="184">
        <v>45807</v>
      </c>
      <c r="BG651" s="20">
        <f>IFERROR(IF(BC651-DATA[[#This Row],[fecha_fs]]&lt;0,0,BC651-DATA[[#This Row],[fecha_fs]]),0)</f>
        <v>0</v>
      </c>
      <c r="BH651" s="20">
        <f t="shared" si="72"/>
        <v>0</v>
      </c>
      <c r="BI651" s="20">
        <f t="shared" si="73"/>
        <v>17</v>
      </c>
      <c r="BJ651" s="20">
        <f t="shared" si="74"/>
        <v>0</v>
      </c>
      <c r="BK651" s="218">
        <f>IFERROR(SUM(DATA[[#This Row],[fs_fd_ttd]:[fend_fenf_ttd]]),0)</f>
        <v>17</v>
      </c>
      <c r="BL651" s="20" t="str">
        <f>IF(DATA[[#This Row],[fecha_fs]]&gt;0,TEXT(DATA[[#This Row],[fecha_fs]],"YYYY"),0)</f>
        <v>2025</v>
      </c>
      <c r="BM651" s="221" t="b">
        <v>1</v>
      </c>
      <c r="BN651" s="278">
        <f>COUNTIF(DATA[[#This Row],[tiempo_td]], "&lt;=15")</f>
        <v>0</v>
      </c>
      <c r="BO651" s="222"/>
    </row>
    <row r="652" spans="1:67" ht="30.6" customHeight="1" x14ac:dyDescent="0.25">
      <c r="A652" s="4">
        <v>20419158462</v>
      </c>
      <c r="B652" s="5" t="s">
        <v>2</v>
      </c>
      <c r="C652" s="52" t="s">
        <v>13</v>
      </c>
      <c r="D652" s="4" t="s">
        <v>120</v>
      </c>
      <c r="E652" s="5" t="s">
        <v>3</v>
      </c>
      <c r="F652" s="24">
        <v>45790</v>
      </c>
      <c r="G652" s="7" t="s">
        <v>113</v>
      </c>
      <c r="H652" s="25">
        <f t="shared" si="69"/>
        <v>1</v>
      </c>
      <c r="I652" s="67">
        <v>4505</v>
      </c>
      <c r="J652" s="8" t="s">
        <v>115</v>
      </c>
      <c r="K652" s="9" t="s">
        <v>156</v>
      </c>
      <c r="L652" s="10" t="s">
        <v>117</v>
      </c>
      <c r="M652" s="11">
        <v>750</v>
      </c>
      <c r="N652" s="12" t="s">
        <v>125</v>
      </c>
      <c r="O652" s="6">
        <v>45791</v>
      </c>
      <c r="P652" s="13">
        <v>3442</v>
      </c>
      <c r="Q652" s="14" t="s">
        <v>85</v>
      </c>
      <c r="R652" s="15"/>
      <c r="S652" s="56">
        <f>1429.7/3</f>
        <v>476.56666666666666</v>
      </c>
      <c r="T652" s="15">
        <f>DATA[[#This Row],[C. DF]]+DATA[[#This Row],[C.OPE.]]</f>
        <v>476.56666666666666</v>
      </c>
      <c r="U652" s="15">
        <f>DATA[[#This Row],[SUB TOTAL]]*0.18</f>
        <v>85.781999999999996</v>
      </c>
      <c r="V652" s="15">
        <f>IFERROR(ROUND(DATA[[#This Row],[SUB TOTAL]]+DATA[[#This Row],[IGV]],2),0)</f>
        <v>562.35</v>
      </c>
      <c r="W652" s="16" t="str">
        <f>IF(DATA[[#This Row],[VALORIZACIÓN ]]="-","NO CORRESPONDE",IF(OR(A652=20558226979,A652=10470707866,A652=20111157058,A652=20100226902),"NO CORRESPONDE",IF(J652="Emitida",IF(P652&gt;0,"EMITIDA","PENDIENTE"),"NO CORRESPONDE")))</f>
        <v>EMITIDA</v>
      </c>
      <c r="X652" s="29" t="s">
        <v>231</v>
      </c>
      <c r="Y652" s="17" t="s">
        <v>118</v>
      </c>
      <c r="Z652" s="30">
        <v>45846</v>
      </c>
      <c r="AA652" s="10" t="s">
        <v>150</v>
      </c>
      <c r="AB652" s="19">
        <v>151</v>
      </c>
      <c r="AC652" s="20">
        <v>15</v>
      </c>
      <c r="AD652" s="18">
        <f>DATA[[#This Row],[FECHA DE EMISION]]+DATA[[#This Row],[CONDICION DE PAGO]]</f>
        <v>45861</v>
      </c>
      <c r="AE652" s="23">
        <f>IF(DATA[[#This Row],[MONEDA]]="USD",VLOOKUP(DATA[[#This Row],[COMBINADA]],#REF!,11,0),1)</f>
        <v>1</v>
      </c>
      <c r="AF652" s="39" t="str">
        <f>IF(DATA[[#This Row],[SERIE2]]="-","NO CORRESPONDE",IF(W652="NO CORRESPONDE","NO CORRESPONDE",IF(Z652&gt;0,"FACTURADO","PENDIENTE")))</f>
        <v>FACTURADO</v>
      </c>
      <c r="AG652" s="27">
        <f>IFERROR(VLOOKUP(DATA[[#This Row],[COMBINADA]],#REF!,6,0),0)</f>
        <v>0</v>
      </c>
      <c r="AH652" s="125">
        <f>IFERROR(VLOOKUP(DATA[[#This Row],[COMBINADA]],#REF!,9,0),0)/COUNTIFS(DATA[COMBINADA],DATA[[#This Row],[COMBINADA]])</f>
        <v>0</v>
      </c>
      <c r="AI652" s="27">
        <f>IFERROR(VLOOKUP(DATA[[#This Row],[COMBINADA]],#REF!,6,0),0)</f>
        <v>0</v>
      </c>
      <c r="AJ652" s="125">
        <f>IFERROR(VLOOKUP(DATA[[#This Row],[COMBINADA]],#REF!,9,0),0)/COUNTIFS(DATA[COMBINADA],DATA[[#This Row],[COMBINADA]])</f>
        <v>0</v>
      </c>
      <c r="AK652" s="27">
        <f>IFERROR(VLOOKUP(DATA[[#This Row],[COMBINADA]],#REF!,6,0),0)</f>
        <v>0</v>
      </c>
      <c r="AL652" s="125">
        <f>IFERROR(VLOOKUP(DATA[[#This Row],[COMBINADA]],#REF!,9,0),0)/COUNTIFS(DATA[COMBINADA],DATA[[#This Row],[COMBINADA]])</f>
        <v>0</v>
      </c>
      <c r="AM652" s="27">
        <f>IFERROR(VLOOKUP(DATA[[#This Row],[COMBINADA]],#REF!,6,0),0)</f>
        <v>0</v>
      </c>
      <c r="AN652" s="125">
        <f>IFERROR(VLOOKUP(DATA[[#This Row],[COMBINADA]],#REF!,9,0),0)/COUNTIFS(DATA[COMBINADA],DATA[[#This Row],[COMBINADA]])</f>
        <v>0</v>
      </c>
      <c r="AO652" s="27">
        <f>IFERROR(VLOOKUP(DATA[[#This Row],[COMBINADA]],#REF!,6,0),0)</f>
        <v>0</v>
      </c>
      <c r="AP652" s="125">
        <f>IFERROR(VLOOKUP(DATA[[#This Row],[COMBINADA]],#REF!,9,0),0)/COUNTIFS(DATA[COMBINADA],DATA[[#This Row],[COMBINADA]])</f>
        <v>0</v>
      </c>
      <c r="AQ65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562.35</v>
      </c>
      <c r="AR652" s="26" t="str">
        <f>IFERROR(IF(DATA[[#This Row],[estado_fact]]="FACTURADO",VLOOKUP(DATA[[#This Row],[SERIE2]]&amp;"-"&amp;DATA[[#This Row],[NUMERO]],#REF!,34,0),"NO CORRESPONDE"),"NO CORRESPONDE")</f>
        <v>NO CORRESPONDE</v>
      </c>
      <c r="AS652" s="22" t="str">
        <f>IF(DATA[[#This Row],[fecha_fs]]&gt;0,TEXT(DATA[[#This Row],[fecha_fs]],"Mmmm"),0)</f>
        <v>Mayo</v>
      </c>
      <c r="AT652" s="22" t="str">
        <f>DATA[[#This Row],[SERIE2]]&amp;"-"&amp;DATA[[#This Row],[NUMERO]]</f>
        <v>FF01-151</v>
      </c>
      <c r="AU652" s="28">
        <f>DATA[[#This Row],[TOTAL]]*DATA[[#This Row],[T.C.]]</f>
        <v>562.35</v>
      </c>
      <c r="AV652" s="6">
        <f>DATA[[#This Row],[FECHA DE VAL.]]</f>
        <v>45791</v>
      </c>
      <c r="AW652" s="6">
        <f>DATA[[#This Row],[FECHA DE EMISION]]</f>
        <v>45846</v>
      </c>
      <c r="AX652" s="6">
        <f>DATA[[#This Row],[F1]]</f>
        <v>0</v>
      </c>
      <c r="AY652" s="20">
        <f>IF(AV652-DATA[[#This Row],[fecha_fs]]&lt;0,0,AV652-DATA[[#This Row],[fecha_fs]])</f>
        <v>1</v>
      </c>
      <c r="AZ652" s="20">
        <f t="shared" si="70"/>
        <v>55</v>
      </c>
      <c r="BA652" s="20">
        <f t="shared" si="71"/>
        <v>0</v>
      </c>
      <c r="BB652" s="195">
        <f>IFERROR(SUM(DATA[[#This Row],[fs_val_ttf]:[fact_pago_ttf]]),0)</f>
        <v>56</v>
      </c>
      <c r="BC652" s="184">
        <v>45790</v>
      </c>
      <c r="BD652" s="184">
        <v>45790</v>
      </c>
      <c r="BE652" s="184">
        <v>45807</v>
      </c>
      <c r="BF652" s="184">
        <v>45807</v>
      </c>
      <c r="BG652" s="20">
        <f>IFERROR(IF(BC652-DATA[[#This Row],[fecha_fs]]&lt;0,0,BC652-DATA[[#This Row],[fecha_fs]]),0)</f>
        <v>0</v>
      </c>
      <c r="BH652" s="20">
        <f t="shared" si="72"/>
        <v>0</v>
      </c>
      <c r="BI652" s="20">
        <f t="shared" si="73"/>
        <v>17</v>
      </c>
      <c r="BJ652" s="20">
        <f t="shared" si="74"/>
        <v>0</v>
      </c>
      <c r="BK652" s="218">
        <f>IFERROR(SUM(DATA[[#This Row],[fs_fd_ttd]:[fend_fenf_ttd]]),0)</f>
        <v>17</v>
      </c>
      <c r="BL652" s="20" t="str">
        <f>IF(DATA[[#This Row],[fecha_fs]]&gt;0,TEXT(DATA[[#This Row],[fecha_fs]],"YYYY"),0)</f>
        <v>2025</v>
      </c>
      <c r="BM652" s="221" t="b">
        <v>1</v>
      </c>
      <c r="BN652" s="278">
        <f>COUNTIF(DATA[[#This Row],[tiempo_td]], "&lt;=15")</f>
        <v>0</v>
      </c>
      <c r="BO652" s="222"/>
    </row>
    <row r="653" spans="1:67" ht="30.6" customHeight="1" x14ac:dyDescent="0.25">
      <c r="A653" s="4">
        <v>20558226979</v>
      </c>
      <c r="B653" s="5" t="s">
        <v>45</v>
      </c>
      <c r="C653" s="52" t="s">
        <v>18</v>
      </c>
      <c r="D653" s="4" t="s">
        <v>120</v>
      </c>
      <c r="E653" s="5" t="s">
        <v>3</v>
      </c>
      <c r="F653" s="24">
        <v>45790</v>
      </c>
      <c r="G653" s="7" t="s">
        <v>113</v>
      </c>
      <c r="H653" s="25">
        <f t="shared" si="69"/>
        <v>1</v>
      </c>
      <c r="I653" s="67">
        <v>4506</v>
      </c>
      <c r="J653" s="8" t="s">
        <v>115</v>
      </c>
      <c r="K653" s="9" t="s">
        <v>148</v>
      </c>
      <c r="L653" s="10" t="s">
        <v>117</v>
      </c>
      <c r="M653" s="11">
        <v>4700</v>
      </c>
      <c r="N653" s="12" t="s">
        <v>122</v>
      </c>
      <c r="O653" s="40"/>
      <c r="P653" s="41" t="s">
        <v>114</v>
      </c>
      <c r="Q653" s="42"/>
      <c r="R653" s="43"/>
      <c r="S653" s="43"/>
      <c r="T653" s="43">
        <f>DATA[[#This Row],[C. DF]]+DATA[[#This Row],[C.OPE.]]</f>
        <v>0</v>
      </c>
      <c r="U653" s="43">
        <f>DATA[[#This Row],[SUB TOTAL]]*0.18</f>
        <v>0</v>
      </c>
      <c r="V653" s="43">
        <f>IFERROR(ROUND(DATA[[#This Row],[SUB TOTAL]]+DATA[[#This Row],[IGV]],2),0)</f>
        <v>0</v>
      </c>
      <c r="W653" s="16" t="str">
        <f>IF(DATA[[#This Row],[VALORIZACIÓN ]]="-","NO CORRESPONDE",IF(OR(A653=20558226979,A653=10470707866,A653=20111157058,A653=20100226902),"NO CORRESPONDE",IF(J653="Emitida",IF(P653&gt;0,"EMITIDA","PENDIENTE"),"NO CORRESPONDE")))</f>
        <v>NO CORRESPONDE</v>
      </c>
      <c r="X653" s="29"/>
      <c r="Y653" s="17" t="s">
        <v>128</v>
      </c>
      <c r="Z653" s="30"/>
      <c r="AA653" s="10"/>
      <c r="AB653" s="19"/>
      <c r="AC653" s="20"/>
      <c r="AD653" s="18">
        <f>DATA[[#This Row],[FECHA DE EMISION]]+DATA[[#This Row],[CONDICION DE PAGO]]</f>
        <v>0</v>
      </c>
      <c r="AE653" s="23">
        <f>IF(DATA[[#This Row],[MONEDA]]="USD",VLOOKUP(DATA[[#This Row],[COMBINADA]],#REF!,11,0),1)</f>
        <v>1</v>
      </c>
      <c r="AF653" s="39" t="str">
        <f>IF(DATA[[#This Row],[SERIE2]]="-","NO CORRESPONDE",IF(W653="NO CORRESPONDE","NO CORRESPONDE",IF(Z653&gt;0,"FACTURADO","PENDIENTE")))</f>
        <v>NO CORRESPONDE</v>
      </c>
      <c r="AG653" s="27">
        <f>IFERROR(VLOOKUP(DATA[[#This Row],[COMBINADA]],#REF!,6,0),0)</f>
        <v>0</v>
      </c>
      <c r="AH653" s="125">
        <f>IFERROR(VLOOKUP(DATA[[#This Row],[COMBINADA]],#REF!,9,0),0)/COUNTIFS(DATA[COMBINADA],DATA[[#This Row],[COMBINADA]])</f>
        <v>0</v>
      </c>
      <c r="AI653" s="27">
        <f>IFERROR(VLOOKUP(DATA[[#This Row],[COMBINADA]],#REF!,6,0),0)</f>
        <v>0</v>
      </c>
      <c r="AJ653" s="125">
        <f>IFERROR(VLOOKUP(DATA[[#This Row],[COMBINADA]],#REF!,9,0),0)/COUNTIFS(DATA[COMBINADA],DATA[[#This Row],[COMBINADA]])</f>
        <v>0</v>
      </c>
      <c r="AK653" s="27">
        <f>IFERROR(VLOOKUP(DATA[[#This Row],[COMBINADA]],#REF!,6,0),0)</f>
        <v>0</v>
      </c>
      <c r="AL653" s="125">
        <f>IFERROR(VLOOKUP(DATA[[#This Row],[COMBINADA]],#REF!,9,0),0)/COUNTIFS(DATA[COMBINADA],DATA[[#This Row],[COMBINADA]])</f>
        <v>0</v>
      </c>
      <c r="AM653" s="27">
        <f>IFERROR(VLOOKUP(DATA[[#This Row],[COMBINADA]],#REF!,6,0),0)</f>
        <v>0</v>
      </c>
      <c r="AN653" s="125">
        <f>IFERROR(VLOOKUP(DATA[[#This Row],[COMBINADA]],#REF!,9,0),0)/COUNTIFS(DATA[COMBINADA],DATA[[#This Row],[COMBINADA]])</f>
        <v>0</v>
      </c>
      <c r="AO653" s="27">
        <f>IFERROR(VLOOKUP(DATA[[#This Row],[COMBINADA]],#REF!,6,0),0)</f>
        <v>0</v>
      </c>
      <c r="AP653" s="125">
        <f>IFERROR(VLOOKUP(DATA[[#This Row],[COMBINADA]],#REF!,9,0),0)/COUNTIFS(DATA[COMBINADA],DATA[[#This Row],[COMBINADA]])</f>
        <v>0</v>
      </c>
      <c r="AQ65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653" s="26" t="str">
        <f>IFERROR(IF(DATA[[#This Row],[estado_fact]]="FACTURADO",VLOOKUP(DATA[[#This Row],[SERIE2]]&amp;"-"&amp;DATA[[#This Row],[NUMERO]],#REF!,34,0),"NO CORRESPONDE"),"NO CORRESPONDE")</f>
        <v>NO CORRESPONDE</v>
      </c>
      <c r="AS653" s="22" t="str">
        <f>IF(DATA[[#This Row],[fecha_fs]]&gt;0,TEXT(DATA[[#This Row],[fecha_fs]],"Mmmm"),0)</f>
        <v>Mayo</v>
      </c>
      <c r="AT653" s="22" t="str">
        <f>DATA[[#This Row],[SERIE2]]&amp;"-"&amp;DATA[[#This Row],[NUMERO]]</f>
        <v>-</v>
      </c>
      <c r="AU653" s="28">
        <f>DATA[[#This Row],[TOTAL]]*DATA[[#This Row],[T.C.]]</f>
        <v>0</v>
      </c>
      <c r="AV653" s="6">
        <f>DATA[[#This Row],[FECHA DE VAL.]]</f>
        <v>0</v>
      </c>
      <c r="AW653" s="6">
        <f>DATA[[#This Row],[FECHA DE EMISION]]</f>
        <v>0</v>
      </c>
      <c r="AX653" s="6">
        <f>DATA[[#This Row],[F1]]</f>
        <v>0</v>
      </c>
      <c r="AY653" s="20">
        <f>IF(AV653-DATA[[#This Row],[fecha_fs]]&lt;0,0,AV653-DATA[[#This Row],[fecha_fs]])</f>
        <v>0</v>
      </c>
      <c r="AZ653" s="20">
        <f t="shared" si="70"/>
        <v>0</v>
      </c>
      <c r="BA653" s="20">
        <f t="shared" si="71"/>
        <v>0</v>
      </c>
      <c r="BB653" s="195">
        <f>IFERROR(SUM(DATA[[#This Row],[fs_val_ttf]:[fact_pago_ttf]]),0)</f>
        <v>0</v>
      </c>
      <c r="BC653" s="185">
        <v>45790</v>
      </c>
      <c r="BD653" s="185">
        <v>45804</v>
      </c>
      <c r="BE653" s="185">
        <v>45873</v>
      </c>
      <c r="BF653" s="185">
        <v>45873</v>
      </c>
      <c r="BG653" s="20">
        <f>IFERROR(IF(BC653-DATA[[#This Row],[fecha_fs]]&lt;0,0,BC653-DATA[[#This Row],[fecha_fs]]),0)</f>
        <v>0</v>
      </c>
      <c r="BH653" s="20">
        <f t="shared" si="72"/>
        <v>14</v>
      </c>
      <c r="BI653" s="20">
        <f t="shared" si="73"/>
        <v>69</v>
      </c>
      <c r="BJ653" s="20">
        <f t="shared" si="74"/>
        <v>0</v>
      </c>
      <c r="BK653" s="218">
        <f>IFERROR(SUM(DATA[[#This Row],[fs_fd_ttd]:[fend_fenf_ttd]]),0)</f>
        <v>83</v>
      </c>
      <c r="BL653" s="20" t="str">
        <f>IF(DATA[[#This Row],[fecha_fs]]&gt;0,TEXT(DATA[[#This Row],[fecha_fs]],"YYYY"),0)</f>
        <v>2025</v>
      </c>
      <c r="BM653" s="221" t="b">
        <v>1</v>
      </c>
      <c r="BN653" s="278">
        <f>COUNTIF(DATA[[#This Row],[tiempo_td]], "&lt;=15")</f>
        <v>0</v>
      </c>
      <c r="BO653" s="222"/>
    </row>
    <row r="654" spans="1:67" ht="30.6" customHeight="1" x14ac:dyDescent="0.25">
      <c r="A654" s="4">
        <v>20141637941</v>
      </c>
      <c r="B654" s="5" t="s">
        <v>79</v>
      </c>
      <c r="C654" s="52" t="s">
        <v>18</v>
      </c>
      <c r="D654" s="4" t="s">
        <v>120</v>
      </c>
      <c r="E654" s="5" t="s">
        <v>3</v>
      </c>
      <c r="F654" s="24">
        <v>45791</v>
      </c>
      <c r="G654" s="7" t="s">
        <v>113</v>
      </c>
      <c r="H654" s="25">
        <f t="shared" si="69"/>
        <v>1</v>
      </c>
      <c r="I654" s="67">
        <v>4507</v>
      </c>
      <c r="J654" s="8" t="s">
        <v>115</v>
      </c>
      <c r="K654" s="9" t="s">
        <v>121</v>
      </c>
      <c r="L654" s="10" t="s">
        <v>117</v>
      </c>
      <c r="M654" s="11">
        <v>1200</v>
      </c>
      <c r="N654" s="12" t="s">
        <v>244</v>
      </c>
      <c r="O654" s="6">
        <v>45793</v>
      </c>
      <c r="P654" s="68">
        <v>3444</v>
      </c>
      <c r="Q654" s="14" t="s">
        <v>85</v>
      </c>
      <c r="R654" s="15">
        <f>70+(DATA[[#This Row],[cantidad_fs]]-1000)*0.1</f>
        <v>90</v>
      </c>
      <c r="S654" s="15">
        <v>517</v>
      </c>
      <c r="T654" s="15">
        <f>DATA[[#This Row],[C. DF]]+DATA[[#This Row],[C.OPE.]]</f>
        <v>607</v>
      </c>
      <c r="U654" s="15">
        <f>DATA[[#This Row],[SUB TOTAL]]*0.18</f>
        <v>109.25999999999999</v>
      </c>
      <c r="V654" s="15">
        <f>IFERROR(ROUND(DATA[[#This Row],[SUB TOTAL]]+DATA[[#This Row],[IGV]],2),0)</f>
        <v>716.26</v>
      </c>
      <c r="W654" s="16" t="str">
        <f>IF(DATA[[#This Row],[VALORIZACIÓN ]]="-","NO CORRESPONDE",IF(OR(A654=20558226979,A654=10470707866,A654=20111157058,A654=20100226902),"NO CORRESPONDE",IF(J654="Emitida",IF(P654&gt;0,"EMITIDA","PENDIENTE"),"NO CORRESPONDE")))</f>
        <v>EMITIDA</v>
      </c>
      <c r="X654" s="29"/>
      <c r="Y654" s="17" t="s">
        <v>118</v>
      </c>
      <c r="Z654" s="30">
        <v>45793</v>
      </c>
      <c r="AA654" s="10" t="s">
        <v>150</v>
      </c>
      <c r="AB654" s="19">
        <v>79</v>
      </c>
      <c r="AC654" s="20">
        <v>30</v>
      </c>
      <c r="AD654" s="18">
        <f>DATA[[#This Row],[FECHA DE EMISION]]+DATA[[#This Row],[CONDICION DE PAGO]]</f>
        <v>45823</v>
      </c>
      <c r="AE654" s="23">
        <f>IF(DATA[[#This Row],[MONEDA]]="USD",VLOOKUP(DATA[[#This Row],[COMBINADA]],#REF!,11,0),1)</f>
        <v>1</v>
      </c>
      <c r="AF654" s="39" t="str">
        <f>IF(DATA[[#This Row],[SERIE2]]="-","NO CORRESPONDE",IF(W654="NO CORRESPONDE","NO CORRESPONDE",IF(Z654&gt;0,"FACTURADO","PENDIENTE")))</f>
        <v>FACTURADO</v>
      </c>
      <c r="AG654" s="27">
        <f>IFERROR(VLOOKUP(DATA[[#This Row],[COMBINADA]],#REF!,6,0),0)</f>
        <v>0</v>
      </c>
      <c r="AH654" s="125">
        <f>IFERROR(VLOOKUP(DATA[[#This Row],[COMBINADA]],#REF!,9,0),0)/COUNTIFS(DATA[COMBINADA],DATA[[#This Row],[COMBINADA]])</f>
        <v>0</v>
      </c>
      <c r="AI654" s="27">
        <f>IFERROR(VLOOKUP(DATA[[#This Row],[COMBINADA]],#REF!,6,0),0)</f>
        <v>0</v>
      </c>
      <c r="AJ654" s="125">
        <f>IFERROR(VLOOKUP(DATA[[#This Row],[COMBINADA]],#REF!,9,0),0)/COUNTIFS(DATA[COMBINADA],DATA[[#This Row],[COMBINADA]])</f>
        <v>0</v>
      </c>
      <c r="AK654" s="27">
        <f>IFERROR(VLOOKUP(DATA[[#This Row],[COMBINADA]],#REF!,6,0),0)</f>
        <v>0</v>
      </c>
      <c r="AL654" s="125">
        <f>IFERROR(VLOOKUP(DATA[[#This Row],[COMBINADA]],#REF!,9,0),0)/COUNTIFS(DATA[COMBINADA],DATA[[#This Row],[COMBINADA]])</f>
        <v>0</v>
      </c>
      <c r="AM654" s="27">
        <f>IFERROR(VLOOKUP(DATA[[#This Row],[COMBINADA]],#REF!,6,0),0)</f>
        <v>0</v>
      </c>
      <c r="AN654" s="125">
        <f>IFERROR(VLOOKUP(DATA[[#This Row],[COMBINADA]],#REF!,9,0),0)/COUNTIFS(DATA[COMBINADA],DATA[[#This Row],[COMBINADA]])</f>
        <v>0</v>
      </c>
      <c r="AO654" s="27">
        <f>IFERROR(VLOOKUP(DATA[[#This Row],[COMBINADA]],#REF!,6,0),0)</f>
        <v>0</v>
      </c>
      <c r="AP654" s="125">
        <f>IFERROR(VLOOKUP(DATA[[#This Row],[COMBINADA]],#REF!,9,0),0)/COUNTIFS(DATA[COMBINADA],DATA[[#This Row],[COMBINADA]])</f>
        <v>0</v>
      </c>
      <c r="AQ65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716.65333333333331</v>
      </c>
      <c r="AR654" s="26" t="str">
        <f>IFERROR(IF(DATA[[#This Row],[estado_fact]]="FACTURADO",VLOOKUP(DATA[[#This Row],[SERIE2]]&amp;"-"&amp;DATA[[#This Row],[NUMERO]],#REF!,34,0),"NO CORRESPONDE"),"NO CORRESPONDE")</f>
        <v>NO CORRESPONDE</v>
      </c>
      <c r="AS654" s="22" t="str">
        <f>IF(DATA[[#This Row],[fecha_fs]]&gt;0,TEXT(DATA[[#This Row],[fecha_fs]],"Mmmm"),0)</f>
        <v>Mayo</v>
      </c>
      <c r="AT654" s="22" t="str">
        <f>DATA[[#This Row],[SERIE2]]&amp;"-"&amp;DATA[[#This Row],[NUMERO]]</f>
        <v>FF01-79</v>
      </c>
      <c r="AU654" s="28">
        <f>DATA[[#This Row],[TOTAL]]*DATA[[#This Row],[T.C.]]</f>
        <v>716.26</v>
      </c>
      <c r="AV654" s="6">
        <f>DATA[[#This Row],[FECHA DE VAL.]]</f>
        <v>45793</v>
      </c>
      <c r="AW654" s="6">
        <f>DATA[[#This Row],[FECHA DE EMISION]]</f>
        <v>45793</v>
      </c>
      <c r="AX654" s="6">
        <f>DATA[[#This Row],[F1]]</f>
        <v>0</v>
      </c>
      <c r="AY654" s="20">
        <f>IF(AV654-DATA[[#This Row],[fecha_fs]]&lt;0,0,AV654-DATA[[#This Row],[fecha_fs]])</f>
        <v>2</v>
      </c>
      <c r="AZ654" s="20">
        <f t="shared" si="70"/>
        <v>0</v>
      </c>
      <c r="BA654" s="20">
        <f t="shared" si="71"/>
        <v>0</v>
      </c>
      <c r="BB654" s="195">
        <f>IFERROR(SUM(DATA[[#This Row],[fs_val_ttf]:[fact_pago_ttf]]),0)</f>
        <v>2</v>
      </c>
      <c r="BC654" s="185">
        <v>45791</v>
      </c>
      <c r="BD654" s="185">
        <v>45791</v>
      </c>
      <c r="BE654" s="185">
        <v>45793</v>
      </c>
      <c r="BF654" s="185">
        <v>45793</v>
      </c>
      <c r="BG654" s="20">
        <f>IFERROR(IF(BC654-DATA[[#This Row],[fecha_fs]]&lt;0,0,BC654-DATA[[#This Row],[fecha_fs]]),0)</f>
        <v>0</v>
      </c>
      <c r="BH654" s="20">
        <f t="shared" si="72"/>
        <v>0</v>
      </c>
      <c r="BI654" s="20">
        <f t="shared" si="73"/>
        <v>2</v>
      </c>
      <c r="BJ654" s="20">
        <f t="shared" si="74"/>
        <v>0</v>
      </c>
      <c r="BK654" s="218">
        <f>IFERROR(SUM(DATA[[#This Row],[fs_fd_ttd]:[fend_fenf_ttd]]),0)</f>
        <v>2</v>
      </c>
      <c r="BL654" s="20" t="str">
        <f>IF(DATA[[#This Row],[fecha_fs]]&gt;0,TEXT(DATA[[#This Row],[fecha_fs]],"YYYY"),0)</f>
        <v>2025</v>
      </c>
      <c r="BM654" s="221" t="b">
        <v>1</v>
      </c>
      <c r="BN654" s="278">
        <f>COUNTIF(DATA[[#This Row],[tiempo_td]], "&lt;=15")</f>
        <v>1</v>
      </c>
      <c r="BO654" s="222"/>
    </row>
    <row r="655" spans="1:67" ht="30.6" customHeight="1" x14ac:dyDescent="0.25">
      <c r="A655" s="4">
        <v>20100211115</v>
      </c>
      <c r="B655" s="5" t="s">
        <v>41</v>
      </c>
      <c r="C655" s="52" t="s">
        <v>18</v>
      </c>
      <c r="D655" s="4" t="s">
        <v>120</v>
      </c>
      <c r="E655" s="5" t="s">
        <v>3</v>
      </c>
      <c r="F655" s="24">
        <v>45791</v>
      </c>
      <c r="G655" s="7" t="s">
        <v>113</v>
      </c>
      <c r="H655" s="25">
        <f t="shared" si="69"/>
        <v>1</v>
      </c>
      <c r="I655" s="67">
        <v>4508</v>
      </c>
      <c r="J655" s="8" t="s">
        <v>115</v>
      </c>
      <c r="K655" s="9" t="s">
        <v>121</v>
      </c>
      <c r="L655" s="10" t="s">
        <v>117</v>
      </c>
      <c r="M655" s="11">
        <v>90</v>
      </c>
      <c r="N655" s="12" t="s">
        <v>132</v>
      </c>
      <c r="O655" s="6">
        <v>45803</v>
      </c>
      <c r="P655" s="115">
        <v>3455</v>
      </c>
      <c r="Q655" s="14" t="s">
        <v>85</v>
      </c>
      <c r="R655" s="15"/>
      <c r="S655" s="15">
        <f>(DATA[[#This Row],[cantidad_fs]]*4.37)</f>
        <v>393.3</v>
      </c>
      <c r="T655" s="15">
        <f>DATA[[#This Row],[C. DF]]+DATA[[#This Row],[C.OPE.]]</f>
        <v>393.3</v>
      </c>
      <c r="U655" s="15">
        <f>DATA[[#This Row],[SUB TOTAL]]*0.18</f>
        <v>70.793999999999997</v>
      </c>
      <c r="V655" s="15">
        <f>IFERROR(ROUND(DATA[[#This Row],[SUB TOTAL]]+DATA[[#This Row],[IGV]],2),0)</f>
        <v>464.09</v>
      </c>
      <c r="W655" s="16" t="str">
        <f>IF(DATA[[#This Row],[VALORIZACIÓN ]]="-","NO CORRESPONDE",IF(OR(A655=20558226979,A655=10470707866,A655=20111157058,A655=20100226902),"NO CORRESPONDE",IF(J655="Emitida",IF(P655&gt;0,"EMITIDA","PENDIENTE"),"NO CORRESPONDE")))</f>
        <v>EMITIDA</v>
      </c>
      <c r="X655" s="29"/>
      <c r="Y655" s="17" t="s">
        <v>118</v>
      </c>
      <c r="Z655" s="30">
        <v>45804</v>
      </c>
      <c r="AA655" s="10" t="s">
        <v>150</v>
      </c>
      <c r="AB655" s="19">
        <v>94</v>
      </c>
      <c r="AC655" s="20">
        <v>30</v>
      </c>
      <c r="AD655" s="18">
        <f>DATA[[#This Row],[FECHA DE EMISION]]+DATA[[#This Row],[CONDICION DE PAGO]]</f>
        <v>45834</v>
      </c>
      <c r="AE655" s="23">
        <f>IF(DATA[[#This Row],[MONEDA]]="USD",VLOOKUP(DATA[[#This Row],[COMBINADA]],#REF!,11,0),1)</f>
        <v>1</v>
      </c>
      <c r="AF655" s="39" t="str">
        <f>IF(DATA[[#This Row],[SERIE2]]="-","NO CORRESPONDE",IF(W655="NO CORRESPONDE","NO CORRESPONDE",IF(Z655&gt;0,"FACTURADO","PENDIENTE")))</f>
        <v>FACTURADO</v>
      </c>
      <c r="AG655" s="27">
        <f>IFERROR(VLOOKUP(DATA[[#This Row],[COMBINADA]],#REF!,6,0),0)</f>
        <v>0</v>
      </c>
      <c r="AH655" s="125">
        <f>IFERROR(VLOOKUP(DATA[[#This Row],[COMBINADA]],#REF!,9,0),0)/COUNTIFS(DATA[COMBINADA],DATA[[#This Row],[COMBINADA]])</f>
        <v>0</v>
      </c>
      <c r="AI655" s="27">
        <f>IFERROR(VLOOKUP(DATA[[#This Row],[COMBINADA]],#REF!,6,0),0)</f>
        <v>0</v>
      </c>
      <c r="AJ655" s="125">
        <f>IFERROR(VLOOKUP(DATA[[#This Row],[COMBINADA]],#REF!,9,0),0)/COUNTIFS(DATA[COMBINADA],DATA[[#This Row],[COMBINADA]])</f>
        <v>0</v>
      </c>
      <c r="AK655" s="27">
        <f>IFERROR(VLOOKUP(DATA[[#This Row],[COMBINADA]],#REF!,6,0),0)</f>
        <v>0</v>
      </c>
      <c r="AL655" s="125">
        <f>IFERROR(VLOOKUP(DATA[[#This Row],[COMBINADA]],#REF!,9,0),0)/COUNTIFS(DATA[COMBINADA],DATA[[#This Row],[COMBINADA]])</f>
        <v>0</v>
      </c>
      <c r="AM655" s="27">
        <f>IFERROR(VLOOKUP(DATA[[#This Row],[COMBINADA]],#REF!,6,0),0)</f>
        <v>0</v>
      </c>
      <c r="AN655" s="125">
        <f>IFERROR(VLOOKUP(DATA[[#This Row],[COMBINADA]],#REF!,9,0),0)/COUNTIFS(DATA[COMBINADA],DATA[[#This Row],[COMBINADA]])</f>
        <v>0</v>
      </c>
      <c r="AO655" s="27">
        <f>IFERROR(VLOOKUP(DATA[[#This Row],[COMBINADA]],#REF!,6,0),0)</f>
        <v>0</v>
      </c>
      <c r="AP655" s="125">
        <f>IFERROR(VLOOKUP(DATA[[#This Row],[COMBINADA]],#REF!,9,0),0)/COUNTIFS(DATA[COMBINADA],DATA[[#This Row],[COMBINADA]])</f>
        <v>0</v>
      </c>
      <c r="AQ65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655" s="26" t="str">
        <f>IFERROR(IF(DATA[[#This Row],[estado_fact]]="FACTURADO",VLOOKUP(DATA[[#This Row],[SERIE2]]&amp;"-"&amp;DATA[[#This Row],[NUMERO]],#REF!,34,0),"NO CORRESPONDE"),"NO CORRESPONDE")</f>
        <v>NO CORRESPONDE</v>
      </c>
      <c r="AS655" s="22" t="str">
        <f>IF(DATA[[#This Row],[fecha_fs]]&gt;0,TEXT(DATA[[#This Row],[fecha_fs]],"Mmmm"),0)</f>
        <v>Mayo</v>
      </c>
      <c r="AT655" s="22" t="str">
        <f>DATA[[#This Row],[SERIE2]]&amp;"-"&amp;DATA[[#This Row],[NUMERO]]</f>
        <v>FF01-94</v>
      </c>
      <c r="AU655" s="28">
        <f>DATA[[#This Row],[TOTAL]]*DATA[[#This Row],[T.C.]]</f>
        <v>464.09</v>
      </c>
      <c r="AV655" s="6">
        <f>DATA[[#This Row],[FECHA DE VAL.]]</f>
        <v>45803</v>
      </c>
      <c r="AW655" s="6">
        <f>DATA[[#This Row],[FECHA DE EMISION]]</f>
        <v>45804</v>
      </c>
      <c r="AX655" s="6">
        <f>DATA[[#This Row],[F1]]</f>
        <v>0</v>
      </c>
      <c r="AY655" s="20">
        <f>IF(AV655-DATA[[#This Row],[fecha_fs]]&lt;0,0,AV655-DATA[[#This Row],[fecha_fs]])</f>
        <v>12</v>
      </c>
      <c r="AZ655" s="20">
        <f t="shared" si="70"/>
        <v>1</v>
      </c>
      <c r="BA655" s="20">
        <f t="shared" si="71"/>
        <v>0</v>
      </c>
      <c r="BB655" s="195">
        <f>IFERROR(SUM(DATA[[#This Row],[fs_val_ttf]:[fact_pago_ttf]]),0)</f>
        <v>13</v>
      </c>
      <c r="BC655" s="185">
        <v>45807</v>
      </c>
      <c r="BD655" s="185">
        <v>45814</v>
      </c>
      <c r="BE655" s="185">
        <v>45814</v>
      </c>
      <c r="BF655" s="185">
        <v>45821</v>
      </c>
      <c r="BG655" s="20">
        <f>IFERROR(IF(BC655-DATA[[#This Row],[fecha_fs]]&lt;0,0,BC655-DATA[[#This Row],[fecha_fs]]),0)</f>
        <v>16</v>
      </c>
      <c r="BH655" s="20">
        <f t="shared" si="72"/>
        <v>7</v>
      </c>
      <c r="BI655" s="20">
        <f t="shared" si="73"/>
        <v>0</v>
      </c>
      <c r="BJ655" s="20">
        <f t="shared" si="74"/>
        <v>7</v>
      </c>
      <c r="BK655" s="218">
        <f>IFERROR(SUM(DATA[[#This Row],[fs_fd_ttd]:[fend_fenf_ttd]]),0)</f>
        <v>30</v>
      </c>
      <c r="BL655" s="20" t="str">
        <f>IF(DATA[[#This Row],[fecha_fs]]&gt;0,TEXT(DATA[[#This Row],[fecha_fs]],"YYYY"),0)</f>
        <v>2025</v>
      </c>
      <c r="BM655" s="221" t="b">
        <v>1</v>
      </c>
      <c r="BN655" s="278">
        <f>COUNTIF(DATA[[#This Row],[tiempo_td]], "&lt;=15")</f>
        <v>0</v>
      </c>
      <c r="BO655" s="222"/>
    </row>
    <row r="656" spans="1:67" ht="30.6" customHeight="1" x14ac:dyDescent="0.25">
      <c r="A656" s="4">
        <v>20100055237</v>
      </c>
      <c r="B656" s="5" t="s">
        <v>21</v>
      </c>
      <c r="C656" s="52" t="s">
        <v>138</v>
      </c>
      <c r="D656" s="4" t="s">
        <v>139</v>
      </c>
      <c r="E656" s="5" t="s">
        <v>23</v>
      </c>
      <c r="F656" s="24">
        <v>45791</v>
      </c>
      <c r="G656" s="7" t="s">
        <v>113</v>
      </c>
      <c r="H656" s="25">
        <f t="shared" si="69"/>
        <v>1</v>
      </c>
      <c r="I656" s="67">
        <v>4509</v>
      </c>
      <c r="J656" s="8" t="s">
        <v>115</v>
      </c>
      <c r="K656" s="9" t="s">
        <v>121</v>
      </c>
      <c r="L656" s="10" t="s">
        <v>117</v>
      </c>
      <c r="M656" s="11">
        <v>30</v>
      </c>
      <c r="N656" s="12" t="s">
        <v>125</v>
      </c>
      <c r="O656" s="6">
        <v>45805</v>
      </c>
      <c r="P656" s="54">
        <v>3477</v>
      </c>
      <c r="Q656" s="14" t="s">
        <v>85</v>
      </c>
      <c r="R656" s="15"/>
      <c r="S656" s="56">
        <v>297.92</v>
      </c>
      <c r="T656" s="15">
        <f>DATA[[#This Row],[C. DF]]+DATA[[#This Row],[C.OPE.]]</f>
        <v>297.92</v>
      </c>
      <c r="U656" s="15">
        <f>DATA[[#This Row],[SUB TOTAL]]*0.18</f>
        <v>53.625599999999999</v>
      </c>
      <c r="V656" s="15">
        <f>IFERROR(ROUND(DATA[[#This Row],[SUB TOTAL]]+DATA[[#This Row],[IGV]],2),0)</f>
        <v>351.55</v>
      </c>
      <c r="W656" s="16" t="str">
        <f>IF(DATA[[#This Row],[VALORIZACIÓN ]]="-","NO CORRESPONDE",IF(OR(A656=20558226979,A656=10470707866,A656=20111157058,A656=20100226902),"NO CORRESPONDE",IF(J656="Emitida",IF(P656&gt;0,"EMITIDA","PENDIENTE"),"NO CORRESPONDE")))</f>
        <v>EMITIDA</v>
      </c>
      <c r="X656" s="29"/>
      <c r="Y656" s="17" t="s">
        <v>118</v>
      </c>
      <c r="Z656" s="30">
        <v>45820</v>
      </c>
      <c r="AA656" s="10" t="s">
        <v>150</v>
      </c>
      <c r="AB656" s="19">
        <v>120</v>
      </c>
      <c r="AC656" s="20">
        <v>30</v>
      </c>
      <c r="AD656" s="18">
        <f>DATA[[#This Row],[FECHA DE EMISION]]+DATA[[#This Row],[CONDICION DE PAGO]]</f>
        <v>45850</v>
      </c>
      <c r="AE656" s="23">
        <f>IF(DATA[[#This Row],[MONEDA]]="USD",VLOOKUP(DATA[[#This Row],[COMBINADA]],#REF!,11,0),1)</f>
        <v>1</v>
      </c>
      <c r="AF656" s="39" t="str">
        <f>IF(DATA[[#This Row],[SERIE2]]="-","NO CORRESPONDE",IF(W656="NO CORRESPONDE","NO CORRESPONDE",IF(Z656&gt;0,"FACTURADO","PENDIENTE")))</f>
        <v>FACTURADO</v>
      </c>
      <c r="AG656" s="27">
        <f>IFERROR(VLOOKUP(DATA[[#This Row],[COMBINADA]],#REF!,6,0),0)</f>
        <v>0</v>
      </c>
      <c r="AH656" s="125">
        <f>IFERROR(VLOOKUP(DATA[[#This Row],[COMBINADA]],#REF!,9,0),0)/COUNTIFS(DATA[COMBINADA],DATA[[#This Row],[COMBINADA]])</f>
        <v>0</v>
      </c>
      <c r="AI656" s="27">
        <f>IFERROR(VLOOKUP(DATA[[#This Row],[COMBINADA]],#REF!,6,0),0)</f>
        <v>0</v>
      </c>
      <c r="AJ656" s="125">
        <f>IFERROR(VLOOKUP(DATA[[#This Row],[COMBINADA]],#REF!,9,0),0)/COUNTIFS(DATA[COMBINADA],DATA[[#This Row],[COMBINADA]])</f>
        <v>0</v>
      </c>
      <c r="AK656" s="27">
        <f>IFERROR(VLOOKUP(DATA[[#This Row],[COMBINADA]],#REF!,6,0),0)</f>
        <v>0</v>
      </c>
      <c r="AL656" s="125">
        <f>IFERROR(VLOOKUP(DATA[[#This Row],[COMBINADA]],#REF!,9,0),0)/COUNTIFS(DATA[COMBINADA],DATA[[#This Row],[COMBINADA]])</f>
        <v>0</v>
      </c>
      <c r="AM656" s="27">
        <f>IFERROR(VLOOKUP(DATA[[#This Row],[COMBINADA]],#REF!,6,0),0)</f>
        <v>0</v>
      </c>
      <c r="AN656" s="125">
        <f>IFERROR(VLOOKUP(DATA[[#This Row],[COMBINADA]],#REF!,9,0),0)/COUNTIFS(DATA[COMBINADA],DATA[[#This Row],[COMBINADA]])</f>
        <v>0</v>
      </c>
      <c r="AO656" s="27">
        <f>IFERROR(VLOOKUP(DATA[[#This Row],[COMBINADA]],#REF!,6,0),0)</f>
        <v>0</v>
      </c>
      <c r="AP656" s="125">
        <f>IFERROR(VLOOKUP(DATA[[#This Row],[COMBINADA]],#REF!,9,0),0)/COUNTIFS(DATA[COMBINADA],DATA[[#This Row],[COMBINADA]])</f>
        <v>0</v>
      </c>
      <c r="AQ65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656" s="26" t="str">
        <f>IFERROR(IF(DATA[[#This Row],[estado_fact]]="FACTURADO",VLOOKUP(DATA[[#This Row],[SERIE2]]&amp;"-"&amp;DATA[[#This Row],[NUMERO]],#REF!,34,0),"NO CORRESPONDE"),"NO CORRESPONDE")</f>
        <v>NO CORRESPONDE</v>
      </c>
      <c r="AS656" s="22" t="str">
        <f>IF(DATA[[#This Row],[fecha_fs]]&gt;0,TEXT(DATA[[#This Row],[fecha_fs]],"Mmmm"),0)</f>
        <v>Mayo</v>
      </c>
      <c r="AT656" s="22" t="str">
        <f>DATA[[#This Row],[SERIE2]]&amp;"-"&amp;DATA[[#This Row],[NUMERO]]</f>
        <v>FF01-120</v>
      </c>
      <c r="AU656" s="28">
        <f>DATA[[#This Row],[TOTAL]]*DATA[[#This Row],[T.C.]]</f>
        <v>351.55</v>
      </c>
      <c r="AV656" s="6">
        <f>DATA[[#This Row],[FECHA DE VAL.]]</f>
        <v>45805</v>
      </c>
      <c r="AW656" s="6">
        <f>DATA[[#This Row],[FECHA DE EMISION]]</f>
        <v>45820</v>
      </c>
      <c r="AX656" s="6">
        <f>DATA[[#This Row],[F1]]</f>
        <v>0</v>
      </c>
      <c r="AY656" s="20">
        <f>IF(AV656-DATA[[#This Row],[fecha_fs]]&lt;0,0,AV656-DATA[[#This Row],[fecha_fs]])</f>
        <v>14</v>
      </c>
      <c r="AZ656" s="20">
        <f t="shared" si="70"/>
        <v>15</v>
      </c>
      <c r="BA656" s="20">
        <f t="shared" si="71"/>
        <v>0</v>
      </c>
      <c r="BB656" s="195">
        <f>IFERROR(SUM(DATA[[#This Row],[fs_val_ttf]:[fact_pago_ttf]]),0)</f>
        <v>29</v>
      </c>
      <c r="BC656" s="185">
        <v>45791</v>
      </c>
      <c r="BD656" s="185">
        <v>45791</v>
      </c>
      <c r="BE656" s="185">
        <v>45807</v>
      </c>
      <c r="BF656" s="185">
        <v>45807</v>
      </c>
      <c r="BG656" s="20">
        <f>IFERROR(IF(BC656-DATA[[#This Row],[fecha_fs]]&lt;0,0,BC656-DATA[[#This Row],[fecha_fs]]),0)</f>
        <v>0</v>
      </c>
      <c r="BH656" s="20">
        <f t="shared" si="72"/>
        <v>0</v>
      </c>
      <c r="BI656" s="20">
        <f t="shared" si="73"/>
        <v>16</v>
      </c>
      <c r="BJ656" s="20">
        <f t="shared" si="74"/>
        <v>0</v>
      </c>
      <c r="BK656" s="218">
        <f>IFERROR(SUM(DATA[[#This Row],[fs_fd_ttd]:[fend_fenf_ttd]]),0)</f>
        <v>16</v>
      </c>
      <c r="BL656" s="20" t="str">
        <f>IF(DATA[[#This Row],[fecha_fs]]&gt;0,TEXT(DATA[[#This Row],[fecha_fs]],"YYYY"),0)</f>
        <v>2025</v>
      </c>
      <c r="BM656" s="221" t="b">
        <v>1</v>
      </c>
      <c r="BN656" s="278">
        <f>COUNTIF(DATA[[#This Row],[tiempo_td]], "&lt;=15")</f>
        <v>0</v>
      </c>
      <c r="BO656" s="222"/>
    </row>
    <row r="657" spans="1:67" ht="30.6" customHeight="1" x14ac:dyDescent="0.25">
      <c r="A657" s="4">
        <v>20505675836</v>
      </c>
      <c r="B657" s="5" t="s">
        <v>42</v>
      </c>
      <c r="C657" s="52" t="s">
        <v>20</v>
      </c>
      <c r="D657" s="4" t="s">
        <v>112</v>
      </c>
      <c r="E657" s="5" t="s">
        <v>1</v>
      </c>
      <c r="F657" s="24">
        <v>45791</v>
      </c>
      <c r="G657" s="7" t="s">
        <v>113</v>
      </c>
      <c r="H657" s="25">
        <f t="shared" si="69"/>
        <v>1</v>
      </c>
      <c r="I657" s="67">
        <v>4510</v>
      </c>
      <c r="J657" s="8" t="s">
        <v>115</v>
      </c>
      <c r="K657" s="9" t="s">
        <v>116</v>
      </c>
      <c r="L657" s="10" t="s">
        <v>117</v>
      </c>
      <c r="M657" s="11">
        <v>460</v>
      </c>
      <c r="N657" s="12" t="s">
        <v>125</v>
      </c>
      <c r="O657" s="6">
        <v>45804</v>
      </c>
      <c r="P657" s="71">
        <v>3471</v>
      </c>
      <c r="Q657" s="14" t="s">
        <v>85</v>
      </c>
      <c r="R657" s="15">
        <v>0</v>
      </c>
      <c r="S657" s="56">
        <v>1988.35</v>
      </c>
      <c r="T657" s="15">
        <f>DATA[[#This Row],[C. DF]]+DATA[[#This Row],[C.OPE.]]</f>
        <v>1988.35</v>
      </c>
      <c r="U657" s="15">
        <f>DATA[[#This Row],[SUB TOTAL]]*0.18</f>
        <v>357.90299999999996</v>
      </c>
      <c r="V657" s="15">
        <f>IFERROR(ROUND(DATA[[#This Row],[SUB TOTAL]]+DATA[[#This Row],[IGV]],2),0)</f>
        <v>2346.25</v>
      </c>
      <c r="W657" s="16" t="str">
        <f>IF(DATA[[#This Row],[VALORIZACIÓN ]]="-","NO CORRESPONDE",IF(OR(A657=20558226979,A657=10470707866,A657=20111157058,A657=20100226902),"NO CORRESPONDE",IF(J657="Emitida",IF(P657&gt;0,"EMITIDA","PENDIENTE"),"NO CORRESPONDE")))</f>
        <v>EMITIDA</v>
      </c>
      <c r="X657" s="29" t="s">
        <v>231</v>
      </c>
      <c r="Y657" s="17" t="s">
        <v>118</v>
      </c>
      <c r="Z657" s="30">
        <v>45846</v>
      </c>
      <c r="AA657" s="10" t="s">
        <v>150</v>
      </c>
      <c r="AB657" s="19">
        <v>163</v>
      </c>
      <c r="AC657" s="20">
        <v>30</v>
      </c>
      <c r="AD657" s="18">
        <f>DATA[[#This Row],[FECHA DE EMISION]]+DATA[[#This Row],[CONDICION DE PAGO]]</f>
        <v>45876</v>
      </c>
      <c r="AE657" s="23">
        <f>IF(DATA[[#This Row],[MONEDA]]="USD",VLOOKUP(DATA[[#This Row],[COMBINADA]],#REF!,11,0),1)</f>
        <v>1</v>
      </c>
      <c r="AF657" s="39" t="str">
        <f>IF(DATA[[#This Row],[SERIE2]]="-","NO CORRESPONDE",IF(W657="NO CORRESPONDE","NO CORRESPONDE",IF(Z657&gt;0,"FACTURADO","PENDIENTE")))</f>
        <v>FACTURADO</v>
      </c>
      <c r="AG657" s="27">
        <f>IFERROR(VLOOKUP(DATA[[#This Row],[COMBINADA]],#REF!,6,0),0)</f>
        <v>0</v>
      </c>
      <c r="AH657" s="125">
        <f>IFERROR(VLOOKUP(DATA[[#This Row],[COMBINADA]],#REF!,9,0),0)/COUNTIFS(DATA[COMBINADA],DATA[[#This Row],[COMBINADA]])</f>
        <v>0</v>
      </c>
      <c r="AI657" s="27">
        <f>IFERROR(VLOOKUP(DATA[[#This Row],[COMBINADA]],#REF!,6,0),0)</f>
        <v>0</v>
      </c>
      <c r="AJ657" s="125">
        <f>IFERROR(VLOOKUP(DATA[[#This Row],[COMBINADA]],#REF!,9,0),0)/COUNTIFS(DATA[COMBINADA],DATA[[#This Row],[COMBINADA]])</f>
        <v>0</v>
      </c>
      <c r="AK657" s="27">
        <f>IFERROR(VLOOKUP(DATA[[#This Row],[COMBINADA]],#REF!,6,0),0)</f>
        <v>0</v>
      </c>
      <c r="AL657" s="125">
        <f>IFERROR(VLOOKUP(DATA[[#This Row],[COMBINADA]],#REF!,9,0),0)/COUNTIFS(DATA[COMBINADA],DATA[[#This Row],[COMBINADA]])</f>
        <v>0</v>
      </c>
      <c r="AM657" s="27">
        <f>IFERROR(VLOOKUP(DATA[[#This Row],[COMBINADA]],#REF!,6,0),0)</f>
        <v>0</v>
      </c>
      <c r="AN657" s="125">
        <f>IFERROR(VLOOKUP(DATA[[#This Row],[COMBINADA]],#REF!,9,0),0)/COUNTIFS(DATA[COMBINADA],DATA[[#This Row],[COMBINADA]])</f>
        <v>0</v>
      </c>
      <c r="AO657" s="27">
        <f>IFERROR(VLOOKUP(DATA[[#This Row],[COMBINADA]],#REF!,6,0),0)</f>
        <v>0</v>
      </c>
      <c r="AP657" s="125">
        <f>IFERROR(VLOOKUP(DATA[[#This Row],[COMBINADA]],#REF!,9,0),0)/COUNTIFS(DATA[COMBINADA],DATA[[#This Row],[COMBINADA]])</f>
        <v>0</v>
      </c>
      <c r="AQ65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1999.85</v>
      </c>
      <c r="AR657" s="26" t="str">
        <f>IFERROR(IF(DATA[[#This Row],[estado_fact]]="FACTURADO",VLOOKUP(DATA[[#This Row],[SERIE2]]&amp;"-"&amp;DATA[[#This Row],[NUMERO]],#REF!,34,0),"NO CORRESPONDE"),"NO CORRESPONDE")</f>
        <v>NO CORRESPONDE</v>
      </c>
      <c r="AS657" s="22" t="str">
        <f>IF(DATA[[#This Row],[fecha_fs]]&gt;0,TEXT(DATA[[#This Row],[fecha_fs]],"Mmmm"),0)</f>
        <v>Mayo</v>
      </c>
      <c r="AT657" s="22" t="str">
        <f>DATA[[#This Row],[SERIE2]]&amp;"-"&amp;DATA[[#This Row],[NUMERO]]</f>
        <v>FF01-163</v>
      </c>
      <c r="AU657" s="28">
        <f>DATA[[#This Row],[TOTAL]]*DATA[[#This Row],[T.C.]]</f>
        <v>2346.25</v>
      </c>
      <c r="AV657" s="6">
        <f>DATA[[#This Row],[FECHA DE VAL.]]</f>
        <v>45804</v>
      </c>
      <c r="AW657" s="6">
        <f>DATA[[#This Row],[FECHA DE EMISION]]</f>
        <v>45846</v>
      </c>
      <c r="AX657" s="6">
        <f>DATA[[#This Row],[F1]]</f>
        <v>0</v>
      </c>
      <c r="AY657" s="20">
        <f>IF(AV657-DATA[[#This Row],[fecha_fs]]&lt;0,0,AV657-DATA[[#This Row],[fecha_fs]])</f>
        <v>13</v>
      </c>
      <c r="AZ657" s="20">
        <f t="shared" si="70"/>
        <v>42</v>
      </c>
      <c r="BA657" s="20">
        <f t="shared" si="71"/>
        <v>0</v>
      </c>
      <c r="BB657" s="195">
        <f>IFERROR(SUM(DATA[[#This Row],[fs_val_ttf]:[fact_pago_ttf]]),0)</f>
        <v>55</v>
      </c>
      <c r="BC657" s="185">
        <v>45806</v>
      </c>
      <c r="BD657" s="185">
        <v>45812</v>
      </c>
      <c r="BE657" s="185">
        <v>45814</v>
      </c>
      <c r="BF657" s="185">
        <v>45833</v>
      </c>
      <c r="BG657" s="20">
        <f>IFERROR(IF(BC657-DATA[[#This Row],[fecha_fs]]&lt;0,0,BC657-DATA[[#This Row],[fecha_fs]]),0)</f>
        <v>15</v>
      </c>
      <c r="BH657" s="20">
        <f t="shared" si="72"/>
        <v>6</v>
      </c>
      <c r="BI657" s="20">
        <f t="shared" si="73"/>
        <v>2</v>
      </c>
      <c r="BJ657" s="20">
        <f t="shared" si="74"/>
        <v>19</v>
      </c>
      <c r="BK657" s="218">
        <f>IFERROR(SUM(DATA[[#This Row],[fs_fd_ttd]:[fend_fenf_ttd]]),0)</f>
        <v>42</v>
      </c>
      <c r="BL657" s="20" t="str">
        <f>IF(DATA[[#This Row],[fecha_fs]]&gt;0,TEXT(DATA[[#This Row],[fecha_fs]],"YYYY"),0)</f>
        <v>2025</v>
      </c>
      <c r="BM657" s="221" t="b">
        <v>1</v>
      </c>
      <c r="BN657" s="278">
        <f>COUNTIF(DATA[[#This Row],[tiempo_td]], "&lt;=15")</f>
        <v>0</v>
      </c>
      <c r="BO657" s="222"/>
    </row>
    <row r="658" spans="1:67" ht="30.6" customHeight="1" x14ac:dyDescent="0.25">
      <c r="A658" s="4">
        <v>20505675836</v>
      </c>
      <c r="B658" s="5" t="s">
        <v>42</v>
      </c>
      <c r="C658" s="52" t="s">
        <v>20</v>
      </c>
      <c r="D658" s="4" t="s">
        <v>120</v>
      </c>
      <c r="E658" s="5" t="s">
        <v>3</v>
      </c>
      <c r="F658" s="24">
        <v>45791</v>
      </c>
      <c r="G658" s="7" t="s">
        <v>113</v>
      </c>
      <c r="H658" s="25">
        <f t="shared" si="69"/>
        <v>1</v>
      </c>
      <c r="I658" s="67">
        <v>4511</v>
      </c>
      <c r="J658" s="8" t="s">
        <v>115</v>
      </c>
      <c r="K658" s="9" t="s">
        <v>121</v>
      </c>
      <c r="L658" s="10" t="s">
        <v>117</v>
      </c>
      <c r="M658" s="11">
        <v>170</v>
      </c>
      <c r="N658" s="12" t="s">
        <v>125</v>
      </c>
      <c r="O658" s="6">
        <v>45804</v>
      </c>
      <c r="P658" s="71">
        <v>3470</v>
      </c>
      <c r="Q658" s="14" t="s">
        <v>85</v>
      </c>
      <c r="R658" s="15">
        <f>(DATA[[#This Row],[cantidad_fs]]-150)*0.67</f>
        <v>13.4</v>
      </c>
      <c r="S658" s="15">
        <v>1387.83</v>
      </c>
      <c r="T658" s="15">
        <f>DATA[[#This Row],[C. DF]]+DATA[[#This Row],[C.OPE.]]</f>
        <v>1401.23</v>
      </c>
      <c r="U658" s="15">
        <f>DATA[[#This Row],[SUB TOTAL]]*0.18</f>
        <v>252.22139999999999</v>
      </c>
      <c r="V658" s="15">
        <f>IFERROR(ROUND(DATA[[#This Row],[SUB TOTAL]]+DATA[[#This Row],[IGV]],2),0)</f>
        <v>1653.45</v>
      </c>
      <c r="W658" s="16" t="str">
        <f>IF(DATA[[#This Row],[VALORIZACIÓN ]]="-","NO CORRESPONDE",IF(OR(A658=20558226979,A658=10470707866,A658=20111157058,A658=20100226902),"NO CORRESPONDE",IF(J658="Emitida",IF(P658&gt;0,"EMITIDA","PENDIENTE"),"NO CORRESPONDE")))</f>
        <v>EMITIDA</v>
      </c>
      <c r="X658" s="29" t="s">
        <v>231</v>
      </c>
      <c r="Y658" s="17" t="s">
        <v>118</v>
      </c>
      <c r="Z658" s="30">
        <v>45846</v>
      </c>
      <c r="AA658" s="10" t="s">
        <v>150</v>
      </c>
      <c r="AB658" s="19">
        <v>163</v>
      </c>
      <c r="AC658" s="20">
        <v>30</v>
      </c>
      <c r="AD658" s="18">
        <f>DATA[[#This Row],[FECHA DE EMISION]]+DATA[[#This Row],[CONDICION DE PAGO]]</f>
        <v>45876</v>
      </c>
      <c r="AE658" s="23">
        <f>IF(DATA[[#This Row],[MONEDA]]="USD",VLOOKUP(DATA[[#This Row],[COMBINADA]],#REF!,11,0),1)</f>
        <v>1</v>
      </c>
      <c r="AF658" s="39" t="str">
        <f>IF(DATA[[#This Row],[SERIE2]]="-","NO CORRESPONDE",IF(W658="NO CORRESPONDE","NO CORRESPONDE",IF(Z658&gt;0,"FACTURADO","PENDIENTE")))</f>
        <v>FACTURADO</v>
      </c>
      <c r="AG658" s="27">
        <f>IFERROR(VLOOKUP(DATA[[#This Row],[COMBINADA]],#REF!,6,0),0)</f>
        <v>0</v>
      </c>
      <c r="AH658" s="125">
        <f>IFERROR(VLOOKUP(DATA[[#This Row],[COMBINADA]],#REF!,9,0),0)/COUNTIFS(DATA[COMBINADA],DATA[[#This Row],[COMBINADA]])</f>
        <v>0</v>
      </c>
      <c r="AI658" s="27">
        <f>IFERROR(VLOOKUP(DATA[[#This Row],[COMBINADA]],#REF!,6,0),0)</f>
        <v>0</v>
      </c>
      <c r="AJ658" s="125">
        <f>IFERROR(VLOOKUP(DATA[[#This Row],[COMBINADA]],#REF!,9,0),0)/COUNTIFS(DATA[COMBINADA],DATA[[#This Row],[COMBINADA]])</f>
        <v>0</v>
      </c>
      <c r="AK658" s="27">
        <f>IFERROR(VLOOKUP(DATA[[#This Row],[COMBINADA]],#REF!,6,0),0)</f>
        <v>0</v>
      </c>
      <c r="AL658" s="125">
        <f>IFERROR(VLOOKUP(DATA[[#This Row],[COMBINADA]],#REF!,9,0),0)/COUNTIFS(DATA[COMBINADA],DATA[[#This Row],[COMBINADA]])</f>
        <v>0</v>
      </c>
      <c r="AM658" s="27">
        <f>IFERROR(VLOOKUP(DATA[[#This Row],[COMBINADA]],#REF!,6,0),0)</f>
        <v>0</v>
      </c>
      <c r="AN658" s="125">
        <f>IFERROR(VLOOKUP(DATA[[#This Row],[COMBINADA]],#REF!,9,0),0)/COUNTIFS(DATA[COMBINADA],DATA[[#This Row],[COMBINADA]])</f>
        <v>0</v>
      </c>
      <c r="AO658" s="27">
        <f>IFERROR(VLOOKUP(DATA[[#This Row],[COMBINADA]],#REF!,6,0),0)</f>
        <v>0</v>
      </c>
      <c r="AP658" s="125">
        <f>IFERROR(VLOOKUP(DATA[[#This Row],[COMBINADA]],#REF!,9,0),0)/COUNTIFS(DATA[COMBINADA],DATA[[#This Row],[COMBINADA]])</f>
        <v>0</v>
      </c>
      <c r="AQ65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1999.85</v>
      </c>
      <c r="AR658" s="26" t="str">
        <f>IFERROR(IF(DATA[[#This Row],[estado_fact]]="FACTURADO",VLOOKUP(DATA[[#This Row],[SERIE2]]&amp;"-"&amp;DATA[[#This Row],[NUMERO]],#REF!,34,0),"NO CORRESPONDE"),"NO CORRESPONDE")</f>
        <v>NO CORRESPONDE</v>
      </c>
      <c r="AS658" s="22" t="str">
        <f>IF(DATA[[#This Row],[fecha_fs]]&gt;0,TEXT(DATA[[#This Row],[fecha_fs]],"Mmmm"),0)</f>
        <v>Mayo</v>
      </c>
      <c r="AT658" s="22" t="str">
        <f>DATA[[#This Row],[SERIE2]]&amp;"-"&amp;DATA[[#This Row],[NUMERO]]</f>
        <v>FF01-163</v>
      </c>
      <c r="AU658" s="28">
        <f>DATA[[#This Row],[TOTAL]]*DATA[[#This Row],[T.C.]]</f>
        <v>1653.45</v>
      </c>
      <c r="AV658" s="6">
        <f>DATA[[#This Row],[FECHA DE VAL.]]</f>
        <v>45804</v>
      </c>
      <c r="AW658" s="6">
        <f>DATA[[#This Row],[FECHA DE EMISION]]</f>
        <v>45846</v>
      </c>
      <c r="AX658" s="6">
        <f>DATA[[#This Row],[F1]]</f>
        <v>0</v>
      </c>
      <c r="AY658" s="20">
        <f>IF(AV658-DATA[[#This Row],[fecha_fs]]&lt;0,0,AV658-DATA[[#This Row],[fecha_fs]])</f>
        <v>13</v>
      </c>
      <c r="AZ658" s="20">
        <f t="shared" si="70"/>
        <v>42</v>
      </c>
      <c r="BA658" s="20">
        <f t="shared" si="71"/>
        <v>0</v>
      </c>
      <c r="BB658" s="195">
        <f>IFERROR(SUM(DATA[[#This Row],[fs_val_ttf]:[fact_pago_ttf]]),0)</f>
        <v>55</v>
      </c>
      <c r="BC658" s="185">
        <v>45817</v>
      </c>
      <c r="BD658" s="185">
        <v>45828</v>
      </c>
      <c r="BE658" s="185">
        <v>45828</v>
      </c>
      <c r="BF658" s="185">
        <v>45833</v>
      </c>
      <c r="BG658" s="20">
        <f>IFERROR(IF(BC658-DATA[[#This Row],[fecha_fs]]&lt;0,0,BC658-DATA[[#This Row],[fecha_fs]]),0)</f>
        <v>26</v>
      </c>
      <c r="BH658" s="20">
        <f t="shared" si="72"/>
        <v>11</v>
      </c>
      <c r="BI658" s="20">
        <f t="shared" si="73"/>
        <v>0</v>
      </c>
      <c r="BJ658" s="20">
        <f t="shared" si="74"/>
        <v>5</v>
      </c>
      <c r="BK658" s="218">
        <f>IFERROR(SUM(DATA[[#This Row],[fs_fd_ttd]:[fend_fenf_ttd]]),0)</f>
        <v>42</v>
      </c>
      <c r="BL658" s="20" t="str">
        <f>IF(DATA[[#This Row],[fecha_fs]]&gt;0,TEXT(DATA[[#This Row],[fecha_fs]],"YYYY"),0)</f>
        <v>2025</v>
      </c>
      <c r="BM658" s="221" t="b">
        <v>1</v>
      </c>
      <c r="BN658" s="278">
        <f>COUNTIF(DATA[[#This Row],[tiempo_td]], "&lt;=15")</f>
        <v>0</v>
      </c>
      <c r="BO658" s="222"/>
    </row>
    <row r="659" spans="1:67" ht="30.6" customHeight="1" x14ac:dyDescent="0.25">
      <c r="A659" s="4">
        <v>20419158462</v>
      </c>
      <c r="B659" s="5" t="s">
        <v>2</v>
      </c>
      <c r="C659" s="52" t="s">
        <v>210</v>
      </c>
      <c r="D659" s="4" t="s">
        <v>120</v>
      </c>
      <c r="E659" s="5" t="s">
        <v>3</v>
      </c>
      <c r="F659" s="24">
        <v>45791</v>
      </c>
      <c r="G659" s="7" t="s">
        <v>113</v>
      </c>
      <c r="H659" s="25">
        <f t="shared" si="69"/>
        <v>1</v>
      </c>
      <c r="I659" s="67">
        <v>4512</v>
      </c>
      <c r="J659" s="8" t="s">
        <v>115</v>
      </c>
      <c r="K659" s="9" t="s">
        <v>121</v>
      </c>
      <c r="L659" s="10" t="s">
        <v>117</v>
      </c>
      <c r="M659" s="11">
        <v>1552</v>
      </c>
      <c r="N659" s="12" t="s">
        <v>132</v>
      </c>
      <c r="O659" s="6">
        <v>45792</v>
      </c>
      <c r="P659" s="13">
        <v>3443</v>
      </c>
      <c r="Q659" s="14" t="s">
        <v>85</v>
      </c>
      <c r="R659" s="15">
        <f>DATA[[#This Row],[cantidad_fs]]*0.67</f>
        <v>1039.8400000000001</v>
      </c>
      <c r="S659" s="56">
        <v>839.7</v>
      </c>
      <c r="T659" s="15">
        <f>DATA[[#This Row],[C. DF]]+DATA[[#This Row],[C.OPE.]]</f>
        <v>1879.5400000000002</v>
      </c>
      <c r="U659" s="15">
        <f>DATA[[#This Row],[SUB TOTAL]]*0.18</f>
        <v>338.31720000000001</v>
      </c>
      <c r="V659" s="15">
        <f>IFERROR(ROUND(DATA[[#This Row],[SUB TOTAL]]+DATA[[#This Row],[IGV]],2),0)</f>
        <v>2217.86</v>
      </c>
      <c r="W659" s="16" t="str">
        <f>IF(DATA[[#This Row],[VALORIZACIÓN ]]="-","NO CORRESPONDE",IF(OR(A659=20558226979,A659=10470707866,A659=20111157058,A659=20100226902),"NO CORRESPONDE",IF(J659="Emitida",IF(P659&gt;0,"EMITIDA","PENDIENTE"),"NO CORRESPONDE")))</f>
        <v>EMITIDA</v>
      </c>
      <c r="X659" s="29" t="s">
        <v>231</v>
      </c>
      <c r="Y659" s="17" t="s">
        <v>118</v>
      </c>
      <c r="Z659" s="30">
        <v>45846</v>
      </c>
      <c r="AA659" s="10" t="s">
        <v>150</v>
      </c>
      <c r="AB659" s="19">
        <v>152</v>
      </c>
      <c r="AC659" s="20">
        <v>15</v>
      </c>
      <c r="AD659" s="18">
        <f>DATA[[#This Row],[FECHA DE EMISION]]+DATA[[#This Row],[CONDICION DE PAGO]]</f>
        <v>45861</v>
      </c>
      <c r="AE659" s="23">
        <f>IF(DATA[[#This Row],[MONEDA]]="USD",VLOOKUP(DATA[[#This Row],[COMBINADA]],#REF!,11,0),1)</f>
        <v>1</v>
      </c>
      <c r="AF659" s="39" t="str">
        <f>IF(DATA[[#This Row],[SERIE2]]="-","NO CORRESPONDE",IF(W659="NO CORRESPONDE","NO CORRESPONDE",IF(Z659&gt;0,"FACTURADO","PENDIENTE")))</f>
        <v>FACTURADO</v>
      </c>
      <c r="AG659" s="27">
        <f>IFERROR(VLOOKUP(DATA[[#This Row],[COMBINADA]],#REF!,6,0),0)</f>
        <v>0</v>
      </c>
      <c r="AH659" s="125">
        <f>IFERROR(VLOOKUP(DATA[[#This Row],[COMBINADA]],#REF!,9,0),0)/COUNTIFS(DATA[COMBINADA],DATA[[#This Row],[COMBINADA]])</f>
        <v>0</v>
      </c>
      <c r="AI659" s="27">
        <f>IFERROR(VLOOKUP(DATA[[#This Row],[COMBINADA]],#REF!,6,0),0)</f>
        <v>0</v>
      </c>
      <c r="AJ659" s="125">
        <f>IFERROR(VLOOKUP(DATA[[#This Row],[COMBINADA]],#REF!,9,0),0)/COUNTIFS(DATA[COMBINADA],DATA[[#This Row],[COMBINADA]])</f>
        <v>0</v>
      </c>
      <c r="AK659" s="27">
        <f>IFERROR(VLOOKUP(DATA[[#This Row],[COMBINADA]],#REF!,6,0),0)</f>
        <v>0</v>
      </c>
      <c r="AL659" s="125">
        <f>IFERROR(VLOOKUP(DATA[[#This Row],[COMBINADA]],#REF!,9,0),0)/COUNTIFS(DATA[COMBINADA],DATA[[#This Row],[COMBINADA]])</f>
        <v>0</v>
      </c>
      <c r="AM659" s="27">
        <f>IFERROR(VLOOKUP(DATA[[#This Row],[COMBINADA]],#REF!,6,0),0)</f>
        <v>0</v>
      </c>
      <c r="AN659" s="125">
        <f>IFERROR(VLOOKUP(DATA[[#This Row],[COMBINADA]],#REF!,9,0),0)/COUNTIFS(DATA[COMBINADA],DATA[[#This Row],[COMBINADA]])</f>
        <v>0</v>
      </c>
      <c r="AO659" s="27">
        <f>IFERROR(VLOOKUP(DATA[[#This Row],[COMBINADA]],#REF!,6,0),0)</f>
        <v>0</v>
      </c>
      <c r="AP659" s="125">
        <f>IFERROR(VLOOKUP(DATA[[#This Row],[COMBINADA]],#REF!,9,0),0)/COUNTIFS(DATA[COMBINADA],DATA[[#This Row],[COMBINADA]])</f>
        <v>0</v>
      </c>
      <c r="AQ65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2217.86</v>
      </c>
      <c r="AR659" s="26" t="str">
        <f>IFERROR(IF(DATA[[#This Row],[estado_fact]]="FACTURADO",VLOOKUP(DATA[[#This Row],[SERIE2]]&amp;"-"&amp;DATA[[#This Row],[NUMERO]],#REF!,34,0),"NO CORRESPONDE"),"NO CORRESPONDE")</f>
        <v>NO CORRESPONDE</v>
      </c>
      <c r="AS659" s="22" t="str">
        <f>IF(DATA[[#This Row],[fecha_fs]]&gt;0,TEXT(DATA[[#This Row],[fecha_fs]],"Mmmm"),0)</f>
        <v>Mayo</v>
      </c>
      <c r="AT659" s="22" t="str">
        <f>DATA[[#This Row],[SERIE2]]&amp;"-"&amp;DATA[[#This Row],[NUMERO]]</f>
        <v>FF01-152</v>
      </c>
      <c r="AU659" s="28">
        <f>DATA[[#This Row],[TOTAL]]*DATA[[#This Row],[T.C.]]</f>
        <v>2217.86</v>
      </c>
      <c r="AV659" s="6">
        <f>DATA[[#This Row],[FECHA DE VAL.]]</f>
        <v>45792</v>
      </c>
      <c r="AW659" s="6">
        <f>DATA[[#This Row],[FECHA DE EMISION]]</f>
        <v>45846</v>
      </c>
      <c r="AX659" s="6">
        <f>DATA[[#This Row],[F1]]</f>
        <v>0</v>
      </c>
      <c r="AY659" s="20">
        <f>IF(AV659-DATA[[#This Row],[fecha_fs]]&lt;0,0,AV659-DATA[[#This Row],[fecha_fs]])</f>
        <v>1</v>
      </c>
      <c r="AZ659" s="20">
        <f t="shared" si="70"/>
        <v>54</v>
      </c>
      <c r="BA659" s="20">
        <f t="shared" si="71"/>
        <v>0</v>
      </c>
      <c r="BB659" s="195">
        <f>IFERROR(SUM(DATA[[#This Row],[fs_val_ttf]:[fact_pago_ttf]]),0)</f>
        <v>55</v>
      </c>
      <c r="BC659" s="187">
        <v>45798</v>
      </c>
      <c r="BD659" s="187">
        <v>45804</v>
      </c>
      <c r="BE659" s="187">
        <v>45810</v>
      </c>
      <c r="BF659" s="187">
        <v>45860</v>
      </c>
      <c r="BG659" s="20">
        <f>IFERROR(IF(BC659-DATA[[#This Row],[fecha_fs]]&lt;0,0,BC659-DATA[[#This Row],[fecha_fs]]),0)</f>
        <v>7</v>
      </c>
      <c r="BH659" s="20">
        <f t="shared" si="72"/>
        <v>6</v>
      </c>
      <c r="BI659" s="20">
        <f t="shared" si="73"/>
        <v>6</v>
      </c>
      <c r="BJ659" s="20">
        <f t="shared" si="74"/>
        <v>50</v>
      </c>
      <c r="BK659" s="218">
        <f>IFERROR(SUM(DATA[[#This Row],[fs_fd_ttd]:[fend_fenf_ttd]]),0)</f>
        <v>69</v>
      </c>
      <c r="BL659" s="20" t="str">
        <f>IF(DATA[[#This Row],[fecha_fs]]&gt;0,TEXT(DATA[[#This Row],[fecha_fs]],"YYYY"),0)</f>
        <v>2025</v>
      </c>
      <c r="BM659" s="221" t="b">
        <v>1</v>
      </c>
      <c r="BN659" s="278">
        <f>COUNTIF(DATA[[#This Row],[tiempo_td]], "&lt;=15")</f>
        <v>0</v>
      </c>
      <c r="BO659" s="222"/>
    </row>
    <row r="660" spans="1:67" ht="30" customHeight="1" x14ac:dyDescent="0.25">
      <c r="A660" s="4"/>
      <c r="B660" s="5" t="s">
        <v>0</v>
      </c>
      <c r="C660" s="52"/>
      <c r="D660" s="4"/>
      <c r="E660" s="5" t="s">
        <v>0</v>
      </c>
      <c r="F660" s="24">
        <v>45791</v>
      </c>
      <c r="G660" s="7" t="s">
        <v>142</v>
      </c>
      <c r="H660" s="25">
        <f t="shared" si="69"/>
        <v>2</v>
      </c>
      <c r="I660" s="67">
        <v>1086</v>
      </c>
      <c r="J660" s="8" t="s">
        <v>173</v>
      </c>
      <c r="K660" s="9"/>
      <c r="L660" s="10"/>
      <c r="M660" s="111"/>
      <c r="N660" s="112"/>
      <c r="O660" s="6"/>
      <c r="P660" s="13" t="s">
        <v>114</v>
      </c>
      <c r="Q660" s="14"/>
      <c r="R660" s="15"/>
      <c r="S660" s="56"/>
      <c r="T660" s="15">
        <f>DATA[[#This Row],[C. DF]]+DATA[[#This Row],[C.OPE.]]</f>
        <v>0</v>
      </c>
      <c r="U660" s="73">
        <f>DATA[[#This Row],[SUB TOTAL]]*0.18</f>
        <v>0</v>
      </c>
      <c r="V660" s="45">
        <f>IFERROR(ROUND(DATA[[#This Row],[SUB TOTAL]]+DATA[[#This Row],[IGV]],2),0)</f>
        <v>0</v>
      </c>
      <c r="W660" s="73" t="str">
        <f>IF(DATA[[#This Row],[VALORIZACIÓN ]]="-","NO CORRESPONDE",IF(OR(A660=20558226979,A660=10470707866,A660=20111157058,A660=20100226902),"NO CORRESPONDE",IF(J660="Emitida",IF(P660&gt;0,"EMITIDA","PENDIENTE"),"NO CORRESPONDE")))</f>
        <v>NO CORRESPONDE</v>
      </c>
      <c r="X660" s="46"/>
      <c r="Y660" s="17" t="s">
        <v>128</v>
      </c>
      <c r="Z660" s="48"/>
      <c r="AA660" s="49"/>
      <c r="AB660" s="50"/>
      <c r="AC660" s="51"/>
      <c r="AD660" s="59">
        <f>DATA[[#This Row],[FECHA DE EMISION]]+DATA[[#This Row],[CONDICION DE PAGO]]</f>
        <v>0</v>
      </c>
      <c r="AE660" s="23">
        <f>IF(DATA[[#This Row],[MONEDA]]="USD",VLOOKUP(DATA[[#This Row],[COMBINADA]],#REF!,11,0),1)</f>
        <v>1</v>
      </c>
      <c r="AF660" s="39" t="str">
        <f>IF(DATA[[#This Row],[SERIE2]]="-","NO CORRESPONDE",IF(W660="NO CORRESPONDE","NO CORRESPONDE",IF(Z660&gt;0,"FACTURADO","PENDIENTE")))</f>
        <v>NO CORRESPONDE</v>
      </c>
      <c r="AG660" s="61">
        <f>IFERROR(VLOOKUP(DATA[[#This Row],[COMBINADA]],#REF!,6,0),0)</f>
        <v>0</v>
      </c>
      <c r="AH660" s="62">
        <f>IFERROR(VLOOKUP(DATA[[#This Row],[COMBINADA]],#REF!,9,0),0)/COUNTIFS(DATA[COMBINADA],DATA[[#This Row],[COMBINADA]])</f>
        <v>0</v>
      </c>
      <c r="AI660" s="61">
        <f>IFERROR(VLOOKUP(DATA[[#This Row],[COMBINADA]],#REF!,6,0),0)</f>
        <v>0</v>
      </c>
      <c r="AJ660" s="62">
        <f>IFERROR(VLOOKUP(DATA[[#This Row],[COMBINADA]],#REF!,9,0),0)/COUNTIFS(DATA[COMBINADA],DATA[[#This Row],[COMBINADA]])</f>
        <v>0</v>
      </c>
      <c r="AK660" s="61">
        <f>IFERROR(VLOOKUP(DATA[[#This Row],[COMBINADA]],#REF!,6,0),0)</f>
        <v>0</v>
      </c>
      <c r="AL660" s="62">
        <f>IFERROR(VLOOKUP(DATA[[#This Row],[COMBINADA]],#REF!,9,0),0)/COUNTIFS(DATA[COMBINADA],DATA[[#This Row],[COMBINADA]])</f>
        <v>0</v>
      </c>
      <c r="AM660" s="61">
        <f>IFERROR(VLOOKUP(DATA[[#This Row],[COMBINADA]],#REF!,6,0),0)</f>
        <v>0</v>
      </c>
      <c r="AN660" s="62">
        <f>IFERROR(VLOOKUP(DATA[[#This Row],[COMBINADA]],#REF!,9,0),0)/COUNTIFS(DATA[COMBINADA],DATA[[#This Row],[COMBINADA]])</f>
        <v>0</v>
      </c>
      <c r="AO660" s="61">
        <f>IFERROR(VLOOKUP(DATA[[#This Row],[COMBINADA]],#REF!,6,0),0)</f>
        <v>0</v>
      </c>
      <c r="AP660" s="62">
        <f>IFERROR(VLOOKUP(DATA[[#This Row],[COMBINADA]],#REF!,9,0),0)/COUNTIFS(DATA[COMBINADA],DATA[[#This Row],[COMBINADA]])</f>
        <v>0</v>
      </c>
      <c r="AQ660"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660" s="22" t="str">
        <f>IFERROR(IF(DATA[[#This Row],[estado_fact]]="FACTURADO",VLOOKUP(DATA[[#This Row],[SERIE2]]&amp;"-"&amp;DATA[[#This Row],[NUMERO]],#REF!,34,0),"NO CORRESPONDE"),"NO CORRESPONDE")</f>
        <v>NO CORRESPONDE</v>
      </c>
      <c r="AS660" s="198" t="str">
        <f>IF(DATA[[#This Row],[fecha_fs]]&gt;0,TEXT(DATA[[#This Row],[fecha_fs]],"Mmmm"),0)</f>
        <v>Mayo</v>
      </c>
      <c r="AT660" s="199" t="str">
        <f>DATA[[#This Row],[SERIE2]]&amp;"-"&amp;DATA[[#This Row],[NUMERO]]</f>
        <v>-</v>
      </c>
      <c r="AU660" s="198">
        <f>DATA[[#This Row],[TOTAL]]*DATA[[#This Row],[T.C.]]</f>
        <v>0</v>
      </c>
      <c r="AV660" s="40">
        <f>DATA[[#This Row],[FECHA DE VAL.]]</f>
        <v>0</v>
      </c>
      <c r="AW660" s="40">
        <f>DATA[[#This Row],[FECHA DE EMISION]]</f>
        <v>0</v>
      </c>
      <c r="AX660" s="40">
        <f>DATA[[#This Row],[F1]]</f>
        <v>0</v>
      </c>
      <c r="AY660" s="49">
        <f>IF(AV660-DATA[[#This Row],[fecha_fs]]&lt;0,0,AV660-DATA[[#This Row],[fecha_fs]])</f>
        <v>0</v>
      </c>
      <c r="AZ660" s="49">
        <f t="shared" si="70"/>
        <v>0</v>
      </c>
      <c r="BA660" s="49">
        <f t="shared" si="71"/>
        <v>0</v>
      </c>
      <c r="BB660" s="195">
        <f>IFERROR(SUM(DATA[[#This Row],[fs_val_ttf]:[fact_pago_ttf]]),0)</f>
        <v>0</v>
      </c>
      <c r="BC660" s="200"/>
      <c r="BD660" s="200"/>
      <c r="BE660" s="200"/>
      <c r="BF660" s="200"/>
      <c r="BG660" s="49">
        <f>IFERROR(IF(BC660-DATA[[#This Row],[fecha_fs]]&lt;0,0,BC660-DATA[[#This Row],[fecha_fs]]),0)</f>
        <v>0</v>
      </c>
      <c r="BH660" s="49">
        <f t="shared" si="72"/>
        <v>0</v>
      </c>
      <c r="BI660" s="49">
        <f t="shared" si="73"/>
        <v>0</v>
      </c>
      <c r="BJ660" s="49">
        <f t="shared" si="74"/>
        <v>0</v>
      </c>
      <c r="BK660" s="218">
        <f>IFERROR(SUM(DATA[[#This Row],[fs_fd_ttd]:[fend_fenf_ttd]]),0)</f>
        <v>0</v>
      </c>
      <c r="BL660" s="20" t="str">
        <f>IF(DATA[[#This Row],[fecha_fs]]&gt;0,TEXT(DATA[[#This Row],[fecha_fs]],"YYYY"),0)</f>
        <v>2025</v>
      </c>
      <c r="BM660" s="221" t="b">
        <v>0</v>
      </c>
      <c r="BN660" s="278"/>
      <c r="BO660" s="222"/>
    </row>
    <row r="661" spans="1:67" ht="30" customHeight="1" x14ac:dyDescent="0.25">
      <c r="A661" s="4"/>
      <c r="B661" s="5" t="s">
        <v>0</v>
      </c>
      <c r="C661" s="52"/>
      <c r="D661" s="4"/>
      <c r="E661" s="5" t="s">
        <v>0</v>
      </c>
      <c r="F661" s="24">
        <v>45791</v>
      </c>
      <c r="G661" s="7" t="s">
        <v>142</v>
      </c>
      <c r="H661" s="25">
        <f t="shared" si="69"/>
        <v>2</v>
      </c>
      <c r="I661" s="67">
        <v>1087</v>
      </c>
      <c r="J661" s="8" t="s">
        <v>151</v>
      </c>
      <c r="K661" s="9"/>
      <c r="L661" s="10"/>
      <c r="M661" s="111"/>
      <c r="N661" s="112"/>
      <c r="O661" s="6"/>
      <c r="P661" s="13" t="s">
        <v>114</v>
      </c>
      <c r="Q661" s="14"/>
      <c r="R661" s="15"/>
      <c r="S661" s="56"/>
      <c r="T661" s="15">
        <f>DATA[[#This Row],[C. DF]]+DATA[[#This Row],[C.OPE.]]</f>
        <v>0</v>
      </c>
      <c r="U661" s="73">
        <f>DATA[[#This Row],[SUB TOTAL]]*0.18</f>
        <v>0</v>
      </c>
      <c r="V661" s="45">
        <f>IFERROR(ROUND(DATA[[#This Row],[SUB TOTAL]]+DATA[[#This Row],[IGV]],2),0)</f>
        <v>0</v>
      </c>
      <c r="W661" s="73" t="str">
        <f>IF(DATA[[#This Row],[VALORIZACIÓN ]]="-","NO CORRESPONDE",IF(OR(A661=20558226979,A661=10470707866,A661=20111157058,A661=20100226902),"NO CORRESPONDE",IF(J661="Emitida",IF(P661&gt;0,"EMITIDA","PENDIENTE"),"NO CORRESPONDE")))</f>
        <v>NO CORRESPONDE</v>
      </c>
      <c r="X661" s="46"/>
      <c r="Y661" s="17" t="s">
        <v>128</v>
      </c>
      <c r="Z661" s="48"/>
      <c r="AA661" s="49"/>
      <c r="AB661" s="50"/>
      <c r="AC661" s="51"/>
      <c r="AD661" s="59">
        <f>DATA[[#This Row],[FECHA DE EMISION]]+DATA[[#This Row],[CONDICION DE PAGO]]</f>
        <v>0</v>
      </c>
      <c r="AE661" s="23">
        <f>IF(DATA[[#This Row],[MONEDA]]="USD",VLOOKUP(DATA[[#This Row],[COMBINADA]],#REF!,11,0),1)</f>
        <v>1</v>
      </c>
      <c r="AF661" s="39" t="str">
        <f>IF(DATA[[#This Row],[SERIE2]]="-","NO CORRESPONDE",IF(W661="NO CORRESPONDE","NO CORRESPONDE",IF(Z661&gt;0,"FACTURADO","PENDIENTE")))</f>
        <v>NO CORRESPONDE</v>
      </c>
      <c r="AG661" s="61">
        <f>IFERROR(VLOOKUP(DATA[[#This Row],[COMBINADA]],#REF!,6,0),0)</f>
        <v>0</v>
      </c>
      <c r="AH661" s="62">
        <f>IFERROR(VLOOKUP(DATA[[#This Row],[COMBINADA]],#REF!,9,0),0)/COUNTIFS(DATA[COMBINADA],DATA[[#This Row],[COMBINADA]])</f>
        <v>0</v>
      </c>
      <c r="AI661" s="61">
        <f>IFERROR(VLOOKUP(DATA[[#This Row],[COMBINADA]],#REF!,6,0),0)</f>
        <v>0</v>
      </c>
      <c r="AJ661" s="62">
        <f>IFERROR(VLOOKUP(DATA[[#This Row],[COMBINADA]],#REF!,9,0),0)/COUNTIFS(DATA[COMBINADA],DATA[[#This Row],[COMBINADA]])</f>
        <v>0</v>
      </c>
      <c r="AK661" s="61">
        <f>IFERROR(VLOOKUP(DATA[[#This Row],[COMBINADA]],#REF!,6,0),0)</f>
        <v>0</v>
      </c>
      <c r="AL661" s="62">
        <f>IFERROR(VLOOKUP(DATA[[#This Row],[COMBINADA]],#REF!,9,0),0)/COUNTIFS(DATA[COMBINADA],DATA[[#This Row],[COMBINADA]])</f>
        <v>0</v>
      </c>
      <c r="AM661" s="61">
        <f>IFERROR(VLOOKUP(DATA[[#This Row],[COMBINADA]],#REF!,6,0),0)</f>
        <v>0</v>
      </c>
      <c r="AN661" s="62">
        <f>IFERROR(VLOOKUP(DATA[[#This Row],[COMBINADA]],#REF!,9,0),0)/COUNTIFS(DATA[COMBINADA],DATA[[#This Row],[COMBINADA]])</f>
        <v>0</v>
      </c>
      <c r="AO661" s="61">
        <f>IFERROR(VLOOKUP(DATA[[#This Row],[COMBINADA]],#REF!,6,0),0)</f>
        <v>0</v>
      </c>
      <c r="AP661" s="62">
        <f>IFERROR(VLOOKUP(DATA[[#This Row],[COMBINADA]],#REF!,9,0),0)/COUNTIFS(DATA[COMBINADA],DATA[[#This Row],[COMBINADA]])</f>
        <v>0</v>
      </c>
      <c r="AQ661"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661" s="22" t="str">
        <f>IFERROR(IF(DATA[[#This Row],[estado_fact]]="FACTURADO",VLOOKUP(DATA[[#This Row],[SERIE2]]&amp;"-"&amp;DATA[[#This Row],[NUMERO]],#REF!,34,0),"NO CORRESPONDE"),"NO CORRESPONDE")</f>
        <v>NO CORRESPONDE</v>
      </c>
      <c r="AS661" s="198" t="str">
        <f>IF(DATA[[#This Row],[fecha_fs]]&gt;0,TEXT(DATA[[#This Row],[fecha_fs]],"Mmmm"),0)</f>
        <v>Mayo</v>
      </c>
      <c r="AT661" s="199" t="str">
        <f>DATA[[#This Row],[SERIE2]]&amp;"-"&amp;DATA[[#This Row],[NUMERO]]</f>
        <v>-</v>
      </c>
      <c r="AU661" s="198">
        <f>DATA[[#This Row],[TOTAL]]*DATA[[#This Row],[T.C.]]</f>
        <v>0</v>
      </c>
      <c r="AV661" s="40">
        <f>DATA[[#This Row],[FECHA DE VAL.]]</f>
        <v>0</v>
      </c>
      <c r="AW661" s="40">
        <f>DATA[[#This Row],[FECHA DE EMISION]]</f>
        <v>0</v>
      </c>
      <c r="AX661" s="40">
        <f>DATA[[#This Row],[F1]]</f>
        <v>0</v>
      </c>
      <c r="AY661" s="49">
        <f>IF(AV661-DATA[[#This Row],[fecha_fs]]&lt;0,0,AV661-DATA[[#This Row],[fecha_fs]])</f>
        <v>0</v>
      </c>
      <c r="AZ661" s="49">
        <f t="shared" si="70"/>
        <v>0</v>
      </c>
      <c r="BA661" s="49">
        <f t="shared" si="71"/>
        <v>0</v>
      </c>
      <c r="BB661" s="195">
        <f>IFERROR(SUM(DATA[[#This Row],[fs_val_ttf]:[fact_pago_ttf]]),0)</f>
        <v>0</v>
      </c>
      <c r="BC661" s="200"/>
      <c r="BD661" s="200"/>
      <c r="BE661" s="200"/>
      <c r="BF661" s="200"/>
      <c r="BG661" s="49">
        <f>IFERROR(IF(BC661-DATA[[#This Row],[fecha_fs]]&lt;0,0,BC661-DATA[[#This Row],[fecha_fs]]),0)</f>
        <v>0</v>
      </c>
      <c r="BH661" s="49">
        <f t="shared" si="72"/>
        <v>0</v>
      </c>
      <c r="BI661" s="49">
        <f t="shared" si="73"/>
        <v>0</v>
      </c>
      <c r="BJ661" s="49">
        <f t="shared" si="74"/>
        <v>0</v>
      </c>
      <c r="BK661" s="218">
        <f>IFERROR(SUM(DATA[[#This Row],[fs_fd_ttd]:[fend_fenf_ttd]]),0)</f>
        <v>0</v>
      </c>
      <c r="BL661" s="20" t="str">
        <f>IF(DATA[[#This Row],[fecha_fs]]&gt;0,TEXT(DATA[[#This Row],[fecha_fs]],"YYYY"),0)</f>
        <v>2025</v>
      </c>
      <c r="BM661" s="221" t="b">
        <v>0</v>
      </c>
      <c r="BN661" s="278"/>
      <c r="BO661" s="222"/>
    </row>
    <row r="662" spans="1:67" ht="30" customHeight="1" x14ac:dyDescent="0.25">
      <c r="A662" s="4"/>
      <c r="B662" s="5" t="s">
        <v>0</v>
      </c>
      <c r="C662" s="52"/>
      <c r="D662" s="4"/>
      <c r="E662" s="5" t="s">
        <v>0</v>
      </c>
      <c r="F662" s="24">
        <v>45791</v>
      </c>
      <c r="G662" s="7" t="s">
        <v>142</v>
      </c>
      <c r="H662" s="25">
        <f t="shared" si="69"/>
        <v>2</v>
      </c>
      <c r="I662" s="67">
        <v>1088</v>
      </c>
      <c r="J662" s="8" t="s">
        <v>173</v>
      </c>
      <c r="K662" s="9"/>
      <c r="L662" s="10"/>
      <c r="M662" s="111"/>
      <c r="N662" s="112"/>
      <c r="O662" s="6"/>
      <c r="P662" s="13" t="s">
        <v>114</v>
      </c>
      <c r="Q662" s="14"/>
      <c r="R662" s="15"/>
      <c r="S662" s="56"/>
      <c r="T662" s="15">
        <f>DATA[[#This Row],[C. DF]]+DATA[[#This Row],[C.OPE.]]</f>
        <v>0</v>
      </c>
      <c r="U662" s="73">
        <f>DATA[[#This Row],[SUB TOTAL]]*0.18</f>
        <v>0</v>
      </c>
      <c r="V662" s="45">
        <f>IFERROR(ROUND(DATA[[#This Row],[SUB TOTAL]]+DATA[[#This Row],[IGV]],2),0)</f>
        <v>0</v>
      </c>
      <c r="W662" s="73" t="str">
        <f>IF(DATA[[#This Row],[VALORIZACIÓN ]]="-","NO CORRESPONDE",IF(OR(A662=20558226979,A662=10470707866,A662=20111157058,A662=20100226902),"NO CORRESPONDE",IF(J662="Emitida",IF(P662&gt;0,"EMITIDA","PENDIENTE"),"NO CORRESPONDE")))</f>
        <v>NO CORRESPONDE</v>
      </c>
      <c r="X662" s="46"/>
      <c r="Y662" s="17" t="s">
        <v>128</v>
      </c>
      <c r="Z662" s="48"/>
      <c r="AA662" s="49"/>
      <c r="AB662" s="50"/>
      <c r="AC662" s="51"/>
      <c r="AD662" s="59">
        <f>DATA[[#This Row],[FECHA DE EMISION]]+DATA[[#This Row],[CONDICION DE PAGO]]</f>
        <v>0</v>
      </c>
      <c r="AE662" s="23">
        <f>IF(DATA[[#This Row],[MONEDA]]="USD",VLOOKUP(DATA[[#This Row],[COMBINADA]],#REF!,11,0),1)</f>
        <v>1</v>
      </c>
      <c r="AF662" s="39" t="str">
        <f>IF(DATA[[#This Row],[SERIE2]]="-","NO CORRESPONDE",IF(W662="NO CORRESPONDE","NO CORRESPONDE",IF(Z662&gt;0,"FACTURADO","PENDIENTE")))</f>
        <v>NO CORRESPONDE</v>
      </c>
      <c r="AG662" s="61">
        <f>IFERROR(VLOOKUP(DATA[[#This Row],[COMBINADA]],#REF!,6,0),0)</f>
        <v>0</v>
      </c>
      <c r="AH662" s="62">
        <f>IFERROR(VLOOKUP(DATA[[#This Row],[COMBINADA]],#REF!,9,0),0)/COUNTIFS(DATA[COMBINADA],DATA[[#This Row],[COMBINADA]])</f>
        <v>0</v>
      </c>
      <c r="AI662" s="61">
        <f>IFERROR(VLOOKUP(DATA[[#This Row],[COMBINADA]],#REF!,6,0),0)</f>
        <v>0</v>
      </c>
      <c r="AJ662" s="62">
        <f>IFERROR(VLOOKUP(DATA[[#This Row],[COMBINADA]],#REF!,9,0),0)/COUNTIFS(DATA[COMBINADA],DATA[[#This Row],[COMBINADA]])</f>
        <v>0</v>
      </c>
      <c r="AK662" s="61">
        <f>IFERROR(VLOOKUP(DATA[[#This Row],[COMBINADA]],#REF!,6,0),0)</f>
        <v>0</v>
      </c>
      <c r="AL662" s="62">
        <f>IFERROR(VLOOKUP(DATA[[#This Row],[COMBINADA]],#REF!,9,0),0)/COUNTIFS(DATA[COMBINADA],DATA[[#This Row],[COMBINADA]])</f>
        <v>0</v>
      </c>
      <c r="AM662" s="61">
        <f>IFERROR(VLOOKUP(DATA[[#This Row],[COMBINADA]],#REF!,6,0),0)</f>
        <v>0</v>
      </c>
      <c r="AN662" s="62">
        <f>IFERROR(VLOOKUP(DATA[[#This Row],[COMBINADA]],#REF!,9,0),0)/COUNTIFS(DATA[COMBINADA],DATA[[#This Row],[COMBINADA]])</f>
        <v>0</v>
      </c>
      <c r="AO662" s="61">
        <f>IFERROR(VLOOKUP(DATA[[#This Row],[COMBINADA]],#REF!,6,0),0)</f>
        <v>0</v>
      </c>
      <c r="AP662" s="62">
        <f>IFERROR(VLOOKUP(DATA[[#This Row],[COMBINADA]],#REF!,9,0),0)/COUNTIFS(DATA[COMBINADA],DATA[[#This Row],[COMBINADA]])</f>
        <v>0</v>
      </c>
      <c r="AQ662"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662" s="22" t="str">
        <f>IFERROR(IF(DATA[[#This Row],[estado_fact]]="FACTURADO",VLOOKUP(DATA[[#This Row],[SERIE2]]&amp;"-"&amp;DATA[[#This Row],[NUMERO]],#REF!,34,0),"NO CORRESPONDE"),"NO CORRESPONDE")</f>
        <v>NO CORRESPONDE</v>
      </c>
      <c r="AS662" s="198" t="str">
        <f>IF(DATA[[#This Row],[fecha_fs]]&gt;0,TEXT(DATA[[#This Row],[fecha_fs]],"Mmmm"),0)</f>
        <v>Mayo</v>
      </c>
      <c r="AT662" s="199" t="str">
        <f>DATA[[#This Row],[SERIE2]]&amp;"-"&amp;DATA[[#This Row],[NUMERO]]</f>
        <v>-</v>
      </c>
      <c r="AU662" s="198">
        <f>DATA[[#This Row],[TOTAL]]*DATA[[#This Row],[T.C.]]</f>
        <v>0</v>
      </c>
      <c r="AV662" s="40">
        <f>DATA[[#This Row],[FECHA DE VAL.]]</f>
        <v>0</v>
      </c>
      <c r="AW662" s="40">
        <f>DATA[[#This Row],[FECHA DE EMISION]]</f>
        <v>0</v>
      </c>
      <c r="AX662" s="40">
        <f>DATA[[#This Row],[F1]]</f>
        <v>0</v>
      </c>
      <c r="AY662" s="49">
        <f>IF(AV662-DATA[[#This Row],[fecha_fs]]&lt;0,0,AV662-DATA[[#This Row],[fecha_fs]])</f>
        <v>0</v>
      </c>
      <c r="AZ662" s="49">
        <f t="shared" si="70"/>
        <v>0</v>
      </c>
      <c r="BA662" s="49">
        <f t="shared" si="71"/>
        <v>0</v>
      </c>
      <c r="BB662" s="195">
        <f>IFERROR(SUM(DATA[[#This Row],[fs_val_ttf]:[fact_pago_ttf]]),0)</f>
        <v>0</v>
      </c>
      <c r="BC662" s="200"/>
      <c r="BD662" s="200"/>
      <c r="BE662" s="200"/>
      <c r="BF662" s="200"/>
      <c r="BG662" s="49">
        <f>IFERROR(IF(BC662-DATA[[#This Row],[fecha_fs]]&lt;0,0,BC662-DATA[[#This Row],[fecha_fs]]),0)</f>
        <v>0</v>
      </c>
      <c r="BH662" s="49">
        <f t="shared" si="72"/>
        <v>0</v>
      </c>
      <c r="BI662" s="49">
        <f t="shared" si="73"/>
        <v>0</v>
      </c>
      <c r="BJ662" s="49">
        <f t="shared" si="74"/>
        <v>0</v>
      </c>
      <c r="BK662" s="218">
        <f>IFERROR(SUM(DATA[[#This Row],[fs_fd_ttd]:[fend_fenf_ttd]]),0)</f>
        <v>0</v>
      </c>
      <c r="BL662" s="20" t="str">
        <f>IF(DATA[[#This Row],[fecha_fs]]&gt;0,TEXT(DATA[[#This Row],[fecha_fs]],"YYYY"),0)</f>
        <v>2025</v>
      </c>
      <c r="BM662" s="221" t="b">
        <v>0</v>
      </c>
      <c r="BN662" s="278"/>
      <c r="BO662" s="222"/>
    </row>
    <row r="663" spans="1:67" ht="30.6" customHeight="1" x14ac:dyDescent="0.25">
      <c r="A663" s="4">
        <v>20100192064</v>
      </c>
      <c r="B663" s="5" t="s">
        <v>60</v>
      </c>
      <c r="C663" s="52" t="s">
        <v>66</v>
      </c>
      <c r="D663" s="4" t="s">
        <v>120</v>
      </c>
      <c r="E663" s="5" t="s">
        <v>3</v>
      </c>
      <c r="F663" s="24">
        <v>45791</v>
      </c>
      <c r="G663" s="7" t="s">
        <v>142</v>
      </c>
      <c r="H663" s="25">
        <f t="shared" si="69"/>
        <v>2</v>
      </c>
      <c r="I663" s="67">
        <v>1089</v>
      </c>
      <c r="J663" s="8" t="s">
        <v>115</v>
      </c>
      <c r="K663" s="9" t="s">
        <v>121</v>
      </c>
      <c r="L663" s="10" t="s">
        <v>117</v>
      </c>
      <c r="M663" s="11">
        <v>310</v>
      </c>
      <c r="N663" s="12" t="s">
        <v>238</v>
      </c>
      <c r="O663" s="6">
        <v>45803</v>
      </c>
      <c r="P663" s="71">
        <v>3469</v>
      </c>
      <c r="Q663" s="14" t="s">
        <v>123</v>
      </c>
      <c r="R663" s="15">
        <f>DATA[[#This Row],[cantidad_fs]]/1000*37</f>
        <v>11.47</v>
      </c>
      <c r="S663" s="56">
        <f>227</f>
        <v>227</v>
      </c>
      <c r="T663" s="15">
        <f>DATA[[#This Row],[C. DF]]+DATA[[#This Row],[C.OPE.]]</f>
        <v>238.47</v>
      </c>
      <c r="U663" s="15">
        <f>DATA[[#This Row],[SUB TOTAL]]*0.18</f>
        <v>42.924599999999998</v>
      </c>
      <c r="V663" s="15">
        <f>IFERROR(ROUND(DATA[[#This Row],[SUB TOTAL]]+DATA[[#This Row],[IGV]],2),0)</f>
        <v>281.39</v>
      </c>
      <c r="W663" s="16" t="str">
        <f>IF(DATA[[#This Row],[VALORIZACIÓN ]]="-","NO CORRESPONDE",IF(OR(A663=20558226979,A663=10470707866,A663=20111157058,A663=20100226902),"NO CORRESPONDE",IF(J663="Emitida",IF(P663&gt;0,"EMITIDA","PENDIENTE"),"NO CORRESPONDE")))</f>
        <v>EMITIDA</v>
      </c>
      <c r="X663" s="29"/>
      <c r="Y663" s="17" t="s">
        <v>118</v>
      </c>
      <c r="Z663" s="30">
        <v>45805</v>
      </c>
      <c r="AA663" s="10" t="s">
        <v>150</v>
      </c>
      <c r="AB663" s="19">
        <v>98</v>
      </c>
      <c r="AC663" s="20">
        <v>30</v>
      </c>
      <c r="AD663" s="18">
        <f>DATA[[#This Row],[FECHA DE EMISION]]+DATA[[#This Row],[CONDICION DE PAGO]]</f>
        <v>45835</v>
      </c>
      <c r="AE663" s="23" t="e">
        <f>IF(DATA[[#This Row],[MONEDA]]="USD",VLOOKUP(DATA[[#This Row],[COMBINADA]],#REF!,11,0),1)</f>
        <v>#REF!</v>
      </c>
      <c r="AF663" s="39" t="str">
        <f>IF(DATA[[#This Row],[SERIE2]]="-","NO CORRESPONDE",IF(W663="NO CORRESPONDE","NO CORRESPONDE",IF(Z663&gt;0,"FACTURADO","PENDIENTE")))</f>
        <v>FACTURADO</v>
      </c>
      <c r="AG663" s="27">
        <f>IFERROR(VLOOKUP(DATA[[#This Row],[COMBINADA]],#REF!,6,0),0)</f>
        <v>0</v>
      </c>
      <c r="AH663" s="125">
        <f>IFERROR(VLOOKUP(DATA[[#This Row],[COMBINADA]],#REF!,9,0),0)/COUNTIFS(DATA[COMBINADA],DATA[[#This Row],[COMBINADA]])</f>
        <v>0</v>
      </c>
      <c r="AI663" s="27">
        <f>IFERROR(VLOOKUP(DATA[[#This Row],[COMBINADA]],#REF!,6,0),0)</f>
        <v>0</v>
      </c>
      <c r="AJ663" s="125">
        <f>IFERROR(VLOOKUP(DATA[[#This Row],[COMBINADA]],#REF!,9,0),0)/COUNTIFS(DATA[COMBINADA],DATA[[#This Row],[COMBINADA]])</f>
        <v>0</v>
      </c>
      <c r="AK663" s="27">
        <f>IFERROR(VLOOKUP(DATA[[#This Row],[COMBINADA]],#REF!,6,0),0)</f>
        <v>0</v>
      </c>
      <c r="AL663" s="125">
        <f>IFERROR(VLOOKUP(DATA[[#This Row],[COMBINADA]],#REF!,9,0),0)/COUNTIFS(DATA[COMBINADA],DATA[[#This Row],[COMBINADA]])</f>
        <v>0</v>
      </c>
      <c r="AM663" s="27">
        <f>IFERROR(VLOOKUP(DATA[[#This Row],[COMBINADA]],#REF!,6,0),0)</f>
        <v>0</v>
      </c>
      <c r="AN663" s="125">
        <f>IFERROR(VLOOKUP(DATA[[#This Row],[COMBINADA]],#REF!,9,0),0)/COUNTIFS(DATA[COMBINADA],DATA[[#This Row],[COMBINADA]])</f>
        <v>0</v>
      </c>
      <c r="AO663" s="27">
        <f>IFERROR(VLOOKUP(DATA[[#This Row],[COMBINADA]],#REF!,6,0),0)</f>
        <v>0</v>
      </c>
      <c r="AP663" s="125">
        <f>IFERROR(VLOOKUP(DATA[[#This Row],[COMBINADA]],#REF!,9,0),0)/COUNTIFS(DATA[COMBINADA],DATA[[#This Row],[COMBINADA]])</f>
        <v>0</v>
      </c>
      <c r="AQ66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647.4955555555556</v>
      </c>
      <c r="AR663" s="26" t="str">
        <f>IFERROR(IF(DATA[[#This Row],[estado_fact]]="FACTURADO",VLOOKUP(DATA[[#This Row],[SERIE2]]&amp;"-"&amp;DATA[[#This Row],[NUMERO]],#REF!,34,0),"NO CORRESPONDE"),"NO CORRESPONDE")</f>
        <v>NO CORRESPONDE</v>
      </c>
      <c r="AS663" s="22" t="str">
        <f>IF(DATA[[#This Row],[fecha_fs]]&gt;0,TEXT(DATA[[#This Row],[fecha_fs]],"Mmmm"),0)</f>
        <v>Mayo</v>
      </c>
      <c r="AT663" s="22" t="str">
        <f>DATA[[#This Row],[SERIE2]]&amp;"-"&amp;DATA[[#This Row],[NUMERO]]</f>
        <v>FF01-98</v>
      </c>
      <c r="AU663" s="28" t="e">
        <f>DATA[[#This Row],[TOTAL]]*DATA[[#This Row],[T.C.]]</f>
        <v>#REF!</v>
      </c>
      <c r="AV663" s="6">
        <f>DATA[[#This Row],[FECHA DE VAL.]]</f>
        <v>45803</v>
      </c>
      <c r="AW663" s="6">
        <f>DATA[[#This Row],[FECHA DE EMISION]]</f>
        <v>45805</v>
      </c>
      <c r="AX663" s="6">
        <f>DATA[[#This Row],[F1]]</f>
        <v>0</v>
      </c>
      <c r="AY663" s="20">
        <f>IF(AV663-DATA[[#This Row],[fecha_fs]]&lt;0,0,AV663-DATA[[#This Row],[fecha_fs]])</f>
        <v>12</v>
      </c>
      <c r="AZ663" s="20">
        <f t="shared" si="70"/>
        <v>2</v>
      </c>
      <c r="BA663" s="20">
        <f t="shared" si="71"/>
        <v>0</v>
      </c>
      <c r="BB663" s="195">
        <f>IFERROR(SUM(DATA[[#This Row],[fs_val_ttf]:[fact_pago_ttf]]),0)</f>
        <v>14</v>
      </c>
      <c r="BC663" s="185">
        <v>45811</v>
      </c>
      <c r="BD663" s="185">
        <v>45828</v>
      </c>
      <c r="BE663" s="185">
        <v>45831</v>
      </c>
      <c r="BF663" s="185">
        <v>45863</v>
      </c>
      <c r="BG663" s="20">
        <f>IFERROR(IF(BC663-DATA[[#This Row],[fecha_fs]]&lt;0,0,BC663-DATA[[#This Row],[fecha_fs]]),0)</f>
        <v>20</v>
      </c>
      <c r="BH663" s="20">
        <f t="shared" si="72"/>
        <v>17</v>
      </c>
      <c r="BI663" s="20">
        <f t="shared" si="73"/>
        <v>3</v>
      </c>
      <c r="BJ663" s="20">
        <f t="shared" si="74"/>
        <v>32</v>
      </c>
      <c r="BK663" s="218">
        <f>IFERROR(SUM(DATA[[#This Row],[fs_fd_ttd]:[fend_fenf_ttd]]),0)</f>
        <v>72</v>
      </c>
      <c r="BL663" s="20" t="str">
        <f>IF(DATA[[#This Row],[fecha_fs]]&gt;0,TEXT(DATA[[#This Row],[fecha_fs]],"YYYY"),0)</f>
        <v>2025</v>
      </c>
      <c r="BM663" s="221" t="b">
        <v>1</v>
      </c>
      <c r="BN663" s="278">
        <f>COUNTIF(DATA[[#This Row],[tiempo_td]], "&lt;=15")</f>
        <v>0</v>
      </c>
      <c r="BO663" s="222"/>
    </row>
    <row r="664" spans="1:67" ht="30" customHeight="1" x14ac:dyDescent="0.25">
      <c r="A664" s="4">
        <v>20497784817</v>
      </c>
      <c r="B664" s="5" t="s">
        <v>287</v>
      </c>
      <c r="C664" s="52" t="s">
        <v>18</v>
      </c>
      <c r="D664" s="4" t="s">
        <v>112</v>
      </c>
      <c r="E664" s="5" t="s">
        <v>1</v>
      </c>
      <c r="F664" s="24">
        <v>45796</v>
      </c>
      <c r="G664" s="7" t="s">
        <v>113</v>
      </c>
      <c r="H664" s="25">
        <f t="shared" si="69"/>
        <v>1</v>
      </c>
      <c r="I664" s="67">
        <v>4513</v>
      </c>
      <c r="J664" s="8" t="s">
        <v>115</v>
      </c>
      <c r="K664" s="9" t="s">
        <v>116</v>
      </c>
      <c r="L664" s="10" t="s">
        <v>117</v>
      </c>
      <c r="M664" s="111">
        <v>195</v>
      </c>
      <c r="N664" s="112" t="s">
        <v>114</v>
      </c>
      <c r="O664" s="6"/>
      <c r="P664" s="13" t="s">
        <v>114</v>
      </c>
      <c r="Q664" s="14" t="s">
        <v>85</v>
      </c>
      <c r="R664" s="43"/>
      <c r="S664" s="56"/>
      <c r="T664" s="15">
        <f>DATA[[#This Row],[C. DF]]+DATA[[#This Row],[C.OPE.]]</f>
        <v>0</v>
      </c>
      <c r="U664" s="73">
        <f>DATA[[#This Row],[SUB TOTAL]]*0.18</f>
        <v>0</v>
      </c>
      <c r="V664" s="45">
        <f>IFERROR(ROUND(DATA[[#This Row],[SUB TOTAL]]+DATA[[#This Row],[IGV]],2),0)</f>
        <v>0</v>
      </c>
      <c r="W664" s="73" t="str">
        <f>IF(DATA[[#This Row],[VALORIZACIÓN ]]="-","NO CORRESPONDE",IF(OR(A664=20558226979,A664=10470707866,A664=20111157058,A664=20100226902),"NO CORRESPONDE",IF(J664="Emitida",IF(P664&gt;0,"EMITIDA","PENDIENTE"),"NO CORRESPONDE")))</f>
        <v>NO CORRESPONDE</v>
      </c>
      <c r="X664" s="143" t="s">
        <v>216</v>
      </c>
      <c r="Y664" s="17" t="s">
        <v>128</v>
      </c>
      <c r="Z664" s="48"/>
      <c r="AA664" s="49"/>
      <c r="AB664" s="50"/>
      <c r="AC664" s="51"/>
      <c r="AD664" s="59">
        <f>DATA[[#This Row],[FECHA DE EMISION]]+DATA[[#This Row],[CONDICION DE PAGO]]</f>
        <v>0</v>
      </c>
      <c r="AE664" s="23">
        <f>IF(DATA[[#This Row],[MONEDA]]="USD",VLOOKUP(DATA[[#This Row],[COMBINADA]],#REF!,11,0),1)</f>
        <v>1</v>
      </c>
      <c r="AF664" s="39" t="str">
        <f>IF(DATA[[#This Row],[SERIE2]]="-","NO CORRESPONDE",IF(W664="NO CORRESPONDE","NO CORRESPONDE",IF(Z664&gt;0,"FACTURADO","PENDIENTE")))</f>
        <v>NO CORRESPONDE</v>
      </c>
      <c r="AG664" s="140">
        <f>IFERROR(VLOOKUP(DATA[[#This Row],[COMBINADA]],#REF!,6,0),0)</f>
        <v>0</v>
      </c>
      <c r="AH664" s="126">
        <f>IFERROR(VLOOKUP(DATA[[#This Row],[COMBINADA]],#REF!,9,0),0)/COUNTIFS(DATA[COMBINADA],DATA[[#This Row],[COMBINADA]])</f>
        <v>0</v>
      </c>
      <c r="AI664" s="140">
        <f>IFERROR(VLOOKUP(DATA[[#This Row],[COMBINADA]],#REF!,6,0),0)</f>
        <v>0</v>
      </c>
      <c r="AJ664" s="126">
        <f>IFERROR(VLOOKUP(DATA[[#This Row],[COMBINADA]],#REF!,9,0),0)/COUNTIFS(DATA[COMBINADA],DATA[[#This Row],[COMBINADA]])</f>
        <v>0</v>
      </c>
      <c r="AK664" s="140">
        <f>IFERROR(VLOOKUP(DATA[[#This Row],[COMBINADA]],#REF!,6,0),0)</f>
        <v>0</v>
      </c>
      <c r="AL664" s="126">
        <f>IFERROR(VLOOKUP(DATA[[#This Row],[COMBINADA]],#REF!,9,0),0)/COUNTIFS(DATA[COMBINADA],DATA[[#This Row],[COMBINADA]])</f>
        <v>0</v>
      </c>
      <c r="AM664" s="140">
        <f>IFERROR(VLOOKUP(DATA[[#This Row],[COMBINADA]],#REF!,6,0),0)</f>
        <v>0</v>
      </c>
      <c r="AN664" s="126">
        <f>IFERROR(VLOOKUP(DATA[[#This Row],[COMBINADA]],#REF!,9,0),0)/COUNTIFS(DATA[COMBINADA],DATA[[#This Row],[COMBINADA]])</f>
        <v>0</v>
      </c>
      <c r="AO664" s="140">
        <f>IFERROR(VLOOKUP(DATA[[#This Row],[COMBINADA]],#REF!,6,0),0)</f>
        <v>0</v>
      </c>
      <c r="AP664" s="126">
        <f>IFERROR(VLOOKUP(DATA[[#This Row],[COMBINADA]],#REF!,9,0),0)/COUNTIFS(DATA[COMBINADA],DATA[[#This Row],[COMBINADA]])</f>
        <v>0</v>
      </c>
      <c r="AQ664" s="15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664" s="22" t="str">
        <f>IFERROR(IF(DATA[[#This Row],[estado_fact]]="FACTURADO",VLOOKUP(DATA[[#This Row],[SERIE2]]&amp;"-"&amp;DATA[[#This Row],[NUMERO]],#REF!,34,0),"NO CORRESPONDE"),"NO CORRESPONDE")</f>
        <v>NO CORRESPONDE</v>
      </c>
      <c r="AS664" s="65" t="str">
        <f>IF(DATA[[#This Row],[fecha_fs]]&gt;0,TEXT(DATA[[#This Row],[fecha_fs]],"Mmmm"),0)</f>
        <v>Mayo</v>
      </c>
      <c r="AT664" s="22" t="str">
        <f>DATA[[#This Row],[SERIE2]]&amp;"-"&amp;DATA[[#This Row],[NUMERO]]</f>
        <v>-</v>
      </c>
      <c r="AU664" s="65">
        <f>DATA[[#This Row],[TOTAL]]*DATA[[#This Row],[T.C.]]</f>
        <v>0</v>
      </c>
      <c r="AV664" s="6">
        <f>DATA[[#This Row],[FECHA DE VAL.]]</f>
        <v>0</v>
      </c>
      <c r="AW664" s="6">
        <f>DATA[[#This Row],[FECHA DE EMISION]]</f>
        <v>0</v>
      </c>
      <c r="AX664" s="6">
        <f>DATA[[#This Row],[F1]]</f>
        <v>0</v>
      </c>
      <c r="AY664" s="20">
        <f>IF(AV664-DATA[[#This Row],[fecha_fs]]&lt;0,0,AV664-DATA[[#This Row],[fecha_fs]])</f>
        <v>0</v>
      </c>
      <c r="AZ664" s="20">
        <f t="shared" si="70"/>
        <v>0</v>
      </c>
      <c r="BA664" s="20">
        <f t="shared" si="71"/>
        <v>0</v>
      </c>
      <c r="BB664" s="195">
        <f>IFERROR(SUM(DATA[[#This Row],[fs_val_ttf]:[fact_pago_ttf]]),0)</f>
        <v>0</v>
      </c>
      <c r="BC664" s="185">
        <v>45806</v>
      </c>
      <c r="BD664" s="185" t="s">
        <v>270</v>
      </c>
      <c r="BE664" s="185">
        <v>45814</v>
      </c>
      <c r="BF664" s="185">
        <v>45882</v>
      </c>
      <c r="BG664" s="20">
        <f>IFERROR(IF(BC664-DATA[[#This Row],[fecha_fs]]&lt;0,0,BC664-DATA[[#This Row],[fecha_fs]]),0)</f>
        <v>10</v>
      </c>
      <c r="BH664" s="20">
        <f t="shared" si="72"/>
        <v>0</v>
      </c>
      <c r="BI664" s="20">
        <f t="shared" si="73"/>
        <v>0</v>
      </c>
      <c r="BJ664" s="20">
        <f t="shared" si="74"/>
        <v>68</v>
      </c>
      <c r="BK664" s="218">
        <f>IFERROR(SUM(DATA[[#This Row],[fs_fd_ttd]:[fend_fenf_ttd]]),0)</f>
        <v>78</v>
      </c>
      <c r="BL664" s="20" t="str">
        <f>IF(DATA[[#This Row],[fecha_fs]]&gt;0,TEXT(DATA[[#This Row],[fecha_fs]],"YYYY"),0)</f>
        <v>2025</v>
      </c>
      <c r="BM664" s="221" t="b">
        <v>0</v>
      </c>
      <c r="BN664" s="278">
        <f>COUNTIF(DATA[[#This Row],[tiempo_td]], "&lt;=15")</f>
        <v>0</v>
      </c>
      <c r="BO664" s="222"/>
    </row>
    <row r="665" spans="1:67" ht="30.6" customHeight="1" x14ac:dyDescent="0.25">
      <c r="A665" s="4">
        <v>20100192064</v>
      </c>
      <c r="B665" s="5" t="s">
        <v>60</v>
      </c>
      <c r="C665" s="52" t="s">
        <v>43</v>
      </c>
      <c r="D665" s="4" t="s">
        <v>120</v>
      </c>
      <c r="E665" s="5" t="s">
        <v>3</v>
      </c>
      <c r="F665" s="24">
        <v>45793</v>
      </c>
      <c r="G665" s="7" t="s">
        <v>113</v>
      </c>
      <c r="H665" s="25">
        <f t="shared" si="69"/>
        <v>1</v>
      </c>
      <c r="I665" s="67">
        <v>4514</v>
      </c>
      <c r="J665" s="8" t="s">
        <v>115</v>
      </c>
      <c r="K665" s="9" t="s">
        <v>121</v>
      </c>
      <c r="L665" s="10" t="s">
        <v>117</v>
      </c>
      <c r="M665" s="11">
        <v>470</v>
      </c>
      <c r="N665" s="12" t="s">
        <v>125</v>
      </c>
      <c r="O665" s="6">
        <v>45803</v>
      </c>
      <c r="P665" s="71">
        <v>3460</v>
      </c>
      <c r="Q665" s="14" t="s">
        <v>123</v>
      </c>
      <c r="R665" s="15">
        <f>(DATA[[#This Row],[cantidad_fs]]/1000)*(47+174.34)</f>
        <v>104.02979999999999</v>
      </c>
      <c r="S665" s="56">
        <v>137</v>
      </c>
      <c r="T665" s="15">
        <f>DATA[[#This Row],[C. DF]]+DATA[[#This Row],[C.OPE.]]</f>
        <v>241.02979999999999</v>
      </c>
      <c r="U665" s="15">
        <f>DATA[[#This Row],[SUB TOTAL]]*0.18</f>
        <v>43.385363999999996</v>
      </c>
      <c r="V665" s="15">
        <f>IFERROR(ROUND(DATA[[#This Row],[SUB TOTAL]]+DATA[[#This Row],[IGV]],2),0)</f>
        <v>284.42</v>
      </c>
      <c r="W665" s="16" t="str">
        <f>IF(DATA[[#This Row],[VALORIZACIÓN ]]="-","NO CORRESPONDE",IF(OR(A665=20558226979,A665=10470707866,A665=20111157058,A665=20100226902),"NO CORRESPONDE",IF(J665="Emitida",IF(P665&gt;0,"EMITIDA","PENDIENTE"),"NO CORRESPONDE")))</f>
        <v>EMITIDA</v>
      </c>
      <c r="X665" s="29"/>
      <c r="Y665" s="17" t="s">
        <v>118</v>
      </c>
      <c r="Z665" s="30">
        <v>45804</v>
      </c>
      <c r="AA665" s="10" t="s">
        <v>150</v>
      </c>
      <c r="AB665" s="19">
        <v>97</v>
      </c>
      <c r="AC665" s="20">
        <v>30</v>
      </c>
      <c r="AD665" s="18">
        <f>DATA[[#This Row],[FECHA DE EMISION]]+DATA[[#This Row],[CONDICION DE PAGO]]</f>
        <v>45834</v>
      </c>
      <c r="AE665" s="23" t="e">
        <f>IF(DATA[[#This Row],[MONEDA]]="USD",VLOOKUP(DATA[[#This Row],[COMBINADA]],#REF!,11,0),1)</f>
        <v>#REF!</v>
      </c>
      <c r="AF665" s="39" t="str">
        <f>IF(DATA[[#This Row],[SERIE2]]="-","NO CORRESPONDE",IF(W665="NO CORRESPONDE","NO CORRESPONDE",IF(Z665&gt;0,"FACTURADO","PENDIENTE")))</f>
        <v>FACTURADO</v>
      </c>
      <c r="AG665" s="27">
        <f>IFERROR(VLOOKUP(DATA[[#This Row],[COMBINADA]],#REF!,6,0),0)</f>
        <v>0</v>
      </c>
      <c r="AH665" s="125">
        <f>IFERROR(VLOOKUP(DATA[[#This Row],[COMBINADA]],#REF!,9,0),0)/COUNTIFS(DATA[COMBINADA],DATA[[#This Row],[COMBINADA]])</f>
        <v>0</v>
      </c>
      <c r="AI665" s="27">
        <f>IFERROR(VLOOKUP(DATA[[#This Row],[COMBINADA]],#REF!,6,0),0)</f>
        <v>0</v>
      </c>
      <c r="AJ665" s="125">
        <f>IFERROR(VLOOKUP(DATA[[#This Row],[COMBINADA]],#REF!,9,0),0)/COUNTIFS(DATA[COMBINADA],DATA[[#This Row],[COMBINADA]])</f>
        <v>0</v>
      </c>
      <c r="AK665" s="27">
        <f>IFERROR(VLOOKUP(DATA[[#This Row],[COMBINADA]],#REF!,6,0),0)</f>
        <v>0</v>
      </c>
      <c r="AL665" s="125">
        <f>IFERROR(VLOOKUP(DATA[[#This Row],[COMBINADA]],#REF!,9,0),0)/COUNTIFS(DATA[COMBINADA],DATA[[#This Row],[COMBINADA]])</f>
        <v>0</v>
      </c>
      <c r="AM665" s="27">
        <f>IFERROR(VLOOKUP(DATA[[#This Row],[COMBINADA]],#REF!,6,0),0)</f>
        <v>0</v>
      </c>
      <c r="AN665" s="125">
        <f>IFERROR(VLOOKUP(DATA[[#This Row],[COMBINADA]],#REF!,9,0),0)/COUNTIFS(DATA[COMBINADA],DATA[[#This Row],[COMBINADA]])</f>
        <v>0</v>
      </c>
      <c r="AO665" s="27">
        <f>IFERROR(VLOOKUP(DATA[[#This Row],[COMBINADA]],#REF!,6,0),0)</f>
        <v>0</v>
      </c>
      <c r="AP665" s="125">
        <f>IFERROR(VLOOKUP(DATA[[#This Row],[COMBINADA]],#REF!,9,0),0)/COUNTIFS(DATA[COMBINADA],DATA[[#This Row],[COMBINADA]])</f>
        <v>0</v>
      </c>
      <c r="AQ66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685.70466666666675</v>
      </c>
      <c r="AR665" s="26" t="str">
        <f>IFERROR(IF(DATA[[#This Row],[estado_fact]]="FACTURADO",VLOOKUP(DATA[[#This Row],[SERIE2]]&amp;"-"&amp;DATA[[#This Row],[NUMERO]],#REF!,34,0),"NO CORRESPONDE"),"NO CORRESPONDE")</f>
        <v>NO CORRESPONDE</v>
      </c>
      <c r="AS665" s="22" t="str">
        <f>IF(DATA[[#This Row],[fecha_fs]]&gt;0,TEXT(DATA[[#This Row],[fecha_fs]],"Mmmm"),0)</f>
        <v>Mayo</v>
      </c>
      <c r="AT665" s="22" t="str">
        <f>DATA[[#This Row],[SERIE2]]&amp;"-"&amp;DATA[[#This Row],[NUMERO]]</f>
        <v>FF01-97</v>
      </c>
      <c r="AU665" s="28" t="e">
        <f>DATA[[#This Row],[TOTAL]]*DATA[[#This Row],[T.C.]]</f>
        <v>#REF!</v>
      </c>
      <c r="AV665" s="6">
        <f>DATA[[#This Row],[FECHA DE VAL.]]</f>
        <v>45803</v>
      </c>
      <c r="AW665" s="6">
        <f>DATA[[#This Row],[FECHA DE EMISION]]</f>
        <v>45804</v>
      </c>
      <c r="AX665" s="6">
        <f>DATA[[#This Row],[F1]]</f>
        <v>0</v>
      </c>
      <c r="AY665" s="20">
        <f>IF(AV665-DATA[[#This Row],[fecha_fs]]&lt;0,0,AV665-DATA[[#This Row],[fecha_fs]])</f>
        <v>10</v>
      </c>
      <c r="AZ665" s="20">
        <f t="shared" si="70"/>
        <v>1</v>
      </c>
      <c r="BA665" s="20">
        <f t="shared" si="71"/>
        <v>0</v>
      </c>
      <c r="BB665" s="195">
        <f>IFERROR(SUM(DATA[[#This Row],[fs_val_ttf]:[fact_pago_ttf]]),0)</f>
        <v>11</v>
      </c>
      <c r="BC665" s="185">
        <v>45817</v>
      </c>
      <c r="BD665" s="185">
        <v>45828</v>
      </c>
      <c r="BE665" s="185">
        <v>45831</v>
      </c>
      <c r="BF665" s="185">
        <v>45863</v>
      </c>
      <c r="BG665" s="20">
        <f>IFERROR(IF(BC665-DATA[[#This Row],[fecha_fs]]&lt;0,0,BC665-DATA[[#This Row],[fecha_fs]]),0)</f>
        <v>24</v>
      </c>
      <c r="BH665" s="20">
        <f t="shared" si="72"/>
        <v>11</v>
      </c>
      <c r="BI665" s="20">
        <f t="shared" si="73"/>
        <v>3</v>
      </c>
      <c r="BJ665" s="20">
        <f t="shared" si="74"/>
        <v>32</v>
      </c>
      <c r="BK665" s="218">
        <f>IFERROR(SUM(DATA[[#This Row],[fs_fd_ttd]:[fend_fenf_ttd]]),0)</f>
        <v>70</v>
      </c>
      <c r="BL665" s="20" t="str">
        <f>IF(DATA[[#This Row],[fecha_fs]]&gt;0,TEXT(DATA[[#This Row],[fecha_fs]],"YYYY"),0)</f>
        <v>2025</v>
      </c>
      <c r="BM665" s="221" t="b">
        <v>1</v>
      </c>
      <c r="BN665" s="278">
        <f>COUNTIF(DATA[[#This Row],[tiempo_td]], "&lt;=15")</f>
        <v>0</v>
      </c>
      <c r="BO665" s="222"/>
    </row>
    <row r="666" spans="1:67" ht="30.6" customHeight="1" x14ac:dyDescent="0.25">
      <c r="A666" s="4">
        <v>20100211115</v>
      </c>
      <c r="B666" s="5" t="s">
        <v>41</v>
      </c>
      <c r="C666" s="52" t="s">
        <v>18</v>
      </c>
      <c r="D666" s="4" t="s">
        <v>120</v>
      </c>
      <c r="E666" s="5" t="s">
        <v>3</v>
      </c>
      <c r="F666" s="24">
        <v>45793</v>
      </c>
      <c r="G666" s="7" t="s">
        <v>113</v>
      </c>
      <c r="H666" s="25">
        <f t="shared" si="69"/>
        <v>1</v>
      </c>
      <c r="I666" s="67">
        <v>4515</v>
      </c>
      <c r="J666" s="8" t="s">
        <v>115</v>
      </c>
      <c r="K666" s="9" t="s">
        <v>121</v>
      </c>
      <c r="L666" s="10" t="s">
        <v>117</v>
      </c>
      <c r="M666" s="11">
        <v>90</v>
      </c>
      <c r="N666" s="12" t="s">
        <v>132</v>
      </c>
      <c r="O666" s="6">
        <v>45803</v>
      </c>
      <c r="P666" s="115">
        <v>3455</v>
      </c>
      <c r="Q666" s="14" t="s">
        <v>85</v>
      </c>
      <c r="R666" s="75"/>
      <c r="S666" s="15">
        <f>(DATA[[#This Row],[cantidad_fs]]*4.37)</f>
        <v>393.3</v>
      </c>
      <c r="T666" s="15">
        <f>DATA[[#This Row],[C. DF]]+DATA[[#This Row],[C.OPE.]]</f>
        <v>393.3</v>
      </c>
      <c r="U666" s="15">
        <f>DATA[[#This Row],[SUB TOTAL]]*0.18</f>
        <v>70.793999999999997</v>
      </c>
      <c r="V666" s="15">
        <f>IFERROR(ROUND(DATA[[#This Row],[SUB TOTAL]]+DATA[[#This Row],[IGV]],2),0)</f>
        <v>464.09</v>
      </c>
      <c r="W666" s="16" t="str">
        <f>IF(DATA[[#This Row],[VALORIZACIÓN ]]="-","NO CORRESPONDE",IF(OR(A666=20558226979,A666=10470707866,A666=20111157058,A666=20100226902),"NO CORRESPONDE",IF(J666="Emitida",IF(P666&gt;0,"EMITIDA","PENDIENTE"),"NO CORRESPONDE")))</f>
        <v>EMITIDA</v>
      </c>
      <c r="X666" s="29"/>
      <c r="Y666" s="17" t="s">
        <v>118</v>
      </c>
      <c r="Z666" s="30">
        <v>45804</v>
      </c>
      <c r="AA666" s="10" t="s">
        <v>150</v>
      </c>
      <c r="AB666" s="19">
        <v>94</v>
      </c>
      <c r="AC666" s="20">
        <v>30</v>
      </c>
      <c r="AD666" s="18">
        <f>DATA[[#This Row],[FECHA DE EMISION]]+DATA[[#This Row],[CONDICION DE PAGO]]</f>
        <v>45834</v>
      </c>
      <c r="AE666" s="23">
        <f>IF(DATA[[#This Row],[MONEDA]]="USD",VLOOKUP(DATA[[#This Row],[COMBINADA]],#REF!,11,0),1)</f>
        <v>1</v>
      </c>
      <c r="AF666" s="39" t="str">
        <f>IF(DATA[[#This Row],[SERIE2]]="-","NO CORRESPONDE",IF(W666="NO CORRESPONDE","NO CORRESPONDE",IF(Z666&gt;0,"FACTURADO","PENDIENTE")))</f>
        <v>FACTURADO</v>
      </c>
      <c r="AG666" s="27">
        <f>IFERROR(VLOOKUP(DATA[[#This Row],[COMBINADA]],#REF!,6,0),0)</f>
        <v>0</v>
      </c>
      <c r="AH666" s="125">
        <f>IFERROR(VLOOKUP(DATA[[#This Row],[COMBINADA]],#REF!,9,0),0)/COUNTIFS(DATA[COMBINADA],DATA[[#This Row],[COMBINADA]])</f>
        <v>0</v>
      </c>
      <c r="AI666" s="27">
        <f>IFERROR(VLOOKUP(DATA[[#This Row],[COMBINADA]],#REF!,6,0),0)</f>
        <v>0</v>
      </c>
      <c r="AJ666" s="125">
        <f>IFERROR(VLOOKUP(DATA[[#This Row],[COMBINADA]],#REF!,9,0),0)/COUNTIFS(DATA[COMBINADA],DATA[[#This Row],[COMBINADA]])</f>
        <v>0</v>
      </c>
      <c r="AK666" s="27">
        <f>IFERROR(VLOOKUP(DATA[[#This Row],[COMBINADA]],#REF!,6,0),0)</f>
        <v>0</v>
      </c>
      <c r="AL666" s="125">
        <f>IFERROR(VLOOKUP(DATA[[#This Row],[COMBINADA]],#REF!,9,0),0)/COUNTIFS(DATA[COMBINADA],DATA[[#This Row],[COMBINADA]])</f>
        <v>0</v>
      </c>
      <c r="AM666" s="27">
        <f>IFERROR(VLOOKUP(DATA[[#This Row],[COMBINADA]],#REF!,6,0),0)</f>
        <v>0</v>
      </c>
      <c r="AN666" s="125">
        <f>IFERROR(VLOOKUP(DATA[[#This Row],[COMBINADA]],#REF!,9,0),0)/COUNTIFS(DATA[COMBINADA],DATA[[#This Row],[COMBINADA]])</f>
        <v>0</v>
      </c>
      <c r="AO666" s="27">
        <f>IFERROR(VLOOKUP(DATA[[#This Row],[COMBINADA]],#REF!,6,0),0)</f>
        <v>0</v>
      </c>
      <c r="AP666" s="125">
        <f>IFERROR(VLOOKUP(DATA[[#This Row],[COMBINADA]],#REF!,9,0),0)/COUNTIFS(DATA[COMBINADA],DATA[[#This Row],[COMBINADA]])</f>
        <v>0</v>
      </c>
      <c r="AQ66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666" s="26" t="str">
        <f>IFERROR(IF(DATA[[#This Row],[estado_fact]]="FACTURADO",VLOOKUP(DATA[[#This Row],[SERIE2]]&amp;"-"&amp;DATA[[#This Row],[NUMERO]],#REF!,34,0),"NO CORRESPONDE"),"NO CORRESPONDE")</f>
        <v>NO CORRESPONDE</v>
      </c>
      <c r="AS666" s="22" t="str">
        <f>IF(DATA[[#This Row],[fecha_fs]]&gt;0,TEXT(DATA[[#This Row],[fecha_fs]],"Mmmm"),0)</f>
        <v>Mayo</v>
      </c>
      <c r="AT666" s="22" t="str">
        <f>DATA[[#This Row],[SERIE2]]&amp;"-"&amp;DATA[[#This Row],[NUMERO]]</f>
        <v>FF01-94</v>
      </c>
      <c r="AU666" s="28">
        <f>DATA[[#This Row],[TOTAL]]*DATA[[#This Row],[T.C.]]</f>
        <v>464.09</v>
      </c>
      <c r="AV666" s="6">
        <f>DATA[[#This Row],[FECHA DE VAL.]]</f>
        <v>45803</v>
      </c>
      <c r="AW666" s="6">
        <f>DATA[[#This Row],[FECHA DE EMISION]]</f>
        <v>45804</v>
      </c>
      <c r="AX666" s="6">
        <f>DATA[[#This Row],[F1]]</f>
        <v>0</v>
      </c>
      <c r="AY666" s="20">
        <f>IF(AV666-DATA[[#This Row],[fecha_fs]]&lt;0,0,AV666-DATA[[#This Row],[fecha_fs]])</f>
        <v>10</v>
      </c>
      <c r="AZ666" s="20">
        <f t="shared" si="70"/>
        <v>1</v>
      </c>
      <c r="BA666" s="20">
        <f t="shared" si="71"/>
        <v>0</v>
      </c>
      <c r="BB666" s="195">
        <f>IFERROR(SUM(DATA[[#This Row],[fs_val_ttf]:[fact_pago_ttf]]),0)</f>
        <v>11</v>
      </c>
      <c r="BC666" s="185">
        <v>45807</v>
      </c>
      <c r="BD666" s="185">
        <v>45814</v>
      </c>
      <c r="BE666" s="185">
        <v>45814</v>
      </c>
      <c r="BF666" s="185">
        <v>45821</v>
      </c>
      <c r="BG666" s="20">
        <f>IFERROR(IF(BC666-DATA[[#This Row],[fecha_fs]]&lt;0,0,BC666-DATA[[#This Row],[fecha_fs]]),0)</f>
        <v>14</v>
      </c>
      <c r="BH666" s="20">
        <f t="shared" si="72"/>
        <v>7</v>
      </c>
      <c r="BI666" s="20">
        <f t="shared" si="73"/>
        <v>0</v>
      </c>
      <c r="BJ666" s="20">
        <f t="shared" si="74"/>
        <v>7</v>
      </c>
      <c r="BK666" s="218">
        <f>IFERROR(SUM(DATA[[#This Row],[fs_fd_ttd]:[fend_fenf_ttd]]),0)</f>
        <v>28</v>
      </c>
      <c r="BL666" s="20" t="str">
        <f>IF(DATA[[#This Row],[fecha_fs]]&gt;0,TEXT(DATA[[#This Row],[fecha_fs]],"YYYY"),0)</f>
        <v>2025</v>
      </c>
      <c r="BM666" s="221" t="b">
        <v>1</v>
      </c>
      <c r="BN666" s="278">
        <f>COUNTIF(DATA[[#This Row],[tiempo_td]], "&lt;=15")</f>
        <v>0</v>
      </c>
      <c r="BO666" s="222"/>
    </row>
    <row r="667" spans="1:67" ht="30.6" customHeight="1" x14ac:dyDescent="0.25">
      <c r="A667" s="4">
        <v>20553956324</v>
      </c>
      <c r="B667" s="5" t="s">
        <v>281</v>
      </c>
      <c r="C667" s="52" t="s">
        <v>175</v>
      </c>
      <c r="D667" s="4" t="s">
        <v>120</v>
      </c>
      <c r="E667" s="5" t="s">
        <v>3</v>
      </c>
      <c r="F667" s="24">
        <v>45793</v>
      </c>
      <c r="G667" s="7" t="s">
        <v>113</v>
      </c>
      <c r="H667" s="25">
        <f t="shared" si="69"/>
        <v>1</v>
      </c>
      <c r="I667" s="67">
        <v>4516</v>
      </c>
      <c r="J667" s="8" t="s">
        <v>115</v>
      </c>
      <c r="K667" s="9" t="s">
        <v>121</v>
      </c>
      <c r="L667" s="10" t="s">
        <v>117</v>
      </c>
      <c r="M667" s="11">
        <v>230</v>
      </c>
      <c r="N667" s="12" t="s">
        <v>132</v>
      </c>
      <c r="O667" s="6">
        <v>45803</v>
      </c>
      <c r="P667" s="109">
        <v>3458</v>
      </c>
      <c r="Q667" s="14" t="s">
        <v>85</v>
      </c>
      <c r="R667" s="15">
        <f>DATA[[#This Row],[cantidad_fs]]*0.08</f>
        <v>18.400000000000002</v>
      </c>
      <c r="S667" s="56">
        <v>395.1</v>
      </c>
      <c r="T667" s="15">
        <f>DATA[[#This Row],[C. DF]]+DATA[[#This Row],[C.OPE.]]</f>
        <v>413.5</v>
      </c>
      <c r="U667" s="15">
        <f>DATA[[#This Row],[SUB TOTAL]]*0.18</f>
        <v>74.429999999999993</v>
      </c>
      <c r="V667" s="15">
        <f>IFERROR(ROUND(DATA[[#This Row],[SUB TOTAL]]+DATA[[#This Row],[IGV]],2),0)</f>
        <v>487.93</v>
      </c>
      <c r="W667" s="16" t="str">
        <f>IF(DATA[[#This Row],[VALORIZACIÓN ]]="-","NO CORRESPONDE",IF(OR(A667=20558226979,A667=10470707866,A667=20111157058,A667=20100226902),"NO CORRESPONDE",IF(J667="Emitida",IF(P667&gt;0,"EMITIDA","PENDIENTE"),"NO CORRESPONDE")))</f>
        <v>EMITIDA</v>
      </c>
      <c r="X667" s="29" t="s">
        <v>234</v>
      </c>
      <c r="Y667" s="17" t="s">
        <v>118</v>
      </c>
      <c r="Z667" s="30">
        <v>45845</v>
      </c>
      <c r="AA667" s="10" t="s">
        <v>150</v>
      </c>
      <c r="AB667" s="19">
        <v>143</v>
      </c>
      <c r="AC667" s="20">
        <v>0</v>
      </c>
      <c r="AD667" s="18">
        <f>DATA[[#This Row],[FECHA DE EMISION]]+DATA[[#This Row],[CONDICION DE PAGO]]</f>
        <v>45845</v>
      </c>
      <c r="AE667" s="23">
        <f>IF(DATA[[#This Row],[MONEDA]]="USD",VLOOKUP(DATA[[#This Row],[COMBINADA]],#REF!,11,0),1)</f>
        <v>1</v>
      </c>
      <c r="AF667" s="39" t="str">
        <f>IF(DATA[[#This Row],[SERIE2]]="-","NO CORRESPONDE",IF(W667="NO CORRESPONDE","NO CORRESPONDE",IF(Z667&gt;0,"FACTURADO","PENDIENTE")))</f>
        <v>FACTURADO</v>
      </c>
      <c r="AG667" s="27">
        <f>IFERROR(VLOOKUP(DATA[[#This Row],[COMBINADA]],#REF!,6,0),0)</f>
        <v>0</v>
      </c>
      <c r="AH667" s="125">
        <f>IFERROR(VLOOKUP(DATA[[#This Row],[COMBINADA]],#REF!,9,0),0)/COUNTIFS(DATA[COMBINADA],DATA[[#This Row],[COMBINADA]])</f>
        <v>0</v>
      </c>
      <c r="AI667" s="27">
        <f>IFERROR(VLOOKUP(DATA[[#This Row],[COMBINADA]],#REF!,6,0),0)</f>
        <v>0</v>
      </c>
      <c r="AJ667" s="125">
        <f>IFERROR(VLOOKUP(DATA[[#This Row],[COMBINADA]],#REF!,9,0),0)/COUNTIFS(DATA[COMBINADA],DATA[[#This Row],[COMBINADA]])</f>
        <v>0</v>
      </c>
      <c r="AK667" s="27">
        <f>IFERROR(VLOOKUP(DATA[[#This Row],[COMBINADA]],#REF!,6,0),0)</f>
        <v>0</v>
      </c>
      <c r="AL667" s="125">
        <f>IFERROR(VLOOKUP(DATA[[#This Row],[COMBINADA]],#REF!,9,0),0)/COUNTIFS(DATA[COMBINADA],DATA[[#This Row],[COMBINADA]])</f>
        <v>0</v>
      </c>
      <c r="AM667" s="27">
        <f>IFERROR(VLOOKUP(DATA[[#This Row],[COMBINADA]],#REF!,6,0),0)</f>
        <v>0</v>
      </c>
      <c r="AN667" s="125">
        <f>IFERROR(VLOOKUP(DATA[[#This Row],[COMBINADA]],#REF!,9,0),0)/COUNTIFS(DATA[COMBINADA],DATA[[#This Row],[COMBINADA]])</f>
        <v>0</v>
      </c>
      <c r="AO667" s="27">
        <f>IFERROR(VLOOKUP(DATA[[#This Row],[COMBINADA]],#REF!,6,0),0)</f>
        <v>0</v>
      </c>
      <c r="AP667" s="125">
        <f>IFERROR(VLOOKUP(DATA[[#This Row],[COMBINADA]],#REF!,9,0),0)/COUNTIFS(DATA[COMBINADA],DATA[[#This Row],[COMBINADA]])</f>
        <v>0</v>
      </c>
      <c r="AQ66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481.06363636363642</v>
      </c>
      <c r="AR667" s="26" t="str">
        <f>IFERROR(IF(DATA[[#This Row],[estado_fact]]="FACTURADO",VLOOKUP(DATA[[#This Row],[SERIE2]]&amp;"-"&amp;DATA[[#This Row],[NUMERO]],#REF!,34,0),"NO CORRESPONDE"),"NO CORRESPONDE")</f>
        <v>NO CORRESPONDE</v>
      </c>
      <c r="AS667" s="22" t="str">
        <f>IF(DATA[[#This Row],[fecha_fs]]&gt;0,TEXT(DATA[[#This Row],[fecha_fs]],"Mmmm"),0)</f>
        <v>Mayo</v>
      </c>
      <c r="AT667" s="22" t="str">
        <f>DATA[[#This Row],[SERIE2]]&amp;"-"&amp;DATA[[#This Row],[NUMERO]]</f>
        <v>FF01-143</v>
      </c>
      <c r="AU667" s="28">
        <f>DATA[[#This Row],[TOTAL]]*DATA[[#This Row],[T.C.]]</f>
        <v>487.93</v>
      </c>
      <c r="AV667" s="6">
        <f>DATA[[#This Row],[FECHA DE VAL.]]</f>
        <v>45803</v>
      </c>
      <c r="AW667" s="6">
        <f>DATA[[#This Row],[FECHA DE EMISION]]</f>
        <v>45845</v>
      </c>
      <c r="AX667" s="6">
        <f>DATA[[#This Row],[F1]]</f>
        <v>0</v>
      </c>
      <c r="AY667" s="20">
        <f>IF(AV667-DATA[[#This Row],[fecha_fs]]&lt;0,0,AV667-DATA[[#This Row],[fecha_fs]])</f>
        <v>10</v>
      </c>
      <c r="AZ667" s="20">
        <f t="shared" si="70"/>
        <v>42</v>
      </c>
      <c r="BA667" s="20">
        <f t="shared" si="71"/>
        <v>0</v>
      </c>
      <c r="BB667" s="195">
        <f>IFERROR(SUM(DATA[[#This Row],[fs_val_ttf]:[fact_pago_ttf]]),0)</f>
        <v>52</v>
      </c>
      <c r="BC667" s="185">
        <v>45821</v>
      </c>
      <c r="BD667" s="185">
        <v>45828</v>
      </c>
      <c r="BE667" s="185">
        <v>45831</v>
      </c>
      <c r="BF667" s="185">
        <v>45832</v>
      </c>
      <c r="BG667" s="20">
        <f>IFERROR(IF(BC667-DATA[[#This Row],[fecha_fs]]&lt;0,0,BC667-DATA[[#This Row],[fecha_fs]]),0)</f>
        <v>28</v>
      </c>
      <c r="BH667" s="20">
        <f t="shared" si="72"/>
        <v>7</v>
      </c>
      <c r="BI667" s="20">
        <f t="shared" si="73"/>
        <v>3</v>
      </c>
      <c r="BJ667" s="20">
        <f t="shared" si="74"/>
        <v>1</v>
      </c>
      <c r="BK667" s="218">
        <f>IFERROR(SUM(DATA[[#This Row],[fs_fd_ttd]:[fend_fenf_ttd]]),0)</f>
        <v>39</v>
      </c>
      <c r="BL667" s="20" t="str">
        <f>IF(DATA[[#This Row],[fecha_fs]]&gt;0,TEXT(DATA[[#This Row],[fecha_fs]],"YYYY"),0)</f>
        <v>2025</v>
      </c>
      <c r="BM667" s="221" t="b">
        <v>0</v>
      </c>
      <c r="BN667" s="278">
        <f>COUNTIF(DATA[[#This Row],[tiempo_td]], "&lt;=15")</f>
        <v>0</v>
      </c>
      <c r="BO667" s="222"/>
    </row>
    <row r="668" spans="1:67" ht="30.6" customHeight="1" x14ac:dyDescent="0.25">
      <c r="A668" s="4">
        <v>20141637941</v>
      </c>
      <c r="B668" s="5" t="s">
        <v>79</v>
      </c>
      <c r="C668" s="52" t="s">
        <v>18</v>
      </c>
      <c r="D668" s="4" t="s">
        <v>120</v>
      </c>
      <c r="E668" s="5" t="s">
        <v>3</v>
      </c>
      <c r="F668" s="24">
        <v>45793</v>
      </c>
      <c r="G668" s="7" t="s">
        <v>113</v>
      </c>
      <c r="H668" s="25">
        <f t="shared" si="69"/>
        <v>1</v>
      </c>
      <c r="I668" s="67">
        <v>4517</v>
      </c>
      <c r="J668" s="8" t="s">
        <v>115</v>
      </c>
      <c r="K668" s="9" t="s">
        <v>121</v>
      </c>
      <c r="L668" s="10" t="s">
        <v>117</v>
      </c>
      <c r="M668" s="11">
        <v>1370</v>
      </c>
      <c r="N668" s="12" t="s">
        <v>125</v>
      </c>
      <c r="O668" s="6">
        <v>45800</v>
      </c>
      <c r="P668" s="68">
        <v>3444</v>
      </c>
      <c r="Q668" s="14" t="s">
        <v>85</v>
      </c>
      <c r="R668" s="15">
        <f>70+(DATA[[#This Row],[cantidad_fs]]-1000)*0.1</f>
        <v>107</v>
      </c>
      <c r="S668" s="15">
        <v>517</v>
      </c>
      <c r="T668" s="15">
        <f>DATA[[#This Row],[C. DF]]+DATA[[#This Row],[C.OPE.]]</f>
        <v>624</v>
      </c>
      <c r="U668" s="15">
        <f>DATA[[#This Row],[SUB TOTAL]]*0.18</f>
        <v>112.32</v>
      </c>
      <c r="V668" s="15">
        <f>IFERROR(ROUND(DATA[[#This Row],[SUB TOTAL]]+DATA[[#This Row],[IGV]],2),0)</f>
        <v>736.32</v>
      </c>
      <c r="W668" s="16" t="str">
        <f>IF(DATA[[#This Row],[VALORIZACIÓN ]]="-","NO CORRESPONDE",IF(OR(A668=20558226979,A668=10470707866,A668=20111157058,A668=20100226902),"NO CORRESPONDE",IF(J668="Emitida",IF(P668&gt;0,"EMITIDA","PENDIENTE"),"NO CORRESPONDE")))</f>
        <v>EMITIDA</v>
      </c>
      <c r="X668" s="29"/>
      <c r="Y668" s="17" t="s">
        <v>118</v>
      </c>
      <c r="Z668" s="30">
        <v>45793</v>
      </c>
      <c r="AA668" s="10" t="s">
        <v>150</v>
      </c>
      <c r="AB668" s="19">
        <v>79</v>
      </c>
      <c r="AC668" s="20">
        <v>30</v>
      </c>
      <c r="AD668" s="18">
        <f>DATA[[#This Row],[FECHA DE EMISION]]+DATA[[#This Row],[CONDICION DE PAGO]]</f>
        <v>45823</v>
      </c>
      <c r="AE668" s="23">
        <f>IF(DATA[[#This Row],[MONEDA]]="USD",VLOOKUP(DATA[[#This Row],[COMBINADA]],#REF!,11,0),1)</f>
        <v>1</v>
      </c>
      <c r="AF668" s="39" t="str">
        <f>IF(DATA[[#This Row],[SERIE2]]="-","NO CORRESPONDE",IF(W668="NO CORRESPONDE","NO CORRESPONDE",IF(Z668&gt;0,"FACTURADO","PENDIENTE")))</f>
        <v>FACTURADO</v>
      </c>
      <c r="AG668" s="27">
        <f>IFERROR(VLOOKUP(DATA[[#This Row],[COMBINADA]],#REF!,6,0),0)</f>
        <v>0</v>
      </c>
      <c r="AH668" s="125">
        <f>IFERROR(VLOOKUP(DATA[[#This Row],[COMBINADA]],#REF!,9,0),0)/COUNTIFS(DATA[COMBINADA],DATA[[#This Row],[COMBINADA]])</f>
        <v>0</v>
      </c>
      <c r="AI668" s="27">
        <f>IFERROR(VLOOKUP(DATA[[#This Row],[COMBINADA]],#REF!,6,0),0)</f>
        <v>0</v>
      </c>
      <c r="AJ668" s="125">
        <f>IFERROR(VLOOKUP(DATA[[#This Row],[COMBINADA]],#REF!,9,0),0)/COUNTIFS(DATA[COMBINADA],DATA[[#This Row],[COMBINADA]])</f>
        <v>0</v>
      </c>
      <c r="AK668" s="27">
        <f>IFERROR(VLOOKUP(DATA[[#This Row],[COMBINADA]],#REF!,6,0),0)</f>
        <v>0</v>
      </c>
      <c r="AL668" s="125">
        <f>IFERROR(VLOOKUP(DATA[[#This Row],[COMBINADA]],#REF!,9,0),0)/COUNTIFS(DATA[COMBINADA],DATA[[#This Row],[COMBINADA]])</f>
        <v>0</v>
      </c>
      <c r="AM668" s="27">
        <f>IFERROR(VLOOKUP(DATA[[#This Row],[COMBINADA]],#REF!,6,0),0)</f>
        <v>0</v>
      </c>
      <c r="AN668" s="125">
        <f>IFERROR(VLOOKUP(DATA[[#This Row],[COMBINADA]],#REF!,9,0),0)/COUNTIFS(DATA[COMBINADA],DATA[[#This Row],[COMBINADA]])</f>
        <v>0</v>
      </c>
      <c r="AO668" s="27">
        <f>IFERROR(VLOOKUP(DATA[[#This Row],[COMBINADA]],#REF!,6,0),0)</f>
        <v>0</v>
      </c>
      <c r="AP668" s="125">
        <f>IFERROR(VLOOKUP(DATA[[#This Row],[COMBINADA]],#REF!,9,0),0)/COUNTIFS(DATA[COMBINADA],DATA[[#This Row],[COMBINADA]])</f>
        <v>0</v>
      </c>
      <c r="AQ66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716.65333333333331</v>
      </c>
      <c r="AR668" s="26" t="str">
        <f>IFERROR(IF(DATA[[#This Row],[estado_fact]]="FACTURADO",VLOOKUP(DATA[[#This Row],[SERIE2]]&amp;"-"&amp;DATA[[#This Row],[NUMERO]],#REF!,34,0),"NO CORRESPONDE"),"NO CORRESPONDE")</f>
        <v>NO CORRESPONDE</v>
      </c>
      <c r="AS668" s="22" t="str">
        <f>IF(DATA[[#This Row],[fecha_fs]]&gt;0,TEXT(DATA[[#This Row],[fecha_fs]],"Mmmm"),0)</f>
        <v>Mayo</v>
      </c>
      <c r="AT668" s="22" t="str">
        <f>DATA[[#This Row],[SERIE2]]&amp;"-"&amp;DATA[[#This Row],[NUMERO]]</f>
        <v>FF01-79</v>
      </c>
      <c r="AU668" s="28">
        <f>DATA[[#This Row],[TOTAL]]*DATA[[#This Row],[T.C.]]</f>
        <v>736.32</v>
      </c>
      <c r="AV668" s="6">
        <f>DATA[[#This Row],[FECHA DE VAL.]]</f>
        <v>45800</v>
      </c>
      <c r="AW668" s="6">
        <f>DATA[[#This Row],[FECHA DE EMISION]]</f>
        <v>45793</v>
      </c>
      <c r="AX668" s="6">
        <f>DATA[[#This Row],[F1]]</f>
        <v>0</v>
      </c>
      <c r="AY668" s="20">
        <f>IF(AV668-DATA[[#This Row],[fecha_fs]]&lt;0,0,AV668-DATA[[#This Row],[fecha_fs]])</f>
        <v>7</v>
      </c>
      <c r="AZ668" s="20">
        <f t="shared" si="70"/>
        <v>0</v>
      </c>
      <c r="BA668" s="20">
        <f t="shared" si="71"/>
        <v>0</v>
      </c>
      <c r="BB668" s="195">
        <f>IFERROR(SUM(DATA[[#This Row],[fs_val_ttf]:[fact_pago_ttf]]),0)</f>
        <v>7</v>
      </c>
      <c r="BC668" s="185">
        <v>45793</v>
      </c>
      <c r="BD668" s="185">
        <v>45793</v>
      </c>
      <c r="BE668" s="185">
        <v>45793</v>
      </c>
      <c r="BF668" s="185">
        <v>45793</v>
      </c>
      <c r="BG668" s="20">
        <f>IFERROR(IF(BC668-DATA[[#This Row],[fecha_fs]]&lt;0,0,BC668-DATA[[#This Row],[fecha_fs]]),0)</f>
        <v>0</v>
      </c>
      <c r="BH668" s="20">
        <f t="shared" si="72"/>
        <v>0</v>
      </c>
      <c r="BI668" s="20">
        <f t="shared" si="73"/>
        <v>0</v>
      </c>
      <c r="BJ668" s="20">
        <f t="shared" si="74"/>
        <v>0</v>
      </c>
      <c r="BK668" s="218">
        <f>IFERROR(SUM(DATA[[#This Row],[fs_fd_ttd]:[fend_fenf_ttd]]),0)</f>
        <v>0</v>
      </c>
      <c r="BL668" s="20" t="str">
        <f>IF(DATA[[#This Row],[fecha_fs]]&gt;0,TEXT(DATA[[#This Row],[fecha_fs]],"YYYY"),0)</f>
        <v>2025</v>
      </c>
      <c r="BM668" s="221" t="b">
        <v>1</v>
      </c>
      <c r="BN668" s="278">
        <f>COUNTIF(DATA[[#This Row],[tiempo_td]], "&lt;=15")</f>
        <v>1</v>
      </c>
      <c r="BO668" s="222"/>
    </row>
    <row r="669" spans="1:67" ht="30.6" customHeight="1" x14ac:dyDescent="0.25">
      <c r="A669" s="4">
        <v>20100192064</v>
      </c>
      <c r="B669" s="5" t="s">
        <v>60</v>
      </c>
      <c r="C669" s="52" t="s">
        <v>43</v>
      </c>
      <c r="D669" s="4" t="s">
        <v>112</v>
      </c>
      <c r="E669" s="5" t="s">
        <v>1</v>
      </c>
      <c r="F669" s="24">
        <v>45793</v>
      </c>
      <c r="G669" s="7" t="s">
        <v>113</v>
      </c>
      <c r="H669" s="25">
        <f t="shared" si="69"/>
        <v>1</v>
      </c>
      <c r="I669" s="67">
        <v>4518</v>
      </c>
      <c r="J669" s="8" t="s">
        <v>115</v>
      </c>
      <c r="K669" s="9" t="s">
        <v>116</v>
      </c>
      <c r="L669" s="10" t="s">
        <v>117</v>
      </c>
      <c r="M669" s="11">
        <v>1440</v>
      </c>
      <c r="N669" s="12" t="s">
        <v>125</v>
      </c>
      <c r="O669" s="6">
        <v>45803</v>
      </c>
      <c r="P669" s="71">
        <v>3461</v>
      </c>
      <c r="Q669" s="14" t="s">
        <v>123</v>
      </c>
      <c r="R669" s="15">
        <f>(DATA[[#This Row],[cantidad_fs]]/1000)*(143+175.34)</f>
        <v>458.40960000000001</v>
      </c>
      <c r="S669" s="56">
        <v>137</v>
      </c>
      <c r="T669" s="15">
        <f>DATA[[#This Row],[C. DF]]+DATA[[#This Row],[C.OPE.]]</f>
        <v>595.40959999999995</v>
      </c>
      <c r="U669" s="15">
        <f>DATA[[#This Row],[SUB TOTAL]]*0.18</f>
        <v>107.17372799999998</v>
      </c>
      <c r="V669" s="15">
        <f>IFERROR(ROUND(DATA[[#This Row],[SUB TOTAL]]+DATA[[#This Row],[IGV]],2),0)</f>
        <v>702.58</v>
      </c>
      <c r="W669" s="16" t="str">
        <f>IF(DATA[[#This Row],[VALORIZACIÓN ]]="-","NO CORRESPONDE",IF(OR(A669=20558226979,A669=10470707866,A669=20111157058,A669=20100226902),"NO CORRESPONDE",IF(J669="Emitida",IF(P669&gt;0,"EMITIDA","PENDIENTE"),"NO CORRESPONDE")))</f>
        <v>EMITIDA</v>
      </c>
      <c r="X669" s="29"/>
      <c r="Y669" s="17" t="s">
        <v>118</v>
      </c>
      <c r="Z669" s="30">
        <v>45804</v>
      </c>
      <c r="AA669" s="10" t="s">
        <v>150</v>
      </c>
      <c r="AB669" s="19">
        <v>97</v>
      </c>
      <c r="AC669" s="20">
        <v>30</v>
      </c>
      <c r="AD669" s="18">
        <f>DATA[[#This Row],[FECHA DE EMISION]]+DATA[[#This Row],[CONDICION DE PAGO]]</f>
        <v>45834</v>
      </c>
      <c r="AE669" s="23" t="e">
        <f>IF(DATA[[#This Row],[MONEDA]]="USD",VLOOKUP(DATA[[#This Row],[COMBINADA]],#REF!,11,0),1)</f>
        <v>#REF!</v>
      </c>
      <c r="AF669" s="39" t="str">
        <f>IF(DATA[[#This Row],[SERIE2]]="-","NO CORRESPONDE",IF(W669="NO CORRESPONDE","NO CORRESPONDE",IF(Z669&gt;0,"FACTURADO","PENDIENTE")))</f>
        <v>FACTURADO</v>
      </c>
      <c r="AG669" s="27">
        <f>IFERROR(VLOOKUP(DATA[[#This Row],[COMBINADA]],#REF!,6,0),0)</f>
        <v>0</v>
      </c>
      <c r="AH669" s="125">
        <f>IFERROR(VLOOKUP(DATA[[#This Row],[COMBINADA]],#REF!,9,0),0)/COUNTIFS(DATA[COMBINADA],DATA[[#This Row],[COMBINADA]])</f>
        <v>0</v>
      </c>
      <c r="AI669" s="27">
        <f>IFERROR(VLOOKUP(DATA[[#This Row],[COMBINADA]],#REF!,6,0),0)</f>
        <v>0</v>
      </c>
      <c r="AJ669" s="125">
        <f>IFERROR(VLOOKUP(DATA[[#This Row],[COMBINADA]],#REF!,9,0),0)/COUNTIFS(DATA[COMBINADA],DATA[[#This Row],[COMBINADA]])</f>
        <v>0</v>
      </c>
      <c r="AK669" s="27">
        <f>IFERROR(VLOOKUP(DATA[[#This Row],[COMBINADA]],#REF!,6,0),0)</f>
        <v>0</v>
      </c>
      <c r="AL669" s="125">
        <f>IFERROR(VLOOKUP(DATA[[#This Row],[COMBINADA]],#REF!,9,0),0)/COUNTIFS(DATA[COMBINADA],DATA[[#This Row],[COMBINADA]])</f>
        <v>0</v>
      </c>
      <c r="AM669" s="27">
        <f>IFERROR(VLOOKUP(DATA[[#This Row],[COMBINADA]],#REF!,6,0),0)</f>
        <v>0</v>
      </c>
      <c r="AN669" s="125">
        <f>IFERROR(VLOOKUP(DATA[[#This Row],[COMBINADA]],#REF!,9,0),0)/COUNTIFS(DATA[COMBINADA],DATA[[#This Row],[COMBINADA]])</f>
        <v>0</v>
      </c>
      <c r="AO669" s="27">
        <f>IFERROR(VLOOKUP(DATA[[#This Row],[COMBINADA]],#REF!,6,0),0)</f>
        <v>0</v>
      </c>
      <c r="AP669" s="125">
        <f>IFERROR(VLOOKUP(DATA[[#This Row],[COMBINADA]],#REF!,9,0),0)/COUNTIFS(DATA[COMBINADA],DATA[[#This Row],[COMBINADA]])</f>
        <v>0</v>
      </c>
      <c r="AQ66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685.70466666666675</v>
      </c>
      <c r="AR669" s="26" t="str">
        <f>IFERROR(IF(DATA[[#This Row],[estado_fact]]="FACTURADO",VLOOKUP(DATA[[#This Row],[SERIE2]]&amp;"-"&amp;DATA[[#This Row],[NUMERO]],#REF!,34,0),"NO CORRESPONDE"),"NO CORRESPONDE")</f>
        <v>NO CORRESPONDE</v>
      </c>
      <c r="AS669" s="22" t="str">
        <f>IF(DATA[[#This Row],[fecha_fs]]&gt;0,TEXT(DATA[[#This Row],[fecha_fs]],"Mmmm"),0)</f>
        <v>Mayo</v>
      </c>
      <c r="AT669" s="22" t="str">
        <f>DATA[[#This Row],[SERIE2]]&amp;"-"&amp;DATA[[#This Row],[NUMERO]]</f>
        <v>FF01-97</v>
      </c>
      <c r="AU669" s="28" t="e">
        <f>DATA[[#This Row],[TOTAL]]*DATA[[#This Row],[T.C.]]</f>
        <v>#REF!</v>
      </c>
      <c r="AV669" s="6">
        <f>DATA[[#This Row],[FECHA DE VAL.]]</f>
        <v>45803</v>
      </c>
      <c r="AW669" s="6">
        <f>DATA[[#This Row],[FECHA DE EMISION]]</f>
        <v>45804</v>
      </c>
      <c r="AX669" s="6">
        <f>DATA[[#This Row],[F1]]</f>
        <v>0</v>
      </c>
      <c r="AY669" s="20">
        <f>IF(AV669-DATA[[#This Row],[fecha_fs]]&lt;0,0,AV669-DATA[[#This Row],[fecha_fs]])</f>
        <v>10</v>
      </c>
      <c r="AZ669" s="20">
        <f t="shared" si="70"/>
        <v>1</v>
      </c>
      <c r="BA669" s="20">
        <f t="shared" si="71"/>
        <v>0</v>
      </c>
      <c r="BB669" s="195">
        <f>IFERROR(SUM(DATA[[#This Row],[fs_val_ttf]:[fact_pago_ttf]]),0)</f>
        <v>11</v>
      </c>
      <c r="BC669" s="185">
        <v>45806</v>
      </c>
      <c r="BD669" s="185">
        <v>45812</v>
      </c>
      <c r="BE669" s="185">
        <v>45812</v>
      </c>
      <c r="BF669" s="185">
        <v>45863</v>
      </c>
      <c r="BG669" s="20">
        <f>IFERROR(IF(BC669-DATA[[#This Row],[fecha_fs]]&lt;0,0,BC669-DATA[[#This Row],[fecha_fs]]),0)</f>
        <v>13</v>
      </c>
      <c r="BH669" s="20">
        <f t="shared" si="72"/>
        <v>6</v>
      </c>
      <c r="BI669" s="20">
        <f t="shared" si="73"/>
        <v>0</v>
      </c>
      <c r="BJ669" s="20">
        <f t="shared" si="74"/>
        <v>51</v>
      </c>
      <c r="BK669" s="218">
        <f>IFERROR(SUM(DATA[[#This Row],[fs_fd_ttd]:[fend_fenf_ttd]]),0)</f>
        <v>70</v>
      </c>
      <c r="BL669" s="20" t="str">
        <f>IF(DATA[[#This Row],[fecha_fs]]&gt;0,TEXT(DATA[[#This Row],[fecha_fs]],"YYYY"),0)</f>
        <v>2025</v>
      </c>
      <c r="BM669" s="221" t="b">
        <v>1</v>
      </c>
      <c r="BN669" s="278">
        <f>COUNTIF(DATA[[#This Row],[tiempo_td]], "&lt;=15")</f>
        <v>0</v>
      </c>
      <c r="BO669" s="222"/>
    </row>
    <row r="670" spans="1:67" ht="30.6" customHeight="1" x14ac:dyDescent="0.25">
      <c r="A670" s="4">
        <v>20419158462</v>
      </c>
      <c r="B670" s="5" t="s">
        <v>2</v>
      </c>
      <c r="C670" s="52" t="s">
        <v>147</v>
      </c>
      <c r="D670" s="4" t="s">
        <v>112</v>
      </c>
      <c r="E670" s="5" t="s">
        <v>1</v>
      </c>
      <c r="F670" s="24">
        <v>45793</v>
      </c>
      <c r="G670" s="7" t="s">
        <v>113</v>
      </c>
      <c r="H670" s="25">
        <f t="shared" si="69"/>
        <v>1</v>
      </c>
      <c r="I670" s="67">
        <v>4519</v>
      </c>
      <c r="J670" s="8" t="s">
        <v>115</v>
      </c>
      <c r="K670" s="9" t="s">
        <v>116</v>
      </c>
      <c r="L670" s="10" t="s">
        <v>117</v>
      </c>
      <c r="M670" s="11">
        <v>2990</v>
      </c>
      <c r="N670" s="12" t="s">
        <v>167</v>
      </c>
      <c r="O670" s="6">
        <v>45794</v>
      </c>
      <c r="P670" s="13">
        <v>3446</v>
      </c>
      <c r="Q670" s="14" t="s">
        <v>85</v>
      </c>
      <c r="R670" s="15">
        <f>DATA[[#This Row],[cantidad_fs]]*0.97</f>
        <v>2900.2999999999997</v>
      </c>
      <c r="S670" s="56">
        <v>845.2</v>
      </c>
      <c r="T670" s="15">
        <f>DATA[[#This Row],[C. DF]]+DATA[[#This Row],[C.OPE.]]</f>
        <v>3745.5</v>
      </c>
      <c r="U670" s="15">
        <f>DATA[[#This Row],[SUB TOTAL]]*0.18</f>
        <v>674.18999999999994</v>
      </c>
      <c r="V670" s="15">
        <f>IFERROR(ROUND(DATA[[#This Row],[SUB TOTAL]]+DATA[[#This Row],[IGV]],2),0)</f>
        <v>4419.6899999999996</v>
      </c>
      <c r="W670" s="16" t="str">
        <f>IF(DATA[[#This Row],[VALORIZACIÓN ]]="-","NO CORRESPONDE",IF(OR(A670=20558226979,A670=10470707866,A670=20111157058,A670=20100226902),"NO CORRESPONDE",IF(J670="Emitida",IF(P670&gt;0,"EMITIDA","PENDIENTE"),"NO CORRESPONDE")))</f>
        <v>EMITIDA</v>
      </c>
      <c r="X670" s="29" t="s">
        <v>231</v>
      </c>
      <c r="Y670" s="17" t="s">
        <v>118</v>
      </c>
      <c r="Z670" s="30">
        <v>45846</v>
      </c>
      <c r="AA670" s="10" t="s">
        <v>150</v>
      </c>
      <c r="AB670" s="19">
        <v>159</v>
      </c>
      <c r="AC670" s="20">
        <v>15</v>
      </c>
      <c r="AD670" s="18">
        <f>DATA[[#This Row],[FECHA DE EMISION]]+DATA[[#This Row],[CONDICION DE PAGO]]</f>
        <v>45861</v>
      </c>
      <c r="AE670" s="23">
        <f>IF(DATA[[#This Row],[MONEDA]]="USD",VLOOKUP(DATA[[#This Row],[COMBINADA]],#REF!,11,0),1)</f>
        <v>1</v>
      </c>
      <c r="AF670" s="39" t="str">
        <f>IF(DATA[[#This Row],[SERIE2]]="-","NO CORRESPONDE",IF(W670="NO CORRESPONDE","NO CORRESPONDE",IF(Z670&gt;0,"FACTURADO","PENDIENTE")))</f>
        <v>FACTURADO</v>
      </c>
      <c r="AG670" s="27">
        <f>IFERROR(VLOOKUP(DATA[[#This Row],[COMBINADA]],#REF!,6,0),0)</f>
        <v>0</v>
      </c>
      <c r="AH670" s="125">
        <f>IFERROR(VLOOKUP(DATA[[#This Row],[COMBINADA]],#REF!,9,0),0)/COUNTIFS(DATA[COMBINADA],DATA[[#This Row],[COMBINADA]])</f>
        <v>0</v>
      </c>
      <c r="AI670" s="27">
        <f>IFERROR(VLOOKUP(DATA[[#This Row],[COMBINADA]],#REF!,6,0),0)</f>
        <v>0</v>
      </c>
      <c r="AJ670" s="125">
        <f>IFERROR(VLOOKUP(DATA[[#This Row],[COMBINADA]],#REF!,9,0),0)/COUNTIFS(DATA[COMBINADA],DATA[[#This Row],[COMBINADA]])</f>
        <v>0</v>
      </c>
      <c r="AK670" s="27">
        <f>IFERROR(VLOOKUP(DATA[[#This Row],[COMBINADA]],#REF!,6,0),0)</f>
        <v>0</v>
      </c>
      <c r="AL670" s="125">
        <f>IFERROR(VLOOKUP(DATA[[#This Row],[COMBINADA]],#REF!,9,0),0)/COUNTIFS(DATA[COMBINADA],DATA[[#This Row],[COMBINADA]])</f>
        <v>0</v>
      </c>
      <c r="AM670" s="27">
        <f>IFERROR(VLOOKUP(DATA[[#This Row],[COMBINADA]],#REF!,6,0),0)</f>
        <v>0</v>
      </c>
      <c r="AN670" s="125">
        <f>IFERROR(VLOOKUP(DATA[[#This Row],[COMBINADA]],#REF!,9,0),0)/COUNTIFS(DATA[COMBINADA],DATA[[#This Row],[COMBINADA]])</f>
        <v>0</v>
      </c>
      <c r="AO670" s="27">
        <f>IFERROR(VLOOKUP(DATA[[#This Row],[COMBINADA]],#REF!,6,0),0)</f>
        <v>0</v>
      </c>
      <c r="AP670" s="125">
        <f>IFERROR(VLOOKUP(DATA[[#This Row],[COMBINADA]],#REF!,9,0),0)/COUNTIFS(DATA[COMBINADA],DATA[[#This Row],[COMBINADA]])</f>
        <v>0</v>
      </c>
      <c r="AQ67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4419.6899999999996</v>
      </c>
      <c r="AR670" s="26" t="str">
        <f>IFERROR(IF(DATA[[#This Row],[estado_fact]]="FACTURADO",VLOOKUP(DATA[[#This Row],[SERIE2]]&amp;"-"&amp;DATA[[#This Row],[NUMERO]],#REF!,34,0),"NO CORRESPONDE"),"NO CORRESPONDE")</f>
        <v>NO CORRESPONDE</v>
      </c>
      <c r="AS670" s="22" t="str">
        <f>IF(DATA[[#This Row],[fecha_fs]]&gt;0,TEXT(DATA[[#This Row],[fecha_fs]],"Mmmm"),0)</f>
        <v>Mayo</v>
      </c>
      <c r="AT670" s="22" t="str">
        <f>DATA[[#This Row],[SERIE2]]&amp;"-"&amp;DATA[[#This Row],[NUMERO]]</f>
        <v>FF01-159</v>
      </c>
      <c r="AU670" s="28">
        <f>DATA[[#This Row],[TOTAL]]*DATA[[#This Row],[T.C.]]</f>
        <v>4419.6899999999996</v>
      </c>
      <c r="AV670" s="6">
        <f>DATA[[#This Row],[FECHA DE VAL.]]</f>
        <v>45794</v>
      </c>
      <c r="AW670" s="6">
        <f>DATA[[#This Row],[FECHA DE EMISION]]</f>
        <v>45846</v>
      </c>
      <c r="AX670" s="6">
        <f>DATA[[#This Row],[F1]]</f>
        <v>0</v>
      </c>
      <c r="AY670" s="20">
        <f>IF(AV670-DATA[[#This Row],[fecha_fs]]&lt;0,0,AV670-DATA[[#This Row],[fecha_fs]])</f>
        <v>1</v>
      </c>
      <c r="AZ670" s="20">
        <f t="shared" si="70"/>
        <v>52</v>
      </c>
      <c r="BA670" s="20">
        <f t="shared" si="71"/>
        <v>0</v>
      </c>
      <c r="BB670" s="195">
        <f>IFERROR(SUM(DATA[[#This Row],[fs_val_ttf]:[fact_pago_ttf]]),0)</f>
        <v>53</v>
      </c>
      <c r="BC670" s="185">
        <v>45806</v>
      </c>
      <c r="BD670" s="185">
        <v>45807</v>
      </c>
      <c r="BE670" s="185">
        <v>45810</v>
      </c>
      <c r="BF670" s="187">
        <v>45860</v>
      </c>
      <c r="BG670" s="20">
        <f>IFERROR(IF(BC670-DATA[[#This Row],[fecha_fs]]&lt;0,0,BC670-DATA[[#This Row],[fecha_fs]]),0)</f>
        <v>13</v>
      </c>
      <c r="BH670" s="20">
        <f t="shared" si="72"/>
        <v>1</v>
      </c>
      <c r="BI670" s="20">
        <f t="shared" si="73"/>
        <v>3</v>
      </c>
      <c r="BJ670" s="20">
        <f t="shared" si="74"/>
        <v>50</v>
      </c>
      <c r="BK670" s="218">
        <f>IFERROR(SUM(DATA[[#This Row],[fs_fd_ttd]:[fend_fenf_ttd]]),0)</f>
        <v>67</v>
      </c>
      <c r="BL670" s="20" t="str">
        <f>IF(DATA[[#This Row],[fecha_fs]]&gt;0,TEXT(DATA[[#This Row],[fecha_fs]],"YYYY"),0)</f>
        <v>2025</v>
      </c>
      <c r="BM670" s="221" t="b">
        <v>1</v>
      </c>
      <c r="BN670" s="278">
        <f>COUNTIF(DATA[[#This Row],[tiempo_td]], "&lt;=15")</f>
        <v>0</v>
      </c>
      <c r="BO670" s="222"/>
    </row>
    <row r="671" spans="1:67" ht="30.6" customHeight="1" x14ac:dyDescent="0.25">
      <c r="A671" s="4">
        <v>20419158462</v>
      </c>
      <c r="B671" s="5" t="s">
        <v>2</v>
      </c>
      <c r="C671" s="52" t="s">
        <v>147</v>
      </c>
      <c r="D671" s="4" t="s">
        <v>120</v>
      </c>
      <c r="E671" s="5" t="s">
        <v>3</v>
      </c>
      <c r="F671" s="24">
        <v>45793</v>
      </c>
      <c r="G671" s="7" t="s">
        <v>113</v>
      </c>
      <c r="H671" s="25">
        <f t="shared" si="69"/>
        <v>1</v>
      </c>
      <c r="I671" s="67">
        <v>4520</v>
      </c>
      <c r="J671" s="8" t="s">
        <v>115</v>
      </c>
      <c r="K671" s="9" t="s">
        <v>121</v>
      </c>
      <c r="L671" s="10" t="s">
        <v>117</v>
      </c>
      <c r="M671" s="11">
        <v>4060</v>
      </c>
      <c r="N671" s="12" t="s">
        <v>129</v>
      </c>
      <c r="O671" s="6">
        <v>45794</v>
      </c>
      <c r="P671" s="13">
        <v>3447</v>
      </c>
      <c r="Q671" s="14" t="s">
        <v>85</v>
      </c>
      <c r="R671" s="15">
        <f>DATA[[#This Row],[cantidad_fs]]*0.67</f>
        <v>2720.2000000000003</v>
      </c>
      <c r="S671" s="56">
        <v>839.7</v>
      </c>
      <c r="T671" s="15">
        <f>DATA[[#This Row],[C. DF]]+DATA[[#This Row],[C.OPE.]]</f>
        <v>3559.9000000000005</v>
      </c>
      <c r="U671" s="15">
        <f>DATA[[#This Row],[SUB TOTAL]]*0.18</f>
        <v>640.78200000000004</v>
      </c>
      <c r="V671" s="15">
        <f>IFERROR(ROUND(DATA[[#This Row],[SUB TOTAL]]+DATA[[#This Row],[IGV]],2),0)</f>
        <v>4200.68</v>
      </c>
      <c r="W671" s="16" t="str">
        <f>IF(DATA[[#This Row],[VALORIZACIÓN ]]="-","NO CORRESPONDE",IF(OR(A671=20558226979,A671=10470707866,A671=20111157058,A671=20100226902),"NO CORRESPONDE",IF(J671="Emitida",IF(P671&gt;0,"EMITIDA","PENDIENTE"),"NO CORRESPONDE")))</f>
        <v>EMITIDA</v>
      </c>
      <c r="X671" s="29" t="s">
        <v>231</v>
      </c>
      <c r="Y671" s="17" t="s">
        <v>118</v>
      </c>
      <c r="Z671" s="30">
        <v>45846</v>
      </c>
      <c r="AA671" s="10" t="s">
        <v>150</v>
      </c>
      <c r="AB671" s="19">
        <v>160</v>
      </c>
      <c r="AC671" s="20">
        <v>15</v>
      </c>
      <c r="AD671" s="18">
        <f>DATA[[#This Row],[FECHA DE EMISION]]+DATA[[#This Row],[CONDICION DE PAGO]]</f>
        <v>45861</v>
      </c>
      <c r="AE671" s="23">
        <f>IF(DATA[[#This Row],[MONEDA]]="USD",VLOOKUP(DATA[[#This Row],[COMBINADA]],#REF!,11,0),1)</f>
        <v>1</v>
      </c>
      <c r="AF671" s="39" t="str">
        <f>IF(DATA[[#This Row],[SERIE2]]="-","NO CORRESPONDE",IF(W671="NO CORRESPONDE","NO CORRESPONDE",IF(Z671&gt;0,"FACTURADO","PENDIENTE")))</f>
        <v>FACTURADO</v>
      </c>
      <c r="AG671" s="27">
        <f>IFERROR(VLOOKUP(DATA[[#This Row],[COMBINADA]],#REF!,6,0),0)</f>
        <v>0</v>
      </c>
      <c r="AH671" s="125">
        <f>IFERROR(VLOOKUP(DATA[[#This Row],[COMBINADA]],#REF!,9,0),0)/COUNTIFS(DATA[COMBINADA],DATA[[#This Row],[COMBINADA]])</f>
        <v>0</v>
      </c>
      <c r="AI671" s="27">
        <f>IFERROR(VLOOKUP(DATA[[#This Row],[COMBINADA]],#REF!,6,0),0)</f>
        <v>0</v>
      </c>
      <c r="AJ671" s="125">
        <f>IFERROR(VLOOKUP(DATA[[#This Row],[COMBINADA]],#REF!,9,0),0)/COUNTIFS(DATA[COMBINADA],DATA[[#This Row],[COMBINADA]])</f>
        <v>0</v>
      </c>
      <c r="AK671" s="27">
        <f>IFERROR(VLOOKUP(DATA[[#This Row],[COMBINADA]],#REF!,6,0),0)</f>
        <v>0</v>
      </c>
      <c r="AL671" s="125">
        <f>IFERROR(VLOOKUP(DATA[[#This Row],[COMBINADA]],#REF!,9,0),0)/COUNTIFS(DATA[COMBINADA],DATA[[#This Row],[COMBINADA]])</f>
        <v>0</v>
      </c>
      <c r="AM671" s="27">
        <f>IFERROR(VLOOKUP(DATA[[#This Row],[COMBINADA]],#REF!,6,0),0)</f>
        <v>0</v>
      </c>
      <c r="AN671" s="125">
        <f>IFERROR(VLOOKUP(DATA[[#This Row],[COMBINADA]],#REF!,9,0),0)/COUNTIFS(DATA[COMBINADA],DATA[[#This Row],[COMBINADA]])</f>
        <v>0</v>
      </c>
      <c r="AO671" s="27">
        <f>IFERROR(VLOOKUP(DATA[[#This Row],[COMBINADA]],#REF!,6,0),0)</f>
        <v>0</v>
      </c>
      <c r="AP671" s="125">
        <f>IFERROR(VLOOKUP(DATA[[#This Row],[COMBINADA]],#REF!,9,0),0)/COUNTIFS(DATA[COMBINADA],DATA[[#This Row],[COMBINADA]])</f>
        <v>0</v>
      </c>
      <c r="AQ67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4200.68</v>
      </c>
      <c r="AR671" s="26" t="str">
        <f>IFERROR(IF(DATA[[#This Row],[estado_fact]]="FACTURADO",VLOOKUP(DATA[[#This Row],[SERIE2]]&amp;"-"&amp;DATA[[#This Row],[NUMERO]],#REF!,34,0),"NO CORRESPONDE"),"NO CORRESPONDE")</f>
        <v>NO CORRESPONDE</v>
      </c>
      <c r="AS671" s="22" t="str">
        <f>IF(DATA[[#This Row],[fecha_fs]]&gt;0,TEXT(DATA[[#This Row],[fecha_fs]],"Mmmm"),0)</f>
        <v>Mayo</v>
      </c>
      <c r="AT671" s="22" t="str">
        <f>DATA[[#This Row],[SERIE2]]&amp;"-"&amp;DATA[[#This Row],[NUMERO]]</f>
        <v>FF01-160</v>
      </c>
      <c r="AU671" s="28">
        <f>DATA[[#This Row],[TOTAL]]*DATA[[#This Row],[T.C.]]</f>
        <v>4200.68</v>
      </c>
      <c r="AV671" s="6">
        <f>DATA[[#This Row],[FECHA DE VAL.]]</f>
        <v>45794</v>
      </c>
      <c r="AW671" s="6">
        <f>DATA[[#This Row],[FECHA DE EMISION]]</f>
        <v>45846</v>
      </c>
      <c r="AX671" s="6">
        <f>DATA[[#This Row],[F1]]</f>
        <v>0</v>
      </c>
      <c r="AY671" s="20">
        <f>IF(AV671-DATA[[#This Row],[fecha_fs]]&lt;0,0,AV671-DATA[[#This Row],[fecha_fs]])</f>
        <v>1</v>
      </c>
      <c r="AZ671" s="20">
        <f t="shared" si="70"/>
        <v>52</v>
      </c>
      <c r="BA671" s="20">
        <f t="shared" si="71"/>
        <v>0</v>
      </c>
      <c r="BB671" s="195">
        <f>IFERROR(SUM(DATA[[#This Row],[fs_val_ttf]:[fact_pago_ttf]]),0)</f>
        <v>53</v>
      </c>
      <c r="BC671" s="187">
        <v>45798</v>
      </c>
      <c r="BD671" s="187">
        <v>45804</v>
      </c>
      <c r="BE671" s="187">
        <v>45810</v>
      </c>
      <c r="BF671" s="187">
        <v>45860</v>
      </c>
      <c r="BG671" s="20">
        <f>IFERROR(IF(BC671-DATA[[#This Row],[fecha_fs]]&lt;0,0,BC671-DATA[[#This Row],[fecha_fs]]),0)</f>
        <v>5</v>
      </c>
      <c r="BH671" s="20">
        <f t="shared" si="72"/>
        <v>6</v>
      </c>
      <c r="BI671" s="20">
        <f t="shared" si="73"/>
        <v>6</v>
      </c>
      <c r="BJ671" s="20">
        <f t="shared" si="74"/>
        <v>50</v>
      </c>
      <c r="BK671" s="218">
        <f>IFERROR(SUM(DATA[[#This Row],[fs_fd_ttd]:[fend_fenf_ttd]]),0)</f>
        <v>67</v>
      </c>
      <c r="BL671" s="20" t="str">
        <f>IF(DATA[[#This Row],[fecha_fs]]&gt;0,TEXT(DATA[[#This Row],[fecha_fs]],"YYYY"),0)</f>
        <v>2025</v>
      </c>
      <c r="BM671" s="221" t="b">
        <v>1</v>
      </c>
      <c r="BN671" s="278">
        <f>COUNTIF(DATA[[#This Row],[tiempo_td]], "&lt;=15")</f>
        <v>0</v>
      </c>
      <c r="BO671" s="222"/>
    </row>
    <row r="672" spans="1:67" ht="30.6" customHeight="1" x14ac:dyDescent="0.25">
      <c r="A672" s="4">
        <v>20100192064</v>
      </c>
      <c r="B672" s="5" t="s">
        <v>60</v>
      </c>
      <c r="C672" s="52" t="s">
        <v>65</v>
      </c>
      <c r="D672" s="4" t="s">
        <v>120</v>
      </c>
      <c r="E672" s="5" t="s">
        <v>3</v>
      </c>
      <c r="F672" s="24">
        <v>45796</v>
      </c>
      <c r="G672" s="7" t="s">
        <v>142</v>
      </c>
      <c r="H672" s="25">
        <f t="shared" si="69"/>
        <v>2</v>
      </c>
      <c r="I672" s="67">
        <v>1090</v>
      </c>
      <c r="J672" s="8" t="s">
        <v>115</v>
      </c>
      <c r="K672" s="9" t="s">
        <v>121</v>
      </c>
      <c r="L672" s="10" t="s">
        <v>117</v>
      </c>
      <c r="M672" s="11">
        <v>580</v>
      </c>
      <c r="N672" s="12" t="s">
        <v>180</v>
      </c>
      <c r="O672" s="6">
        <v>45803</v>
      </c>
      <c r="P672" s="71">
        <v>3466</v>
      </c>
      <c r="Q672" s="14" t="s">
        <v>123</v>
      </c>
      <c r="R672" s="15">
        <f>(DATA[[#This Row],[cantidad_fs]]/1000)*(37+81.01)</f>
        <v>68.445799999999991</v>
      </c>
      <c r="S672" s="56">
        <v>103.6</v>
      </c>
      <c r="T672" s="15">
        <f>DATA[[#This Row],[C. DF]]+DATA[[#This Row],[C.OPE.]]</f>
        <v>172.04579999999999</v>
      </c>
      <c r="U672" s="15">
        <f>DATA[[#This Row],[SUB TOTAL]]*0.18</f>
        <v>30.968243999999995</v>
      </c>
      <c r="V672" s="15">
        <f>IFERROR(ROUND(DATA[[#This Row],[SUB TOTAL]]+DATA[[#This Row],[IGV]],2),0)</f>
        <v>203.01</v>
      </c>
      <c r="W672" s="16" t="str">
        <f>IF(DATA[[#This Row],[VALORIZACIÓN ]]="-","NO CORRESPONDE",IF(OR(A672=20558226979,A672=10470707866,A672=20111157058,A672=20100226902),"NO CORRESPONDE",IF(J672="Emitida",IF(P672&gt;0,"EMITIDA","PENDIENTE"),"NO CORRESPONDE")))</f>
        <v>EMITIDA</v>
      </c>
      <c r="X672" s="29"/>
      <c r="Y672" s="17" t="s">
        <v>118</v>
      </c>
      <c r="Z672" s="30">
        <v>45805</v>
      </c>
      <c r="AA672" s="10" t="s">
        <v>150</v>
      </c>
      <c r="AB672" s="19">
        <v>98</v>
      </c>
      <c r="AC672" s="20">
        <v>30</v>
      </c>
      <c r="AD672" s="18">
        <f>DATA[[#This Row],[FECHA DE EMISION]]+DATA[[#This Row],[CONDICION DE PAGO]]</f>
        <v>45835</v>
      </c>
      <c r="AE672" s="23" t="e">
        <f>IF(DATA[[#This Row],[MONEDA]]="USD",VLOOKUP(DATA[[#This Row],[COMBINADA]],#REF!,11,0),1)</f>
        <v>#REF!</v>
      </c>
      <c r="AF672" s="39" t="str">
        <f>IF(DATA[[#This Row],[SERIE2]]="-","NO CORRESPONDE",IF(W672="NO CORRESPONDE","NO CORRESPONDE",IF(Z672&gt;0,"FACTURADO","PENDIENTE")))</f>
        <v>FACTURADO</v>
      </c>
      <c r="AG672" s="27">
        <f>IFERROR(VLOOKUP(DATA[[#This Row],[COMBINADA]],#REF!,6,0),0)</f>
        <v>0</v>
      </c>
      <c r="AH672" s="125">
        <f>IFERROR(VLOOKUP(DATA[[#This Row],[COMBINADA]],#REF!,9,0),0)/COUNTIFS(DATA[COMBINADA],DATA[[#This Row],[COMBINADA]])</f>
        <v>0</v>
      </c>
      <c r="AI672" s="27">
        <f>IFERROR(VLOOKUP(DATA[[#This Row],[COMBINADA]],#REF!,6,0),0)</f>
        <v>0</v>
      </c>
      <c r="AJ672" s="125">
        <f>IFERROR(VLOOKUP(DATA[[#This Row],[COMBINADA]],#REF!,9,0),0)/COUNTIFS(DATA[COMBINADA],DATA[[#This Row],[COMBINADA]])</f>
        <v>0</v>
      </c>
      <c r="AK672" s="27">
        <f>IFERROR(VLOOKUP(DATA[[#This Row],[COMBINADA]],#REF!,6,0),0)</f>
        <v>0</v>
      </c>
      <c r="AL672" s="125">
        <f>IFERROR(VLOOKUP(DATA[[#This Row],[COMBINADA]],#REF!,9,0),0)/COUNTIFS(DATA[COMBINADA],DATA[[#This Row],[COMBINADA]])</f>
        <v>0</v>
      </c>
      <c r="AM672" s="27">
        <f>IFERROR(VLOOKUP(DATA[[#This Row],[COMBINADA]],#REF!,6,0),0)</f>
        <v>0</v>
      </c>
      <c r="AN672" s="125">
        <f>IFERROR(VLOOKUP(DATA[[#This Row],[COMBINADA]],#REF!,9,0),0)/COUNTIFS(DATA[COMBINADA],DATA[[#This Row],[COMBINADA]])</f>
        <v>0</v>
      </c>
      <c r="AO672" s="27">
        <f>IFERROR(VLOOKUP(DATA[[#This Row],[COMBINADA]],#REF!,6,0),0)</f>
        <v>0</v>
      </c>
      <c r="AP672" s="125">
        <f>IFERROR(VLOOKUP(DATA[[#This Row],[COMBINADA]],#REF!,9,0),0)/COUNTIFS(DATA[COMBINADA],DATA[[#This Row],[COMBINADA]])</f>
        <v>0</v>
      </c>
      <c r="AQ67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647.4955555555556</v>
      </c>
      <c r="AR672" s="26" t="str">
        <f>IFERROR(IF(DATA[[#This Row],[estado_fact]]="FACTURADO",VLOOKUP(DATA[[#This Row],[SERIE2]]&amp;"-"&amp;DATA[[#This Row],[NUMERO]],#REF!,34,0),"NO CORRESPONDE"),"NO CORRESPONDE")</f>
        <v>NO CORRESPONDE</v>
      </c>
      <c r="AS672" s="22" t="str">
        <f>IF(DATA[[#This Row],[fecha_fs]]&gt;0,TEXT(DATA[[#This Row],[fecha_fs]],"Mmmm"),0)</f>
        <v>Mayo</v>
      </c>
      <c r="AT672" s="22" t="str">
        <f>DATA[[#This Row],[SERIE2]]&amp;"-"&amp;DATA[[#This Row],[NUMERO]]</f>
        <v>FF01-98</v>
      </c>
      <c r="AU672" s="28" t="e">
        <f>DATA[[#This Row],[TOTAL]]*DATA[[#This Row],[T.C.]]</f>
        <v>#REF!</v>
      </c>
      <c r="AV672" s="6">
        <f>DATA[[#This Row],[FECHA DE VAL.]]</f>
        <v>45803</v>
      </c>
      <c r="AW672" s="6">
        <f>DATA[[#This Row],[FECHA DE EMISION]]</f>
        <v>45805</v>
      </c>
      <c r="AX672" s="6">
        <f>DATA[[#This Row],[F1]]</f>
        <v>0</v>
      </c>
      <c r="AY672" s="20">
        <f>IF(AV672-DATA[[#This Row],[fecha_fs]]&lt;0,0,AV672-DATA[[#This Row],[fecha_fs]])</f>
        <v>7</v>
      </c>
      <c r="AZ672" s="20">
        <f t="shared" si="70"/>
        <v>2</v>
      </c>
      <c r="BA672" s="20">
        <f t="shared" si="71"/>
        <v>0</v>
      </c>
      <c r="BB672" s="195">
        <f>IFERROR(SUM(DATA[[#This Row],[fs_val_ttf]:[fact_pago_ttf]]),0)</f>
        <v>9</v>
      </c>
      <c r="BC672" s="185">
        <v>45796</v>
      </c>
      <c r="BD672" s="185">
        <v>45804</v>
      </c>
      <c r="BE672" s="185">
        <v>45811</v>
      </c>
      <c r="BF672" s="185">
        <v>45846</v>
      </c>
      <c r="BG672" s="20">
        <f>IFERROR(IF(BC672-DATA[[#This Row],[fecha_fs]]&lt;0,0,BC672-DATA[[#This Row],[fecha_fs]]),0)</f>
        <v>0</v>
      </c>
      <c r="BH672" s="20">
        <f t="shared" si="72"/>
        <v>8</v>
      </c>
      <c r="BI672" s="20">
        <f t="shared" si="73"/>
        <v>7</v>
      </c>
      <c r="BJ672" s="20">
        <f t="shared" si="74"/>
        <v>35</v>
      </c>
      <c r="BK672" s="218">
        <f>IFERROR(SUM(DATA[[#This Row],[fs_fd_ttd]:[fend_fenf_ttd]]),0)</f>
        <v>50</v>
      </c>
      <c r="BL672" s="20" t="str">
        <f>IF(DATA[[#This Row],[fecha_fs]]&gt;0,TEXT(DATA[[#This Row],[fecha_fs]],"YYYY"),0)</f>
        <v>2025</v>
      </c>
      <c r="BM672" s="221" t="b">
        <v>1</v>
      </c>
      <c r="BN672" s="278">
        <f>COUNTIF(DATA[[#This Row],[tiempo_td]], "&lt;=15")</f>
        <v>0</v>
      </c>
      <c r="BO672" s="222"/>
    </row>
    <row r="673" spans="1:67" ht="30.6" customHeight="1" x14ac:dyDescent="0.25">
      <c r="A673" s="4">
        <v>20170040938</v>
      </c>
      <c r="B673" s="5" t="s">
        <v>274</v>
      </c>
      <c r="C673" s="52" t="s">
        <v>40</v>
      </c>
      <c r="D673" s="4" t="s">
        <v>120</v>
      </c>
      <c r="E673" s="5" t="s">
        <v>3</v>
      </c>
      <c r="F673" s="24">
        <v>45796</v>
      </c>
      <c r="G673" s="7" t="s">
        <v>113</v>
      </c>
      <c r="H673" s="25">
        <f t="shared" si="69"/>
        <v>1</v>
      </c>
      <c r="I673" s="67">
        <v>4521</v>
      </c>
      <c r="J673" s="8" t="s">
        <v>115</v>
      </c>
      <c r="K673" s="9" t="s">
        <v>121</v>
      </c>
      <c r="L673" s="10" t="s">
        <v>117</v>
      </c>
      <c r="M673" s="11">
        <v>15180</v>
      </c>
      <c r="N673" s="12" t="s">
        <v>135</v>
      </c>
      <c r="O673" s="6">
        <v>45797</v>
      </c>
      <c r="P673" s="71">
        <v>3448</v>
      </c>
      <c r="Q673" s="14" t="s">
        <v>85</v>
      </c>
      <c r="R673" s="15">
        <f>DATA[[#This Row],[cantidad_fs]]*0.18</f>
        <v>2732.4</v>
      </c>
      <c r="S673" s="56">
        <v>6969</v>
      </c>
      <c r="T673" s="15">
        <f>DATA[[#This Row],[C. DF]]+DATA[[#This Row],[C.OPE.]]</f>
        <v>9701.4</v>
      </c>
      <c r="U673" s="15">
        <f>DATA[[#This Row],[SUB TOTAL]]*0.18</f>
        <v>1746.252</v>
      </c>
      <c r="V673" s="15">
        <f>IFERROR(ROUND(DATA[[#This Row],[SUB TOTAL]]+DATA[[#This Row],[IGV]],2),0)</f>
        <v>11447.65</v>
      </c>
      <c r="W673" s="16" t="str">
        <f>IF(DATA[[#This Row],[VALORIZACIÓN ]]="-","NO CORRESPONDE",IF(OR(A673=20558226979,A673=10470707866,A673=20111157058,A673=20100226902),"NO CORRESPONDE",IF(J673="Emitida",IF(P673&gt;0,"EMITIDA","PENDIENTE"),"NO CORRESPONDE")))</f>
        <v>EMITIDA</v>
      </c>
      <c r="X673" s="29" t="s">
        <v>252</v>
      </c>
      <c r="Y673" s="17" t="s">
        <v>118</v>
      </c>
      <c r="Z673" s="30">
        <v>45813</v>
      </c>
      <c r="AA673" s="10" t="s">
        <v>150</v>
      </c>
      <c r="AB673" s="19">
        <v>106</v>
      </c>
      <c r="AC673" s="20">
        <v>30</v>
      </c>
      <c r="AD673" s="18">
        <f>DATA[[#This Row],[FECHA DE EMISION]]+DATA[[#This Row],[CONDICION DE PAGO]]</f>
        <v>45843</v>
      </c>
      <c r="AE673" s="23">
        <f>IF(DATA[[#This Row],[MONEDA]]="USD",VLOOKUP(DATA[[#This Row],[COMBINADA]],#REF!,11,0),1)</f>
        <v>1</v>
      </c>
      <c r="AF673" s="39" t="str">
        <f>IF(DATA[[#This Row],[SERIE2]]="-","NO CORRESPONDE",IF(W673="NO CORRESPONDE","NO CORRESPONDE",IF(Z673&gt;0,"FACTURADO","PENDIENTE")))</f>
        <v>FACTURADO</v>
      </c>
      <c r="AG673" s="27">
        <f>IFERROR(VLOOKUP(DATA[[#This Row],[COMBINADA]],#REF!,6,0),0)</f>
        <v>0</v>
      </c>
      <c r="AH673" s="125">
        <f>IFERROR(VLOOKUP(DATA[[#This Row],[COMBINADA]],#REF!,9,0),0)/COUNTIFS(DATA[COMBINADA],DATA[[#This Row],[COMBINADA]])</f>
        <v>0</v>
      </c>
      <c r="AI673" s="27">
        <f>IFERROR(VLOOKUP(DATA[[#This Row],[COMBINADA]],#REF!,6,0),0)</f>
        <v>0</v>
      </c>
      <c r="AJ673" s="125">
        <f>IFERROR(VLOOKUP(DATA[[#This Row],[COMBINADA]],#REF!,9,0),0)/COUNTIFS(DATA[COMBINADA],DATA[[#This Row],[COMBINADA]])</f>
        <v>0</v>
      </c>
      <c r="AK673" s="27">
        <f>IFERROR(VLOOKUP(DATA[[#This Row],[COMBINADA]],#REF!,6,0),0)</f>
        <v>0</v>
      </c>
      <c r="AL673" s="125">
        <f>IFERROR(VLOOKUP(DATA[[#This Row],[COMBINADA]],#REF!,9,0),0)/COUNTIFS(DATA[COMBINADA],DATA[[#This Row],[COMBINADA]])</f>
        <v>0</v>
      </c>
      <c r="AM673" s="27">
        <f>IFERROR(VLOOKUP(DATA[[#This Row],[COMBINADA]],#REF!,6,0),0)</f>
        <v>0</v>
      </c>
      <c r="AN673" s="125">
        <f>IFERROR(VLOOKUP(DATA[[#This Row],[COMBINADA]],#REF!,9,0),0)/COUNTIFS(DATA[COMBINADA],DATA[[#This Row],[COMBINADA]])</f>
        <v>0</v>
      </c>
      <c r="AO673" s="27">
        <f>IFERROR(VLOOKUP(DATA[[#This Row],[COMBINADA]],#REF!,6,0),0)</f>
        <v>0</v>
      </c>
      <c r="AP673" s="125">
        <f>IFERROR(VLOOKUP(DATA[[#This Row],[COMBINADA]],#REF!,9,0),0)/COUNTIFS(DATA[COMBINADA],DATA[[#This Row],[COMBINADA]])</f>
        <v>0</v>
      </c>
      <c r="AQ67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11447.65</v>
      </c>
      <c r="AR673" s="26" t="str">
        <f>IFERROR(IF(DATA[[#This Row],[estado_fact]]="FACTURADO",VLOOKUP(DATA[[#This Row],[SERIE2]]&amp;"-"&amp;DATA[[#This Row],[NUMERO]],#REF!,34,0),"NO CORRESPONDE"),"NO CORRESPONDE")</f>
        <v>NO CORRESPONDE</v>
      </c>
      <c r="AS673" s="22" t="str">
        <f>IF(DATA[[#This Row],[fecha_fs]]&gt;0,TEXT(DATA[[#This Row],[fecha_fs]],"Mmmm"),0)</f>
        <v>Mayo</v>
      </c>
      <c r="AT673" s="22" t="str">
        <f>DATA[[#This Row],[SERIE2]]&amp;"-"&amp;DATA[[#This Row],[NUMERO]]</f>
        <v>FF01-106</v>
      </c>
      <c r="AU673" s="28">
        <f>DATA[[#This Row],[TOTAL]]*DATA[[#This Row],[T.C.]]</f>
        <v>11447.65</v>
      </c>
      <c r="AV673" s="6">
        <f>DATA[[#This Row],[FECHA DE VAL.]]</f>
        <v>45797</v>
      </c>
      <c r="AW673" s="6">
        <f>DATA[[#This Row],[FECHA DE EMISION]]</f>
        <v>45813</v>
      </c>
      <c r="AX673" s="6">
        <f>DATA[[#This Row],[F1]]</f>
        <v>0</v>
      </c>
      <c r="AY673" s="20">
        <f>IF(AV673-DATA[[#This Row],[fecha_fs]]&lt;0,0,AV673-DATA[[#This Row],[fecha_fs]])</f>
        <v>1</v>
      </c>
      <c r="AZ673" s="20">
        <f t="shared" si="70"/>
        <v>16</v>
      </c>
      <c r="BA673" s="20">
        <f t="shared" si="71"/>
        <v>0</v>
      </c>
      <c r="BB673" s="195">
        <f>IFERROR(SUM(DATA[[#This Row],[fs_val_ttf]:[fact_pago_ttf]]),0)</f>
        <v>17</v>
      </c>
      <c r="BC673" s="185">
        <v>45796</v>
      </c>
      <c r="BD673" s="185">
        <v>45804</v>
      </c>
      <c r="BE673" s="185">
        <v>45811</v>
      </c>
      <c r="BF673" s="185" t="s">
        <v>270</v>
      </c>
      <c r="BG673" s="20">
        <f>IFERROR(IF(BC673-DATA[[#This Row],[fecha_fs]]&lt;0,0,BC673-DATA[[#This Row],[fecha_fs]]),0)</f>
        <v>0</v>
      </c>
      <c r="BH673" s="20">
        <f t="shared" si="72"/>
        <v>8</v>
      </c>
      <c r="BI673" s="20">
        <f t="shared" si="73"/>
        <v>7</v>
      </c>
      <c r="BJ673" s="20">
        <f t="shared" si="74"/>
        <v>0</v>
      </c>
      <c r="BK673" s="218">
        <f>IFERROR(SUM(DATA[[#This Row],[fs_fd_ttd]:[fend_fenf_ttd]]),0)</f>
        <v>15</v>
      </c>
      <c r="BL673" s="20" t="str">
        <f>IF(DATA[[#This Row],[fecha_fs]]&gt;0,TEXT(DATA[[#This Row],[fecha_fs]],"YYYY"),0)</f>
        <v>2025</v>
      </c>
      <c r="BM673" s="221" t="b">
        <v>0</v>
      </c>
      <c r="BN673" s="278">
        <f>COUNTIF(DATA[[#This Row],[tiempo_td]], "&lt;=15")</f>
        <v>1</v>
      </c>
      <c r="BO673" s="222"/>
    </row>
    <row r="674" spans="1:67" ht="30.6" customHeight="1" x14ac:dyDescent="0.25">
      <c r="A674" s="4">
        <v>20141637941</v>
      </c>
      <c r="B674" s="5" t="s">
        <v>79</v>
      </c>
      <c r="C674" s="52" t="s">
        <v>18</v>
      </c>
      <c r="D674" s="4" t="s">
        <v>120</v>
      </c>
      <c r="E674" s="5" t="s">
        <v>3</v>
      </c>
      <c r="F674" s="24">
        <v>45796</v>
      </c>
      <c r="G674" s="7" t="s">
        <v>113</v>
      </c>
      <c r="H674" s="25">
        <f t="shared" si="69"/>
        <v>1</v>
      </c>
      <c r="I674" s="67">
        <v>4522</v>
      </c>
      <c r="J674" s="8" t="s">
        <v>115</v>
      </c>
      <c r="K674" s="9" t="s">
        <v>121</v>
      </c>
      <c r="L674" s="10" t="s">
        <v>117</v>
      </c>
      <c r="M674" s="11">
        <v>1350</v>
      </c>
      <c r="N674" s="12" t="s">
        <v>125</v>
      </c>
      <c r="O674" s="6">
        <v>45803</v>
      </c>
      <c r="P674" s="68">
        <v>3459</v>
      </c>
      <c r="Q674" s="14" t="s">
        <v>85</v>
      </c>
      <c r="R674" s="15">
        <f>70+(DATA[[#This Row],[cantidad_fs]]-1000)*0.1</f>
        <v>105</v>
      </c>
      <c r="S674" s="15">
        <v>517</v>
      </c>
      <c r="T674" s="15">
        <f>DATA[[#This Row],[C. DF]]+DATA[[#This Row],[C.OPE.]]</f>
        <v>622</v>
      </c>
      <c r="U674" s="15">
        <f>DATA[[#This Row],[SUB TOTAL]]*0.18</f>
        <v>111.96</v>
      </c>
      <c r="V674" s="15">
        <f>IFERROR(ROUND(DATA[[#This Row],[SUB TOTAL]]+DATA[[#This Row],[IGV]],2),0)</f>
        <v>733.96</v>
      </c>
      <c r="W674" s="16" t="str">
        <f>IF(DATA[[#This Row],[VALORIZACIÓN ]]="-","NO CORRESPONDE",IF(OR(A674=20558226979,A674=10470707866,A674=20111157058,A674=20100226902),"NO CORRESPONDE",IF(J674="Emitida",IF(P674&gt;0,"EMITIDA","PENDIENTE"),"NO CORRESPONDE")))</f>
        <v>EMITIDA</v>
      </c>
      <c r="X674" s="29"/>
      <c r="Y674" s="17" t="s">
        <v>118</v>
      </c>
      <c r="Z674" s="30">
        <v>45804</v>
      </c>
      <c r="AA674" s="10" t="s">
        <v>150</v>
      </c>
      <c r="AB674" s="19">
        <v>93</v>
      </c>
      <c r="AC674" s="20">
        <v>30</v>
      </c>
      <c r="AD674" s="18">
        <f>DATA[[#This Row],[FECHA DE EMISION]]+DATA[[#This Row],[CONDICION DE PAGO]]</f>
        <v>45834</v>
      </c>
      <c r="AE674" s="23">
        <f>IF(DATA[[#This Row],[MONEDA]]="USD",VLOOKUP(DATA[[#This Row],[COMBINADA]],#REF!,11,0),1)</f>
        <v>1</v>
      </c>
      <c r="AF674" s="39" t="str">
        <f>IF(DATA[[#This Row],[SERIE2]]="-","NO CORRESPONDE",IF(W674="NO CORRESPONDE","NO CORRESPONDE",IF(Z674&gt;0,"FACTURADO","PENDIENTE")))</f>
        <v>FACTURADO</v>
      </c>
      <c r="AG674" s="133">
        <f>IFERROR(VLOOKUP(DATA[[#This Row],[COMBINADA]],#REF!,6,0),0)</f>
        <v>0</v>
      </c>
      <c r="AH674" s="125">
        <f>IFERROR(VLOOKUP(DATA[[#This Row],[COMBINADA]],#REF!,9,0),0)/COUNTIFS(DATA[COMBINADA],DATA[[#This Row],[COMBINADA]])</f>
        <v>0</v>
      </c>
      <c r="AI674" s="133">
        <f>IFERROR(VLOOKUP(DATA[[#This Row],[COMBINADA]],#REF!,6,0),0)</f>
        <v>0</v>
      </c>
      <c r="AJ674" s="125">
        <f>IFERROR(VLOOKUP(DATA[[#This Row],[COMBINADA]],#REF!,9,0),0)/COUNTIFS(DATA[COMBINADA],DATA[[#This Row],[COMBINADA]])</f>
        <v>0</v>
      </c>
      <c r="AK674" s="133">
        <f>IFERROR(VLOOKUP(DATA[[#This Row],[COMBINADA]],#REF!,6,0),0)</f>
        <v>0</v>
      </c>
      <c r="AL674" s="125">
        <f>IFERROR(VLOOKUP(DATA[[#This Row],[COMBINADA]],#REF!,9,0),0)/COUNTIFS(DATA[COMBINADA],DATA[[#This Row],[COMBINADA]])</f>
        <v>0</v>
      </c>
      <c r="AM674" s="133">
        <f>IFERROR(VLOOKUP(DATA[[#This Row],[COMBINADA]],#REF!,6,0),0)</f>
        <v>0</v>
      </c>
      <c r="AN674" s="125">
        <f>IFERROR(VLOOKUP(DATA[[#This Row],[COMBINADA]],#REF!,9,0),0)/COUNTIFS(DATA[COMBINADA],DATA[[#This Row],[COMBINADA]])</f>
        <v>0</v>
      </c>
      <c r="AO674" s="133">
        <f>IFERROR(VLOOKUP(DATA[[#This Row],[COMBINADA]],#REF!,6,0),0)</f>
        <v>0</v>
      </c>
      <c r="AP674" s="125">
        <f>IFERROR(VLOOKUP(DATA[[#This Row],[COMBINADA]],#REF!,9,0),0)/COUNTIFS(DATA[COMBINADA],DATA[[#This Row],[COMBINADA]])</f>
        <v>0</v>
      </c>
      <c r="AQ67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715.47333333333336</v>
      </c>
      <c r="AR674" s="26" t="str">
        <f>IFERROR(IF(DATA[[#This Row],[estado_fact]]="FACTURADO",VLOOKUP(DATA[[#This Row],[SERIE2]]&amp;"-"&amp;DATA[[#This Row],[NUMERO]],#REF!,34,0),"NO CORRESPONDE"),"NO CORRESPONDE")</f>
        <v>NO CORRESPONDE</v>
      </c>
      <c r="AS674" s="22" t="str">
        <f>IF(DATA[[#This Row],[fecha_fs]]&gt;0,TEXT(DATA[[#This Row],[fecha_fs]],"Mmmm"),0)</f>
        <v>Mayo</v>
      </c>
      <c r="AT674" s="22" t="str">
        <f>DATA[[#This Row],[SERIE2]]&amp;"-"&amp;DATA[[#This Row],[NUMERO]]</f>
        <v>FF01-93</v>
      </c>
      <c r="AU674" s="28">
        <f>DATA[[#This Row],[TOTAL]]*DATA[[#This Row],[T.C.]]</f>
        <v>733.96</v>
      </c>
      <c r="AV674" s="6">
        <f>DATA[[#This Row],[FECHA DE VAL.]]</f>
        <v>45803</v>
      </c>
      <c r="AW674" s="6">
        <f>DATA[[#This Row],[FECHA DE EMISION]]</f>
        <v>45804</v>
      </c>
      <c r="AX674" s="6">
        <f>DATA[[#This Row],[F1]]</f>
        <v>0</v>
      </c>
      <c r="AY674" s="20">
        <f>IF(AV674-DATA[[#This Row],[fecha_fs]]&lt;0,0,AV674-DATA[[#This Row],[fecha_fs]])</f>
        <v>7</v>
      </c>
      <c r="AZ674" s="20">
        <f t="shared" si="70"/>
        <v>1</v>
      </c>
      <c r="BA674" s="20">
        <f t="shared" si="71"/>
        <v>0</v>
      </c>
      <c r="BB674" s="195">
        <f>IFERROR(SUM(DATA[[#This Row],[fs_val_ttf]:[fact_pago_ttf]]),0)</f>
        <v>8</v>
      </c>
      <c r="BC674" s="185">
        <v>45796</v>
      </c>
      <c r="BD674" s="185">
        <v>45796</v>
      </c>
      <c r="BE674" s="185">
        <v>45804</v>
      </c>
      <c r="BF674" s="185">
        <v>45804</v>
      </c>
      <c r="BG674" s="20">
        <f>IFERROR(IF(BC674-DATA[[#This Row],[fecha_fs]]&lt;0,0,BC674-DATA[[#This Row],[fecha_fs]]),0)</f>
        <v>0</v>
      </c>
      <c r="BH674" s="20">
        <f t="shared" si="72"/>
        <v>0</v>
      </c>
      <c r="BI674" s="20">
        <f t="shared" si="73"/>
        <v>8</v>
      </c>
      <c r="BJ674" s="20">
        <f t="shared" si="74"/>
        <v>0</v>
      </c>
      <c r="BK674" s="218">
        <f>IFERROR(SUM(DATA[[#This Row],[fs_fd_ttd]:[fend_fenf_ttd]]),0)</f>
        <v>8</v>
      </c>
      <c r="BL674" s="20" t="str">
        <f>IF(DATA[[#This Row],[fecha_fs]]&gt;0,TEXT(DATA[[#This Row],[fecha_fs]],"YYYY"),0)</f>
        <v>2025</v>
      </c>
      <c r="BM674" s="221" t="b">
        <v>1</v>
      </c>
      <c r="BN674" s="278">
        <f>COUNTIF(DATA[[#This Row],[tiempo_td]], "&lt;=15")</f>
        <v>1</v>
      </c>
      <c r="BO674" s="222"/>
    </row>
    <row r="675" spans="1:67" ht="30.6" customHeight="1" x14ac:dyDescent="0.25">
      <c r="A675" s="4">
        <v>20100226902</v>
      </c>
      <c r="B675" s="5" t="s">
        <v>24</v>
      </c>
      <c r="C675" s="52" t="s">
        <v>18</v>
      </c>
      <c r="D675" s="4" t="s">
        <v>120</v>
      </c>
      <c r="E675" s="5" t="s">
        <v>3</v>
      </c>
      <c r="F675" s="24">
        <v>45796</v>
      </c>
      <c r="G675" s="7" t="s">
        <v>113</v>
      </c>
      <c r="H675" s="25">
        <f t="shared" si="69"/>
        <v>1</v>
      </c>
      <c r="I675" s="67">
        <v>4523</v>
      </c>
      <c r="J675" s="8" t="s">
        <v>115</v>
      </c>
      <c r="K675" s="9" t="s">
        <v>121</v>
      </c>
      <c r="L675" s="10" t="s">
        <v>117</v>
      </c>
      <c r="M675" s="11">
        <v>510</v>
      </c>
      <c r="N675" s="12" t="s">
        <v>240</v>
      </c>
      <c r="O675" s="40"/>
      <c r="P675" s="41" t="s">
        <v>114</v>
      </c>
      <c r="Q675" s="42"/>
      <c r="R675" s="43"/>
      <c r="S675" s="43"/>
      <c r="T675" s="43">
        <f>DATA[[#This Row],[C. DF]]+DATA[[#This Row],[C.OPE.]]</f>
        <v>0</v>
      </c>
      <c r="U675" s="43">
        <f>DATA[[#This Row],[SUB TOTAL]]*0.18</f>
        <v>0</v>
      </c>
      <c r="V675" s="43">
        <f>IFERROR(ROUND(DATA[[#This Row],[SUB TOTAL]]+DATA[[#This Row],[IGV]],2),0)</f>
        <v>0</v>
      </c>
      <c r="W675" s="58" t="str">
        <f>IF(DATA[[#This Row],[VALORIZACIÓN ]]="-","NO CORRESPONDE",IF(OR(A675=20558226979,A675=10470707866,A675=20111157058,A675=20100226902),"NO CORRESPONDE",IF(J675="Emitida",IF(P675&gt;0,"EMITIDA","PENDIENTE"),"NO CORRESPONDE")))</f>
        <v>NO CORRESPONDE</v>
      </c>
      <c r="X675" s="45"/>
      <c r="Y675" s="17" t="s">
        <v>128</v>
      </c>
      <c r="Z675" s="46"/>
      <c r="AA675" s="47"/>
      <c r="AB675" s="48"/>
      <c r="AC675" s="49"/>
      <c r="AD675" s="50">
        <f>DATA[[#This Row],[FECHA DE EMISION]]+DATA[[#This Row],[CONDICION DE PAGO]]</f>
        <v>0</v>
      </c>
      <c r="AE675" s="23">
        <f>IF(DATA[[#This Row],[MONEDA]]="USD",VLOOKUP(DATA[[#This Row],[COMBINADA]],#REF!,11,0),1)</f>
        <v>1</v>
      </c>
      <c r="AF675" s="39" t="str">
        <f>IF(DATA[[#This Row],[SERIE2]]="-","NO CORRESPONDE",IF(W675="NO CORRESPONDE","NO CORRESPONDE",IF(Z675&gt;0,"FACTURADO","PENDIENTE")))</f>
        <v>NO CORRESPONDE</v>
      </c>
      <c r="AG675" s="60">
        <f>IFERROR(VLOOKUP(DATA[[#This Row],[COMBINADA]],#REF!,6,0),0)</f>
        <v>0</v>
      </c>
      <c r="AH675" s="126">
        <f>IFERROR(VLOOKUP(DATA[[#This Row],[COMBINADA]],#REF!,9,0),0)/COUNTIFS(DATA[COMBINADA],DATA[[#This Row],[COMBINADA]])</f>
        <v>0</v>
      </c>
      <c r="AI675" s="60">
        <f>IFERROR(VLOOKUP(DATA[[#This Row],[COMBINADA]],#REF!,6,0),0)</f>
        <v>0</v>
      </c>
      <c r="AJ675" s="126">
        <f>IFERROR(VLOOKUP(DATA[[#This Row],[COMBINADA]],#REF!,9,0),0)/COUNTIFS(DATA[COMBINADA],DATA[[#This Row],[COMBINADA]])</f>
        <v>0</v>
      </c>
      <c r="AK675" s="60">
        <f>IFERROR(VLOOKUP(DATA[[#This Row],[COMBINADA]],#REF!,6,0),0)</f>
        <v>0</v>
      </c>
      <c r="AL675" s="126">
        <f>IFERROR(VLOOKUP(DATA[[#This Row],[COMBINADA]],#REF!,9,0),0)/COUNTIFS(DATA[COMBINADA],DATA[[#This Row],[COMBINADA]])</f>
        <v>0</v>
      </c>
      <c r="AM675" s="60">
        <f>IFERROR(VLOOKUP(DATA[[#This Row],[COMBINADA]],#REF!,6,0),0)</f>
        <v>0</v>
      </c>
      <c r="AN675" s="126">
        <f>IFERROR(VLOOKUP(DATA[[#This Row],[COMBINADA]],#REF!,9,0),0)/COUNTIFS(DATA[COMBINADA],DATA[[#This Row],[COMBINADA]])</f>
        <v>0</v>
      </c>
      <c r="AO675" s="60">
        <f>IFERROR(VLOOKUP(DATA[[#This Row],[COMBINADA]],#REF!,6,0),0)</f>
        <v>0</v>
      </c>
      <c r="AP675" s="126">
        <f>IFERROR(VLOOKUP(DATA[[#This Row],[COMBINADA]],#REF!,9,0),0)/COUNTIFS(DATA[COMBINADA],DATA[[#This Row],[COMBINADA]])</f>
        <v>0</v>
      </c>
      <c r="AQ675"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675" s="22" t="str">
        <f>IFERROR(IF(DATA[[#This Row],[estado_fact]]="FACTURADO",VLOOKUP(DATA[[#This Row],[SERIE2]]&amp;"-"&amp;DATA[[#This Row],[NUMERO]],#REF!,34,0),"NO CORRESPONDE"),"NO CORRESPONDE")</f>
        <v>NO CORRESPONDE</v>
      </c>
      <c r="AS675" s="135" t="str">
        <f>IF(DATA[[#This Row],[fecha_fs]]&gt;0,TEXT(DATA[[#This Row],[fecha_fs]],"Mmmm"),0)</f>
        <v>Mayo</v>
      </c>
      <c r="AT675" s="22" t="str">
        <f>DATA[[#This Row],[SERIE2]]&amp;"-"&amp;DATA[[#This Row],[NUMERO]]</f>
        <v>-</v>
      </c>
      <c r="AU675" s="28">
        <f>DATA[[#This Row],[TOTAL]]*DATA[[#This Row],[T.C.]]</f>
        <v>0</v>
      </c>
      <c r="AV675" s="6">
        <f>DATA[[#This Row],[FECHA DE VAL.]]</f>
        <v>0</v>
      </c>
      <c r="AW675" s="6">
        <f>DATA[[#This Row],[FECHA DE EMISION]]</f>
        <v>0</v>
      </c>
      <c r="AX675" s="6">
        <f>DATA[[#This Row],[F1]]</f>
        <v>0</v>
      </c>
      <c r="AY675" s="20">
        <f>IF(AV675-DATA[[#This Row],[fecha_fs]]&lt;0,0,AV675-DATA[[#This Row],[fecha_fs]])</f>
        <v>0</v>
      </c>
      <c r="AZ675" s="20">
        <f t="shared" si="70"/>
        <v>0</v>
      </c>
      <c r="BA675" s="20">
        <f t="shared" si="71"/>
        <v>0</v>
      </c>
      <c r="BB675" s="195">
        <f>IFERROR(SUM(DATA[[#This Row],[fs_val_ttf]:[fact_pago_ttf]]),0)</f>
        <v>0</v>
      </c>
      <c r="BC675" s="185">
        <v>45796</v>
      </c>
      <c r="BD675" s="185">
        <v>45796</v>
      </c>
      <c r="BE675" s="185">
        <v>45825</v>
      </c>
      <c r="BF675" s="185">
        <v>45825</v>
      </c>
      <c r="BG675" s="20">
        <f>IFERROR(IF(BC675-DATA[[#This Row],[fecha_fs]]&lt;0,0,BC675-DATA[[#This Row],[fecha_fs]]),0)</f>
        <v>0</v>
      </c>
      <c r="BH675" s="20">
        <f t="shared" si="72"/>
        <v>0</v>
      </c>
      <c r="BI675" s="20">
        <f t="shared" si="73"/>
        <v>29</v>
      </c>
      <c r="BJ675" s="20">
        <f t="shared" si="74"/>
        <v>0</v>
      </c>
      <c r="BK675" s="218">
        <f>IFERROR(SUM(DATA[[#This Row],[fs_fd_ttd]:[fend_fenf_ttd]]),0)</f>
        <v>29</v>
      </c>
      <c r="BL675" s="20" t="str">
        <f>IF(DATA[[#This Row],[fecha_fs]]&gt;0,TEXT(DATA[[#This Row],[fecha_fs]],"YYYY"),0)</f>
        <v>2025</v>
      </c>
      <c r="BM675" s="221" t="b">
        <v>1</v>
      </c>
      <c r="BN675" s="278">
        <f>COUNTIF(DATA[[#This Row],[tiempo_td]], "&lt;=15")</f>
        <v>0</v>
      </c>
      <c r="BO675" s="222"/>
    </row>
    <row r="676" spans="1:67" ht="30.6" customHeight="1" x14ac:dyDescent="0.25">
      <c r="A676" s="4">
        <v>20454186002</v>
      </c>
      <c r="B676" s="5" t="s">
        <v>25</v>
      </c>
      <c r="C676" s="52" t="s">
        <v>18</v>
      </c>
      <c r="D676" s="4" t="s">
        <v>120</v>
      </c>
      <c r="E676" s="5" t="s">
        <v>3</v>
      </c>
      <c r="F676" s="24">
        <v>45796</v>
      </c>
      <c r="G676" s="7" t="s">
        <v>113</v>
      </c>
      <c r="H676" s="25">
        <f t="shared" si="69"/>
        <v>1</v>
      </c>
      <c r="I676" s="67">
        <v>4524</v>
      </c>
      <c r="J676" s="8" t="s">
        <v>115</v>
      </c>
      <c r="K676" s="9" t="s">
        <v>121</v>
      </c>
      <c r="L676" s="10" t="s">
        <v>117</v>
      </c>
      <c r="M676" s="11">
        <v>4200</v>
      </c>
      <c r="N676" s="12" t="s">
        <v>239</v>
      </c>
      <c r="O676" s="6">
        <v>45797</v>
      </c>
      <c r="P676" s="13">
        <v>3449</v>
      </c>
      <c r="Q676" s="14" t="s">
        <v>85</v>
      </c>
      <c r="R676" s="15">
        <f>(DATA[[#This Row],[cantidad_fs]]-3000)*0.49</f>
        <v>588</v>
      </c>
      <c r="S676" s="15">
        <v>1485.02</v>
      </c>
      <c r="T676" s="15">
        <f>DATA[[#This Row],[C. DF]]+DATA[[#This Row],[C.OPE.]]</f>
        <v>2073.02</v>
      </c>
      <c r="U676" s="15">
        <f>DATA[[#This Row],[SUB TOTAL]]*0.18</f>
        <v>373.14359999999999</v>
      </c>
      <c r="V676" s="15">
        <f>IFERROR(ROUND(DATA[[#This Row],[SUB TOTAL]]+DATA[[#This Row],[IGV]],2),0)</f>
        <v>2446.16</v>
      </c>
      <c r="W676" s="58" t="str">
        <f>IF(DATA[[#This Row],[VALORIZACIÓN ]]="-","NO CORRESPONDE",IF(OR(A676=20558226979,A676=10470707866,A676=20111157058,A676=20100226902),"NO CORRESPONDE",IF(J676="Emitida",IF(P676&gt;0,"EMITIDA","PENDIENTE"),"NO CORRESPONDE")))</f>
        <v>EMITIDA</v>
      </c>
      <c r="X676" s="45"/>
      <c r="Y676" s="17" t="s">
        <v>118</v>
      </c>
      <c r="Z676" s="46">
        <v>45803</v>
      </c>
      <c r="AA676" s="47" t="s">
        <v>150</v>
      </c>
      <c r="AB676" s="48">
        <v>91</v>
      </c>
      <c r="AC676" s="49">
        <v>7</v>
      </c>
      <c r="AD676" s="50">
        <f>DATA[[#This Row],[FECHA DE EMISION]]+DATA[[#This Row],[CONDICION DE PAGO]]</f>
        <v>45810</v>
      </c>
      <c r="AE676" s="23">
        <f>IF(DATA[[#This Row],[MONEDA]]="USD",VLOOKUP(DATA[[#This Row],[COMBINADA]],#REF!,11,0),1)</f>
        <v>1</v>
      </c>
      <c r="AF676" s="39" t="str">
        <f>IF(DATA[[#This Row],[SERIE2]]="-","NO CORRESPONDE",IF(W676="NO CORRESPONDE","NO CORRESPONDE",IF(Z676&gt;0,"FACTURADO","PENDIENTE")))</f>
        <v>FACTURADO</v>
      </c>
      <c r="AG676" s="27">
        <f>IFERROR(VLOOKUP(DATA[[#This Row],[COMBINADA]],#REF!,6,0),0)</f>
        <v>0</v>
      </c>
      <c r="AH676" s="125">
        <f>IFERROR(VLOOKUP(DATA[[#This Row],[COMBINADA]],#REF!,9,0),0)/COUNTIFS(DATA[COMBINADA],DATA[[#This Row],[COMBINADA]])</f>
        <v>0</v>
      </c>
      <c r="AI676" s="27">
        <f>IFERROR(VLOOKUP(DATA[[#This Row],[COMBINADA]],#REF!,6,0),0)</f>
        <v>0</v>
      </c>
      <c r="AJ676" s="125">
        <f>IFERROR(VLOOKUP(DATA[[#This Row],[COMBINADA]],#REF!,9,0),0)/COUNTIFS(DATA[COMBINADA],DATA[[#This Row],[COMBINADA]])</f>
        <v>0</v>
      </c>
      <c r="AK676" s="27">
        <f>IFERROR(VLOOKUP(DATA[[#This Row],[COMBINADA]],#REF!,6,0),0)</f>
        <v>0</v>
      </c>
      <c r="AL676" s="125">
        <f>IFERROR(VLOOKUP(DATA[[#This Row],[COMBINADA]],#REF!,9,0),0)/COUNTIFS(DATA[COMBINADA],DATA[[#This Row],[COMBINADA]])</f>
        <v>0</v>
      </c>
      <c r="AM676" s="27">
        <f>IFERROR(VLOOKUP(DATA[[#This Row],[COMBINADA]],#REF!,6,0),0)</f>
        <v>0</v>
      </c>
      <c r="AN676" s="125">
        <f>IFERROR(VLOOKUP(DATA[[#This Row],[COMBINADA]],#REF!,9,0),0)/COUNTIFS(DATA[COMBINADA],DATA[[#This Row],[COMBINADA]])</f>
        <v>0</v>
      </c>
      <c r="AO676" s="27">
        <f>IFERROR(VLOOKUP(DATA[[#This Row],[COMBINADA]],#REF!,6,0),0)</f>
        <v>0</v>
      </c>
      <c r="AP676" s="125">
        <f>IFERROR(VLOOKUP(DATA[[#This Row],[COMBINADA]],#REF!,9,0),0)/COUNTIFS(DATA[COMBINADA],DATA[[#This Row],[COMBINADA]])</f>
        <v>0</v>
      </c>
      <c r="AQ67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2446.16</v>
      </c>
      <c r="AR676" s="26" t="str">
        <f>IFERROR(IF(DATA[[#This Row],[estado_fact]]="FACTURADO",VLOOKUP(DATA[[#This Row],[SERIE2]]&amp;"-"&amp;DATA[[#This Row],[NUMERO]],#REF!,34,0),"NO CORRESPONDE"),"NO CORRESPONDE")</f>
        <v>NO CORRESPONDE</v>
      </c>
      <c r="AS676" s="22" t="str">
        <f>IF(DATA[[#This Row],[fecha_fs]]&gt;0,TEXT(DATA[[#This Row],[fecha_fs]],"Mmmm"),0)</f>
        <v>Mayo</v>
      </c>
      <c r="AT676" s="22" t="str">
        <f>DATA[[#This Row],[SERIE2]]&amp;"-"&amp;DATA[[#This Row],[NUMERO]]</f>
        <v>FF01-91</v>
      </c>
      <c r="AU676" s="28">
        <f>DATA[[#This Row],[TOTAL]]*DATA[[#This Row],[T.C.]]</f>
        <v>2446.16</v>
      </c>
      <c r="AV676" s="6">
        <f>DATA[[#This Row],[FECHA DE VAL.]]</f>
        <v>45797</v>
      </c>
      <c r="AW676" s="6">
        <f>DATA[[#This Row],[FECHA DE EMISION]]</f>
        <v>45803</v>
      </c>
      <c r="AX676" s="6">
        <f>DATA[[#This Row],[F1]]</f>
        <v>0</v>
      </c>
      <c r="AY676" s="20">
        <f>IF(AV676-DATA[[#This Row],[fecha_fs]]&lt;0,0,AV676-DATA[[#This Row],[fecha_fs]])</f>
        <v>1</v>
      </c>
      <c r="AZ676" s="20">
        <f t="shared" si="70"/>
        <v>6</v>
      </c>
      <c r="BA676" s="20">
        <f t="shared" si="71"/>
        <v>0</v>
      </c>
      <c r="BB676" s="195">
        <f>IFERROR(SUM(DATA[[#This Row],[fs_val_ttf]:[fact_pago_ttf]]),0)</f>
        <v>7</v>
      </c>
      <c r="BC676" s="185">
        <v>45796</v>
      </c>
      <c r="BD676" s="185">
        <v>45803</v>
      </c>
      <c r="BE676" s="185">
        <v>45807</v>
      </c>
      <c r="BF676" s="185">
        <v>45824</v>
      </c>
      <c r="BG676" s="20">
        <f>IFERROR(IF(BC676-DATA[[#This Row],[fecha_fs]]&lt;0,0,BC676-DATA[[#This Row],[fecha_fs]]),0)</f>
        <v>0</v>
      </c>
      <c r="BH676" s="20">
        <f t="shared" si="72"/>
        <v>7</v>
      </c>
      <c r="BI676" s="20">
        <f t="shared" si="73"/>
        <v>4</v>
      </c>
      <c r="BJ676" s="20">
        <f t="shared" si="74"/>
        <v>17</v>
      </c>
      <c r="BK676" s="218">
        <f>IFERROR(SUM(DATA[[#This Row],[fs_fd_ttd]:[fend_fenf_ttd]]),0)</f>
        <v>28</v>
      </c>
      <c r="BL676" s="20" t="str">
        <f>IF(DATA[[#This Row],[fecha_fs]]&gt;0,TEXT(DATA[[#This Row],[fecha_fs]],"YYYY"),0)</f>
        <v>2025</v>
      </c>
      <c r="BM676" s="221" t="b">
        <v>0</v>
      </c>
      <c r="BN676" s="278">
        <f>COUNTIF(DATA[[#This Row],[tiempo_td]], "&lt;=15")</f>
        <v>0</v>
      </c>
      <c r="BO676" s="222"/>
    </row>
    <row r="677" spans="1:67" ht="30.6" customHeight="1" x14ac:dyDescent="0.25">
      <c r="A677" s="4">
        <v>20100211115</v>
      </c>
      <c r="B677" s="5" t="s">
        <v>41</v>
      </c>
      <c r="C677" s="52" t="s">
        <v>18</v>
      </c>
      <c r="D677" s="4" t="s">
        <v>120</v>
      </c>
      <c r="E677" s="5" t="s">
        <v>3</v>
      </c>
      <c r="F677" s="24">
        <v>45796</v>
      </c>
      <c r="G677" s="7" t="s">
        <v>113</v>
      </c>
      <c r="H677" s="25">
        <f t="shared" si="69"/>
        <v>1</v>
      </c>
      <c r="I677" s="67">
        <v>4525</v>
      </c>
      <c r="J677" s="8" t="s">
        <v>115</v>
      </c>
      <c r="K677" s="9" t="s">
        <v>121</v>
      </c>
      <c r="L677" s="10" t="s">
        <v>117</v>
      </c>
      <c r="M677" s="11">
        <v>90</v>
      </c>
      <c r="N677" s="12" t="s">
        <v>167</v>
      </c>
      <c r="O677" s="40">
        <v>45803</v>
      </c>
      <c r="P677" s="115">
        <v>3455</v>
      </c>
      <c r="Q677" s="14" t="s">
        <v>85</v>
      </c>
      <c r="R677" s="15"/>
      <c r="S677" s="15">
        <f>(DATA[[#This Row],[cantidad_fs]]*4.37)</f>
        <v>393.3</v>
      </c>
      <c r="T677" s="15">
        <f>DATA[[#This Row],[C. DF]]+DATA[[#This Row],[C.OPE.]]</f>
        <v>393.3</v>
      </c>
      <c r="U677" s="15">
        <f>DATA[[#This Row],[SUB TOTAL]]*0.18</f>
        <v>70.793999999999997</v>
      </c>
      <c r="V677" s="15">
        <f>IFERROR(ROUND(DATA[[#This Row],[SUB TOTAL]]+DATA[[#This Row],[IGV]],2),0)</f>
        <v>464.09</v>
      </c>
      <c r="W677" s="16" t="str">
        <f>IF(DATA[[#This Row],[VALORIZACIÓN ]]="-","NO CORRESPONDE",IF(OR(A677=20558226979,A677=10470707866,A677=20111157058,A677=20100226902),"NO CORRESPONDE",IF(J677="Emitida",IF(P677&gt;0,"EMITIDA","PENDIENTE"),"NO CORRESPONDE")))</f>
        <v>EMITIDA</v>
      </c>
      <c r="X677" s="29"/>
      <c r="Y677" s="17" t="s">
        <v>118</v>
      </c>
      <c r="Z677" s="30">
        <v>45804</v>
      </c>
      <c r="AA677" s="10" t="s">
        <v>150</v>
      </c>
      <c r="AB677" s="19">
        <v>94</v>
      </c>
      <c r="AC677" s="20">
        <v>30</v>
      </c>
      <c r="AD677" s="18">
        <f>DATA[[#This Row],[FECHA DE EMISION]]+DATA[[#This Row],[CONDICION DE PAGO]]</f>
        <v>45834</v>
      </c>
      <c r="AE677" s="23">
        <f>IF(DATA[[#This Row],[MONEDA]]="USD",VLOOKUP(DATA[[#This Row],[COMBINADA]],#REF!,11,0),1)</f>
        <v>1</v>
      </c>
      <c r="AF677" s="39" t="str">
        <f>IF(DATA[[#This Row],[SERIE2]]="-","NO CORRESPONDE",IF(W677="NO CORRESPONDE","NO CORRESPONDE",IF(Z677&gt;0,"FACTURADO","PENDIENTE")))</f>
        <v>FACTURADO</v>
      </c>
      <c r="AG677" s="27">
        <f>IFERROR(VLOOKUP(DATA[[#This Row],[COMBINADA]],#REF!,6,0),0)</f>
        <v>0</v>
      </c>
      <c r="AH677" s="125">
        <f>IFERROR(VLOOKUP(DATA[[#This Row],[COMBINADA]],#REF!,9,0),0)/COUNTIFS(DATA[COMBINADA],DATA[[#This Row],[COMBINADA]])</f>
        <v>0</v>
      </c>
      <c r="AI677" s="27">
        <f>IFERROR(VLOOKUP(DATA[[#This Row],[COMBINADA]],#REF!,6,0),0)</f>
        <v>0</v>
      </c>
      <c r="AJ677" s="125">
        <f>IFERROR(VLOOKUP(DATA[[#This Row],[COMBINADA]],#REF!,9,0),0)/COUNTIFS(DATA[COMBINADA],DATA[[#This Row],[COMBINADA]])</f>
        <v>0</v>
      </c>
      <c r="AK677" s="27">
        <f>IFERROR(VLOOKUP(DATA[[#This Row],[COMBINADA]],#REF!,6,0),0)</f>
        <v>0</v>
      </c>
      <c r="AL677" s="125">
        <f>IFERROR(VLOOKUP(DATA[[#This Row],[COMBINADA]],#REF!,9,0),0)/COUNTIFS(DATA[COMBINADA],DATA[[#This Row],[COMBINADA]])</f>
        <v>0</v>
      </c>
      <c r="AM677" s="27">
        <f>IFERROR(VLOOKUP(DATA[[#This Row],[COMBINADA]],#REF!,6,0),0)</f>
        <v>0</v>
      </c>
      <c r="AN677" s="125">
        <f>IFERROR(VLOOKUP(DATA[[#This Row],[COMBINADA]],#REF!,9,0),0)/COUNTIFS(DATA[COMBINADA],DATA[[#This Row],[COMBINADA]])</f>
        <v>0</v>
      </c>
      <c r="AO677" s="27">
        <f>IFERROR(VLOOKUP(DATA[[#This Row],[COMBINADA]],#REF!,6,0),0)</f>
        <v>0</v>
      </c>
      <c r="AP677" s="125">
        <f>IFERROR(VLOOKUP(DATA[[#This Row],[COMBINADA]],#REF!,9,0),0)/COUNTIFS(DATA[COMBINADA],DATA[[#This Row],[COMBINADA]])</f>
        <v>0</v>
      </c>
      <c r="AQ67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677" s="26" t="str">
        <f>IFERROR(IF(DATA[[#This Row],[estado_fact]]="FACTURADO",VLOOKUP(DATA[[#This Row],[SERIE2]]&amp;"-"&amp;DATA[[#This Row],[NUMERO]],#REF!,34,0),"NO CORRESPONDE"),"NO CORRESPONDE")</f>
        <v>NO CORRESPONDE</v>
      </c>
      <c r="AS677" s="22" t="str">
        <f>IF(DATA[[#This Row],[fecha_fs]]&gt;0,TEXT(DATA[[#This Row],[fecha_fs]],"Mmmm"),0)</f>
        <v>Mayo</v>
      </c>
      <c r="AT677" s="22" t="str">
        <f>DATA[[#This Row],[SERIE2]]&amp;"-"&amp;DATA[[#This Row],[NUMERO]]</f>
        <v>FF01-94</v>
      </c>
      <c r="AU677" s="28">
        <f>DATA[[#This Row],[TOTAL]]*DATA[[#This Row],[T.C.]]</f>
        <v>464.09</v>
      </c>
      <c r="AV677" s="6">
        <f>DATA[[#This Row],[FECHA DE VAL.]]</f>
        <v>45803</v>
      </c>
      <c r="AW677" s="6">
        <f>DATA[[#This Row],[FECHA DE EMISION]]</f>
        <v>45804</v>
      </c>
      <c r="AX677" s="6">
        <f>DATA[[#This Row],[F1]]</f>
        <v>0</v>
      </c>
      <c r="AY677" s="20">
        <f>IF(AV677-DATA[[#This Row],[fecha_fs]]&lt;0,0,AV677-DATA[[#This Row],[fecha_fs]])</f>
        <v>7</v>
      </c>
      <c r="AZ677" s="20">
        <f t="shared" si="70"/>
        <v>1</v>
      </c>
      <c r="BA677" s="20">
        <f t="shared" si="71"/>
        <v>0</v>
      </c>
      <c r="BB677" s="195">
        <f>IFERROR(SUM(DATA[[#This Row],[fs_val_ttf]:[fact_pago_ttf]]),0)</f>
        <v>8</v>
      </c>
      <c r="BC677" s="185">
        <v>45807</v>
      </c>
      <c r="BD677" s="185">
        <v>45814</v>
      </c>
      <c r="BE677" s="185">
        <v>45814</v>
      </c>
      <c r="BF677" s="185">
        <v>45821</v>
      </c>
      <c r="BG677" s="20">
        <f>IFERROR(IF(BC677-DATA[[#This Row],[fecha_fs]]&lt;0,0,BC677-DATA[[#This Row],[fecha_fs]]),0)</f>
        <v>11</v>
      </c>
      <c r="BH677" s="20">
        <f t="shared" si="72"/>
        <v>7</v>
      </c>
      <c r="BI677" s="20">
        <f t="shared" si="73"/>
        <v>0</v>
      </c>
      <c r="BJ677" s="20">
        <f t="shared" si="74"/>
        <v>7</v>
      </c>
      <c r="BK677" s="218">
        <f>IFERROR(SUM(DATA[[#This Row],[fs_fd_ttd]:[fend_fenf_ttd]]),0)</f>
        <v>25</v>
      </c>
      <c r="BL677" s="20" t="str">
        <f>IF(DATA[[#This Row],[fecha_fs]]&gt;0,TEXT(DATA[[#This Row],[fecha_fs]],"YYYY"),0)</f>
        <v>2025</v>
      </c>
      <c r="BM677" s="221" t="b">
        <v>1</v>
      </c>
      <c r="BN677" s="278">
        <f>COUNTIF(DATA[[#This Row],[tiempo_td]], "&lt;=15")</f>
        <v>0</v>
      </c>
      <c r="BO677" s="222"/>
    </row>
    <row r="678" spans="1:67" ht="30.6" customHeight="1" x14ac:dyDescent="0.25">
      <c r="A678" s="4">
        <v>20419158462</v>
      </c>
      <c r="B678" s="5" t="s">
        <v>2</v>
      </c>
      <c r="C678" s="52" t="s">
        <v>9</v>
      </c>
      <c r="D678" s="4" t="s">
        <v>120</v>
      </c>
      <c r="E678" s="5" t="s">
        <v>3</v>
      </c>
      <c r="F678" s="24">
        <v>45796</v>
      </c>
      <c r="G678" s="7" t="s">
        <v>113</v>
      </c>
      <c r="H678" s="25">
        <f t="shared" si="69"/>
        <v>1</v>
      </c>
      <c r="I678" s="67">
        <v>4526</v>
      </c>
      <c r="J678" s="8" t="s">
        <v>115</v>
      </c>
      <c r="K678" s="9" t="s">
        <v>156</v>
      </c>
      <c r="L678" s="10" t="s">
        <v>117</v>
      </c>
      <c r="M678" s="11">
        <v>270</v>
      </c>
      <c r="N678" s="12" t="s">
        <v>125</v>
      </c>
      <c r="O678" s="6">
        <v>45797</v>
      </c>
      <c r="P678" s="13">
        <v>3450</v>
      </c>
      <c r="Q678" s="14" t="s">
        <v>85</v>
      </c>
      <c r="R678" s="15"/>
      <c r="S678" s="15">
        <f>1429.7/2</f>
        <v>714.85</v>
      </c>
      <c r="T678" s="15">
        <f>DATA[[#This Row],[C. DF]]+DATA[[#This Row],[C.OPE.]]</f>
        <v>714.85</v>
      </c>
      <c r="U678" s="15">
        <f>DATA[[#This Row],[SUB TOTAL]]*0.18</f>
        <v>128.673</v>
      </c>
      <c r="V678" s="15">
        <f>IFERROR(ROUND(DATA[[#This Row],[SUB TOTAL]]+DATA[[#This Row],[IGV]],2),0)</f>
        <v>843.52</v>
      </c>
      <c r="W678" s="16" t="str">
        <f>IF(DATA[[#This Row],[VALORIZACIÓN ]]="-","NO CORRESPONDE",IF(OR(A678=20558226979,A678=10470707866,A678=20111157058,A678=20100226902),"NO CORRESPONDE",IF(J678="Emitida",IF(P678&gt;0,"EMITIDA","PENDIENTE"),"NO CORRESPONDE")))</f>
        <v>EMITIDA</v>
      </c>
      <c r="X678" s="29" t="s">
        <v>231</v>
      </c>
      <c r="Y678" s="17" t="s">
        <v>118</v>
      </c>
      <c r="Z678" s="30">
        <v>45846</v>
      </c>
      <c r="AA678" s="10" t="s">
        <v>150</v>
      </c>
      <c r="AB678" s="19">
        <v>153</v>
      </c>
      <c r="AC678" s="20">
        <v>15</v>
      </c>
      <c r="AD678" s="18">
        <f>DATA[[#This Row],[FECHA DE EMISION]]+DATA[[#This Row],[CONDICION DE PAGO]]</f>
        <v>45861</v>
      </c>
      <c r="AE678" s="23">
        <f>IF(DATA[[#This Row],[MONEDA]]="USD",VLOOKUP(DATA[[#This Row],[COMBINADA]],#REF!,11,0),1)</f>
        <v>1</v>
      </c>
      <c r="AF678" s="39" t="str">
        <f>IF(DATA[[#This Row],[SERIE2]]="-","NO CORRESPONDE",IF(W678="NO CORRESPONDE","NO CORRESPONDE",IF(Z678&gt;0,"FACTURADO","PENDIENTE")))</f>
        <v>FACTURADO</v>
      </c>
      <c r="AG678" s="27">
        <f>IFERROR(VLOOKUP(DATA[[#This Row],[COMBINADA]],#REF!,6,0),0)</f>
        <v>0</v>
      </c>
      <c r="AH678" s="125">
        <f>IFERROR(VLOOKUP(DATA[[#This Row],[COMBINADA]],#REF!,9,0),0)/COUNTIFS(DATA[COMBINADA],DATA[[#This Row],[COMBINADA]])</f>
        <v>0</v>
      </c>
      <c r="AI678" s="27">
        <f>IFERROR(VLOOKUP(DATA[[#This Row],[COMBINADA]],#REF!,6,0),0)</f>
        <v>0</v>
      </c>
      <c r="AJ678" s="125">
        <f>IFERROR(VLOOKUP(DATA[[#This Row],[COMBINADA]],#REF!,9,0),0)/COUNTIFS(DATA[COMBINADA],DATA[[#This Row],[COMBINADA]])</f>
        <v>0</v>
      </c>
      <c r="AK678" s="27">
        <f>IFERROR(VLOOKUP(DATA[[#This Row],[COMBINADA]],#REF!,6,0),0)</f>
        <v>0</v>
      </c>
      <c r="AL678" s="125">
        <f>IFERROR(VLOOKUP(DATA[[#This Row],[COMBINADA]],#REF!,9,0),0)/COUNTIFS(DATA[COMBINADA],DATA[[#This Row],[COMBINADA]])</f>
        <v>0</v>
      </c>
      <c r="AM678" s="27">
        <f>IFERROR(VLOOKUP(DATA[[#This Row],[COMBINADA]],#REF!,6,0),0)</f>
        <v>0</v>
      </c>
      <c r="AN678" s="125">
        <f>IFERROR(VLOOKUP(DATA[[#This Row],[COMBINADA]],#REF!,9,0),0)/COUNTIFS(DATA[COMBINADA],DATA[[#This Row],[COMBINADA]])</f>
        <v>0</v>
      </c>
      <c r="AO678" s="27">
        <f>IFERROR(VLOOKUP(DATA[[#This Row],[COMBINADA]],#REF!,6,0),0)</f>
        <v>0</v>
      </c>
      <c r="AP678" s="125">
        <f>IFERROR(VLOOKUP(DATA[[#This Row],[COMBINADA]],#REF!,9,0),0)/COUNTIFS(DATA[COMBINADA],DATA[[#This Row],[COMBINADA]])</f>
        <v>0</v>
      </c>
      <c r="AQ67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678" s="26" t="str">
        <f>IFERROR(IF(DATA[[#This Row],[estado_fact]]="FACTURADO",VLOOKUP(DATA[[#This Row],[SERIE2]]&amp;"-"&amp;DATA[[#This Row],[NUMERO]],#REF!,34,0),"NO CORRESPONDE"),"NO CORRESPONDE")</f>
        <v>NO CORRESPONDE</v>
      </c>
      <c r="AS678" s="22" t="str">
        <f>IF(DATA[[#This Row],[fecha_fs]]&gt;0,TEXT(DATA[[#This Row],[fecha_fs]],"Mmmm"),0)</f>
        <v>Mayo</v>
      </c>
      <c r="AT678" s="22" t="str">
        <f>DATA[[#This Row],[SERIE2]]&amp;"-"&amp;DATA[[#This Row],[NUMERO]]</f>
        <v>FF01-153</v>
      </c>
      <c r="AU678" s="28">
        <f>DATA[[#This Row],[TOTAL]]*DATA[[#This Row],[T.C.]]</f>
        <v>843.52</v>
      </c>
      <c r="AV678" s="6">
        <f>DATA[[#This Row],[FECHA DE VAL.]]</f>
        <v>45797</v>
      </c>
      <c r="AW678" s="6">
        <f>DATA[[#This Row],[FECHA DE EMISION]]</f>
        <v>45846</v>
      </c>
      <c r="AX678" s="6">
        <f>DATA[[#This Row],[F1]]</f>
        <v>0</v>
      </c>
      <c r="AY678" s="20">
        <f>IF(AV678-DATA[[#This Row],[fecha_fs]]&lt;0,0,AV678-DATA[[#This Row],[fecha_fs]])</f>
        <v>1</v>
      </c>
      <c r="AZ678" s="20">
        <f t="shared" si="70"/>
        <v>49</v>
      </c>
      <c r="BA678" s="20">
        <f t="shared" si="71"/>
        <v>0</v>
      </c>
      <c r="BB678" s="195">
        <f>IFERROR(SUM(DATA[[#This Row],[fs_val_ttf]:[fact_pago_ttf]]),0)</f>
        <v>50</v>
      </c>
      <c r="BC678" s="185">
        <v>45796</v>
      </c>
      <c r="BD678" s="185">
        <v>45796</v>
      </c>
      <c r="BE678" s="185">
        <v>45807</v>
      </c>
      <c r="BF678" s="185">
        <v>45807</v>
      </c>
      <c r="BG678" s="20">
        <f>IFERROR(IF(BC678-DATA[[#This Row],[fecha_fs]]&lt;0,0,BC678-DATA[[#This Row],[fecha_fs]]),0)</f>
        <v>0</v>
      </c>
      <c r="BH678" s="20">
        <f t="shared" si="72"/>
        <v>0</v>
      </c>
      <c r="BI678" s="20">
        <f t="shared" si="73"/>
        <v>11</v>
      </c>
      <c r="BJ678" s="20">
        <f t="shared" si="74"/>
        <v>0</v>
      </c>
      <c r="BK678" s="218">
        <f>IFERROR(SUM(DATA[[#This Row],[fs_fd_ttd]:[fend_fenf_ttd]]),0)</f>
        <v>11</v>
      </c>
      <c r="BL678" s="20" t="str">
        <f>IF(DATA[[#This Row],[fecha_fs]]&gt;0,TEXT(DATA[[#This Row],[fecha_fs]],"YYYY"),0)</f>
        <v>2025</v>
      </c>
      <c r="BM678" s="221" t="b">
        <v>1</v>
      </c>
      <c r="BN678" s="278">
        <f>COUNTIF(DATA[[#This Row],[tiempo_td]], "&lt;=15")</f>
        <v>1</v>
      </c>
      <c r="BO678" s="222"/>
    </row>
    <row r="679" spans="1:67" ht="30.6" customHeight="1" x14ac:dyDescent="0.25">
      <c r="A679" s="4">
        <v>20419158462</v>
      </c>
      <c r="B679" s="5" t="s">
        <v>2</v>
      </c>
      <c r="C679" s="52" t="s">
        <v>174</v>
      </c>
      <c r="D679" s="4" t="s">
        <v>120</v>
      </c>
      <c r="E679" s="5" t="s">
        <v>3</v>
      </c>
      <c r="F679" s="24">
        <v>45796</v>
      </c>
      <c r="G679" s="7" t="s">
        <v>113</v>
      </c>
      <c r="H679" s="25">
        <f t="shared" si="69"/>
        <v>1</v>
      </c>
      <c r="I679" s="67">
        <v>4527</v>
      </c>
      <c r="J679" s="8" t="s">
        <v>115</v>
      </c>
      <c r="K679" s="9" t="s">
        <v>156</v>
      </c>
      <c r="L679" s="10" t="s">
        <v>117</v>
      </c>
      <c r="M679" s="11">
        <v>500</v>
      </c>
      <c r="N679" s="12" t="s">
        <v>125</v>
      </c>
      <c r="O679" s="6">
        <v>45797</v>
      </c>
      <c r="P679" s="13">
        <v>3450</v>
      </c>
      <c r="Q679" s="14" t="s">
        <v>85</v>
      </c>
      <c r="R679" s="15"/>
      <c r="S679" s="15">
        <f>1429.7/2</f>
        <v>714.85</v>
      </c>
      <c r="T679" s="15">
        <f>DATA[[#This Row],[C. DF]]+DATA[[#This Row],[C.OPE.]]</f>
        <v>714.85</v>
      </c>
      <c r="U679" s="15">
        <f>DATA[[#This Row],[SUB TOTAL]]*0.18</f>
        <v>128.673</v>
      </c>
      <c r="V679" s="15">
        <f>IFERROR(ROUND(DATA[[#This Row],[SUB TOTAL]]+DATA[[#This Row],[IGV]],2),0)</f>
        <v>843.52</v>
      </c>
      <c r="W679" s="16" t="str">
        <f>IF(DATA[[#This Row],[VALORIZACIÓN ]]="-","NO CORRESPONDE",IF(OR(A679=20558226979,A679=10470707866,A679=20111157058,A679=20100226902),"NO CORRESPONDE",IF(J679="Emitida",IF(P679&gt;0,"EMITIDA","PENDIENTE"),"NO CORRESPONDE")))</f>
        <v>EMITIDA</v>
      </c>
      <c r="X679" s="29" t="s">
        <v>231</v>
      </c>
      <c r="Y679" s="17" t="s">
        <v>118</v>
      </c>
      <c r="Z679" s="30">
        <v>45846</v>
      </c>
      <c r="AA679" s="10" t="s">
        <v>150</v>
      </c>
      <c r="AB679" s="19">
        <v>153</v>
      </c>
      <c r="AC679" s="20">
        <v>15</v>
      </c>
      <c r="AD679" s="18">
        <f>DATA[[#This Row],[FECHA DE EMISION]]+DATA[[#This Row],[CONDICION DE PAGO]]</f>
        <v>45861</v>
      </c>
      <c r="AE679" s="23">
        <f>IF(DATA[[#This Row],[MONEDA]]="USD",VLOOKUP(DATA[[#This Row],[COMBINADA]],#REF!,11,0),1)</f>
        <v>1</v>
      </c>
      <c r="AF679" s="39" t="str">
        <f>IF(DATA[[#This Row],[SERIE2]]="-","NO CORRESPONDE",IF(W679="NO CORRESPONDE","NO CORRESPONDE",IF(Z679&gt;0,"FACTURADO","PENDIENTE")))</f>
        <v>FACTURADO</v>
      </c>
      <c r="AG679" s="27">
        <f>IFERROR(VLOOKUP(DATA[[#This Row],[COMBINADA]],#REF!,6,0),0)</f>
        <v>0</v>
      </c>
      <c r="AH679" s="125">
        <f>IFERROR(VLOOKUP(DATA[[#This Row],[COMBINADA]],#REF!,9,0),0)/COUNTIFS(DATA[COMBINADA],DATA[[#This Row],[COMBINADA]])</f>
        <v>0</v>
      </c>
      <c r="AI679" s="27">
        <f>IFERROR(VLOOKUP(DATA[[#This Row],[COMBINADA]],#REF!,6,0),0)</f>
        <v>0</v>
      </c>
      <c r="AJ679" s="125">
        <f>IFERROR(VLOOKUP(DATA[[#This Row],[COMBINADA]],#REF!,9,0),0)/COUNTIFS(DATA[COMBINADA],DATA[[#This Row],[COMBINADA]])</f>
        <v>0</v>
      </c>
      <c r="AK679" s="27">
        <f>IFERROR(VLOOKUP(DATA[[#This Row],[COMBINADA]],#REF!,6,0),0)</f>
        <v>0</v>
      </c>
      <c r="AL679" s="125">
        <f>IFERROR(VLOOKUP(DATA[[#This Row],[COMBINADA]],#REF!,9,0),0)/COUNTIFS(DATA[COMBINADA],DATA[[#This Row],[COMBINADA]])</f>
        <v>0</v>
      </c>
      <c r="AM679" s="27">
        <f>IFERROR(VLOOKUP(DATA[[#This Row],[COMBINADA]],#REF!,6,0),0)</f>
        <v>0</v>
      </c>
      <c r="AN679" s="125">
        <f>IFERROR(VLOOKUP(DATA[[#This Row],[COMBINADA]],#REF!,9,0),0)/COUNTIFS(DATA[COMBINADA],DATA[[#This Row],[COMBINADA]])</f>
        <v>0</v>
      </c>
      <c r="AO679" s="27">
        <f>IFERROR(VLOOKUP(DATA[[#This Row],[COMBINADA]],#REF!,6,0),0)</f>
        <v>0</v>
      </c>
      <c r="AP679" s="125">
        <f>IFERROR(VLOOKUP(DATA[[#This Row],[COMBINADA]],#REF!,9,0),0)/COUNTIFS(DATA[COMBINADA],DATA[[#This Row],[COMBINADA]])</f>
        <v>0</v>
      </c>
      <c r="AQ67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679" s="26" t="str">
        <f>IFERROR(IF(DATA[[#This Row],[estado_fact]]="FACTURADO",VLOOKUP(DATA[[#This Row],[SERIE2]]&amp;"-"&amp;DATA[[#This Row],[NUMERO]],#REF!,34,0),"NO CORRESPONDE"),"NO CORRESPONDE")</f>
        <v>NO CORRESPONDE</v>
      </c>
      <c r="AS679" s="22" t="str">
        <f>IF(DATA[[#This Row],[fecha_fs]]&gt;0,TEXT(DATA[[#This Row],[fecha_fs]],"Mmmm"),0)</f>
        <v>Mayo</v>
      </c>
      <c r="AT679" s="22" t="str">
        <f>DATA[[#This Row],[SERIE2]]&amp;"-"&amp;DATA[[#This Row],[NUMERO]]</f>
        <v>FF01-153</v>
      </c>
      <c r="AU679" s="28">
        <f>DATA[[#This Row],[TOTAL]]*DATA[[#This Row],[T.C.]]</f>
        <v>843.52</v>
      </c>
      <c r="AV679" s="6">
        <f>DATA[[#This Row],[FECHA DE VAL.]]</f>
        <v>45797</v>
      </c>
      <c r="AW679" s="6">
        <f>DATA[[#This Row],[FECHA DE EMISION]]</f>
        <v>45846</v>
      </c>
      <c r="AX679" s="6">
        <f>DATA[[#This Row],[F1]]</f>
        <v>0</v>
      </c>
      <c r="AY679" s="20">
        <f>IF(AV679-DATA[[#This Row],[fecha_fs]]&lt;0,0,AV679-DATA[[#This Row],[fecha_fs]])</f>
        <v>1</v>
      </c>
      <c r="AZ679" s="20">
        <f t="shared" si="70"/>
        <v>49</v>
      </c>
      <c r="BA679" s="20">
        <f t="shared" si="71"/>
        <v>0</v>
      </c>
      <c r="BB679" s="195">
        <f>IFERROR(SUM(DATA[[#This Row],[fs_val_ttf]:[fact_pago_ttf]]),0)</f>
        <v>50</v>
      </c>
      <c r="BC679" s="185">
        <v>45796</v>
      </c>
      <c r="BD679" s="185">
        <v>45796</v>
      </c>
      <c r="BE679" s="185">
        <v>45807</v>
      </c>
      <c r="BF679" s="185">
        <v>45807</v>
      </c>
      <c r="BG679" s="20">
        <f>IFERROR(IF(BC679-DATA[[#This Row],[fecha_fs]]&lt;0,0,BC679-DATA[[#This Row],[fecha_fs]]),0)</f>
        <v>0</v>
      </c>
      <c r="BH679" s="20">
        <f t="shared" si="72"/>
        <v>0</v>
      </c>
      <c r="BI679" s="20">
        <f t="shared" si="73"/>
        <v>11</v>
      </c>
      <c r="BJ679" s="20">
        <f t="shared" si="74"/>
        <v>0</v>
      </c>
      <c r="BK679" s="218">
        <f>IFERROR(SUM(DATA[[#This Row],[fs_fd_ttd]:[fend_fenf_ttd]]),0)</f>
        <v>11</v>
      </c>
      <c r="BL679" s="20" t="str">
        <f>IF(DATA[[#This Row],[fecha_fs]]&gt;0,TEXT(DATA[[#This Row],[fecha_fs]],"YYYY"),0)</f>
        <v>2025</v>
      </c>
      <c r="BM679" s="221" t="b">
        <v>1</v>
      </c>
      <c r="BN679" s="278">
        <f>COUNTIF(DATA[[#This Row],[tiempo_td]], "&lt;=15")</f>
        <v>1</v>
      </c>
      <c r="BO679" s="222"/>
    </row>
    <row r="680" spans="1:67" ht="30.6" customHeight="1" x14ac:dyDescent="0.25">
      <c r="A680" s="4">
        <v>20505675836</v>
      </c>
      <c r="B680" s="5" t="s">
        <v>42</v>
      </c>
      <c r="C680" s="52" t="s">
        <v>43</v>
      </c>
      <c r="D680" s="4" t="s">
        <v>157</v>
      </c>
      <c r="E680" s="5" t="s">
        <v>44</v>
      </c>
      <c r="F680" s="24">
        <v>45796</v>
      </c>
      <c r="G680" s="7" t="s">
        <v>113</v>
      </c>
      <c r="H680" s="25">
        <f t="shared" si="69"/>
        <v>1</v>
      </c>
      <c r="I680" s="67">
        <v>4528</v>
      </c>
      <c r="J680" s="8" t="s">
        <v>115</v>
      </c>
      <c r="K680" s="9" t="s">
        <v>158</v>
      </c>
      <c r="L680" s="10" t="s">
        <v>137</v>
      </c>
      <c r="M680" s="11">
        <v>1</v>
      </c>
      <c r="N680" s="12" t="s">
        <v>129</v>
      </c>
      <c r="O680" s="6">
        <v>45804</v>
      </c>
      <c r="P680" s="13">
        <v>3474</v>
      </c>
      <c r="Q680" s="14" t="s">
        <v>85</v>
      </c>
      <c r="R680" s="15">
        <v>0</v>
      </c>
      <c r="S680" s="15">
        <v>396.7</v>
      </c>
      <c r="T680" s="15">
        <f>DATA[[#This Row],[C. DF]]+DATA[[#This Row],[C.OPE.]]</f>
        <v>396.7</v>
      </c>
      <c r="U680" s="15">
        <f>DATA[[#This Row],[SUB TOTAL]]*0.18</f>
        <v>71.405999999999992</v>
      </c>
      <c r="V680" s="15">
        <f>IFERROR(ROUND(DATA[[#This Row],[SUB TOTAL]]+DATA[[#This Row],[IGV]],2),0)</f>
        <v>468.11</v>
      </c>
      <c r="W680" s="16" t="str">
        <f>IF(DATA[[#This Row],[VALORIZACIÓN ]]="-","NO CORRESPONDE",IF(OR(A680=20558226979,A680=10470707866,A680=20111157058,A680=20100226902),"NO CORRESPONDE",IF(J680="Emitida",IF(P680&gt;0,"EMITIDA","PENDIENTE"),"NO CORRESPONDE")))</f>
        <v>EMITIDA</v>
      </c>
      <c r="X680" s="29" t="s">
        <v>231</v>
      </c>
      <c r="Y680" s="17" t="s">
        <v>118</v>
      </c>
      <c r="Z680" s="30">
        <v>45846</v>
      </c>
      <c r="AA680" s="10" t="s">
        <v>150</v>
      </c>
      <c r="AB680" s="19">
        <v>161</v>
      </c>
      <c r="AC680" s="20">
        <v>30</v>
      </c>
      <c r="AD680" s="18">
        <f>DATA[[#This Row],[FECHA DE EMISION]]+DATA[[#This Row],[CONDICION DE PAGO]]</f>
        <v>45876</v>
      </c>
      <c r="AE680" s="23">
        <f>IF(DATA[[#This Row],[MONEDA]]="USD",VLOOKUP(DATA[[#This Row],[COMBINADA]],#REF!,11,0),1)</f>
        <v>1</v>
      </c>
      <c r="AF680" s="39" t="str">
        <f>IF(DATA[[#This Row],[SERIE2]]="-","NO CORRESPONDE",IF(W680="NO CORRESPONDE","NO CORRESPONDE",IF(Z680&gt;0,"FACTURADO","PENDIENTE")))</f>
        <v>FACTURADO</v>
      </c>
      <c r="AG680" s="27">
        <f>IFERROR(VLOOKUP(DATA[[#This Row],[COMBINADA]],#REF!,6,0),0)</f>
        <v>0</v>
      </c>
      <c r="AH680" s="125">
        <f>IFERROR(VLOOKUP(DATA[[#This Row],[COMBINADA]],#REF!,9,0),0)/COUNTIFS(DATA[COMBINADA],DATA[[#This Row],[COMBINADA]])</f>
        <v>0</v>
      </c>
      <c r="AI680" s="27">
        <f>IFERROR(VLOOKUP(DATA[[#This Row],[COMBINADA]],#REF!,6,0),0)</f>
        <v>0</v>
      </c>
      <c r="AJ680" s="125">
        <f>IFERROR(VLOOKUP(DATA[[#This Row],[COMBINADA]],#REF!,9,0),0)/COUNTIFS(DATA[COMBINADA],DATA[[#This Row],[COMBINADA]])</f>
        <v>0</v>
      </c>
      <c r="AK680" s="27">
        <f>IFERROR(VLOOKUP(DATA[[#This Row],[COMBINADA]],#REF!,6,0),0)</f>
        <v>0</v>
      </c>
      <c r="AL680" s="125">
        <f>IFERROR(VLOOKUP(DATA[[#This Row],[COMBINADA]],#REF!,9,0),0)/COUNTIFS(DATA[COMBINADA],DATA[[#This Row],[COMBINADA]])</f>
        <v>0</v>
      </c>
      <c r="AM680" s="27">
        <f>IFERROR(VLOOKUP(DATA[[#This Row],[COMBINADA]],#REF!,6,0),0)</f>
        <v>0</v>
      </c>
      <c r="AN680" s="125">
        <f>IFERROR(VLOOKUP(DATA[[#This Row],[COMBINADA]],#REF!,9,0),0)/COUNTIFS(DATA[COMBINADA],DATA[[#This Row],[COMBINADA]])</f>
        <v>0</v>
      </c>
      <c r="AO680" s="27">
        <f>IFERROR(VLOOKUP(DATA[[#This Row],[COMBINADA]],#REF!,6,0),0)</f>
        <v>0</v>
      </c>
      <c r="AP680" s="125">
        <f>IFERROR(VLOOKUP(DATA[[#This Row],[COMBINADA]],#REF!,9,0),0)/COUNTIFS(DATA[COMBINADA],DATA[[#This Row],[COMBINADA]])</f>
        <v>0</v>
      </c>
      <c r="AQ68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468.11</v>
      </c>
      <c r="AR680" s="26" t="str">
        <f>IFERROR(IF(DATA[[#This Row],[estado_fact]]="FACTURADO",VLOOKUP(DATA[[#This Row],[SERIE2]]&amp;"-"&amp;DATA[[#This Row],[NUMERO]],#REF!,34,0),"NO CORRESPONDE"),"NO CORRESPONDE")</f>
        <v>NO CORRESPONDE</v>
      </c>
      <c r="AS680" s="22" t="str">
        <f>IF(DATA[[#This Row],[fecha_fs]]&gt;0,TEXT(DATA[[#This Row],[fecha_fs]],"Mmmm"),0)</f>
        <v>Mayo</v>
      </c>
      <c r="AT680" s="22" t="str">
        <f>DATA[[#This Row],[SERIE2]]&amp;"-"&amp;DATA[[#This Row],[NUMERO]]</f>
        <v>FF01-161</v>
      </c>
      <c r="AU680" s="28">
        <f>DATA[[#This Row],[TOTAL]]*DATA[[#This Row],[T.C.]]</f>
        <v>468.11</v>
      </c>
      <c r="AV680" s="6">
        <f>DATA[[#This Row],[FECHA DE VAL.]]</f>
        <v>45804</v>
      </c>
      <c r="AW680" s="6">
        <f>DATA[[#This Row],[FECHA DE EMISION]]</f>
        <v>45846</v>
      </c>
      <c r="AX680" s="6">
        <f>DATA[[#This Row],[F1]]</f>
        <v>0</v>
      </c>
      <c r="AY680" s="20">
        <f>IF(AV680-DATA[[#This Row],[fecha_fs]]&lt;0,0,AV680-DATA[[#This Row],[fecha_fs]])</f>
        <v>8</v>
      </c>
      <c r="AZ680" s="20">
        <f t="shared" si="70"/>
        <v>42</v>
      </c>
      <c r="BA680" s="20">
        <f t="shared" si="71"/>
        <v>0</v>
      </c>
      <c r="BB680" s="195">
        <f>IFERROR(SUM(DATA[[#This Row],[fs_val_ttf]:[fact_pago_ttf]]),0)</f>
        <v>50</v>
      </c>
      <c r="BC680" s="185">
        <v>45796</v>
      </c>
      <c r="BD680" s="185">
        <v>45796</v>
      </c>
      <c r="BE680" s="185">
        <v>45807</v>
      </c>
      <c r="BF680" s="185">
        <v>45807</v>
      </c>
      <c r="BG680" s="20">
        <f>IFERROR(IF(BC680-DATA[[#This Row],[fecha_fs]]&lt;0,0,BC680-DATA[[#This Row],[fecha_fs]]),0)</f>
        <v>0</v>
      </c>
      <c r="BH680" s="20">
        <f t="shared" si="72"/>
        <v>0</v>
      </c>
      <c r="BI680" s="20">
        <f t="shared" si="73"/>
        <v>11</v>
      </c>
      <c r="BJ680" s="20">
        <f t="shared" si="74"/>
        <v>0</v>
      </c>
      <c r="BK680" s="218">
        <f>IFERROR(SUM(DATA[[#This Row],[fs_fd_ttd]:[fend_fenf_ttd]]),0)</f>
        <v>11</v>
      </c>
      <c r="BL680" s="20" t="str">
        <f>IF(DATA[[#This Row],[fecha_fs]]&gt;0,TEXT(DATA[[#This Row],[fecha_fs]],"YYYY"),0)</f>
        <v>2025</v>
      </c>
      <c r="BM680" s="221" t="b">
        <v>1</v>
      </c>
      <c r="BN680" s="278">
        <f>COUNTIF(DATA[[#This Row],[tiempo_td]], "&lt;=15")</f>
        <v>1</v>
      </c>
      <c r="BO680" s="222"/>
    </row>
    <row r="681" spans="1:67" ht="30.6" customHeight="1" x14ac:dyDescent="0.25">
      <c r="A681" s="4">
        <v>20553956324</v>
      </c>
      <c r="B681" s="5" t="s">
        <v>281</v>
      </c>
      <c r="C681" s="52" t="s">
        <v>175</v>
      </c>
      <c r="D681" s="4" t="s">
        <v>120</v>
      </c>
      <c r="E681" s="5" t="s">
        <v>3</v>
      </c>
      <c r="F681" s="24">
        <v>45797</v>
      </c>
      <c r="G681" s="7" t="s">
        <v>113</v>
      </c>
      <c r="H681" s="25">
        <f t="shared" si="69"/>
        <v>1</v>
      </c>
      <c r="I681" s="67">
        <v>4529</v>
      </c>
      <c r="J681" s="8" t="s">
        <v>115</v>
      </c>
      <c r="K681" s="9" t="s">
        <v>121</v>
      </c>
      <c r="L681" s="10" t="s">
        <v>117</v>
      </c>
      <c r="M681" s="11">
        <v>240</v>
      </c>
      <c r="N681" s="12" t="s">
        <v>167</v>
      </c>
      <c r="O681" s="6">
        <v>45803</v>
      </c>
      <c r="P681" s="109">
        <v>3458</v>
      </c>
      <c r="Q681" s="14" t="s">
        <v>85</v>
      </c>
      <c r="R681" s="15">
        <f>DATA[[#This Row],[cantidad_fs]]*0.08</f>
        <v>19.2</v>
      </c>
      <c r="S681" s="15">
        <v>395.1</v>
      </c>
      <c r="T681" s="15">
        <f>DATA[[#This Row],[C. DF]]+DATA[[#This Row],[C.OPE.]]</f>
        <v>414.3</v>
      </c>
      <c r="U681" s="15">
        <f>DATA[[#This Row],[SUB TOTAL]]*0.18</f>
        <v>74.573999999999998</v>
      </c>
      <c r="V681" s="15">
        <f>IFERROR(ROUND(DATA[[#This Row],[SUB TOTAL]]+DATA[[#This Row],[IGV]],2),0)</f>
        <v>488.87</v>
      </c>
      <c r="W681" s="16" t="str">
        <f>IF(DATA[[#This Row],[VALORIZACIÓN ]]="-","NO CORRESPONDE",IF(OR(A681=20558226979,A681=10470707866,A681=20111157058,A681=20100226902),"NO CORRESPONDE",IF(J681="Emitida",IF(P681&gt;0,"EMITIDA","PENDIENTE"),"NO CORRESPONDE")))</f>
        <v>EMITIDA</v>
      </c>
      <c r="X681" s="29" t="s">
        <v>234</v>
      </c>
      <c r="Y681" s="17" t="s">
        <v>118</v>
      </c>
      <c r="Z681" s="30">
        <v>45845</v>
      </c>
      <c r="AA681" s="10" t="s">
        <v>150</v>
      </c>
      <c r="AB681" s="19">
        <v>143</v>
      </c>
      <c r="AC681" s="20">
        <v>0</v>
      </c>
      <c r="AD681" s="18">
        <f>DATA[[#This Row],[FECHA DE EMISION]]+DATA[[#This Row],[CONDICION DE PAGO]]</f>
        <v>45845</v>
      </c>
      <c r="AE681" s="23">
        <f>IF(DATA[[#This Row],[MONEDA]]="USD",VLOOKUP(DATA[[#This Row],[COMBINADA]],#REF!,11,0),1)</f>
        <v>1</v>
      </c>
      <c r="AF681" s="39" t="str">
        <f>IF(DATA[[#This Row],[SERIE2]]="-","NO CORRESPONDE",IF(W681="NO CORRESPONDE","NO CORRESPONDE",IF(Z681&gt;0,"FACTURADO","PENDIENTE")))</f>
        <v>FACTURADO</v>
      </c>
      <c r="AG681" s="27">
        <f>IFERROR(VLOOKUP(DATA[[#This Row],[COMBINADA]],#REF!,6,0),0)</f>
        <v>0</v>
      </c>
      <c r="AH681" s="125">
        <f>IFERROR(VLOOKUP(DATA[[#This Row],[COMBINADA]],#REF!,9,0),0)/COUNTIFS(DATA[COMBINADA],DATA[[#This Row],[COMBINADA]])</f>
        <v>0</v>
      </c>
      <c r="AI681" s="27">
        <f>IFERROR(VLOOKUP(DATA[[#This Row],[COMBINADA]],#REF!,6,0),0)</f>
        <v>0</v>
      </c>
      <c r="AJ681" s="125">
        <f>IFERROR(VLOOKUP(DATA[[#This Row],[COMBINADA]],#REF!,9,0),0)/COUNTIFS(DATA[COMBINADA],DATA[[#This Row],[COMBINADA]])</f>
        <v>0</v>
      </c>
      <c r="AK681" s="27">
        <f>IFERROR(VLOOKUP(DATA[[#This Row],[COMBINADA]],#REF!,6,0),0)</f>
        <v>0</v>
      </c>
      <c r="AL681" s="125">
        <f>IFERROR(VLOOKUP(DATA[[#This Row],[COMBINADA]],#REF!,9,0),0)/COUNTIFS(DATA[COMBINADA],DATA[[#This Row],[COMBINADA]])</f>
        <v>0</v>
      </c>
      <c r="AM681" s="27">
        <f>IFERROR(VLOOKUP(DATA[[#This Row],[COMBINADA]],#REF!,6,0),0)</f>
        <v>0</v>
      </c>
      <c r="AN681" s="125">
        <f>IFERROR(VLOOKUP(DATA[[#This Row],[COMBINADA]],#REF!,9,0),0)/COUNTIFS(DATA[COMBINADA],DATA[[#This Row],[COMBINADA]])</f>
        <v>0</v>
      </c>
      <c r="AO681" s="27">
        <f>IFERROR(VLOOKUP(DATA[[#This Row],[COMBINADA]],#REF!,6,0),0)</f>
        <v>0</v>
      </c>
      <c r="AP681" s="125">
        <f>IFERROR(VLOOKUP(DATA[[#This Row],[COMBINADA]],#REF!,9,0),0)/COUNTIFS(DATA[COMBINADA],DATA[[#This Row],[COMBINADA]])</f>
        <v>0</v>
      </c>
      <c r="AQ68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481.06363636363642</v>
      </c>
      <c r="AR681" s="26" t="str">
        <f>IFERROR(IF(DATA[[#This Row],[estado_fact]]="FACTURADO",VLOOKUP(DATA[[#This Row],[SERIE2]]&amp;"-"&amp;DATA[[#This Row],[NUMERO]],#REF!,34,0),"NO CORRESPONDE"),"NO CORRESPONDE")</f>
        <v>NO CORRESPONDE</v>
      </c>
      <c r="AS681" s="22" t="str">
        <f>IF(DATA[[#This Row],[fecha_fs]]&gt;0,TEXT(DATA[[#This Row],[fecha_fs]],"Mmmm"),0)</f>
        <v>Mayo</v>
      </c>
      <c r="AT681" s="22" t="str">
        <f>DATA[[#This Row],[SERIE2]]&amp;"-"&amp;DATA[[#This Row],[NUMERO]]</f>
        <v>FF01-143</v>
      </c>
      <c r="AU681" s="28">
        <f>DATA[[#This Row],[TOTAL]]*DATA[[#This Row],[T.C.]]</f>
        <v>488.87</v>
      </c>
      <c r="AV681" s="6">
        <f>DATA[[#This Row],[FECHA DE VAL.]]</f>
        <v>45803</v>
      </c>
      <c r="AW681" s="6">
        <f>DATA[[#This Row],[FECHA DE EMISION]]</f>
        <v>45845</v>
      </c>
      <c r="AX681" s="6">
        <f>DATA[[#This Row],[F1]]</f>
        <v>0</v>
      </c>
      <c r="AY681" s="20">
        <f>IF(AV681-DATA[[#This Row],[fecha_fs]]&lt;0,0,AV681-DATA[[#This Row],[fecha_fs]])</f>
        <v>6</v>
      </c>
      <c r="AZ681" s="20">
        <f t="shared" si="70"/>
        <v>42</v>
      </c>
      <c r="BA681" s="20">
        <f t="shared" si="71"/>
        <v>0</v>
      </c>
      <c r="BB681" s="195">
        <f>IFERROR(SUM(DATA[[#This Row],[fs_val_ttf]:[fact_pago_ttf]]),0)</f>
        <v>48</v>
      </c>
      <c r="BC681" s="185">
        <v>45821</v>
      </c>
      <c r="BD681" s="185">
        <v>45828</v>
      </c>
      <c r="BE681" s="185">
        <v>45831</v>
      </c>
      <c r="BF681" s="185">
        <v>45832</v>
      </c>
      <c r="BG681" s="20">
        <f>IFERROR(IF(BC681-DATA[[#This Row],[fecha_fs]]&lt;0,0,BC681-DATA[[#This Row],[fecha_fs]]),0)</f>
        <v>24</v>
      </c>
      <c r="BH681" s="20">
        <f t="shared" si="72"/>
        <v>7</v>
      </c>
      <c r="BI681" s="20">
        <f t="shared" si="73"/>
        <v>3</v>
      </c>
      <c r="BJ681" s="20">
        <f t="shared" si="74"/>
        <v>1</v>
      </c>
      <c r="BK681" s="218">
        <f>IFERROR(SUM(DATA[[#This Row],[fs_fd_ttd]:[fend_fenf_ttd]]),0)</f>
        <v>35</v>
      </c>
      <c r="BL681" s="20" t="str">
        <f>IF(DATA[[#This Row],[fecha_fs]]&gt;0,TEXT(DATA[[#This Row],[fecha_fs]],"YYYY"),0)</f>
        <v>2025</v>
      </c>
      <c r="BM681" s="221" t="b">
        <v>0</v>
      </c>
      <c r="BN681" s="278">
        <f>COUNTIF(DATA[[#This Row],[tiempo_td]], "&lt;=15")</f>
        <v>0</v>
      </c>
      <c r="BO681" s="222"/>
    </row>
    <row r="682" spans="1:67" ht="30.6" customHeight="1" x14ac:dyDescent="0.25">
      <c r="A682" s="4">
        <v>20558253861</v>
      </c>
      <c r="B682" s="5" t="s">
        <v>286</v>
      </c>
      <c r="C682" s="52" t="s">
        <v>18</v>
      </c>
      <c r="D682" s="4" t="s">
        <v>290</v>
      </c>
      <c r="E682" s="5" t="s">
        <v>294</v>
      </c>
      <c r="F682" s="24">
        <v>45797</v>
      </c>
      <c r="G682" s="7" t="s">
        <v>113</v>
      </c>
      <c r="H682" s="25">
        <f t="shared" si="69"/>
        <v>1</v>
      </c>
      <c r="I682" s="67">
        <v>4530</v>
      </c>
      <c r="J682" s="8" t="s">
        <v>115</v>
      </c>
      <c r="K682" s="9" t="s">
        <v>195</v>
      </c>
      <c r="L682" s="10" t="s">
        <v>117</v>
      </c>
      <c r="M682" s="11">
        <v>5160</v>
      </c>
      <c r="N682" s="12" t="s">
        <v>253</v>
      </c>
      <c r="O682" s="6">
        <v>45798</v>
      </c>
      <c r="P682" s="13">
        <v>3451</v>
      </c>
      <c r="Q682" s="14" t="s">
        <v>85</v>
      </c>
      <c r="R682" s="15">
        <f>DATA[[#This Row],[cantidad_fs]]*0.08</f>
        <v>412.8</v>
      </c>
      <c r="S682" s="15">
        <v>3597.3</v>
      </c>
      <c r="T682" s="15">
        <f>DATA[[#This Row],[C. DF]]+DATA[[#This Row],[C.OPE.]]</f>
        <v>4010.1000000000004</v>
      </c>
      <c r="U682" s="15">
        <f>DATA[[#This Row],[SUB TOTAL]]*0.18</f>
        <v>721.81799999999998</v>
      </c>
      <c r="V682" s="15">
        <f>IFERROR(ROUND(DATA[[#This Row],[SUB TOTAL]]+DATA[[#This Row],[IGV]],2),0)</f>
        <v>4731.92</v>
      </c>
      <c r="W682" s="16" t="str">
        <f>IF(DATA[[#This Row],[VALORIZACIÓN ]]="-","NO CORRESPONDE",IF(OR(A682=20558226979,A682=10470707866,A682=20111157058,A682=20100226902),"NO CORRESPONDE",IF(J682="Emitida",IF(P682&gt;0,"EMITIDA","PENDIENTE"),"NO CORRESPONDE")))</f>
        <v>EMITIDA</v>
      </c>
      <c r="X682" s="29"/>
      <c r="Y682" s="17" t="s">
        <v>118</v>
      </c>
      <c r="Z682" s="30">
        <v>45805</v>
      </c>
      <c r="AA682" s="10" t="s">
        <v>150</v>
      </c>
      <c r="AB682" s="19">
        <v>99</v>
      </c>
      <c r="AC682" s="20">
        <v>1</v>
      </c>
      <c r="AD682" s="18">
        <f>DATA[[#This Row],[FECHA DE EMISION]]+DATA[[#This Row],[CONDICION DE PAGO]]</f>
        <v>45806</v>
      </c>
      <c r="AE682" s="23">
        <f>IF(DATA[[#This Row],[MONEDA]]="USD",VLOOKUP(DATA[[#This Row],[COMBINADA]],#REF!,11,0),1)</f>
        <v>1</v>
      </c>
      <c r="AF682" s="39" t="str">
        <f>IF(DATA[[#This Row],[SERIE2]]="-","NO CORRESPONDE",IF(W682="NO CORRESPONDE","NO CORRESPONDE",IF(Z682&gt;0,"FACTURADO","PENDIENTE")))</f>
        <v>FACTURADO</v>
      </c>
      <c r="AG682" s="27">
        <f>IFERROR(VLOOKUP(DATA[[#This Row],[COMBINADA]],#REF!,6,0),0)</f>
        <v>0</v>
      </c>
      <c r="AH682" s="125">
        <f>IFERROR(VLOOKUP(DATA[[#This Row],[COMBINADA]],#REF!,9,0),0)/COUNTIFS(DATA[COMBINADA],DATA[[#This Row],[COMBINADA]])</f>
        <v>0</v>
      </c>
      <c r="AI682" s="27">
        <f>IFERROR(VLOOKUP(DATA[[#This Row],[COMBINADA]],#REF!,6,0),0)</f>
        <v>0</v>
      </c>
      <c r="AJ682" s="125">
        <f>IFERROR(VLOOKUP(DATA[[#This Row],[COMBINADA]],#REF!,9,0),0)/COUNTIFS(DATA[COMBINADA],DATA[[#This Row],[COMBINADA]])</f>
        <v>0</v>
      </c>
      <c r="AK682" s="27">
        <f>IFERROR(VLOOKUP(DATA[[#This Row],[COMBINADA]],#REF!,6,0),0)</f>
        <v>0</v>
      </c>
      <c r="AL682" s="125">
        <f>IFERROR(VLOOKUP(DATA[[#This Row],[COMBINADA]],#REF!,9,0),0)/COUNTIFS(DATA[COMBINADA],DATA[[#This Row],[COMBINADA]])</f>
        <v>0</v>
      </c>
      <c r="AM682" s="27">
        <f>IFERROR(VLOOKUP(DATA[[#This Row],[COMBINADA]],#REF!,6,0),0)</f>
        <v>0</v>
      </c>
      <c r="AN682" s="125">
        <f>IFERROR(VLOOKUP(DATA[[#This Row],[COMBINADA]],#REF!,9,0),0)/COUNTIFS(DATA[COMBINADA],DATA[[#This Row],[COMBINADA]])</f>
        <v>0</v>
      </c>
      <c r="AO682" s="27">
        <f>IFERROR(VLOOKUP(DATA[[#This Row],[COMBINADA]],#REF!,6,0),0)</f>
        <v>0</v>
      </c>
      <c r="AP682" s="125">
        <f>IFERROR(VLOOKUP(DATA[[#This Row],[COMBINADA]],#REF!,9,0),0)/COUNTIFS(DATA[COMBINADA],DATA[[#This Row],[COMBINADA]])</f>
        <v>0</v>
      </c>
      <c r="AQ68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4731.92</v>
      </c>
      <c r="AR682" s="26" t="str">
        <f>IFERROR(IF(DATA[[#This Row],[estado_fact]]="FACTURADO",VLOOKUP(DATA[[#This Row],[SERIE2]]&amp;"-"&amp;DATA[[#This Row],[NUMERO]],#REF!,34,0),"NO CORRESPONDE"),"NO CORRESPONDE")</f>
        <v>NO CORRESPONDE</v>
      </c>
      <c r="AS682" s="22" t="str">
        <f>IF(DATA[[#This Row],[fecha_fs]]&gt;0,TEXT(DATA[[#This Row],[fecha_fs]],"Mmmm"),0)</f>
        <v>Mayo</v>
      </c>
      <c r="AT682" s="22" t="str">
        <f>DATA[[#This Row],[SERIE2]]&amp;"-"&amp;DATA[[#This Row],[NUMERO]]</f>
        <v>FF01-99</v>
      </c>
      <c r="AU682" s="28">
        <f>DATA[[#This Row],[TOTAL]]*DATA[[#This Row],[T.C.]]</f>
        <v>4731.92</v>
      </c>
      <c r="AV682" s="6">
        <f>DATA[[#This Row],[FECHA DE VAL.]]</f>
        <v>45798</v>
      </c>
      <c r="AW682" s="6">
        <f>DATA[[#This Row],[FECHA DE EMISION]]</f>
        <v>45805</v>
      </c>
      <c r="AX682" s="6">
        <f>DATA[[#This Row],[F1]]</f>
        <v>0</v>
      </c>
      <c r="AY682" s="20">
        <f>IF(AV682-DATA[[#This Row],[fecha_fs]]&lt;0,0,AV682-DATA[[#This Row],[fecha_fs]])</f>
        <v>1</v>
      </c>
      <c r="AZ682" s="20">
        <f t="shared" si="70"/>
        <v>7</v>
      </c>
      <c r="BA682" s="20">
        <f t="shared" si="71"/>
        <v>0</v>
      </c>
      <c r="BB682" s="195">
        <f>IFERROR(SUM(DATA[[#This Row],[fs_val_ttf]:[fact_pago_ttf]]),0)</f>
        <v>8</v>
      </c>
      <c r="BC682" s="185">
        <v>45797</v>
      </c>
      <c r="BD682" s="185">
        <v>45805</v>
      </c>
      <c r="BE682" s="185">
        <v>45806</v>
      </c>
      <c r="BF682" s="185" t="s">
        <v>270</v>
      </c>
      <c r="BG682" s="20">
        <f>IFERROR(IF(BC682-DATA[[#This Row],[fecha_fs]]&lt;0,0,BC682-DATA[[#This Row],[fecha_fs]]),0)</f>
        <v>0</v>
      </c>
      <c r="BH682" s="20">
        <f t="shared" si="72"/>
        <v>8</v>
      </c>
      <c r="BI682" s="20">
        <f t="shared" si="73"/>
        <v>1</v>
      </c>
      <c r="BJ682" s="20">
        <f t="shared" si="74"/>
        <v>0</v>
      </c>
      <c r="BK682" s="218">
        <f>IFERROR(SUM(DATA[[#This Row],[fs_fd_ttd]:[fend_fenf_ttd]]),0)</f>
        <v>9</v>
      </c>
      <c r="BL682" s="20" t="str">
        <f>IF(DATA[[#This Row],[fecha_fs]]&gt;0,TEXT(DATA[[#This Row],[fecha_fs]],"YYYY"),0)</f>
        <v>2025</v>
      </c>
      <c r="BM682" s="221" t="b">
        <v>0</v>
      </c>
      <c r="BN682" s="278">
        <f>COUNTIF(DATA[[#This Row],[tiempo_td]], "&lt;=15")</f>
        <v>1</v>
      </c>
      <c r="BO682" s="222"/>
    </row>
    <row r="683" spans="1:67" ht="30.6" customHeight="1" x14ac:dyDescent="0.25">
      <c r="A683" s="4">
        <v>20100055237</v>
      </c>
      <c r="B683" s="5" t="s">
        <v>21</v>
      </c>
      <c r="C683" s="52" t="s">
        <v>138</v>
      </c>
      <c r="D683" s="4" t="s">
        <v>139</v>
      </c>
      <c r="E683" s="5" t="s">
        <v>23</v>
      </c>
      <c r="F683" s="24">
        <v>45797</v>
      </c>
      <c r="G683" s="7" t="s">
        <v>113</v>
      </c>
      <c r="H683" s="25">
        <f t="shared" si="69"/>
        <v>1</v>
      </c>
      <c r="I683" s="67">
        <v>4531</v>
      </c>
      <c r="J683" s="8" t="s">
        <v>115</v>
      </c>
      <c r="K683" s="9" t="s">
        <v>121</v>
      </c>
      <c r="L683" s="10" t="s">
        <v>117</v>
      </c>
      <c r="M683" s="11">
        <v>130</v>
      </c>
      <c r="N683" s="12" t="s">
        <v>132</v>
      </c>
      <c r="O683" s="6">
        <v>45805</v>
      </c>
      <c r="P683" s="54">
        <v>3477</v>
      </c>
      <c r="Q683" s="14" t="s">
        <v>85</v>
      </c>
      <c r="R683" s="15"/>
      <c r="S683" s="15">
        <v>297.92</v>
      </c>
      <c r="T683" s="15">
        <f>DATA[[#This Row],[C. DF]]+DATA[[#This Row],[C.OPE.]]</f>
        <v>297.92</v>
      </c>
      <c r="U683" s="15">
        <f>DATA[[#This Row],[SUB TOTAL]]*0.18</f>
        <v>53.625599999999999</v>
      </c>
      <c r="V683" s="15">
        <f>IFERROR(ROUND(DATA[[#This Row],[SUB TOTAL]]+DATA[[#This Row],[IGV]],2),0)</f>
        <v>351.55</v>
      </c>
      <c r="W683" s="16" t="str">
        <f>IF(DATA[[#This Row],[VALORIZACIÓN ]]="-","NO CORRESPONDE",IF(OR(A683=20558226979,A683=10470707866,A683=20111157058,A683=20100226902),"NO CORRESPONDE",IF(J683="Emitida",IF(P683&gt;0,"EMITIDA","PENDIENTE"),"NO CORRESPONDE")))</f>
        <v>EMITIDA</v>
      </c>
      <c r="X683" s="29"/>
      <c r="Y683" s="17" t="s">
        <v>118</v>
      </c>
      <c r="Z683" s="30">
        <v>45820</v>
      </c>
      <c r="AA683" s="10" t="s">
        <v>150</v>
      </c>
      <c r="AB683" s="19">
        <v>120</v>
      </c>
      <c r="AC683" s="20">
        <v>30</v>
      </c>
      <c r="AD683" s="18">
        <f>DATA[[#This Row],[FECHA DE EMISION]]+DATA[[#This Row],[CONDICION DE PAGO]]</f>
        <v>45850</v>
      </c>
      <c r="AE683" s="23">
        <f>IF(DATA[[#This Row],[MONEDA]]="USD",VLOOKUP(DATA[[#This Row],[COMBINADA]],#REF!,11,0),1)</f>
        <v>1</v>
      </c>
      <c r="AF683" s="39" t="str">
        <f>IF(DATA[[#This Row],[SERIE2]]="-","NO CORRESPONDE",IF(W683="NO CORRESPONDE","NO CORRESPONDE",IF(Z683&gt;0,"FACTURADO","PENDIENTE")))</f>
        <v>FACTURADO</v>
      </c>
      <c r="AG683" s="27">
        <f>IFERROR(VLOOKUP(DATA[[#This Row],[COMBINADA]],#REF!,6,0),0)</f>
        <v>0</v>
      </c>
      <c r="AH683" s="125">
        <f>IFERROR(VLOOKUP(DATA[[#This Row],[COMBINADA]],#REF!,9,0),0)/COUNTIFS(DATA[COMBINADA],DATA[[#This Row],[COMBINADA]])</f>
        <v>0</v>
      </c>
      <c r="AI683" s="27">
        <f>IFERROR(VLOOKUP(DATA[[#This Row],[COMBINADA]],#REF!,6,0),0)</f>
        <v>0</v>
      </c>
      <c r="AJ683" s="125">
        <f>IFERROR(VLOOKUP(DATA[[#This Row],[COMBINADA]],#REF!,9,0),0)/COUNTIFS(DATA[COMBINADA],DATA[[#This Row],[COMBINADA]])</f>
        <v>0</v>
      </c>
      <c r="AK683" s="27">
        <f>IFERROR(VLOOKUP(DATA[[#This Row],[COMBINADA]],#REF!,6,0),0)</f>
        <v>0</v>
      </c>
      <c r="AL683" s="125">
        <f>IFERROR(VLOOKUP(DATA[[#This Row],[COMBINADA]],#REF!,9,0),0)/COUNTIFS(DATA[COMBINADA],DATA[[#This Row],[COMBINADA]])</f>
        <v>0</v>
      </c>
      <c r="AM683" s="27">
        <f>IFERROR(VLOOKUP(DATA[[#This Row],[COMBINADA]],#REF!,6,0),0)</f>
        <v>0</v>
      </c>
      <c r="AN683" s="125">
        <f>IFERROR(VLOOKUP(DATA[[#This Row],[COMBINADA]],#REF!,9,0),0)/COUNTIFS(DATA[COMBINADA],DATA[[#This Row],[COMBINADA]])</f>
        <v>0</v>
      </c>
      <c r="AO683" s="27">
        <f>IFERROR(VLOOKUP(DATA[[#This Row],[COMBINADA]],#REF!,6,0),0)</f>
        <v>0</v>
      </c>
      <c r="AP683" s="125">
        <f>IFERROR(VLOOKUP(DATA[[#This Row],[COMBINADA]],#REF!,9,0),0)/COUNTIFS(DATA[COMBINADA],DATA[[#This Row],[COMBINADA]])</f>
        <v>0</v>
      </c>
      <c r="AQ68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683" s="26" t="str">
        <f>IFERROR(IF(DATA[[#This Row],[estado_fact]]="FACTURADO",VLOOKUP(DATA[[#This Row],[SERIE2]]&amp;"-"&amp;DATA[[#This Row],[NUMERO]],#REF!,34,0),"NO CORRESPONDE"),"NO CORRESPONDE")</f>
        <v>NO CORRESPONDE</v>
      </c>
      <c r="AS683" s="22" t="str">
        <f>IF(DATA[[#This Row],[fecha_fs]]&gt;0,TEXT(DATA[[#This Row],[fecha_fs]],"Mmmm"),0)</f>
        <v>Mayo</v>
      </c>
      <c r="AT683" s="22" t="str">
        <f>DATA[[#This Row],[SERIE2]]&amp;"-"&amp;DATA[[#This Row],[NUMERO]]</f>
        <v>FF01-120</v>
      </c>
      <c r="AU683" s="28">
        <f>DATA[[#This Row],[TOTAL]]*DATA[[#This Row],[T.C.]]</f>
        <v>351.55</v>
      </c>
      <c r="AV683" s="6">
        <f>DATA[[#This Row],[FECHA DE VAL.]]</f>
        <v>45805</v>
      </c>
      <c r="AW683" s="6">
        <f>DATA[[#This Row],[FECHA DE EMISION]]</f>
        <v>45820</v>
      </c>
      <c r="AX683" s="6">
        <f>DATA[[#This Row],[F1]]</f>
        <v>0</v>
      </c>
      <c r="AY683" s="20">
        <f>IF(AV683-DATA[[#This Row],[fecha_fs]]&lt;0,0,AV683-DATA[[#This Row],[fecha_fs]])</f>
        <v>8</v>
      </c>
      <c r="AZ683" s="20">
        <f t="shared" si="70"/>
        <v>15</v>
      </c>
      <c r="BA683" s="20">
        <f t="shared" si="71"/>
        <v>0</v>
      </c>
      <c r="BB683" s="195">
        <f>IFERROR(SUM(DATA[[#This Row],[fs_val_ttf]:[fact_pago_ttf]]),0)</f>
        <v>23</v>
      </c>
      <c r="BC683" s="185">
        <v>45797</v>
      </c>
      <c r="BD683" s="185">
        <v>45797</v>
      </c>
      <c r="BE683" s="185">
        <v>45807</v>
      </c>
      <c r="BF683" s="185">
        <v>45807</v>
      </c>
      <c r="BG683" s="20">
        <f>IFERROR(IF(BC683-DATA[[#This Row],[fecha_fs]]&lt;0,0,BC683-DATA[[#This Row],[fecha_fs]]),0)</f>
        <v>0</v>
      </c>
      <c r="BH683" s="20">
        <f t="shared" si="72"/>
        <v>0</v>
      </c>
      <c r="BI683" s="20">
        <f t="shared" si="73"/>
        <v>10</v>
      </c>
      <c r="BJ683" s="20">
        <f t="shared" si="74"/>
        <v>0</v>
      </c>
      <c r="BK683" s="218">
        <f>IFERROR(SUM(DATA[[#This Row],[fs_fd_ttd]:[fend_fenf_ttd]]),0)</f>
        <v>10</v>
      </c>
      <c r="BL683" s="20" t="str">
        <f>IF(DATA[[#This Row],[fecha_fs]]&gt;0,TEXT(DATA[[#This Row],[fecha_fs]],"YYYY"),0)</f>
        <v>2025</v>
      </c>
      <c r="BM683" s="221" t="b">
        <v>1</v>
      </c>
      <c r="BN683" s="278">
        <f>COUNTIF(DATA[[#This Row],[tiempo_td]], "&lt;=15")</f>
        <v>1</v>
      </c>
      <c r="BO683" s="222"/>
    </row>
    <row r="684" spans="1:67" ht="30.6" customHeight="1" x14ac:dyDescent="0.25">
      <c r="A684" s="4">
        <v>20100211115</v>
      </c>
      <c r="B684" s="5" t="s">
        <v>41</v>
      </c>
      <c r="C684" s="52" t="s">
        <v>18</v>
      </c>
      <c r="D684" s="4" t="s">
        <v>120</v>
      </c>
      <c r="E684" s="5" t="s">
        <v>3</v>
      </c>
      <c r="F684" s="24">
        <v>45798</v>
      </c>
      <c r="G684" s="7" t="s">
        <v>113</v>
      </c>
      <c r="H684" s="25">
        <f t="shared" si="69"/>
        <v>1</v>
      </c>
      <c r="I684" s="67">
        <v>4532</v>
      </c>
      <c r="J684" s="8" t="s">
        <v>115</v>
      </c>
      <c r="K684" s="9" t="s">
        <v>121</v>
      </c>
      <c r="L684" s="10" t="s">
        <v>117</v>
      </c>
      <c r="M684" s="11">
        <v>90</v>
      </c>
      <c r="N684" s="12" t="s">
        <v>165</v>
      </c>
      <c r="O684" s="6">
        <v>45803</v>
      </c>
      <c r="P684" s="115">
        <v>3455</v>
      </c>
      <c r="Q684" s="14" t="s">
        <v>85</v>
      </c>
      <c r="R684" s="15"/>
      <c r="S684" s="15">
        <f>(DATA[[#This Row],[cantidad_fs]]*4.37)</f>
        <v>393.3</v>
      </c>
      <c r="T684" s="15">
        <f>DATA[[#This Row],[C. DF]]+DATA[[#This Row],[C.OPE.]]</f>
        <v>393.3</v>
      </c>
      <c r="U684" s="15">
        <f>DATA[[#This Row],[SUB TOTAL]]*0.18</f>
        <v>70.793999999999997</v>
      </c>
      <c r="V684" s="15">
        <f>IFERROR(ROUND(DATA[[#This Row],[SUB TOTAL]]+DATA[[#This Row],[IGV]],2),0)</f>
        <v>464.09</v>
      </c>
      <c r="W684" s="16" t="str">
        <f>IF(DATA[[#This Row],[VALORIZACIÓN ]]="-","NO CORRESPONDE",IF(OR(A684=20558226979,A684=10470707866,A684=20111157058,A684=20100226902),"NO CORRESPONDE",IF(J684="Emitida",IF(P684&gt;0,"EMITIDA","PENDIENTE"),"NO CORRESPONDE")))</f>
        <v>EMITIDA</v>
      </c>
      <c r="X684" s="29"/>
      <c r="Y684" s="17" t="s">
        <v>118</v>
      </c>
      <c r="Z684" s="30">
        <v>45804</v>
      </c>
      <c r="AA684" s="10" t="s">
        <v>150</v>
      </c>
      <c r="AB684" s="19">
        <v>94</v>
      </c>
      <c r="AC684" s="20">
        <v>30</v>
      </c>
      <c r="AD684" s="18">
        <f>DATA[[#This Row],[FECHA DE EMISION]]+DATA[[#This Row],[CONDICION DE PAGO]]</f>
        <v>45834</v>
      </c>
      <c r="AE684" s="23">
        <f>IF(DATA[[#This Row],[MONEDA]]="USD",VLOOKUP(DATA[[#This Row],[COMBINADA]],#REF!,11,0),1)</f>
        <v>1</v>
      </c>
      <c r="AF684" s="39" t="str">
        <f>IF(DATA[[#This Row],[SERIE2]]="-","NO CORRESPONDE",IF(W684="NO CORRESPONDE","NO CORRESPONDE",IF(Z684&gt;0,"FACTURADO","PENDIENTE")))</f>
        <v>FACTURADO</v>
      </c>
      <c r="AG684" s="27">
        <f>IFERROR(VLOOKUP(DATA[[#This Row],[COMBINADA]],#REF!,6,0),0)</f>
        <v>0</v>
      </c>
      <c r="AH684" s="125">
        <f>IFERROR(VLOOKUP(DATA[[#This Row],[COMBINADA]],#REF!,9,0),0)/COUNTIFS(DATA[COMBINADA],DATA[[#This Row],[COMBINADA]])</f>
        <v>0</v>
      </c>
      <c r="AI684" s="27">
        <f>IFERROR(VLOOKUP(DATA[[#This Row],[COMBINADA]],#REF!,6,0),0)</f>
        <v>0</v>
      </c>
      <c r="AJ684" s="125">
        <f>IFERROR(VLOOKUP(DATA[[#This Row],[COMBINADA]],#REF!,9,0),0)/COUNTIFS(DATA[COMBINADA],DATA[[#This Row],[COMBINADA]])</f>
        <v>0</v>
      </c>
      <c r="AK684" s="27">
        <f>IFERROR(VLOOKUP(DATA[[#This Row],[COMBINADA]],#REF!,6,0),0)</f>
        <v>0</v>
      </c>
      <c r="AL684" s="125">
        <f>IFERROR(VLOOKUP(DATA[[#This Row],[COMBINADA]],#REF!,9,0),0)/COUNTIFS(DATA[COMBINADA],DATA[[#This Row],[COMBINADA]])</f>
        <v>0</v>
      </c>
      <c r="AM684" s="27">
        <f>IFERROR(VLOOKUP(DATA[[#This Row],[COMBINADA]],#REF!,6,0),0)</f>
        <v>0</v>
      </c>
      <c r="AN684" s="125">
        <f>IFERROR(VLOOKUP(DATA[[#This Row],[COMBINADA]],#REF!,9,0),0)/COUNTIFS(DATA[COMBINADA],DATA[[#This Row],[COMBINADA]])</f>
        <v>0</v>
      </c>
      <c r="AO684" s="27">
        <f>IFERROR(VLOOKUP(DATA[[#This Row],[COMBINADA]],#REF!,6,0),0)</f>
        <v>0</v>
      </c>
      <c r="AP684" s="125">
        <f>IFERROR(VLOOKUP(DATA[[#This Row],[COMBINADA]],#REF!,9,0),0)/COUNTIFS(DATA[COMBINADA],DATA[[#This Row],[COMBINADA]])</f>
        <v>0</v>
      </c>
      <c r="AQ68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684" s="26" t="str">
        <f>IFERROR(IF(DATA[[#This Row],[estado_fact]]="FACTURADO",VLOOKUP(DATA[[#This Row],[SERIE2]]&amp;"-"&amp;DATA[[#This Row],[NUMERO]],#REF!,34,0),"NO CORRESPONDE"),"NO CORRESPONDE")</f>
        <v>NO CORRESPONDE</v>
      </c>
      <c r="AS684" s="22" t="str">
        <f>IF(DATA[[#This Row],[fecha_fs]]&gt;0,TEXT(DATA[[#This Row],[fecha_fs]],"Mmmm"),0)</f>
        <v>Mayo</v>
      </c>
      <c r="AT684" s="22" t="str">
        <f>DATA[[#This Row],[SERIE2]]&amp;"-"&amp;DATA[[#This Row],[NUMERO]]</f>
        <v>FF01-94</v>
      </c>
      <c r="AU684" s="28">
        <f>DATA[[#This Row],[TOTAL]]*DATA[[#This Row],[T.C.]]</f>
        <v>464.09</v>
      </c>
      <c r="AV684" s="6">
        <f>DATA[[#This Row],[FECHA DE VAL.]]</f>
        <v>45803</v>
      </c>
      <c r="AW684" s="6">
        <f>DATA[[#This Row],[FECHA DE EMISION]]</f>
        <v>45804</v>
      </c>
      <c r="AX684" s="6">
        <f>DATA[[#This Row],[F1]]</f>
        <v>0</v>
      </c>
      <c r="AY684" s="20">
        <f>IF(AV684-DATA[[#This Row],[fecha_fs]]&lt;0,0,AV684-DATA[[#This Row],[fecha_fs]])</f>
        <v>5</v>
      </c>
      <c r="AZ684" s="20">
        <f t="shared" si="70"/>
        <v>1</v>
      </c>
      <c r="BA684" s="20">
        <f t="shared" si="71"/>
        <v>0</v>
      </c>
      <c r="BB684" s="195">
        <f>IFERROR(SUM(DATA[[#This Row],[fs_val_ttf]:[fact_pago_ttf]]),0)</f>
        <v>6</v>
      </c>
      <c r="BC684" s="185">
        <v>45807</v>
      </c>
      <c r="BD684" s="185">
        <v>45814</v>
      </c>
      <c r="BE684" s="185">
        <v>45814</v>
      </c>
      <c r="BF684" s="185">
        <v>45821</v>
      </c>
      <c r="BG684" s="20">
        <f>IFERROR(IF(BC684-DATA[[#This Row],[fecha_fs]]&lt;0,0,BC684-DATA[[#This Row],[fecha_fs]]),0)</f>
        <v>9</v>
      </c>
      <c r="BH684" s="20">
        <f t="shared" si="72"/>
        <v>7</v>
      </c>
      <c r="BI684" s="20">
        <f t="shared" si="73"/>
        <v>0</v>
      </c>
      <c r="BJ684" s="20">
        <f t="shared" si="74"/>
        <v>7</v>
      </c>
      <c r="BK684" s="218">
        <f>IFERROR(SUM(DATA[[#This Row],[fs_fd_ttd]:[fend_fenf_ttd]]),0)</f>
        <v>23</v>
      </c>
      <c r="BL684" s="20" t="str">
        <f>IF(DATA[[#This Row],[fecha_fs]]&gt;0,TEXT(DATA[[#This Row],[fecha_fs]],"YYYY"),0)</f>
        <v>2025</v>
      </c>
      <c r="BM684" s="221" t="b">
        <v>1</v>
      </c>
      <c r="BN684" s="278">
        <f>COUNTIF(DATA[[#This Row],[tiempo_td]], "&lt;=15")</f>
        <v>0</v>
      </c>
      <c r="BO684" s="222"/>
    </row>
    <row r="685" spans="1:67" ht="30.6" customHeight="1" x14ac:dyDescent="0.25">
      <c r="A685" s="4">
        <v>20141637941</v>
      </c>
      <c r="B685" s="5" t="s">
        <v>79</v>
      </c>
      <c r="C685" s="52" t="s">
        <v>18</v>
      </c>
      <c r="D685" s="4" t="s">
        <v>120</v>
      </c>
      <c r="E685" s="5" t="s">
        <v>3</v>
      </c>
      <c r="F685" s="24">
        <v>45798</v>
      </c>
      <c r="G685" s="7" t="s">
        <v>113</v>
      </c>
      <c r="H685" s="25">
        <f t="shared" si="69"/>
        <v>1</v>
      </c>
      <c r="I685" s="67">
        <v>4533</v>
      </c>
      <c r="J685" s="8" t="s">
        <v>115</v>
      </c>
      <c r="K685" s="9" t="s">
        <v>121</v>
      </c>
      <c r="L685" s="10" t="s">
        <v>117</v>
      </c>
      <c r="M685" s="11">
        <v>880</v>
      </c>
      <c r="N685" s="12" t="s">
        <v>125</v>
      </c>
      <c r="O685" s="6">
        <v>45803</v>
      </c>
      <c r="P685" s="110">
        <v>3459</v>
      </c>
      <c r="Q685" s="14" t="s">
        <v>85</v>
      </c>
      <c r="R685" s="15">
        <f>70</f>
        <v>70</v>
      </c>
      <c r="S685" s="15">
        <v>517</v>
      </c>
      <c r="T685" s="15">
        <f>DATA[[#This Row],[C. DF]]+DATA[[#This Row],[C.OPE.]]</f>
        <v>587</v>
      </c>
      <c r="U685" s="15">
        <f>DATA[[#This Row],[SUB TOTAL]]*0.18</f>
        <v>105.66</v>
      </c>
      <c r="V685" s="15">
        <f>IFERROR(ROUND(DATA[[#This Row],[SUB TOTAL]]+DATA[[#This Row],[IGV]],2),0)</f>
        <v>692.66</v>
      </c>
      <c r="W685" s="16" t="str">
        <f>IF(DATA[[#This Row],[VALORIZACIÓN ]]="-","NO CORRESPONDE",IF(OR(A685=20558226979,A685=10470707866,A685=20111157058,A685=20100226902),"NO CORRESPONDE",IF(J685="Emitida",IF(P685&gt;0,"EMITIDA","PENDIENTE"),"NO CORRESPONDE")))</f>
        <v>EMITIDA</v>
      </c>
      <c r="X685" s="29"/>
      <c r="Y685" s="17" t="s">
        <v>118</v>
      </c>
      <c r="Z685" s="30">
        <v>45804</v>
      </c>
      <c r="AA685" s="10" t="s">
        <v>150</v>
      </c>
      <c r="AB685" s="19">
        <v>93</v>
      </c>
      <c r="AC685" s="20">
        <v>30</v>
      </c>
      <c r="AD685" s="18">
        <f>DATA[[#This Row],[FECHA DE EMISION]]+DATA[[#This Row],[CONDICION DE PAGO]]</f>
        <v>45834</v>
      </c>
      <c r="AE685" s="23">
        <f>IF(DATA[[#This Row],[MONEDA]]="USD",VLOOKUP(DATA[[#This Row],[COMBINADA]],#REF!,11,0),1)</f>
        <v>1</v>
      </c>
      <c r="AF685" s="39" t="str">
        <f>IF(DATA[[#This Row],[SERIE2]]="-","NO CORRESPONDE",IF(W685="NO CORRESPONDE","NO CORRESPONDE",IF(Z685&gt;0,"FACTURADO","PENDIENTE")))</f>
        <v>FACTURADO</v>
      </c>
      <c r="AG685" s="133">
        <f>IFERROR(VLOOKUP(DATA[[#This Row],[COMBINADA]],#REF!,6,0),0)</f>
        <v>0</v>
      </c>
      <c r="AH685" s="125">
        <f>IFERROR(VLOOKUP(DATA[[#This Row],[COMBINADA]],#REF!,9,0),0)/COUNTIFS(DATA[COMBINADA],DATA[[#This Row],[COMBINADA]])</f>
        <v>0</v>
      </c>
      <c r="AI685" s="133">
        <f>IFERROR(VLOOKUP(DATA[[#This Row],[COMBINADA]],#REF!,6,0),0)</f>
        <v>0</v>
      </c>
      <c r="AJ685" s="125">
        <f>IFERROR(VLOOKUP(DATA[[#This Row],[COMBINADA]],#REF!,9,0),0)/COUNTIFS(DATA[COMBINADA],DATA[[#This Row],[COMBINADA]])</f>
        <v>0</v>
      </c>
      <c r="AK685" s="133">
        <f>IFERROR(VLOOKUP(DATA[[#This Row],[COMBINADA]],#REF!,6,0),0)</f>
        <v>0</v>
      </c>
      <c r="AL685" s="125">
        <f>IFERROR(VLOOKUP(DATA[[#This Row],[COMBINADA]],#REF!,9,0),0)/COUNTIFS(DATA[COMBINADA],DATA[[#This Row],[COMBINADA]])</f>
        <v>0</v>
      </c>
      <c r="AM685" s="133">
        <f>IFERROR(VLOOKUP(DATA[[#This Row],[COMBINADA]],#REF!,6,0),0)</f>
        <v>0</v>
      </c>
      <c r="AN685" s="125">
        <f>IFERROR(VLOOKUP(DATA[[#This Row],[COMBINADA]],#REF!,9,0),0)/COUNTIFS(DATA[COMBINADA],DATA[[#This Row],[COMBINADA]])</f>
        <v>0</v>
      </c>
      <c r="AO685" s="133">
        <f>IFERROR(VLOOKUP(DATA[[#This Row],[COMBINADA]],#REF!,6,0),0)</f>
        <v>0</v>
      </c>
      <c r="AP685" s="125">
        <f>IFERROR(VLOOKUP(DATA[[#This Row],[COMBINADA]],#REF!,9,0),0)/COUNTIFS(DATA[COMBINADA],DATA[[#This Row],[COMBINADA]])</f>
        <v>0</v>
      </c>
      <c r="AQ68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715.47333333333336</v>
      </c>
      <c r="AR685" s="26" t="str">
        <f>IFERROR(IF(DATA[[#This Row],[estado_fact]]="FACTURADO",VLOOKUP(DATA[[#This Row],[SERIE2]]&amp;"-"&amp;DATA[[#This Row],[NUMERO]],#REF!,34,0),"NO CORRESPONDE"),"NO CORRESPONDE")</f>
        <v>NO CORRESPONDE</v>
      </c>
      <c r="AS685" s="22" t="str">
        <f>IF(DATA[[#This Row],[fecha_fs]]&gt;0,TEXT(DATA[[#This Row],[fecha_fs]],"Mmmm"),0)</f>
        <v>Mayo</v>
      </c>
      <c r="AT685" s="22" t="str">
        <f>DATA[[#This Row],[SERIE2]]&amp;"-"&amp;DATA[[#This Row],[NUMERO]]</f>
        <v>FF01-93</v>
      </c>
      <c r="AU685" s="28">
        <f>DATA[[#This Row],[TOTAL]]*DATA[[#This Row],[T.C.]]</f>
        <v>692.66</v>
      </c>
      <c r="AV685" s="6">
        <f>DATA[[#This Row],[FECHA DE VAL.]]</f>
        <v>45803</v>
      </c>
      <c r="AW685" s="6">
        <f>DATA[[#This Row],[FECHA DE EMISION]]</f>
        <v>45804</v>
      </c>
      <c r="AX685" s="6">
        <f>DATA[[#This Row],[F1]]</f>
        <v>0</v>
      </c>
      <c r="AY685" s="20">
        <f>IF(AV685-DATA[[#This Row],[fecha_fs]]&lt;0,0,AV685-DATA[[#This Row],[fecha_fs]])</f>
        <v>5</v>
      </c>
      <c r="AZ685" s="20">
        <f t="shared" si="70"/>
        <v>1</v>
      </c>
      <c r="BA685" s="20">
        <f t="shared" si="71"/>
        <v>0</v>
      </c>
      <c r="BB685" s="195">
        <f>IFERROR(SUM(DATA[[#This Row],[fs_val_ttf]:[fact_pago_ttf]]),0)</f>
        <v>6</v>
      </c>
      <c r="BC685" s="185">
        <v>45798</v>
      </c>
      <c r="BD685" s="185">
        <v>45798</v>
      </c>
      <c r="BE685" s="185">
        <v>45804</v>
      </c>
      <c r="BF685" s="185">
        <v>45804</v>
      </c>
      <c r="BG685" s="20">
        <f>IFERROR(IF(BC685-DATA[[#This Row],[fecha_fs]]&lt;0,0,BC685-DATA[[#This Row],[fecha_fs]]),0)</f>
        <v>0</v>
      </c>
      <c r="BH685" s="20">
        <f t="shared" si="72"/>
        <v>0</v>
      </c>
      <c r="BI685" s="20">
        <f t="shared" si="73"/>
        <v>6</v>
      </c>
      <c r="BJ685" s="20">
        <f t="shared" si="74"/>
        <v>0</v>
      </c>
      <c r="BK685" s="218">
        <f>IFERROR(SUM(DATA[[#This Row],[fs_fd_ttd]:[fend_fenf_ttd]]),0)</f>
        <v>6</v>
      </c>
      <c r="BL685" s="20" t="str">
        <f>IF(DATA[[#This Row],[fecha_fs]]&gt;0,TEXT(DATA[[#This Row],[fecha_fs]],"YYYY"),0)</f>
        <v>2025</v>
      </c>
      <c r="BM685" s="221" t="b">
        <v>1</v>
      </c>
      <c r="BN685" s="278">
        <f>COUNTIF(DATA[[#This Row],[tiempo_td]], "&lt;=15")</f>
        <v>1</v>
      </c>
      <c r="BO685" s="222"/>
    </row>
    <row r="686" spans="1:67" ht="30.6" customHeight="1" x14ac:dyDescent="0.25">
      <c r="A686" s="4">
        <v>20100226902</v>
      </c>
      <c r="B686" s="5" t="s">
        <v>24</v>
      </c>
      <c r="C686" s="52" t="s">
        <v>18</v>
      </c>
      <c r="D686" s="4" t="s">
        <v>120</v>
      </c>
      <c r="E686" s="5" t="s">
        <v>3</v>
      </c>
      <c r="F686" s="24">
        <v>45798</v>
      </c>
      <c r="G686" s="7" t="s">
        <v>113</v>
      </c>
      <c r="H686" s="25">
        <f t="shared" si="69"/>
        <v>1</v>
      </c>
      <c r="I686" s="67">
        <v>4534</v>
      </c>
      <c r="J686" s="8" t="s">
        <v>115</v>
      </c>
      <c r="K686" s="9" t="s">
        <v>121</v>
      </c>
      <c r="L686" s="10" t="s">
        <v>117</v>
      </c>
      <c r="M686" s="11">
        <v>530</v>
      </c>
      <c r="N686" s="12" t="s">
        <v>240</v>
      </c>
      <c r="O686" s="40"/>
      <c r="P686" s="41" t="s">
        <v>114</v>
      </c>
      <c r="Q686" s="42"/>
      <c r="R686" s="43"/>
      <c r="S686" s="43"/>
      <c r="T686" s="43">
        <f>DATA[[#This Row],[C. DF]]+DATA[[#This Row],[C.OPE.]]</f>
        <v>0</v>
      </c>
      <c r="U686" s="43">
        <f>DATA[[#This Row],[SUB TOTAL]]*0.18</f>
        <v>0</v>
      </c>
      <c r="V686" s="43">
        <f>IFERROR(ROUND(DATA[[#This Row],[SUB TOTAL]]+DATA[[#This Row],[IGV]],2),0)</f>
        <v>0</v>
      </c>
      <c r="W686" s="58" t="str">
        <f>IF(DATA[[#This Row],[VALORIZACIÓN ]]="-","NO CORRESPONDE",IF(OR(A686=20558226979,A686=10470707866,A686=20111157058,A686=20100226902),"NO CORRESPONDE",IF(J686="Emitida",IF(P686&gt;0,"EMITIDA","PENDIENTE"),"NO CORRESPONDE")))</f>
        <v>NO CORRESPONDE</v>
      </c>
      <c r="X686" s="45"/>
      <c r="Y686" s="17" t="s">
        <v>128</v>
      </c>
      <c r="Z686" s="46"/>
      <c r="AA686" s="47"/>
      <c r="AB686" s="48"/>
      <c r="AC686" s="49"/>
      <c r="AD686" s="50">
        <f>DATA[[#This Row],[FECHA DE EMISION]]+DATA[[#This Row],[CONDICION DE PAGO]]</f>
        <v>0</v>
      </c>
      <c r="AE686" s="23">
        <f>IF(DATA[[#This Row],[MONEDA]]="USD",VLOOKUP(DATA[[#This Row],[COMBINADA]],#REF!,11,0),1)</f>
        <v>1</v>
      </c>
      <c r="AF686" s="39" t="str">
        <f>IF(DATA[[#This Row],[SERIE2]]="-","NO CORRESPONDE",IF(W686="NO CORRESPONDE","NO CORRESPONDE",IF(Z686&gt;0,"FACTURADO","PENDIENTE")))</f>
        <v>NO CORRESPONDE</v>
      </c>
      <c r="AG686" s="60">
        <f>IFERROR(VLOOKUP(DATA[[#This Row],[COMBINADA]],#REF!,6,0),0)</f>
        <v>0</v>
      </c>
      <c r="AH686" s="126">
        <f>IFERROR(VLOOKUP(DATA[[#This Row],[COMBINADA]],#REF!,9,0),0)/COUNTIFS(DATA[COMBINADA],DATA[[#This Row],[COMBINADA]])</f>
        <v>0</v>
      </c>
      <c r="AI686" s="60">
        <f>IFERROR(VLOOKUP(DATA[[#This Row],[COMBINADA]],#REF!,6,0),0)</f>
        <v>0</v>
      </c>
      <c r="AJ686" s="126">
        <f>IFERROR(VLOOKUP(DATA[[#This Row],[COMBINADA]],#REF!,9,0),0)/COUNTIFS(DATA[COMBINADA],DATA[[#This Row],[COMBINADA]])</f>
        <v>0</v>
      </c>
      <c r="AK686" s="60">
        <f>IFERROR(VLOOKUP(DATA[[#This Row],[COMBINADA]],#REF!,6,0),0)</f>
        <v>0</v>
      </c>
      <c r="AL686" s="126">
        <f>IFERROR(VLOOKUP(DATA[[#This Row],[COMBINADA]],#REF!,9,0),0)/COUNTIFS(DATA[COMBINADA],DATA[[#This Row],[COMBINADA]])</f>
        <v>0</v>
      </c>
      <c r="AM686" s="60">
        <f>IFERROR(VLOOKUP(DATA[[#This Row],[COMBINADA]],#REF!,6,0),0)</f>
        <v>0</v>
      </c>
      <c r="AN686" s="126">
        <f>IFERROR(VLOOKUP(DATA[[#This Row],[COMBINADA]],#REF!,9,0),0)/COUNTIFS(DATA[COMBINADA],DATA[[#This Row],[COMBINADA]])</f>
        <v>0</v>
      </c>
      <c r="AO686" s="60">
        <f>IFERROR(VLOOKUP(DATA[[#This Row],[COMBINADA]],#REF!,6,0),0)</f>
        <v>0</v>
      </c>
      <c r="AP686" s="126">
        <f>IFERROR(VLOOKUP(DATA[[#This Row],[COMBINADA]],#REF!,9,0),0)/COUNTIFS(DATA[COMBINADA],DATA[[#This Row],[COMBINADA]])</f>
        <v>0</v>
      </c>
      <c r="AQ686"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686" s="22" t="str">
        <f>IFERROR(IF(DATA[[#This Row],[estado_fact]]="FACTURADO",VLOOKUP(DATA[[#This Row],[SERIE2]]&amp;"-"&amp;DATA[[#This Row],[NUMERO]],#REF!,34,0),"NO CORRESPONDE"),"NO CORRESPONDE")</f>
        <v>NO CORRESPONDE</v>
      </c>
      <c r="AS686" s="135" t="str">
        <f>IF(DATA[[#This Row],[fecha_fs]]&gt;0,TEXT(DATA[[#This Row],[fecha_fs]],"Mmmm"),0)</f>
        <v>Mayo</v>
      </c>
      <c r="AT686" s="22" t="str">
        <f>DATA[[#This Row],[SERIE2]]&amp;"-"&amp;DATA[[#This Row],[NUMERO]]</f>
        <v>-</v>
      </c>
      <c r="AU686" s="28">
        <f>DATA[[#This Row],[TOTAL]]*DATA[[#This Row],[T.C.]]</f>
        <v>0</v>
      </c>
      <c r="AV686" s="6">
        <f>DATA[[#This Row],[FECHA DE VAL.]]</f>
        <v>0</v>
      </c>
      <c r="AW686" s="6">
        <f>DATA[[#This Row],[FECHA DE EMISION]]</f>
        <v>0</v>
      </c>
      <c r="AX686" s="6">
        <f>DATA[[#This Row],[F1]]</f>
        <v>0</v>
      </c>
      <c r="AY686" s="20">
        <f>IF(AV686-DATA[[#This Row],[fecha_fs]]&lt;0,0,AV686-DATA[[#This Row],[fecha_fs]])</f>
        <v>0</v>
      </c>
      <c r="AZ686" s="20">
        <f t="shared" si="70"/>
        <v>0</v>
      </c>
      <c r="BA686" s="20">
        <f t="shared" si="71"/>
        <v>0</v>
      </c>
      <c r="BB686" s="195">
        <f>IFERROR(SUM(DATA[[#This Row],[fs_val_ttf]:[fact_pago_ttf]]),0)</f>
        <v>0</v>
      </c>
      <c r="BC686" s="185">
        <v>45798</v>
      </c>
      <c r="BD686" s="185">
        <v>45798</v>
      </c>
      <c r="BE686" s="185">
        <v>45825</v>
      </c>
      <c r="BF686" s="185">
        <v>45825</v>
      </c>
      <c r="BG686" s="20">
        <f>IFERROR(IF(BC686-DATA[[#This Row],[fecha_fs]]&lt;0,0,BC686-DATA[[#This Row],[fecha_fs]]),0)</f>
        <v>0</v>
      </c>
      <c r="BH686" s="20">
        <f t="shared" si="72"/>
        <v>0</v>
      </c>
      <c r="BI686" s="20">
        <f t="shared" si="73"/>
        <v>27</v>
      </c>
      <c r="BJ686" s="20">
        <f t="shared" si="74"/>
        <v>0</v>
      </c>
      <c r="BK686" s="218">
        <f>IFERROR(SUM(DATA[[#This Row],[fs_fd_ttd]:[fend_fenf_ttd]]),0)</f>
        <v>27</v>
      </c>
      <c r="BL686" s="20" t="str">
        <f>IF(DATA[[#This Row],[fecha_fs]]&gt;0,TEXT(DATA[[#This Row],[fecha_fs]],"YYYY"),0)</f>
        <v>2025</v>
      </c>
      <c r="BM686" s="221" t="b">
        <v>1</v>
      </c>
      <c r="BN686" s="278">
        <f>COUNTIF(DATA[[#This Row],[tiempo_td]], "&lt;=15")</f>
        <v>0</v>
      </c>
      <c r="BO686" s="222"/>
    </row>
    <row r="687" spans="1:67" ht="30.6" customHeight="1" x14ac:dyDescent="0.25">
      <c r="A687" s="4">
        <v>20419158462</v>
      </c>
      <c r="B687" s="5" t="s">
        <v>2</v>
      </c>
      <c r="C687" s="52" t="s">
        <v>7</v>
      </c>
      <c r="D687" s="4" t="s">
        <v>120</v>
      </c>
      <c r="E687" s="5" t="s">
        <v>3</v>
      </c>
      <c r="F687" s="24">
        <v>45798</v>
      </c>
      <c r="G687" s="7" t="s">
        <v>113</v>
      </c>
      <c r="H687" s="25">
        <f t="shared" si="69"/>
        <v>1</v>
      </c>
      <c r="I687" s="67">
        <v>4535</v>
      </c>
      <c r="J687" s="8" t="s">
        <v>115</v>
      </c>
      <c r="K687" s="9" t="s">
        <v>156</v>
      </c>
      <c r="L687" s="10" t="s">
        <v>117</v>
      </c>
      <c r="M687" s="11">
        <v>740</v>
      </c>
      <c r="N687" s="12" t="s">
        <v>125</v>
      </c>
      <c r="O687" s="6">
        <v>45799</v>
      </c>
      <c r="P687" s="13">
        <v>3452</v>
      </c>
      <c r="Q687" s="14" t="s">
        <v>85</v>
      </c>
      <c r="R687" s="15"/>
      <c r="S687" s="15">
        <v>1429.7</v>
      </c>
      <c r="T687" s="15">
        <f>DATA[[#This Row],[C. DF]]+DATA[[#This Row],[C.OPE.]]</f>
        <v>1429.7</v>
      </c>
      <c r="U687" s="15">
        <f>DATA[[#This Row],[SUB TOTAL]]*0.18</f>
        <v>257.346</v>
      </c>
      <c r="V687" s="15">
        <f>IFERROR(ROUND(DATA[[#This Row],[SUB TOTAL]]+DATA[[#This Row],[IGV]],2),0)</f>
        <v>1687.05</v>
      </c>
      <c r="W687" s="16" t="str">
        <f>IF(DATA[[#This Row],[VALORIZACIÓN ]]="-","NO CORRESPONDE",IF(OR(A687=20558226979,A687=10470707866,A687=20111157058,A687=20100226902),"NO CORRESPONDE",IF(J687="Emitida",IF(P687&gt;0,"EMITIDA","PENDIENTE"),"NO CORRESPONDE")))</f>
        <v>EMITIDA</v>
      </c>
      <c r="X687" s="29" t="s">
        <v>231</v>
      </c>
      <c r="Y687" s="17" t="s">
        <v>118</v>
      </c>
      <c r="Z687" s="30">
        <v>45846</v>
      </c>
      <c r="AA687" s="10" t="s">
        <v>150</v>
      </c>
      <c r="AB687" s="19">
        <v>154</v>
      </c>
      <c r="AC687" s="20">
        <v>15</v>
      </c>
      <c r="AD687" s="18">
        <f>DATA[[#This Row],[FECHA DE EMISION]]+DATA[[#This Row],[CONDICION DE PAGO]]</f>
        <v>45861</v>
      </c>
      <c r="AE687" s="23">
        <f>IF(DATA[[#This Row],[MONEDA]]="USD",VLOOKUP(DATA[[#This Row],[COMBINADA]],#REF!,11,0),1)</f>
        <v>1</v>
      </c>
      <c r="AF687" s="129" t="str">
        <f>IF(DATA[[#This Row],[SERIE2]]="-","NO CORRESPONDE",IF(W687="NO CORRESPONDE","NO CORRESPONDE",IF(Z687&gt;0,"FACTURADO","PENDIENTE")))</f>
        <v>FACTURADO</v>
      </c>
      <c r="AG687" s="133">
        <f>IFERROR(VLOOKUP(DATA[[#This Row],[COMBINADA]],#REF!,6,0),0)</f>
        <v>0</v>
      </c>
      <c r="AH687" s="125">
        <f>IFERROR(VLOOKUP(DATA[[#This Row],[COMBINADA]],#REF!,9,0),0)/COUNTIFS(DATA[COMBINADA],DATA[[#This Row],[COMBINADA]])</f>
        <v>0</v>
      </c>
      <c r="AI687" s="133">
        <f>IFERROR(VLOOKUP(DATA[[#This Row],[COMBINADA]],#REF!,6,0),0)</f>
        <v>0</v>
      </c>
      <c r="AJ687" s="130">
        <f>IFERROR(VLOOKUP(DATA[[#This Row],[COMBINADA]],#REF!,9,0),0)/COUNTIFS(DATA[COMBINADA],DATA[[#This Row],[COMBINADA]])</f>
        <v>0</v>
      </c>
      <c r="AK687" s="27">
        <f>IFERROR(VLOOKUP(DATA[[#This Row],[COMBINADA]],#REF!,6,0),0)</f>
        <v>0</v>
      </c>
      <c r="AL687" s="125">
        <f>IFERROR(VLOOKUP(DATA[[#This Row],[COMBINADA]],#REF!,9,0),0)/COUNTIFS(DATA[COMBINADA],DATA[[#This Row],[COMBINADA]])</f>
        <v>0</v>
      </c>
      <c r="AM687" s="27">
        <f>IFERROR(VLOOKUP(DATA[[#This Row],[COMBINADA]],#REF!,6,0),0)</f>
        <v>0</v>
      </c>
      <c r="AN687" s="125">
        <f>IFERROR(VLOOKUP(DATA[[#This Row],[COMBINADA]],#REF!,9,0),0)/COUNTIFS(DATA[COMBINADA],DATA[[#This Row],[COMBINADA]])</f>
        <v>0</v>
      </c>
      <c r="AO687" s="27">
        <f>IFERROR(VLOOKUP(DATA[[#This Row],[COMBINADA]],#REF!,6,0),0)</f>
        <v>0</v>
      </c>
      <c r="AP687" s="125">
        <f>IFERROR(VLOOKUP(DATA[[#This Row],[COMBINADA]],#REF!,9,0),0)/COUNTIFS(DATA[COMBINADA],DATA[[#This Row],[COMBINADA]])</f>
        <v>0</v>
      </c>
      <c r="AQ68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1687.05</v>
      </c>
      <c r="AR687" s="26" t="str">
        <f>IFERROR(IF(DATA[[#This Row],[estado_fact]]="FACTURADO",VLOOKUP(DATA[[#This Row],[SERIE2]]&amp;"-"&amp;DATA[[#This Row],[NUMERO]],#REF!,34,0),"NO CORRESPONDE"),"NO CORRESPONDE")</f>
        <v>NO CORRESPONDE</v>
      </c>
      <c r="AS687" s="22" t="str">
        <f>IF(DATA[[#This Row],[fecha_fs]]&gt;0,TEXT(DATA[[#This Row],[fecha_fs]],"Mmmm"),0)</f>
        <v>Mayo</v>
      </c>
      <c r="AT687" s="22" t="str">
        <f>DATA[[#This Row],[SERIE2]]&amp;"-"&amp;DATA[[#This Row],[NUMERO]]</f>
        <v>FF01-154</v>
      </c>
      <c r="AU687" s="28">
        <f>DATA[[#This Row],[TOTAL]]*DATA[[#This Row],[T.C.]]</f>
        <v>1687.05</v>
      </c>
      <c r="AV687" s="6">
        <f>DATA[[#This Row],[FECHA DE VAL.]]</f>
        <v>45799</v>
      </c>
      <c r="AW687" s="6">
        <f>DATA[[#This Row],[FECHA DE EMISION]]</f>
        <v>45846</v>
      </c>
      <c r="AX687" s="6">
        <f>DATA[[#This Row],[F1]]</f>
        <v>0</v>
      </c>
      <c r="AY687" s="20">
        <f>IF(AV687-DATA[[#This Row],[fecha_fs]]&lt;0,0,AV687-DATA[[#This Row],[fecha_fs]])</f>
        <v>1</v>
      </c>
      <c r="AZ687" s="20">
        <f t="shared" si="70"/>
        <v>47</v>
      </c>
      <c r="BA687" s="20">
        <f t="shared" si="71"/>
        <v>0</v>
      </c>
      <c r="BB687" s="195">
        <f>IFERROR(SUM(DATA[[#This Row],[fs_val_ttf]:[fact_pago_ttf]]),0)</f>
        <v>48</v>
      </c>
      <c r="BC687" s="185">
        <v>45798</v>
      </c>
      <c r="BD687" s="185">
        <v>45798</v>
      </c>
      <c r="BE687" s="185">
        <v>45807</v>
      </c>
      <c r="BF687" s="185">
        <v>45807</v>
      </c>
      <c r="BG687" s="20">
        <f>IFERROR(IF(BC687-DATA[[#This Row],[fecha_fs]]&lt;0,0,BC687-DATA[[#This Row],[fecha_fs]]),0)</f>
        <v>0</v>
      </c>
      <c r="BH687" s="20">
        <f t="shared" si="72"/>
        <v>0</v>
      </c>
      <c r="BI687" s="20">
        <f t="shared" si="73"/>
        <v>9</v>
      </c>
      <c r="BJ687" s="20">
        <f t="shared" si="74"/>
        <v>0</v>
      </c>
      <c r="BK687" s="218">
        <f>IFERROR(SUM(DATA[[#This Row],[fs_fd_ttd]:[fend_fenf_ttd]]),0)</f>
        <v>9</v>
      </c>
      <c r="BL687" s="20" t="str">
        <f>IF(DATA[[#This Row],[fecha_fs]]&gt;0,TEXT(DATA[[#This Row],[fecha_fs]],"YYYY"),0)</f>
        <v>2025</v>
      </c>
      <c r="BM687" s="221" t="b">
        <v>1</v>
      </c>
      <c r="BN687" s="278">
        <f>COUNTIF(DATA[[#This Row],[tiempo_td]], "&lt;=15")</f>
        <v>1</v>
      </c>
      <c r="BO687" s="222"/>
    </row>
    <row r="688" spans="1:67" ht="30.6" customHeight="1" x14ac:dyDescent="0.25">
      <c r="A688" s="4">
        <v>20553956324</v>
      </c>
      <c r="B688" s="5" t="s">
        <v>281</v>
      </c>
      <c r="C688" s="52" t="s">
        <v>175</v>
      </c>
      <c r="D688" s="4" t="s">
        <v>120</v>
      </c>
      <c r="E688" s="5" t="s">
        <v>3</v>
      </c>
      <c r="F688" s="24">
        <v>45799</v>
      </c>
      <c r="G688" s="7" t="s">
        <v>113</v>
      </c>
      <c r="H688" s="25">
        <f t="shared" si="69"/>
        <v>1</v>
      </c>
      <c r="I688" s="67">
        <v>4536</v>
      </c>
      <c r="J688" s="8" t="s">
        <v>115</v>
      </c>
      <c r="K688" s="9" t="s">
        <v>121</v>
      </c>
      <c r="L688" s="10" t="s">
        <v>117</v>
      </c>
      <c r="M688" s="11">
        <v>60</v>
      </c>
      <c r="N688" s="12" t="s">
        <v>125</v>
      </c>
      <c r="O688" s="6">
        <v>45803</v>
      </c>
      <c r="P688" s="109">
        <v>3458</v>
      </c>
      <c r="Q688" s="14" t="s">
        <v>85</v>
      </c>
      <c r="R688" s="15">
        <f>DATA[[#This Row],[cantidad_fs]]*0.08</f>
        <v>4.8</v>
      </c>
      <c r="S688" s="15">
        <v>395.1</v>
      </c>
      <c r="T688" s="15">
        <f>DATA[[#This Row],[C. DF]]+DATA[[#This Row],[C.OPE.]]</f>
        <v>399.90000000000003</v>
      </c>
      <c r="U688" s="15">
        <f>DATA[[#This Row],[SUB TOTAL]]*0.18</f>
        <v>71.981999999999999</v>
      </c>
      <c r="V688" s="15">
        <f>IFERROR(ROUND(DATA[[#This Row],[SUB TOTAL]]+DATA[[#This Row],[IGV]],2),0)</f>
        <v>471.88</v>
      </c>
      <c r="W688" s="16" t="str">
        <f>IF(DATA[[#This Row],[VALORIZACIÓN ]]="-","NO CORRESPONDE",IF(OR(A688=20558226979,A688=10470707866,A688=20111157058,A688=20100226902),"NO CORRESPONDE",IF(J688="Emitida",IF(P688&gt;0,"EMITIDA","PENDIENTE"),"NO CORRESPONDE")))</f>
        <v>EMITIDA</v>
      </c>
      <c r="X688" s="29" t="s">
        <v>234</v>
      </c>
      <c r="Y688" s="17" t="s">
        <v>118</v>
      </c>
      <c r="Z688" s="30">
        <v>45845</v>
      </c>
      <c r="AA688" s="10" t="s">
        <v>150</v>
      </c>
      <c r="AB688" s="19">
        <v>143</v>
      </c>
      <c r="AC688" s="20">
        <v>0</v>
      </c>
      <c r="AD688" s="18">
        <f>DATA[[#This Row],[FECHA DE EMISION]]+DATA[[#This Row],[CONDICION DE PAGO]]</f>
        <v>45845</v>
      </c>
      <c r="AE688" s="23">
        <f>IF(DATA[[#This Row],[MONEDA]]="USD",VLOOKUP(DATA[[#This Row],[COMBINADA]],#REF!,11,0),1)</f>
        <v>1</v>
      </c>
      <c r="AF688" s="129" t="str">
        <f>IF(DATA[[#This Row],[SERIE2]]="-","NO CORRESPONDE",IF(W688="NO CORRESPONDE","NO CORRESPONDE",IF(Z688&gt;0,"FACTURADO","PENDIENTE")))</f>
        <v>FACTURADO</v>
      </c>
      <c r="AG688" s="133">
        <f>IFERROR(VLOOKUP(DATA[[#This Row],[COMBINADA]],#REF!,6,0),0)</f>
        <v>0</v>
      </c>
      <c r="AH688" s="125">
        <f>IFERROR(VLOOKUP(DATA[[#This Row],[COMBINADA]],#REF!,9,0),0)/COUNTIFS(DATA[COMBINADA],DATA[[#This Row],[COMBINADA]])</f>
        <v>0</v>
      </c>
      <c r="AI688" s="133">
        <f>IFERROR(VLOOKUP(DATA[[#This Row],[COMBINADA]],#REF!,6,0),0)</f>
        <v>0</v>
      </c>
      <c r="AJ688" s="130">
        <f>IFERROR(VLOOKUP(DATA[[#This Row],[COMBINADA]],#REF!,9,0),0)/COUNTIFS(DATA[COMBINADA],DATA[[#This Row],[COMBINADA]])</f>
        <v>0</v>
      </c>
      <c r="AK688" s="27">
        <f>IFERROR(VLOOKUP(DATA[[#This Row],[COMBINADA]],#REF!,6,0),0)</f>
        <v>0</v>
      </c>
      <c r="AL688" s="125">
        <f>IFERROR(VLOOKUP(DATA[[#This Row],[COMBINADA]],#REF!,9,0),0)/COUNTIFS(DATA[COMBINADA],DATA[[#This Row],[COMBINADA]])</f>
        <v>0</v>
      </c>
      <c r="AM688" s="27">
        <f>IFERROR(VLOOKUP(DATA[[#This Row],[COMBINADA]],#REF!,6,0),0)</f>
        <v>0</v>
      </c>
      <c r="AN688" s="125">
        <f>IFERROR(VLOOKUP(DATA[[#This Row],[COMBINADA]],#REF!,9,0),0)/COUNTIFS(DATA[COMBINADA],DATA[[#This Row],[COMBINADA]])</f>
        <v>0</v>
      </c>
      <c r="AO688" s="27">
        <f>IFERROR(VLOOKUP(DATA[[#This Row],[COMBINADA]],#REF!,6,0),0)</f>
        <v>0</v>
      </c>
      <c r="AP688" s="125">
        <f>IFERROR(VLOOKUP(DATA[[#This Row],[COMBINADA]],#REF!,9,0),0)/COUNTIFS(DATA[COMBINADA],DATA[[#This Row],[COMBINADA]])</f>
        <v>0</v>
      </c>
      <c r="AQ68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481.06363636363642</v>
      </c>
      <c r="AR688" s="26" t="str">
        <f>IFERROR(IF(DATA[[#This Row],[estado_fact]]="FACTURADO",VLOOKUP(DATA[[#This Row],[SERIE2]]&amp;"-"&amp;DATA[[#This Row],[NUMERO]],#REF!,34,0),"NO CORRESPONDE"),"NO CORRESPONDE")</f>
        <v>NO CORRESPONDE</v>
      </c>
      <c r="AS688" s="22" t="str">
        <f>IF(DATA[[#This Row],[fecha_fs]]&gt;0,TEXT(DATA[[#This Row],[fecha_fs]],"Mmmm"),0)</f>
        <v>Mayo</v>
      </c>
      <c r="AT688" s="22" t="str">
        <f>DATA[[#This Row],[SERIE2]]&amp;"-"&amp;DATA[[#This Row],[NUMERO]]</f>
        <v>FF01-143</v>
      </c>
      <c r="AU688" s="28">
        <f>DATA[[#This Row],[TOTAL]]*DATA[[#This Row],[T.C.]]</f>
        <v>471.88</v>
      </c>
      <c r="AV688" s="6">
        <f>DATA[[#This Row],[FECHA DE VAL.]]</f>
        <v>45803</v>
      </c>
      <c r="AW688" s="6">
        <f>DATA[[#This Row],[FECHA DE EMISION]]</f>
        <v>45845</v>
      </c>
      <c r="AX688" s="6">
        <f>DATA[[#This Row],[F1]]</f>
        <v>0</v>
      </c>
      <c r="AY688" s="20">
        <f>IF(AV688-DATA[[#This Row],[fecha_fs]]&lt;0,0,AV688-DATA[[#This Row],[fecha_fs]])</f>
        <v>4</v>
      </c>
      <c r="AZ688" s="20">
        <f t="shared" si="70"/>
        <v>42</v>
      </c>
      <c r="BA688" s="20">
        <f t="shared" si="71"/>
        <v>0</v>
      </c>
      <c r="BB688" s="195">
        <f>IFERROR(SUM(DATA[[#This Row],[fs_val_ttf]:[fact_pago_ttf]]),0)</f>
        <v>46</v>
      </c>
      <c r="BC688" s="185">
        <v>45821</v>
      </c>
      <c r="BD688" s="185">
        <v>45828</v>
      </c>
      <c r="BE688" s="185">
        <v>45831</v>
      </c>
      <c r="BF688" s="185">
        <v>45832</v>
      </c>
      <c r="BG688" s="20">
        <f>IFERROR(IF(BC688-DATA[[#This Row],[fecha_fs]]&lt;0,0,BC688-DATA[[#This Row],[fecha_fs]]),0)</f>
        <v>22</v>
      </c>
      <c r="BH688" s="20">
        <f t="shared" si="72"/>
        <v>7</v>
      </c>
      <c r="BI688" s="20">
        <f t="shared" si="73"/>
        <v>3</v>
      </c>
      <c r="BJ688" s="20">
        <f t="shared" si="74"/>
        <v>1</v>
      </c>
      <c r="BK688" s="218">
        <f>IFERROR(SUM(DATA[[#This Row],[fs_fd_ttd]:[fend_fenf_ttd]]),0)</f>
        <v>33</v>
      </c>
      <c r="BL688" s="20" t="str">
        <f>IF(DATA[[#This Row],[fecha_fs]]&gt;0,TEXT(DATA[[#This Row],[fecha_fs]],"YYYY"),0)</f>
        <v>2025</v>
      </c>
      <c r="BM688" s="221" t="b">
        <v>0</v>
      </c>
      <c r="BN688" s="278">
        <f>COUNTIF(DATA[[#This Row],[tiempo_td]], "&lt;=15")</f>
        <v>0</v>
      </c>
      <c r="BO688" s="222"/>
    </row>
    <row r="689" spans="1:67" ht="30.6" customHeight="1" x14ac:dyDescent="0.25">
      <c r="A689" s="4">
        <v>20100055237</v>
      </c>
      <c r="B689" s="5" t="s">
        <v>21</v>
      </c>
      <c r="C689" s="52" t="s">
        <v>138</v>
      </c>
      <c r="D689" s="4" t="s">
        <v>139</v>
      </c>
      <c r="E689" s="5" t="s">
        <v>23</v>
      </c>
      <c r="F689" s="24">
        <v>45799</v>
      </c>
      <c r="G689" s="7" t="s">
        <v>113</v>
      </c>
      <c r="H689" s="25">
        <f t="shared" si="69"/>
        <v>1</v>
      </c>
      <c r="I689" s="67">
        <v>4537</v>
      </c>
      <c r="J689" s="8" t="s">
        <v>115</v>
      </c>
      <c r="K689" s="9" t="s">
        <v>121</v>
      </c>
      <c r="L689" s="10" t="s">
        <v>117</v>
      </c>
      <c r="M689" s="11">
        <v>50</v>
      </c>
      <c r="N689" s="12" t="s">
        <v>125</v>
      </c>
      <c r="O689" s="6">
        <v>45805</v>
      </c>
      <c r="P689" s="54">
        <v>3477</v>
      </c>
      <c r="Q689" s="14" t="s">
        <v>85</v>
      </c>
      <c r="R689" s="15"/>
      <c r="S689" s="15">
        <v>297.92</v>
      </c>
      <c r="T689" s="15">
        <f>DATA[[#This Row],[C. DF]]+DATA[[#This Row],[C.OPE.]]</f>
        <v>297.92</v>
      </c>
      <c r="U689" s="15">
        <f>DATA[[#This Row],[SUB TOTAL]]*0.18</f>
        <v>53.625599999999999</v>
      </c>
      <c r="V689" s="15">
        <f>IFERROR(ROUND(DATA[[#This Row],[SUB TOTAL]]+DATA[[#This Row],[IGV]],2),0)</f>
        <v>351.55</v>
      </c>
      <c r="W689" s="16" t="str">
        <f>IF(DATA[[#This Row],[VALORIZACIÓN ]]="-","NO CORRESPONDE",IF(OR(A689=20558226979,A689=10470707866,A689=20111157058,A689=20100226902),"NO CORRESPONDE",IF(J689="Emitida",IF(P689&gt;0,"EMITIDA","PENDIENTE"),"NO CORRESPONDE")))</f>
        <v>EMITIDA</v>
      </c>
      <c r="X689" s="29"/>
      <c r="Y689" s="17" t="s">
        <v>118</v>
      </c>
      <c r="Z689" s="30">
        <v>45820</v>
      </c>
      <c r="AA689" s="10" t="s">
        <v>150</v>
      </c>
      <c r="AB689" s="19">
        <v>120</v>
      </c>
      <c r="AC689" s="20">
        <v>30</v>
      </c>
      <c r="AD689" s="18">
        <f>DATA[[#This Row],[FECHA DE EMISION]]+DATA[[#This Row],[CONDICION DE PAGO]]</f>
        <v>45850</v>
      </c>
      <c r="AE689" s="23">
        <f>IF(DATA[[#This Row],[MONEDA]]="USD",VLOOKUP(DATA[[#This Row],[COMBINADA]],#REF!,11,0),1)</f>
        <v>1</v>
      </c>
      <c r="AF689" s="129" t="str">
        <f>IF(DATA[[#This Row],[SERIE2]]="-","NO CORRESPONDE",IF(W689="NO CORRESPONDE","NO CORRESPONDE",IF(Z689&gt;0,"FACTURADO","PENDIENTE")))</f>
        <v>FACTURADO</v>
      </c>
      <c r="AG689" s="133">
        <f>IFERROR(VLOOKUP(DATA[[#This Row],[COMBINADA]],#REF!,6,0),0)</f>
        <v>0</v>
      </c>
      <c r="AH689" s="125">
        <f>IFERROR(VLOOKUP(DATA[[#This Row],[COMBINADA]],#REF!,9,0),0)/COUNTIFS(DATA[COMBINADA],DATA[[#This Row],[COMBINADA]])</f>
        <v>0</v>
      </c>
      <c r="AI689" s="133">
        <f>IFERROR(VLOOKUP(DATA[[#This Row],[COMBINADA]],#REF!,6,0),0)</f>
        <v>0</v>
      </c>
      <c r="AJ689" s="130">
        <f>IFERROR(VLOOKUP(DATA[[#This Row],[COMBINADA]],#REF!,9,0),0)/COUNTIFS(DATA[COMBINADA],DATA[[#This Row],[COMBINADA]])</f>
        <v>0</v>
      </c>
      <c r="AK689" s="27">
        <f>IFERROR(VLOOKUP(DATA[[#This Row],[COMBINADA]],#REF!,6,0),0)</f>
        <v>0</v>
      </c>
      <c r="AL689" s="125">
        <f>IFERROR(VLOOKUP(DATA[[#This Row],[COMBINADA]],#REF!,9,0),0)/COUNTIFS(DATA[COMBINADA],DATA[[#This Row],[COMBINADA]])</f>
        <v>0</v>
      </c>
      <c r="AM689" s="27">
        <f>IFERROR(VLOOKUP(DATA[[#This Row],[COMBINADA]],#REF!,6,0),0)</f>
        <v>0</v>
      </c>
      <c r="AN689" s="125">
        <f>IFERROR(VLOOKUP(DATA[[#This Row],[COMBINADA]],#REF!,9,0),0)/COUNTIFS(DATA[COMBINADA],DATA[[#This Row],[COMBINADA]])</f>
        <v>0</v>
      </c>
      <c r="AO689" s="27">
        <f>IFERROR(VLOOKUP(DATA[[#This Row],[COMBINADA]],#REF!,6,0),0)</f>
        <v>0</v>
      </c>
      <c r="AP689" s="125">
        <f>IFERROR(VLOOKUP(DATA[[#This Row],[COMBINADA]],#REF!,9,0),0)/COUNTIFS(DATA[COMBINADA],DATA[[#This Row],[COMBINADA]])</f>
        <v>0</v>
      </c>
      <c r="AQ68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689" s="26" t="str">
        <f>IFERROR(IF(DATA[[#This Row],[estado_fact]]="FACTURADO",VLOOKUP(DATA[[#This Row],[SERIE2]]&amp;"-"&amp;DATA[[#This Row],[NUMERO]],#REF!,34,0),"NO CORRESPONDE"),"NO CORRESPONDE")</f>
        <v>NO CORRESPONDE</v>
      </c>
      <c r="AS689" s="22" t="str">
        <f>IF(DATA[[#This Row],[fecha_fs]]&gt;0,TEXT(DATA[[#This Row],[fecha_fs]],"Mmmm"),0)</f>
        <v>Mayo</v>
      </c>
      <c r="AT689" s="22" t="str">
        <f>DATA[[#This Row],[SERIE2]]&amp;"-"&amp;DATA[[#This Row],[NUMERO]]</f>
        <v>FF01-120</v>
      </c>
      <c r="AU689" s="28">
        <f>DATA[[#This Row],[TOTAL]]*DATA[[#This Row],[T.C.]]</f>
        <v>351.55</v>
      </c>
      <c r="AV689" s="6">
        <f>DATA[[#This Row],[FECHA DE VAL.]]</f>
        <v>45805</v>
      </c>
      <c r="AW689" s="6">
        <f>DATA[[#This Row],[FECHA DE EMISION]]</f>
        <v>45820</v>
      </c>
      <c r="AX689" s="6">
        <f>DATA[[#This Row],[F1]]</f>
        <v>0</v>
      </c>
      <c r="AY689" s="20">
        <f>IF(AV689-DATA[[#This Row],[fecha_fs]]&lt;0,0,AV689-DATA[[#This Row],[fecha_fs]])</f>
        <v>6</v>
      </c>
      <c r="AZ689" s="20">
        <f t="shared" si="70"/>
        <v>15</v>
      </c>
      <c r="BA689" s="20">
        <f t="shared" si="71"/>
        <v>0</v>
      </c>
      <c r="BB689" s="195">
        <f>IFERROR(SUM(DATA[[#This Row],[fs_val_ttf]:[fact_pago_ttf]]),0)</f>
        <v>21</v>
      </c>
      <c r="BC689" s="185">
        <v>45799</v>
      </c>
      <c r="BD689" s="185">
        <v>45799</v>
      </c>
      <c r="BE689" s="185">
        <v>45807</v>
      </c>
      <c r="BF689" s="185">
        <v>45807</v>
      </c>
      <c r="BG689" s="20">
        <f>IFERROR(IF(BC689-DATA[[#This Row],[fecha_fs]]&lt;0,0,BC689-DATA[[#This Row],[fecha_fs]]),0)</f>
        <v>0</v>
      </c>
      <c r="BH689" s="20">
        <f t="shared" si="72"/>
        <v>0</v>
      </c>
      <c r="BI689" s="20">
        <f t="shared" si="73"/>
        <v>8</v>
      </c>
      <c r="BJ689" s="20">
        <f t="shared" si="74"/>
        <v>0</v>
      </c>
      <c r="BK689" s="218">
        <f>IFERROR(SUM(DATA[[#This Row],[fs_fd_ttd]:[fend_fenf_ttd]]),0)</f>
        <v>8</v>
      </c>
      <c r="BL689" s="20" t="str">
        <f>IF(DATA[[#This Row],[fecha_fs]]&gt;0,TEXT(DATA[[#This Row],[fecha_fs]],"YYYY"),0)</f>
        <v>2025</v>
      </c>
      <c r="BM689" s="221" t="b">
        <v>1</v>
      </c>
      <c r="BN689" s="278">
        <f>COUNTIF(DATA[[#This Row],[tiempo_td]], "&lt;=15")</f>
        <v>1</v>
      </c>
      <c r="BO689" s="222"/>
    </row>
    <row r="690" spans="1:67" ht="30.6" customHeight="1" x14ac:dyDescent="0.25">
      <c r="A690" s="4">
        <v>20121393736</v>
      </c>
      <c r="B690" s="5" t="s">
        <v>38</v>
      </c>
      <c r="C690" s="52" t="s">
        <v>254</v>
      </c>
      <c r="D690" s="4" t="s">
        <v>112</v>
      </c>
      <c r="E690" s="5" t="s">
        <v>1</v>
      </c>
      <c r="F690" s="24">
        <v>45799</v>
      </c>
      <c r="G690" s="7" t="s">
        <v>113</v>
      </c>
      <c r="H690" s="25">
        <f t="shared" si="69"/>
        <v>1</v>
      </c>
      <c r="I690" s="67">
        <v>4538</v>
      </c>
      <c r="J690" s="8" t="s">
        <v>115</v>
      </c>
      <c r="K690" s="9" t="s">
        <v>116</v>
      </c>
      <c r="L690" s="10" t="s">
        <v>117</v>
      </c>
      <c r="M690" s="11">
        <v>23</v>
      </c>
      <c r="N690" s="12" t="s">
        <v>129</v>
      </c>
      <c r="O690" s="6">
        <v>45800</v>
      </c>
      <c r="P690" s="13">
        <v>3453</v>
      </c>
      <c r="Q690" s="14" t="s">
        <v>85</v>
      </c>
      <c r="R690" s="15">
        <f>291/2</f>
        <v>145.5</v>
      </c>
      <c r="S690" s="15">
        <f>548/2</f>
        <v>274</v>
      </c>
      <c r="T690" s="15">
        <f>DATA[[#This Row],[C. DF]]+DATA[[#This Row],[C.OPE.]]</f>
        <v>419.5</v>
      </c>
      <c r="U690" s="15">
        <f>DATA[[#This Row],[SUB TOTAL]]*0.18</f>
        <v>75.509999999999991</v>
      </c>
      <c r="V690" s="15">
        <f>IFERROR(ROUND(DATA[[#This Row],[SUB TOTAL]]+DATA[[#This Row],[IGV]],2),0)</f>
        <v>495.01</v>
      </c>
      <c r="W690" s="16" t="str">
        <f>IF(DATA[[#This Row],[VALORIZACIÓN ]]="-","NO CORRESPONDE",IF(OR(A690=20558226979,A690=10470707866,A690=20111157058,A690=20100226902),"NO CORRESPONDE",IF(J690="Emitida",IF(P690&gt;0,"EMITIDA","PENDIENTE"),"NO CORRESPONDE")))</f>
        <v>EMITIDA</v>
      </c>
      <c r="X690" s="29"/>
      <c r="Y690" s="17" t="s">
        <v>118</v>
      </c>
      <c r="Z690" s="30">
        <v>45805</v>
      </c>
      <c r="AA690" s="10" t="s">
        <v>150</v>
      </c>
      <c r="AB690" s="19">
        <v>100</v>
      </c>
      <c r="AC690" s="20">
        <v>15</v>
      </c>
      <c r="AD690" s="18">
        <f>DATA[[#This Row],[FECHA DE EMISION]]+DATA[[#This Row],[CONDICION DE PAGO]]</f>
        <v>45820</v>
      </c>
      <c r="AE690" s="23">
        <f>IF(DATA[[#This Row],[MONEDA]]="USD",VLOOKUP(DATA[[#This Row],[COMBINADA]],#REF!,11,0),1)</f>
        <v>1</v>
      </c>
      <c r="AF690" s="129" t="str">
        <f>IF(DATA[[#This Row],[SERIE2]]="-","NO CORRESPONDE",IF(W690="NO CORRESPONDE","NO CORRESPONDE",IF(Z690&gt;0,"FACTURADO","PENDIENTE")))</f>
        <v>FACTURADO</v>
      </c>
      <c r="AG690" s="133">
        <f>IFERROR(VLOOKUP(DATA[[#This Row],[COMBINADA]],#REF!,6,0),0)</f>
        <v>0</v>
      </c>
      <c r="AH690" s="125">
        <f>IFERROR(VLOOKUP(DATA[[#This Row],[COMBINADA]],#REF!,9,0),0)/COUNTIFS(DATA[COMBINADA],DATA[[#This Row],[COMBINADA]])</f>
        <v>0</v>
      </c>
      <c r="AI690" s="133">
        <f>IFERROR(VLOOKUP(DATA[[#This Row],[COMBINADA]],#REF!,6,0),0)</f>
        <v>0</v>
      </c>
      <c r="AJ690" s="130">
        <f>IFERROR(VLOOKUP(DATA[[#This Row],[COMBINADA]],#REF!,9,0),0)/COUNTIFS(DATA[COMBINADA],DATA[[#This Row],[COMBINADA]])</f>
        <v>0</v>
      </c>
      <c r="AK690" s="27">
        <f>IFERROR(VLOOKUP(DATA[[#This Row],[COMBINADA]],#REF!,6,0),0)</f>
        <v>0</v>
      </c>
      <c r="AL690" s="125">
        <f>IFERROR(VLOOKUP(DATA[[#This Row],[COMBINADA]],#REF!,9,0),0)/COUNTIFS(DATA[COMBINADA],DATA[[#This Row],[COMBINADA]])</f>
        <v>0</v>
      </c>
      <c r="AM690" s="27">
        <f>IFERROR(VLOOKUP(DATA[[#This Row],[COMBINADA]],#REF!,6,0),0)</f>
        <v>0</v>
      </c>
      <c r="AN690" s="125">
        <f>IFERROR(VLOOKUP(DATA[[#This Row],[COMBINADA]],#REF!,9,0),0)/COUNTIFS(DATA[COMBINADA],DATA[[#This Row],[COMBINADA]])</f>
        <v>0</v>
      </c>
      <c r="AO690" s="27">
        <f>IFERROR(VLOOKUP(DATA[[#This Row],[COMBINADA]],#REF!,6,0),0)</f>
        <v>0</v>
      </c>
      <c r="AP690" s="125">
        <f>IFERROR(VLOOKUP(DATA[[#This Row],[COMBINADA]],#REF!,9,0),0)/COUNTIFS(DATA[COMBINADA],DATA[[#This Row],[COMBINADA]])</f>
        <v>0</v>
      </c>
      <c r="AQ69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495.01</v>
      </c>
      <c r="AR690" s="26" t="str">
        <f>IFERROR(IF(DATA[[#This Row],[estado_fact]]="FACTURADO",VLOOKUP(DATA[[#This Row],[SERIE2]]&amp;"-"&amp;DATA[[#This Row],[NUMERO]],#REF!,34,0),"NO CORRESPONDE"),"NO CORRESPONDE")</f>
        <v>NO CORRESPONDE</v>
      </c>
      <c r="AS690" s="22" t="str">
        <f>IF(DATA[[#This Row],[fecha_fs]]&gt;0,TEXT(DATA[[#This Row],[fecha_fs]],"Mmmm"),0)</f>
        <v>Mayo</v>
      </c>
      <c r="AT690" s="22" t="str">
        <f>DATA[[#This Row],[SERIE2]]&amp;"-"&amp;DATA[[#This Row],[NUMERO]]</f>
        <v>FF01-100</v>
      </c>
      <c r="AU690" s="28">
        <f>DATA[[#This Row],[TOTAL]]*DATA[[#This Row],[T.C.]]</f>
        <v>495.01</v>
      </c>
      <c r="AV690" s="6">
        <f>DATA[[#This Row],[FECHA DE VAL.]]</f>
        <v>45800</v>
      </c>
      <c r="AW690" s="6">
        <f>DATA[[#This Row],[FECHA DE EMISION]]</f>
        <v>45805</v>
      </c>
      <c r="AX690" s="6">
        <f>DATA[[#This Row],[F1]]</f>
        <v>0</v>
      </c>
      <c r="AY690" s="20">
        <f>IF(AV690-DATA[[#This Row],[fecha_fs]]&lt;0,0,AV690-DATA[[#This Row],[fecha_fs]])</f>
        <v>1</v>
      </c>
      <c r="AZ690" s="20">
        <f t="shared" si="70"/>
        <v>5</v>
      </c>
      <c r="BA690" s="20">
        <f t="shared" si="71"/>
        <v>0</v>
      </c>
      <c r="BB690" s="195">
        <f>IFERROR(SUM(DATA[[#This Row],[fs_val_ttf]:[fact_pago_ttf]]),0)</f>
        <v>6</v>
      </c>
      <c r="BC690" s="185">
        <v>45806</v>
      </c>
      <c r="BD690" s="185">
        <v>45812</v>
      </c>
      <c r="BE690" s="185">
        <v>45814</v>
      </c>
      <c r="BF690" s="185">
        <v>45862</v>
      </c>
      <c r="BG690" s="20">
        <f>IFERROR(IF(BC690-DATA[[#This Row],[fecha_fs]]&lt;0,0,BC690-DATA[[#This Row],[fecha_fs]]),0)</f>
        <v>7</v>
      </c>
      <c r="BH690" s="20">
        <f t="shared" si="72"/>
        <v>6</v>
      </c>
      <c r="BI690" s="20">
        <f t="shared" si="73"/>
        <v>2</v>
      </c>
      <c r="BJ690" s="20">
        <f t="shared" si="74"/>
        <v>48</v>
      </c>
      <c r="BK690" s="218">
        <f>IFERROR(SUM(DATA[[#This Row],[fs_fd_ttd]:[fend_fenf_ttd]]),0)</f>
        <v>63</v>
      </c>
      <c r="BL690" s="20" t="str">
        <f>IF(DATA[[#This Row],[fecha_fs]]&gt;0,TEXT(DATA[[#This Row],[fecha_fs]],"YYYY"),0)</f>
        <v>2025</v>
      </c>
      <c r="BM690" s="221" t="b">
        <v>1</v>
      </c>
      <c r="BN690" s="278">
        <f>COUNTIF(DATA[[#This Row],[tiempo_td]], "&lt;=15")</f>
        <v>0</v>
      </c>
      <c r="BO690" s="222"/>
    </row>
    <row r="691" spans="1:67" ht="30.6" customHeight="1" x14ac:dyDescent="0.25">
      <c r="A691" s="4">
        <v>20100226902</v>
      </c>
      <c r="B691" s="5" t="s">
        <v>24</v>
      </c>
      <c r="C691" s="52" t="s">
        <v>18</v>
      </c>
      <c r="D691" s="4" t="s">
        <v>120</v>
      </c>
      <c r="E691" s="5" t="s">
        <v>3</v>
      </c>
      <c r="F691" s="24">
        <v>45800</v>
      </c>
      <c r="G691" s="7" t="s">
        <v>113</v>
      </c>
      <c r="H691" s="25">
        <f t="shared" si="69"/>
        <v>1</v>
      </c>
      <c r="I691" s="67">
        <v>4539</v>
      </c>
      <c r="J691" s="8" t="s">
        <v>115</v>
      </c>
      <c r="K691" s="9" t="s">
        <v>121</v>
      </c>
      <c r="L691" s="10" t="s">
        <v>117</v>
      </c>
      <c r="M691" s="11">
        <v>790</v>
      </c>
      <c r="N691" s="12" t="s">
        <v>127</v>
      </c>
      <c r="O691" s="40"/>
      <c r="P691" s="41" t="s">
        <v>114</v>
      </c>
      <c r="Q691" s="42"/>
      <c r="R691" s="43"/>
      <c r="S691" s="43"/>
      <c r="T691" s="43">
        <f>DATA[[#This Row],[C. DF]]+DATA[[#This Row],[C.OPE.]]</f>
        <v>0</v>
      </c>
      <c r="U691" s="43">
        <f>DATA[[#This Row],[SUB TOTAL]]*0.18</f>
        <v>0</v>
      </c>
      <c r="V691" s="43">
        <f>IFERROR(ROUND(DATA[[#This Row],[SUB TOTAL]]+DATA[[#This Row],[IGV]],2),0)</f>
        <v>0</v>
      </c>
      <c r="W691" s="58" t="str">
        <f>IF(DATA[[#This Row],[VALORIZACIÓN ]]="-","NO CORRESPONDE",IF(OR(A691=20558226979,A691=10470707866,A691=20111157058,A691=20100226902),"NO CORRESPONDE",IF(J691="Emitida",IF(P691&gt;0,"EMITIDA","PENDIENTE"),"NO CORRESPONDE")))</f>
        <v>NO CORRESPONDE</v>
      </c>
      <c r="X691" s="45"/>
      <c r="Y691" s="17" t="s">
        <v>128</v>
      </c>
      <c r="Z691" s="46"/>
      <c r="AA691" s="47"/>
      <c r="AB691" s="48"/>
      <c r="AC691" s="49"/>
      <c r="AD691" s="50">
        <f>DATA[[#This Row],[FECHA DE EMISION]]+DATA[[#This Row],[CONDICION DE PAGO]]</f>
        <v>0</v>
      </c>
      <c r="AE691" s="23">
        <f>IF(DATA[[#This Row],[MONEDA]]="USD",VLOOKUP(DATA[[#This Row],[COMBINADA]],#REF!,11,0),1)</f>
        <v>1</v>
      </c>
      <c r="AF691" s="129" t="str">
        <f>IF(DATA[[#This Row],[SERIE2]]="-","NO CORRESPONDE",IF(W691="NO CORRESPONDE","NO CORRESPONDE",IF(Z691&gt;0,"FACTURADO","PENDIENTE")))</f>
        <v>NO CORRESPONDE</v>
      </c>
      <c r="AG691" s="140">
        <f>IFERROR(VLOOKUP(DATA[[#This Row],[COMBINADA]],#REF!,6,0),0)</f>
        <v>0</v>
      </c>
      <c r="AH691" s="126">
        <f>IFERROR(VLOOKUP(DATA[[#This Row],[COMBINADA]],#REF!,9,0),0)/COUNTIFS(DATA[COMBINADA],DATA[[#This Row],[COMBINADA]])</f>
        <v>0</v>
      </c>
      <c r="AI691" s="140">
        <f>IFERROR(VLOOKUP(DATA[[#This Row],[COMBINADA]],#REF!,6,0),0)</f>
        <v>0</v>
      </c>
      <c r="AJ691" s="138">
        <f>IFERROR(VLOOKUP(DATA[[#This Row],[COMBINADA]],#REF!,9,0),0)/COUNTIFS(DATA[COMBINADA],DATA[[#This Row],[COMBINADA]])</f>
        <v>0</v>
      </c>
      <c r="AK691" s="60">
        <f>IFERROR(VLOOKUP(DATA[[#This Row],[COMBINADA]],#REF!,6,0),0)</f>
        <v>0</v>
      </c>
      <c r="AL691" s="126">
        <f>IFERROR(VLOOKUP(DATA[[#This Row],[COMBINADA]],#REF!,9,0),0)/COUNTIFS(DATA[COMBINADA],DATA[[#This Row],[COMBINADA]])</f>
        <v>0</v>
      </c>
      <c r="AM691" s="60">
        <f>IFERROR(VLOOKUP(DATA[[#This Row],[COMBINADA]],#REF!,6,0),0)</f>
        <v>0</v>
      </c>
      <c r="AN691" s="126">
        <f>IFERROR(VLOOKUP(DATA[[#This Row],[COMBINADA]],#REF!,9,0),0)/COUNTIFS(DATA[COMBINADA],DATA[[#This Row],[COMBINADA]])</f>
        <v>0</v>
      </c>
      <c r="AO691" s="60">
        <f>IFERROR(VLOOKUP(DATA[[#This Row],[COMBINADA]],#REF!,6,0),0)</f>
        <v>0</v>
      </c>
      <c r="AP691" s="126">
        <f>IFERROR(VLOOKUP(DATA[[#This Row],[COMBINADA]],#REF!,9,0),0)/COUNTIFS(DATA[COMBINADA],DATA[[#This Row],[COMBINADA]])</f>
        <v>0</v>
      </c>
      <c r="AQ691"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691" s="22" t="str">
        <f>IFERROR(IF(DATA[[#This Row],[estado_fact]]="FACTURADO",VLOOKUP(DATA[[#This Row],[SERIE2]]&amp;"-"&amp;DATA[[#This Row],[NUMERO]],#REF!,34,0),"NO CORRESPONDE"),"NO CORRESPONDE")</f>
        <v>NO CORRESPONDE</v>
      </c>
      <c r="AS691" s="135" t="str">
        <f>IF(DATA[[#This Row],[fecha_fs]]&gt;0,TEXT(DATA[[#This Row],[fecha_fs]],"Mmmm"),0)</f>
        <v>Mayo</v>
      </c>
      <c r="AT691" s="22" t="str">
        <f>DATA[[#This Row],[SERIE2]]&amp;"-"&amp;DATA[[#This Row],[NUMERO]]</f>
        <v>-</v>
      </c>
      <c r="AU691" s="28">
        <f>DATA[[#This Row],[TOTAL]]*DATA[[#This Row],[T.C.]]</f>
        <v>0</v>
      </c>
      <c r="AV691" s="6">
        <f>DATA[[#This Row],[FECHA DE VAL.]]</f>
        <v>0</v>
      </c>
      <c r="AW691" s="6">
        <f>DATA[[#This Row],[FECHA DE EMISION]]</f>
        <v>0</v>
      </c>
      <c r="AX691" s="6">
        <f>DATA[[#This Row],[F1]]</f>
        <v>0</v>
      </c>
      <c r="AY691" s="20">
        <f>IF(AV691-DATA[[#This Row],[fecha_fs]]&lt;0,0,AV691-DATA[[#This Row],[fecha_fs]])</f>
        <v>0</v>
      </c>
      <c r="AZ691" s="20">
        <f t="shared" si="70"/>
        <v>0</v>
      </c>
      <c r="BA691" s="20">
        <f t="shared" si="71"/>
        <v>0</v>
      </c>
      <c r="BB691" s="195">
        <f>IFERROR(SUM(DATA[[#This Row],[fs_val_ttf]:[fact_pago_ttf]]),0)</f>
        <v>0</v>
      </c>
      <c r="BC691" s="185">
        <v>45800</v>
      </c>
      <c r="BD691" s="185">
        <v>45800</v>
      </c>
      <c r="BE691" s="185">
        <v>45825</v>
      </c>
      <c r="BF691" s="185">
        <v>45825</v>
      </c>
      <c r="BG691" s="20">
        <f>IFERROR(IF(BC691-DATA[[#This Row],[fecha_fs]]&lt;0,0,BC691-DATA[[#This Row],[fecha_fs]]),0)</f>
        <v>0</v>
      </c>
      <c r="BH691" s="20">
        <f t="shared" si="72"/>
        <v>0</v>
      </c>
      <c r="BI691" s="20">
        <f t="shared" si="73"/>
        <v>25</v>
      </c>
      <c r="BJ691" s="20">
        <f t="shared" si="74"/>
        <v>0</v>
      </c>
      <c r="BK691" s="218">
        <f>IFERROR(SUM(DATA[[#This Row],[fs_fd_ttd]:[fend_fenf_ttd]]),0)</f>
        <v>25</v>
      </c>
      <c r="BL691" s="20" t="str">
        <f>IF(DATA[[#This Row],[fecha_fs]]&gt;0,TEXT(DATA[[#This Row],[fecha_fs]],"YYYY"),0)</f>
        <v>2025</v>
      </c>
      <c r="BM691" s="221" t="b">
        <v>1</v>
      </c>
      <c r="BN691" s="278">
        <f>COUNTIF(DATA[[#This Row],[tiempo_td]], "&lt;=15")</f>
        <v>0</v>
      </c>
      <c r="BO691" s="222"/>
    </row>
    <row r="692" spans="1:67" ht="30.6" customHeight="1" x14ac:dyDescent="0.25">
      <c r="A692" s="4">
        <v>20603536569</v>
      </c>
      <c r="B692" s="5" t="s">
        <v>27</v>
      </c>
      <c r="C692" s="52" t="s">
        <v>295</v>
      </c>
      <c r="D692" s="4" t="s">
        <v>120</v>
      </c>
      <c r="E692" s="5" t="s">
        <v>3</v>
      </c>
      <c r="F692" s="24">
        <v>45799</v>
      </c>
      <c r="G692" s="7" t="s">
        <v>113</v>
      </c>
      <c r="H692" s="25">
        <f t="shared" si="69"/>
        <v>1</v>
      </c>
      <c r="I692" s="67">
        <v>4540</v>
      </c>
      <c r="J692" s="8" t="s">
        <v>115</v>
      </c>
      <c r="K692" s="9" t="s">
        <v>121</v>
      </c>
      <c r="L692" s="10" t="s">
        <v>117</v>
      </c>
      <c r="M692" s="11">
        <v>149</v>
      </c>
      <c r="N692" s="12" t="s">
        <v>167</v>
      </c>
      <c r="O692" s="6">
        <v>45800</v>
      </c>
      <c r="P692" s="13">
        <v>3454</v>
      </c>
      <c r="Q692" s="14" t="s">
        <v>85</v>
      </c>
      <c r="R692" s="15">
        <v>192</v>
      </c>
      <c r="S692" s="15">
        <v>3688.35</v>
      </c>
      <c r="T692" s="15">
        <f>DATA[[#This Row],[C. DF]]+DATA[[#This Row],[C.OPE.]]</f>
        <v>3880.35</v>
      </c>
      <c r="U692" s="15">
        <f>DATA[[#This Row],[SUB TOTAL]]*0.18</f>
        <v>698.46299999999997</v>
      </c>
      <c r="V692" s="15">
        <f>IFERROR(ROUND(DATA[[#This Row],[SUB TOTAL]]+DATA[[#This Row],[IGV]],2),0)</f>
        <v>4578.8100000000004</v>
      </c>
      <c r="W692" s="16" t="str">
        <f>IF(DATA[[#This Row],[VALORIZACIÓN ]]="-","NO CORRESPONDE",IF(OR(A692=20558226979,A692=10470707866,A692=20111157058,A692=20100226902),"NO CORRESPONDE",IF(J692="Emitida",IF(P692&gt;0,"EMITIDA","PENDIENTE"),"NO CORRESPONDE")))</f>
        <v>EMITIDA</v>
      </c>
      <c r="X692" s="29" t="s">
        <v>255</v>
      </c>
      <c r="Y692" s="17" t="s">
        <v>118</v>
      </c>
      <c r="Z692" s="30">
        <v>45817</v>
      </c>
      <c r="AA692" s="10" t="s">
        <v>150</v>
      </c>
      <c r="AB692" s="19">
        <v>110</v>
      </c>
      <c r="AC692" s="20">
        <v>15</v>
      </c>
      <c r="AD692" s="18">
        <f>DATA[[#This Row],[FECHA DE EMISION]]+DATA[[#This Row],[CONDICION DE PAGO]]</f>
        <v>45832</v>
      </c>
      <c r="AE692" s="23">
        <f>IF(DATA[[#This Row],[MONEDA]]="USD",VLOOKUP(DATA[[#This Row],[COMBINADA]],#REF!,11,0),1)</f>
        <v>1</v>
      </c>
      <c r="AF692" s="129" t="str">
        <f>IF(DATA[[#This Row],[SERIE2]]="-","NO CORRESPONDE",IF(W692="NO CORRESPONDE","NO CORRESPONDE",IF(Z692&gt;0,"FACTURADO","PENDIENTE")))</f>
        <v>FACTURADO</v>
      </c>
      <c r="AG692" s="133">
        <f>IFERROR(VLOOKUP(DATA[[#This Row],[COMBINADA]],#REF!,6,0),0)</f>
        <v>0</v>
      </c>
      <c r="AH692" s="125">
        <f>IFERROR(VLOOKUP(DATA[[#This Row],[COMBINADA]],#REF!,9,0),0)/COUNTIFS(DATA[COMBINADA],DATA[[#This Row],[COMBINADA]])</f>
        <v>0</v>
      </c>
      <c r="AI692" s="133">
        <f>IFERROR(VLOOKUP(DATA[[#This Row],[COMBINADA]],#REF!,6,0),0)</f>
        <v>0</v>
      </c>
      <c r="AJ692" s="130">
        <f>IFERROR(VLOOKUP(DATA[[#This Row],[COMBINADA]],#REF!,9,0),0)/COUNTIFS(DATA[COMBINADA],DATA[[#This Row],[COMBINADA]])</f>
        <v>0</v>
      </c>
      <c r="AK692" s="27">
        <f>IFERROR(VLOOKUP(DATA[[#This Row],[COMBINADA]],#REF!,6,0),0)</f>
        <v>0</v>
      </c>
      <c r="AL692" s="125">
        <f>IFERROR(VLOOKUP(DATA[[#This Row],[COMBINADA]],#REF!,9,0),0)/COUNTIFS(DATA[COMBINADA],DATA[[#This Row],[COMBINADA]])</f>
        <v>0</v>
      </c>
      <c r="AM692" s="27">
        <f>IFERROR(VLOOKUP(DATA[[#This Row],[COMBINADA]],#REF!,6,0),0)</f>
        <v>0</v>
      </c>
      <c r="AN692" s="125">
        <f>IFERROR(VLOOKUP(DATA[[#This Row],[COMBINADA]],#REF!,9,0),0)/COUNTIFS(DATA[COMBINADA],DATA[[#This Row],[COMBINADA]])</f>
        <v>0</v>
      </c>
      <c r="AO692" s="27">
        <f>IFERROR(VLOOKUP(DATA[[#This Row],[COMBINADA]],#REF!,6,0),0)</f>
        <v>0</v>
      </c>
      <c r="AP692" s="125">
        <f>IFERROR(VLOOKUP(DATA[[#This Row],[COMBINADA]],#REF!,9,0),0)/COUNTIFS(DATA[COMBINADA],DATA[[#This Row],[COMBINADA]])</f>
        <v>0</v>
      </c>
      <c r="AQ69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4578.8100000000004</v>
      </c>
      <c r="AR692" s="26" t="str">
        <f>IFERROR(IF(DATA[[#This Row],[estado_fact]]="FACTURADO",VLOOKUP(DATA[[#This Row],[SERIE2]]&amp;"-"&amp;DATA[[#This Row],[NUMERO]],#REF!,34,0),"NO CORRESPONDE"),"NO CORRESPONDE")</f>
        <v>NO CORRESPONDE</v>
      </c>
      <c r="AS692" s="22" t="str">
        <f>IF(DATA[[#This Row],[fecha_fs]]&gt;0,TEXT(DATA[[#This Row],[fecha_fs]],"Mmmm"),0)</f>
        <v>Mayo</v>
      </c>
      <c r="AT692" s="22" t="str">
        <f>DATA[[#This Row],[SERIE2]]&amp;"-"&amp;DATA[[#This Row],[NUMERO]]</f>
        <v>FF01-110</v>
      </c>
      <c r="AU692" s="28">
        <f>DATA[[#This Row],[TOTAL]]*DATA[[#This Row],[T.C.]]</f>
        <v>4578.8100000000004</v>
      </c>
      <c r="AV692" s="6">
        <f>DATA[[#This Row],[FECHA DE VAL.]]</f>
        <v>45800</v>
      </c>
      <c r="AW692" s="6">
        <f>DATA[[#This Row],[FECHA DE EMISION]]</f>
        <v>45817</v>
      </c>
      <c r="AX692" s="6">
        <f>DATA[[#This Row],[F1]]</f>
        <v>0</v>
      </c>
      <c r="AY692" s="20">
        <f>IF(AV692-DATA[[#This Row],[fecha_fs]]&lt;0,0,AV692-DATA[[#This Row],[fecha_fs]])</f>
        <v>1</v>
      </c>
      <c r="AZ692" s="20">
        <f t="shared" si="70"/>
        <v>17</v>
      </c>
      <c r="BA692" s="20">
        <f t="shared" si="71"/>
        <v>0</v>
      </c>
      <c r="BB692" s="195">
        <f>IFERROR(SUM(DATA[[#This Row],[fs_val_ttf]:[fact_pago_ttf]]),0)</f>
        <v>18</v>
      </c>
      <c r="BC692" s="185">
        <v>45807</v>
      </c>
      <c r="BD692" s="185">
        <v>45811</v>
      </c>
      <c r="BE692" s="185">
        <v>45814</v>
      </c>
      <c r="BF692" s="185">
        <v>45832</v>
      </c>
      <c r="BG692" s="20">
        <f>IFERROR(IF(BC692-DATA[[#This Row],[fecha_fs]]&lt;0,0,BC692-DATA[[#This Row],[fecha_fs]]),0)</f>
        <v>8</v>
      </c>
      <c r="BH692" s="20">
        <f t="shared" si="72"/>
        <v>4</v>
      </c>
      <c r="BI692" s="20">
        <f t="shared" si="73"/>
        <v>3</v>
      </c>
      <c r="BJ692" s="20">
        <f t="shared" si="74"/>
        <v>18</v>
      </c>
      <c r="BK692" s="218">
        <f>IFERROR(SUM(DATA[[#This Row],[fs_fd_ttd]:[fend_fenf_ttd]]),0)</f>
        <v>33</v>
      </c>
      <c r="BL692" s="20" t="str">
        <f>IF(DATA[[#This Row],[fecha_fs]]&gt;0,TEXT(DATA[[#This Row],[fecha_fs]],"YYYY"),0)</f>
        <v>2025</v>
      </c>
      <c r="BM692" s="221" t="b">
        <v>1</v>
      </c>
      <c r="BN692" s="278">
        <f>COUNTIF(DATA[[#This Row],[tiempo_td]], "&lt;=15")</f>
        <v>0</v>
      </c>
      <c r="BO692" s="222"/>
    </row>
    <row r="693" spans="1:67" ht="30" customHeight="1" x14ac:dyDescent="0.25">
      <c r="A693" s="4"/>
      <c r="B693" s="5" t="s">
        <v>0</v>
      </c>
      <c r="C693" s="52"/>
      <c r="D693" s="4"/>
      <c r="E693" s="5" t="s">
        <v>0</v>
      </c>
      <c r="F693" s="24">
        <v>45799</v>
      </c>
      <c r="G693" s="7" t="s">
        <v>113</v>
      </c>
      <c r="H693" s="25">
        <f t="shared" si="69"/>
        <v>1</v>
      </c>
      <c r="I693" s="67">
        <v>4541</v>
      </c>
      <c r="J693" s="8" t="s">
        <v>151</v>
      </c>
      <c r="K693" s="9"/>
      <c r="L693" s="10"/>
      <c r="M693" s="111"/>
      <c r="N693" s="112"/>
      <c r="O693" s="6"/>
      <c r="P693" s="13"/>
      <c r="Q693" s="14"/>
      <c r="R693" s="15"/>
      <c r="S693" s="56"/>
      <c r="T693" s="15">
        <f>DATA[[#This Row],[C. DF]]+DATA[[#This Row],[C.OPE.]]</f>
        <v>0</v>
      </c>
      <c r="U693" s="73">
        <f>DATA[[#This Row],[SUB TOTAL]]*0.18</f>
        <v>0</v>
      </c>
      <c r="V693" s="45">
        <f>IFERROR(ROUND(DATA[[#This Row],[SUB TOTAL]]+DATA[[#This Row],[IGV]],2),0)</f>
        <v>0</v>
      </c>
      <c r="W693" s="73" t="str">
        <f>IF(DATA[[#This Row],[VALORIZACIÓN ]]="-","NO CORRESPONDE",IF(OR(A693=20558226979,A693=10470707866,A693=20111157058,A693=20100226902),"NO CORRESPONDE",IF(J693="Emitida",IF(P693&gt;0,"EMITIDA","PENDIENTE"),"NO CORRESPONDE")))</f>
        <v>NO CORRESPONDE</v>
      </c>
      <c r="X693" s="46"/>
      <c r="Y693" s="17" t="s">
        <v>128</v>
      </c>
      <c r="Z693" s="48"/>
      <c r="AA693" s="49"/>
      <c r="AB693" s="50"/>
      <c r="AC693" s="51"/>
      <c r="AD693" s="59">
        <f>DATA[[#This Row],[FECHA DE EMISION]]+DATA[[#This Row],[CONDICION DE PAGO]]</f>
        <v>0</v>
      </c>
      <c r="AE693" s="23">
        <f>IF(DATA[[#This Row],[MONEDA]]="USD",VLOOKUP(DATA[[#This Row],[COMBINADA]],#REF!,11,0),1)</f>
        <v>1</v>
      </c>
      <c r="AF693" s="39" t="str">
        <f>IF(DATA[[#This Row],[SERIE2]]="-","NO CORRESPONDE",IF(W693="NO CORRESPONDE","NO CORRESPONDE",IF(Z693&gt;0,"FACTURADO","PENDIENTE")))</f>
        <v>NO CORRESPONDE</v>
      </c>
      <c r="AG693" s="61">
        <f>IFERROR(VLOOKUP(DATA[[#This Row],[COMBINADA]],#REF!,6,0),0)</f>
        <v>0</v>
      </c>
      <c r="AH693" s="62">
        <f>IFERROR(VLOOKUP(DATA[[#This Row],[COMBINADA]],#REF!,9,0),0)/COUNTIFS(DATA[COMBINADA],DATA[[#This Row],[COMBINADA]])</f>
        <v>0</v>
      </c>
      <c r="AI693" s="61">
        <f>IFERROR(VLOOKUP(DATA[[#This Row],[COMBINADA]],#REF!,6,0),0)</f>
        <v>0</v>
      </c>
      <c r="AJ693" s="62">
        <f>IFERROR(VLOOKUP(DATA[[#This Row],[COMBINADA]],#REF!,9,0),0)/COUNTIFS(DATA[COMBINADA],DATA[[#This Row],[COMBINADA]])</f>
        <v>0</v>
      </c>
      <c r="AK693" s="61">
        <f>IFERROR(VLOOKUP(DATA[[#This Row],[COMBINADA]],#REF!,6,0),0)</f>
        <v>0</v>
      </c>
      <c r="AL693" s="62">
        <f>IFERROR(VLOOKUP(DATA[[#This Row],[COMBINADA]],#REF!,9,0),0)/COUNTIFS(DATA[COMBINADA],DATA[[#This Row],[COMBINADA]])</f>
        <v>0</v>
      </c>
      <c r="AM693" s="61">
        <f>IFERROR(VLOOKUP(DATA[[#This Row],[COMBINADA]],#REF!,6,0),0)</f>
        <v>0</v>
      </c>
      <c r="AN693" s="62">
        <f>IFERROR(VLOOKUP(DATA[[#This Row],[COMBINADA]],#REF!,9,0),0)/COUNTIFS(DATA[COMBINADA],DATA[[#This Row],[COMBINADA]])</f>
        <v>0</v>
      </c>
      <c r="AO693" s="61">
        <f>IFERROR(VLOOKUP(DATA[[#This Row],[COMBINADA]],#REF!,6,0),0)</f>
        <v>0</v>
      </c>
      <c r="AP693" s="62">
        <f>IFERROR(VLOOKUP(DATA[[#This Row],[COMBINADA]],#REF!,9,0),0)/COUNTIFS(DATA[COMBINADA],DATA[[#This Row],[COMBINADA]])</f>
        <v>0</v>
      </c>
      <c r="AQ693"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693" s="22" t="str">
        <f>IFERROR(IF(DATA[[#This Row],[estado_fact]]="FACTURADO",VLOOKUP(DATA[[#This Row],[SERIE2]]&amp;"-"&amp;DATA[[#This Row],[NUMERO]],#REF!,34,0),"NO CORRESPONDE"),"NO CORRESPONDE")</f>
        <v>NO CORRESPONDE</v>
      </c>
      <c r="AS693" s="198" t="str">
        <f>IF(DATA[[#This Row],[fecha_fs]]&gt;0,TEXT(DATA[[#This Row],[fecha_fs]],"Mmmm"),0)</f>
        <v>Mayo</v>
      </c>
      <c r="AT693" s="199" t="str">
        <f>DATA[[#This Row],[SERIE2]]&amp;"-"&amp;DATA[[#This Row],[NUMERO]]</f>
        <v>-</v>
      </c>
      <c r="AU693" s="198">
        <f>DATA[[#This Row],[TOTAL]]*DATA[[#This Row],[T.C.]]</f>
        <v>0</v>
      </c>
      <c r="AV693" s="40">
        <f>DATA[[#This Row],[FECHA DE VAL.]]</f>
        <v>0</v>
      </c>
      <c r="AW693" s="40">
        <f>DATA[[#This Row],[FECHA DE EMISION]]</f>
        <v>0</v>
      </c>
      <c r="AX693" s="40">
        <f>DATA[[#This Row],[F1]]</f>
        <v>0</v>
      </c>
      <c r="AY693" s="49">
        <f>IF(AV693-DATA[[#This Row],[fecha_fs]]&lt;0,0,AV693-DATA[[#This Row],[fecha_fs]])</f>
        <v>0</v>
      </c>
      <c r="AZ693" s="49">
        <f t="shared" si="70"/>
        <v>0</v>
      </c>
      <c r="BA693" s="49">
        <f t="shared" si="71"/>
        <v>0</v>
      </c>
      <c r="BB693" s="195">
        <f>IFERROR(SUM(DATA[[#This Row],[fs_val_ttf]:[fact_pago_ttf]]),0)</f>
        <v>0</v>
      </c>
      <c r="BC693" s="200"/>
      <c r="BD693" s="200"/>
      <c r="BE693" s="200"/>
      <c r="BF693" s="200"/>
      <c r="BG693" s="49">
        <f>IFERROR(IF(BC693-DATA[[#This Row],[fecha_fs]]&lt;0,0,BC693-DATA[[#This Row],[fecha_fs]]),0)</f>
        <v>0</v>
      </c>
      <c r="BH693" s="49">
        <f t="shared" si="72"/>
        <v>0</v>
      </c>
      <c r="BI693" s="49">
        <f t="shared" si="73"/>
        <v>0</v>
      </c>
      <c r="BJ693" s="49">
        <f t="shared" si="74"/>
        <v>0</v>
      </c>
      <c r="BK693" s="218">
        <f>IFERROR(SUM(DATA[[#This Row],[fs_fd_ttd]:[fend_fenf_ttd]]),0)</f>
        <v>0</v>
      </c>
      <c r="BL693" s="20" t="str">
        <f>IF(DATA[[#This Row],[fecha_fs]]&gt;0,TEXT(DATA[[#This Row],[fecha_fs]],"YYYY"),0)</f>
        <v>2025</v>
      </c>
      <c r="BM693" s="221" t="b">
        <v>0</v>
      </c>
      <c r="BN693" s="278"/>
      <c r="BO693" s="222"/>
    </row>
    <row r="694" spans="1:67" ht="30.6" customHeight="1" x14ac:dyDescent="0.25">
      <c r="A694" s="4">
        <v>20100211115</v>
      </c>
      <c r="B694" s="5" t="s">
        <v>41</v>
      </c>
      <c r="C694" s="52" t="s">
        <v>18</v>
      </c>
      <c r="D694" s="4" t="s">
        <v>120</v>
      </c>
      <c r="E694" s="5" t="s">
        <v>3</v>
      </c>
      <c r="F694" s="24">
        <v>45800</v>
      </c>
      <c r="G694" s="7" t="s">
        <v>113</v>
      </c>
      <c r="H694" s="25">
        <f t="shared" si="69"/>
        <v>1</v>
      </c>
      <c r="I694" s="67">
        <v>4542</v>
      </c>
      <c r="J694" s="8" t="s">
        <v>115</v>
      </c>
      <c r="K694" s="9" t="s">
        <v>121</v>
      </c>
      <c r="L694" s="10" t="s">
        <v>117</v>
      </c>
      <c r="M694" s="11">
        <v>90</v>
      </c>
      <c r="N694" s="12" t="s">
        <v>165</v>
      </c>
      <c r="O694" s="6">
        <v>45803</v>
      </c>
      <c r="P694" s="115">
        <v>3455</v>
      </c>
      <c r="Q694" s="14" t="s">
        <v>85</v>
      </c>
      <c r="R694" s="15"/>
      <c r="S694" s="15">
        <f>(DATA[[#This Row],[cantidad_fs]]*4.37)</f>
        <v>393.3</v>
      </c>
      <c r="T694" s="15">
        <f>DATA[[#This Row],[C. DF]]+DATA[[#This Row],[C.OPE.]]</f>
        <v>393.3</v>
      </c>
      <c r="U694" s="15">
        <f>DATA[[#This Row],[SUB TOTAL]]*0.18</f>
        <v>70.793999999999997</v>
      </c>
      <c r="V694" s="15">
        <f>IFERROR(ROUND(DATA[[#This Row],[SUB TOTAL]]+DATA[[#This Row],[IGV]],2),0)</f>
        <v>464.09</v>
      </c>
      <c r="W694" s="16" t="str">
        <f>IF(DATA[[#This Row],[VALORIZACIÓN ]]="-","NO CORRESPONDE",IF(OR(A694=20558226979,A694=10470707866,A694=20111157058,A694=20100226902),"NO CORRESPONDE",IF(J694="Emitida",IF(P694&gt;0,"EMITIDA","PENDIENTE"),"NO CORRESPONDE")))</f>
        <v>EMITIDA</v>
      </c>
      <c r="X694" s="29"/>
      <c r="Y694" s="17" t="s">
        <v>118</v>
      </c>
      <c r="Z694" s="30">
        <v>45804</v>
      </c>
      <c r="AA694" s="10" t="s">
        <v>150</v>
      </c>
      <c r="AB694" s="19">
        <v>94</v>
      </c>
      <c r="AC694" s="20">
        <v>30</v>
      </c>
      <c r="AD694" s="18">
        <f>DATA[[#This Row],[FECHA DE EMISION]]+DATA[[#This Row],[CONDICION DE PAGO]]</f>
        <v>45834</v>
      </c>
      <c r="AE694" s="23">
        <f>IF(DATA[[#This Row],[MONEDA]]="USD",VLOOKUP(DATA[[#This Row],[COMBINADA]],#REF!,11,0),1)</f>
        <v>1</v>
      </c>
      <c r="AF694" s="129" t="str">
        <f>IF(DATA[[#This Row],[SERIE2]]="-","NO CORRESPONDE",IF(W694="NO CORRESPONDE","NO CORRESPONDE",IF(Z694&gt;0,"FACTURADO","PENDIENTE")))</f>
        <v>FACTURADO</v>
      </c>
      <c r="AG694" s="133">
        <f>IFERROR(VLOOKUP(DATA[[#This Row],[COMBINADA]],#REF!,6,0),0)</f>
        <v>0</v>
      </c>
      <c r="AH694" s="125">
        <f>IFERROR(VLOOKUP(DATA[[#This Row],[COMBINADA]],#REF!,9,0),0)/COUNTIFS(DATA[COMBINADA],DATA[[#This Row],[COMBINADA]])</f>
        <v>0</v>
      </c>
      <c r="AI694" s="133">
        <f>IFERROR(VLOOKUP(DATA[[#This Row],[COMBINADA]],#REF!,6,0),0)</f>
        <v>0</v>
      </c>
      <c r="AJ694" s="130">
        <f>IFERROR(VLOOKUP(DATA[[#This Row],[COMBINADA]],#REF!,9,0),0)/COUNTIFS(DATA[COMBINADA],DATA[[#This Row],[COMBINADA]])</f>
        <v>0</v>
      </c>
      <c r="AK694" s="27">
        <f>IFERROR(VLOOKUP(DATA[[#This Row],[COMBINADA]],#REF!,6,0),0)</f>
        <v>0</v>
      </c>
      <c r="AL694" s="125">
        <f>IFERROR(VLOOKUP(DATA[[#This Row],[COMBINADA]],#REF!,9,0),0)/COUNTIFS(DATA[COMBINADA],DATA[[#This Row],[COMBINADA]])</f>
        <v>0</v>
      </c>
      <c r="AM694" s="27">
        <f>IFERROR(VLOOKUP(DATA[[#This Row],[COMBINADA]],#REF!,6,0),0)</f>
        <v>0</v>
      </c>
      <c r="AN694" s="125">
        <f>IFERROR(VLOOKUP(DATA[[#This Row],[COMBINADA]],#REF!,9,0),0)/COUNTIFS(DATA[COMBINADA],DATA[[#This Row],[COMBINADA]])</f>
        <v>0</v>
      </c>
      <c r="AO694" s="27">
        <f>IFERROR(VLOOKUP(DATA[[#This Row],[COMBINADA]],#REF!,6,0),0)</f>
        <v>0</v>
      </c>
      <c r="AP694" s="125">
        <f>IFERROR(VLOOKUP(DATA[[#This Row],[COMBINADA]],#REF!,9,0),0)/COUNTIFS(DATA[COMBINADA],DATA[[#This Row],[COMBINADA]])</f>
        <v>0</v>
      </c>
      <c r="AQ69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694" s="26" t="str">
        <f>IFERROR(IF(DATA[[#This Row],[estado_fact]]="FACTURADO",VLOOKUP(DATA[[#This Row],[SERIE2]]&amp;"-"&amp;DATA[[#This Row],[NUMERO]],#REF!,34,0),"NO CORRESPONDE"),"NO CORRESPONDE")</f>
        <v>NO CORRESPONDE</v>
      </c>
      <c r="AS694" s="22" t="str">
        <f>IF(DATA[[#This Row],[fecha_fs]]&gt;0,TEXT(DATA[[#This Row],[fecha_fs]],"Mmmm"),0)</f>
        <v>Mayo</v>
      </c>
      <c r="AT694" s="22" t="str">
        <f>DATA[[#This Row],[SERIE2]]&amp;"-"&amp;DATA[[#This Row],[NUMERO]]</f>
        <v>FF01-94</v>
      </c>
      <c r="AU694" s="28">
        <f>DATA[[#This Row],[TOTAL]]*DATA[[#This Row],[T.C.]]</f>
        <v>464.09</v>
      </c>
      <c r="AV694" s="6">
        <f>DATA[[#This Row],[FECHA DE VAL.]]</f>
        <v>45803</v>
      </c>
      <c r="AW694" s="6">
        <f>DATA[[#This Row],[FECHA DE EMISION]]</f>
        <v>45804</v>
      </c>
      <c r="AX694" s="6">
        <f>DATA[[#This Row],[F1]]</f>
        <v>0</v>
      </c>
      <c r="AY694" s="20">
        <f>IF(AV694-DATA[[#This Row],[fecha_fs]]&lt;0,0,AV694-DATA[[#This Row],[fecha_fs]])</f>
        <v>3</v>
      </c>
      <c r="AZ694" s="20">
        <f t="shared" si="70"/>
        <v>1</v>
      </c>
      <c r="BA694" s="20">
        <f t="shared" si="71"/>
        <v>0</v>
      </c>
      <c r="BB694" s="195">
        <f>IFERROR(SUM(DATA[[#This Row],[fs_val_ttf]:[fact_pago_ttf]]),0)</f>
        <v>4</v>
      </c>
      <c r="BC694" s="185">
        <v>45807</v>
      </c>
      <c r="BD694" s="185">
        <v>45814</v>
      </c>
      <c r="BE694" s="185">
        <v>45814</v>
      </c>
      <c r="BF694" s="185">
        <v>45821</v>
      </c>
      <c r="BG694" s="20">
        <f>IFERROR(IF(BC694-DATA[[#This Row],[fecha_fs]]&lt;0,0,BC694-DATA[[#This Row],[fecha_fs]]),0)</f>
        <v>7</v>
      </c>
      <c r="BH694" s="20">
        <f t="shared" si="72"/>
        <v>7</v>
      </c>
      <c r="BI694" s="20">
        <f t="shared" si="73"/>
        <v>0</v>
      </c>
      <c r="BJ694" s="20">
        <f t="shared" si="74"/>
        <v>7</v>
      </c>
      <c r="BK694" s="218">
        <f>IFERROR(SUM(DATA[[#This Row],[fs_fd_ttd]:[fend_fenf_ttd]]),0)</f>
        <v>21</v>
      </c>
      <c r="BL694" s="20" t="str">
        <f>IF(DATA[[#This Row],[fecha_fs]]&gt;0,TEXT(DATA[[#This Row],[fecha_fs]],"YYYY"),0)</f>
        <v>2025</v>
      </c>
      <c r="BM694" s="221" t="b">
        <v>1</v>
      </c>
      <c r="BN694" s="278">
        <f>COUNTIF(DATA[[#This Row],[tiempo_td]], "&lt;=15")</f>
        <v>0</v>
      </c>
      <c r="BO694" s="222"/>
    </row>
    <row r="695" spans="1:67" ht="30.6" customHeight="1" x14ac:dyDescent="0.25">
      <c r="A695" s="4">
        <v>20558226979</v>
      </c>
      <c r="B695" s="5" t="s">
        <v>45</v>
      </c>
      <c r="C695" s="52" t="s">
        <v>18</v>
      </c>
      <c r="D695" s="4" t="s">
        <v>112</v>
      </c>
      <c r="E695" s="5" t="s">
        <v>1</v>
      </c>
      <c r="F695" s="24">
        <v>45799</v>
      </c>
      <c r="G695" s="7" t="s">
        <v>113</v>
      </c>
      <c r="H695" s="25">
        <f t="shared" si="69"/>
        <v>1</v>
      </c>
      <c r="I695" s="67">
        <v>4543</v>
      </c>
      <c r="J695" s="8" t="s">
        <v>115</v>
      </c>
      <c r="K695" s="9" t="s">
        <v>116</v>
      </c>
      <c r="L695" s="10" t="s">
        <v>117</v>
      </c>
      <c r="M695" s="11">
        <v>20</v>
      </c>
      <c r="N695" s="12" t="s">
        <v>114</v>
      </c>
      <c r="O695" s="40"/>
      <c r="P695" s="41" t="s">
        <v>114</v>
      </c>
      <c r="Q695" s="42"/>
      <c r="R695" s="43"/>
      <c r="S695" s="43"/>
      <c r="T695" s="43">
        <f>DATA[[#This Row],[C. DF]]+DATA[[#This Row],[C.OPE.]]</f>
        <v>0</v>
      </c>
      <c r="U695" s="43">
        <f>DATA[[#This Row],[SUB TOTAL]]*0.18</f>
        <v>0</v>
      </c>
      <c r="V695" s="43">
        <f>IFERROR(ROUND(DATA[[#This Row],[SUB TOTAL]]+DATA[[#This Row],[IGV]],2),0)</f>
        <v>0</v>
      </c>
      <c r="W695" s="16" t="str">
        <f>IF(DATA[[#This Row],[VALORIZACIÓN ]]="-","NO CORRESPONDE",IF(OR(A695=20558226979,A695=10470707866,A695=20111157058,A695=20100226902),"NO CORRESPONDE",IF(J695="Emitida",IF(P695&gt;0,"EMITIDA","PENDIENTE"),"NO CORRESPONDE")))</f>
        <v>NO CORRESPONDE</v>
      </c>
      <c r="X695" s="29"/>
      <c r="Y695" s="17" t="s">
        <v>128</v>
      </c>
      <c r="Z695" s="30"/>
      <c r="AA695" s="10"/>
      <c r="AB695" s="19"/>
      <c r="AC695" s="20"/>
      <c r="AD695" s="18">
        <f>DATA[[#This Row],[FECHA DE EMISION]]+DATA[[#This Row],[CONDICION DE PAGO]]</f>
        <v>0</v>
      </c>
      <c r="AE695" s="23">
        <f>IF(DATA[[#This Row],[MONEDA]]="USD",VLOOKUP(DATA[[#This Row],[COMBINADA]],#REF!,11,0),1)</f>
        <v>1</v>
      </c>
      <c r="AF695" s="39" t="str">
        <f>IF(DATA[[#This Row],[SERIE2]]="-","NO CORRESPONDE",IF(W695="NO CORRESPONDE","NO CORRESPONDE",IF(Z695&gt;0,"FACTURADO","PENDIENTE")))</f>
        <v>NO CORRESPONDE</v>
      </c>
      <c r="AG695" s="133">
        <f>IFERROR(VLOOKUP(DATA[[#This Row],[COMBINADA]],#REF!,6,0),0)</f>
        <v>0</v>
      </c>
      <c r="AH695" s="125">
        <f>IFERROR(VLOOKUP(DATA[[#This Row],[COMBINADA]],#REF!,9,0),0)/COUNTIFS(DATA[COMBINADA],DATA[[#This Row],[COMBINADA]])</f>
        <v>0</v>
      </c>
      <c r="AI695" s="133">
        <f>IFERROR(VLOOKUP(DATA[[#This Row],[COMBINADA]],#REF!,6,0),0)</f>
        <v>0</v>
      </c>
      <c r="AJ695" s="130">
        <f>IFERROR(VLOOKUP(DATA[[#This Row],[COMBINADA]],#REF!,9,0),0)/COUNTIFS(DATA[COMBINADA],DATA[[#This Row],[COMBINADA]])</f>
        <v>0</v>
      </c>
      <c r="AK695" s="27">
        <f>IFERROR(VLOOKUP(DATA[[#This Row],[COMBINADA]],#REF!,6,0),0)</f>
        <v>0</v>
      </c>
      <c r="AL695" s="125">
        <f>IFERROR(VLOOKUP(DATA[[#This Row],[COMBINADA]],#REF!,9,0),0)/COUNTIFS(DATA[COMBINADA],DATA[[#This Row],[COMBINADA]])</f>
        <v>0</v>
      </c>
      <c r="AM695" s="27">
        <f>IFERROR(VLOOKUP(DATA[[#This Row],[COMBINADA]],#REF!,6,0),0)</f>
        <v>0</v>
      </c>
      <c r="AN695" s="125">
        <f>IFERROR(VLOOKUP(DATA[[#This Row],[COMBINADA]],#REF!,9,0),0)/COUNTIFS(DATA[COMBINADA],DATA[[#This Row],[COMBINADA]])</f>
        <v>0</v>
      </c>
      <c r="AO695" s="27">
        <f>IFERROR(VLOOKUP(DATA[[#This Row],[COMBINADA]],#REF!,6,0),0)</f>
        <v>0</v>
      </c>
      <c r="AP695" s="125">
        <f>IFERROR(VLOOKUP(DATA[[#This Row],[COMBINADA]],#REF!,9,0),0)/COUNTIFS(DATA[COMBINADA],DATA[[#This Row],[COMBINADA]])</f>
        <v>0</v>
      </c>
      <c r="AQ69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695" s="26" t="str">
        <f>IFERROR(IF(DATA[[#This Row],[estado_fact]]="FACTURADO",VLOOKUP(DATA[[#This Row],[SERIE2]]&amp;"-"&amp;DATA[[#This Row],[NUMERO]],#REF!,34,0),"NO CORRESPONDE"),"NO CORRESPONDE")</f>
        <v>NO CORRESPONDE</v>
      </c>
      <c r="AS695" s="22" t="str">
        <f>IF(DATA[[#This Row],[fecha_fs]]&gt;0,TEXT(DATA[[#This Row],[fecha_fs]],"Mmmm"),0)</f>
        <v>Mayo</v>
      </c>
      <c r="AT695" s="22" t="str">
        <f>DATA[[#This Row],[SERIE2]]&amp;"-"&amp;DATA[[#This Row],[NUMERO]]</f>
        <v>-</v>
      </c>
      <c r="AU695" s="28">
        <f>DATA[[#This Row],[TOTAL]]*DATA[[#This Row],[T.C.]]</f>
        <v>0</v>
      </c>
      <c r="AV695" s="6">
        <f>DATA[[#This Row],[FECHA DE VAL.]]</f>
        <v>0</v>
      </c>
      <c r="AW695" s="6">
        <f>DATA[[#This Row],[FECHA DE EMISION]]</f>
        <v>0</v>
      </c>
      <c r="AX695" s="6">
        <f>DATA[[#This Row],[F1]]</f>
        <v>0</v>
      </c>
      <c r="AY695" s="20">
        <f>IF(AV695-DATA[[#This Row],[fecha_fs]]&lt;0,0,AV695-DATA[[#This Row],[fecha_fs]])</f>
        <v>0</v>
      </c>
      <c r="AZ695" s="20">
        <f t="shared" si="70"/>
        <v>0</v>
      </c>
      <c r="BA695" s="20">
        <f t="shared" si="71"/>
        <v>0</v>
      </c>
      <c r="BB695" s="195">
        <f>IFERROR(SUM(DATA[[#This Row],[fs_val_ttf]:[fact_pago_ttf]]),0)</f>
        <v>0</v>
      </c>
      <c r="BC695" s="185">
        <v>45806</v>
      </c>
      <c r="BD695" s="185">
        <v>45812</v>
      </c>
      <c r="BE695" s="185">
        <v>45873</v>
      </c>
      <c r="BF695" s="185">
        <v>45873</v>
      </c>
      <c r="BG695" s="20">
        <f>IFERROR(IF(BC695-DATA[[#This Row],[fecha_fs]]&lt;0,0,BC695-DATA[[#This Row],[fecha_fs]]),0)</f>
        <v>7</v>
      </c>
      <c r="BH695" s="20">
        <f t="shared" si="72"/>
        <v>6</v>
      </c>
      <c r="BI695" s="20">
        <f t="shared" si="73"/>
        <v>61</v>
      </c>
      <c r="BJ695" s="20">
        <f t="shared" si="74"/>
        <v>0</v>
      </c>
      <c r="BK695" s="218">
        <f>IFERROR(SUM(DATA[[#This Row],[fs_fd_ttd]:[fend_fenf_ttd]]),0)</f>
        <v>74</v>
      </c>
      <c r="BL695" s="20" t="str">
        <f>IF(DATA[[#This Row],[fecha_fs]]&gt;0,TEXT(DATA[[#This Row],[fecha_fs]],"YYYY"),0)</f>
        <v>2025</v>
      </c>
      <c r="BM695" s="221" t="b">
        <v>1</v>
      </c>
      <c r="BN695" s="278">
        <f>COUNTIF(DATA[[#This Row],[tiempo_td]], "&lt;=15")</f>
        <v>0</v>
      </c>
      <c r="BO695" s="222"/>
    </row>
    <row r="696" spans="1:67" ht="30.6" customHeight="1" x14ac:dyDescent="0.25">
      <c r="A696" s="4">
        <v>20100211115</v>
      </c>
      <c r="B696" s="5" t="s">
        <v>41</v>
      </c>
      <c r="C696" s="52" t="s">
        <v>18</v>
      </c>
      <c r="D696" s="4" t="s">
        <v>112</v>
      </c>
      <c r="E696" s="5" t="s">
        <v>1</v>
      </c>
      <c r="F696" s="24">
        <v>45800</v>
      </c>
      <c r="G696" s="7" t="s">
        <v>113</v>
      </c>
      <c r="H696" s="25">
        <f t="shared" si="69"/>
        <v>1</v>
      </c>
      <c r="I696" s="67">
        <v>4544</v>
      </c>
      <c r="J696" s="8" t="s">
        <v>115</v>
      </c>
      <c r="K696" s="9" t="s">
        <v>116</v>
      </c>
      <c r="L696" s="10" t="s">
        <v>117</v>
      </c>
      <c r="M696" s="11">
        <v>16</v>
      </c>
      <c r="N696" s="12" t="s">
        <v>165</v>
      </c>
      <c r="O696" s="6">
        <v>45803</v>
      </c>
      <c r="P696" s="115">
        <v>3456</v>
      </c>
      <c r="Q696" s="14" t="s">
        <v>85</v>
      </c>
      <c r="R696" s="15"/>
      <c r="S696" s="15">
        <f>(DATA[[#This Row],[cantidad_fs]]*4.57)</f>
        <v>73.12</v>
      </c>
      <c r="T696" s="15">
        <f>DATA[[#This Row],[C. DF]]+DATA[[#This Row],[C.OPE.]]</f>
        <v>73.12</v>
      </c>
      <c r="U696" s="15">
        <f>DATA[[#This Row],[SUB TOTAL]]*0.18</f>
        <v>13.1616</v>
      </c>
      <c r="V696" s="15">
        <f>IFERROR(ROUND(DATA[[#This Row],[SUB TOTAL]]+DATA[[#This Row],[IGV]],2),0)</f>
        <v>86.28</v>
      </c>
      <c r="W696" s="16" t="str">
        <f>IF(DATA[[#This Row],[VALORIZACIÓN ]]="-","NO CORRESPONDE",IF(OR(A696=20558226979,A696=10470707866,A696=20111157058,A696=20100226902),"NO CORRESPONDE",IF(J696="Emitida",IF(P696&gt;0,"EMITIDA","PENDIENTE"),"NO CORRESPONDE")))</f>
        <v>EMITIDA</v>
      </c>
      <c r="X696" s="29"/>
      <c r="Y696" s="17" t="s">
        <v>118</v>
      </c>
      <c r="Z696" s="30">
        <v>45804</v>
      </c>
      <c r="AA696" s="10" t="s">
        <v>150</v>
      </c>
      <c r="AB696" s="19">
        <v>95</v>
      </c>
      <c r="AC696" s="20">
        <v>30</v>
      </c>
      <c r="AD696" s="18">
        <f>DATA[[#This Row],[FECHA DE EMISION]]+DATA[[#This Row],[CONDICION DE PAGO]]</f>
        <v>45834</v>
      </c>
      <c r="AE696" s="23">
        <f>IF(DATA[[#This Row],[MONEDA]]="USD",VLOOKUP(DATA[[#This Row],[COMBINADA]],#REF!,11,0),1)</f>
        <v>1</v>
      </c>
      <c r="AF696" s="129" t="str">
        <f>IF(DATA[[#This Row],[SERIE2]]="-","NO CORRESPONDE",IF(W696="NO CORRESPONDE","NO CORRESPONDE",IF(Z696&gt;0,"FACTURADO","PENDIENTE")))</f>
        <v>FACTURADO</v>
      </c>
      <c r="AG696" s="133">
        <f>IFERROR(VLOOKUP(DATA[[#This Row],[COMBINADA]],#REF!,6,0),0)</f>
        <v>0</v>
      </c>
      <c r="AH696" s="125">
        <f>IFERROR(VLOOKUP(DATA[[#This Row],[COMBINADA]],#REF!,9,0),0)/COUNTIFS(DATA[COMBINADA],DATA[[#This Row],[COMBINADA]])</f>
        <v>0</v>
      </c>
      <c r="AI696" s="133">
        <f>IFERROR(VLOOKUP(DATA[[#This Row],[COMBINADA]],#REF!,6,0),0)</f>
        <v>0</v>
      </c>
      <c r="AJ696" s="130">
        <f>IFERROR(VLOOKUP(DATA[[#This Row],[COMBINADA]],#REF!,9,0),0)/COUNTIFS(DATA[COMBINADA],DATA[[#This Row],[COMBINADA]])</f>
        <v>0</v>
      </c>
      <c r="AK696" s="27">
        <f>IFERROR(VLOOKUP(DATA[[#This Row],[COMBINADA]],#REF!,6,0),0)</f>
        <v>0</v>
      </c>
      <c r="AL696" s="125">
        <f>IFERROR(VLOOKUP(DATA[[#This Row],[COMBINADA]],#REF!,9,0),0)/COUNTIFS(DATA[COMBINADA],DATA[[#This Row],[COMBINADA]])</f>
        <v>0</v>
      </c>
      <c r="AM696" s="27">
        <f>IFERROR(VLOOKUP(DATA[[#This Row],[COMBINADA]],#REF!,6,0),0)</f>
        <v>0</v>
      </c>
      <c r="AN696" s="125">
        <f>IFERROR(VLOOKUP(DATA[[#This Row],[COMBINADA]],#REF!,9,0),0)/COUNTIFS(DATA[COMBINADA],DATA[[#This Row],[COMBINADA]])</f>
        <v>0</v>
      </c>
      <c r="AO696" s="27">
        <f>IFERROR(VLOOKUP(DATA[[#This Row],[COMBINADA]],#REF!,6,0),0)</f>
        <v>0</v>
      </c>
      <c r="AP696" s="125">
        <f>IFERROR(VLOOKUP(DATA[[#This Row],[COMBINADA]],#REF!,9,0),0)/COUNTIFS(DATA[COMBINADA],DATA[[#This Row],[COMBINADA]])</f>
        <v>0</v>
      </c>
      <c r="AQ69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88.076666666666668</v>
      </c>
      <c r="AR696" s="26" t="str">
        <f>IFERROR(IF(DATA[[#This Row],[estado_fact]]="FACTURADO",VLOOKUP(DATA[[#This Row],[SERIE2]]&amp;"-"&amp;DATA[[#This Row],[NUMERO]],#REF!,34,0),"NO CORRESPONDE"),"NO CORRESPONDE")</f>
        <v>NO CORRESPONDE</v>
      </c>
      <c r="AS696" s="22" t="str">
        <f>IF(DATA[[#This Row],[fecha_fs]]&gt;0,TEXT(DATA[[#This Row],[fecha_fs]],"Mmmm"),0)</f>
        <v>Mayo</v>
      </c>
      <c r="AT696" s="22" t="str">
        <f>DATA[[#This Row],[SERIE2]]&amp;"-"&amp;DATA[[#This Row],[NUMERO]]</f>
        <v>FF01-95</v>
      </c>
      <c r="AU696" s="28">
        <f>DATA[[#This Row],[TOTAL]]*DATA[[#This Row],[T.C.]]</f>
        <v>86.28</v>
      </c>
      <c r="AV696" s="6">
        <f>DATA[[#This Row],[FECHA DE VAL.]]</f>
        <v>45803</v>
      </c>
      <c r="AW696" s="6">
        <f>DATA[[#This Row],[FECHA DE EMISION]]</f>
        <v>45804</v>
      </c>
      <c r="AX696" s="6">
        <f>DATA[[#This Row],[F1]]</f>
        <v>0</v>
      </c>
      <c r="AY696" s="20">
        <f>IF(AV696-DATA[[#This Row],[fecha_fs]]&lt;0,0,AV696-DATA[[#This Row],[fecha_fs]])</f>
        <v>3</v>
      </c>
      <c r="AZ696" s="20">
        <f t="shared" si="70"/>
        <v>1</v>
      </c>
      <c r="BA696" s="20">
        <f t="shared" si="71"/>
        <v>0</v>
      </c>
      <c r="BB696" s="195">
        <f>IFERROR(SUM(DATA[[#This Row],[fs_val_ttf]:[fact_pago_ttf]]),0)</f>
        <v>4</v>
      </c>
      <c r="BC696" s="185">
        <v>45806</v>
      </c>
      <c r="BD696" s="185">
        <v>45814</v>
      </c>
      <c r="BE696" s="185">
        <v>45814</v>
      </c>
      <c r="BF696" s="185">
        <v>45817</v>
      </c>
      <c r="BG696" s="20">
        <f>IFERROR(IF(BC696-DATA[[#This Row],[fecha_fs]]&lt;0,0,BC696-DATA[[#This Row],[fecha_fs]]),0)</f>
        <v>6</v>
      </c>
      <c r="BH696" s="20">
        <f t="shared" si="72"/>
        <v>8</v>
      </c>
      <c r="BI696" s="20">
        <f t="shared" si="73"/>
        <v>0</v>
      </c>
      <c r="BJ696" s="20">
        <f t="shared" si="74"/>
        <v>3</v>
      </c>
      <c r="BK696" s="218">
        <f>IFERROR(SUM(DATA[[#This Row],[fs_fd_ttd]:[fend_fenf_ttd]]),0)</f>
        <v>17</v>
      </c>
      <c r="BL696" s="20" t="str">
        <f>IF(DATA[[#This Row],[fecha_fs]]&gt;0,TEXT(DATA[[#This Row],[fecha_fs]],"YYYY"),0)</f>
        <v>2025</v>
      </c>
      <c r="BM696" s="221" t="b">
        <v>1</v>
      </c>
      <c r="BN696" s="278">
        <f>COUNTIF(DATA[[#This Row],[tiempo_td]], "&lt;=15")</f>
        <v>0</v>
      </c>
      <c r="BO696" s="222"/>
    </row>
    <row r="697" spans="1:67" ht="30.6" customHeight="1" x14ac:dyDescent="0.25">
      <c r="A697" s="4">
        <v>20100192064</v>
      </c>
      <c r="B697" s="5" t="s">
        <v>60</v>
      </c>
      <c r="C697" s="52" t="s">
        <v>64</v>
      </c>
      <c r="D697" s="4" t="s">
        <v>112</v>
      </c>
      <c r="E697" s="5" t="s">
        <v>1</v>
      </c>
      <c r="F697" s="24">
        <v>45800</v>
      </c>
      <c r="G697" s="7" t="s">
        <v>113</v>
      </c>
      <c r="H697" s="25">
        <f t="shared" si="69"/>
        <v>1</v>
      </c>
      <c r="I697" s="67">
        <v>4545</v>
      </c>
      <c r="J697" s="8" t="s">
        <v>115</v>
      </c>
      <c r="K697" s="9" t="s">
        <v>136</v>
      </c>
      <c r="L697" s="10" t="s">
        <v>137</v>
      </c>
      <c r="M697" s="11">
        <v>22</v>
      </c>
      <c r="N697" s="12" t="s">
        <v>122</v>
      </c>
      <c r="O697" s="6">
        <v>45803</v>
      </c>
      <c r="P697" s="71">
        <v>3464</v>
      </c>
      <c r="Q697" s="14" t="s">
        <v>123</v>
      </c>
      <c r="R697" s="15">
        <f>DATA[[#This Row],[cantidad_fs]]*33.34</f>
        <v>733.48</v>
      </c>
      <c r="S697" s="56"/>
      <c r="T697" s="15">
        <f>DATA[[#This Row],[C. DF]]+DATA[[#This Row],[C.OPE.]]</f>
        <v>733.48</v>
      </c>
      <c r="U697" s="15">
        <f>DATA[[#This Row],[SUB TOTAL]]*0.18</f>
        <v>132.0264</v>
      </c>
      <c r="V697" s="15">
        <f>IFERROR(ROUND(DATA[[#This Row],[SUB TOTAL]]+DATA[[#This Row],[IGV]],2),0)</f>
        <v>865.51</v>
      </c>
      <c r="W697" s="16" t="str">
        <f>IF(DATA[[#This Row],[VALORIZACIÓN ]]="-","NO CORRESPONDE",IF(OR(A697=20558226979,A697=10470707866,A697=20111157058,A697=20100226902),"NO CORRESPONDE",IF(J697="Emitida",IF(P697&gt;0,"EMITIDA","PENDIENTE"),"NO CORRESPONDE")))</f>
        <v>EMITIDA</v>
      </c>
      <c r="X697" s="29"/>
      <c r="Y697" s="17" t="s">
        <v>118</v>
      </c>
      <c r="Z697" s="30">
        <v>45804</v>
      </c>
      <c r="AA697" s="10" t="s">
        <v>150</v>
      </c>
      <c r="AB697" s="19">
        <v>97</v>
      </c>
      <c r="AC697" s="20">
        <v>30</v>
      </c>
      <c r="AD697" s="18">
        <f>DATA[[#This Row],[FECHA DE EMISION]]+DATA[[#This Row],[CONDICION DE PAGO]]</f>
        <v>45834</v>
      </c>
      <c r="AE697" s="23" t="e">
        <f>IF(DATA[[#This Row],[MONEDA]]="USD",VLOOKUP(DATA[[#This Row],[COMBINADA]],#REF!,11,0),1)</f>
        <v>#REF!</v>
      </c>
      <c r="AF697" s="129" t="str">
        <f>IF(DATA[[#This Row],[SERIE2]]="-","NO CORRESPONDE",IF(W697="NO CORRESPONDE","NO CORRESPONDE",IF(Z697&gt;0,"FACTURADO","PENDIENTE")))</f>
        <v>FACTURADO</v>
      </c>
      <c r="AG697" s="133">
        <f>IFERROR(VLOOKUP(DATA[[#This Row],[COMBINADA]],#REF!,6,0),0)</f>
        <v>0</v>
      </c>
      <c r="AH697" s="125">
        <f>IFERROR(VLOOKUP(DATA[[#This Row],[COMBINADA]],#REF!,9,0),0)/COUNTIFS(DATA[COMBINADA],DATA[[#This Row],[COMBINADA]])</f>
        <v>0</v>
      </c>
      <c r="AI697" s="136">
        <f>IFERROR(VLOOKUP(DATA[[#This Row],[COMBINADA]],#REF!,6,0),0)</f>
        <v>0</v>
      </c>
      <c r="AJ697" s="139">
        <f>IFERROR(VLOOKUP(DATA[[#This Row],[COMBINADA]],#REF!,9,0),0)/COUNTIFS(DATA[COMBINADA],DATA[[#This Row],[COMBINADA]])</f>
        <v>0</v>
      </c>
      <c r="AK697" s="131">
        <f>IFERROR(VLOOKUP(DATA[[#This Row],[COMBINADA]],#REF!,6,0),0)</f>
        <v>0</v>
      </c>
      <c r="AL697" s="125">
        <f>IFERROR(VLOOKUP(DATA[[#This Row],[COMBINADA]],#REF!,9,0),0)/COUNTIFS(DATA[COMBINADA],DATA[[#This Row],[COMBINADA]])</f>
        <v>0</v>
      </c>
      <c r="AM697" s="27">
        <f>IFERROR(VLOOKUP(DATA[[#This Row],[COMBINADA]],#REF!,6,0),0)</f>
        <v>0</v>
      </c>
      <c r="AN697" s="125">
        <f>IFERROR(VLOOKUP(DATA[[#This Row],[COMBINADA]],#REF!,9,0),0)/COUNTIFS(DATA[COMBINADA],DATA[[#This Row],[COMBINADA]])</f>
        <v>0</v>
      </c>
      <c r="AO697" s="27">
        <f>IFERROR(VLOOKUP(DATA[[#This Row],[COMBINADA]],#REF!,6,0),0)</f>
        <v>0</v>
      </c>
      <c r="AP697" s="132">
        <f>IFERROR(VLOOKUP(DATA[[#This Row],[COMBINADA]],#REF!,9,0),0)/COUNTIFS(DATA[COMBINADA],DATA[[#This Row],[COMBINADA]])</f>
        <v>0</v>
      </c>
      <c r="AQ69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685.70466666666675</v>
      </c>
      <c r="AR697" s="26" t="str">
        <f>IFERROR(IF(DATA[[#This Row],[estado_fact]]="FACTURADO",VLOOKUP(DATA[[#This Row],[SERIE2]]&amp;"-"&amp;DATA[[#This Row],[NUMERO]],#REF!,34,0),"NO CORRESPONDE"),"NO CORRESPONDE")</f>
        <v>NO CORRESPONDE</v>
      </c>
      <c r="AS697" s="22" t="str">
        <f>IF(DATA[[#This Row],[fecha_fs]]&gt;0,TEXT(DATA[[#This Row],[fecha_fs]],"Mmmm"),0)</f>
        <v>Mayo</v>
      </c>
      <c r="AT697" s="22" t="str">
        <f>DATA[[#This Row],[SERIE2]]&amp;"-"&amp;DATA[[#This Row],[NUMERO]]</f>
        <v>FF01-97</v>
      </c>
      <c r="AU697" s="28" t="e">
        <f>DATA[[#This Row],[TOTAL]]*DATA[[#This Row],[T.C.]]</f>
        <v>#REF!</v>
      </c>
      <c r="AV697" s="6">
        <f>DATA[[#This Row],[FECHA DE VAL.]]</f>
        <v>45803</v>
      </c>
      <c r="AW697" s="6">
        <f>DATA[[#This Row],[FECHA DE EMISION]]</f>
        <v>45804</v>
      </c>
      <c r="AX697" s="6">
        <f>DATA[[#This Row],[F1]]</f>
        <v>0</v>
      </c>
      <c r="AY697" s="20">
        <f>IF(AV697-DATA[[#This Row],[fecha_fs]]&lt;0,0,AV697-DATA[[#This Row],[fecha_fs]])</f>
        <v>3</v>
      </c>
      <c r="AZ697" s="20">
        <f t="shared" si="70"/>
        <v>1</v>
      </c>
      <c r="BA697" s="20">
        <f t="shared" si="71"/>
        <v>0</v>
      </c>
      <c r="BB697" s="195">
        <f>IFERROR(SUM(DATA[[#This Row],[fs_val_ttf]:[fact_pago_ttf]]),0)</f>
        <v>4</v>
      </c>
      <c r="BC697" s="185">
        <v>45807</v>
      </c>
      <c r="BD697" s="185">
        <v>45814</v>
      </c>
      <c r="BE697" s="185">
        <v>45826</v>
      </c>
      <c r="BF697" s="185">
        <v>45863</v>
      </c>
      <c r="BG697" s="20">
        <f>IFERROR(IF(BC697-DATA[[#This Row],[fecha_fs]]&lt;0,0,BC697-DATA[[#This Row],[fecha_fs]]),0)</f>
        <v>7</v>
      </c>
      <c r="BH697" s="20">
        <f t="shared" si="72"/>
        <v>7</v>
      </c>
      <c r="BI697" s="20">
        <f t="shared" si="73"/>
        <v>12</v>
      </c>
      <c r="BJ697" s="20">
        <f t="shared" si="74"/>
        <v>37</v>
      </c>
      <c r="BK697" s="218">
        <f>IFERROR(SUM(DATA[[#This Row],[fs_fd_ttd]:[fend_fenf_ttd]]),0)</f>
        <v>63</v>
      </c>
      <c r="BL697" s="20" t="str">
        <f>IF(DATA[[#This Row],[fecha_fs]]&gt;0,TEXT(DATA[[#This Row],[fecha_fs]],"YYYY"),0)</f>
        <v>2025</v>
      </c>
      <c r="BM697" s="221" t="b">
        <v>1</v>
      </c>
      <c r="BN697" s="278">
        <f>COUNTIF(DATA[[#This Row],[tiempo_td]], "&lt;=15")</f>
        <v>0</v>
      </c>
      <c r="BO697" s="222"/>
    </row>
    <row r="698" spans="1:67" ht="30.6" customHeight="1" x14ac:dyDescent="0.25">
      <c r="A698" s="4">
        <v>20100192064</v>
      </c>
      <c r="B698" s="5" t="s">
        <v>60</v>
      </c>
      <c r="C698" s="52" t="s">
        <v>64</v>
      </c>
      <c r="D698" s="4" t="s">
        <v>112</v>
      </c>
      <c r="E698" s="5" t="s">
        <v>1</v>
      </c>
      <c r="F698" s="24">
        <v>45800</v>
      </c>
      <c r="G698" s="7" t="s">
        <v>113</v>
      </c>
      <c r="H698" s="25">
        <f t="shared" si="69"/>
        <v>1</v>
      </c>
      <c r="I698" s="67">
        <v>4546</v>
      </c>
      <c r="J698" s="8" t="s">
        <v>115</v>
      </c>
      <c r="K698" s="9" t="s">
        <v>136</v>
      </c>
      <c r="L698" s="10" t="s">
        <v>137</v>
      </c>
      <c r="M698" s="11">
        <v>18</v>
      </c>
      <c r="N698" s="12" t="s">
        <v>122</v>
      </c>
      <c r="O698" s="6">
        <v>45803</v>
      </c>
      <c r="P698" s="71">
        <v>3464</v>
      </c>
      <c r="Q698" s="14" t="s">
        <v>123</v>
      </c>
      <c r="R698" s="15">
        <f>DATA[[#This Row],[cantidad_fs]]*33.34</f>
        <v>600.12000000000012</v>
      </c>
      <c r="S698" s="56"/>
      <c r="T698" s="15">
        <f>DATA[[#This Row],[C. DF]]+DATA[[#This Row],[C.OPE.]]</f>
        <v>600.12000000000012</v>
      </c>
      <c r="U698" s="15">
        <f>DATA[[#This Row],[SUB TOTAL]]*0.18</f>
        <v>108.02160000000002</v>
      </c>
      <c r="V698" s="15">
        <f>IFERROR(ROUND(DATA[[#This Row],[SUB TOTAL]]+DATA[[#This Row],[IGV]],2),0)</f>
        <v>708.14</v>
      </c>
      <c r="W698" s="16" t="str">
        <f>IF(DATA[[#This Row],[VALORIZACIÓN ]]="-","NO CORRESPONDE",IF(OR(A698=20558226979,A698=10470707866,A698=20111157058,A698=20100226902),"NO CORRESPONDE",IF(J698="Emitida",IF(P698&gt;0,"EMITIDA","PENDIENTE"),"NO CORRESPONDE")))</f>
        <v>EMITIDA</v>
      </c>
      <c r="X698" s="29"/>
      <c r="Y698" s="17" t="s">
        <v>118</v>
      </c>
      <c r="Z698" s="30">
        <v>45804</v>
      </c>
      <c r="AA698" s="10" t="s">
        <v>150</v>
      </c>
      <c r="AB698" s="19">
        <v>97</v>
      </c>
      <c r="AC698" s="20">
        <v>30</v>
      </c>
      <c r="AD698" s="18">
        <f>DATA[[#This Row],[FECHA DE EMISION]]+DATA[[#This Row],[CONDICION DE PAGO]]</f>
        <v>45834</v>
      </c>
      <c r="AE698" s="23" t="e">
        <f>IF(DATA[[#This Row],[MONEDA]]="USD",VLOOKUP(DATA[[#This Row],[COMBINADA]],#REF!,11,0),1)</f>
        <v>#REF!</v>
      </c>
      <c r="AF698" s="129" t="str">
        <f>IF(DATA[[#This Row],[SERIE2]]="-","NO CORRESPONDE",IF(W698="NO CORRESPONDE","NO CORRESPONDE",IF(Z698&gt;0,"FACTURADO","PENDIENTE")))</f>
        <v>FACTURADO</v>
      </c>
      <c r="AG698" s="133">
        <f>IFERROR(VLOOKUP(DATA[[#This Row],[COMBINADA]],#REF!,6,0),0)</f>
        <v>0</v>
      </c>
      <c r="AH698" s="125">
        <f>IFERROR(VLOOKUP(DATA[[#This Row],[COMBINADA]],#REF!,9,0),0)/COUNTIFS(DATA[COMBINADA],DATA[[#This Row],[COMBINADA]])</f>
        <v>0</v>
      </c>
      <c r="AI698" s="136">
        <f>IFERROR(VLOOKUP(DATA[[#This Row],[COMBINADA]],#REF!,6,0),0)</f>
        <v>0</v>
      </c>
      <c r="AJ698" s="139">
        <f>IFERROR(VLOOKUP(DATA[[#This Row],[COMBINADA]],#REF!,9,0),0)/COUNTIFS(DATA[COMBINADA],DATA[[#This Row],[COMBINADA]])</f>
        <v>0</v>
      </c>
      <c r="AK698" s="131">
        <f>IFERROR(VLOOKUP(DATA[[#This Row],[COMBINADA]],#REF!,6,0),0)</f>
        <v>0</v>
      </c>
      <c r="AL698" s="125">
        <f>IFERROR(VLOOKUP(DATA[[#This Row],[COMBINADA]],#REF!,9,0),0)/COUNTIFS(DATA[COMBINADA],DATA[[#This Row],[COMBINADA]])</f>
        <v>0</v>
      </c>
      <c r="AM698" s="27">
        <f>IFERROR(VLOOKUP(DATA[[#This Row],[COMBINADA]],#REF!,6,0),0)</f>
        <v>0</v>
      </c>
      <c r="AN698" s="125">
        <f>IFERROR(VLOOKUP(DATA[[#This Row],[COMBINADA]],#REF!,9,0),0)/COUNTIFS(DATA[COMBINADA],DATA[[#This Row],[COMBINADA]])</f>
        <v>0</v>
      </c>
      <c r="AO698" s="27">
        <f>IFERROR(VLOOKUP(DATA[[#This Row],[COMBINADA]],#REF!,6,0),0)</f>
        <v>0</v>
      </c>
      <c r="AP698" s="132">
        <f>IFERROR(VLOOKUP(DATA[[#This Row],[COMBINADA]],#REF!,9,0),0)/COUNTIFS(DATA[COMBINADA],DATA[[#This Row],[COMBINADA]])</f>
        <v>0</v>
      </c>
      <c r="AQ69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685.70466666666675</v>
      </c>
      <c r="AR698" s="26" t="str">
        <f>IFERROR(IF(DATA[[#This Row],[estado_fact]]="FACTURADO",VLOOKUP(DATA[[#This Row],[SERIE2]]&amp;"-"&amp;DATA[[#This Row],[NUMERO]],#REF!,34,0),"NO CORRESPONDE"),"NO CORRESPONDE")</f>
        <v>NO CORRESPONDE</v>
      </c>
      <c r="AS698" s="22" t="str">
        <f>IF(DATA[[#This Row],[fecha_fs]]&gt;0,TEXT(DATA[[#This Row],[fecha_fs]],"Mmmm"),0)</f>
        <v>Mayo</v>
      </c>
      <c r="AT698" s="22" t="str">
        <f>DATA[[#This Row],[SERIE2]]&amp;"-"&amp;DATA[[#This Row],[NUMERO]]</f>
        <v>FF01-97</v>
      </c>
      <c r="AU698" s="28" t="e">
        <f>DATA[[#This Row],[TOTAL]]*DATA[[#This Row],[T.C.]]</f>
        <v>#REF!</v>
      </c>
      <c r="AV698" s="6">
        <f>DATA[[#This Row],[FECHA DE VAL.]]</f>
        <v>45803</v>
      </c>
      <c r="AW698" s="6">
        <f>DATA[[#This Row],[FECHA DE EMISION]]</f>
        <v>45804</v>
      </c>
      <c r="AX698" s="6">
        <f>DATA[[#This Row],[F1]]</f>
        <v>0</v>
      </c>
      <c r="AY698" s="20">
        <f>IF(AV698-DATA[[#This Row],[fecha_fs]]&lt;0,0,AV698-DATA[[#This Row],[fecha_fs]])</f>
        <v>3</v>
      </c>
      <c r="AZ698" s="20">
        <f t="shared" si="70"/>
        <v>1</v>
      </c>
      <c r="BA698" s="20">
        <f t="shared" si="71"/>
        <v>0</v>
      </c>
      <c r="BB698" s="195">
        <f>IFERROR(SUM(DATA[[#This Row],[fs_val_ttf]:[fact_pago_ttf]]),0)</f>
        <v>4</v>
      </c>
      <c r="BC698" s="185">
        <v>45807</v>
      </c>
      <c r="BD698" s="185">
        <v>45814</v>
      </c>
      <c r="BE698" s="185">
        <v>45826</v>
      </c>
      <c r="BF698" s="185">
        <v>45863</v>
      </c>
      <c r="BG698" s="20">
        <f>IFERROR(IF(BC698-DATA[[#This Row],[fecha_fs]]&lt;0,0,BC698-DATA[[#This Row],[fecha_fs]]),0)</f>
        <v>7</v>
      </c>
      <c r="BH698" s="20">
        <f t="shared" si="72"/>
        <v>7</v>
      </c>
      <c r="BI698" s="20">
        <f t="shared" si="73"/>
        <v>12</v>
      </c>
      <c r="BJ698" s="20">
        <f t="shared" si="74"/>
        <v>37</v>
      </c>
      <c r="BK698" s="218">
        <f>IFERROR(SUM(DATA[[#This Row],[fs_fd_ttd]:[fend_fenf_ttd]]),0)</f>
        <v>63</v>
      </c>
      <c r="BL698" s="20" t="str">
        <f>IF(DATA[[#This Row],[fecha_fs]]&gt;0,TEXT(DATA[[#This Row],[fecha_fs]],"YYYY"),0)</f>
        <v>2025</v>
      </c>
      <c r="BM698" s="221" t="b">
        <v>1</v>
      </c>
      <c r="BN698" s="278">
        <f>COUNTIF(DATA[[#This Row],[tiempo_td]], "&lt;=15")</f>
        <v>0</v>
      </c>
      <c r="BO698" s="222"/>
    </row>
    <row r="699" spans="1:67" ht="30.6" customHeight="1" x14ac:dyDescent="0.25">
      <c r="A699" s="4">
        <v>20419158462</v>
      </c>
      <c r="B699" s="5" t="s">
        <v>2</v>
      </c>
      <c r="C699" s="52" t="s">
        <v>8</v>
      </c>
      <c r="D699" s="4" t="s">
        <v>120</v>
      </c>
      <c r="E699" s="5" t="s">
        <v>3</v>
      </c>
      <c r="F699" s="24">
        <v>45800</v>
      </c>
      <c r="G699" s="7" t="s">
        <v>113</v>
      </c>
      <c r="H699" s="25">
        <f t="shared" si="69"/>
        <v>1</v>
      </c>
      <c r="I699" s="67">
        <v>4547</v>
      </c>
      <c r="J699" s="8" t="s">
        <v>115</v>
      </c>
      <c r="K699" s="9" t="s">
        <v>156</v>
      </c>
      <c r="L699" s="10" t="s">
        <v>117</v>
      </c>
      <c r="M699" s="11">
        <v>720</v>
      </c>
      <c r="N699" s="12" t="s">
        <v>125</v>
      </c>
      <c r="O699" s="6">
        <v>45804</v>
      </c>
      <c r="P699" s="13">
        <v>3475</v>
      </c>
      <c r="Q699" s="14" t="s">
        <v>85</v>
      </c>
      <c r="R699" s="15"/>
      <c r="S699" s="56">
        <v>1429.7</v>
      </c>
      <c r="T699" s="15">
        <f>DATA[[#This Row],[C. DF]]+DATA[[#This Row],[C.OPE.]]</f>
        <v>1429.7</v>
      </c>
      <c r="U699" s="15">
        <f>DATA[[#This Row],[SUB TOTAL]]*0.18</f>
        <v>257.346</v>
      </c>
      <c r="V699" s="15">
        <f>IFERROR(ROUND(DATA[[#This Row],[SUB TOTAL]]+DATA[[#This Row],[IGV]],2),0)</f>
        <v>1687.05</v>
      </c>
      <c r="W699" s="16" t="str">
        <f>IF(DATA[[#This Row],[VALORIZACIÓN ]]="-","NO CORRESPONDE",IF(OR(A699=20558226979,A699=10470707866,A699=20111157058,A699=20100226902),"NO CORRESPONDE",IF(J699="Emitida",IF(P699&gt;0,"EMITIDA","PENDIENTE"),"NO CORRESPONDE")))</f>
        <v>EMITIDA</v>
      </c>
      <c r="X699" s="29" t="s">
        <v>231</v>
      </c>
      <c r="Y699" s="17" t="s">
        <v>118</v>
      </c>
      <c r="Z699" s="30">
        <v>45846</v>
      </c>
      <c r="AA699" s="10" t="s">
        <v>150</v>
      </c>
      <c r="AB699" s="19">
        <v>155</v>
      </c>
      <c r="AC699" s="20">
        <v>15</v>
      </c>
      <c r="AD699" s="18">
        <f>DATA[[#This Row],[FECHA DE EMISION]]+DATA[[#This Row],[CONDICION DE PAGO]]</f>
        <v>45861</v>
      </c>
      <c r="AE699" s="23">
        <f>IF(DATA[[#This Row],[MONEDA]]="USD",VLOOKUP(DATA[[#This Row],[COMBINADA]],#REF!,11,0),1)</f>
        <v>1</v>
      </c>
      <c r="AF699" s="129" t="str">
        <f>IF(DATA[[#This Row],[SERIE2]]="-","NO CORRESPONDE",IF(W699="NO CORRESPONDE","NO CORRESPONDE",IF(Z699&gt;0,"FACTURADO","PENDIENTE")))</f>
        <v>FACTURADO</v>
      </c>
      <c r="AG699" s="133">
        <f>IFERROR(VLOOKUP(DATA[[#This Row],[COMBINADA]],#REF!,6,0),0)</f>
        <v>0</v>
      </c>
      <c r="AH699" s="125">
        <f>IFERROR(VLOOKUP(DATA[[#This Row],[COMBINADA]],#REF!,9,0),0)/COUNTIFS(DATA[COMBINADA],DATA[[#This Row],[COMBINADA]])</f>
        <v>0</v>
      </c>
      <c r="AI699" s="136">
        <f>IFERROR(VLOOKUP(DATA[[#This Row],[COMBINADA]],#REF!,6,0),0)</f>
        <v>0</v>
      </c>
      <c r="AJ699" s="139">
        <f>IFERROR(VLOOKUP(DATA[[#This Row],[COMBINADA]],#REF!,9,0),0)/COUNTIFS(DATA[COMBINADA],DATA[[#This Row],[COMBINADA]])</f>
        <v>0</v>
      </c>
      <c r="AK699" s="131">
        <f>IFERROR(VLOOKUP(DATA[[#This Row],[COMBINADA]],#REF!,6,0),0)</f>
        <v>0</v>
      </c>
      <c r="AL699" s="125">
        <f>IFERROR(VLOOKUP(DATA[[#This Row],[COMBINADA]],#REF!,9,0),0)/COUNTIFS(DATA[COMBINADA],DATA[[#This Row],[COMBINADA]])</f>
        <v>0</v>
      </c>
      <c r="AM699" s="27">
        <f>IFERROR(VLOOKUP(DATA[[#This Row],[COMBINADA]],#REF!,6,0),0)</f>
        <v>0</v>
      </c>
      <c r="AN699" s="125">
        <f>IFERROR(VLOOKUP(DATA[[#This Row],[COMBINADA]],#REF!,9,0),0)/COUNTIFS(DATA[COMBINADA],DATA[[#This Row],[COMBINADA]])</f>
        <v>0</v>
      </c>
      <c r="AO699" s="27">
        <f>IFERROR(VLOOKUP(DATA[[#This Row],[COMBINADA]],#REF!,6,0),0)</f>
        <v>0</v>
      </c>
      <c r="AP699" s="132">
        <f>IFERROR(VLOOKUP(DATA[[#This Row],[COMBINADA]],#REF!,9,0),0)/COUNTIFS(DATA[COMBINADA],DATA[[#This Row],[COMBINADA]])</f>
        <v>0</v>
      </c>
      <c r="AQ69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1687.05</v>
      </c>
      <c r="AR699" s="26" t="str">
        <f>IFERROR(IF(DATA[[#This Row],[estado_fact]]="FACTURADO",VLOOKUP(DATA[[#This Row],[SERIE2]]&amp;"-"&amp;DATA[[#This Row],[NUMERO]],#REF!,34,0),"NO CORRESPONDE"),"NO CORRESPONDE")</f>
        <v>NO CORRESPONDE</v>
      </c>
      <c r="AS699" s="22" t="str">
        <f>IF(DATA[[#This Row],[fecha_fs]]&gt;0,TEXT(DATA[[#This Row],[fecha_fs]],"Mmmm"),0)</f>
        <v>Mayo</v>
      </c>
      <c r="AT699" s="22" t="str">
        <f>DATA[[#This Row],[SERIE2]]&amp;"-"&amp;DATA[[#This Row],[NUMERO]]</f>
        <v>FF01-155</v>
      </c>
      <c r="AU699" s="28">
        <f>DATA[[#This Row],[TOTAL]]*DATA[[#This Row],[T.C.]]</f>
        <v>1687.05</v>
      </c>
      <c r="AV699" s="6">
        <f>DATA[[#This Row],[FECHA DE VAL.]]</f>
        <v>45804</v>
      </c>
      <c r="AW699" s="6">
        <f>DATA[[#This Row],[FECHA DE EMISION]]</f>
        <v>45846</v>
      </c>
      <c r="AX699" s="6">
        <f>DATA[[#This Row],[F1]]</f>
        <v>0</v>
      </c>
      <c r="AY699" s="20">
        <f>IF(AV699-DATA[[#This Row],[fecha_fs]]&lt;0,0,AV699-DATA[[#This Row],[fecha_fs]])</f>
        <v>4</v>
      </c>
      <c r="AZ699" s="20">
        <f t="shared" si="70"/>
        <v>42</v>
      </c>
      <c r="BA699" s="20">
        <f t="shared" si="71"/>
        <v>0</v>
      </c>
      <c r="BB699" s="195">
        <f>IFERROR(SUM(DATA[[#This Row],[fs_val_ttf]:[fact_pago_ttf]]),0)</f>
        <v>46</v>
      </c>
      <c r="BC699" s="185">
        <v>45800</v>
      </c>
      <c r="BD699" s="185">
        <v>45800</v>
      </c>
      <c r="BE699" s="185">
        <v>45807</v>
      </c>
      <c r="BF699" s="185">
        <v>45807</v>
      </c>
      <c r="BG699" s="20">
        <f>IFERROR(IF(BC699-DATA[[#This Row],[fecha_fs]]&lt;0,0,BC699-DATA[[#This Row],[fecha_fs]]),0)</f>
        <v>0</v>
      </c>
      <c r="BH699" s="20">
        <f t="shared" si="72"/>
        <v>0</v>
      </c>
      <c r="BI699" s="20">
        <f t="shared" si="73"/>
        <v>7</v>
      </c>
      <c r="BJ699" s="20">
        <f t="shared" si="74"/>
        <v>0</v>
      </c>
      <c r="BK699" s="218">
        <f>IFERROR(SUM(DATA[[#This Row],[fs_fd_ttd]:[fend_fenf_ttd]]),0)</f>
        <v>7</v>
      </c>
      <c r="BL699" s="20" t="str">
        <f>IF(DATA[[#This Row],[fecha_fs]]&gt;0,TEXT(DATA[[#This Row],[fecha_fs]],"YYYY"),0)</f>
        <v>2025</v>
      </c>
      <c r="BM699" s="221" t="b">
        <v>1</v>
      </c>
      <c r="BN699" s="278">
        <f>COUNTIF(DATA[[#This Row],[tiempo_td]], "&lt;=15")</f>
        <v>1</v>
      </c>
      <c r="BO699" s="222"/>
    </row>
    <row r="700" spans="1:67" ht="30.6" customHeight="1" x14ac:dyDescent="0.25">
      <c r="A700" s="4">
        <v>20141637941</v>
      </c>
      <c r="B700" s="5" t="s">
        <v>79</v>
      </c>
      <c r="C700" s="52" t="s">
        <v>18</v>
      </c>
      <c r="D700" s="4" t="s">
        <v>120</v>
      </c>
      <c r="E700" s="5" t="s">
        <v>3</v>
      </c>
      <c r="F700" s="24">
        <v>45800</v>
      </c>
      <c r="G700" s="7" t="s">
        <v>113</v>
      </c>
      <c r="H700" s="25">
        <f t="shared" si="69"/>
        <v>1</v>
      </c>
      <c r="I700" s="67">
        <v>4548</v>
      </c>
      <c r="J700" s="8" t="s">
        <v>115</v>
      </c>
      <c r="K700" s="9" t="s">
        <v>121</v>
      </c>
      <c r="L700" s="10" t="s">
        <v>117</v>
      </c>
      <c r="M700" s="11">
        <v>1230</v>
      </c>
      <c r="N700" s="12" t="s">
        <v>244</v>
      </c>
      <c r="O700" s="6">
        <v>45803</v>
      </c>
      <c r="P700" s="110">
        <v>3459</v>
      </c>
      <c r="Q700" s="14" t="s">
        <v>85</v>
      </c>
      <c r="R700" s="15">
        <f>70+(DATA[[#This Row],[cantidad_fs]]-1000)*0.1</f>
        <v>93</v>
      </c>
      <c r="S700" s="56">
        <v>517</v>
      </c>
      <c r="T700" s="15">
        <f>DATA[[#This Row],[C. DF]]+DATA[[#This Row],[C.OPE.]]</f>
        <v>610</v>
      </c>
      <c r="U700" s="15">
        <f>DATA[[#This Row],[SUB TOTAL]]*0.18</f>
        <v>109.8</v>
      </c>
      <c r="V700" s="15">
        <f>IFERROR(ROUND(DATA[[#This Row],[SUB TOTAL]]+DATA[[#This Row],[IGV]],2),0)</f>
        <v>719.8</v>
      </c>
      <c r="W700" s="16" t="str">
        <f>IF(DATA[[#This Row],[VALORIZACIÓN ]]="-","NO CORRESPONDE",IF(OR(A700=20558226979,A700=10470707866,A700=20111157058,A700=20100226902),"NO CORRESPONDE",IF(J700="Emitida",IF(P700&gt;0,"EMITIDA","PENDIENTE"),"NO CORRESPONDE")))</f>
        <v>EMITIDA</v>
      </c>
      <c r="X700" s="29"/>
      <c r="Y700" s="17" t="s">
        <v>118</v>
      </c>
      <c r="Z700" s="46">
        <v>45804</v>
      </c>
      <c r="AA700" s="47" t="s">
        <v>150</v>
      </c>
      <c r="AB700" s="48">
        <v>93</v>
      </c>
      <c r="AC700" s="49">
        <v>30</v>
      </c>
      <c r="AD700" s="50">
        <f>DATA[[#This Row],[FECHA DE EMISION]]+DATA[[#This Row],[CONDICION DE PAGO]]</f>
        <v>45834</v>
      </c>
      <c r="AE700" s="23">
        <f>IF(DATA[[#This Row],[MONEDA]]="USD",VLOOKUP(DATA[[#This Row],[COMBINADA]],#REF!,11,0),1)</f>
        <v>1</v>
      </c>
      <c r="AF700" s="129" t="str">
        <f>IF(DATA[[#This Row],[SERIE2]]="-","NO CORRESPONDE",IF(W700="NO CORRESPONDE","NO CORRESPONDE",IF(Z700&gt;0,"FACTURADO","PENDIENTE")))</f>
        <v>FACTURADO</v>
      </c>
      <c r="AG700" s="133">
        <f>IFERROR(VLOOKUP(DATA[[#This Row],[COMBINADA]],#REF!,6,0),0)</f>
        <v>0</v>
      </c>
      <c r="AH700" s="125">
        <f>IFERROR(VLOOKUP(DATA[[#This Row],[COMBINADA]],#REF!,9,0),0)/COUNTIFS(DATA[COMBINADA],DATA[[#This Row],[COMBINADA]])</f>
        <v>0</v>
      </c>
      <c r="AI700" s="136">
        <f>IFERROR(VLOOKUP(DATA[[#This Row],[COMBINADA]],#REF!,6,0),0)</f>
        <v>0</v>
      </c>
      <c r="AJ700" s="139">
        <f>IFERROR(VLOOKUP(DATA[[#This Row],[COMBINADA]],#REF!,9,0),0)/COUNTIFS(DATA[COMBINADA],DATA[[#This Row],[COMBINADA]])</f>
        <v>0</v>
      </c>
      <c r="AK700" s="136">
        <f>IFERROR(VLOOKUP(DATA[[#This Row],[COMBINADA]],#REF!,6,0),0)</f>
        <v>0</v>
      </c>
      <c r="AL700" s="125">
        <f>IFERROR(VLOOKUP(DATA[[#This Row],[COMBINADA]],#REF!,9,0),0)/COUNTIFS(DATA[COMBINADA],DATA[[#This Row],[COMBINADA]])</f>
        <v>0</v>
      </c>
      <c r="AM700" s="133">
        <f>IFERROR(VLOOKUP(DATA[[#This Row],[COMBINADA]],#REF!,6,0),0)</f>
        <v>0</v>
      </c>
      <c r="AN700" s="125">
        <f>IFERROR(VLOOKUP(DATA[[#This Row],[COMBINADA]],#REF!,9,0),0)/COUNTIFS(DATA[COMBINADA],DATA[[#This Row],[COMBINADA]])</f>
        <v>0</v>
      </c>
      <c r="AO700" s="133">
        <f>IFERROR(VLOOKUP(DATA[[#This Row],[COMBINADA]],#REF!,6,0),0)</f>
        <v>0</v>
      </c>
      <c r="AP700" s="132">
        <f>IFERROR(VLOOKUP(DATA[[#This Row],[COMBINADA]],#REF!,9,0),0)/COUNTIFS(DATA[COMBINADA],DATA[[#This Row],[COMBINADA]])</f>
        <v>0</v>
      </c>
      <c r="AQ70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715.47333333333336</v>
      </c>
      <c r="AR700" s="26" t="str">
        <f>IFERROR(IF(DATA[[#This Row],[estado_fact]]="FACTURADO",VLOOKUP(DATA[[#This Row],[SERIE2]]&amp;"-"&amp;DATA[[#This Row],[NUMERO]],#REF!,34,0),"NO CORRESPONDE"),"NO CORRESPONDE")</f>
        <v>NO CORRESPONDE</v>
      </c>
      <c r="AS700" s="22" t="str">
        <f>IF(DATA[[#This Row],[fecha_fs]]&gt;0,TEXT(DATA[[#This Row],[fecha_fs]],"Mmmm"),0)</f>
        <v>Mayo</v>
      </c>
      <c r="AT700" s="22" t="str">
        <f>DATA[[#This Row],[SERIE2]]&amp;"-"&amp;DATA[[#This Row],[NUMERO]]</f>
        <v>FF01-93</v>
      </c>
      <c r="AU700" s="28">
        <f>DATA[[#This Row],[TOTAL]]*DATA[[#This Row],[T.C.]]</f>
        <v>719.8</v>
      </c>
      <c r="AV700" s="6">
        <f>DATA[[#This Row],[FECHA DE VAL.]]</f>
        <v>45803</v>
      </c>
      <c r="AW700" s="6">
        <f>DATA[[#This Row],[FECHA DE EMISION]]</f>
        <v>45804</v>
      </c>
      <c r="AX700" s="6">
        <f>DATA[[#This Row],[F1]]</f>
        <v>0</v>
      </c>
      <c r="AY700" s="20">
        <f>IF(AV700-DATA[[#This Row],[fecha_fs]]&lt;0,0,AV700-DATA[[#This Row],[fecha_fs]])</f>
        <v>3</v>
      </c>
      <c r="AZ700" s="20">
        <f t="shared" si="70"/>
        <v>1</v>
      </c>
      <c r="BA700" s="20">
        <f t="shared" si="71"/>
        <v>0</v>
      </c>
      <c r="BB700" s="195">
        <f>IFERROR(SUM(DATA[[#This Row],[fs_val_ttf]:[fact_pago_ttf]]),0)</f>
        <v>4</v>
      </c>
      <c r="BC700" s="185">
        <v>45800</v>
      </c>
      <c r="BD700" s="185">
        <v>45800</v>
      </c>
      <c r="BE700" s="185">
        <v>45804</v>
      </c>
      <c r="BF700" s="185">
        <v>45804</v>
      </c>
      <c r="BG700" s="20">
        <f>IFERROR(IF(BC700-DATA[[#This Row],[fecha_fs]]&lt;0,0,BC700-DATA[[#This Row],[fecha_fs]]),0)</f>
        <v>0</v>
      </c>
      <c r="BH700" s="20">
        <f t="shared" si="72"/>
        <v>0</v>
      </c>
      <c r="BI700" s="20">
        <f t="shared" si="73"/>
        <v>4</v>
      </c>
      <c r="BJ700" s="20">
        <f t="shared" si="74"/>
        <v>0</v>
      </c>
      <c r="BK700" s="218">
        <f>IFERROR(SUM(DATA[[#This Row],[fs_fd_ttd]:[fend_fenf_ttd]]),0)</f>
        <v>4</v>
      </c>
      <c r="BL700" s="20" t="str">
        <f>IF(DATA[[#This Row],[fecha_fs]]&gt;0,TEXT(DATA[[#This Row],[fecha_fs]],"YYYY"),0)</f>
        <v>2025</v>
      </c>
      <c r="BM700" s="221" t="b">
        <v>1</v>
      </c>
      <c r="BN700" s="278">
        <f>COUNTIF(DATA[[#This Row],[tiempo_td]], "&lt;=15")</f>
        <v>1</v>
      </c>
      <c r="BO700" s="222"/>
    </row>
    <row r="701" spans="1:67" ht="30.6" customHeight="1" x14ac:dyDescent="0.25">
      <c r="A701" s="4">
        <v>20456012427</v>
      </c>
      <c r="B701" s="5" t="s">
        <v>54</v>
      </c>
      <c r="C701" s="4" t="s">
        <v>256</v>
      </c>
      <c r="D701" s="4" t="s">
        <v>112</v>
      </c>
      <c r="E701" s="5" t="s">
        <v>1</v>
      </c>
      <c r="F701" s="24">
        <v>45800</v>
      </c>
      <c r="G701" s="7" t="s">
        <v>113</v>
      </c>
      <c r="H701" s="25">
        <f t="shared" ref="H701:H764" si="75">IF(G701="","",IF(G701="LIM",2,1))</f>
        <v>1</v>
      </c>
      <c r="I701" s="67">
        <v>4549</v>
      </c>
      <c r="J701" s="8" t="s">
        <v>115</v>
      </c>
      <c r="K701" s="9" t="s">
        <v>116</v>
      </c>
      <c r="L701" s="10" t="s">
        <v>117</v>
      </c>
      <c r="M701" s="11">
        <v>303</v>
      </c>
      <c r="N701" s="12" t="s">
        <v>114</v>
      </c>
      <c r="O701" s="6">
        <v>45805</v>
      </c>
      <c r="P701" s="13">
        <v>3480</v>
      </c>
      <c r="Q701" s="14" t="s">
        <v>85</v>
      </c>
      <c r="R701" s="15">
        <f>DATA[[#This Row],[cantidad_fs]]*1</f>
        <v>303</v>
      </c>
      <c r="S701" s="56">
        <v>399</v>
      </c>
      <c r="T701" s="15">
        <f>DATA[[#This Row],[C. DF]]+DATA[[#This Row],[C.OPE.]]</f>
        <v>702</v>
      </c>
      <c r="U701" s="15">
        <f>DATA[[#This Row],[SUB TOTAL]]*0.18</f>
        <v>126.36</v>
      </c>
      <c r="V701" s="15">
        <f>IFERROR(ROUND(DATA[[#This Row],[SUB TOTAL]]+DATA[[#This Row],[IGV]],2),0)</f>
        <v>828.36</v>
      </c>
      <c r="W701" s="16" t="str">
        <f>IF(DATA[[#This Row],[VALORIZACIÓN ]]="-","NO CORRESPONDE",IF(OR(A701=20558226979,A701=10470707866,A701=20111157058,A701=20100226902),"NO CORRESPONDE",IF(J701="Emitida",IF(P701&gt;0,"EMITIDA","PENDIENTE"),"NO CORRESPONDE")))</f>
        <v>EMITIDA</v>
      </c>
      <c r="X701" s="29"/>
      <c r="Y701" s="17" t="s">
        <v>118</v>
      </c>
      <c r="Z701" s="30">
        <v>45813</v>
      </c>
      <c r="AA701" s="10" t="s">
        <v>150</v>
      </c>
      <c r="AB701" s="19">
        <v>108</v>
      </c>
      <c r="AC701" s="20">
        <v>15</v>
      </c>
      <c r="AD701" s="18">
        <f>DATA[[#This Row],[FECHA DE EMISION]]+DATA[[#This Row],[CONDICION DE PAGO]]</f>
        <v>45828</v>
      </c>
      <c r="AE701" s="23">
        <f>IF(DATA[[#This Row],[MONEDA]]="USD",VLOOKUP(DATA[[#This Row],[COMBINADA]],#REF!,11,0),1)</f>
        <v>1</v>
      </c>
      <c r="AF701" s="129" t="str">
        <f>IF(DATA[[#This Row],[SERIE2]]="-","NO CORRESPONDE",IF(W701="NO CORRESPONDE","NO CORRESPONDE",IF(Z701&gt;0,"FACTURADO","PENDIENTE")))</f>
        <v>FACTURADO</v>
      </c>
      <c r="AG701" s="133">
        <f>IFERROR(VLOOKUP(DATA[[#This Row],[COMBINADA]],#REF!,6,0),0)</f>
        <v>0</v>
      </c>
      <c r="AH701" s="125">
        <f>IFERROR(VLOOKUP(DATA[[#This Row],[COMBINADA]],#REF!,9,0),0)/COUNTIFS(DATA[COMBINADA],DATA[[#This Row],[COMBINADA]])</f>
        <v>0</v>
      </c>
      <c r="AI701" s="136">
        <f>IFERROR(VLOOKUP(DATA[[#This Row],[COMBINADA]],#REF!,6,0),0)</f>
        <v>0</v>
      </c>
      <c r="AJ701" s="139">
        <f>IFERROR(VLOOKUP(DATA[[#This Row],[COMBINADA]],#REF!,9,0),0)/COUNTIFS(DATA[COMBINADA],DATA[[#This Row],[COMBINADA]])</f>
        <v>0</v>
      </c>
      <c r="AK701" s="131">
        <f>IFERROR(VLOOKUP(DATA[[#This Row],[COMBINADA]],#REF!,6,0),0)</f>
        <v>0</v>
      </c>
      <c r="AL701" s="125">
        <f>IFERROR(VLOOKUP(DATA[[#This Row],[COMBINADA]],#REF!,9,0),0)/COUNTIFS(DATA[COMBINADA],DATA[[#This Row],[COMBINADA]])</f>
        <v>0</v>
      </c>
      <c r="AM701" s="27">
        <f>IFERROR(VLOOKUP(DATA[[#This Row],[COMBINADA]],#REF!,6,0),0)</f>
        <v>0</v>
      </c>
      <c r="AN701" s="125">
        <f>IFERROR(VLOOKUP(DATA[[#This Row],[COMBINADA]],#REF!,9,0),0)/COUNTIFS(DATA[COMBINADA],DATA[[#This Row],[COMBINADA]])</f>
        <v>0</v>
      </c>
      <c r="AO701" s="27">
        <f>IFERROR(VLOOKUP(DATA[[#This Row],[COMBINADA]],#REF!,6,0),0)</f>
        <v>0</v>
      </c>
      <c r="AP701" s="132">
        <f>IFERROR(VLOOKUP(DATA[[#This Row],[COMBINADA]],#REF!,9,0),0)/COUNTIFS(DATA[COMBINADA],DATA[[#This Row],[COMBINADA]])</f>
        <v>0</v>
      </c>
      <c r="AQ70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684.4</v>
      </c>
      <c r="AR701" s="26" t="str">
        <f>IFERROR(IF(DATA[[#This Row],[estado_fact]]="FACTURADO",VLOOKUP(DATA[[#This Row],[SERIE2]]&amp;"-"&amp;DATA[[#This Row],[NUMERO]],#REF!,34,0),"NO CORRESPONDE"),"NO CORRESPONDE")</f>
        <v>NO CORRESPONDE</v>
      </c>
      <c r="AS701" s="22" t="str">
        <f>IF(DATA[[#This Row],[fecha_fs]]&gt;0,TEXT(DATA[[#This Row],[fecha_fs]],"Mmmm"),0)</f>
        <v>Mayo</v>
      </c>
      <c r="AT701" s="22" t="str">
        <f>DATA[[#This Row],[SERIE2]]&amp;"-"&amp;DATA[[#This Row],[NUMERO]]</f>
        <v>FF01-108</v>
      </c>
      <c r="AU701" s="28">
        <f>DATA[[#This Row],[TOTAL]]*DATA[[#This Row],[T.C.]]</f>
        <v>828.36</v>
      </c>
      <c r="AV701" s="6">
        <f>DATA[[#This Row],[FECHA DE VAL.]]</f>
        <v>45805</v>
      </c>
      <c r="AW701" s="6">
        <f>DATA[[#This Row],[FECHA DE EMISION]]</f>
        <v>45813</v>
      </c>
      <c r="AX701" s="6">
        <f>DATA[[#This Row],[F1]]</f>
        <v>0</v>
      </c>
      <c r="AY701" s="20">
        <f>IF(AV701-DATA[[#This Row],[fecha_fs]]&lt;0,0,AV701-DATA[[#This Row],[fecha_fs]])</f>
        <v>5</v>
      </c>
      <c r="AZ701" s="20">
        <f t="shared" si="70"/>
        <v>8</v>
      </c>
      <c r="BA701" s="20">
        <f t="shared" si="71"/>
        <v>0</v>
      </c>
      <c r="BB701" s="195">
        <f>IFERROR(SUM(DATA[[#This Row],[fs_val_ttf]:[fact_pago_ttf]]),0)</f>
        <v>13</v>
      </c>
      <c r="BC701" s="185">
        <v>45806</v>
      </c>
      <c r="BD701" s="185">
        <v>45812</v>
      </c>
      <c r="BE701" s="185">
        <v>45813</v>
      </c>
      <c r="BF701" s="185">
        <v>45814</v>
      </c>
      <c r="BG701" s="20">
        <f>IFERROR(IF(BC701-DATA[[#This Row],[fecha_fs]]&lt;0,0,BC701-DATA[[#This Row],[fecha_fs]]),0)</f>
        <v>6</v>
      </c>
      <c r="BH701" s="20">
        <f t="shared" si="72"/>
        <v>6</v>
      </c>
      <c r="BI701" s="20">
        <f t="shared" si="73"/>
        <v>1</v>
      </c>
      <c r="BJ701" s="20">
        <f t="shared" si="74"/>
        <v>1</v>
      </c>
      <c r="BK701" s="218">
        <f>IFERROR(SUM(DATA[[#This Row],[fs_fd_ttd]:[fend_fenf_ttd]]),0)</f>
        <v>14</v>
      </c>
      <c r="BL701" s="20" t="str">
        <f>IF(DATA[[#This Row],[fecha_fs]]&gt;0,TEXT(DATA[[#This Row],[fecha_fs]],"YYYY"),0)</f>
        <v>2025</v>
      </c>
      <c r="BM701" s="221" t="b">
        <v>1</v>
      </c>
      <c r="BN701" s="278">
        <f>COUNTIF(DATA[[#This Row],[tiempo_td]], "&lt;=15")</f>
        <v>1</v>
      </c>
      <c r="BO701" s="222"/>
    </row>
    <row r="702" spans="1:67" ht="30.6" customHeight="1" x14ac:dyDescent="0.25">
      <c r="A702" s="4">
        <v>20456012427</v>
      </c>
      <c r="B702" s="5" t="s">
        <v>54</v>
      </c>
      <c r="C702" s="52" t="s">
        <v>296</v>
      </c>
      <c r="D702" s="4" t="s">
        <v>112</v>
      </c>
      <c r="E702" s="5" t="s">
        <v>1</v>
      </c>
      <c r="F702" s="24">
        <v>45800</v>
      </c>
      <c r="G702" s="7" t="s">
        <v>113</v>
      </c>
      <c r="H702" s="25">
        <f t="shared" si="75"/>
        <v>1</v>
      </c>
      <c r="I702" s="67">
        <v>4550</v>
      </c>
      <c r="J702" s="8" t="s">
        <v>115</v>
      </c>
      <c r="K702" s="9" t="s">
        <v>116</v>
      </c>
      <c r="L702" s="10" t="s">
        <v>117</v>
      </c>
      <c r="M702" s="11">
        <v>169</v>
      </c>
      <c r="N702" s="12" t="s">
        <v>114</v>
      </c>
      <c r="O702" s="6">
        <v>45805</v>
      </c>
      <c r="P702" s="13">
        <v>3480</v>
      </c>
      <c r="Q702" s="14" t="s">
        <v>85</v>
      </c>
      <c r="R702" s="15">
        <f>DATA[[#This Row],[cantidad_fs]]*1</f>
        <v>169</v>
      </c>
      <c r="S702" s="56">
        <v>399</v>
      </c>
      <c r="T702" s="15">
        <f>DATA[[#This Row],[C. DF]]+DATA[[#This Row],[C.OPE.]]</f>
        <v>568</v>
      </c>
      <c r="U702" s="15">
        <f>DATA[[#This Row],[SUB TOTAL]]*0.18</f>
        <v>102.24</v>
      </c>
      <c r="V702" s="15">
        <f>IFERROR(ROUND(DATA[[#This Row],[SUB TOTAL]]+DATA[[#This Row],[IGV]],2),0)</f>
        <v>670.24</v>
      </c>
      <c r="W702" s="16" t="str">
        <f>IF(DATA[[#This Row],[VALORIZACIÓN ]]="-","NO CORRESPONDE",IF(OR(A702=20558226979,A702=10470707866,A702=20111157058,A702=20100226902),"NO CORRESPONDE",IF(J702="Emitida",IF(P702&gt;0,"EMITIDA","PENDIENTE"),"NO CORRESPONDE")))</f>
        <v>EMITIDA</v>
      </c>
      <c r="X702" s="29"/>
      <c r="Y702" s="17" t="s">
        <v>118</v>
      </c>
      <c r="Z702" s="30">
        <v>45813</v>
      </c>
      <c r="AA702" s="10" t="s">
        <v>150</v>
      </c>
      <c r="AB702" s="19">
        <v>108</v>
      </c>
      <c r="AC702" s="20">
        <v>15</v>
      </c>
      <c r="AD702" s="18">
        <f>DATA[[#This Row],[FECHA DE EMISION]]+DATA[[#This Row],[CONDICION DE PAGO]]</f>
        <v>45828</v>
      </c>
      <c r="AE702" s="23">
        <f>IF(DATA[[#This Row],[MONEDA]]="USD",VLOOKUP(DATA[[#This Row],[COMBINADA]],#REF!,11,0),1)</f>
        <v>1</v>
      </c>
      <c r="AF702" s="129" t="str">
        <f>IF(DATA[[#This Row],[SERIE2]]="-","NO CORRESPONDE",IF(W702="NO CORRESPONDE","NO CORRESPONDE",IF(Z702&gt;0,"FACTURADO","PENDIENTE")))</f>
        <v>FACTURADO</v>
      </c>
      <c r="AG702" s="133">
        <f>IFERROR(VLOOKUP(DATA[[#This Row],[COMBINADA]],#REF!,6,0),0)</f>
        <v>0</v>
      </c>
      <c r="AH702" s="125">
        <f>IFERROR(VLOOKUP(DATA[[#This Row],[COMBINADA]],#REF!,9,0),0)/COUNTIFS(DATA[COMBINADA],DATA[[#This Row],[COMBINADA]])</f>
        <v>0</v>
      </c>
      <c r="AI702" s="136">
        <f>IFERROR(VLOOKUP(DATA[[#This Row],[COMBINADA]],#REF!,6,0),0)</f>
        <v>0</v>
      </c>
      <c r="AJ702" s="139">
        <f>IFERROR(VLOOKUP(DATA[[#This Row],[COMBINADA]],#REF!,9,0),0)/COUNTIFS(DATA[COMBINADA],DATA[[#This Row],[COMBINADA]])</f>
        <v>0</v>
      </c>
      <c r="AK702" s="131">
        <f>IFERROR(VLOOKUP(DATA[[#This Row],[COMBINADA]],#REF!,6,0),0)</f>
        <v>0</v>
      </c>
      <c r="AL702" s="125">
        <f>IFERROR(VLOOKUP(DATA[[#This Row],[COMBINADA]],#REF!,9,0),0)/COUNTIFS(DATA[COMBINADA],DATA[[#This Row],[COMBINADA]])</f>
        <v>0</v>
      </c>
      <c r="AM702" s="27">
        <f>IFERROR(VLOOKUP(DATA[[#This Row],[COMBINADA]],#REF!,6,0),0)</f>
        <v>0</v>
      </c>
      <c r="AN702" s="125">
        <f>IFERROR(VLOOKUP(DATA[[#This Row],[COMBINADA]],#REF!,9,0),0)/COUNTIFS(DATA[COMBINADA],DATA[[#This Row],[COMBINADA]])</f>
        <v>0</v>
      </c>
      <c r="AO702" s="27">
        <f>IFERROR(VLOOKUP(DATA[[#This Row],[COMBINADA]],#REF!,6,0),0)</f>
        <v>0</v>
      </c>
      <c r="AP702" s="132">
        <f>IFERROR(VLOOKUP(DATA[[#This Row],[COMBINADA]],#REF!,9,0),0)/COUNTIFS(DATA[COMBINADA],DATA[[#This Row],[COMBINADA]])</f>
        <v>0</v>
      </c>
      <c r="AQ70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684.4</v>
      </c>
      <c r="AR702" s="26" t="str">
        <f>IFERROR(IF(DATA[[#This Row],[estado_fact]]="FACTURADO",VLOOKUP(DATA[[#This Row],[SERIE2]]&amp;"-"&amp;DATA[[#This Row],[NUMERO]],#REF!,34,0),"NO CORRESPONDE"),"NO CORRESPONDE")</f>
        <v>NO CORRESPONDE</v>
      </c>
      <c r="AS702" s="22" t="str">
        <f>IF(DATA[[#This Row],[fecha_fs]]&gt;0,TEXT(DATA[[#This Row],[fecha_fs]],"Mmmm"),0)</f>
        <v>Mayo</v>
      </c>
      <c r="AT702" s="22" t="str">
        <f>DATA[[#This Row],[SERIE2]]&amp;"-"&amp;DATA[[#This Row],[NUMERO]]</f>
        <v>FF01-108</v>
      </c>
      <c r="AU702" s="28">
        <f>DATA[[#This Row],[TOTAL]]*DATA[[#This Row],[T.C.]]</f>
        <v>670.24</v>
      </c>
      <c r="AV702" s="6">
        <f>DATA[[#This Row],[FECHA DE VAL.]]</f>
        <v>45805</v>
      </c>
      <c r="AW702" s="6">
        <f>DATA[[#This Row],[FECHA DE EMISION]]</f>
        <v>45813</v>
      </c>
      <c r="AX702" s="6">
        <f>DATA[[#This Row],[F1]]</f>
        <v>0</v>
      </c>
      <c r="AY702" s="20">
        <f>IF(AV702-DATA[[#This Row],[fecha_fs]]&lt;0,0,AV702-DATA[[#This Row],[fecha_fs]])</f>
        <v>5</v>
      </c>
      <c r="AZ702" s="20">
        <f t="shared" ref="AZ702:AZ765" si="76">IF(AW702-AV702&lt;0,0,AW702-AV702)</f>
        <v>8</v>
      </c>
      <c r="BA702" s="20">
        <f t="shared" ref="BA702:BA765" si="77">IF(AX702-AW702&lt;0,0,AX702-AW702)</f>
        <v>0</v>
      </c>
      <c r="BB702" s="195">
        <f>IFERROR(SUM(DATA[[#This Row],[fs_val_ttf]:[fact_pago_ttf]]),0)</f>
        <v>13</v>
      </c>
      <c r="BC702" s="185">
        <v>45806</v>
      </c>
      <c r="BD702" s="185">
        <v>45812</v>
      </c>
      <c r="BE702" s="185">
        <v>45813</v>
      </c>
      <c r="BF702" s="185">
        <v>45814</v>
      </c>
      <c r="BG702" s="20">
        <f>IFERROR(IF(BC702-DATA[[#This Row],[fecha_fs]]&lt;0,0,BC702-DATA[[#This Row],[fecha_fs]]),0)</f>
        <v>6</v>
      </c>
      <c r="BH702" s="20">
        <f t="shared" si="72"/>
        <v>6</v>
      </c>
      <c r="BI702" s="20">
        <f t="shared" si="73"/>
        <v>1</v>
      </c>
      <c r="BJ702" s="20">
        <f t="shared" si="74"/>
        <v>1</v>
      </c>
      <c r="BK702" s="218">
        <f>IFERROR(SUM(DATA[[#This Row],[fs_fd_ttd]:[fend_fenf_ttd]]),0)</f>
        <v>14</v>
      </c>
      <c r="BL702" s="20" t="str">
        <f>IF(DATA[[#This Row],[fecha_fs]]&gt;0,TEXT(DATA[[#This Row],[fecha_fs]],"YYYY"),0)</f>
        <v>2025</v>
      </c>
      <c r="BM702" s="221" t="b">
        <v>1</v>
      </c>
      <c r="BN702" s="278">
        <f>COUNTIF(DATA[[#This Row],[tiempo_td]], "&lt;=15")</f>
        <v>1</v>
      </c>
      <c r="BO702" s="222"/>
    </row>
    <row r="703" spans="1:67" ht="30.6" customHeight="1" x14ac:dyDescent="0.25">
      <c r="A703" s="4">
        <v>20456012427</v>
      </c>
      <c r="B703" s="5" t="s">
        <v>54</v>
      </c>
      <c r="C703" s="52" t="s">
        <v>177</v>
      </c>
      <c r="D703" s="4" t="s">
        <v>112</v>
      </c>
      <c r="E703" s="5" t="s">
        <v>1</v>
      </c>
      <c r="F703" s="24">
        <v>45800</v>
      </c>
      <c r="G703" s="7" t="s">
        <v>113</v>
      </c>
      <c r="H703" s="25">
        <f>IF(G703="","",IF(G703="LIM",2,1))</f>
        <v>1</v>
      </c>
      <c r="I703" s="67">
        <v>4551</v>
      </c>
      <c r="J703" s="8" t="s">
        <v>115</v>
      </c>
      <c r="K703" s="9" t="s">
        <v>116</v>
      </c>
      <c r="L703" s="10" t="s">
        <v>117</v>
      </c>
      <c r="M703" s="11">
        <v>200</v>
      </c>
      <c r="N703" s="12" t="s">
        <v>114</v>
      </c>
      <c r="O703" s="6">
        <v>45805</v>
      </c>
      <c r="P703" s="13">
        <v>3480</v>
      </c>
      <c r="Q703" s="14" t="s">
        <v>85</v>
      </c>
      <c r="R703" s="15">
        <f>DATA[[#This Row],[cantidad_fs]]*1</f>
        <v>200</v>
      </c>
      <c r="S703" s="56">
        <v>270</v>
      </c>
      <c r="T703" s="15">
        <f>DATA[[#This Row],[C. DF]]+DATA[[#This Row],[C.OPE.]]</f>
        <v>470</v>
      </c>
      <c r="U703" s="15">
        <f>DATA[[#This Row],[SUB TOTAL]]*0.18</f>
        <v>84.6</v>
      </c>
      <c r="V703" s="15">
        <f>IFERROR(ROUND(DATA[[#This Row],[SUB TOTAL]]+DATA[[#This Row],[IGV]],2),0)</f>
        <v>554.6</v>
      </c>
      <c r="W703" s="16" t="str">
        <f>IF(DATA[[#This Row],[VALORIZACIÓN ]]="-","NO CORRESPONDE",IF(OR(A703=20558226979,A703=10470707866,A703=20111157058,A703=20100226902),"NO CORRESPONDE",IF(J703="Emitida",IF(P703&gt;0,"EMITIDA","PENDIENTE"),"NO CORRESPONDE")))</f>
        <v>EMITIDA</v>
      </c>
      <c r="X703" s="29"/>
      <c r="Y703" s="17" t="s">
        <v>118</v>
      </c>
      <c r="Z703" s="30">
        <v>45813</v>
      </c>
      <c r="AA703" s="10" t="s">
        <v>150</v>
      </c>
      <c r="AB703" s="19">
        <v>108</v>
      </c>
      <c r="AC703" s="20">
        <v>15</v>
      </c>
      <c r="AD703" s="18">
        <f>DATA[[#This Row],[FECHA DE EMISION]]+DATA[[#This Row],[CONDICION DE PAGO]]</f>
        <v>45828</v>
      </c>
      <c r="AE703" s="23">
        <f>IF(DATA[[#This Row],[MONEDA]]="USD",VLOOKUP(DATA[[#This Row],[COMBINADA]],#REF!,11,0),1)</f>
        <v>1</v>
      </c>
      <c r="AF703" s="129" t="str">
        <f>IF(DATA[[#This Row],[SERIE2]]="-","NO CORRESPONDE",IF(W703="NO CORRESPONDE","NO CORRESPONDE",IF(Z703&gt;0,"FACTURADO","PENDIENTE")))</f>
        <v>FACTURADO</v>
      </c>
      <c r="AG703" s="133">
        <f>IFERROR(VLOOKUP(DATA[[#This Row],[COMBINADA]],#REF!,6,0),0)</f>
        <v>0</v>
      </c>
      <c r="AH703" s="125">
        <f>IFERROR(VLOOKUP(DATA[[#This Row],[COMBINADA]],#REF!,9,0),0)/COUNTIFS(DATA[COMBINADA],DATA[[#This Row],[COMBINADA]])</f>
        <v>0</v>
      </c>
      <c r="AI703" s="136">
        <f>IFERROR(VLOOKUP(DATA[[#This Row],[COMBINADA]],#REF!,6,0),0)</f>
        <v>0</v>
      </c>
      <c r="AJ703" s="139">
        <f>IFERROR(VLOOKUP(DATA[[#This Row],[COMBINADA]],#REF!,9,0),0)/COUNTIFS(DATA[COMBINADA],DATA[[#This Row],[COMBINADA]])</f>
        <v>0</v>
      </c>
      <c r="AK703" s="131">
        <f>IFERROR(VLOOKUP(DATA[[#This Row],[COMBINADA]],#REF!,6,0),0)</f>
        <v>0</v>
      </c>
      <c r="AL703" s="125">
        <f>IFERROR(VLOOKUP(DATA[[#This Row],[COMBINADA]],#REF!,9,0),0)/COUNTIFS(DATA[COMBINADA],DATA[[#This Row],[COMBINADA]])</f>
        <v>0</v>
      </c>
      <c r="AM703" s="27">
        <f>IFERROR(VLOOKUP(DATA[[#This Row],[COMBINADA]],#REF!,6,0),0)</f>
        <v>0</v>
      </c>
      <c r="AN703" s="125">
        <f>IFERROR(VLOOKUP(DATA[[#This Row],[COMBINADA]],#REF!,9,0),0)/COUNTIFS(DATA[COMBINADA],DATA[[#This Row],[COMBINADA]])</f>
        <v>0</v>
      </c>
      <c r="AO703" s="27">
        <f>IFERROR(VLOOKUP(DATA[[#This Row],[COMBINADA]],#REF!,6,0),0)</f>
        <v>0</v>
      </c>
      <c r="AP703" s="132">
        <f>IFERROR(VLOOKUP(DATA[[#This Row],[COMBINADA]],#REF!,9,0),0)/COUNTIFS(DATA[COMBINADA],DATA[[#This Row],[COMBINADA]])</f>
        <v>0</v>
      </c>
      <c r="AQ70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684.4</v>
      </c>
      <c r="AR703" s="26" t="str">
        <f>IFERROR(IF(DATA[[#This Row],[estado_fact]]="FACTURADO",VLOOKUP(DATA[[#This Row],[SERIE2]]&amp;"-"&amp;DATA[[#This Row],[NUMERO]],#REF!,34,0),"NO CORRESPONDE"),"NO CORRESPONDE")</f>
        <v>NO CORRESPONDE</v>
      </c>
      <c r="AS703" s="22" t="str">
        <f>IF(DATA[[#This Row],[fecha_fs]]&gt;0,TEXT(DATA[[#This Row],[fecha_fs]],"Mmmm"),0)</f>
        <v>Mayo</v>
      </c>
      <c r="AT703" s="22" t="str">
        <f>DATA[[#This Row],[SERIE2]]&amp;"-"&amp;DATA[[#This Row],[NUMERO]]</f>
        <v>FF01-108</v>
      </c>
      <c r="AU703" s="28">
        <f>DATA[[#This Row],[TOTAL]]*DATA[[#This Row],[T.C.]]</f>
        <v>554.6</v>
      </c>
      <c r="AV703" s="6">
        <f>DATA[[#This Row],[FECHA DE VAL.]]</f>
        <v>45805</v>
      </c>
      <c r="AW703" s="6">
        <f>DATA[[#This Row],[FECHA DE EMISION]]</f>
        <v>45813</v>
      </c>
      <c r="AX703" s="6">
        <f>DATA[[#This Row],[F1]]</f>
        <v>0</v>
      </c>
      <c r="AY703" s="20">
        <f>IF(AV703-DATA[[#This Row],[fecha_fs]]&lt;0,0,AV703-DATA[[#This Row],[fecha_fs]])</f>
        <v>5</v>
      </c>
      <c r="AZ703" s="20">
        <f>IF(AW703-AV703&lt;0,0,AW703-AV703)</f>
        <v>8</v>
      </c>
      <c r="BA703" s="20">
        <f>IF(AX703-AW703&lt;0,0,AX703-AW703)</f>
        <v>0</v>
      </c>
      <c r="BB703" s="195">
        <f>IFERROR(SUM(DATA[[#This Row],[fs_val_ttf]:[fact_pago_ttf]]),0)</f>
        <v>13</v>
      </c>
      <c r="BC703" s="184">
        <v>45779</v>
      </c>
      <c r="BD703" s="184">
        <v>45812</v>
      </c>
      <c r="BE703" s="184">
        <v>45813</v>
      </c>
      <c r="BF703" s="184">
        <v>45814</v>
      </c>
      <c r="BG703" s="20">
        <f>IFERROR(IF(BC703-DATA[[#This Row],[fecha_fs]]&lt;0,0,BC703-DATA[[#This Row],[fecha_fs]]),0)</f>
        <v>0</v>
      </c>
      <c r="BH703" s="20">
        <f>IFERROR(IF(BD703-BC703&lt;0,0,BD703-BC703),0)</f>
        <v>33</v>
      </c>
      <c r="BI703" s="20">
        <f>IFERROR(IF(BE703-BD703&lt;0,0,BE703-BD703),0)</f>
        <v>1</v>
      </c>
      <c r="BJ703" s="20">
        <f>IFERROR(IF(BF703-BE703&lt;0,0,BF703-BE703),0)</f>
        <v>1</v>
      </c>
      <c r="BK703" s="218">
        <f>IFERROR(SUM(DATA[[#This Row],[fs_fd_ttd]:[fend_fenf_ttd]]),0)</f>
        <v>35</v>
      </c>
      <c r="BL703" s="20" t="str">
        <f>IF(DATA[[#This Row],[fecha_fs]]&gt;0,TEXT(DATA[[#This Row],[fecha_fs]],"YYYY"),0)</f>
        <v>2025</v>
      </c>
      <c r="BM703" s="221" t="b">
        <v>1</v>
      </c>
      <c r="BN703" s="278">
        <f>COUNTIF(DATA[[#This Row],[tiempo_td]], "&lt;=15")</f>
        <v>0</v>
      </c>
      <c r="BO703" s="222"/>
    </row>
    <row r="704" spans="1:67" ht="30.6" customHeight="1" x14ac:dyDescent="0.25">
      <c r="A704" s="4">
        <v>20100192064</v>
      </c>
      <c r="B704" s="5" t="s">
        <v>60</v>
      </c>
      <c r="C704" s="52" t="s">
        <v>65</v>
      </c>
      <c r="D704" s="4" t="s">
        <v>112</v>
      </c>
      <c r="E704" s="5" t="s">
        <v>1</v>
      </c>
      <c r="F704" s="24">
        <v>45803</v>
      </c>
      <c r="G704" s="7" t="s">
        <v>142</v>
      </c>
      <c r="H704" s="25">
        <f t="shared" si="75"/>
        <v>2</v>
      </c>
      <c r="I704" s="67">
        <v>1091</v>
      </c>
      <c r="J704" s="8" t="s">
        <v>115</v>
      </c>
      <c r="K704" s="9" t="s">
        <v>116</v>
      </c>
      <c r="L704" s="10" t="s">
        <v>117</v>
      </c>
      <c r="M704" s="11">
        <v>2980</v>
      </c>
      <c r="N704" s="12" t="s">
        <v>143</v>
      </c>
      <c r="O704" s="6">
        <v>45803</v>
      </c>
      <c r="P704" s="71">
        <v>3467</v>
      </c>
      <c r="Q704" s="14" t="s">
        <v>123</v>
      </c>
      <c r="R704" s="15">
        <f>(DATA[[#This Row],[cantidad_fs]]/1000)*(147+81.01)</f>
        <v>679.46979999999996</v>
      </c>
      <c r="S704" s="56">
        <v>103.6</v>
      </c>
      <c r="T704" s="15">
        <f>DATA[[#This Row],[C. DF]]+DATA[[#This Row],[C.OPE.]]</f>
        <v>783.06979999999999</v>
      </c>
      <c r="U704" s="15">
        <f>DATA[[#This Row],[SUB TOTAL]]*0.18</f>
        <v>140.952564</v>
      </c>
      <c r="V704" s="15">
        <f>IFERROR(ROUND(DATA[[#This Row],[SUB TOTAL]]+DATA[[#This Row],[IGV]],2),0)</f>
        <v>924.02</v>
      </c>
      <c r="W704" s="16" t="str">
        <f>IF(DATA[[#This Row],[VALORIZACIÓN ]]="-","NO CORRESPONDE",IF(OR(A704=20558226979,A704=10470707866,A704=20111157058,A704=20100226902),"NO CORRESPONDE",IF(J704="Emitida",IF(P704&gt;0,"EMITIDA","PENDIENTE"),"NO CORRESPONDE")))</f>
        <v>EMITIDA</v>
      </c>
      <c r="X704" s="29"/>
      <c r="Y704" s="17" t="s">
        <v>118</v>
      </c>
      <c r="Z704" s="30">
        <v>45805</v>
      </c>
      <c r="AA704" s="10" t="s">
        <v>150</v>
      </c>
      <c r="AB704" s="19">
        <v>98</v>
      </c>
      <c r="AC704" s="20">
        <v>30</v>
      </c>
      <c r="AD704" s="18">
        <f>DATA[[#This Row],[FECHA DE EMISION]]+DATA[[#This Row],[CONDICION DE PAGO]]</f>
        <v>45835</v>
      </c>
      <c r="AE704" s="23" t="e">
        <f>IF(DATA[[#This Row],[MONEDA]]="USD",VLOOKUP(DATA[[#This Row],[COMBINADA]],#REF!,11,0),1)</f>
        <v>#REF!</v>
      </c>
      <c r="AF704" s="129" t="str">
        <f>IF(DATA[[#This Row],[SERIE2]]="-","NO CORRESPONDE",IF(W704="NO CORRESPONDE","NO CORRESPONDE",IF(Z704&gt;0,"FACTURADO","PENDIENTE")))</f>
        <v>FACTURADO</v>
      </c>
      <c r="AG704" s="133">
        <f>IFERROR(VLOOKUP(DATA[[#This Row],[COMBINADA]],#REF!,6,0),0)</f>
        <v>0</v>
      </c>
      <c r="AH704" s="125">
        <f>IFERROR(VLOOKUP(DATA[[#This Row],[COMBINADA]],#REF!,9,0),0)/COUNTIFS(DATA[COMBINADA],DATA[[#This Row],[COMBINADA]])</f>
        <v>0</v>
      </c>
      <c r="AI704" s="136">
        <f>IFERROR(VLOOKUP(DATA[[#This Row],[COMBINADA]],#REF!,6,0),0)</f>
        <v>0</v>
      </c>
      <c r="AJ704" s="139">
        <f>IFERROR(VLOOKUP(DATA[[#This Row],[COMBINADA]],#REF!,9,0),0)/COUNTIFS(DATA[COMBINADA],DATA[[#This Row],[COMBINADA]])</f>
        <v>0</v>
      </c>
      <c r="AK704" s="131">
        <f>IFERROR(VLOOKUP(DATA[[#This Row],[COMBINADA]],#REF!,6,0),0)</f>
        <v>0</v>
      </c>
      <c r="AL704" s="125">
        <f>IFERROR(VLOOKUP(DATA[[#This Row],[COMBINADA]],#REF!,9,0),0)/COUNTIFS(DATA[COMBINADA],DATA[[#This Row],[COMBINADA]])</f>
        <v>0</v>
      </c>
      <c r="AM704" s="27">
        <f>IFERROR(VLOOKUP(DATA[[#This Row],[COMBINADA]],#REF!,6,0),0)</f>
        <v>0</v>
      </c>
      <c r="AN704" s="125">
        <f>IFERROR(VLOOKUP(DATA[[#This Row],[COMBINADA]],#REF!,9,0),0)/COUNTIFS(DATA[COMBINADA],DATA[[#This Row],[COMBINADA]])</f>
        <v>0</v>
      </c>
      <c r="AO704" s="27">
        <f>IFERROR(VLOOKUP(DATA[[#This Row],[COMBINADA]],#REF!,6,0),0)</f>
        <v>0</v>
      </c>
      <c r="AP704" s="132">
        <f>IFERROR(VLOOKUP(DATA[[#This Row],[COMBINADA]],#REF!,9,0),0)/COUNTIFS(DATA[COMBINADA],DATA[[#This Row],[COMBINADA]])</f>
        <v>0</v>
      </c>
      <c r="AQ70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647.4955555555556</v>
      </c>
      <c r="AR704" s="26" t="str">
        <f>IFERROR(IF(DATA[[#This Row],[estado_fact]]="FACTURADO",VLOOKUP(DATA[[#This Row],[SERIE2]]&amp;"-"&amp;DATA[[#This Row],[NUMERO]],#REF!,34,0),"NO CORRESPONDE"),"NO CORRESPONDE")</f>
        <v>NO CORRESPONDE</v>
      </c>
      <c r="AS704" s="22" t="str">
        <f>IF(DATA[[#This Row],[fecha_fs]]&gt;0,TEXT(DATA[[#This Row],[fecha_fs]],"Mmmm"),0)</f>
        <v>Mayo</v>
      </c>
      <c r="AT704" s="22" t="str">
        <f>DATA[[#This Row],[SERIE2]]&amp;"-"&amp;DATA[[#This Row],[NUMERO]]</f>
        <v>FF01-98</v>
      </c>
      <c r="AU704" s="28" t="e">
        <f>DATA[[#This Row],[TOTAL]]*DATA[[#This Row],[T.C.]]</f>
        <v>#REF!</v>
      </c>
      <c r="AV704" s="6">
        <f>DATA[[#This Row],[FECHA DE VAL.]]</f>
        <v>45803</v>
      </c>
      <c r="AW704" s="6">
        <f>DATA[[#This Row],[FECHA DE EMISION]]</f>
        <v>45805</v>
      </c>
      <c r="AX704" s="6">
        <f>DATA[[#This Row],[F1]]</f>
        <v>0</v>
      </c>
      <c r="AY704" s="20">
        <f>IF(AV704-DATA[[#This Row],[fecha_fs]]&lt;0,0,AV704-DATA[[#This Row],[fecha_fs]])</f>
        <v>0</v>
      </c>
      <c r="AZ704" s="20">
        <f t="shared" si="76"/>
        <v>2</v>
      </c>
      <c r="BA704" s="20">
        <f t="shared" si="77"/>
        <v>0</v>
      </c>
      <c r="BB704" s="195">
        <f>IFERROR(SUM(DATA[[#This Row],[fs_val_ttf]:[fact_pago_ttf]]),0)</f>
        <v>2</v>
      </c>
      <c r="BC704" s="185">
        <v>45803</v>
      </c>
      <c r="BD704" s="185">
        <v>45812</v>
      </c>
      <c r="BE704" s="185">
        <v>45813</v>
      </c>
      <c r="BF704" s="185">
        <v>45846</v>
      </c>
      <c r="BG704" s="20">
        <f>IFERROR(IF(BC704-DATA[[#This Row],[fecha_fs]]&lt;0,0,BC704-DATA[[#This Row],[fecha_fs]]),0)</f>
        <v>0</v>
      </c>
      <c r="BH704" s="20">
        <f t="shared" si="72"/>
        <v>9</v>
      </c>
      <c r="BI704" s="20">
        <f t="shared" si="73"/>
        <v>1</v>
      </c>
      <c r="BJ704" s="20">
        <f t="shared" si="74"/>
        <v>33</v>
      </c>
      <c r="BK704" s="218">
        <f>IFERROR(SUM(DATA[[#This Row],[fs_fd_ttd]:[fend_fenf_ttd]]),0)</f>
        <v>43</v>
      </c>
      <c r="BL704" s="20" t="str">
        <f>IF(DATA[[#This Row],[fecha_fs]]&gt;0,TEXT(DATA[[#This Row],[fecha_fs]],"YYYY"),0)</f>
        <v>2025</v>
      </c>
      <c r="BM704" s="221" t="b">
        <v>1</v>
      </c>
      <c r="BN704" s="278">
        <f>COUNTIF(DATA[[#This Row],[tiempo_td]], "&lt;=15")</f>
        <v>0</v>
      </c>
      <c r="BO704" s="222"/>
    </row>
    <row r="705" spans="1:67" ht="30.6" customHeight="1" x14ac:dyDescent="0.25">
      <c r="A705" s="4">
        <v>20141637941</v>
      </c>
      <c r="B705" s="5" t="s">
        <v>79</v>
      </c>
      <c r="C705" s="52" t="s">
        <v>18</v>
      </c>
      <c r="D705" s="4" t="s">
        <v>120</v>
      </c>
      <c r="E705" s="5" t="s">
        <v>3</v>
      </c>
      <c r="F705" s="24">
        <v>45803</v>
      </c>
      <c r="G705" s="7" t="s">
        <v>113</v>
      </c>
      <c r="H705" s="25">
        <f t="shared" si="75"/>
        <v>1</v>
      </c>
      <c r="I705" s="67">
        <v>4552</v>
      </c>
      <c r="J705" s="8" t="s">
        <v>115</v>
      </c>
      <c r="K705" s="9" t="s">
        <v>121</v>
      </c>
      <c r="L705" s="10" t="s">
        <v>117</v>
      </c>
      <c r="M705" s="11">
        <v>1050</v>
      </c>
      <c r="N705" s="12" t="s">
        <v>125</v>
      </c>
      <c r="O705" s="6">
        <v>45807</v>
      </c>
      <c r="P705" s="110">
        <v>3481</v>
      </c>
      <c r="Q705" s="14" t="s">
        <v>85</v>
      </c>
      <c r="R705" s="15">
        <f>70+(DATA[[#This Row],[cantidad_fs]]-1000)*0.1</f>
        <v>75</v>
      </c>
      <c r="S705" s="56">
        <v>517</v>
      </c>
      <c r="T705" s="15">
        <f>DATA[[#This Row],[C. DF]]+DATA[[#This Row],[C.OPE.]]</f>
        <v>592</v>
      </c>
      <c r="U705" s="15">
        <f>DATA[[#This Row],[SUB TOTAL]]*0.18</f>
        <v>106.56</v>
      </c>
      <c r="V705" s="15">
        <f>IFERROR(ROUND(DATA[[#This Row],[SUB TOTAL]]+DATA[[#This Row],[IGV]],2),0)</f>
        <v>698.56</v>
      </c>
      <c r="W705" s="16" t="str">
        <f>IF(DATA[[#This Row],[VALORIZACIÓN ]]="-","NO CORRESPONDE",IF(OR(A705=20558226979,A705=10470707866,A705=20111157058,A705=20100226902),"NO CORRESPONDE",IF(J705="Emitida",IF(P705&gt;0,"EMITIDA","PENDIENTE"),"NO CORRESPONDE")))</f>
        <v>EMITIDA</v>
      </c>
      <c r="X705" s="29"/>
      <c r="Y705" s="17" t="s">
        <v>118</v>
      </c>
      <c r="Z705" s="30">
        <v>45813</v>
      </c>
      <c r="AA705" s="10" t="s">
        <v>150</v>
      </c>
      <c r="AB705" s="19">
        <v>107</v>
      </c>
      <c r="AC705" s="20">
        <v>30</v>
      </c>
      <c r="AD705" s="18">
        <f>DATA[[#This Row],[FECHA DE EMISION]]+DATA[[#This Row],[CONDICION DE PAGO]]</f>
        <v>45843</v>
      </c>
      <c r="AE705" s="23">
        <f>IF(DATA[[#This Row],[MONEDA]]="USD",VLOOKUP(DATA[[#This Row],[COMBINADA]],#REF!,11,0),1)</f>
        <v>1</v>
      </c>
      <c r="AF705" s="129" t="str">
        <f>IF(DATA[[#This Row],[SERIE2]]="-","NO CORRESPONDE",IF(W705="NO CORRESPONDE","NO CORRESPONDE",IF(Z705&gt;0,"FACTURADO","PENDIENTE")))</f>
        <v>FACTURADO</v>
      </c>
      <c r="AG705" s="133">
        <f>IFERROR(VLOOKUP(DATA[[#This Row],[COMBINADA]],#REF!,6,0),0)</f>
        <v>0</v>
      </c>
      <c r="AH705" s="125">
        <f>IFERROR(VLOOKUP(DATA[[#This Row],[COMBINADA]],#REF!,9,0),0)/COUNTIFS(DATA[COMBINADA],DATA[[#This Row],[COMBINADA]])</f>
        <v>0</v>
      </c>
      <c r="AI705" s="136">
        <f>IFERROR(VLOOKUP(DATA[[#This Row],[COMBINADA]],#REF!,6,0),0)</f>
        <v>0</v>
      </c>
      <c r="AJ705" s="139">
        <f>IFERROR(VLOOKUP(DATA[[#This Row],[COMBINADA]],#REF!,9,0),0)/COUNTIFS(DATA[COMBINADA],DATA[[#This Row],[COMBINADA]])</f>
        <v>0</v>
      </c>
      <c r="AK705" s="136">
        <f>IFERROR(VLOOKUP(DATA[[#This Row],[COMBINADA]],#REF!,6,0),0)</f>
        <v>0</v>
      </c>
      <c r="AL705" s="125">
        <f>IFERROR(VLOOKUP(DATA[[#This Row],[COMBINADA]],#REF!,9,0),0)/COUNTIFS(DATA[COMBINADA],DATA[[#This Row],[COMBINADA]])</f>
        <v>0</v>
      </c>
      <c r="AM705" s="133">
        <f>IFERROR(VLOOKUP(DATA[[#This Row],[COMBINADA]],#REF!,6,0),0)</f>
        <v>0</v>
      </c>
      <c r="AN705" s="125">
        <f>IFERROR(VLOOKUP(DATA[[#This Row],[COMBINADA]],#REF!,9,0),0)/COUNTIFS(DATA[COMBINADA],DATA[[#This Row],[COMBINADA]])</f>
        <v>0</v>
      </c>
      <c r="AO705" s="133">
        <f>IFERROR(VLOOKUP(DATA[[#This Row],[COMBINADA]],#REF!,6,0),0)</f>
        <v>0</v>
      </c>
      <c r="AP705" s="132">
        <f>IFERROR(VLOOKUP(DATA[[#This Row],[COMBINADA]],#REF!,9,0),0)/COUNTIFS(DATA[COMBINADA],DATA[[#This Row],[COMBINADA]])</f>
        <v>0</v>
      </c>
      <c r="AQ70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709.57333333333327</v>
      </c>
      <c r="AR705" s="26" t="str">
        <f>IFERROR(IF(DATA[[#This Row],[estado_fact]]="FACTURADO",VLOOKUP(DATA[[#This Row],[SERIE2]]&amp;"-"&amp;DATA[[#This Row],[NUMERO]],#REF!,34,0),"NO CORRESPONDE"),"NO CORRESPONDE")</f>
        <v>NO CORRESPONDE</v>
      </c>
      <c r="AS705" s="22" t="str">
        <f>IF(DATA[[#This Row],[fecha_fs]]&gt;0,TEXT(DATA[[#This Row],[fecha_fs]],"Mmmm"),0)</f>
        <v>Mayo</v>
      </c>
      <c r="AT705" s="22" t="str">
        <f>DATA[[#This Row],[SERIE2]]&amp;"-"&amp;DATA[[#This Row],[NUMERO]]</f>
        <v>FF01-107</v>
      </c>
      <c r="AU705" s="28">
        <f>DATA[[#This Row],[TOTAL]]*DATA[[#This Row],[T.C.]]</f>
        <v>698.56</v>
      </c>
      <c r="AV705" s="6">
        <f>DATA[[#This Row],[FECHA DE VAL.]]</f>
        <v>45807</v>
      </c>
      <c r="AW705" s="6">
        <f>DATA[[#This Row],[FECHA DE EMISION]]</f>
        <v>45813</v>
      </c>
      <c r="AX705" s="6">
        <f>DATA[[#This Row],[F1]]</f>
        <v>0</v>
      </c>
      <c r="AY705" s="20">
        <f>IF(AV705-DATA[[#This Row],[fecha_fs]]&lt;0,0,AV705-DATA[[#This Row],[fecha_fs]])</f>
        <v>4</v>
      </c>
      <c r="AZ705" s="20">
        <f t="shared" si="76"/>
        <v>6</v>
      </c>
      <c r="BA705" s="20">
        <f t="shared" si="77"/>
        <v>0</v>
      </c>
      <c r="BB705" s="195">
        <f>IFERROR(SUM(DATA[[#This Row],[fs_val_ttf]:[fact_pago_ttf]]),0)</f>
        <v>10</v>
      </c>
      <c r="BC705" s="185">
        <v>45803</v>
      </c>
      <c r="BD705" s="185">
        <v>45803</v>
      </c>
      <c r="BE705" s="185">
        <v>45813</v>
      </c>
      <c r="BF705" s="185">
        <v>45813</v>
      </c>
      <c r="BG705" s="20">
        <f>IFERROR(IF(BC705-DATA[[#This Row],[fecha_fs]]&lt;0,0,BC705-DATA[[#This Row],[fecha_fs]]),0)</f>
        <v>0</v>
      </c>
      <c r="BH705" s="20">
        <f t="shared" si="72"/>
        <v>0</v>
      </c>
      <c r="BI705" s="20">
        <f t="shared" si="73"/>
        <v>10</v>
      </c>
      <c r="BJ705" s="20">
        <f t="shared" si="74"/>
        <v>0</v>
      </c>
      <c r="BK705" s="218">
        <f>IFERROR(SUM(DATA[[#This Row],[fs_fd_ttd]:[fend_fenf_ttd]]),0)</f>
        <v>10</v>
      </c>
      <c r="BL705" s="20" t="str">
        <f>IF(DATA[[#This Row],[fecha_fs]]&gt;0,TEXT(DATA[[#This Row],[fecha_fs]],"YYYY"),0)</f>
        <v>2025</v>
      </c>
      <c r="BM705" s="221" t="b">
        <v>1</v>
      </c>
      <c r="BN705" s="278">
        <f>COUNTIF(DATA[[#This Row],[tiempo_td]], "&lt;=15")</f>
        <v>1</v>
      </c>
      <c r="BO705" s="222"/>
    </row>
    <row r="706" spans="1:67" ht="30.6" customHeight="1" x14ac:dyDescent="0.25">
      <c r="A706" s="4">
        <v>20100199743</v>
      </c>
      <c r="B706" s="5" t="s">
        <v>47</v>
      </c>
      <c r="C706" s="52" t="s">
        <v>48</v>
      </c>
      <c r="D706" s="4" t="s">
        <v>139</v>
      </c>
      <c r="E706" s="5" t="s">
        <v>23</v>
      </c>
      <c r="F706" s="24">
        <v>45803</v>
      </c>
      <c r="G706" s="7" t="s">
        <v>113</v>
      </c>
      <c r="H706" s="25">
        <f t="shared" si="75"/>
        <v>1</v>
      </c>
      <c r="I706" s="67">
        <v>4553</v>
      </c>
      <c r="J706" s="8" t="s">
        <v>115</v>
      </c>
      <c r="K706" s="9" t="s">
        <v>257</v>
      </c>
      <c r="L706" s="10" t="s">
        <v>117</v>
      </c>
      <c r="M706" s="11">
        <v>5404</v>
      </c>
      <c r="N706" s="12" t="s">
        <v>135</v>
      </c>
      <c r="O706" s="6">
        <v>45804</v>
      </c>
      <c r="P706" s="13">
        <v>3476</v>
      </c>
      <c r="Q706" s="14" t="s">
        <v>85</v>
      </c>
      <c r="R706" s="15"/>
      <c r="S706" s="56">
        <v>6099</v>
      </c>
      <c r="T706" s="15">
        <f>DATA[[#This Row],[C. DF]]+DATA[[#This Row],[C.OPE.]]</f>
        <v>6099</v>
      </c>
      <c r="U706" s="15">
        <f>DATA[[#This Row],[SUB TOTAL]]*0.18</f>
        <v>1097.82</v>
      </c>
      <c r="V706" s="15">
        <f>IFERROR(ROUND(DATA[[#This Row],[SUB TOTAL]]+DATA[[#This Row],[IGV]],2),0)</f>
        <v>7196.82</v>
      </c>
      <c r="W706" s="16" t="str">
        <f>IF(DATA[[#This Row],[VALORIZACIÓN ]]="-","NO CORRESPONDE",IF(OR(A706=20558226979,A706=10470707866,A706=20111157058,A706=20100226902),"NO CORRESPONDE",IF(J706="Emitida",IF(P706&gt;0,"EMITIDA","PENDIENTE"),"NO CORRESPONDE")))</f>
        <v>EMITIDA</v>
      </c>
      <c r="X706" s="29"/>
      <c r="Y706" s="17" t="s">
        <v>118</v>
      </c>
      <c r="Z706" s="30">
        <v>45813</v>
      </c>
      <c r="AA706" s="10" t="s">
        <v>150</v>
      </c>
      <c r="AB706" s="19">
        <v>105</v>
      </c>
      <c r="AC706" s="20">
        <v>15</v>
      </c>
      <c r="AD706" s="18">
        <f>DATA[[#This Row],[FECHA DE EMISION]]+DATA[[#This Row],[CONDICION DE PAGO]]</f>
        <v>45828</v>
      </c>
      <c r="AE706" s="23">
        <f>IF(DATA[[#This Row],[MONEDA]]="USD",VLOOKUP(DATA[[#This Row],[COMBINADA]],#REF!,11,0),1)</f>
        <v>1</v>
      </c>
      <c r="AF706" s="129" t="str">
        <f>IF(DATA[[#This Row],[SERIE2]]="-","NO CORRESPONDE",IF(W706="NO CORRESPONDE","NO CORRESPONDE",IF(Z706&gt;0,"FACTURADO","PENDIENTE")))</f>
        <v>FACTURADO</v>
      </c>
      <c r="AG706" s="133">
        <f>IFERROR(VLOOKUP(DATA[[#This Row],[COMBINADA]],#REF!,6,0),0)</f>
        <v>0</v>
      </c>
      <c r="AH706" s="125">
        <f>IFERROR(VLOOKUP(DATA[[#This Row],[COMBINADA]],#REF!,9,0),0)/COUNTIFS(DATA[COMBINADA],DATA[[#This Row],[COMBINADA]])</f>
        <v>0</v>
      </c>
      <c r="AI706" s="136">
        <f>IFERROR(VLOOKUP(DATA[[#This Row],[COMBINADA]],#REF!,6,0),0)</f>
        <v>0</v>
      </c>
      <c r="AJ706" s="139">
        <f>IFERROR(VLOOKUP(DATA[[#This Row],[COMBINADA]],#REF!,9,0),0)/COUNTIFS(DATA[COMBINADA],DATA[[#This Row],[COMBINADA]])</f>
        <v>0</v>
      </c>
      <c r="AK706" s="131">
        <f>IFERROR(VLOOKUP(DATA[[#This Row],[COMBINADA]],#REF!,6,0),0)</f>
        <v>0</v>
      </c>
      <c r="AL706" s="125">
        <f>IFERROR(VLOOKUP(DATA[[#This Row],[COMBINADA]],#REF!,9,0),0)/COUNTIFS(DATA[COMBINADA],DATA[[#This Row],[COMBINADA]])</f>
        <v>0</v>
      </c>
      <c r="AM706" s="27">
        <f>IFERROR(VLOOKUP(DATA[[#This Row],[COMBINADA]],#REF!,6,0),0)</f>
        <v>0</v>
      </c>
      <c r="AN706" s="125">
        <f>IFERROR(VLOOKUP(DATA[[#This Row],[COMBINADA]],#REF!,9,0),0)/COUNTIFS(DATA[COMBINADA],DATA[[#This Row],[COMBINADA]])</f>
        <v>0</v>
      </c>
      <c r="AO706" s="27">
        <f>IFERROR(VLOOKUP(DATA[[#This Row],[COMBINADA]],#REF!,6,0),0)</f>
        <v>0</v>
      </c>
      <c r="AP706" s="132">
        <f>IFERROR(VLOOKUP(DATA[[#This Row],[COMBINADA]],#REF!,9,0),0)/COUNTIFS(DATA[COMBINADA],DATA[[#This Row],[COMBINADA]])</f>
        <v>0</v>
      </c>
      <c r="AQ70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7196.82</v>
      </c>
      <c r="AR706" s="26" t="str">
        <f>IFERROR(IF(DATA[[#This Row],[estado_fact]]="FACTURADO",VLOOKUP(DATA[[#This Row],[SERIE2]]&amp;"-"&amp;DATA[[#This Row],[NUMERO]],#REF!,34,0),"NO CORRESPONDE"),"NO CORRESPONDE")</f>
        <v>NO CORRESPONDE</v>
      </c>
      <c r="AS706" s="22" t="str">
        <f>IF(DATA[[#This Row],[fecha_fs]]&gt;0,TEXT(DATA[[#This Row],[fecha_fs]],"Mmmm"),0)</f>
        <v>Mayo</v>
      </c>
      <c r="AT706" s="22" t="str">
        <f>DATA[[#This Row],[SERIE2]]&amp;"-"&amp;DATA[[#This Row],[NUMERO]]</f>
        <v>FF01-105</v>
      </c>
      <c r="AU706" s="28">
        <f>DATA[[#This Row],[TOTAL]]*DATA[[#This Row],[T.C.]]</f>
        <v>7196.82</v>
      </c>
      <c r="AV706" s="6">
        <f>DATA[[#This Row],[FECHA DE VAL.]]</f>
        <v>45804</v>
      </c>
      <c r="AW706" s="6">
        <f>DATA[[#This Row],[FECHA DE EMISION]]</f>
        <v>45813</v>
      </c>
      <c r="AX706" s="6">
        <f>DATA[[#This Row],[F1]]</f>
        <v>0</v>
      </c>
      <c r="AY706" s="20">
        <f>IF(AV706-DATA[[#This Row],[fecha_fs]]&lt;0,0,AV706-DATA[[#This Row],[fecha_fs]])</f>
        <v>1</v>
      </c>
      <c r="AZ706" s="20">
        <f t="shared" si="76"/>
        <v>9</v>
      </c>
      <c r="BA706" s="20">
        <f t="shared" si="77"/>
        <v>0</v>
      </c>
      <c r="BB706" s="195">
        <f>IFERROR(SUM(DATA[[#This Row],[fs_val_ttf]:[fact_pago_ttf]]),0)</f>
        <v>10</v>
      </c>
      <c r="BC706" s="185">
        <v>45803</v>
      </c>
      <c r="BD706" s="185">
        <v>45803</v>
      </c>
      <c r="BE706" s="185">
        <v>45813</v>
      </c>
      <c r="BF706" s="185">
        <v>45813</v>
      </c>
      <c r="BG706" s="20">
        <f>IFERROR(IF(BC706-DATA[[#This Row],[fecha_fs]]&lt;0,0,BC706-DATA[[#This Row],[fecha_fs]]),0)</f>
        <v>0</v>
      </c>
      <c r="BH706" s="20">
        <f t="shared" si="72"/>
        <v>0</v>
      </c>
      <c r="BI706" s="20">
        <f t="shared" si="73"/>
        <v>10</v>
      </c>
      <c r="BJ706" s="20">
        <f t="shared" si="74"/>
        <v>0</v>
      </c>
      <c r="BK706" s="218">
        <f>IFERROR(SUM(DATA[[#This Row],[fs_fd_ttd]:[fend_fenf_ttd]]),0)</f>
        <v>10</v>
      </c>
      <c r="BL706" s="20" t="str">
        <f>IF(DATA[[#This Row],[fecha_fs]]&gt;0,TEXT(DATA[[#This Row],[fecha_fs]],"YYYY"),0)</f>
        <v>2025</v>
      </c>
      <c r="BM706" s="221" t="b">
        <v>1</v>
      </c>
      <c r="BN706" s="278">
        <f>COUNTIF(DATA[[#This Row],[tiempo_td]], "&lt;=15")</f>
        <v>1</v>
      </c>
      <c r="BO706" s="222"/>
    </row>
    <row r="707" spans="1:67" ht="30.6" customHeight="1" x14ac:dyDescent="0.25">
      <c r="A707" s="4">
        <v>20100211115</v>
      </c>
      <c r="B707" s="5" t="s">
        <v>41</v>
      </c>
      <c r="C707" s="52" t="s">
        <v>18</v>
      </c>
      <c r="D707" s="4" t="s">
        <v>120</v>
      </c>
      <c r="E707" s="5" t="s">
        <v>3</v>
      </c>
      <c r="F707" s="24">
        <v>45803</v>
      </c>
      <c r="G707" s="7" t="s">
        <v>113</v>
      </c>
      <c r="H707" s="25">
        <f t="shared" si="75"/>
        <v>1</v>
      </c>
      <c r="I707" s="67">
        <v>4554</v>
      </c>
      <c r="J707" s="8" t="s">
        <v>115</v>
      </c>
      <c r="K707" s="9" t="s">
        <v>121</v>
      </c>
      <c r="L707" s="10" t="s">
        <v>117</v>
      </c>
      <c r="M707" s="11">
        <v>90</v>
      </c>
      <c r="N707" s="12" t="s">
        <v>167</v>
      </c>
      <c r="O707" s="6">
        <v>45803</v>
      </c>
      <c r="P707" s="115">
        <v>3455</v>
      </c>
      <c r="Q707" s="14" t="s">
        <v>85</v>
      </c>
      <c r="R707" s="15"/>
      <c r="S707" s="56">
        <f>(DATA[[#This Row],[cantidad_fs]]*4.37)</f>
        <v>393.3</v>
      </c>
      <c r="T707" s="15">
        <f>DATA[[#This Row],[C. DF]]+DATA[[#This Row],[C.OPE.]]</f>
        <v>393.3</v>
      </c>
      <c r="U707" s="15">
        <f>DATA[[#This Row],[SUB TOTAL]]*0.18</f>
        <v>70.793999999999997</v>
      </c>
      <c r="V707" s="15">
        <f>IFERROR(ROUND(DATA[[#This Row],[SUB TOTAL]]+DATA[[#This Row],[IGV]],2),0)</f>
        <v>464.09</v>
      </c>
      <c r="W707" s="16" t="str">
        <f>IF(DATA[[#This Row],[VALORIZACIÓN ]]="-","NO CORRESPONDE",IF(OR(A707=20558226979,A707=10470707866,A707=20111157058,A707=20100226902),"NO CORRESPONDE",IF(J707="Emitida",IF(P707&gt;0,"EMITIDA","PENDIENTE"),"NO CORRESPONDE")))</f>
        <v>EMITIDA</v>
      </c>
      <c r="X707" s="29"/>
      <c r="Y707" s="17" t="s">
        <v>118</v>
      </c>
      <c r="Z707" s="30">
        <v>45804</v>
      </c>
      <c r="AA707" s="10" t="s">
        <v>150</v>
      </c>
      <c r="AB707" s="19">
        <v>94</v>
      </c>
      <c r="AC707" s="20">
        <v>30</v>
      </c>
      <c r="AD707" s="18">
        <f>DATA[[#This Row],[FECHA DE EMISION]]+DATA[[#This Row],[CONDICION DE PAGO]]</f>
        <v>45834</v>
      </c>
      <c r="AE707" s="23">
        <f>IF(DATA[[#This Row],[MONEDA]]="USD",VLOOKUP(DATA[[#This Row],[COMBINADA]],#REF!,11,0),1)</f>
        <v>1</v>
      </c>
      <c r="AF707" s="129" t="str">
        <f>IF(DATA[[#This Row],[SERIE2]]="-","NO CORRESPONDE",IF(W707="NO CORRESPONDE","NO CORRESPONDE",IF(Z707&gt;0,"FACTURADO","PENDIENTE")))</f>
        <v>FACTURADO</v>
      </c>
      <c r="AG707" s="133">
        <f>IFERROR(VLOOKUP(DATA[[#This Row],[COMBINADA]],#REF!,6,0),0)</f>
        <v>0</v>
      </c>
      <c r="AH707" s="125">
        <f>IFERROR(VLOOKUP(DATA[[#This Row],[COMBINADA]],#REF!,9,0),0)/COUNTIFS(DATA[COMBINADA],DATA[[#This Row],[COMBINADA]])</f>
        <v>0</v>
      </c>
      <c r="AI707" s="136">
        <f>IFERROR(VLOOKUP(DATA[[#This Row],[COMBINADA]],#REF!,6,0),0)</f>
        <v>0</v>
      </c>
      <c r="AJ707" s="139">
        <f>IFERROR(VLOOKUP(DATA[[#This Row],[COMBINADA]],#REF!,9,0),0)/COUNTIFS(DATA[COMBINADA],DATA[[#This Row],[COMBINADA]])</f>
        <v>0</v>
      </c>
      <c r="AK707" s="131">
        <f>IFERROR(VLOOKUP(DATA[[#This Row],[COMBINADA]],#REF!,6,0),0)</f>
        <v>0</v>
      </c>
      <c r="AL707" s="125">
        <f>IFERROR(VLOOKUP(DATA[[#This Row],[COMBINADA]],#REF!,9,0),0)/COUNTIFS(DATA[COMBINADA],DATA[[#This Row],[COMBINADA]])</f>
        <v>0</v>
      </c>
      <c r="AM707" s="27">
        <f>IFERROR(VLOOKUP(DATA[[#This Row],[COMBINADA]],#REF!,6,0),0)</f>
        <v>0</v>
      </c>
      <c r="AN707" s="125">
        <f>IFERROR(VLOOKUP(DATA[[#This Row],[COMBINADA]],#REF!,9,0),0)/COUNTIFS(DATA[COMBINADA],DATA[[#This Row],[COMBINADA]])</f>
        <v>0</v>
      </c>
      <c r="AO707" s="27">
        <f>IFERROR(VLOOKUP(DATA[[#This Row],[COMBINADA]],#REF!,6,0),0)</f>
        <v>0</v>
      </c>
      <c r="AP707" s="132">
        <f>IFERROR(VLOOKUP(DATA[[#This Row],[COMBINADA]],#REF!,9,0),0)/COUNTIFS(DATA[COMBINADA],DATA[[#This Row],[COMBINADA]])</f>
        <v>0</v>
      </c>
      <c r="AQ70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464.09000000000009</v>
      </c>
      <c r="AR707" s="26" t="str">
        <f>IFERROR(IF(DATA[[#This Row],[estado_fact]]="FACTURADO",VLOOKUP(DATA[[#This Row],[SERIE2]]&amp;"-"&amp;DATA[[#This Row],[NUMERO]],#REF!,34,0),"NO CORRESPONDE"),"NO CORRESPONDE")</f>
        <v>NO CORRESPONDE</v>
      </c>
      <c r="AS707" s="22" t="str">
        <f>IF(DATA[[#This Row],[fecha_fs]]&gt;0,TEXT(DATA[[#This Row],[fecha_fs]],"Mmmm"),0)</f>
        <v>Mayo</v>
      </c>
      <c r="AT707" s="22" t="str">
        <f>DATA[[#This Row],[SERIE2]]&amp;"-"&amp;DATA[[#This Row],[NUMERO]]</f>
        <v>FF01-94</v>
      </c>
      <c r="AU707" s="28">
        <f>DATA[[#This Row],[TOTAL]]*DATA[[#This Row],[T.C.]]</f>
        <v>464.09</v>
      </c>
      <c r="AV707" s="6">
        <f>DATA[[#This Row],[FECHA DE VAL.]]</f>
        <v>45803</v>
      </c>
      <c r="AW707" s="6">
        <f>DATA[[#This Row],[FECHA DE EMISION]]</f>
        <v>45804</v>
      </c>
      <c r="AX707" s="6">
        <f>DATA[[#This Row],[F1]]</f>
        <v>0</v>
      </c>
      <c r="AY707" s="20">
        <f>IF(AV707-DATA[[#This Row],[fecha_fs]]&lt;0,0,AV707-DATA[[#This Row],[fecha_fs]])</f>
        <v>0</v>
      </c>
      <c r="AZ707" s="20">
        <f t="shared" si="76"/>
        <v>1</v>
      </c>
      <c r="BA707" s="20">
        <f t="shared" si="77"/>
        <v>0</v>
      </c>
      <c r="BB707" s="195">
        <f>IFERROR(SUM(DATA[[#This Row],[fs_val_ttf]:[fact_pago_ttf]]),0)</f>
        <v>1</v>
      </c>
      <c r="BC707" s="185">
        <v>45807</v>
      </c>
      <c r="BD707" s="185">
        <v>45814</v>
      </c>
      <c r="BE707" s="185">
        <v>45814</v>
      </c>
      <c r="BF707" s="185">
        <v>45821</v>
      </c>
      <c r="BG707" s="20">
        <f>IFERROR(IF(BC707-DATA[[#This Row],[fecha_fs]]&lt;0,0,BC707-DATA[[#This Row],[fecha_fs]]),0)</f>
        <v>4</v>
      </c>
      <c r="BH707" s="20">
        <f t="shared" si="72"/>
        <v>7</v>
      </c>
      <c r="BI707" s="20">
        <f t="shared" si="73"/>
        <v>0</v>
      </c>
      <c r="BJ707" s="20">
        <f t="shared" si="74"/>
        <v>7</v>
      </c>
      <c r="BK707" s="218">
        <f>IFERROR(SUM(DATA[[#This Row],[fs_fd_ttd]:[fend_fenf_ttd]]),0)</f>
        <v>18</v>
      </c>
      <c r="BL707" s="20" t="str">
        <f>IF(DATA[[#This Row],[fecha_fs]]&gt;0,TEXT(DATA[[#This Row],[fecha_fs]],"YYYY"),0)</f>
        <v>2025</v>
      </c>
      <c r="BM707" s="221" t="b">
        <v>1</v>
      </c>
      <c r="BN707" s="278">
        <f>COUNTIF(DATA[[#This Row],[tiempo_td]], "&lt;=15")</f>
        <v>0</v>
      </c>
      <c r="BO707" s="222"/>
    </row>
    <row r="708" spans="1:67" ht="30.6" customHeight="1" x14ac:dyDescent="0.25">
      <c r="A708" s="4">
        <v>20100192064</v>
      </c>
      <c r="B708" s="5" t="s">
        <v>60</v>
      </c>
      <c r="C708" s="52" t="s">
        <v>43</v>
      </c>
      <c r="D708" s="4" t="s">
        <v>112</v>
      </c>
      <c r="E708" s="5" t="s">
        <v>1</v>
      </c>
      <c r="F708" s="24">
        <v>45803</v>
      </c>
      <c r="G708" s="7" t="s">
        <v>113</v>
      </c>
      <c r="H708" s="25">
        <f t="shared" si="75"/>
        <v>1</v>
      </c>
      <c r="I708" s="67">
        <v>4555</v>
      </c>
      <c r="J708" s="8" t="s">
        <v>115</v>
      </c>
      <c r="K708" s="9" t="s">
        <v>116</v>
      </c>
      <c r="L708" s="10" t="s">
        <v>117</v>
      </c>
      <c r="M708" s="11">
        <v>1210</v>
      </c>
      <c r="N708" s="12" t="s">
        <v>132</v>
      </c>
      <c r="O708" s="6">
        <v>45803</v>
      </c>
      <c r="P708" s="71">
        <v>3461</v>
      </c>
      <c r="Q708" s="14" t="s">
        <v>123</v>
      </c>
      <c r="R708" s="15">
        <f>(DATA[[#This Row],[cantidad_fs]]/1000)*(143+175.34)</f>
        <v>385.19140000000004</v>
      </c>
      <c r="S708" s="56">
        <v>137</v>
      </c>
      <c r="T708" s="15">
        <f>DATA[[#This Row],[C. DF]]+DATA[[#This Row],[C.OPE.]]</f>
        <v>522.19140000000004</v>
      </c>
      <c r="U708" s="15">
        <f>DATA[[#This Row],[SUB TOTAL]]*0.18</f>
        <v>93.99445200000001</v>
      </c>
      <c r="V708" s="15">
        <f>IFERROR(ROUND(DATA[[#This Row],[SUB TOTAL]]+DATA[[#This Row],[IGV]],2),0)</f>
        <v>616.19000000000005</v>
      </c>
      <c r="W708" s="16" t="str">
        <f>IF(DATA[[#This Row],[VALORIZACIÓN ]]="-","NO CORRESPONDE",IF(OR(A708=20558226979,A708=10470707866,A708=20111157058,A708=20100226902),"NO CORRESPONDE",IF(J708="Emitida",IF(P708&gt;0,"EMITIDA","PENDIENTE"),"NO CORRESPONDE")))</f>
        <v>EMITIDA</v>
      </c>
      <c r="X708" s="29"/>
      <c r="Y708" s="17" t="s">
        <v>118</v>
      </c>
      <c r="Z708" s="30">
        <v>45804</v>
      </c>
      <c r="AA708" s="10" t="s">
        <v>150</v>
      </c>
      <c r="AB708" s="19">
        <v>97</v>
      </c>
      <c r="AC708" s="20">
        <v>30</v>
      </c>
      <c r="AD708" s="18">
        <f>DATA[[#This Row],[FECHA DE EMISION]]+DATA[[#This Row],[CONDICION DE PAGO]]</f>
        <v>45834</v>
      </c>
      <c r="AE708" s="23" t="e">
        <f>IF(DATA[[#This Row],[MONEDA]]="USD",VLOOKUP(DATA[[#This Row],[COMBINADA]],#REF!,11,0),1)</f>
        <v>#REF!</v>
      </c>
      <c r="AF708" s="129" t="str">
        <f>IF(DATA[[#This Row],[SERIE2]]="-","NO CORRESPONDE",IF(W708="NO CORRESPONDE","NO CORRESPONDE",IF(Z708&gt;0,"FACTURADO","PENDIENTE")))</f>
        <v>FACTURADO</v>
      </c>
      <c r="AG708" s="133">
        <f>IFERROR(VLOOKUP(DATA[[#This Row],[COMBINADA]],#REF!,6,0),0)</f>
        <v>0</v>
      </c>
      <c r="AH708" s="125">
        <f>IFERROR(VLOOKUP(DATA[[#This Row],[COMBINADA]],#REF!,9,0),0)/COUNTIFS(DATA[COMBINADA],DATA[[#This Row],[COMBINADA]])</f>
        <v>0</v>
      </c>
      <c r="AI708" s="136">
        <f>IFERROR(VLOOKUP(DATA[[#This Row],[COMBINADA]],#REF!,6,0),0)</f>
        <v>0</v>
      </c>
      <c r="AJ708" s="139">
        <f>IFERROR(VLOOKUP(DATA[[#This Row],[COMBINADA]],#REF!,9,0),0)/COUNTIFS(DATA[COMBINADA],DATA[[#This Row],[COMBINADA]])</f>
        <v>0</v>
      </c>
      <c r="AK708" s="131">
        <f>IFERROR(VLOOKUP(DATA[[#This Row],[COMBINADA]],#REF!,6,0),0)</f>
        <v>0</v>
      </c>
      <c r="AL708" s="125">
        <f>IFERROR(VLOOKUP(DATA[[#This Row],[COMBINADA]],#REF!,9,0),0)/COUNTIFS(DATA[COMBINADA],DATA[[#This Row],[COMBINADA]])</f>
        <v>0</v>
      </c>
      <c r="AM708" s="27">
        <f>IFERROR(VLOOKUP(DATA[[#This Row],[COMBINADA]],#REF!,6,0),0)</f>
        <v>0</v>
      </c>
      <c r="AN708" s="125">
        <f>IFERROR(VLOOKUP(DATA[[#This Row],[COMBINADA]],#REF!,9,0),0)/COUNTIFS(DATA[COMBINADA],DATA[[#This Row],[COMBINADA]])</f>
        <v>0</v>
      </c>
      <c r="AO708" s="27">
        <f>IFERROR(VLOOKUP(DATA[[#This Row],[COMBINADA]],#REF!,6,0),0)</f>
        <v>0</v>
      </c>
      <c r="AP708" s="132">
        <f>IFERROR(VLOOKUP(DATA[[#This Row],[COMBINADA]],#REF!,9,0),0)/COUNTIFS(DATA[COMBINADA],DATA[[#This Row],[COMBINADA]])</f>
        <v>0</v>
      </c>
      <c r="AQ70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685.70466666666675</v>
      </c>
      <c r="AR708" s="26" t="str">
        <f>IFERROR(IF(DATA[[#This Row],[estado_fact]]="FACTURADO",VLOOKUP(DATA[[#This Row],[SERIE2]]&amp;"-"&amp;DATA[[#This Row],[NUMERO]],#REF!,34,0),"NO CORRESPONDE"),"NO CORRESPONDE")</f>
        <v>NO CORRESPONDE</v>
      </c>
      <c r="AS708" s="22" t="str">
        <f>IF(DATA[[#This Row],[fecha_fs]]&gt;0,TEXT(DATA[[#This Row],[fecha_fs]],"Mmmm"),0)</f>
        <v>Mayo</v>
      </c>
      <c r="AT708" s="22" t="str">
        <f>DATA[[#This Row],[SERIE2]]&amp;"-"&amp;DATA[[#This Row],[NUMERO]]</f>
        <v>FF01-97</v>
      </c>
      <c r="AU708" s="28" t="e">
        <f>DATA[[#This Row],[TOTAL]]*DATA[[#This Row],[T.C.]]</f>
        <v>#REF!</v>
      </c>
      <c r="AV708" s="6">
        <f>DATA[[#This Row],[FECHA DE VAL.]]</f>
        <v>45803</v>
      </c>
      <c r="AW708" s="6">
        <f>DATA[[#This Row],[FECHA DE EMISION]]</f>
        <v>45804</v>
      </c>
      <c r="AX708" s="6">
        <f>DATA[[#This Row],[F1]]</f>
        <v>0</v>
      </c>
      <c r="AY708" s="20">
        <f>IF(AV708-DATA[[#This Row],[fecha_fs]]&lt;0,0,AV708-DATA[[#This Row],[fecha_fs]])</f>
        <v>0</v>
      </c>
      <c r="AZ708" s="20">
        <f t="shared" si="76"/>
        <v>1</v>
      </c>
      <c r="BA708" s="20">
        <f t="shared" si="77"/>
        <v>0</v>
      </c>
      <c r="BB708" s="195">
        <f>IFERROR(SUM(DATA[[#This Row],[fs_val_ttf]:[fact_pago_ttf]]),0)</f>
        <v>1</v>
      </c>
      <c r="BC708" s="185">
        <v>45806</v>
      </c>
      <c r="BD708" s="185">
        <v>45812</v>
      </c>
      <c r="BE708" s="185">
        <v>45812</v>
      </c>
      <c r="BF708" s="185">
        <v>45863</v>
      </c>
      <c r="BG708" s="20">
        <f>IFERROR(IF(BC708-DATA[[#This Row],[fecha_fs]]&lt;0,0,BC708-DATA[[#This Row],[fecha_fs]]),0)</f>
        <v>3</v>
      </c>
      <c r="BH708" s="20">
        <f t="shared" si="72"/>
        <v>6</v>
      </c>
      <c r="BI708" s="20">
        <f t="shared" si="73"/>
        <v>0</v>
      </c>
      <c r="BJ708" s="20">
        <f t="shared" si="74"/>
        <v>51</v>
      </c>
      <c r="BK708" s="218">
        <f>IFERROR(SUM(DATA[[#This Row],[fs_fd_ttd]:[fend_fenf_ttd]]),0)</f>
        <v>60</v>
      </c>
      <c r="BL708" s="20" t="str">
        <f>IF(DATA[[#This Row],[fecha_fs]]&gt;0,TEXT(DATA[[#This Row],[fecha_fs]],"YYYY"),0)</f>
        <v>2025</v>
      </c>
      <c r="BM708" s="221" t="b">
        <v>1</v>
      </c>
      <c r="BN708" s="278">
        <f>COUNTIF(DATA[[#This Row],[tiempo_td]], "&lt;=15")</f>
        <v>0</v>
      </c>
      <c r="BO708" s="222"/>
    </row>
    <row r="709" spans="1:67" ht="30.6" customHeight="1" x14ac:dyDescent="0.25">
      <c r="A709" s="4">
        <v>20100192064</v>
      </c>
      <c r="B709" s="5" t="s">
        <v>60</v>
      </c>
      <c r="C709" s="52" t="s">
        <v>43</v>
      </c>
      <c r="D709" s="4" t="s">
        <v>120</v>
      </c>
      <c r="E709" s="5" t="s">
        <v>3</v>
      </c>
      <c r="F709" s="24">
        <v>45803</v>
      </c>
      <c r="G709" s="7" t="s">
        <v>113</v>
      </c>
      <c r="H709" s="25">
        <f t="shared" si="75"/>
        <v>1</v>
      </c>
      <c r="I709" s="67">
        <v>4556</v>
      </c>
      <c r="J709" s="8" t="s">
        <v>115</v>
      </c>
      <c r="K709" s="9" t="s">
        <v>121</v>
      </c>
      <c r="L709" s="10" t="s">
        <v>117</v>
      </c>
      <c r="M709" s="11">
        <v>810</v>
      </c>
      <c r="N709" s="12" t="s">
        <v>132</v>
      </c>
      <c r="O709" s="6">
        <v>45803</v>
      </c>
      <c r="P709" s="71">
        <v>3460</v>
      </c>
      <c r="Q709" s="14" t="s">
        <v>123</v>
      </c>
      <c r="R709" s="15">
        <f>(DATA[[#This Row],[cantidad_fs]]/1000)*(47+174.34)</f>
        <v>179.28540000000001</v>
      </c>
      <c r="S709" s="56">
        <v>137</v>
      </c>
      <c r="T709" s="15">
        <f>DATA[[#This Row],[C. DF]]+DATA[[#This Row],[C.OPE.]]</f>
        <v>316.28539999999998</v>
      </c>
      <c r="U709" s="15">
        <f>DATA[[#This Row],[SUB TOTAL]]*0.18</f>
        <v>56.931371999999996</v>
      </c>
      <c r="V709" s="15">
        <f>IFERROR(ROUND(DATA[[#This Row],[SUB TOTAL]]+DATA[[#This Row],[IGV]],2),0)</f>
        <v>373.22</v>
      </c>
      <c r="W709" s="16" t="str">
        <f>IF(DATA[[#This Row],[VALORIZACIÓN ]]="-","NO CORRESPONDE",IF(OR(A709=20558226979,A709=10470707866,A709=20111157058,A709=20100226902),"NO CORRESPONDE",IF(J709="Emitida",IF(P709&gt;0,"EMITIDA","PENDIENTE"),"NO CORRESPONDE")))</f>
        <v>EMITIDA</v>
      </c>
      <c r="X709" s="29"/>
      <c r="Y709" s="17" t="s">
        <v>118</v>
      </c>
      <c r="Z709" s="30">
        <v>45804</v>
      </c>
      <c r="AA709" s="10" t="s">
        <v>150</v>
      </c>
      <c r="AB709" s="19">
        <v>97</v>
      </c>
      <c r="AC709" s="20">
        <v>30</v>
      </c>
      <c r="AD709" s="18">
        <f>DATA[[#This Row],[FECHA DE EMISION]]+DATA[[#This Row],[CONDICION DE PAGO]]</f>
        <v>45834</v>
      </c>
      <c r="AE709" s="23" t="e">
        <f>IF(DATA[[#This Row],[MONEDA]]="USD",VLOOKUP(DATA[[#This Row],[COMBINADA]],#REF!,11,0),1)</f>
        <v>#REF!</v>
      </c>
      <c r="AF709" s="129" t="str">
        <f>IF(DATA[[#This Row],[SERIE2]]="-","NO CORRESPONDE",IF(W709="NO CORRESPONDE","NO CORRESPONDE",IF(Z709&gt;0,"FACTURADO","PENDIENTE")))</f>
        <v>FACTURADO</v>
      </c>
      <c r="AG709" s="133">
        <f>IFERROR(VLOOKUP(DATA[[#This Row],[COMBINADA]],#REF!,6,0),0)</f>
        <v>0</v>
      </c>
      <c r="AH709" s="125">
        <f>IFERROR(VLOOKUP(DATA[[#This Row],[COMBINADA]],#REF!,9,0),0)/COUNTIFS(DATA[COMBINADA],DATA[[#This Row],[COMBINADA]])</f>
        <v>0</v>
      </c>
      <c r="AI709" s="136">
        <f>IFERROR(VLOOKUP(DATA[[#This Row],[COMBINADA]],#REF!,6,0),0)</f>
        <v>0</v>
      </c>
      <c r="AJ709" s="139">
        <f>IFERROR(VLOOKUP(DATA[[#This Row],[COMBINADA]],#REF!,9,0),0)/COUNTIFS(DATA[COMBINADA],DATA[[#This Row],[COMBINADA]])</f>
        <v>0</v>
      </c>
      <c r="AK709" s="131">
        <f>IFERROR(VLOOKUP(DATA[[#This Row],[COMBINADA]],#REF!,6,0),0)</f>
        <v>0</v>
      </c>
      <c r="AL709" s="125">
        <f>IFERROR(VLOOKUP(DATA[[#This Row],[COMBINADA]],#REF!,9,0),0)/COUNTIFS(DATA[COMBINADA],DATA[[#This Row],[COMBINADA]])</f>
        <v>0</v>
      </c>
      <c r="AM709" s="27">
        <f>IFERROR(VLOOKUP(DATA[[#This Row],[COMBINADA]],#REF!,6,0),0)</f>
        <v>0</v>
      </c>
      <c r="AN709" s="125">
        <f>IFERROR(VLOOKUP(DATA[[#This Row],[COMBINADA]],#REF!,9,0),0)/COUNTIFS(DATA[COMBINADA],DATA[[#This Row],[COMBINADA]])</f>
        <v>0</v>
      </c>
      <c r="AO709" s="27">
        <f>IFERROR(VLOOKUP(DATA[[#This Row],[COMBINADA]],#REF!,6,0),0)</f>
        <v>0</v>
      </c>
      <c r="AP709" s="132">
        <f>IFERROR(VLOOKUP(DATA[[#This Row],[COMBINADA]],#REF!,9,0),0)/COUNTIFS(DATA[COMBINADA],DATA[[#This Row],[COMBINADA]])</f>
        <v>0</v>
      </c>
      <c r="AQ70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685.70466666666675</v>
      </c>
      <c r="AR709" s="26" t="str">
        <f>IFERROR(IF(DATA[[#This Row],[estado_fact]]="FACTURADO",VLOOKUP(DATA[[#This Row],[SERIE2]]&amp;"-"&amp;DATA[[#This Row],[NUMERO]],#REF!,34,0),"NO CORRESPONDE"),"NO CORRESPONDE")</f>
        <v>NO CORRESPONDE</v>
      </c>
      <c r="AS709" s="22" t="str">
        <f>IF(DATA[[#This Row],[fecha_fs]]&gt;0,TEXT(DATA[[#This Row],[fecha_fs]],"Mmmm"),0)</f>
        <v>Mayo</v>
      </c>
      <c r="AT709" s="22" t="str">
        <f>DATA[[#This Row],[SERIE2]]&amp;"-"&amp;DATA[[#This Row],[NUMERO]]</f>
        <v>FF01-97</v>
      </c>
      <c r="AU709" s="28" t="e">
        <f>DATA[[#This Row],[TOTAL]]*DATA[[#This Row],[T.C.]]</f>
        <v>#REF!</v>
      </c>
      <c r="AV709" s="6">
        <f>DATA[[#This Row],[FECHA DE VAL.]]</f>
        <v>45803</v>
      </c>
      <c r="AW709" s="6">
        <f>DATA[[#This Row],[FECHA DE EMISION]]</f>
        <v>45804</v>
      </c>
      <c r="AX709" s="6">
        <f>DATA[[#This Row],[F1]]</f>
        <v>0</v>
      </c>
      <c r="AY709" s="20">
        <f>IF(AV709-DATA[[#This Row],[fecha_fs]]&lt;0,0,AV709-DATA[[#This Row],[fecha_fs]])</f>
        <v>0</v>
      </c>
      <c r="AZ709" s="20">
        <f t="shared" si="76"/>
        <v>1</v>
      </c>
      <c r="BA709" s="20">
        <f t="shared" si="77"/>
        <v>0</v>
      </c>
      <c r="BB709" s="195">
        <f>IFERROR(SUM(DATA[[#This Row],[fs_val_ttf]:[fact_pago_ttf]]),0)</f>
        <v>1</v>
      </c>
      <c r="BC709" s="185">
        <v>45817</v>
      </c>
      <c r="BD709" s="185">
        <v>45828</v>
      </c>
      <c r="BE709" s="185">
        <v>45831</v>
      </c>
      <c r="BF709" s="185">
        <v>45863</v>
      </c>
      <c r="BG709" s="20">
        <f>IFERROR(IF(BC709-DATA[[#This Row],[fecha_fs]]&lt;0,0,BC709-DATA[[#This Row],[fecha_fs]]),0)</f>
        <v>14</v>
      </c>
      <c r="BH709" s="20">
        <f t="shared" si="72"/>
        <v>11</v>
      </c>
      <c r="BI709" s="20">
        <f t="shared" si="73"/>
        <v>3</v>
      </c>
      <c r="BJ709" s="20">
        <f t="shared" si="74"/>
        <v>32</v>
      </c>
      <c r="BK709" s="218">
        <f>IFERROR(SUM(DATA[[#This Row],[fs_fd_ttd]:[fend_fenf_ttd]]),0)</f>
        <v>60</v>
      </c>
      <c r="BL709" s="20" t="str">
        <f>IF(DATA[[#This Row],[fecha_fs]]&gt;0,TEXT(DATA[[#This Row],[fecha_fs]],"YYYY"),0)</f>
        <v>2025</v>
      </c>
      <c r="BM709" s="221" t="b">
        <v>1</v>
      </c>
      <c r="BN709" s="278">
        <f>COUNTIF(DATA[[#This Row],[tiempo_td]], "&lt;=15")</f>
        <v>0</v>
      </c>
      <c r="BO709" s="222"/>
    </row>
    <row r="710" spans="1:67" ht="30.6" customHeight="1" x14ac:dyDescent="0.25">
      <c r="A710" s="4">
        <v>20497784817</v>
      </c>
      <c r="B710" s="5" t="s">
        <v>287</v>
      </c>
      <c r="C710" s="52" t="s">
        <v>18</v>
      </c>
      <c r="D710" s="4" t="s">
        <v>152</v>
      </c>
      <c r="E710" s="5" t="s">
        <v>10</v>
      </c>
      <c r="F710" s="24">
        <v>45796</v>
      </c>
      <c r="G710" s="7" t="s">
        <v>113</v>
      </c>
      <c r="H710" s="25">
        <f t="shared" si="75"/>
        <v>1</v>
      </c>
      <c r="I710" s="67">
        <v>4557</v>
      </c>
      <c r="J710" s="8" t="s">
        <v>115</v>
      </c>
      <c r="K710" s="9" t="s">
        <v>153</v>
      </c>
      <c r="L710" s="10" t="s">
        <v>117</v>
      </c>
      <c r="M710" s="11">
        <v>4</v>
      </c>
      <c r="N710" s="12" t="s">
        <v>114</v>
      </c>
      <c r="O710" s="6"/>
      <c r="P710" s="13" t="s">
        <v>114</v>
      </c>
      <c r="Q710" s="14" t="s">
        <v>85</v>
      </c>
      <c r="R710" s="15"/>
      <c r="S710" s="56"/>
      <c r="T710" s="15">
        <f>DATA[[#This Row],[C. DF]]+DATA[[#This Row],[C.OPE.]]</f>
        <v>0</v>
      </c>
      <c r="U710" s="15">
        <f>DATA[[#This Row],[SUB TOTAL]]*0.18</f>
        <v>0</v>
      </c>
      <c r="V710" s="15">
        <f>IFERROR(ROUND(DATA[[#This Row],[SUB TOTAL]]+DATA[[#This Row],[IGV]],2),0)</f>
        <v>0</v>
      </c>
      <c r="W710" s="16" t="str">
        <f>IF(DATA[[#This Row],[VALORIZACIÓN ]]="-","NO CORRESPONDE",IF(OR(A710=20558226979,A710=10470707866,A710=20111157058,A710=20100226902),"NO CORRESPONDE",IF(J710="Emitida",IF(P710&gt;0,"EMITIDA","PENDIENTE"),"NO CORRESPONDE")))</f>
        <v>NO CORRESPONDE</v>
      </c>
      <c r="X710" s="143" t="s">
        <v>216</v>
      </c>
      <c r="Y710" s="17" t="s">
        <v>128</v>
      </c>
      <c r="Z710" s="30"/>
      <c r="AA710" s="10"/>
      <c r="AB710" s="19"/>
      <c r="AC710" s="20"/>
      <c r="AD710" s="18">
        <f>DATA[[#This Row],[FECHA DE EMISION]]+DATA[[#This Row],[CONDICION DE PAGO]]</f>
        <v>0</v>
      </c>
      <c r="AE710" s="23">
        <f>IF(DATA[[#This Row],[MONEDA]]="USD",VLOOKUP(DATA[[#This Row],[COMBINADA]],#REF!,11,0),1)</f>
        <v>1</v>
      </c>
      <c r="AF710" s="129" t="str">
        <f>IF(DATA[[#This Row],[SERIE2]]="-","NO CORRESPONDE",IF(W710="NO CORRESPONDE","NO CORRESPONDE",IF(Z710&gt;0,"FACTURADO","PENDIENTE")))</f>
        <v>NO CORRESPONDE</v>
      </c>
      <c r="AG710" s="133">
        <f>IFERROR(VLOOKUP(DATA[[#This Row],[COMBINADA]],#REF!,6,0),0)</f>
        <v>0</v>
      </c>
      <c r="AH710" s="125">
        <f>IFERROR(VLOOKUP(DATA[[#This Row],[COMBINADA]],#REF!,9,0),0)/COUNTIFS(DATA[COMBINADA],DATA[[#This Row],[COMBINADA]])</f>
        <v>0</v>
      </c>
      <c r="AI710" s="136">
        <f>IFERROR(VLOOKUP(DATA[[#This Row],[COMBINADA]],#REF!,6,0),0)</f>
        <v>0</v>
      </c>
      <c r="AJ710" s="139">
        <f>IFERROR(VLOOKUP(DATA[[#This Row],[COMBINADA]],#REF!,9,0),0)/COUNTIFS(DATA[COMBINADA],DATA[[#This Row],[COMBINADA]])</f>
        <v>0</v>
      </c>
      <c r="AK710" s="131">
        <f>IFERROR(VLOOKUP(DATA[[#This Row],[COMBINADA]],#REF!,6,0),0)</f>
        <v>0</v>
      </c>
      <c r="AL710" s="125">
        <f>IFERROR(VLOOKUP(DATA[[#This Row],[COMBINADA]],#REF!,9,0),0)/COUNTIFS(DATA[COMBINADA],DATA[[#This Row],[COMBINADA]])</f>
        <v>0</v>
      </c>
      <c r="AM710" s="27">
        <f>IFERROR(VLOOKUP(DATA[[#This Row],[COMBINADA]],#REF!,6,0),0)</f>
        <v>0</v>
      </c>
      <c r="AN710" s="125">
        <f>IFERROR(VLOOKUP(DATA[[#This Row],[COMBINADA]],#REF!,9,0),0)/COUNTIFS(DATA[COMBINADA],DATA[[#This Row],[COMBINADA]])</f>
        <v>0</v>
      </c>
      <c r="AO710" s="27">
        <f>IFERROR(VLOOKUP(DATA[[#This Row],[COMBINADA]],#REF!,6,0),0)</f>
        <v>0</v>
      </c>
      <c r="AP710" s="132">
        <f>IFERROR(VLOOKUP(DATA[[#This Row],[COMBINADA]],#REF!,9,0),0)/COUNTIFS(DATA[COMBINADA],DATA[[#This Row],[COMBINADA]])</f>
        <v>0</v>
      </c>
      <c r="AQ71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710" s="26" t="str">
        <f>IFERROR(IF(DATA[[#This Row],[estado_fact]]="FACTURADO",VLOOKUP(DATA[[#This Row],[SERIE2]]&amp;"-"&amp;DATA[[#This Row],[NUMERO]],#REF!,34,0),"NO CORRESPONDE"),"NO CORRESPONDE")</f>
        <v>NO CORRESPONDE</v>
      </c>
      <c r="AS710" s="22" t="str">
        <f>IF(DATA[[#This Row],[fecha_fs]]&gt;0,TEXT(DATA[[#This Row],[fecha_fs]],"Mmmm"),0)</f>
        <v>Mayo</v>
      </c>
      <c r="AT710" s="22" t="str">
        <f>DATA[[#This Row],[SERIE2]]&amp;"-"&amp;DATA[[#This Row],[NUMERO]]</f>
        <v>-</v>
      </c>
      <c r="AU710" s="28">
        <f>DATA[[#This Row],[TOTAL]]*DATA[[#This Row],[T.C.]]</f>
        <v>0</v>
      </c>
      <c r="AV710" s="6">
        <f>DATA[[#This Row],[FECHA DE VAL.]]</f>
        <v>0</v>
      </c>
      <c r="AW710" s="6">
        <f>DATA[[#This Row],[FECHA DE EMISION]]</f>
        <v>0</v>
      </c>
      <c r="AX710" s="6">
        <f>DATA[[#This Row],[F1]]</f>
        <v>0</v>
      </c>
      <c r="AY710" s="20">
        <f>IF(AV710-DATA[[#This Row],[fecha_fs]]&lt;0,0,AV710-DATA[[#This Row],[fecha_fs]])</f>
        <v>0</v>
      </c>
      <c r="AZ710" s="20">
        <f t="shared" si="76"/>
        <v>0</v>
      </c>
      <c r="BA710" s="20">
        <f t="shared" si="77"/>
        <v>0</v>
      </c>
      <c r="BB710" s="195">
        <f>IFERROR(SUM(DATA[[#This Row],[fs_val_ttf]:[fact_pago_ttf]]),0)</f>
        <v>0</v>
      </c>
      <c r="BC710" s="185">
        <v>45800</v>
      </c>
      <c r="BD710" s="185">
        <v>45804</v>
      </c>
      <c r="BE710" s="185">
        <v>45853</v>
      </c>
      <c r="BF710" s="185">
        <v>45882</v>
      </c>
      <c r="BG710" s="20">
        <f>IFERROR(IF(BC710-DATA[[#This Row],[fecha_fs]]&lt;0,0,BC710-DATA[[#This Row],[fecha_fs]]),0)</f>
        <v>4</v>
      </c>
      <c r="BH710" s="20">
        <f t="shared" ref="BH710:BH773" si="78">IFERROR(IF(BD710-BC710&lt;0,0,BD710-BC710),0)</f>
        <v>4</v>
      </c>
      <c r="BI710" s="20">
        <f t="shared" ref="BI710:BI773" si="79">IFERROR(IF(BE710-BD710&lt;0,0,BE710-BD710),0)</f>
        <v>49</v>
      </c>
      <c r="BJ710" s="20">
        <f t="shared" ref="BJ710:BJ773" si="80">IFERROR(IF(BF710-BE710&lt;0,0,BF710-BE710),0)</f>
        <v>29</v>
      </c>
      <c r="BK710" s="218">
        <f>IFERROR(SUM(DATA[[#This Row],[fs_fd_ttd]:[fend_fenf_ttd]]),0)</f>
        <v>86</v>
      </c>
      <c r="BL710" s="20" t="str">
        <f>IF(DATA[[#This Row],[fecha_fs]]&gt;0,TEXT(DATA[[#This Row],[fecha_fs]],"YYYY"),0)</f>
        <v>2025</v>
      </c>
      <c r="BM710" s="221" t="b">
        <v>0</v>
      </c>
      <c r="BN710" s="278">
        <f>COUNTIF(DATA[[#This Row],[tiempo_td]], "&lt;=15")</f>
        <v>0</v>
      </c>
      <c r="BO710" s="222"/>
    </row>
    <row r="711" spans="1:67" ht="30.6" customHeight="1" x14ac:dyDescent="0.25">
      <c r="A711" s="4">
        <v>20121393736</v>
      </c>
      <c r="B711" s="5" t="s">
        <v>38</v>
      </c>
      <c r="C711" s="52" t="s">
        <v>254</v>
      </c>
      <c r="D711" s="4" t="s">
        <v>112</v>
      </c>
      <c r="E711" s="5" t="s">
        <v>1</v>
      </c>
      <c r="F711" s="24">
        <v>45803</v>
      </c>
      <c r="G711" s="7" t="s">
        <v>113</v>
      </c>
      <c r="H711" s="25">
        <f t="shared" si="75"/>
        <v>1</v>
      </c>
      <c r="I711" s="67">
        <v>4558</v>
      </c>
      <c r="J711" s="8" t="s">
        <v>115</v>
      </c>
      <c r="K711" s="9" t="s">
        <v>116</v>
      </c>
      <c r="L711" s="10" t="s">
        <v>117</v>
      </c>
      <c r="M711" s="11">
        <v>60</v>
      </c>
      <c r="N711" s="12" t="s">
        <v>125</v>
      </c>
      <c r="O711" s="6">
        <v>45800</v>
      </c>
      <c r="P711" s="71">
        <v>3453</v>
      </c>
      <c r="Q711" s="14" t="s">
        <v>85</v>
      </c>
      <c r="R711" s="15">
        <f>291/2</f>
        <v>145.5</v>
      </c>
      <c r="S711" s="56">
        <f>548/2</f>
        <v>274</v>
      </c>
      <c r="T711" s="15">
        <f>DATA[[#This Row],[C. DF]]+DATA[[#This Row],[C.OPE.]]</f>
        <v>419.5</v>
      </c>
      <c r="U711" s="15">
        <f>DATA[[#This Row],[SUB TOTAL]]*0.18</f>
        <v>75.509999999999991</v>
      </c>
      <c r="V711" s="15">
        <f>IFERROR(ROUND(DATA[[#This Row],[SUB TOTAL]]+DATA[[#This Row],[IGV]],2),0)</f>
        <v>495.01</v>
      </c>
      <c r="W711" s="16" t="str">
        <f>IF(DATA[[#This Row],[VALORIZACIÓN ]]="-","NO CORRESPONDE",IF(OR(A711=20558226979,A711=10470707866,A711=20111157058,A711=20100226902),"NO CORRESPONDE",IF(J711="Emitida",IF(P711&gt;0,"EMITIDA","PENDIENTE"),"NO CORRESPONDE")))</f>
        <v>EMITIDA</v>
      </c>
      <c r="X711" s="29"/>
      <c r="Y711" s="17" t="s">
        <v>118</v>
      </c>
      <c r="Z711" s="30">
        <v>45805</v>
      </c>
      <c r="AA711" s="10" t="s">
        <v>150</v>
      </c>
      <c r="AB711" s="19">
        <v>100</v>
      </c>
      <c r="AC711" s="20">
        <v>15</v>
      </c>
      <c r="AD711" s="18">
        <f>DATA[[#This Row],[FECHA DE EMISION]]+DATA[[#This Row],[CONDICION DE PAGO]]</f>
        <v>45820</v>
      </c>
      <c r="AE711" s="23">
        <f>IF(DATA[[#This Row],[MONEDA]]="USD",VLOOKUP(DATA[[#This Row],[COMBINADA]],#REF!,11,0),1)</f>
        <v>1</v>
      </c>
      <c r="AF711" s="129" t="str">
        <f>IF(DATA[[#This Row],[SERIE2]]="-","NO CORRESPONDE",IF(W711="NO CORRESPONDE","NO CORRESPONDE",IF(Z711&gt;0,"FACTURADO","PENDIENTE")))</f>
        <v>FACTURADO</v>
      </c>
      <c r="AG711" s="133">
        <f>IFERROR(VLOOKUP(DATA[[#This Row],[COMBINADA]],#REF!,6,0),0)</f>
        <v>0</v>
      </c>
      <c r="AH711" s="125">
        <f>IFERROR(VLOOKUP(DATA[[#This Row],[COMBINADA]],#REF!,9,0),0)/COUNTIFS(DATA[COMBINADA],DATA[[#This Row],[COMBINADA]])</f>
        <v>0</v>
      </c>
      <c r="AI711" s="136">
        <f>IFERROR(VLOOKUP(DATA[[#This Row],[COMBINADA]],#REF!,6,0),0)</f>
        <v>0</v>
      </c>
      <c r="AJ711" s="139">
        <f>IFERROR(VLOOKUP(DATA[[#This Row],[COMBINADA]],#REF!,9,0),0)/COUNTIFS(DATA[COMBINADA],DATA[[#This Row],[COMBINADA]])</f>
        <v>0</v>
      </c>
      <c r="AK711" s="131">
        <f>IFERROR(VLOOKUP(DATA[[#This Row],[COMBINADA]],#REF!,6,0),0)</f>
        <v>0</v>
      </c>
      <c r="AL711" s="125">
        <f>IFERROR(VLOOKUP(DATA[[#This Row],[COMBINADA]],#REF!,9,0),0)/COUNTIFS(DATA[COMBINADA],DATA[[#This Row],[COMBINADA]])</f>
        <v>0</v>
      </c>
      <c r="AM711" s="27">
        <f>IFERROR(VLOOKUP(DATA[[#This Row],[COMBINADA]],#REF!,6,0),0)</f>
        <v>0</v>
      </c>
      <c r="AN711" s="125">
        <f>IFERROR(VLOOKUP(DATA[[#This Row],[COMBINADA]],#REF!,9,0),0)/COUNTIFS(DATA[COMBINADA],DATA[[#This Row],[COMBINADA]])</f>
        <v>0</v>
      </c>
      <c r="AO711" s="27">
        <f>IFERROR(VLOOKUP(DATA[[#This Row],[COMBINADA]],#REF!,6,0),0)</f>
        <v>0</v>
      </c>
      <c r="AP711" s="132">
        <f>IFERROR(VLOOKUP(DATA[[#This Row],[COMBINADA]],#REF!,9,0),0)/COUNTIFS(DATA[COMBINADA],DATA[[#This Row],[COMBINADA]])</f>
        <v>0</v>
      </c>
      <c r="AQ71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495.01</v>
      </c>
      <c r="AR711" s="26" t="str">
        <f>IFERROR(IF(DATA[[#This Row],[estado_fact]]="FACTURADO",VLOOKUP(DATA[[#This Row],[SERIE2]]&amp;"-"&amp;DATA[[#This Row],[NUMERO]],#REF!,34,0),"NO CORRESPONDE"),"NO CORRESPONDE")</f>
        <v>NO CORRESPONDE</v>
      </c>
      <c r="AS711" s="22" t="str">
        <f>IF(DATA[[#This Row],[fecha_fs]]&gt;0,TEXT(DATA[[#This Row],[fecha_fs]],"Mmmm"),0)</f>
        <v>Mayo</v>
      </c>
      <c r="AT711" s="22" t="str">
        <f>DATA[[#This Row],[SERIE2]]&amp;"-"&amp;DATA[[#This Row],[NUMERO]]</f>
        <v>FF01-100</v>
      </c>
      <c r="AU711" s="28">
        <f>DATA[[#This Row],[TOTAL]]*DATA[[#This Row],[T.C.]]</f>
        <v>495.01</v>
      </c>
      <c r="AV711" s="6">
        <f>DATA[[#This Row],[FECHA DE VAL.]]</f>
        <v>45800</v>
      </c>
      <c r="AW711" s="6">
        <f>DATA[[#This Row],[FECHA DE EMISION]]</f>
        <v>45805</v>
      </c>
      <c r="AX711" s="6">
        <f>DATA[[#This Row],[F1]]</f>
        <v>0</v>
      </c>
      <c r="AY711" s="20">
        <f>IF(AV711-DATA[[#This Row],[fecha_fs]]&lt;0,0,AV711-DATA[[#This Row],[fecha_fs]])</f>
        <v>0</v>
      </c>
      <c r="AZ711" s="20">
        <f t="shared" si="76"/>
        <v>5</v>
      </c>
      <c r="BA711" s="20">
        <f t="shared" si="77"/>
        <v>0</v>
      </c>
      <c r="BB711" s="195">
        <f>IFERROR(SUM(DATA[[#This Row],[fs_val_ttf]:[fact_pago_ttf]]),0)</f>
        <v>5</v>
      </c>
      <c r="BC711" s="185">
        <v>45814</v>
      </c>
      <c r="BD711" s="185">
        <v>45818</v>
      </c>
      <c r="BE711" s="185">
        <v>45820</v>
      </c>
      <c r="BF711" s="185">
        <v>45862</v>
      </c>
      <c r="BG711" s="20">
        <f>IFERROR(IF(BC711-DATA[[#This Row],[fecha_fs]]&lt;0,0,BC711-DATA[[#This Row],[fecha_fs]]),0)</f>
        <v>11</v>
      </c>
      <c r="BH711" s="20">
        <f t="shared" si="78"/>
        <v>4</v>
      </c>
      <c r="BI711" s="20">
        <f t="shared" si="79"/>
        <v>2</v>
      </c>
      <c r="BJ711" s="20">
        <f t="shared" si="80"/>
        <v>42</v>
      </c>
      <c r="BK711" s="218">
        <f>IFERROR(SUM(DATA[[#This Row],[fs_fd_ttd]:[fend_fenf_ttd]]),0)</f>
        <v>59</v>
      </c>
      <c r="BL711" s="20" t="str">
        <f>IF(DATA[[#This Row],[fecha_fs]]&gt;0,TEXT(DATA[[#This Row],[fecha_fs]],"YYYY"),0)</f>
        <v>2025</v>
      </c>
      <c r="BM711" s="221" t="b">
        <v>1</v>
      </c>
      <c r="BN711" s="278">
        <f>COUNTIF(DATA[[#This Row],[tiempo_td]], "&lt;=15")</f>
        <v>0</v>
      </c>
      <c r="BO711" s="222"/>
    </row>
    <row r="712" spans="1:67" ht="30.6" customHeight="1" x14ac:dyDescent="0.25">
      <c r="A712" s="4">
        <v>20100192064</v>
      </c>
      <c r="B712" s="5" t="s">
        <v>60</v>
      </c>
      <c r="C712" s="52" t="s">
        <v>43</v>
      </c>
      <c r="D712" s="4" t="s">
        <v>183</v>
      </c>
      <c r="E712" s="5" t="s">
        <v>61</v>
      </c>
      <c r="F712" s="24">
        <v>45803</v>
      </c>
      <c r="G712" s="7" t="s">
        <v>113</v>
      </c>
      <c r="H712" s="25">
        <f t="shared" si="75"/>
        <v>1</v>
      </c>
      <c r="I712" s="67">
        <v>4559</v>
      </c>
      <c r="J712" s="8" t="s">
        <v>115</v>
      </c>
      <c r="K712" s="9" t="s">
        <v>184</v>
      </c>
      <c r="L712" s="10" t="s">
        <v>117</v>
      </c>
      <c r="M712" s="11">
        <v>46800</v>
      </c>
      <c r="N712" s="12" t="s">
        <v>114</v>
      </c>
      <c r="O712" s="6">
        <v>45803</v>
      </c>
      <c r="P712" s="71">
        <v>3462</v>
      </c>
      <c r="Q712" s="14" t="s">
        <v>123</v>
      </c>
      <c r="R712" s="14"/>
      <c r="S712" s="15">
        <f>(DATA[[#This Row],[cantidad_fs]]/1000)*22</f>
        <v>1029.5999999999999</v>
      </c>
      <c r="T712" s="15">
        <f>DATA[[#This Row],[C. DF]]+DATA[[#This Row],[C.OPE.]]</f>
        <v>1029.5999999999999</v>
      </c>
      <c r="U712" s="15">
        <f>DATA[[#This Row],[SUB TOTAL]]*0.18</f>
        <v>185.32799999999997</v>
      </c>
      <c r="V712" s="15">
        <f>IFERROR(ROUND(DATA[[#This Row],[SUB TOTAL]]+DATA[[#This Row],[IGV]],2),0)</f>
        <v>1214.93</v>
      </c>
      <c r="W712" s="16" t="str">
        <f>IF(DATA[[#This Row],[VALORIZACIÓN ]]="-","NO CORRESPONDE",IF(OR(A712=20558226979,A712=10470707866,A712=20111157058,A712=20100226902),"NO CORRESPONDE",IF(J712="Emitida",IF(P712&gt;0,"EMITIDA","PENDIENTE"),"NO CORRESPONDE")))</f>
        <v>EMITIDA</v>
      </c>
      <c r="X712" s="29"/>
      <c r="Y712" s="17" t="s">
        <v>118</v>
      </c>
      <c r="Z712" s="30">
        <v>45804</v>
      </c>
      <c r="AA712" s="10" t="s">
        <v>150</v>
      </c>
      <c r="AB712" s="19">
        <v>97</v>
      </c>
      <c r="AC712" s="20">
        <v>30</v>
      </c>
      <c r="AD712" s="18">
        <f>DATA[[#This Row],[FECHA DE EMISION]]+DATA[[#This Row],[CONDICION DE PAGO]]</f>
        <v>45834</v>
      </c>
      <c r="AE712" s="23" t="e">
        <f>IF(DATA[[#This Row],[MONEDA]]="USD",VLOOKUP(DATA[[#This Row],[COMBINADA]],#REF!,11,0),1)</f>
        <v>#REF!</v>
      </c>
      <c r="AF712" s="129" t="str">
        <f>IF(DATA[[#This Row],[SERIE2]]="-","NO CORRESPONDE",IF(W712="NO CORRESPONDE","NO CORRESPONDE",IF(Z712&gt;0,"FACTURADO","PENDIENTE")))</f>
        <v>FACTURADO</v>
      </c>
      <c r="AG712" s="133">
        <f>IFERROR(VLOOKUP(DATA[[#This Row],[COMBINADA]],#REF!,6,0),0)</f>
        <v>0</v>
      </c>
      <c r="AH712" s="125">
        <f>IFERROR(VLOOKUP(DATA[[#This Row],[COMBINADA]],#REF!,9,0),0)/COUNTIFS(DATA[COMBINADA],DATA[[#This Row],[COMBINADA]])</f>
        <v>0</v>
      </c>
      <c r="AI712" s="136">
        <f>IFERROR(VLOOKUP(DATA[[#This Row],[COMBINADA]],#REF!,6,0),0)</f>
        <v>0</v>
      </c>
      <c r="AJ712" s="139">
        <f>IFERROR(VLOOKUP(DATA[[#This Row],[COMBINADA]],#REF!,9,0),0)/COUNTIFS(DATA[COMBINADA],DATA[[#This Row],[COMBINADA]])</f>
        <v>0</v>
      </c>
      <c r="AK712" s="131">
        <f>IFERROR(VLOOKUP(DATA[[#This Row],[COMBINADA]],#REF!,6,0),0)</f>
        <v>0</v>
      </c>
      <c r="AL712" s="125">
        <f>IFERROR(VLOOKUP(DATA[[#This Row],[COMBINADA]],#REF!,9,0),0)/COUNTIFS(DATA[COMBINADA],DATA[[#This Row],[COMBINADA]])</f>
        <v>0</v>
      </c>
      <c r="AM712" s="27">
        <f>IFERROR(VLOOKUP(DATA[[#This Row],[COMBINADA]],#REF!,6,0),0)</f>
        <v>0</v>
      </c>
      <c r="AN712" s="125">
        <f>IFERROR(VLOOKUP(DATA[[#This Row],[COMBINADA]],#REF!,9,0),0)/COUNTIFS(DATA[COMBINADA],DATA[[#This Row],[COMBINADA]])</f>
        <v>0</v>
      </c>
      <c r="AO712" s="27">
        <f>IFERROR(VLOOKUP(DATA[[#This Row],[COMBINADA]],#REF!,6,0),0)</f>
        <v>0</v>
      </c>
      <c r="AP712" s="132">
        <f>IFERROR(VLOOKUP(DATA[[#This Row],[COMBINADA]],#REF!,9,0),0)/COUNTIFS(DATA[COMBINADA],DATA[[#This Row],[COMBINADA]])</f>
        <v>0</v>
      </c>
      <c r="AQ71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685.70466666666675</v>
      </c>
      <c r="AR712" s="26" t="str">
        <f>IFERROR(IF(DATA[[#This Row],[estado_fact]]="FACTURADO",VLOOKUP(DATA[[#This Row],[SERIE2]]&amp;"-"&amp;DATA[[#This Row],[NUMERO]],#REF!,34,0),"NO CORRESPONDE"),"NO CORRESPONDE")</f>
        <v>NO CORRESPONDE</v>
      </c>
      <c r="AS712" s="22" t="str">
        <f>IF(DATA[[#This Row],[fecha_fs]]&gt;0,TEXT(DATA[[#This Row],[fecha_fs]],"Mmmm"),0)</f>
        <v>Mayo</v>
      </c>
      <c r="AT712" s="22" t="str">
        <f>DATA[[#This Row],[SERIE2]]&amp;"-"&amp;DATA[[#This Row],[NUMERO]]</f>
        <v>FF01-97</v>
      </c>
      <c r="AU712" s="28" t="e">
        <f>DATA[[#This Row],[TOTAL]]*DATA[[#This Row],[T.C.]]</f>
        <v>#REF!</v>
      </c>
      <c r="AV712" s="6">
        <f>DATA[[#This Row],[FECHA DE VAL.]]</f>
        <v>45803</v>
      </c>
      <c r="AW712" s="6">
        <f>DATA[[#This Row],[FECHA DE EMISION]]</f>
        <v>45804</v>
      </c>
      <c r="AX712" s="6">
        <f>DATA[[#This Row],[F1]]</f>
        <v>0</v>
      </c>
      <c r="AY712" s="20">
        <f>IF(AV712-DATA[[#This Row],[fecha_fs]]&lt;0,0,AV712-DATA[[#This Row],[fecha_fs]])</f>
        <v>0</v>
      </c>
      <c r="AZ712" s="20">
        <f t="shared" si="76"/>
        <v>1</v>
      </c>
      <c r="BA712" s="20">
        <f t="shared" si="77"/>
        <v>0</v>
      </c>
      <c r="BB712" s="195">
        <f>IFERROR(SUM(DATA[[#This Row],[fs_val_ttf]:[fact_pago_ttf]]),0)</f>
        <v>1</v>
      </c>
      <c r="BC712" s="185" t="s">
        <v>292</v>
      </c>
      <c r="BD712" s="185" t="s">
        <v>292</v>
      </c>
      <c r="BE712" s="185" t="s">
        <v>292</v>
      </c>
      <c r="BF712" s="185" t="s">
        <v>292</v>
      </c>
      <c r="BG712" s="20">
        <f>IFERROR(IF(BC712-DATA[[#This Row],[fecha_fs]]&lt;0,0,BC712-DATA[[#This Row],[fecha_fs]]),0)</f>
        <v>0</v>
      </c>
      <c r="BH712" s="20">
        <f t="shared" si="78"/>
        <v>0</v>
      </c>
      <c r="BI712" s="20">
        <f t="shared" si="79"/>
        <v>0</v>
      </c>
      <c r="BJ712" s="20">
        <f t="shared" si="80"/>
        <v>0</v>
      </c>
      <c r="BK712" s="218">
        <f>IFERROR(SUM(DATA[[#This Row],[fs_fd_ttd]:[fend_fenf_ttd]]),0)</f>
        <v>0</v>
      </c>
      <c r="BL712" s="20" t="str">
        <f>IF(DATA[[#This Row],[fecha_fs]]&gt;0,TEXT(DATA[[#This Row],[fecha_fs]],"YYYY"),0)</f>
        <v>2025</v>
      </c>
      <c r="BM712" s="221" t="b">
        <v>1</v>
      </c>
      <c r="BN712" s="278">
        <f>COUNTIF(DATA[[#This Row],[tiempo_td]], "&lt;=15")</f>
        <v>1</v>
      </c>
      <c r="BO712" s="222"/>
    </row>
    <row r="713" spans="1:67" ht="30.6" customHeight="1" x14ac:dyDescent="0.25">
      <c r="A713" s="4">
        <v>20100192064</v>
      </c>
      <c r="B713" s="5" t="s">
        <v>60</v>
      </c>
      <c r="C713" s="52" t="s">
        <v>43</v>
      </c>
      <c r="D713" s="4" t="s">
        <v>189</v>
      </c>
      <c r="E713" s="5" t="s">
        <v>62</v>
      </c>
      <c r="F713" s="24">
        <v>45803</v>
      </c>
      <c r="G713" s="7" t="s">
        <v>113</v>
      </c>
      <c r="H713" s="25">
        <f t="shared" si="75"/>
        <v>1</v>
      </c>
      <c r="I713" s="67">
        <v>4560</v>
      </c>
      <c r="J713" s="8" t="s">
        <v>115</v>
      </c>
      <c r="K713" s="9" t="s">
        <v>190</v>
      </c>
      <c r="L713" s="10" t="s">
        <v>117</v>
      </c>
      <c r="M713" s="11">
        <v>10800</v>
      </c>
      <c r="N713" s="12" t="s">
        <v>114</v>
      </c>
      <c r="O713" s="6">
        <v>45803</v>
      </c>
      <c r="P713" s="71">
        <v>3463</v>
      </c>
      <c r="Q713" s="14" t="s">
        <v>123</v>
      </c>
      <c r="R713" s="15"/>
      <c r="S713" s="15">
        <f>(DATA[[#This Row],[cantidad_fs]]/1000)*17</f>
        <v>183.60000000000002</v>
      </c>
      <c r="T713" s="15">
        <f>DATA[[#This Row],[C. DF]]+DATA[[#This Row],[C.OPE.]]</f>
        <v>183.60000000000002</v>
      </c>
      <c r="U713" s="15">
        <f>DATA[[#This Row],[SUB TOTAL]]*0.18</f>
        <v>33.048000000000002</v>
      </c>
      <c r="V713" s="15">
        <f>IFERROR(ROUND(DATA[[#This Row],[SUB TOTAL]]+DATA[[#This Row],[IGV]],2),0)</f>
        <v>216.65</v>
      </c>
      <c r="W713" s="16" t="str">
        <f>IF(DATA[[#This Row],[VALORIZACIÓN ]]="-","NO CORRESPONDE",IF(OR(A713=20558226979,A713=10470707866,A713=20111157058,A713=20100226902),"NO CORRESPONDE",IF(J713="Emitida",IF(P713&gt;0,"EMITIDA","PENDIENTE"),"NO CORRESPONDE")))</f>
        <v>EMITIDA</v>
      </c>
      <c r="X713" s="29"/>
      <c r="Y713" s="17" t="s">
        <v>118</v>
      </c>
      <c r="Z713" s="30">
        <v>45804</v>
      </c>
      <c r="AA713" s="10" t="s">
        <v>150</v>
      </c>
      <c r="AB713" s="19">
        <v>97</v>
      </c>
      <c r="AC713" s="20">
        <v>30</v>
      </c>
      <c r="AD713" s="18">
        <f>DATA[[#This Row],[FECHA DE EMISION]]+DATA[[#This Row],[CONDICION DE PAGO]]</f>
        <v>45834</v>
      </c>
      <c r="AE713" s="23" t="e">
        <f>IF(DATA[[#This Row],[MONEDA]]="USD",VLOOKUP(DATA[[#This Row],[COMBINADA]],#REF!,11,0),1)</f>
        <v>#REF!</v>
      </c>
      <c r="AF713" s="129" t="str">
        <f>IF(DATA[[#This Row],[SERIE2]]="-","NO CORRESPONDE",IF(W713="NO CORRESPONDE","NO CORRESPONDE",IF(Z713&gt;0,"FACTURADO","PENDIENTE")))</f>
        <v>FACTURADO</v>
      </c>
      <c r="AG713" s="133">
        <f>IFERROR(VLOOKUP(DATA[[#This Row],[COMBINADA]],#REF!,6,0),0)</f>
        <v>0</v>
      </c>
      <c r="AH713" s="125">
        <f>IFERROR(VLOOKUP(DATA[[#This Row],[COMBINADA]],#REF!,9,0),0)/COUNTIFS(DATA[COMBINADA],DATA[[#This Row],[COMBINADA]])</f>
        <v>0</v>
      </c>
      <c r="AI713" s="136">
        <f>IFERROR(VLOOKUP(DATA[[#This Row],[COMBINADA]],#REF!,6,0),0)</f>
        <v>0</v>
      </c>
      <c r="AJ713" s="139">
        <f>IFERROR(VLOOKUP(DATA[[#This Row],[COMBINADA]],#REF!,9,0),0)/COUNTIFS(DATA[COMBINADA],DATA[[#This Row],[COMBINADA]])</f>
        <v>0</v>
      </c>
      <c r="AK713" s="131">
        <f>IFERROR(VLOOKUP(DATA[[#This Row],[COMBINADA]],#REF!,6,0),0)</f>
        <v>0</v>
      </c>
      <c r="AL713" s="125">
        <f>IFERROR(VLOOKUP(DATA[[#This Row],[COMBINADA]],#REF!,9,0),0)/COUNTIFS(DATA[COMBINADA],DATA[[#This Row],[COMBINADA]])</f>
        <v>0</v>
      </c>
      <c r="AM713" s="27">
        <f>IFERROR(VLOOKUP(DATA[[#This Row],[COMBINADA]],#REF!,6,0),0)</f>
        <v>0</v>
      </c>
      <c r="AN713" s="125">
        <f>IFERROR(VLOOKUP(DATA[[#This Row],[COMBINADA]],#REF!,9,0),0)/COUNTIFS(DATA[COMBINADA],DATA[[#This Row],[COMBINADA]])</f>
        <v>0</v>
      </c>
      <c r="AO713" s="27">
        <f>IFERROR(VLOOKUP(DATA[[#This Row],[COMBINADA]],#REF!,6,0),0)</f>
        <v>0</v>
      </c>
      <c r="AP713" s="132">
        <f>IFERROR(VLOOKUP(DATA[[#This Row],[COMBINADA]],#REF!,9,0),0)/COUNTIFS(DATA[COMBINADA],DATA[[#This Row],[COMBINADA]])</f>
        <v>0</v>
      </c>
      <c r="AQ71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685.70466666666675</v>
      </c>
      <c r="AR713" s="26" t="str">
        <f>IFERROR(IF(DATA[[#This Row],[estado_fact]]="FACTURADO",VLOOKUP(DATA[[#This Row],[SERIE2]]&amp;"-"&amp;DATA[[#This Row],[NUMERO]],#REF!,34,0),"NO CORRESPONDE"),"NO CORRESPONDE")</f>
        <v>NO CORRESPONDE</v>
      </c>
      <c r="AS713" s="22" t="str">
        <f>IF(DATA[[#This Row],[fecha_fs]]&gt;0,TEXT(DATA[[#This Row],[fecha_fs]],"Mmmm"),0)</f>
        <v>Mayo</v>
      </c>
      <c r="AT713" s="22" t="str">
        <f>DATA[[#This Row],[SERIE2]]&amp;"-"&amp;DATA[[#This Row],[NUMERO]]</f>
        <v>FF01-97</v>
      </c>
      <c r="AU713" s="28" t="e">
        <f>DATA[[#This Row],[TOTAL]]*DATA[[#This Row],[T.C.]]</f>
        <v>#REF!</v>
      </c>
      <c r="AV713" s="6">
        <f>DATA[[#This Row],[FECHA DE VAL.]]</f>
        <v>45803</v>
      </c>
      <c r="AW713" s="6">
        <f>DATA[[#This Row],[FECHA DE EMISION]]</f>
        <v>45804</v>
      </c>
      <c r="AX713" s="6">
        <f>DATA[[#This Row],[F1]]</f>
        <v>0</v>
      </c>
      <c r="AY713" s="20">
        <f>IF(AV713-DATA[[#This Row],[fecha_fs]]&lt;0,0,AV713-DATA[[#This Row],[fecha_fs]])</f>
        <v>0</v>
      </c>
      <c r="AZ713" s="20">
        <f t="shared" si="76"/>
        <v>1</v>
      </c>
      <c r="BA713" s="20">
        <f t="shared" si="77"/>
        <v>0</v>
      </c>
      <c r="BB713" s="195">
        <f>IFERROR(SUM(DATA[[#This Row],[fs_val_ttf]:[fact_pago_ttf]]),0)</f>
        <v>1</v>
      </c>
      <c r="BC713" s="185" t="s">
        <v>292</v>
      </c>
      <c r="BD713" s="185" t="s">
        <v>292</v>
      </c>
      <c r="BE713" s="185" t="s">
        <v>292</v>
      </c>
      <c r="BF713" s="185" t="s">
        <v>292</v>
      </c>
      <c r="BG713" s="20">
        <f>IFERROR(IF(BC713-DATA[[#This Row],[fecha_fs]]&lt;0,0,BC713-DATA[[#This Row],[fecha_fs]]),0)</f>
        <v>0</v>
      </c>
      <c r="BH713" s="20">
        <f t="shared" si="78"/>
        <v>0</v>
      </c>
      <c r="BI713" s="20">
        <f t="shared" si="79"/>
        <v>0</v>
      </c>
      <c r="BJ713" s="20">
        <f t="shared" si="80"/>
        <v>0</v>
      </c>
      <c r="BK713" s="218">
        <f>IFERROR(SUM(DATA[[#This Row],[fs_fd_ttd]:[fend_fenf_ttd]]),0)</f>
        <v>0</v>
      </c>
      <c r="BL713" s="20" t="str">
        <f>IF(DATA[[#This Row],[fecha_fs]]&gt;0,TEXT(DATA[[#This Row],[fecha_fs]],"YYYY"),0)</f>
        <v>2025</v>
      </c>
      <c r="BM713" s="221" t="b">
        <v>1</v>
      </c>
      <c r="BN713" s="278">
        <f>COUNTIF(DATA[[#This Row],[tiempo_td]], "&lt;=15")</f>
        <v>1</v>
      </c>
      <c r="BO713" s="222"/>
    </row>
    <row r="714" spans="1:67" ht="30.6" customHeight="1" x14ac:dyDescent="0.25">
      <c r="A714" s="4">
        <v>20100055237</v>
      </c>
      <c r="B714" s="5" t="s">
        <v>21</v>
      </c>
      <c r="C714" s="52" t="s">
        <v>138</v>
      </c>
      <c r="D714" s="4" t="s">
        <v>139</v>
      </c>
      <c r="E714" s="5" t="s">
        <v>23</v>
      </c>
      <c r="F714" s="24">
        <v>45804</v>
      </c>
      <c r="G714" s="7" t="s">
        <v>113</v>
      </c>
      <c r="H714" s="25">
        <f t="shared" si="75"/>
        <v>1</v>
      </c>
      <c r="I714" s="67">
        <v>4561</v>
      </c>
      <c r="J714" s="8" t="s">
        <v>115</v>
      </c>
      <c r="K714" s="9" t="s">
        <v>121</v>
      </c>
      <c r="L714" s="10" t="s">
        <v>117</v>
      </c>
      <c r="M714" s="11">
        <v>120</v>
      </c>
      <c r="N714" s="12" t="s">
        <v>167</v>
      </c>
      <c r="O714" s="6">
        <v>45805</v>
      </c>
      <c r="P714" s="54">
        <v>3477</v>
      </c>
      <c r="Q714" s="14" t="s">
        <v>85</v>
      </c>
      <c r="R714" s="15"/>
      <c r="S714" s="56">
        <v>297.92</v>
      </c>
      <c r="T714" s="15">
        <f>DATA[[#This Row],[C. DF]]+DATA[[#This Row],[C.OPE.]]</f>
        <v>297.92</v>
      </c>
      <c r="U714" s="15">
        <f>DATA[[#This Row],[SUB TOTAL]]*0.18</f>
        <v>53.625599999999999</v>
      </c>
      <c r="V714" s="15">
        <f>IFERROR(ROUND(DATA[[#This Row],[SUB TOTAL]]+DATA[[#This Row],[IGV]],2),0)</f>
        <v>351.55</v>
      </c>
      <c r="W714" s="16" t="str">
        <f>IF(DATA[[#This Row],[VALORIZACIÓN ]]="-","NO CORRESPONDE",IF(OR(A714=20558226979,A714=10470707866,A714=20111157058,A714=20100226902),"NO CORRESPONDE",IF(J714="Emitida",IF(P714&gt;0,"EMITIDA","PENDIENTE"),"NO CORRESPONDE")))</f>
        <v>EMITIDA</v>
      </c>
      <c r="X714" s="29"/>
      <c r="Y714" s="17" t="s">
        <v>118</v>
      </c>
      <c r="Z714" s="30">
        <v>45820</v>
      </c>
      <c r="AA714" s="10" t="s">
        <v>150</v>
      </c>
      <c r="AB714" s="19">
        <v>120</v>
      </c>
      <c r="AC714" s="20">
        <v>30</v>
      </c>
      <c r="AD714" s="18">
        <f>DATA[[#This Row],[FECHA DE EMISION]]+DATA[[#This Row],[CONDICION DE PAGO]]</f>
        <v>45850</v>
      </c>
      <c r="AE714" s="23">
        <f>IF(DATA[[#This Row],[MONEDA]]="USD",VLOOKUP(DATA[[#This Row],[COMBINADA]],#REF!,11,0),1)</f>
        <v>1</v>
      </c>
      <c r="AF714" s="129" t="str">
        <f>IF(DATA[[#This Row],[SERIE2]]="-","NO CORRESPONDE",IF(W714="NO CORRESPONDE","NO CORRESPONDE",IF(Z714&gt;0,"FACTURADO","PENDIENTE")))</f>
        <v>FACTURADO</v>
      </c>
      <c r="AG714" s="133">
        <f>IFERROR(VLOOKUP(DATA[[#This Row],[COMBINADA]],#REF!,6,0),0)</f>
        <v>0</v>
      </c>
      <c r="AH714" s="125">
        <f>IFERROR(VLOOKUP(DATA[[#This Row],[COMBINADA]],#REF!,9,0),0)/COUNTIFS(DATA[COMBINADA],DATA[[#This Row],[COMBINADA]])</f>
        <v>0</v>
      </c>
      <c r="AI714" s="136">
        <f>IFERROR(VLOOKUP(DATA[[#This Row],[COMBINADA]],#REF!,6,0),0)</f>
        <v>0</v>
      </c>
      <c r="AJ714" s="139">
        <f>IFERROR(VLOOKUP(DATA[[#This Row],[COMBINADA]],#REF!,9,0),0)/COUNTIFS(DATA[COMBINADA],DATA[[#This Row],[COMBINADA]])</f>
        <v>0</v>
      </c>
      <c r="AK714" s="131">
        <f>IFERROR(VLOOKUP(DATA[[#This Row],[COMBINADA]],#REF!,6,0),0)</f>
        <v>0</v>
      </c>
      <c r="AL714" s="125">
        <f>IFERROR(VLOOKUP(DATA[[#This Row],[COMBINADA]],#REF!,9,0),0)/COUNTIFS(DATA[COMBINADA],DATA[[#This Row],[COMBINADA]])</f>
        <v>0</v>
      </c>
      <c r="AM714" s="27">
        <f>IFERROR(VLOOKUP(DATA[[#This Row],[COMBINADA]],#REF!,6,0),0)</f>
        <v>0</v>
      </c>
      <c r="AN714" s="125">
        <f>IFERROR(VLOOKUP(DATA[[#This Row],[COMBINADA]],#REF!,9,0),0)/COUNTIFS(DATA[COMBINADA],DATA[[#This Row],[COMBINADA]])</f>
        <v>0</v>
      </c>
      <c r="AO714" s="27">
        <f>IFERROR(VLOOKUP(DATA[[#This Row],[COMBINADA]],#REF!,6,0),0)</f>
        <v>0</v>
      </c>
      <c r="AP714" s="132">
        <f>IFERROR(VLOOKUP(DATA[[#This Row],[COMBINADA]],#REF!,9,0),0)/COUNTIFS(DATA[COMBINADA],DATA[[#This Row],[COMBINADA]])</f>
        <v>0</v>
      </c>
      <c r="AQ71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714" s="26" t="str">
        <f>IFERROR(IF(DATA[[#This Row],[estado_fact]]="FACTURADO",VLOOKUP(DATA[[#This Row],[SERIE2]]&amp;"-"&amp;DATA[[#This Row],[NUMERO]],#REF!,34,0),"NO CORRESPONDE"),"NO CORRESPONDE")</f>
        <v>NO CORRESPONDE</v>
      </c>
      <c r="AS714" s="22" t="str">
        <f>IF(DATA[[#This Row],[fecha_fs]]&gt;0,TEXT(DATA[[#This Row],[fecha_fs]],"Mmmm"),0)</f>
        <v>Mayo</v>
      </c>
      <c r="AT714" s="22" t="str">
        <f>DATA[[#This Row],[SERIE2]]&amp;"-"&amp;DATA[[#This Row],[NUMERO]]</f>
        <v>FF01-120</v>
      </c>
      <c r="AU714" s="28">
        <f>DATA[[#This Row],[TOTAL]]*DATA[[#This Row],[T.C.]]</f>
        <v>351.55</v>
      </c>
      <c r="AV714" s="6">
        <f>DATA[[#This Row],[FECHA DE VAL.]]</f>
        <v>45805</v>
      </c>
      <c r="AW714" s="6">
        <f>DATA[[#This Row],[FECHA DE EMISION]]</f>
        <v>45820</v>
      </c>
      <c r="AX714" s="6">
        <f>DATA[[#This Row],[F1]]</f>
        <v>0</v>
      </c>
      <c r="AY714" s="20">
        <f>IF(AV714-DATA[[#This Row],[fecha_fs]]&lt;0,0,AV714-DATA[[#This Row],[fecha_fs]])</f>
        <v>1</v>
      </c>
      <c r="AZ714" s="20">
        <f t="shared" si="76"/>
        <v>15</v>
      </c>
      <c r="BA714" s="20">
        <f t="shared" si="77"/>
        <v>0</v>
      </c>
      <c r="BB714" s="195">
        <f>IFERROR(SUM(DATA[[#This Row],[fs_val_ttf]:[fact_pago_ttf]]),0)</f>
        <v>16</v>
      </c>
      <c r="BC714" s="185">
        <v>45804</v>
      </c>
      <c r="BD714" s="185">
        <v>45804</v>
      </c>
      <c r="BE714" s="185">
        <v>45807</v>
      </c>
      <c r="BF714" s="185">
        <v>45807</v>
      </c>
      <c r="BG714" s="20">
        <f>IFERROR(IF(BC714-DATA[[#This Row],[fecha_fs]]&lt;0,0,BC714-DATA[[#This Row],[fecha_fs]]),0)</f>
        <v>0</v>
      </c>
      <c r="BH714" s="20">
        <f t="shared" si="78"/>
        <v>0</v>
      </c>
      <c r="BI714" s="20">
        <f t="shared" si="79"/>
        <v>3</v>
      </c>
      <c r="BJ714" s="20">
        <f t="shared" si="80"/>
        <v>0</v>
      </c>
      <c r="BK714" s="218">
        <f>IFERROR(SUM(DATA[[#This Row],[fs_fd_ttd]:[fend_fenf_ttd]]),0)</f>
        <v>3</v>
      </c>
      <c r="BL714" s="20" t="str">
        <f>IF(DATA[[#This Row],[fecha_fs]]&gt;0,TEXT(DATA[[#This Row],[fecha_fs]],"YYYY"),0)</f>
        <v>2025</v>
      </c>
      <c r="BM714" s="221" t="b">
        <v>1</v>
      </c>
      <c r="BN714" s="278">
        <f>COUNTIF(DATA[[#This Row],[tiempo_td]], "&lt;=15")</f>
        <v>1</v>
      </c>
      <c r="BO714" s="222"/>
    </row>
    <row r="715" spans="1:67" ht="30.6" customHeight="1" x14ac:dyDescent="0.25">
      <c r="A715" s="4">
        <v>20553956324</v>
      </c>
      <c r="B715" s="5" t="s">
        <v>281</v>
      </c>
      <c r="C715" s="52" t="s">
        <v>175</v>
      </c>
      <c r="D715" s="4" t="s">
        <v>120</v>
      </c>
      <c r="E715" s="5" t="s">
        <v>3</v>
      </c>
      <c r="F715" s="24">
        <v>45804</v>
      </c>
      <c r="G715" s="7" t="s">
        <v>113</v>
      </c>
      <c r="H715" s="25">
        <f t="shared" si="75"/>
        <v>1</v>
      </c>
      <c r="I715" s="67">
        <v>4562</v>
      </c>
      <c r="J715" s="8" t="s">
        <v>115</v>
      </c>
      <c r="K715" s="9" t="s">
        <v>121</v>
      </c>
      <c r="L715" s="10" t="s">
        <v>117</v>
      </c>
      <c r="M715" s="11">
        <v>140</v>
      </c>
      <c r="N715" s="12" t="s">
        <v>167</v>
      </c>
      <c r="O715" s="6">
        <v>45803</v>
      </c>
      <c r="P715" s="109">
        <v>3458</v>
      </c>
      <c r="Q715" s="14" t="s">
        <v>85</v>
      </c>
      <c r="R715" s="15">
        <f>DATA[[#This Row],[cantidad_fs]]*0.08</f>
        <v>11.200000000000001</v>
      </c>
      <c r="S715" s="56">
        <v>395.1</v>
      </c>
      <c r="T715" s="15">
        <f>DATA[[#This Row],[C. DF]]+DATA[[#This Row],[C.OPE.]]</f>
        <v>406.3</v>
      </c>
      <c r="U715" s="15">
        <f>DATA[[#This Row],[SUB TOTAL]]*0.18</f>
        <v>73.134</v>
      </c>
      <c r="V715" s="15">
        <f>IFERROR(ROUND(DATA[[#This Row],[SUB TOTAL]]+DATA[[#This Row],[IGV]],2),0)</f>
        <v>479.43</v>
      </c>
      <c r="W715" s="16" t="str">
        <f>IF(DATA[[#This Row],[VALORIZACIÓN ]]="-","NO CORRESPONDE",IF(OR(A715=20558226979,A715=10470707866,A715=20111157058,A715=20100226902),"NO CORRESPONDE",IF(J715="Emitida",IF(P715&gt;0,"EMITIDA","PENDIENTE"),"NO CORRESPONDE")))</f>
        <v>EMITIDA</v>
      </c>
      <c r="X715" s="29" t="s">
        <v>234</v>
      </c>
      <c r="Y715" s="17" t="s">
        <v>118</v>
      </c>
      <c r="Z715" s="30">
        <v>45845</v>
      </c>
      <c r="AA715" s="10" t="s">
        <v>150</v>
      </c>
      <c r="AB715" s="19">
        <v>143</v>
      </c>
      <c r="AC715" s="20">
        <v>0</v>
      </c>
      <c r="AD715" s="18">
        <f>DATA[[#This Row],[FECHA DE EMISION]]+DATA[[#This Row],[CONDICION DE PAGO]]</f>
        <v>45845</v>
      </c>
      <c r="AE715" s="23">
        <f>IF(DATA[[#This Row],[MONEDA]]="USD",VLOOKUP(DATA[[#This Row],[COMBINADA]],#REF!,11,0),1)</f>
        <v>1</v>
      </c>
      <c r="AF715" s="129" t="str">
        <f>IF(DATA[[#This Row],[SERIE2]]="-","NO CORRESPONDE",IF(W715="NO CORRESPONDE","NO CORRESPONDE",IF(Z715&gt;0,"FACTURADO","PENDIENTE")))</f>
        <v>FACTURADO</v>
      </c>
      <c r="AG715" s="133">
        <f>IFERROR(VLOOKUP(DATA[[#This Row],[COMBINADA]],#REF!,6,0),0)</f>
        <v>0</v>
      </c>
      <c r="AH715" s="125">
        <f>IFERROR(VLOOKUP(DATA[[#This Row],[COMBINADA]],#REF!,9,0),0)/COUNTIFS(DATA[COMBINADA],DATA[[#This Row],[COMBINADA]])</f>
        <v>0</v>
      </c>
      <c r="AI715" s="136">
        <f>IFERROR(VLOOKUP(DATA[[#This Row],[COMBINADA]],#REF!,6,0),0)</f>
        <v>0</v>
      </c>
      <c r="AJ715" s="139">
        <f>IFERROR(VLOOKUP(DATA[[#This Row],[COMBINADA]],#REF!,9,0),0)/COUNTIFS(DATA[COMBINADA],DATA[[#This Row],[COMBINADA]])</f>
        <v>0</v>
      </c>
      <c r="AK715" s="131">
        <f>IFERROR(VLOOKUP(DATA[[#This Row],[COMBINADA]],#REF!,6,0),0)</f>
        <v>0</v>
      </c>
      <c r="AL715" s="125">
        <f>IFERROR(VLOOKUP(DATA[[#This Row],[COMBINADA]],#REF!,9,0),0)/COUNTIFS(DATA[COMBINADA],DATA[[#This Row],[COMBINADA]])</f>
        <v>0</v>
      </c>
      <c r="AM715" s="27">
        <f>IFERROR(VLOOKUP(DATA[[#This Row],[COMBINADA]],#REF!,6,0),0)</f>
        <v>0</v>
      </c>
      <c r="AN715" s="125">
        <f>IFERROR(VLOOKUP(DATA[[#This Row],[COMBINADA]],#REF!,9,0),0)/COUNTIFS(DATA[COMBINADA],DATA[[#This Row],[COMBINADA]])</f>
        <v>0</v>
      </c>
      <c r="AO715" s="27">
        <f>IFERROR(VLOOKUP(DATA[[#This Row],[COMBINADA]],#REF!,6,0),0)</f>
        <v>0</v>
      </c>
      <c r="AP715" s="132">
        <f>IFERROR(VLOOKUP(DATA[[#This Row],[COMBINADA]],#REF!,9,0),0)/COUNTIFS(DATA[COMBINADA],DATA[[#This Row],[COMBINADA]])</f>
        <v>0</v>
      </c>
      <c r="AQ71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481.06363636363642</v>
      </c>
      <c r="AR715" s="26" t="str">
        <f>IFERROR(IF(DATA[[#This Row],[estado_fact]]="FACTURADO",VLOOKUP(DATA[[#This Row],[SERIE2]]&amp;"-"&amp;DATA[[#This Row],[NUMERO]],#REF!,34,0),"NO CORRESPONDE"),"NO CORRESPONDE")</f>
        <v>NO CORRESPONDE</v>
      </c>
      <c r="AS715" s="22" t="str">
        <f>IF(DATA[[#This Row],[fecha_fs]]&gt;0,TEXT(DATA[[#This Row],[fecha_fs]],"Mmmm"),0)</f>
        <v>Mayo</v>
      </c>
      <c r="AT715" s="22" t="str">
        <f>DATA[[#This Row],[SERIE2]]&amp;"-"&amp;DATA[[#This Row],[NUMERO]]</f>
        <v>FF01-143</v>
      </c>
      <c r="AU715" s="28">
        <f>DATA[[#This Row],[TOTAL]]*DATA[[#This Row],[T.C.]]</f>
        <v>479.43</v>
      </c>
      <c r="AV715" s="6">
        <f>DATA[[#This Row],[FECHA DE VAL.]]</f>
        <v>45803</v>
      </c>
      <c r="AW715" s="6">
        <f>DATA[[#This Row],[FECHA DE EMISION]]</f>
        <v>45845</v>
      </c>
      <c r="AX715" s="6">
        <f>DATA[[#This Row],[F1]]</f>
        <v>0</v>
      </c>
      <c r="AY715" s="20">
        <f>IF(AV715-DATA[[#This Row],[fecha_fs]]&lt;0,0,AV715-DATA[[#This Row],[fecha_fs]])</f>
        <v>0</v>
      </c>
      <c r="AZ715" s="20">
        <f t="shared" si="76"/>
        <v>42</v>
      </c>
      <c r="BA715" s="20">
        <f t="shared" si="77"/>
        <v>0</v>
      </c>
      <c r="BB715" s="195">
        <f>IFERROR(SUM(DATA[[#This Row],[fs_val_ttf]:[fact_pago_ttf]]),0)</f>
        <v>42</v>
      </c>
      <c r="BC715" s="185">
        <v>45835</v>
      </c>
      <c r="BD715" s="185">
        <v>45840</v>
      </c>
      <c r="BE715" s="185">
        <v>45853</v>
      </c>
      <c r="BF715" s="185">
        <v>45862</v>
      </c>
      <c r="BG715" s="20">
        <f>IFERROR(IF(BC715-DATA[[#This Row],[fecha_fs]]&lt;0,0,BC715-DATA[[#This Row],[fecha_fs]]),0)</f>
        <v>31</v>
      </c>
      <c r="BH715" s="20">
        <f t="shared" si="78"/>
        <v>5</v>
      </c>
      <c r="BI715" s="20">
        <f t="shared" si="79"/>
        <v>13</v>
      </c>
      <c r="BJ715" s="20">
        <f t="shared" si="80"/>
        <v>9</v>
      </c>
      <c r="BK715" s="218">
        <f>IFERROR(SUM(DATA[[#This Row],[fs_fd_ttd]:[fend_fenf_ttd]]),0)</f>
        <v>58</v>
      </c>
      <c r="BL715" s="20" t="str">
        <f>IF(DATA[[#This Row],[fecha_fs]]&gt;0,TEXT(DATA[[#This Row],[fecha_fs]],"YYYY"),0)</f>
        <v>2025</v>
      </c>
      <c r="BM715" s="221" t="b">
        <v>0</v>
      </c>
      <c r="BN715" s="278">
        <f>COUNTIF(DATA[[#This Row],[tiempo_td]], "&lt;=15")</f>
        <v>0</v>
      </c>
      <c r="BO715" s="222"/>
    </row>
    <row r="716" spans="1:67" ht="30.6" customHeight="1" x14ac:dyDescent="0.25">
      <c r="A716" s="4">
        <v>20100211115</v>
      </c>
      <c r="B716" s="5" t="s">
        <v>41</v>
      </c>
      <c r="C716" s="52" t="s">
        <v>18</v>
      </c>
      <c r="D716" s="4" t="s">
        <v>120</v>
      </c>
      <c r="E716" s="5" t="s">
        <v>3</v>
      </c>
      <c r="F716" s="24">
        <v>45804</v>
      </c>
      <c r="G716" s="7" t="s">
        <v>113</v>
      </c>
      <c r="H716" s="25">
        <f t="shared" si="75"/>
        <v>1</v>
      </c>
      <c r="I716" s="67">
        <v>4563</v>
      </c>
      <c r="J716" s="8" t="s">
        <v>115</v>
      </c>
      <c r="K716" s="9" t="s">
        <v>163</v>
      </c>
      <c r="L716" s="10" t="s">
        <v>117</v>
      </c>
      <c r="M716" s="11">
        <v>993</v>
      </c>
      <c r="N716" s="12" t="s">
        <v>125</v>
      </c>
      <c r="O716" s="6">
        <v>45834</v>
      </c>
      <c r="P716" s="115">
        <v>3516</v>
      </c>
      <c r="Q716" s="14" t="s">
        <v>85</v>
      </c>
      <c r="R716" s="15"/>
      <c r="S716" s="56">
        <f>DATA[[#This Row],[cantidad_fs]]*0.72</f>
        <v>714.95999999999992</v>
      </c>
      <c r="T716" s="15">
        <f>DATA[[#This Row],[C. DF]]+DATA[[#This Row],[C.OPE.]]</f>
        <v>714.95999999999992</v>
      </c>
      <c r="U716" s="15">
        <f>DATA[[#This Row],[SUB TOTAL]]*0.18</f>
        <v>128.69279999999998</v>
      </c>
      <c r="V716" s="15">
        <f>IFERROR(ROUND(DATA[[#This Row],[SUB TOTAL]]+DATA[[#This Row],[IGV]],2),0)</f>
        <v>843.65</v>
      </c>
      <c r="W716" s="16" t="str">
        <f>IF(DATA[[#This Row],[VALORIZACIÓN ]]="-","NO CORRESPONDE",IF(OR(A716=20558226979,A716=10470707866,A716=20111157058,A716=20100226902),"NO CORRESPONDE",IF(J716="Emitida",IF(P716&gt;0,"EMITIDA","PENDIENTE"),"NO CORRESPONDE")))</f>
        <v>EMITIDA</v>
      </c>
      <c r="X716" s="29"/>
      <c r="Y716" s="17" t="s">
        <v>118</v>
      </c>
      <c r="Z716" s="30">
        <v>45835</v>
      </c>
      <c r="AA716" s="10" t="s">
        <v>150</v>
      </c>
      <c r="AB716" s="19">
        <v>138</v>
      </c>
      <c r="AC716" s="20">
        <v>30</v>
      </c>
      <c r="AD716" s="18">
        <f>DATA[[#This Row],[FECHA DE EMISION]]+DATA[[#This Row],[CONDICION DE PAGO]]</f>
        <v>45865</v>
      </c>
      <c r="AE716" s="23">
        <f>IF(DATA[[#This Row],[MONEDA]]="USD",VLOOKUP(DATA[[#This Row],[COMBINADA]],#REF!,11,0),1)</f>
        <v>1</v>
      </c>
      <c r="AF716" s="129" t="str">
        <f>IF(DATA[[#This Row],[SERIE2]]="-","NO CORRESPONDE",IF(W716="NO CORRESPONDE","NO CORRESPONDE",IF(Z716&gt;0,"FACTURADO","PENDIENTE")))</f>
        <v>FACTURADO</v>
      </c>
      <c r="AG716" s="133">
        <f>IFERROR(VLOOKUP(DATA[[#This Row],[COMBINADA]],#REF!,6,0),0)</f>
        <v>0</v>
      </c>
      <c r="AH716" s="125">
        <f>IFERROR(VLOOKUP(DATA[[#This Row],[COMBINADA]],#REF!,9,0),0)/COUNTIFS(DATA[COMBINADA],DATA[[#This Row],[COMBINADA]])</f>
        <v>0</v>
      </c>
      <c r="AI716" s="136">
        <f>IFERROR(VLOOKUP(DATA[[#This Row],[COMBINADA]],#REF!,6,0),0)</f>
        <v>0</v>
      </c>
      <c r="AJ716" s="139">
        <f>IFERROR(VLOOKUP(DATA[[#This Row],[COMBINADA]],#REF!,9,0),0)/COUNTIFS(DATA[COMBINADA],DATA[[#This Row],[COMBINADA]])</f>
        <v>0</v>
      </c>
      <c r="AK716" s="131">
        <f>IFERROR(VLOOKUP(DATA[[#This Row],[COMBINADA]],#REF!,6,0),0)</f>
        <v>0</v>
      </c>
      <c r="AL716" s="125">
        <f>IFERROR(VLOOKUP(DATA[[#This Row],[COMBINADA]],#REF!,9,0),0)/COUNTIFS(DATA[COMBINADA],DATA[[#This Row],[COMBINADA]])</f>
        <v>0</v>
      </c>
      <c r="AM716" s="27">
        <f>IFERROR(VLOOKUP(DATA[[#This Row],[COMBINADA]],#REF!,6,0),0)</f>
        <v>0</v>
      </c>
      <c r="AN716" s="125">
        <f>IFERROR(VLOOKUP(DATA[[#This Row],[COMBINADA]],#REF!,9,0),0)/COUNTIFS(DATA[COMBINADA],DATA[[#This Row],[COMBINADA]])</f>
        <v>0</v>
      </c>
      <c r="AO716" s="27">
        <f>IFERROR(VLOOKUP(DATA[[#This Row],[COMBINADA]],#REF!,6,0),0)</f>
        <v>0</v>
      </c>
      <c r="AP716" s="132">
        <f>IFERROR(VLOOKUP(DATA[[#This Row],[COMBINADA]],#REF!,9,0),0)/COUNTIFS(DATA[COMBINADA],DATA[[#This Row],[COMBINADA]])</f>
        <v>0</v>
      </c>
      <c r="AQ71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926.91</v>
      </c>
      <c r="AR716" s="26" t="str">
        <f>IFERROR(IF(DATA[[#This Row],[estado_fact]]="FACTURADO",VLOOKUP(DATA[[#This Row],[SERIE2]]&amp;"-"&amp;DATA[[#This Row],[NUMERO]],#REF!,34,0),"NO CORRESPONDE"),"NO CORRESPONDE")</f>
        <v>NO CORRESPONDE</v>
      </c>
      <c r="AS716" s="22" t="str">
        <f>IF(DATA[[#This Row],[fecha_fs]]&gt;0,TEXT(DATA[[#This Row],[fecha_fs]],"Mmmm"),0)</f>
        <v>Mayo</v>
      </c>
      <c r="AT716" s="22" t="str">
        <f>DATA[[#This Row],[SERIE2]]&amp;"-"&amp;DATA[[#This Row],[NUMERO]]</f>
        <v>FF01-138</v>
      </c>
      <c r="AU716" s="28">
        <f>DATA[[#This Row],[TOTAL]]*DATA[[#This Row],[T.C.]]</f>
        <v>843.65</v>
      </c>
      <c r="AV716" s="6">
        <f>DATA[[#This Row],[FECHA DE VAL.]]</f>
        <v>45834</v>
      </c>
      <c r="AW716" s="6">
        <f>DATA[[#This Row],[FECHA DE EMISION]]</f>
        <v>45835</v>
      </c>
      <c r="AX716" s="6">
        <f>DATA[[#This Row],[F1]]</f>
        <v>0</v>
      </c>
      <c r="AY716" s="20">
        <f>IF(AV716-DATA[[#This Row],[fecha_fs]]&lt;0,0,AV716-DATA[[#This Row],[fecha_fs]])</f>
        <v>30</v>
      </c>
      <c r="AZ716" s="20">
        <f t="shared" si="76"/>
        <v>1</v>
      </c>
      <c r="BA716" s="20">
        <f t="shared" si="77"/>
        <v>0</v>
      </c>
      <c r="BB716" s="195">
        <f>IFERROR(SUM(DATA[[#This Row],[fs_val_ttf]:[fact_pago_ttf]]),0)</f>
        <v>31</v>
      </c>
      <c r="BC716" s="185">
        <v>45838</v>
      </c>
      <c r="BD716" s="185">
        <v>45846</v>
      </c>
      <c r="BE716" s="185">
        <v>45848</v>
      </c>
      <c r="BF716" s="185">
        <v>45849</v>
      </c>
      <c r="BG716" s="20">
        <f>IFERROR(IF(BC716-DATA[[#This Row],[fecha_fs]]&lt;0,0,BC716-DATA[[#This Row],[fecha_fs]]),0)</f>
        <v>34</v>
      </c>
      <c r="BH716" s="20">
        <f t="shared" si="78"/>
        <v>8</v>
      </c>
      <c r="BI716" s="20">
        <f t="shared" si="79"/>
        <v>2</v>
      </c>
      <c r="BJ716" s="20">
        <f t="shared" si="80"/>
        <v>1</v>
      </c>
      <c r="BK716" s="218">
        <f>IFERROR(SUM(DATA[[#This Row],[fs_fd_ttd]:[fend_fenf_ttd]]),0)</f>
        <v>45</v>
      </c>
      <c r="BL716" s="20" t="str">
        <f>IF(DATA[[#This Row],[fecha_fs]]&gt;0,TEXT(DATA[[#This Row],[fecha_fs]],"YYYY"),0)</f>
        <v>2025</v>
      </c>
      <c r="BM716" s="221" t="b">
        <v>1</v>
      </c>
      <c r="BN716" s="278">
        <f>COUNTIF(DATA[[#This Row],[tiempo_td]], "&lt;=15")</f>
        <v>0</v>
      </c>
      <c r="BO716" s="222"/>
    </row>
    <row r="717" spans="1:67" ht="30.6" customHeight="1" x14ac:dyDescent="0.25">
      <c r="A717" s="4">
        <v>20505675836</v>
      </c>
      <c r="B717" s="5" t="s">
        <v>42</v>
      </c>
      <c r="C717" s="52" t="s">
        <v>43</v>
      </c>
      <c r="D717" s="4" t="s">
        <v>120</v>
      </c>
      <c r="E717" s="5" t="s">
        <v>3</v>
      </c>
      <c r="F717" s="24">
        <v>45804</v>
      </c>
      <c r="G717" s="7" t="s">
        <v>113</v>
      </c>
      <c r="H717" s="25">
        <f t="shared" si="75"/>
        <v>1</v>
      </c>
      <c r="I717" s="67">
        <v>4564</v>
      </c>
      <c r="J717" s="8" t="s">
        <v>115</v>
      </c>
      <c r="K717" s="9" t="s">
        <v>121</v>
      </c>
      <c r="L717" s="10" t="s">
        <v>117</v>
      </c>
      <c r="M717" s="11">
        <v>480</v>
      </c>
      <c r="N717" s="12" t="s">
        <v>129</v>
      </c>
      <c r="O717" s="6">
        <v>45804</v>
      </c>
      <c r="P717" s="71">
        <v>3472</v>
      </c>
      <c r="Q717" s="14" t="s">
        <v>85</v>
      </c>
      <c r="R717" s="15">
        <f>((DATA[[#This Row],[cantidad_fs]]-150)*0.67)</f>
        <v>221.10000000000002</v>
      </c>
      <c r="S717" s="56">
        <v>817.68</v>
      </c>
      <c r="T717" s="15">
        <f>DATA[[#This Row],[C. DF]]+DATA[[#This Row],[C.OPE.]]</f>
        <v>1038.78</v>
      </c>
      <c r="U717" s="15">
        <f>DATA[[#This Row],[SUB TOTAL]]*0.18</f>
        <v>186.98039999999997</v>
      </c>
      <c r="V717" s="15">
        <f>IFERROR(ROUND(DATA[[#This Row],[SUB TOTAL]]+DATA[[#This Row],[IGV]],2),0)</f>
        <v>1225.76</v>
      </c>
      <c r="W717" s="16" t="str">
        <f>IF(DATA[[#This Row],[VALORIZACIÓN ]]="-","NO CORRESPONDE",IF(OR(A717=20558226979,A717=10470707866,A717=20111157058,A717=20100226902),"NO CORRESPONDE",IF(J717="Emitida",IF(P717&gt;0,"EMITIDA","PENDIENTE"),"NO CORRESPONDE")))</f>
        <v>EMITIDA</v>
      </c>
      <c r="X717" s="29"/>
      <c r="Y717" s="17" t="s">
        <v>118</v>
      </c>
      <c r="Z717" s="30">
        <v>45846</v>
      </c>
      <c r="AA717" s="10" t="s">
        <v>150</v>
      </c>
      <c r="AB717" s="19">
        <v>162</v>
      </c>
      <c r="AC717" s="20">
        <v>30</v>
      </c>
      <c r="AD717" s="18">
        <f>DATA[[#This Row],[FECHA DE EMISION]]+DATA[[#This Row],[CONDICION DE PAGO]]</f>
        <v>45876</v>
      </c>
      <c r="AE717" s="23">
        <f>IF(DATA[[#This Row],[MONEDA]]="USD",VLOOKUP(DATA[[#This Row],[COMBINADA]],#REF!,11,0),1)</f>
        <v>1</v>
      </c>
      <c r="AF717" s="129" t="str">
        <f>IF(DATA[[#This Row],[SERIE2]]="-","NO CORRESPONDE",IF(W717="NO CORRESPONDE","NO CORRESPONDE",IF(Z717&gt;0,"FACTURADO","PENDIENTE")))</f>
        <v>FACTURADO</v>
      </c>
      <c r="AG717" s="133">
        <f>IFERROR(VLOOKUP(DATA[[#This Row],[COMBINADA]],#REF!,6,0),0)</f>
        <v>0</v>
      </c>
      <c r="AH717" s="125">
        <f>IFERROR(VLOOKUP(DATA[[#This Row],[COMBINADA]],#REF!,9,0),0)/COUNTIFS(DATA[COMBINADA],DATA[[#This Row],[COMBINADA]])</f>
        <v>0</v>
      </c>
      <c r="AI717" s="136">
        <f>IFERROR(VLOOKUP(DATA[[#This Row],[COMBINADA]],#REF!,6,0),0)</f>
        <v>0</v>
      </c>
      <c r="AJ717" s="139">
        <f>IFERROR(VLOOKUP(DATA[[#This Row],[COMBINADA]],#REF!,9,0),0)/COUNTIFS(DATA[COMBINADA],DATA[[#This Row],[COMBINADA]])</f>
        <v>0</v>
      </c>
      <c r="AK717" s="131">
        <f>IFERROR(VLOOKUP(DATA[[#This Row],[COMBINADA]],#REF!,6,0),0)</f>
        <v>0</v>
      </c>
      <c r="AL717" s="125">
        <f>IFERROR(VLOOKUP(DATA[[#This Row],[COMBINADA]],#REF!,9,0),0)/COUNTIFS(DATA[COMBINADA],DATA[[#This Row],[COMBINADA]])</f>
        <v>0</v>
      </c>
      <c r="AM717" s="27">
        <f>IFERROR(VLOOKUP(DATA[[#This Row],[COMBINADA]],#REF!,6,0),0)</f>
        <v>0</v>
      </c>
      <c r="AN717" s="125">
        <f>IFERROR(VLOOKUP(DATA[[#This Row],[COMBINADA]],#REF!,9,0),0)/COUNTIFS(DATA[COMBINADA],DATA[[#This Row],[COMBINADA]])</f>
        <v>0</v>
      </c>
      <c r="AO717" s="27">
        <f>IFERROR(VLOOKUP(DATA[[#This Row],[COMBINADA]],#REF!,6,0),0)</f>
        <v>0</v>
      </c>
      <c r="AP717" s="132">
        <f>IFERROR(VLOOKUP(DATA[[#This Row],[COMBINADA]],#REF!,9,0),0)/COUNTIFS(DATA[COMBINADA],DATA[[#This Row],[COMBINADA]])</f>
        <v>0</v>
      </c>
      <c r="AQ71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2313.38</v>
      </c>
      <c r="AR717" s="26" t="str">
        <f>IFERROR(IF(DATA[[#This Row],[estado_fact]]="FACTURADO",VLOOKUP(DATA[[#This Row],[SERIE2]]&amp;"-"&amp;DATA[[#This Row],[NUMERO]],#REF!,34,0),"NO CORRESPONDE"),"NO CORRESPONDE")</f>
        <v>NO CORRESPONDE</v>
      </c>
      <c r="AS717" s="22" t="str">
        <f>IF(DATA[[#This Row],[fecha_fs]]&gt;0,TEXT(DATA[[#This Row],[fecha_fs]],"Mmmm"),0)</f>
        <v>Mayo</v>
      </c>
      <c r="AT717" s="22" t="str">
        <f>DATA[[#This Row],[SERIE2]]&amp;"-"&amp;DATA[[#This Row],[NUMERO]]</f>
        <v>FF01-162</v>
      </c>
      <c r="AU717" s="28">
        <f>DATA[[#This Row],[TOTAL]]*DATA[[#This Row],[T.C.]]</f>
        <v>1225.76</v>
      </c>
      <c r="AV717" s="6">
        <f>DATA[[#This Row],[FECHA DE VAL.]]</f>
        <v>45804</v>
      </c>
      <c r="AW717" s="6">
        <f>DATA[[#This Row],[FECHA DE EMISION]]</f>
        <v>45846</v>
      </c>
      <c r="AX717" s="6">
        <f>DATA[[#This Row],[F1]]</f>
        <v>0</v>
      </c>
      <c r="AY717" s="20">
        <f>IF(AV717-DATA[[#This Row],[fecha_fs]]&lt;0,0,AV717-DATA[[#This Row],[fecha_fs]])</f>
        <v>0</v>
      </c>
      <c r="AZ717" s="20">
        <f t="shared" si="76"/>
        <v>42</v>
      </c>
      <c r="BA717" s="20">
        <f t="shared" si="77"/>
        <v>0</v>
      </c>
      <c r="BB717" s="195">
        <f>IFERROR(SUM(DATA[[#This Row],[fs_val_ttf]:[fact_pago_ttf]]),0)</f>
        <v>42</v>
      </c>
      <c r="BC717" s="185">
        <v>45817</v>
      </c>
      <c r="BD717" s="185">
        <v>45828</v>
      </c>
      <c r="BE717" s="185">
        <v>45831</v>
      </c>
      <c r="BF717" s="185">
        <v>45833</v>
      </c>
      <c r="BG717" s="20">
        <f>IFERROR(IF(BC717-DATA[[#This Row],[fecha_fs]]&lt;0,0,BC717-DATA[[#This Row],[fecha_fs]]),0)</f>
        <v>13</v>
      </c>
      <c r="BH717" s="20">
        <f t="shared" si="78"/>
        <v>11</v>
      </c>
      <c r="BI717" s="20">
        <f t="shared" si="79"/>
        <v>3</v>
      </c>
      <c r="BJ717" s="20">
        <f t="shared" si="80"/>
        <v>2</v>
      </c>
      <c r="BK717" s="218">
        <f>IFERROR(SUM(DATA[[#This Row],[fs_fd_ttd]:[fend_fenf_ttd]]),0)</f>
        <v>29</v>
      </c>
      <c r="BL717" s="20" t="str">
        <f>IF(DATA[[#This Row],[fecha_fs]]&gt;0,TEXT(DATA[[#This Row],[fecha_fs]],"YYYY"),0)</f>
        <v>2025</v>
      </c>
      <c r="BM717" s="221" t="b">
        <v>1</v>
      </c>
      <c r="BN717" s="278">
        <f>COUNTIF(DATA[[#This Row],[tiempo_td]], "&lt;=15")</f>
        <v>0</v>
      </c>
      <c r="BO717" s="222"/>
    </row>
    <row r="718" spans="1:67" ht="30.6" customHeight="1" x14ac:dyDescent="0.25">
      <c r="A718" s="4">
        <v>20505675836</v>
      </c>
      <c r="B718" s="5" t="s">
        <v>42</v>
      </c>
      <c r="C718" s="52" t="s">
        <v>43</v>
      </c>
      <c r="D718" s="4" t="s">
        <v>112</v>
      </c>
      <c r="E718" s="5" t="s">
        <v>1</v>
      </c>
      <c r="F718" s="24">
        <v>45804</v>
      </c>
      <c r="G718" s="7" t="s">
        <v>113</v>
      </c>
      <c r="H718" s="25">
        <f t="shared" si="75"/>
        <v>1</v>
      </c>
      <c r="I718" s="67">
        <v>4565</v>
      </c>
      <c r="J718" s="8" t="s">
        <v>115</v>
      </c>
      <c r="K718" s="9" t="s">
        <v>116</v>
      </c>
      <c r="L718" s="10" t="s">
        <v>117</v>
      </c>
      <c r="M718" s="11">
        <v>2100</v>
      </c>
      <c r="N718" s="12" t="s">
        <v>129</v>
      </c>
      <c r="O718" s="6">
        <v>45804</v>
      </c>
      <c r="P718" s="71">
        <v>3473</v>
      </c>
      <c r="Q718" s="14" t="s">
        <v>85</v>
      </c>
      <c r="R718" s="15">
        <f>(DATA[[#This Row],[cantidad_fs]]-600)*0.97</f>
        <v>1455</v>
      </c>
      <c r="S718" s="56">
        <v>1427.2</v>
      </c>
      <c r="T718" s="15">
        <f>DATA[[#This Row],[C. DF]]+DATA[[#This Row],[C.OPE.]]</f>
        <v>2882.2</v>
      </c>
      <c r="U718" s="15">
        <f>DATA[[#This Row],[SUB TOTAL]]*0.18</f>
        <v>518.79599999999994</v>
      </c>
      <c r="V718" s="15">
        <f>IFERROR(ROUND(DATA[[#This Row],[SUB TOTAL]]+DATA[[#This Row],[IGV]],2),0)</f>
        <v>3401</v>
      </c>
      <c r="W718" s="16" t="str">
        <f>IF(DATA[[#This Row],[VALORIZACIÓN ]]="-","NO CORRESPONDE",IF(OR(A718=20558226979,A718=10470707866,A718=20111157058,A718=20100226902),"NO CORRESPONDE",IF(J718="Emitida",IF(P718&gt;0,"EMITIDA","PENDIENTE"),"NO CORRESPONDE")))</f>
        <v>EMITIDA</v>
      </c>
      <c r="X718" s="29"/>
      <c r="Y718" s="17" t="s">
        <v>118</v>
      </c>
      <c r="Z718" s="30">
        <v>45846</v>
      </c>
      <c r="AA718" s="10" t="s">
        <v>150</v>
      </c>
      <c r="AB718" s="19">
        <v>162</v>
      </c>
      <c r="AC718" s="20">
        <v>30</v>
      </c>
      <c r="AD718" s="18">
        <f>DATA[[#This Row],[FECHA DE EMISION]]+DATA[[#This Row],[CONDICION DE PAGO]]</f>
        <v>45876</v>
      </c>
      <c r="AE718" s="23">
        <f>IF(DATA[[#This Row],[MONEDA]]="USD",VLOOKUP(DATA[[#This Row],[COMBINADA]],#REF!,11,0),1)</f>
        <v>1</v>
      </c>
      <c r="AF718" s="129" t="str">
        <f>IF(DATA[[#This Row],[SERIE2]]="-","NO CORRESPONDE",IF(W718="NO CORRESPONDE","NO CORRESPONDE",IF(Z718&gt;0,"FACTURADO","PENDIENTE")))</f>
        <v>FACTURADO</v>
      </c>
      <c r="AG718" s="133">
        <f>IFERROR(VLOOKUP(DATA[[#This Row],[COMBINADA]],#REF!,6,0),0)</f>
        <v>0</v>
      </c>
      <c r="AH718" s="125">
        <f>IFERROR(VLOOKUP(DATA[[#This Row],[COMBINADA]],#REF!,9,0),0)/COUNTIFS(DATA[COMBINADA],DATA[[#This Row],[COMBINADA]])</f>
        <v>0</v>
      </c>
      <c r="AI718" s="136">
        <f>IFERROR(VLOOKUP(DATA[[#This Row],[COMBINADA]],#REF!,6,0),0)</f>
        <v>0</v>
      </c>
      <c r="AJ718" s="139">
        <f>IFERROR(VLOOKUP(DATA[[#This Row],[COMBINADA]],#REF!,9,0),0)/COUNTIFS(DATA[COMBINADA],DATA[[#This Row],[COMBINADA]])</f>
        <v>0</v>
      </c>
      <c r="AK718" s="131">
        <f>IFERROR(VLOOKUP(DATA[[#This Row],[COMBINADA]],#REF!,6,0),0)</f>
        <v>0</v>
      </c>
      <c r="AL718" s="125">
        <f>IFERROR(VLOOKUP(DATA[[#This Row],[COMBINADA]],#REF!,9,0),0)/COUNTIFS(DATA[COMBINADA],DATA[[#This Row],[COMBINADA]])</f>
        <v>0</v>
      </c>
      <c r="AM718" s="27">
        <f>IFERROR(VLOOKUP(DATA[[#This Row],[COMBINADA]],#REF!,6,0),0)</f>
        <v>0</v>
      </c>
      <c r="AN718" s="125">
        <f>IFERROR(VLOOKUP(DATA[[#This Row],[COMBINADA]],#REF!,9,0),0)/COUNTIFS(DATA[COMBINADA],DATA[[#This Row],[COMBINADA]])</f>
        <v>0</v>
      </c>
      <c r="AO718" s="27">
        <f>IFERROR(VLOOKUP(DATA[[#This Row],[COMBINADA]],#REF!,6,0),0)</f>
        <v>0</v>
      </c>
      <c r="AP718" s="132">
        <f>IFERROR(VLOOKUP(DATA[[#This Row],[COMBINADA]],#REF!,9,0),0)/COUNTIFS(DATA[COMBINADA],DATA[[#This Row],[COMBINADA]])</f>
        <v>0</v>
      </c>
      <c r="AQ71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2313.38</v>
      </c>
      <c r="AR718" s="26" t="str">
        <f>IFERROR(IF(DATA[[#This Row],[estado_fact]]="FACTURADO",VLOOKUP(DATA[[#This Row],[SERIE2]]&amp;"-"&amp;DATA[[#This Row],[NUMERO]],#REF!,34,0),"NO CORRESPONDE"),"NO CORRESPONDE")</f>
        <v>NO CORRESPONDE</v>
      </c>
      <c r="AS718" s="22" t="str">
        <f>IF(DATA[[#This Row],[fecha_fs]]&gt;0,TEXT(DATA[[#This Row],[fecha_fs]],"Mmmm"),0)</f>
        <v>Mayo</v>
      </c>
      <c r="AT718" s="22" t="str">
        <f>DATA[[#This Row],[SERIE2]]&amp;"-"&amp;DATA[[#This Row],[NUMERO]]</f>
        <v>FF01-162</v>
      </c>
      <c r="AU718" s="28">
        <f>DATA[[#This Row],[TOTAL]]*DATA[[#This Row],[T.C.]]</f>
        <v>3401</v>
      </c>
      <c r="AV718" s="6">
        <f>DATA[[#This Row],[FECHA DE VAL.]]</f>
        <v>45804</v>
      </c>
      <c r="AW718" s="6">
        <f>DATA[[#This Row],[FECHA DE EMISION]]</f>
        <v>45846</v>
      </c>
      <c r="AX718" s="6">
        <f>DATA[[#This Row],[F1]]</f>
        <v>0</v>
      </c>
      <c r="AY718" s="20">
        <f>IF(AV718-DATA[[#This Row],[fecha_fs]]&lt;0,0,AV718-DATA[[#This Row],[fecha_fs]])</f>
        <v>0</v>
      </c>
      <c r="AZ718" s="20">
        <f t="shared" si="76"/>
        <v>42</v>
      </c>
      <c r="BA718" s="20">
        <f t="shared" si="77"/>
        <v>0</v>
      </c>
      <c r="BB718" s="195">
        <f>IFERROR(SUM(DATA[[#This Row],[fs_val_ttf]:[fact_pago_ttf]]),0)</f>
        <v>42</v>
      </c>
      <c r="BC718" s="185">
        <v>45814</v>
      </c>
      <c r="BD718" s="185">
        <v>45818</v>
      </c>
      <c r="BE718" s="185">
        <v>45825</v>
      </c>
      <c r="BF718" s="185">
        <v>45833</v>
      </c>
      <c r="BG718" s="20">
        <f>IFERROR(IF(BC718-DATA[[#This Row],[fecha_fs]]&lt;0,0,BC718-DATA[[#This Row],[fecha_fs]]),0)</f>
        <v>10</v>
      </c>
      <c r="BH718" s="20">
        <f t="shared" si="78"/>
        <v>4</v>
      </c>
      <c r="BI718" s="20">
        <f t="shared" si="79"/>
        <v>7</v>
      </c>
      <c r="BJ718" s="20">
        <f t="shared" si="80"/>
        <v>8</v>
      </c>
      <c r="BK718" s="218">
        <f>IFERROR(SUM(DATA[[#This Row],[fs_fd_ttd]:[fend_fenf_ttd]]),0)</f>
        <v>29</v>
      </c>
      <c r="BL718" s="20" t="str">
        <f>IF(DATA[[#This Row],[fecha_fs]]&gt;0,TEXT(DATA[[#This Row],[fecha_fs]],"YYYY"),0)</f>
        <v>2025</v>
      </c>
      <c r="BM718" s="221" t="b">
        <v>1</v>
      </c>
      <c r="BN718" s="278">
        <f>COUNTIF(DATA[[#This Row],[tiempo_td]], "&lt;=15")</f>
        <v>0</v>
      </c>
      <c r="BO718" s="222"/>
    </row>
    <row r="719" spans="1:67" ht="30.6" customHeight="1" x14ac:dyDescent="0.25">
      <c r="A719" s="4">
        <v>20100192064</v>
      </c>
      <c r="B719" s="5" t="s">
        <v>60</v>
      </c>
      <c r="C719" s="52" t="s">
        <v>65</v>
      </c>
      <c r="D719" s="4" t="s">
        <v>183</v>
      </c>
      <c r="E719" s="5" t="s">
        <v>61</v>
      </c>
      <c r="F719" s="24">
        <v>45803</v>
      </c>
      <c r="G719" s="7" t="s">
        <v>142</v>
      </c>
      <c r="H719" s="25">
        <f t="shared" si="75"/>
        <v>2</v>
      </c>
      <c r="I719" s="67">
        <v>1092</v>
      </c>
      <c r="J719" s="8" t="s">
        <v>115</v>
      </c>
      <c r="K719" s="9" t="s">
        <v>184</v>
      </c>
      <c r="L719" s="10" t="s">
        <v>117</v>
      </c>
      <c r="M719" s="11">
        <v>73590</v>
      </c>
      <c r="N719" s="12" t="s">
        <v>114</v>
      </c>
      <c r="O719" s="6">
        <v>45803</v>
      </c>
      <c r="P719" s="71">
        <v>3468</v>
      </c>
      <c r="Q719" s="14" t="s">
        <v>123</v>
      </c>
      <c r="R719" s="15"/>
      <c r="S719" s="56">
        <f>(DATA[[#This Row],[cantidad_fs]]/1000)*19</f>
        <v>1398.21</v>
      </c>
      <c r="T719" s="15">
        <f>DATA[[#This Row],[C. DF]]+DATA[[#This Row],[C.OPE.]]</f>
        <v>1398.21</v>
      </c>
      <c r="U719" s="15">
        <f>DATA[[#This Row],[SUB TOTAL]]*0.18</f>
        <v>251.67779999999999</v>
      </c>
      <c r="V719" s="15">
        <f>IFERROR(ROUND(DATA[[#This Row],[SUB TOTAL]]+DATA[[#This Row],[IGV]],2),0)</f>
        <v>1649.89</v>
      </c>
      <c r="W719" s="16" t="str">
        <f>IF(DATA[[#This Row],[VALORIZACIÓN ]]="-","NO CORRESPONDE",IF(OR(A719=20558226979,A719=10470707866,A719=20111157058,A719=20100226902),"NO CORRESPONDE",IF(J719="Emitida",IF(P719&gt;0,"EMITIDA","PENDIENTE"),"NO CORRESPONDE")))</f>
        <v>EMITIDA</v>
      </c>
      <c r="X719" s="29" t="s">
        <v>258</v>
      </c>
      <c r="Y719" s="17" t="s">
        <v>118</v>
      </c>
      <c r="Z719" s="30">
        <v>45805</v>
      </c>
      <c r="AA719" s="10" t="s">
        <v>150</v>
      </c>
      <c r="AB719" s="19">
        <v>98</v>
      </c>
      <c r="AC719" s="20">
        <v>30</v>
      </c>
      <c r="AD719" s="18">
        <f>DATA[[#This Row],[FECHA DE EMISION]]+DATA[[#This Row],[CONDICION DE PAGO]]</f>
        <v>45835</v>
      </c>
      <c r="AE719" s="23" t="e">
        <f>IF(DATA[[#This Row],[MONEDA]]="USD",VLOOKUP(DATA[[#This Row],[COMBINADA]],#REF!,11,0),1)</f>
        <v>#REF!</v>
      </c>
      <c r="AF719" s="129" t="str">
        <f>IF(DATA[[#This Row],[SERIE2]]="-","NO CORRESPONDE",IF(W719="NO CORRESPONDE","NO CORRESPONDE",IF(Z719&gt;0,"FACTURADO","PENDIENTE")))</f>
        <v>FACTURADO</v>
      </c>
      <c r="AG719" s="133">
        <f>IFERROR(VLOOKUP(DATA[[#This Row],[COMBINADA]],#REF!,6,0),0)</f>
        <v>0</v>
      </c>
      <c r="AH719" s="125">
        <f>IFERROR(VLOOKUP(DATA[[#This Row],[COMBINADA]],#REF!,9,0),0)/COUNTIFS(DATA[COMBINADA],DATA[[#This Row],[COMBINADA]])</f>
        <v>0</v>
      </c>
      <c r="AI719" s="136">
        <f>IFERROR(VLOOKUP(DATA[[#This Row],[COMBINADA]],#REF!,6,0),0)</f>
        <v>0</v>
      </c>
      <c r="AJ719" s="132">
        <f>IFERROR(VLOOKUP(DATA[[#This Row],[COMBINADA]],#REF!,9,0),0)/COUNTIFS(DATA[COMBINADA],DATA[[#This Row],[COMBINADA]])</f>
        <v>0</v>
      </c>
      <c r="AK719" s="407">
        <f>IFERROR(VLOOKUP(DATA[[#This Row],[COMBINADA]],#REF!,6,0),0)</f>
        <v>0</v>
      </c>
      <c r="AL719" s="125">
        <f>IFERROR(VLOOKUP(DATA[[#This Row],[COMBINADA]],#REF!,9,0),0)/COUNTIFS(DATA[COMBINADA],DATA[[#This Row],[COMBINADA]])</f>
        <v>0</v>
      </c>
      <c r="AM719" s="27">
        <f>IFERROR(VLOOKUP(DATA[[#This Row],[COMBINADA]],#REF!,6,0),0)</f>
        <v>0</v>
      </c>
      <c r="AN719" s="125">
        <f>IFERROR(VLOOKUP(DATA[[#This Row],[COMBINADA]],#REF!,9,0),0)/COUNTIFS(DATA[COMBINADA],DATA[[#This Row],[COMBINADA]])</f>
        <v>0</v>
      </c>
      <c r="AO719" s="27">
        <f>IFERROR(VLOOKUP(DATA[[#This Row],[COMBINADA]],#REF!,6,0),0)</f>
        <v>0</v>
      </c>
      <c r="AP719" s="132">
        <f>IFERROR(VLOOKUP(DATA[[#This Row],[COMBINADA]],#REF!,9,0),0)/COUNTIFS(DATA[COMBINADA],DATA[[#This Row],[COMBINADA]])</f>
        <v>0</v>
      </c>
      <c r="AQ71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647.4955555555556</v>
      </c>
      <c r="AR719" s="26" t="str">
        <f>IFERROR(IF(DATA[[#This Row],[estado_fact]]="FACTURADO",VLOOKUP(DATA[[#This Row],[SERIE2]]&amp;"-"&amp;DATA[[#This Row],[NUMERO]],#REF!,34,0),"NO CORRESPONDE"),"NO CORRESPONDE")</f>
        <v>NO CORRESPONDE</v>
      </c>
      <c r="AS719" s="22" t="str">
        <f>IF(DATA[[#This Row],[fecha_fs]]&gt;0,TEXT(DATA[[#This Row],[fecha_fs]],"Mmmm"),0)</f>
        <v>Mayo</v>
      </c>
      <c r="AT719" s="22" t="str">
        <f>DATA[[#This Row],[SERIE2]]&amp;"-"&amp;DATA[[#This Row],[NUMERO]]</f>
        <v>FF01-98</v>
      </c>
      <c r="AU719" s="28" t="e">
        <f>DATA[[#This Row],[TOTAL]]*DATA[[#This Row],[T.C.]]</f>
        <v>#REF!</v>
      </c>
      <c r="AV719" s="6">
        <f>DATA[[#This Row],[FECHA DE VAL.]]</f>
        <v>45803</v>
      </c>
      <c r="AW719" s="6">
        <f>DATA[[#This Row],[FECHA DE EMISION]]</f>
        <v>45805</v>
      </c>
      <c r="AX719" s="6">
        <f>DATA[[#This Row],[F1]]</f>
        <v>0</v>
      </c>
      <c r="AY719" s="20">
        <f>IF(AV719-DATA[[#This Row],[fecha_fs]]&lt;0,0,AV719-DATA[[#This Row],[fecha_fs]])</f>
        <v>0</v>
      </c>
      <c r="AZ719" s="20">
        <f t="shared" si="76"/>
        <v>2</v>
      </c>
      <c r="BA719" s="20">
        <f t="shared" si="77"/>
        <v>0</v>
      </c>
      <c r="BB719" s="195">
        <f>IFERROR(SUM(DATA[[#This Row],[fs_val_ttf]:[fact_pago_ttf]]),0)</f>
        <v>2</v>
      </c>
      <c r="BC719" s="185" t="s">
        <v>292</v>
      </c>
      <c r="BD719" s="185" t="s">
        <v>292</v>
      </c>
      <c r="BE719" s="185" t="s">
        <v>292</v>
      </c>
      <c r="BF719" s="185" t="s">
        <v>292</v>
      </c>
      <c r="BG719" s="20">
        <f>IFERROR(IF(BC719-DATA[[#This Row],[fecha_fs]]&lt;0,0,BC719-DATA[[#This Row],[fecha_fs]]),0)</f>
        <v>0</v>
      </c>
      <c r="BH719" s="20">
        <f t="shared" si="78"/>
        <v>0</v>
      </c>
      <c r="BI719" s="20">
        <f t="shared" si="79"/>
        <v>0</v>
      </c>
      <c r="BJ719" s="20">
        <f t="shared" si="80"/>
        <v>0</v>
      </c>
      <c r="BK719" s="218">
        <f>IFERROR(SUM(DATA[[#This Row],[fs_fd_ttd]:[fend_fenf_ttd]]),0)</f>
        <v>0</v>
      </c>
      <c r="BL719" s="20" t="str">
        <f>IF(DATA[[#This Row],[fecha_fs]]&gt;0,TEXT(DATA[[#This Row],[fecha_fs]],"YYYY"),0)</f>
        <v>2025</v>
      </c>
      <c r="BM719" s="221" t="b">
        <v>1</v>
      </c>
      <c r="BN719" s="278">
        <f>COUNTIF(DATA[[#This Row],[tiempo_td]], "&lt;=15")</f>
        <v>1</v>
      </c>
      <c r="BO719" s="222"/>
    </row>
    <row r="720" spans="1:67" ht="30.6" customHeight="1" x14ac:dyDescent="0.25">
      <c r="A720" s="4">
        <v>20121393736</v>
      </c>
      <c r="B720" s="5" t="s">
        <v>38</v>
      </c>
      <c r="C720" s="52" t="s">
        <v>254</v>
      </c>
      <c r="D720" s="4" t="s">
        <v>152</v>
      </c>
      <c r="E720" s="5" t="s">
        <v>10</v>
      </c>
      <c r="F720" s="24">
        <v>45803</v>
      </c>
      <c r="G720" s="7" t="s">
        <v>113</v>
      </c>
      <c r="H720" s="25">
        <f t="shared" si="75"/>
        <v>1</v>
      </c>
      <c r="I720" s="67">
        <v>4566</v>
      </c>
      <c r="J720" s="8" t="s">
        <v>115</v>
      </c>
      <c r="K720" s="9" t="s">
        <v>153</v>
      </c>
      <c r="L720" s="10" t="s">
        <v>117</v>
      </c>
      <c r="M720" s="11">
        <v>8</v>
      </c>
      <c r="N720" s="12" t="s">
        <v>125</v>
      </c>
      <c r="O720" s="6"/>
      <c r="P720" s="71" t="s">
        <v>114</v>
      </c>
      <c r="Q720" s="14"/>
      <c r="R720" s="15"/>
      <c r="S720" s="56"/>
      <c r="T720" s="15">
        <f>DATA[[#This Row],[C. DF]]+DATA[[#This Row],[C.OPE.]]</f>
        <v>0</v>
      </c>
      <c r="U720" s="15">
        <f>DATA[[#This Row],[SUB TOTAL]]*0.18</f>
        <v>0</v>
      </c>
      <c r="V720" s="15">
        <f>IFERROR(ROUND(DATA[[#This Row],[SUB TOTAL]]+DATA[[#This Row],[IGV]],2),0)</f>
        <v>0</v>
      </c>
      <c r="W720" s="16" t="str">
        <f>IF(DATA[[#This Row],[VALORIZACIÓN ]]="-","NO CORRESPONDE",IF(OR(A720=20558226979,A720=10470707866,A720=20111157058,A720=20100226902),"NO CORRESPONDE",IF(J720="Emitida",IF(P720&gt;0,"EMITIDA","PENDIENTE"),"NO CORRESPONDE")))</f>
        <v>NO CORRESPONDE</v>
      </c>
      <c r="X720" s="29"/>
      <c r="Y720" s="17" t="s">
        <v>128</v>
      </c>
      <c r="Z720" s="30"/>
      <c r="AA720" s="10"/>
      <c r="AB720" s="19"/>
      <c r="AC720" s="20"/>
      <c r="AD720" s="18">
        <f>DATA[[#This Row],[FECHA DE EMISION]]+DATA[[#This Row],[CONDICION DE PAGO]]</f>
        <v>0</v>
      </c>
      <c r="AE720" s="23">
        <f>IF(DATA[[#This Row],[MONEDA]]="USD",VLOOKUP(DATA[[#This Row],[COMBINADA]],#REF!,11,0),1)</f>
        <v>1</v>
      </c>
      <c r="AF720" s="129" t="str">
        <f>IF(DATA[[#This Row],[SERIE2]]="-","NO CORRESPONDE",IF(W720="NO CORRESPONDE","NO CORRESPONDE",IF(Z720&gt;0,"FACTURADO","PENDIENTE")))</f>
        <v>NO CORRESPONDE</v>
      </c>
      <c r="AG720" s="133">
        <f>IFERROR(VLOOKUP(DATA[[#This Row],[COMBINADA]],#REF!,6,0),0)</f>
        <v>0</v>
      </c>
      <c r="AH720" s="125">
        <f>IFERROR(VLOOKUP(DATA[[#This Row],[COMBINADA]],#REF!,9,0),0)/COUNTIFS(DATA[COMBINADA],DATA[[#This Row],[COMBINADA]])</f>
        <v>0</v>
      </c>
      <c r="AI720" s="136">
        <f>IFERROR(VLOOKUP(DATA[[#This Row],[COMBINADA]],#REF!,6,0),0)</f>
        <v>0</v>
      </c>
      <c r="AJ720" s="132">
        <f>IFERROR(VLOOKUP(DATA[[#This Row],[COMBINADA]],#REF!,9,0),0)/COUNTIFS(DATA[COMBINADA],DATA[[#This Row],[COMBINADA]])</f>
        <v>0</v>
      </c>
      <c r="AK720" s="407">
        <f>IFERROR(VLOOKUP(DATA[[#This Row],[COMBINADA]],#REF!,6,0),0)</f>
        <v>0</v>
      </c>
      <c r="AL720" s="125">
        <f>IFERROR(VLOOKUP(DATA[[#This Row],[COMBINADA]],#REF!,9,0),0)/COUNTIFS(DATA[COMBINADA],DATA[[#This Row],[COMBINADA]])</f>
        <v>0</v>
      </c>
      <c r="AM720" s="27">
        <f>IFERROR(VLOOKUP(DATA[[#This Row],[COMBINADA]],#REF!,6,0),0)</f>
        <v>0</v>
      </c>
      <c r="AN720" s="125">
        <f>IFERROR(VLOOKUP(DATA[[#This Row],[COMBINADA]],#REF!,9,0),0)/COUNTIFS(DATA[COMBINADA],DATA[[#This Row],[COMBINADA]])</f>
        <v>0</v>
      </c>
      <c r="AO720" s="27">
        <f>IFERROR(VLOOKUP(DATA[[#This Row],[COMBINADA]],#REF!,6,0),0)</f>
        <v>0</v>
      </c>
      <c r="AP720" s="132">
        <f>IFERROR(VLOOKUP(DATA[[#This Row],[COMBINADA]],#REF!,9,0),0)/COUNTIFS(DATA[COMBINADA],DATA[[#This Row],[COMBINADA]])</f>
        <v>0</v>
      </c>
      <c r="AQ72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720" s="26" t="str">
        <f>IFERROR(IF(DATA[[#This Row],[estado_fact]]="FACTURADO",VLOOKUP(DATA[[#This Row],[SERIE2]]&amp;"-"&amp;DATA[[#This Row],[NUMERO]],#REF!,34,0),"NO CORRESPONDE"),"NO CORRESPONDE")</f>
        <v>NO CORRESPONDE</v>
      </c>
      <c r="AS720" s="22" t="str">
        <f>IF(DATA[[#This Row],[fecha_fs]]&gt;0,TEXT(DATA[[#This Row],[fecha_fs]],"Mmmm"),0)</f>
        <v>Mayo</v>
      </c>
      <c r="AT720" s="22" t="str">
        <f>DATA[[#This Row],[SERIE2]]&amp;"-"&amp;DATA[[#This Row],[NUMERO]]</f>
        <v>-</v>
      </c>
      <c r="AU720" s="28">
        <f>DATA[[#This Row],[TOTAL]]*DATA[[#This Row],[T.C.]]</f>
        <v>0</v>
      </c>
      <c r="AV720" s="6">
        <f>DATA[[#This Row],[FECHA DE VAL.]]</f>
        <v>0</v>
      </c>
      <c r="AW720" s="6">
        <f>DATA[[#This Row],[FECHA DE EMISION]]</f>
        <v>0</v>
      </c>
      <c r="AX720" s="6">
        <f>DATA[[#This Row],[F1]]</f>
        <v>0</v>
      </c>
      <c r="AY720" s="20">
        <f>IF(AV720-DATA[[#This Row],[fecha_fs]]&lt;0,0,AV720-DATA[[#This Row],[fecha_fs]])</f>
        <v>0</v>
      </c>
      <c r="AZ720" s="20">
        <f t="shared" si="76"/>
        <v>0</v>
      </c>
      <c r="BA720" s="20">
        <f t="shared" si="77"/>
        <v>0</v>
      </c>
      <c r="BB720" s="195">
        <f>IFERROR(SUM(DATA[[#This Row],[fs_val_ttf]:[fact_pago_ttf]]),0)</f>
        <v>0</v>
      </c>
      <c r="BC720" s="185">
        <v>45806</v>
      </c>
      <c r="BD720" s="185">
        <v>45818</v>
      </c>
      <c r="BE720" s="185">
        <v>45856</v>
      </c>
      <c r="BF720" s="185">
        <v>45862</v>
      </c>
      <c r="BG720" s="20">
        <f>IFERROR(IF(BC720-DATA[[#This Row],[fecha_fs]]&lt;0,0,BC720-DATA[[#This Row],[fecha_fs]]),0)</f>
        <v>3</v>
      </c>
      <c r="BH720" s="20">
        <f t="shared" si="78"/>
        <v>12</v>
      </c>
      <c r="BI720" s="20">
        <f t="shared" si="79"/>
        <v>38</v>
      </c>
      <c r="BJ720" s="20">
        <f t="shared" si="80"/>
        <v>6</v>
      </c>
      <c r="BK720" s="218">
        <f>IFERROR(SUM(DATA[[#This Row],[fs_fd_ttd]:[fend_fenf_ttd]]),0)</f>
        <v>59</v>
      </c>
      <c r="BL720" s="20" t="str">
        <f>IF(DATA[[#This Row],[fecha_fs]]&gt;0,TEXT(DATA[[#This Row],[fecha_fs]],"YYYY"),0)</f>
        <v>2025</v>
      </c>
      <c r="BM720" s="221" t="b">
        <v>1</v>
      </c>
      <c r="BN720" s="278">
        <f>COUNTIF(DATA[[#This Row],[tiempo_td]], "&lt;=15")</f>
        <v>0</v>
      </c>
      <c r="BO720" s="222"/>
    </row>
    <row r="721" spans="1:67" ht="30.6" customHeight="1" x14ac:dyDescent="0.25">
      <c r="A721" s="4">
        <v>20141637941</v>
      </c>
      <c r="B721" s="5" t="s">
        <v>79</v>
      </c>
      <c r="C721" s="52" t="s">
        <v>18</v>
      </c>
      <c r="D721" s="4" t="s">
        <v>120</v>
      </c>
      <c r="E721" s="5" t="s">
        <v>3</v>
      </c>
      <c r="F721" s="24">
        <v>45805</v>
      </c>
      <c r="G721" s="7" t="s">
        <v>113</v>
      </c>
      <c r="H721" s="25">
        <f t="shared" si="75"/>
        <v>1</v>
      </c>
      <c r="I721" s="67">
        <v>4567</v>
      </c>
      <c r="J721" s="8" t="s">
        <v>115</v>
      </c>
      <c r="K721" s="9" t="s">
        <v>121</v>
      </c>
      <c r="L721" s="10" t="s">
        <v>117</v>
      </c>
      <c r="M721" s="11">
        <v>1380</v>
      </c>
      <c r="N721" s="12" t="s">
        <v>125</v>
      </c>
      <c r="O721" s="6">
        <v>45807</v>
      </c>
      <c r="P721" s="110">
        <v>3481</v>
      </c>
      <c r="Q721" s="14" t="s">
        <v>85</v>
      </c>
      <c r="R721" s="15">
        <f>70+(DATA[[#This Row],[cantidad_fs]]-1000)*0.1</f>
        <v>108</v>
      </c>
      <c r="S721" s="56">
        <v>517</v>
      </c>
      <c r="T721" s="15">
        <f>DATA[[#This Row],[C. DF]]+DATA[[#This Row],[C.OPE.]]</f>
        <v>625</v>
      </c>
      <c r="U721" s="15">
        <f>DATA[[#This Row],[SUB TOTAL]]*0.18</f>
        <v>112.5</v>
      </c>
      <c r="V721" s="15">
        <f>IFERROR(ROUND(DATA[[#This Row],[SUB TOTAL]]+DATA[[#This Row],[IGV]],2),0)</f>
        <v>737.5</v>
      </c>
      <c r="W721" s="16" t="str">
        <f>IF(DATA[[#This Row],[VALORIZACIÓN ]]="-","NO CORRESPONDE",IF(OR(A721=20558226979,A721=10470707866,A721=20111157058,A721=20100226902),"NO CORRESPONDE",IF(J721="Emitida",IF(P721&gt;0,"EMITIDA","PENDIENTE"),"NO CORRESPONDE")))</f>
        <v>EMITIDA</v>
      </c>
      <c r="X721" s="29"/>
      <c r="Y721" s="17" t="s">
        <v>118</v>
      </c>
      <c r="Z721" s="30">
        <v>45813</v>
      </c>
      <c r="AA721" s="10" t="s">
        <v>150</v>
      </c>
      <c r="AB721" s="19">
        <v>107</v>
      </c>
      <c r="AC721" s="20">
        <v>30</v>
      </c>
      <c r="AD721" s="18">
        <f>DATA[[#This Row],[FECHA DE EMISION]]+DATA[[#This Row],[CONDICION DE PAGO]]</f>
        <v>45843</v>
      </c>
      <c r="AE721" s="23">
        <f>IF(DATA[[#This Row],[MONEDA]]="USD",VLOOKUP(DATA[[#This Row],[COMBINADA]],#REF!,11,0),1)</f>
        <v>1</v>
      </c>
      <c r="AF721" s="129" t="str">
        <f>IF(DATA[[#This Row],[SERIE2]]="-","NO CORRESPONDE",IF(W721="NO CORRESPONDE","NO CORRESPONDE",IF(Z721&gt;0,"FACTURADO","PENDIENTE")))</f>
        <v>FACTURADO</v>
      </c>
      <c r="AG721" s="133">
        <f>IFERROR(VLOOKUP(DATA[[#This Row],[COMBINADA]],#REF!,6,0),0)</f>
        <v>0</v>
      </c>
      <c r="AH721" s="125">
        <f>IFERROR(VLOOKUP(DATA[[#This Row],[COMBINADA]],#REF!,9,0),0)/COUNTIFS(DATA[COMBINADA],DATA[[#This Row],[COMBINADA]])</f>
        <v>0</v>
      </c>
      <c r="AI721" s="136">
        <f>IFERROR(VLOOKUP(DATA[[#This Row],[COMBINADA]],#REF!,6,0),0)</f>
        <v>0</v>
      </c>
      <c r="AJ721" s="132">
        <f>IFERROR(VLOOKUP(DATA[[#This Row],[COMBINADA]],#REF!,9,0),0)/COUNTIFS(DATA[COMBINADA],DATA[[#This Row],[COMBINADA]])</f>
        <v>0</v>
      </c>
      <c r="AK721" s="408">
        <f>IFERROR(VLOOKUP(DATA[[#This Row],[COMBINADA]],#REF!,6,0),0)</f>
        <v>0</v>
      </c>
      <c r="AL721" s="125">
        <f>IFERROR(VLOOKUP(DATA[[#This Row],[COMBINADA]],#REF!,9,0),0)/COUNTIFS(DATA[COMBINADA],DATA[[#This Row],[COMBINADA]])</f>
        <v>0</v>
      </c>
      <c r="AM721" s="133">
        <f>IFERROR(VLOOKUP(DATA[[#This Row],[COMBINADA]],#REF!,6,0),0)</f>
        <v>0</v>
      </c>
      <c r="AN721" s="125">
        <f>IFERROR(VLOOKUP(DATA[[#This Row],[COMBINADA]],#REF!,9,0),0)/COUNTIFS(DATA[COMBINADA],DATA[[#This Row],[COMBINADA]])</f>
        <v>0</v>
      </c>
      <c r="AO721" s="133">
        <f>IFERROR(VLOOKUP(DATA[[#This Row],[COMBINADA]],#REF!,6,0),0)</f>
        <v>0</v>
      </c>
      <c r="AP721" s="132">
        <f>IFERROR(VLOOKUP(DATA[[#This Row],[COMBINADA]],#REF!,9,0),0)/COUNTIFS(DATA[COMBINADA],DATA[[#This Row],[COMBINADA]])</f>
        <v>0</v>
      </c>
      <c r="AQ72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709.57333333333327</v>
      </c>
      <c r="AR721" s="26" t="str">
        <f>IFERROR(IF(DATA[[#This Row],[estado_fact]]="FACTURADO",VLOOKUP(DATA[[#This Row],[SERIE2]]&amp;"-"&amp;DATA[[#This Row],[NUMERO]],#REF!,34,0),"NO CORRESPONDE"),"NO CORRESPONDE")</f>
        <v>NO CORRESPONDE</v>
      </c>
      <c r="AS721" s="22" t="str">
        <f>IF(DATA[[#This Row],[fecha_fs]]&gt;0,TEXT(DATA[[#This Row],[fecha_fs]],"Mmmm"),0)</f>
        <v>Mayo</v>
      </c>
      <c r="AT721" s="22" t="str">
        <f>DATA[[#This Row],[SERIE2]]&amp;"-"&amp;DATA[[#This Row],[NUMERO]]</f>
        <v>FF01-107</v>
      </c>
      <c r="AU721" s="28">
        <f>DATA[[#This Row],[TOTAL]]*DATA[[#This Row],[T.C.]]</f>
        <v>737.5</v>
      </c>
      <c r="AV721" s="6">
        <f>DATA[[#This Row],[FECHA DE VAL.]]</f>
        <v>45807</v>
      </c>
      <c r="AW721" s="6">
        <f>DATA[[#This Row],[FECHA DE EMISION]]</f>
        <v>45813</v>
      </c>
      <c r="AX721" s="6">
        <f>DATA[[#This Row],[F1]]</f>
        <v>0</v>
      </c>
      <c r="AY721" s="20">
        <f>IF(AV721-DATA[[#This Row],[fecha_fs]]&lt;0,0,AV721-DATA[[#This Row],[fecha_fs]])</f>
        <v>2</v>
      </c>
      <c r="AZ721" s="20">
        <f t="shared" si="76"/>
        <v>6</v>
      </c>
      <c r="BA721" s="20">
        <f t="shared" si="77"/>
        <v>0</v>
      </c>
      <c r="BB721" s="195">
        <f>IFERROR(SUM(DATA[[#This Row],[fs_val_ttf]:[fact_pago_ttf]]),0)</f>
        <v>8</v>
      </c>
      <c r="BC721" s="185">
        <v>45805</v>
      </c>
      <c r="BD721" s="185">
        <v>45805</v>
      </c>
      <c r="BE721" s="185">
        <v>45813</v>
      </c>
      <c r="BF721" s="185">
        <v>45813</v>
      </c>
      <c r="BG721" s="20">
        <f>IFERROR(IF(BC721-DATA[[#This Row],[fecha_fs]]&lt;0,0,BC721-DATA[[#This Row],[fecha_fs]]),0)</f>
        <v>0</v>
      </c>
      <c r="BH721" s="20">
        <f t="shared" si="78"/>
        <v>0</v>
      </c>
      <c r="BI721" s="20">
        <f t="shared" si="79"/>
        <v>8</v>
      </c>
      <c r="BJ721" s="20">
        <f t="shared" si="80"/>
        <v>0</v>
      </c>
      <c r="BK721" s="218">
        <f>IFERROR(SUM(DATA[[#This Row],[fs_fd_ttd]:[fend_fenf_ttd]]),0)</f>
        <v>8</v>
      </c>
      <c r="BL721" s="20" t="str">
        <f>IF(DATA[[#This Row],[fecha_fs]]&gt;0,TEXT(DATA[[#This Row],[fecha_fs]],"YYYY"),0)</f>
        <v>2025</v>
      </c>
      <c r="BM721" s="221" t="b">
        <v>1</v>
      </c>
      <c r="BN721" s="278">
        <f>COUNTIF(DATA[[#This Row],[tiempo_td]], "&lt;=15")</f>
        <v>1</v>
      </c>
      <c r="BO721" s="222"/>
    </row>
    <row r="722" spans="1:67" ht="30.6" customHeight="1" x14ac:dyDescent="0.25">
      <c r="A722" s="4">
        <v>20100211115</v>
      </c>
      <c r="B722" s="5" t="s">
        <v>41</v>
      </c>
      <c r="C722" s="52" t="s">
        <v>18</v>
      </c>
      <c r="D722" s="4" t="s">
        <v>120</v>
      </c>
      <c r="E722" s="5" t="s">
        <v>3</v>
      </c>
      <c r="F722" s="24">
        <v>45805</v>
      </c>
      <c r="G722" s="7" t="s">
        <v>113</v>
      </c>
      <c r="H722" s="25">
        <f t="shared" si="75"/>
        <v>1</v>
      </c>
      <c r="I722" s="67">
        <v>4568</v>
      </c>
      <c r="J722" s="8" t="s">
        <v>115</v>
      </c>
      <c r="K722" s="9" t="s">
        <v>121</v>
      </c>
      <c r="L722" s="10" t="s">
        <v>117</v>
      </c>
      <c r="M722" s="11">
        <v>90</v>
      </c>
      <c r="N722" s="112" t="s">
        <v>132</v>
      </c>
      <c r="O722" s="6">
        <v>45834</v>
      </c>
      <c r="P722" s="115">
        <v>3515</v>
      </c>
      <c r="Q722" s="14" t="s">
        <v>85</v>
      </c>
      <c r="R722" s="15"/>
      <c r="S722" s="15">
        <f>(DATA[[#This Row],[cantidad_fs]]*4.17)</f>
        <v>375.3</v>
      </c>
      <c r="T722" s="15">
        <f>DATA[[#This Row],[C. DF]]+DATA[[#This Row],[C.OPE.]]</f>
        <v>375.3</v>
      </c>
      <c r="U722" s="15">
        <f>DATA[[#This Row],[SUB TOTAL]]*0.18</f>
        <v>67.554000000000002</v>
      </c>
      <c r="V722" s="15">
        <f>IFERROR(ROUND(DATA[[#This Row],[SUB TOTAL]]+DATA[[#This Row],[IGV]],2),0)</f>
        <v>442.85</v>
      </c>
      <c r="W722" s="16" t="str">
        <f>IF(DATA[[#This Row],[VALORIZACIÓN ]]="-","NO CORRESPONDE",IF(OR(A722=20558226979,A722=10470707866,A722=20111157058,A722=20100226902),"NO CORRESPONDE",IF(J722="Emitida",IF(P722&gt;0,"EMITIDA","PENDIENTE"),"NO CORRESPONDE")))</f>
        <v>EMITIDA</v>
      </c>
      <c r="X722" s="29" t="s">
        <v>259</v>
      </c>
      <c r="Y722" s="17" t="s">
        <v>118</v>
      </c>
      <c r="Z722" s="30">
        <v>45835</v>
      </c>
      <c r="AA722" s="10" t="s">
        <v>150</v>
      </c>
      <c r="AB722" s="19">
        <v>137</v>
      </c>
      <c r="AC722" s="20">
        <v>30</v>
      </c>
      <c r="AD722" s="18">
        <f>DATA[[#This Row],[FECHA DE EMISION]]+DATA[[#This Row],[CONDICION DE PAGO]]</f>
        <v>45865</v>
      </c>
      <c r="AE722" s="23">
        <f>IF(DATA[[#This Row],[MONEDA]]="USD",VLOOKUP(DATA[[#This Row],[COMBINADA]],#REF!,11,0),1)</f>
        <v>1</v>
      </c>
      <c r="AF722" s="129" t="str">
        <f>IF(DATA[[#This Row],[SERIE2]]="-","NO CORRESPONDE",IF(W722="NO CORRESPONDE","NO CORRESPONDE",IF(Z722&gt;0,"FACTURADO","PENDIENTE")))</f>
        <v>FACTURADO</v>
      </c>
      <c r="AG722" s="133">
        <f>IFERROR(VLOOKUP(DATA[[#This Row],[COMBINADA]],#REF!,6,0),0)</f>
        <v>0</v>
      </c>
      <c r="AH722" s="125">
        <f>IFERROR(VLOOKUP(DATA[[#This Row],[COMBINADA]],#REF!,9,0),0)/COUNTIFS(DATA[COMBINADA],DATA[[#This Row],[COMBINADA]])</f>
        <v>0</v>
      </c>
      <c r="AI722" s="136">
        <f>IFERROR(VLOOKUP(DATA[[#This Row],[COMBINADA]],#REF!,6,0),0)</f>
        <v>0</v>
      </c>
      <c r="AJ722" s="132">
        <f>IFERROR(VLOOKUP(DATA[[#This Row],[COMBINADA]],#REF!,9,0),0)/COUNTIFS(DATA[COMBINADA],DATA[[#This Row],[COMBINADA]])</f>
        <v>0</v>
      </c>
      <c r="AK722" s="407">
        <f>IFERROR(VLOOKUP(DATA[[#This Row],[COMBINADA]],#REF!,6,0),0)</f>
        <v>0</v>
      </c>
      <c r="AL722" s="125">
        <f>IFERROR(VLOOKUP(DATA[[#This Row],[COMBINADA]],#REF!,9,0),0)/COUNTIFS(DATA[COMBINADA],DATA[[#This Row],[COMBINADA]])</f>
        <v>0</v>
      </c>
      <c r="AM722" s="27">
        <f>IFERROR(VLOOKUP(DATA[[#This Row],[COMBINADA]],#REF!,6,0),0)</f>
        <v>0</v>
      </c>
      <c r="AN722" s="125">
        <f>IFERROR(VLOOKUP(DATA[[#This Row],[COMBINADA]],#REF!,9,0),0)/COUNTIFS(DATA[COMBINADA],DATA[[#This Row],[COMBINADA]])</f>
        <v>0</v>
      </c>
      <c r="AO722" s="27">
        <f>IFERROR(VLOOKUP(DATA[[#This Row],[COMBINADA]],#REF!,6,0),0)</f>
        <v>0</v>
      </c>
      <c r="AP722" s="132">
        <f>IFERROR(VLOOKUP(DATA[[#This Row],[COMBINADA]],#REF!,9,0),0)/COUNTIFS(DATA[COMBINADA],DATA[[#This Row],[COMBINADA]])</f>
        <v>0</v>
      </c>
      <c r="AQ72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722" s="26" t="str">
        <f>IFERROR(IF(DATA[[#This Row],[estado_fact]]="FACTURADO",VLOOKUP(DATA[[#This Row],[SERIE2]]&amp;"-"&amp;DATA[[#This Row],[NUMERO]],#REF!,34,0),"NO CORRESPONDE"),"NO CORRESPONDE")</f>
        <v>NO CORRESPONDE</v>
      </c>
      <c r="AS722" s="22" t="str">
        <f>IF(DATA[[#This Row],[fecha_fs]]&gt;0,TEXT(DATA[[#This Row],[fecha_fs]],"Mmmm"),0)</f>
        <v>Mayo</v>
      </c>
      <c r="AT722" s="22" t="str">
        <f>DATA[[#This Row],[SERIE2]]&amp;"-"&amp;DATA[[#This Row],[NUMERO]]</f>
        <v>FF01-137</v>
      </c>
      <c r="AU722" s="28">
        <f>DATA[[#This Row],[TOTAL]]*DATA[[#This Row],[T.C.]]</f>
        <v>442.85</v>
      </c>
      <c r="AV722" s="6">
        <f>DATA[[#This Row],[FECHA DE VAL.]]</f>
        <v>45834</v>
      </c>
      <c r="AW722" s="6">
        <f>DATA[[#This Row],[FECHA DE EMISION]]</f>
        <v>45835</v>
      </c>
      <c r="AX722" s="6">
        <f>DATA[[#This Row],[F1]]</f>
        <v>0</v>
      </c>
      <c r="AY722" s="20">
        <f>IF(AV722-DATA[[#This Row],[fecha_fs]]&lt;0,0,AV722-DATA[[#This Row],[fecha_fs]])</f>
        <v>29</v>
      </c>
      <c r="AZ722" s="20">
        <f t="shared" si="76"/>
        <v>1</v>
      </c>
      <c r="BA722" s="20">
        <f t="shared" si="77"/>
        <v>0</v>
      </c>
      <c r="BB722" s="195">
        <f>IFERROR(SUM(DATA[[#This Row],[fs_val_ttf]:[fact_pago_ttf]]),0)</f>
        <v>30</v>
      </c>
      <c r="BC722" s="185">
        <v>45838</v>
      </c>
      <c r="BD722" s="185">
        <v>45846</v>
      </c>
      <c r="BE722" s="185">
        <v>45848</v>
      </c>
      <c r="BF722" s="185">
        <v>45849</v>
      </c>
      <c r="BG722" s="20">
        <f>IFERROR(IF(BC722-DATA[[#This Row],[fecha_fs]]&lt;0,0,BC722-DATA[[#This Row],[fecha_fs]]),0)</f>
        <v>33</v>
      </c>
      <c r="BH722" s="20">
        <f t="shared" si="78"/>
        <v>8</v>
      </c>
      <c r="BI722" s="20">
        <f t="shared" si="79"/>
        <v>2</v>
      </c>
      <c r="BJ722" s="20">
        <f t="shared" si="80"/>
        <v>1</v>
      </c>
      <c r="BK722" s="218">
        <f>IFERROR(SUM(DATA[[#This Row],[fs_fd_ttd]:[fend_fenf_ttd]]),0)</f>
        <v>44</v>
      </c>
      <c r="BL722" s="20" t="str">
        <f>IF(DATA[[#This Row],[fecha_fs]]&gt;0,TEXT(DATA[[#This Row],[fecha_fs]],"YYYY"),0)</f>
        <v>2025</v>
      </c>
      <c r="BM722" s="221" t="b">
        <v>1</v>
      </c>
      <c r="BN722" s="278">
        <f>COUNTIF(DATA[[#This Row],[tiempo_td]], "&lt;=15")</f>
        <v>0</v>
      </c>
      <c r="BO722" s="222"/>
    </row>
    <row r="723" spans="1:67" ht="30.6" customHeight="1" x14ac:dyDescent="0.25">
      <c r="A723" s="4">
        <v>20141637941</v>
      </c>
      <c r="B723" s="5" t="s">
        <v>79</v>
      </c>
      <c r="C723" s="52" t="s">
        <v>18</v>
      </c>
      <c r="D723" s="4" t="s">
        <v>120</v>
      </c>
      <c r="E723" s="5" t="s">
        <v>3</v>
      </c>
      <c r="F723" s="24">
        <v>45807</v>
      </c>
      <c r="G723" s="7" t="s">
        <v>113</v>
      </c>
      <c r="H723" s="25">
        <f t="shared" si="75"/>
        <v>1</v>
      </c>
      <c r="I723" s="67">
        <v>4569</v>
      </c>
      <c r="J723" s="8" t="s">
        <v>115</v>
      </c>
      <c r="K723" s="9" t="s">
        <v>121</v>
      </c>
      <c r="L723" s="10" t="s">
        <v>117</v>
      </c>
      <c r="M723" s="11">
        <v>840</v>
      </c>
      <c r="N723" s="12" t="s">
        <v>125</v>
      </c>
      <c r="O723" s="6">
        <v>45807</v>
      </c>
      <c r="P723" s="110">
        <v>3481</v>
      </c>
      <c r="Q723" s="14" t="s">
        <v>85</v>
      </c>
      <c r="R723" s="15">
        <f>70</f>
        <v>70</v>
      </c>
      <c r="S723" s="56">
        <v>517</v>
      </c>
      <c r="T723" s="15">
        <f>DATA[[#This Row],[C. DF]]+DATA[[#This Row],[C.OPE.]]</f>
        <v>587</v>
      </c>
      <c r="U723" s="15">
        <f>DATA[[#This Row],[SUB TOTAL]]*0.18</f>
        <v>105.66</v>
      </c>
      <c r="V723" s="15">
        <f>IFERROR(ROUND(DATA[[#This Row],[SUB TOTAL]]+DATA[[#This Row],[IGV]],2),0)</f>
        <v>692.66</v>
      </c>
      <c r="W723" s="16" t="str">
        <f>IF(DATA[[#This Row],[VALORIZACIÓN ]]="-","NO CORRESPONDE",IF(OR(A723=20558226979,A723=10470707866,A723=20111157058,A723=20100226902),"NO CORRESPONDE",IF(J723="Emitida",IF(P723&gt;0,"EMITIDA","PENDIENTE"),"NO CORRESPONDE")))</f>
        <v>EMITIDA</v>
      </c>
      <c r="X723" s="29"/>
      <c r="Y723" s="17" t="s">
        <v>118</v>
      </c>
      <c r="Z723" s="30">
        <v>45813</v>
      </c>
      <c r="AA723" s="10" t="s">
        <v>150</v>
      </c>
      <c r="AB723" s="19">
        <v>107</v>
      </c>
      <c r="AC723" s="20">
        <v>30</v>
      </c>
      <c r="AD723" s="18">
        <f>DATA[[#This Row],[FECHA DE EMISION]]+DATA[[#This Row],[CONDICION DE PAGO]]</f>
        <v>45843</v>
      </c>
      <c r="AE723" s="23">
        <f>IF(DATA[[#This Row],[MONEDA]]="USD",VLOOKUP(DATA[[#This Row],[COMBINADA]],#REF!,11,0),1)</f>
        <v>1</v>
      </c>
      <c r="AF723" s="129" t="str">
        <f>IF(DATA[[#This Row],[SERIE2]]="-","NO CORRESPONDE",IF(W723="NO CORRESPONDE","NO CORRESPONDE",IF(Z723&gt;0,"FACTURADO","PENDIENTE")))</f>
        <v>FACTURADO</v>
      </c>
      <c r="AG723" s="133">
        <f>IFERROR(VLOOKUP(DATA[[#This Row],[COMBINADA]],#REF!,6,0),0)</f>
        <v>0</v>
      </c>
      <c r="AH723" s="125">
        <f>IFERROR(VLOOKUP(DATA[[#This Row],[COMBINADA]],#REF!,9,0),0)/COUNTIFS(DATA[COMBINADA],DATA[[#This Row],[COMBINADA]])</f>
        <v>0</v>
      </c>
      <c r="AI723" s="136">
        <f>IFERROR(VLOOKUP(DATA[[#This Row],[COMBINADA]],#REF!,6,0),0)</f>
        <v>0</v>
      </c>
      <c r="AJ723" s="132">
        <f>IFERROR(VLOOKUP(DATA[[#This Row],[COMBINADA]],#REF!,9,0),0)/COUNTIFS(DATA[COMBINADA],DATA[[#This Row],[COMBINADA]])</f>
        <v>0</v>
      </c>
      <c r="AK723" s="408">
        <f>IFERROR(VLOOKUP(DATA[[#This Row],[COMBINADA]],#REF!,6,0),0)</f>
        <v>0</v>
      </c>
      <c r="AL723" s="125">
        <f>IFERROR(VLOOKUP(DATA[[#This Row],[COMBINADA]],#REF!,9,0),0)/COUNTIFS(DATA[COMBINADA],DATA[[#This Row],[COMBINADA]])</f>
        <v>0</v>
      </c>
      <c r="AM723" s="133">
        <f>IFERROR(VLOOKUP(DATA[[#This Row],[COMBINADA]],#REF!,6,0),0)</f>
        <v>0</v>
      </c>
      <c r="AN723" s="125">
        <f>IFERROR(VLOOKUP(DATA[[#This Row],[COMBINADA]],#REF!,9,0),0)/COUNTIFS(DATA[COMBINADA],DATA[[#This Row],[COMBINADA]])</f>
        <v>0</v>
      </c>
      <c r="AO723" s="133">
        <f>IFERROR(VLOOKUP(DATA[[#This Row],[COMBINADA]],#REF!,6,0),0)</f>
        <v>0</v>
      </c>
      <c r="AP723" s="132">
        <f>IFERROR(VLOOKUP(DATA[[#This Row],[COMBINADA]],#REF!,9,0),0)/COUNTIFS(DATA[COMBINADA],DATA[[#This Row],[COMBINADA]])</f>
        <v>0</v>
      </c>
      <c r="AQ72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709.57333333333327</v>
      </c>
      <c r="AR723" s="26" t="str">
        <f>IFERROR(IF(DATA[[#This Row],[estado_fact]]="FACTURADO",VLOOKUP(DATA[[#This Row],[SERIE2]]&amp;"-"&amp;DATA[[#This Row],[NUMERO]],#REF!,34,0),"NO CORRESPONDE"),"NO CORRESPONDE")</f>
        <v>NO CORRESPONDE</v>
      </c>
      <c r="AS723" s="22" t="str">
        <f>IF(DATA[[#This Row],[fecha_fs]]&gt;0,TEXT(DATA[[#This Row],[fecha_fs]],"Mmmm"),0)</f>
        <v>Mayo</v>
      </c>
      <c r="AT723" s="22" t="str">
        <f>DATA[[#This Row],[SERIE2]]&amp;"-"&amp;DATA[[#This Row],[NUMERO]]</f>
        <v>FF01-107</v>
      </c>
      <c r="AU723" s="28">
        <f>DATA[[#This Row],[TOTAL]]*DATA[[#This Row],[T.C.]]</f>
        <v>692.66</v>
      </c>
      <c r="AV723" s="6">
        <f>DATA[[#This Row],[FECHA DE VAL.]]</f>
        <v>45807</v>
      </c>
      <c r="AW723" s="6">
        <f>DATA[[#This Row],[FECHA DE EMISION]]</f>
        <v>45813</v>
      </c>
      <c r="AX723" s="6">
        <f>DATA[[#This Row],[F1]]</f>
        <v>0</v>
      </c>
      <c r="AY723" s="20">
        <f>IF(AV723-DATA[[#This Row],[fecha_fs]]&lt;0,0,AV723-DATA[[#This Row],[fecha_fs]])</f>
        <v>0</v>
      </c>
      <c r="AZ723" s="20">
        <f t="shared" si="76"/>
        <v>6</v>
      </c>
      <c r="BA723" s="20">
        <f t="shared" si="77"/>
        <v>0</v>
      </c>
      <c r="BB723" s="195">
        <f>IFERROR(SUM(DATA[[#This Row],[fs_val_ttf]:[fact_pago_ttf]]),0)</f>
        <v>6</v>
      </c>
      <c r="BC723" s="185">
        <v>45807</v>
      </c>
      <c r="BD723" s="185">
        <v>45807</v>
      </c>
      <c r="BE723" s="185">
        <v>45813</v>
      </c>
      <c r="BF723" s="185">
        <v>45813</v>
      </c>
      <c r="BG723" s="20">
        <f>IFERROR(IF(BC723-DATA[[#This Row],[fecha_fs]]&lt;0,0,BC723-DATA[[#This Row],[fecha_fs]]),0)</f>
        <v>0</v>
      </c>
      <c r="BH723" s="20">
        <f t="shared" si="78"/>
        <v>0</v>
      </c>
      <c r="BI723" s="20">
        <f t="shared" si="79"/>
        <v>6</v>
      </c>
      <c r="BJ723" s="20">
        <f t="shared" si="80"/>
        <v>0</v>
      </c>
      <c r="BK723" s="218">
        <f>IFERROR(SUM(DATA[[#This Row],[fs_fd_ttd]:[fend_fenf_ttd]]),0)</f>
        <v>6</v>
      </c>
      <c r="BL723" s="20" t="str">
        <f>IF(DATA[[#This Row],[fecha_fs]]&gt;0,TEXT(DATA[[#This Row],[fecha_fs]],"YYYY"),0)</f>
        <v>2025</v>
      </c>
      <c r="BM723" s="221" t="b">
        <v>1</v>
      </c>
      <c r="BN723" s="278">
        <f>COUNTIF(DATA[[#This Row],[tiempo_td]], "&lt;=15")</f>
        <v>1</v>
      </c>
      <c r="BO723" s="222"/>
    </row>
    <row r="724" spans="1:67" ht="30.6" customHeight="1" x14ac:dyDescent="0.25">
      <c r="A724" s="4">
        <v>20100055237</v>
      </c>
      <c r="B724" s="5" t="s">
        <v>21</v>
      </c>
      <c r="C724" s="52" t="s">
        <v>138</v>
      </c>
      <c r="D724" s="4" t="s">
        <v>139</v>
      </c>
      <c r="E724" s="5" t="s">
        <v>23</v>
      </c>
      <c r="F724" s="24">
        <v>45806</v>
      </c>
      <c r="G724" s="7" t="s">
        <v>113</v>
      </c>
      <c r="H724" s="25">
        <f t="shared" si="75"/>
        <v>1</v>
      </c>
      <c r="I724" s="67">
        <v>4570</v>
      </c>
      <c r="J724" s="8" t="s">
        <v>115</v>
      </c>
      <c r="K724" s="9" t="s">
        <v>121</v>
      </c>
      <c r="L724" s="10" t="s">
        <v>117</v>
      </c>
      <c r="M724" s="11">
        <v>180</v>
      </c>
      <c r="N724" s="12" t="s">
        <v>125</v>
      </c>
      <c r="O724" s="6">
        <v>45805</v>
      </c>
      <c r="P724" s="54">
        <v>3477</v>
      </c>
      <c r="Q724" s="14" t="s">
        <v>85</v>
      </c>
      <c r="R724" s="15"/>
      <c r="S724" s="56">
        <v>297.92</v>
      </c>
      <c r="T724" s="15">
        <f>DATA[[#This Row],[C. DF]]+DATA[[#This Row],[C.OPE.]]</f>
        <v>297.92</v>
      </c>
      <c r="U724" s="15">
        <f>DATA[[#This Row],[SUB TOTAL]]*0.18</f>
        <v>53.625599999999999</v>
      </c>
      <c r="V724" s="15">
        <f>IFERROR(ROUND(DATA[[#This Row],[SUB TOTAL]]+DATA[[#This Row],[IGV]],2),0)</f>
        <v>351.55</v>
      </c>
      <c r="W724" s="16" t="str">
        <f>IF(DATA[[#This Row],[VALORIZACIÓN ]]="-","NO CORRESPONDE",IF(OR(A724=20558226979,A724=10470707866,A724=20111157058,A724=20100226902),"NO CORRESPONDE",IF(J724="Emitida",IF(P724&gt;0,"EMITIDA","PENDIENTE"),"NO CORRESPONDE")))</f>
        <v>EMITIDA</v>
      </c>
      <c r="X724" s="29"/>
      <c r="Y724" s="17" t="s">
        <v>118</v>
      </c>
      <c r="Z724" s="30">
        <v>45820</v>
      </c>
      <c r="AA724" s="10" t="s">
        <v>150</v>
      </c>
      <c r="AB724" s="19">
        <v>120</v>
      </c>
      <c r="AC724" s="20">
        <v>30</v>
      </c>
      <c r="AD724" s="18">
        <f>DATA[[#This Row],[FECHA DE EMISION]]+DATA[[#This Row],[CONDICION DE PAGO]]</f>
        <v>45850</v>
      </c>
      <c r="AE724" s="23">
        <f>IF(DATA[[#This Row],[MONEDA]]="USD",VLOOKUP(DATA[[#This Row],[COMBINADA]],#REF!,11,0),1)</f>
        <v>1</v>
      </c>
      <c r="AF724" s="129" t="str">
        <f>IF(DATA[[#This Row],[SERIE2]]="-","NO CORRESPONDE",IF(W724="NO CORRESPONDE","NO CORRESPONDE",IF(Z724&gt;0,"FACTURADO","PENDIENTE")))</f>
        <v>FACTURADO</v>
      </c>
      <c r="AG724" s="133">
        <f>IFERROR(VLOOKUP(DATA[[#This Row],[COMBINADA]],#REF!,6,0),0)</f>
        <v>0</v>
      </c>
      <c r="AH724" s="125">
        <f>IFERROR(VLOOKUP(DATA[[#This Row],[COMBINADA]],#REF!,9,0),0)/COUNTIFS(DATA[COMBINADA],DATA[[#This Row],[COMBINADA]])</f>
        <v>0</v>
      </c>
      <c r="AI724" s="136">
        <f>IFERROR(VLOOKUP(DATA[[#This Row],[COMBINADA]],#REF!,6,0),0)</f>
        <v>0</v>
      </c>
      <c r="AJ724" s="132">
        <f>IFERROR(VLOOKUP(DATA[[#This Row],[COMBINADA]],#REF!,9,0),0)/COUNTIFS(DATA[COMBINADA],DATA[[#This Row],[COMBINADA]])</f>
        <v>0</v>
      </c>
      <c r="AK724" s="407">
        <f>IFERROR(VLOOKUP(DATA[[#This Row],[COMBINADA]],#REF!,6,0),0)</f>
        <v>0</v>
      </c>
      <c r="AL724" s="125">
        <f>IFERROR(VLOOKUP(DATA[[#This Row],[COMBINADA]],#REF!,9,0),0)/COUNTIFS(DATA[COMBINADA],DATA[[#This Row],[COMBINADA]])</f>
        <v>0</v>
      </c>
      <c r="AM724" s="27">
        <f>IFERROR(VLOOKUP(DATA[[#This Row],[COMBINADA]],#REF!,6,0),0)</f>
        <v>0</v>
      </c>
      <c r="AN724" s="125">
        <f>IFERROR(VLOOKUP(DATA[[#This Row],[COMBINADA]],#REF!,9,0),0)/COUNTIFS(DATA[COMBINADA],DATA[[#This Row],[COMBINADA]])</f>
        <v>0</v>
      </c>
      <c r="AO724" s="27">
        <f>IFERROR(VLOOKUP(DATA[[#This Row],[COMBINADA]],#REF!,6,0),0)</f>
        <v>0</v>
      </c>
      <c r="AP724" s="132">
        <f>IFERROR(VLOOKUP(DATA[[#This Row],[COMBINADA]],#REF!,9,0),0)/COUNTIFS(DATA[COMBINADA],DATA[[#This Row],[COMBINADA]])</f>
        <v>0</v>
      </c>
      <c r="AQ72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724" s="26" t="str">
        <f>IFERROR(IF(DATA[[#This Row],[estado_fact]]="FACTURADO",VLOOKUP(DATA[[#This Row],[SERIE2]]&amp;"-"&amp;DATA[[#This Row],[NUMERO]],#REF!,34,0),"NO CORRESPONDE"),"NO CORRESPONDE")</f>
        <v>NO CORRESPONDE</v>
      </c>
      <c r="AS724" s="22" t="str">
        <f>IF(DATA[[#This Row],[fecha_fs]]&gt;0,TEXT(DATA[[#This Row],[fecha_fs]],"Mmmm"),0)</f>
        <v>Mayo</v>
      </c>
      <c r="AT724" s="22" t="str">
        <f>DATA[[#This Row],[SERIE2]]&amp;"-"&amp;DATA[[#This Row],[NUMERO]]</f>
        <v>FF01-120</v>
      </c>
      <c r="AU724" s="28">
        <f>DATA[[#This Row],[TOTAL]]*DATA[[#This Row],[T.C.]]</f>
        <v>351.55</v>
      </c>
      <c r="AV724" s="6">
        <f>DATA[[#This Row],[FECHA DE VAL.]]</f>
        <v>45805</v>
      </c>
      <c r="AW724" s="6">
        <f>DATA[[#This Row],[FECHA DE EMISION]]</f>
        <v>45820</v>
      </c>
      <c r="AX724" s="6">
        <f>DATA[[#This Row],[F1]]</f>
        <v>0</v>
      </c>
      <c r="AY724" s="20">
        <f>IF(AV724-DATA[[#This Row],[fecha_fs]]&lt;0,0,AV724-DATA[[#This Row],[fecha_fs]])</f>
        <v>0</v>
      </c>
      <c r="AZ724" s="20">
        <f t="shared" si="76"/>
        <v>15</v>
      </c>
      <c r="BA724" s="20">
        <f t="shared" si="77"/>
        <v>0</v>
      </c>
      <c r="BB724" s="195">
        <f>IFERROR(SUM(DATA[[#This Row],[fs_val_ttf]:[fact_pago_ttf]]),0)</f>
        <v>15</v>
      </c>
      <c r="BC724" s="185">
        <v>45806</v>
      </c>
      <c r="BD724" s="185">
        <v>45806</v>
      </c>
      <c r="BE724" s="185">
        <v>45813</v>
      </c>
      <c r="BF724" s="185">
        <v>45807</v>
      </c>
      <c r="BG724" s="20">
        <f>IFERROR(IF(BC724-DATA[[#This Row],[fecha_fs]]&lt;0,0,BC724-DATA[[#This Row],[fecha_fs]]),0)</f>
        <v>0</v>
      </c>
      <c r="BH724" s="20">
        <f t="shared" si="78"/>
        <v>0</v>
      </c>
      <c r="BI724" s="20">
        <f t="shared" si="79"/>
        <v>7</v>
      </c>
      <c r="BJ724" s="20">
        <f t="shared" si="80"/>
        <v>0</v>
      </c>
      <c r="BK724" s="218">
        <f>IFERROR(SUM(DATA[[#This Row],[fs_fd_ttd]:[fend_fenf_ttd]]),0)</f>
        <v>7</v>
      </c>
      <c r="BL724" s="20" t="str">
        <f>IF(DATA[[#This Row],[fecha_fs]]&gt;0,TEXT(DATA[[#This Row],[fecha_fs]],"YYYY"),0)</f>
        <v>2025</v>
      </c>
      <c r="BM724" s="221" t="b">
        <v>1</v>
      </c>
      <c r="BN724" s="278">
        <f>COUNTIF(DATA[[#This Row],[tiempo_td]], "&lt;=15")</f>
        <v>1</v>
      </c>
      <c r="BO724" s="222"/>
    </row>
    <row r="725" spans="1:67" ht="30.6" customHeight="1" x14ac:dyDescent="0.25">
      <c r="A725" s="4">
        <v>20100211115</v>
      </c>
      <c r="B725" s="5" t="s">
        <v>41</v>
      </c>
      <c r="C725" s="52" t="s">
        <v>18</v>
      </c>
      <c r="D725" s="4" t="s">
        <v>120</v>
      </c>
      <c r="E725" s="5" t="s">
        <v>3</v>
      </c>
      <c r="F725" s="24">
        <v>45807</v>
      </c>
      <c r="G725" s="7" t="s">
        <v>113</v>
      </c>
      <c r="H725" s="25">
        <f t="shared" si="75"/>
        <v>1</v>
      </c>
      <c r="I725" s="67">
        <v>4571</v>
      </c>
      <c r="J725" s="8" t="s">
        <v>115</v>
      </c>
      <c r="K725" s="9" t="s">
        <v>121</v>
      </c>
      <c r="L725" s="10" t="s">
        <v>117</v>
      </c>
      <c r="M725" s="11">
        <v>90</v>
      </c>
      <c r="N725" s="12" t="s">
        <v>132</v>
      </c>
      <c r="O725" s="6">
        <v>45834</v>
      </c>
      <c r="P725" s="115">
        <v>3515</v>
      </c>
      <c r="Q725" s="14" t="s">
        <v>85</v>
      </c>
      <c r="R725" s="15"/>
      <c r="S725" s="15">
        <f>(DATA[[#This Row],[cantidad_fs]]*4.17)</f>
        <v>375.3</v>
      </c>
      <c r="T725" s="15">
        <f>DATA[[#This Row],[C. DF]]+DATA[[#This Row],[C.OPE.]]</f>
        <v>375.3</v>
      </c>
      <c r="U725" s="15">
        <f>DATA[[#This Row],[SUB TOTAL]]*0.18</f>
        <v>67.554000000000002</v>
      </c>
      <c r="V725" s="15">
        <f>IFERROR(ROUND(DATA[[#This Row],[SUB TOTAL]]+DATA[[#This Row],[IGV]],2),0)</f>
        <v>442.85</v>
      </c>
      <c r="W725" s="16" t="str">
        <f>IF(DATA[[#This Row],[VALORIZACIÓN ]]="-","NO CORRESPONDE",IF(OR(A725=20558226979,A725=10470707866,A725=20111157058,A725=20100226902),"NO CORRESPONDE",IF(J725="Emitida",IF(P725&gt;0,"EMITIDA","PENDIENTE"),"NO CORRESPONDE")))</f>
        <v>EMITIDA</v>
      </c>
      <c r="X725" s="29"/>
      <c r="Y725" s="17" t="s">
        <v>118</v>
      </c>
      <c r="Z725" s="30">
        <v>45835</v>
      </c>
      <c r="AA725" s="10" t="s">
        <v>150</v>
      </c>
      <c r="AB725" s="19">
        <v>137</v>
      </c>
      <c r="AC725" s="20">
        <v>30</v>
      </c>
      <c r="AD725" s="18">
        <f>DATA[[#This Row],[FECHA DE EMISION]]+DATA[[#This Row],[CONDICION DE PAGO]]</f>
        <v>45865</v>
      </c>
      <c r="AE725" s="23">
        <f>IF(DATA[[#This Row],[MONEDA]]="USD",VLOOKUP(DATA[[#This Row],[COMBINADA]],#REF!,11,0),1)</f>
        <v>1</v>
      </c>
      <c r="AF725" s="129" t="str">
        <f>IF(DATA[[#This Row],[SERIE2]]="-","NO CORRESPONDE",IF(W725="NO CORRESPONDE","NO CORRESPONDE",IF(Z725&gt;0,"FACTURADO","PENDIENTE")))</f>
        <v>FACTURADO</v>
      </c>
      <c r="AG725" s="133">
        <f>IFERROR(VLOOKUP(DATA[[#This Row],[COMBINADA]],#REF!,6,0),0)</f>
        <v>0</v>
      </c>
      <c r="AH725" s="125">
        <f>IFERROR(VLOOKUP(DATA[[#This Row],[COMBINADA]],#REF!,9,0),0)/COUNTIFS(DATA[COMBINADA],DATA[[#This Row],[COMBINADA]])</f>
        <v>0</v>
      </c>
      <c r="AI725" s="136">
        <f>IFERROR(VLOOKUP(DATA[[#This Row],[COMBINADA]],#REF!,6,0),0)</f>
        <v>0</v>
      </c>
      <c r="AJ725" s="132">
        <f>IFERROR(VLOOKUP(DATA[[#This Row],[COMBINADA]],#REF!,9,0),0)/COUNTIFS(DATA[COMBINADA],DATA[[#This Row],[COMBINADA]])</f>
        <v>0</v>
      </c>
      <c r="AK725" s="407">
        <f>IFERROR(VLOOKUP(DATA[[#This Row],[COMBINADA]],#REF!,6,0),0)</f>
        <v>0</v>
      </c>
      <c r="AL725" s="125">
        <f>IFERROR(VLOOKUP(DATA[[#This Row],[COMBINADA]],#REF!,9,0),0)/COUNTIFS(DATA[COMBINADA],DATA[[#This Row],[COMBINADA]])</f>
        <v>0</v>
      </c>
      <c r="AM725" s="27">
        <f>IFERROR(VLOOKUP(DATA[[#This Row],[COMBINADA]],#REF!,6,0),0)</f>
        <v>0</v>
      </c>
      <c r="AN725" s="125">
        <f>IFERROR(VLOOKUP(DATA[[#This Row],[COMBINADA]],#REF!,9,0),0)/COUNTIFS(DATA[COMBINADA],DATA[[#This Row],[COMBINADA]])</f>
        <v>0</v>
      </c>
      <c r="AO725" s="27">
        <f>IFERROR(VLOOKUP(DATA[[#This Row],[COMBINADA]],#REF!,6,0),0)</f>
        <v>0</v>
      </c>
      <c r="AP725" s="132">
        <f>IFERROR(VLOOKUP(DATA[[#This Row],[COMBINADA]],#REF!,9,0),0)/COUNTIFS(DATA[COMBINADA],DATA[[#This Row],[COMBINADA]])</f>
        <v>0</v>
      </c>
      <c r="AQ72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725" s="26" t="str">
        <f>IFERROR(IF(DATA[[#This Row],[estado_fact]]="FACTURADO",VLOOKUP(DATA[[#This Row],[SERIE2]]&amp;"-"&amp;DATA[[#This Row],[NUMERO]],#REF!,34,0),"NO CORRESPONDE"),"NO CORRESPONDE")</f>
        <v>NO CORRESPONDE</v>
      </c>
      <c r="AS725" s="22" t="str">
        <f>IF(DATA[[#This Row],[fecha_fs]]&gt;0,TEXT(DATA[[#This Row],[fecha_fs]],"Mmmm"),0)</f>
        <v>Mayo</v>
      </c>
      <c r="AT725" s="22" t="str">
        <f>DATA[[#This Row],[SERIE2]]&amp;"-"&amp;DATA[[#This Row],[NUMERO]]</f>
        <v>FF01-137</v>
      </c>
      <c r="AU725" s="28">
        <f>DATA[[#This Row],[TOTAL]]*DATA[[#This Row],[T.C.]]</f>
        <v>442.85</v>
      </c>
      <c r="AV725" s="6">
        <f>DATA[[#This Row],[FECHA DE VAL.]]</f>
        <v>45834</v>
      </c>
      <c r="AW725" s="6">
        <f>DATA[[#This Row],[FECHA DE EMISION]]</f>
        <v>45835</v>
      </c>
      <c r="AX725" s="6">
        <f>DATA[[#This Row],[F1]]</f>
        <v>0</v>
      </c>
      <c r="AY725" s="20">
        <f>IF(AV725-DATA[[#This Row],[fecha_fs]]&lt;0,0,AV725-DATA[[#This Row],[fecha_fs]])</f>
        <v>27</v>
      </c>
      <c r="AZ725" s="20">
        <f t="shared" si="76"/>
        <v>1</v>
      </c>
      <c r="BA725" s="20">
        <f t="shared" si="77"/>
        <v>0</v>
      </c>
      <c r="BB725" s="195">
        <f>IFERROR(SUM(DATA[[#This Row],[fs_val_ttf]:[fact_pago_ttf]]),0)</f>
        <v>28</v>
      </c>
      <c r="BC725" s="185">
        <v>45838</v>
      </c>
      <c r="BD725" s="185">
        <v>45846</v>
      </c>
      <c r="BE725" s="185">
        <v>45848</v>
      </c>
      <c r="BF725" s="185">
        <v>45849</v>
      </c>
      <c r="BG725" s="20">
        <f>IFERROR(IF(BC725-DATA[[#This Row],[fecha_fs]]&lt;0,0,BC725-DATA[[#This Row],[fecha_fs]]),0)</f>
        <v>31</v>
      </c>
      <c r="BH725" s="20">
        <f t="shared" si="78"/>
        <v>8</v>
      </c>
      <c r="BI725" s="20">
        <f t="shared" si="79"/>
        <v>2</v>
      </c>
      <c r="BJ725" s="20">
        <f t="shared" si="80"/>
        <v>1</v>
      </c>
      <c r="BK725" s="218">
        <f>IFERROR(SUM(DATA[[#This Row],[fs_fd_ttd]:[fend_fenf_ttd]]),0)</f>
        <v>42</v>
      </c>
      <c r="BL725" s="20" t="str">
        <f>IF(DATA[[#This Row],[fecha_fs]]&gt;0,TEXT(DATA[[#This Row],[fecha_fs]],"YYYY"),0)</f>
        <v>2025</v>
      </c>
      <c r="BM725" s="221" t="b">
        <v>1</v>
      </c>
      <c r="BN725" s="278">
        <f>COUNTIF(DATA[[#This Row],[tiempo_td]], "&lt;=15")</f>
        <v>0</v>
      </c>
      <c r="BO725" s="222"/>
    </row>
    <row r="726" spans="1:67" ht="30.6" customHeight="1" x14ac:dyDescent="0.25">
      <c r="A726" s="4">
        <v>20100211115</v>
      </c>
      <c r="B726" s="5" t="s">
        <v>41</v>
      </c>
      <c r="C726" s="52" t="s">
        <v>18</v>
      </c>
      <c r="D726" s="4" t="s">
        <v>112</v>
      </c>
      <c r="E726" s="5" t="s">
        <v>1</v>
      </c>
      <c r="F726" s="24">
        <v>45807</v>
      </c>
      <c r="G726" s="7" t="s">
        <v>113</v>
      </c>
      <c r="H726" s="25">
        <f t="shared" si="75"/>
        <v>1</v>
      </c>
      <c r="I726" s="67">
        <v>4572</v>
      </c>
      <c r="J726" s="8" t="s">
        <v>115</v>
      </c>
      <c r="K726" s="9" t="s">
        <v>116</v>
      </c>
      <c r="L726" s="10" t="s">
        <v>117</v>
      </c>
      <c r="M726" s="11">
        <v>12</v>
      </c>
      <c r="N726" s="12" t="s">
        <v>132</v>
      </c>
      <c r="O726" s="6">
        <v>45834</v>
      </c>
      <c r="P726" s="115">
        <v>3517</v>
      </c>
      <c r="Q726" s="14" t="s">
        <v>85</v>
      </c>
      <c r="R726" s="15"/>
      <c r="S726" s="15">
        <f>(DATA[[#This Row],[cantidad_fs]]*4.57)</f>
        <v>54.84</v>
      </c>
      <c r="T726" s="15">
        <f>DATA[[#This Row],[C. DF]]+DATA[[#This Row],[C.OPE.]]</f>
        <v>54.84</v>
      </c>
      <c r="U726" s="15">
        <f>DATA[[#This Row],[SUB TOTAL]]*0.18</f>
        <v>9.8712</v>
      </c>
      <c r="V726" s="15">
        <f>IFERROR(ROUND(DATA[[#This Row],[SUB TOTAL]]+DATA[[#This Row],[IGV]],2),0)</f>
        <v>64.709999999999994</v>
      </c>
      <c r="W726" s="16" t="str">
        <f>IF(DATA[[#This Row],[VALORIZACIÓN ]]="-","NO CORRESPONDE",IF(OR(A726=20558226979,A726=10470707866,A726=20111157058,A726=20100226902),"NO CORRESPONDE",IF(J726="Emitida",IF(P726&gt;0,"EMITIDA","PENDIENTE"),"NO CORRESPONDE")))</f>
        <v>EMITIDA</v>
      </c>
      <c r="X726" s="29"/>
      <c r="Y726" s="17" t="s">
        <v>118</v>
      </c>
      <c r="Z726" s="30">
        <v>45835</v>
      </c>
      <c r="AA726" s="10" t="s">
        <v>150</v>
      </c>
      <c r="AB726" s="19">
        <v>139</v>
      </c>
      <c r="AC726" s="20">
        <v>30</v>
      </c>
      <c r="AD726" s="18">
        <f>DATA[[#This Row],[FECHA DE EMISION]]+DATA[[#This Row],[CONDICION DE PAGO]]</f>
        <v>45865</v>
      </c>
      <c r="AE726" s="23">
        <f>IF(DATA[[#This Row],[MONEDA]]="USD",VLOOKUP(DATA[[#This Row],[COMBINADA]],#REF!,11,0),1)</f>
        <v>1</v>
      </c>
      <c r="AF726" s="129" t="str">
        <f>IF(DATA[[#This Row],[SERIE2]]="-","NO CORRESPONDE",IF(W726="NO CORRESPONDE","NO CORRESPONDE",IF(Z726&gt;0,"FACTURADO","PENDIENTE")))</f>
        <v>FACTURADO</v>
      </c>
      <c r="AG726" s="133">
        <f>IFERROR(VLOOKUP(DATA[[#This Row],[COMBINADA]],#REF!,6,0),0)</f>
        <v>0</v>
      </c>
      <c r="AH726" s="125">
        <f>IFERROR(VLOOKUP(DATA[[#This Row],[COMBINADA]],#REF!,9,0),0)/COUNTIFS(DATA[COMBINADA],DATA[[#This Row],[COMBINADA]])</f>
        <v>0</v>
      </c>
      <c r="AI726" s="136">
        <f>IFERROR(VLOOKUP(DATA[[#This Row],[COMBINADA]],#REF!,6,0),0)</f>
        <v>0</v>
      </c>
      <c r="AJ726" s="132">
        <f>IFERROR(VLOOKUP(DATA[[#This Row],[COMBINADA]],#REF!,9,0),0)/COUNTIFS(DATA[COMBINADA],DATA[[#This Row],[COMBINADA]])</f>
        <v>0</v>
      </c>
      <c r="AK726" s="407">
        <f>IFERROR(VLOOKUP(DATA[[#This Row],[COMBINADA]],#REF!,6,0),0)</f>
        <v>0</v>
      </c>
      <c r="AL726" s="125">
        <f>IFERROR(VLOOKUP(DATA[[#This Row],[COMBINADA]],#REF!,9,0),0)/COUNTIFS(DATA[COMBINADA],DATA[[#This Row],[COMBINADA]])</f>
        <v>0</v>
      </c>
      <c r="AM726" s="27">
        <f>IFERROR(VLOOKUP(DATA[[#This Row],[COMBINADA]],#REF!,6,0),0)</f>
        <v>0</v>
      </c>
      <c r="AN726" s="125">
        <f>IFERROR(VLOOKUP(DATA[[#This Row],[COMBINADA]],#REF!,9,0),0)/COUNTIFS(DATA[COMBINADA],DATA[[#This Row],[COMBINADA]])</f>
        <v>0</v>
      </c>
      <c r="AO726" s="27">
        <f>IFERROR(VLOOKUP(DATA[[#This Row],[COMBINADA]],#REF!,6,0),0)</f>
        <v>0</v>
      </c>
      <c r="AP726" s="132">
        <f>IFERROR(VLOOKUP(DATA[[#This Row],[COMBINADA]],#REF!,9,0),0)/COUNTIFS(DATA[COMBINADA],DATA[[#This Row],[COMBINADA]])</f>
        <v>0</v>
      </c>
      <c r="AQ72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78.19250000000001</v>
      </c>
      <c r="AR726" s="26" t="str">
        <f>IFERROR(IF(DATA[[#This Row],[estado_fact]]="FACTURADO",VLOOKUP(DATA[[#This Row],[SERIE2]]&amp;"-"&amp;DATA[[#This Row],[NUMERO]],#REF!,34,0),"NO CORRESPONDE"),"NO CORRESPONDE")</f>
        <v>NO CORRESPONDE</v>
      </c>
      <c r="AS726" s="22" t="str">
        <f>IF(DATA[[#This Row],[fecha_fs]]&gt;0,TEXT(DATA[[#This Row],[fecha_fs]],"Mmmm"),0)</f>
        <v>Mayo</v>
      </c>
      <c r="AT726" s="22" t="str">
        <f>DATA[[#This Row],[SERIE2]]&amp;"-"&amp;DATA[[#This Row],[NUMERO]]</f>
        <v>FF01-139</v>
      </c>
      <c r="AU726" s="28">
        <f>DATA[[#This Row],[TOTAL]]*DATA[[#This Row],[T.C.]]</f>
        <v>64.709999999999994</v>
      </c>
      <c r="AV726" s="6">
        <f>DATA[[#This Row],[FECHA DE VAL.]]</f>
        <v>45834</v>
      </c>
      <c r="AW726" s="6">
        <f>DATA[[#This Row],[FECHA DE EMISION]]</f>
        <v>45835</v>
      </c>
      <c r="AX726" s="6">
        <f>DATA[[#This Row],[F1]]</f>
        <v>0</v>
      </c>
      <c r="AY726" s="20">
        <f>IF(AV726-DATA[[#This Row],[fecha_fs]]&lt;0,0,AV726-DATA[[#This Row],[fecha_fs]])</f>
        <v>27</v>
      </c>
      <c r="AZ726" s="20">
        <f t="shared" si="76"/>
        <v>1</v>
      </c>
      <c r="BA726" s="20">
        <f t="shared" si="77"/>
        <v>0</v>
      </c>
      <c r="BB726" s="195">
        <f>IFERROR(SUM(DATA[[#This Row],[fs_val_ttf]:[fact_pago_ttf]]),0)</f>
        <v>28</v>
      </c>
      <c r="BC726" s="185">
        <v>45842</v>
      </c>
      <c r="BD726" s="185">
        <v>45846</v>
      </c>
      <c r="BE726" s="185">
        <v>45848</v>
      </c>
      <c r="BF726" s="185">
        <v>45849</v>
      </c>
      <c r="BG726" s="20">
        <f>IFERROR(IF(BC726-DATA[[#This Row],[fecha_fs]]&lt;0,0,BC726-DATA[[#This Row],[fecha_fs]]),0)</f>
        <v>35</v>
      </c>
      <c r="BH726" s="20">
        <f t="shared" si="78"/>
        <v>4</v>
      </c>
      <c r="BI726" s="20">
        <f t="shared" si="79"/>
        <v>2</v>
      </c>
      <c r="BJ726" s="20">
        <f t="shared" si="80"/>
        <v>1</v>
      </c>
      <c r="BK726" s="218">
        <f>IFERROR(SUM(DATA[[#This Row],[fs_fd_ttd]:[fend_fenf_ttd]]),0)</f>
        <v>42</v>
      </c>
      <c r="BL726" s="20" t="str">
        <f>IF(DATA[[#This Row],[fecha_fs]]&gt;0,TEXT(DATA[[#This Row],[fecha_fs]],"YYYY"),0)</f>
        <v>2025</v>
      </c>
      <c r="BM726" s="221" t="b">
        <v>1</v>
      </c>
      <c r="BN726" s="278">
        <f>COUNTIF(DATA[[#This Row],[tiempo_td]], "&lt;=15")</f>
        <v>0</v>
      </c>
      <c r="BO726" s="222"/>
    </row>
    <row r="727" spans="1:67" ht="30.6" customHeight="1" x14ac:dyDescent="0.25">
      <c r="A727" s="4">
        <v>20553956324</v>
      </c>
      <c r="B727" s="5" t="s">
        <v>281</v>
      </c>
      <c r="C727" s="52" t="s">
        <v>175</v>
      </c>
      <c r="D727" s="4" t="s">
        <v>120</v>
      </c>
      <c r="E727" s="5" t="s">
        <v>3</v>
      </c>
      <c r="F727" s="24">
        <v>45807</v>
      </c>
      <c r="G727" s="7" t="s">
        <v>113</v>
      </c>
      <c r="H727" s="25">
        <f t="shared" si="75"/>
        <v>1</v>
      </c>
      <c r="I727" s="67">
        <v>4573</v>
      </c>
      <c r="J727" s="8" t="s">
        <v>115</v>
      </c>
      <c r="K727" s="9" t="s">
        <v>121</v>
      </c>
      <c r="L727" s="10" t="s">
        <v>117</v>
      </c>
      <c r="M727" s="11">
        <v>80</v>
      </c>
      <c r="N727" s="12" t="s">
        <v>132</v>
      </c>
      <c r="O727" s="6">
        <v>45803</v>
      </c>
      <c r="P727" s="109">
        <v>3458</v>
      </c>
      <c r="Q727" s="14" t="s">
        <v>85</v>
      </c>
      <c r="R727" s="15">
        <f>DATA[[#This Row],[cantidad_fs]]*0.08</f>
        <v>6.4</v>
      </c>
      <c r="S727" s="56">
        <v>395.1</v>
      </c>
      <c r="T727" s="15">
        <f>DATA[[#This Row],[C. DF]]+DATA[[#This Row],[C.OPE.]]</f>
        <v>401.5</v>
      </c>
      <c r="U727" s="15">
        <f>DATA[[#This Row],[SUB TOTAL]]*0.18</f>
        <v>72.27</v>
      </c>
      <c r="V727" s="15">
        <f>IFERROR(ROUND(DATA[[#This Row],[SUB TOTAL]]+DATA[[#This Row],[IGV]],2),0)</f>
        <v>473.77</v>
      </c>
      <c r="W727" s="16" t="str">
        <f>IF(DATA[[#This Row],[VALORIZACIÓN ]]="-","NO CORRESPONDE",IF(OR(A727=20558226979,A727=10470707866,A727=20111157058,A727=20100226902),"NO CORRESPONDE",IF(J727="Emitida",IF(P727&gt;0,"EMITIDA","PENDIENTE"),"NO CORRESPONDE")))</f>
        <v>EMITIDA</v>
      </c>
      <c r="X727" s="29"/>
      <c r="Y727" s="17" t="s">
        <v>118</v>
      </c>
      <c r="Z727" s="30">
        <v>45845</v>
      </c>
      <c r="AA727" s="10" t="s">
        <v>150</v>
      </c>
      <c r="AB727" s="19">
        <v>143</v>
      </c>
      <c r="AC727" s="20">
        <v>0</v>
      </c>
      <c r="AD727" s="18">
        <f>DATA[[#This Row],[FECHA DE EMISION]]+DATA[[#This Row],[CONDICION DE PAGO]]</f>
        <v>45845</v>
      </c>
      <c r="AE727" s="23">
        <f>IF(DATA[[#This Row],[MONEDA]]="USD",VLOOKUP(DATA[[#This Row],[COMBINADA]],#REF!,11,0),1)</f>
        <v>1</v>
      </c>
      <c r="AF727" s="129" t="str">
        <f>IF(DATA[[#This Row],[SERIE2]]="-","NO CORRESPONDE",IF(W727="NO CORRESPONDE","NO CORRESPONDE",IF(Z727&gt;0,"FACTURADO","PENDIENTE")))</f>
        <v>FACTURADO</v>
      </c>
      <c r="AG727" s="133">
        <f>IFERROR(VLOOKUP(DATA[[#This Row],[COMBINADA]],#REF!,6,0),0)</f>
        <v>0</v>
      </c>
      <c r="AH727" s="125">
        <f>IFERROR(VLOOKUP(DATA[[#This Row],[COMBINADA]],#REF!,9,0),0)/COUNTIFS(DATA[COMBINADA],DATA[[#This Row],[COMBINADA]])</f>
        <v>0</v>
      </c>
      <c r="AI727" s="136">
        <f>IFERROR(VLOOKUP(DATA[[#This Row],[COMBINADA]],#REF!,6,0),0)</f>
        <v>0</v>
      </c>
      <c r="AJ727" s="132">
        <f>IFERROR(VLOOKUP(DATA[[#This Row],[COMBINADA]],#REF!,9,0),0)/COUNTIFS(DATA[COMBINADA],DATA[[#This Row],[COMBINADA]])</f>
        <v>0</v>
      </c>
      <c r="AK727" s="407">
        <f>IFERROR(VLOOKUP(DATA[[#This Row],[COMBINADA]],#REF!,6,0),0)</f>
        <v>0</v>
      </c>
      <c r="AL727" s="125">
        <f>IFERROR(VLOOKUP(DATA[[#This Row],[COMBINADA]],#REF!,9,0),0)/COUNTIFS(DATA[COMBINADA],DATA[[#This Row],[COMBINADA]])</f>
        <v>0</v>
      </c>
      <c r="AM727" s="27">
        <f>IFERROR(VLOOKUP(DATA[[#This Row],[COMBINADA]],#REF!,6,0),0)</f>
        <v>0</v>
      </c>
      <c r="AN727" s="125">
        <f>IFERROR(VLOOKUP(DATA[[#This Row],[COMBINADA]],#REF!,9,0),0)/COUNTIFS(DATA[COMBINADA],DATA[[#This Row],[COMBINADA]])</f>
        <v>0</v>
      </c>
      <c r="AO727" s="27">
        <f>IFERROR(VLOOKUP(DATA[[#This Row],[COMBINADA]],#REF!,6,0),0)</f>
        <v>0</v>
      </c>
      <c r="AP727" s="132">
        <f>IFERROR(VLOOKUP(DATA[[#This Row],[COMBINADA]],#REF!,9,0),0)/COUNTIFS(DATA[COMBINADA],DATA[[#This Row],[COMBINADA]])</f>
        <v>0</v>
      </c>
      <c r="AQ72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481.06363636363642</v>
      </c>
      <c r="AR727" s="26" t="str">
        <f>IFERROR(IF(DATA[[#This Row],[estado_fact]]="FACTURADO",VLOOKUP(DATA[[#This Row],[SERIE2]]&amp;"-"&amp;DATA[[#This Row],[NUMERO]],#REF!,34,0),"NO CORRESPONDE"),"NO CORRESPONDE")</f>
        <v>NO CORRESPONDE</v>
      </c>
      <c r="AS727" s="22" t="str">
        <f>IF(DATA[[#This Row],[fecha_fs]]&gt;0,TEXT(DATA[[#This Row],[fecha_fs]],"Mmmm"),0)</f>
        <v>Mayo</v>
      </c>
      <c r="AT727" s="22" t="str">
        <f>DATA[[#This Row],[SERIE2]]&amp;"-"&amp;DATA[[#This Row],[NUMERO]]</f>
        <v>FF01-143</v>
      </c>
      <c r="AU727" s="28">
        <f>DATA[[#This Row],[TOTAL]]*DATA[[#This Row],[T.C.]]</f>
        <v>473.77</v>
      </c>
      <c r="AV727" s="6">
        <f>DATA[[#This Row],[FECHA DE VAL.]]</f>
        <v>45803</v>
      </c>
      <c r="AW727" s="6">
        <f>DATA[[#This Row],[FECHA DE EMISION]]</f>
        <v>45845</v>
      </c>
      <c r="AX727" s="6">
        <f>DATA[[#This Row],[F1]]</f>
        <v>0</v>
      </c>
      <c r="AY727" s="20">
        <f>IF(AV727-DATA[[#This Row],[fecha_fs]]&lt;0,0,AV727-DATA[[#This Row],[fecha_fs]])</f>
        <v>0</v>
      </c>
      <c r="AZ727" s="20">
        <f t="shared" si="76"/>
        <v>42</v>
      </c>
      <c r="BA727" s="20">
        <f t="shared" si="77"/>
        <v>0</v>
      </c>
      <c r="BB727" s="195">
        <f>IFERROR(SUM(DATA[[#This Row],[fs_val_ttf]:[fact_pago_ttf]]),0)</f>
        <v>42</v>
      </c>
      <c r="BC727" s="185">
        <v>45835</v>
      </c>
      <c r="BD727" s="185">
        <v>45840</v>
      </c>
      <c r="BE727" s="185">
        <v>45853</v>
      </c>
      <c r="BF727" s="185">
        <v>45862</v>
      </c>
      <c r="BG727" s="20">
        <f>IFERROR(IF(BC727-DATA[[#This Row],[fecha_fs]]&lt;0,0,BC727-DATA[[#This Row],[fecha_fs]]),0)</f>
        <v>28</v>
      </c>
      <c r="BH727" s="20">
        <f t="shared" si="78"/>
        <v>5</v>
      </c>
      <c r="BI727" s="20">
        <f t="shared" si="79"/>
        <v>13</v>
      </c>
      <c r="BJ727" s="20">
        <f t="shared" si="80"/>
        <v>9</v>
      </c>
      <c r="BK727" s="218">
        <f>IFERROR(SUM(DATA[[#This Row],[fs_fd_ttd]:[fend_fenf_ttd]]),0)</f>
        <v>55</v>
      </c>
      <c r="BL727" s="20" t="str">
        <f>IF(DATA[[#This Row],[fecha_fs]]&gt;0,TEXT(DATA[[#This Row],[fecha_fs]],"YYYY"),0)</f>
        <v>2025</v>
      </c>
      <c r="BM727" s="221" t="b">
        <v>0</v>
      </c>
      <c r="BN727" s="278">
        <f>COUNTIF(DATA[[#This Row],[tiempo_td]], "&lt;=15")</f>
        <v>0</v>
      </c>
      <c r="BO727" s="222"/>
    </row>
    <row r="728" spans="1:67" ht="30.6" customHeight="1" x14ac:dyDescent="0.25">
      <c r="A728" s="4">
        <v>20100192064</v>
      </c>
      <c r="B728" s="5" t="s">
        <v>60</v>
      </c>
      <c r="C728" s="52" t="s">
        <v>64</v>
      </c>
      <c r="D728" s="4" t="s">
        <v>112</v>
      </c>
      <c r="E728" s="5" t="s">
        <v>1</v>
      </c>
      <c r="F728" s="24">
        <v>45807</v>
      </c>
      <c r="G728" s="7" t="s">
        <v>113</v>
      </c>
      <c r="H728" s="25">
        <f t="shared" si="75"/>
        <v>1</v>
      </c>
      <c r="I728" s="67">
        <v>4574</v>
      </c>
      <c r="J728" s="8" t="s">
        <v>115</v>
      </c>
      <c r="K728" s="9" t="s">
        <v>116</v>
      </c>
      <c r="L728" s="10" t="s">
        <v>117</v>
      </c>
      <c r="M728" s="11">
        <v>10450</v>
      </c>
      <c r="N728" s="12" t="s">
        <v>164</v>
      </c>
      <c r="O728" s="6">
        <v>45807</v>
      </c>
      <c r="P728" s="13">
        <v>3482</v>
      </c>
      <c r="Q728" s="14" t="s">
        <v>85</v>
      </c>
      <c r="R728" s="15">
        <f>DATA[[#This Row],[cantidad_fs]]*0.57</f>
        <v>5956.4999999999991</v>
      </c>
      <c r="S728" s="56">
        <v>8999.2999999999993</v>
      </c>
      <c r="T728" s="15">
        <f>DATA[[#This Row],[C. DF]]+DATA[[#This Row],[C.OPE.]]</f>
        <v>14955.8</v>
      </c>
      <c r="U728" s="15">
        <f>DATA[[#This Row],[SUB TOTAL]]*0.18</f>
        <v>2692.0439999999999</v>
      </c>
      <c r="V728" s="15">
        <f>IFERROR(ROUND(DATA[[#This Row],[SUB TOTAL]]+DATA[[#This Row],[IGV]],2),0)</f>
        <v>17647.84</v>
      </c>
      <c r="W728" s="16" t="str">
        <f>IF(DATA[[#This Row],[VALORIZACIÓN ]]="-","NO CORRESPONDE",IF(OR(A728=20558226979,A728=10470707866,A728=20111157058,A728=20100226902),"NO CORRESPONDE",IF(J728="Emitida",IF(P728&gt;0,"EMITIDA","PENDIENTE"),"NO CORRESPONDE")))</f>
        <v>EMITIDA</v>
      </c>
      <c r="X728" s="29" t="s">
        <v>260</v>
      </c>
      <c r="Y728" s="17" t="s">
        <v>118</v>
      </c>
      <c r="Z728" s="30">
        <v>45821</v>
      </c>
      <c r="AA728" s="10" t="s">
        <v>150</v>
      </c>
      <c r="AB728" s="19">
        <v>121</v>
      </c>
      <c r="AC728" s="20">
        <v>30</v>
      </c>
      <c r="AD728" s="18">
        <f>DATA[[#This Row],[FECHA DE EMISION]]+DATA[[#This Row],[CONDICION DE PAGO]]</f>
        <v>45851</v>
      </c>
      <c r="AE728" s="23">
        <f>IF(DATA[[#This Row],[MONEDA]]="USD",VLOOKUP(DATA[[#This Row],[COMBINADA]],#REF!,11,0),1)</f>
        <v>1</v>
      </c>
      <c r="AF728" s="129" t="str">
        <f>IF(DATA[[#This Row],[SERIE2]]="-","NO CORRESPONDE",IF(W728="NO CORRESPONDE","NO CORRESPONDE",IF(Z728&gt;0,"FACTURADO","PENDIENTE")))</f>
        <v>FACTURADO</v>
      </c>
      <c r="AG728" s="133">
        <f>IFERROR(VLOOKUP(DATA[[#This Row],[COMBINADA]],#REF!,6,0),0)</f>
        <v>0</v>
      </c>
      <c r="AH728" s="125">
        <f>IFERROR(VLOOKUP(DATA[[#This Row],[COMBINADA]],#REF!,9,0),0)/COUNTIFS(DATA[COMBINADA],DATA[[#This Row],[COMBINADA]])</f>
        <v>0</v>
      </c>
      <c r="AI728" s="136">
        <f>IFERROR(VLOOKUP(DATA[[#This Row],[COMBINADA]],#REF!,6,0),0)</f>
        <v>0</v>
      </c>
      <c r="AJ728" s="132">
        <f>IFERROR(VLOOKUP(DATA[[#This Row],[COMBINADA]],#REF!,9,0),0)/COUNTIFS(DATA[COMBINADA],DATA[[#This Row],[COMBINADA]])</f>
        <v>0</v>
      </c>
      <c r="AK728" s="407">
        <f>IFERROR(VLOOKUP(DATA[[#This Row],[COMBINADA]],#REF!,6,0),0)</f>
        <v>0</v>
      </c>
      <c r="AL728" s="125">
        <f>IFERROR(VLOOKUP(DATA[[#This Row],[COMBINADA]],#REF!,9,0),0)/COUNTIFS(DATA[COMBINADA],DATA[[#This Row],[COMBINADA]])</f>
        <v>0</v>
      </c>
      <c r="AM728" s="27">
        <f>IFERROR(VLOOKUP(DATA[[#This Row],[COMBINADA]],#REF!,6,0),0)</f>
        <v>0</v>
      </c>
      <c r="AN728" s="125">
        <f>IFERROR(VLOOKUP(DATA[[#This Row],[COMBINADA]],#REF!,9,0),0)/COUNTIFS(DATA[COMBINADA],DATA[[#This Row],[COMBINADA]])</f>
        <v>0</v>
      </c>
      <c r="AO728" s="27">
        <f>IFERROR(VLOOKUP(DATA[[#This Row],[COMBINADA]],#REF!,6,0),0)</f>
        <v>0</v>
      </c>
      <c r="AP728" s="132">
        <f>IFERROR(VLOOKUP(DATA[[#This Row],[COMBINADA]],#REF!,9,0),0)/COUNTIFS(DATA[COMBINADA],DATA[[#This Row],[COMBINADA]])</f>
        <v>0</v>
      </c>
      <c r="AQ72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17647.84</v>
      </c>
      <c r="AR728" s="26" t="str">
        <f>IFERROR(IF(DATA[[#This Row],[estado_fact]]="FACTURADO",VLOOKUP(DATA[[#This Row],[SERIE2]]&amp;"-"&amp;DATA[[#This Row],[NUMERO]],#REF!,34,0),"NO CORRESPONDE"),"NO CORRESPONDE")</f>
        <v>NO CORRESPONDE</v>
      </c>
      <c r="AS728" s="22" t="str">
        <f>IF(DATA[[#This Row],[fecha_fs]]&gt;0,TEXT(DATA[[#This Row],[fecha_fs]],"Mmmm"),0)</f>
        <v>Mayo</v>
      </c>
      <c r="AT728" s="22" t="str">
        <f>DATA[[#This Row],[SERIE2]]&amp;"-"&amp;DATA[[#This Row],[NUMERO]]</f>
        <v>FF01-121</v>
      </c>
      <c r="AU728" s="28">
        <f>DATA[[#This Row],[TOTAL]]*DATA[[#This Row],[T.C.]]</f>
        <v>17647.84</v>
      </c>
      <c r="AV728" s="6">
        <f>DATA[[#This Row],[FECHA DE VAL.]]</f>
        <v>45807</v>
      </c>
      <c r="AW728" s="6">
        <f>DATA[[#This Row],[FECHA DE EMISION]]</f>
        <v>45821</v>
      </c>
      <c r="AX728" s="6">
        <f>DATA[[#This Row],[F1]]</f>
        <v>0</v>
      </c>
      <c r="AY728" s="20">
        <f>IF(AV728-DATA[[#This Row],[fecha_fs]]&lt;0,0,AV728-DATA[[#This Row],[fecha_fs]])</f>
        <v>0</v>
      </c>
      <c r="AZ728" s="20">
        <f t="shared" si="76"/>
        <v>14</v>
      </c>
      <c r="BA728" s="20">
        <f t="shared" si="77"/>
        <v>0</v>
      </c>
      <c r="BB728" s="195">
        <f>IFERROR(SUM(DATA[[#This Row],[fs_val_ttf]:[fact_pago_ttf]]),0)</f>
        <v>14</v>
      </c>
      <c r="BC728" s="185">
        <v>45814</v>
      </c>
      <c r="BD728" s="185">
        <v>45818</v>
      </c>
      <c r="BE728" s="185">
        <v>45820</v>
      </c>
      <c r="BF728" s="185">
        <v>45821</v>
      </c>
      <c r="BG728" s="20">
        <f>IFERROR(IF(BC728-DATA[[#This Row],[fecha_fs]]&lt;0,0,BC728-DATA[[#This Row],[fecha_fs]]),0)</f>
        <v>7</v>
      </c>
      <c r="BH728" s="20">
        <f t="shared" si="78"/>
        <v>4</v>
      </c>
      <c r="BI728" s="20">
        <f t="shared" si="79"/>
        <v>2</v>
      </c>
      <c r="BJ728" s="20">
        <f t="shared" si="80"/>
        <v>1</v>
      </c>
      <c r="BK728" s="218">
        <f>IFERROR(SUM(DATA[[#This Row],[fs_fd_ttd]:[fend_fenf_ttd]]),0)</f>
        <v>14</v>
      </c>
      <c r="BL728" s="20" t="str">
        <f>IF(DATA[[#This Row],[fecha_fs]]&gt;0,TEXT(DATA[[#This Row],[fecha_fs]],"YYYY"),0)</f>
        <v>2025</v>
      </c>
      <c r="BM728" s="221" t="b">
        <v>1</v>
      </c>
      <c r="BN728" s="278">
        <f>COUNTIF(DATA[[#This Row],[tiempo_td]], "&lt;=15")</f>
        <v>1</v>
      </c>
      <c r="BO728" s="222"/>
    </row>
    <row r="729" spans="1:67" ht="30.6" customHeight="1" x14ac:dyDescent="0.25">
      <c r="A729" s="4">
        <v>20100192064</v>
      </c>
      <c r="B729" s="5" t="s">
        <v>60</v>
      </c>
      <c r="C729" s="52" t="s">
        <v>64</v>
      </c>
      <c r="D729" s="4" t="s">
        <v>112</v>
      </c>
      <c r="E729" s="5" t="s">
        <v>1</v>
      </c>
      <c r="F729" s="24">
        <v>45807</v>
      </c>
      <c r="G729" s="7" t="s">
        <v>113</v>
      </c>
      <c r="H729" s="25">
        <f t="shared" si="75"/>
        <v>1</v>
      </c>
      <c r="I729" s="67">
        <v>4575</v>
      </c>
      <c r="J729" s="8" t="s">
        <v>115</v>
      </c>
      <c r="K729" s="9" t="s">
        <v>116</v>
      </c>
      <c r="L729" s="10" t="s">
        <v>117</v>
      </c>
      <c r="M729" s="11">
        <v>12190</v>
      </c>
      <c r="N729" s="12" t="s">
        <v>135</v>
      </c>
      <c r="O729" s="6">
        <v>45807</v>
      </c>
      <c r="P729" s="13">
        <v>3482</v>
      </c>
      <c r="Q729" s="14" t="s">
        <v>85</v>
      </c>
      <c r="R729" s="15">
        <f>DATA[[#This Row],[cantidad_fs]]*0.57</f>
        <v>6948.2999999999993</v>
      </c>
      <c r="S729" s="56">
        <v>8999.2999999999993</v>
      </c>
      <c r="T729" s="15">
        <f>DATA[[#This Row],[C. DF]]+DATA[[#This Row],[C.OPE.]]</f>
        <v>15947.599999999999</v>
      </c>
      <c r="U729" s="15">
        <f>DATA[[#This Row],[SUB TOTAL]]*0.18</f>
        <v>2870.5679999999998</v>
      </c>
      <c r="V729" s="15">
        <f>IFERROR(ROUND(DATA[[#This Row],[SUB TOTAL]]+DATA[[#This Row],[IGV]],2),0)</f>
        <v>18818.169999999998</v>
      </c>
      <c r="W729" s="16" t="str">
        <f>IF(DATA[[#This Row],[VALORIZACIÓN ]]="-","NO CORRESPONDE",IF(OR(A729=20558226979,A729=10470707866,A729=20111157058,A729=20100226902),"NO CORRESPONDE",IF(J729="Emitida",IF(P729&gt;0,"EMITIDA","PENDIENTE"),"NO CORRESPONDE")))</f>
        <v>EMITIDA</v>
      </c>
      <c r="X729" s="29" t="s">
        <v>260</v>
      </c>
      <c r="Y729" s="17" t="s">
        <v>118</v>
      </c>
      <c r="Z729" s="30">
        <v>45821</v>
      </c>
      <c r="AA729" s="10" t="s">
        <v>150</v>
      </c>
      <c r="AB729" s="19">
        <v>123</v>
      </c>
      <c r="AC729" s="20">
        <v>30</v>
      </c>
      <c r="AD729" s="18">
        <f>DATA[[#This Row],[FECHA DE EMISION]]+DATA[[#This Row],[CONDICION DE PAGO]]</f>
        <v>45851</v>
      </c>
      <c r="AE729" s="23">
        <f>IF(DATA[[#This Row],[MONEDA]]="USD",VLOOKUP(DATA[[#This Row],[COMBINADA]],#REF!,11,0),1)</f>
        <v>1</v>
      </c>
      <c r="AF729" s="129" t="str">
        <f>IF(DATA[[#This Row],[SERIE2]]="-","NO CORRESPONDE",IF(W729="NO CORRESPONDE","NO CORRESPONDE",IF(Z729&gt;0,"FACTURADO","PENDIENTE")))</f>
        <v>FACTURADO</v>
      </c>
      <c r="AG729" s="133">
        <f>IFERROR(VLOOKUP(DATA[[#This Row],[COMBINADA]],#REF!,6,0),0)</f>
        <v>0</v>
      </c>
      <c r="AH729" s="125">
        <f>IFERROR(VLOOKUP(DATA[[#This Row],[COMBINADA]],#REF!,9,0),0)/COUNTIFS(DATA[COMBINADA],DATA[[#This Row],[COMBINADA]])</f>
        <v>0</v>
      </c>
      <c r="AI729" s="136">
        <f>IFERROR(VLOOKUP(DATA[[#This Row],[COMBINADA]],#REF!,6,0),0)</f>
        <v>0</v>
      </c>
      <c r="AJ729" s="132">
        <f>IFERROR(VLOOKUP(DATA[[#This Row],[COMBINADA]],#REF!,9,0),0)/COUNTIFS(DATA[COMBINADA],DATA[[#This Row],[COMBINADA]])</f>
        <v>0</v>
      </c>
      <c r="AK729" s="407">
        <f>IFERROR(VLOOKUP(DATA[[#This Row],[COMBINADA]],#REF!,6,0),0)</f>
        <v>0</v>
      </c>
      <c r="AL729" s="125">
        <f>IFERROR(VLOOKUP(DATA[[#This Row],[COMBINADA]],#REF!,9,0),0)/COUNTIFS(DATA[COMBINADA],DATA[[#This Row],[COMBINADA]])</f>
        <v>0</v>
      </c>
      <c r="AM729" s="27">
        <f>IFERROR(VLOOKUP(DATA[[#This Row],[COMBINADA]],#REF!,6,0),0)</f>
        <v>0</v>
      </c>
      <c r="AN729" s="125">
        <f>IFERROR(VLOOKUP(DATA[[#This Row],[COMBINADA]],#REF!,9,0),0)/COUNTIFS(DATA[COMBINADA],DATA[[#This Row],[COMBINADA]])</f>
        <v>0</v>
      </c>
      <c r="AO729" s="27">
        <f>IFERROR(VLOOKUP(DATA[[#This Row],[COMBINADA]],#REF!,6,0),0)</f>
        <v>0</v>
      </c>
      <c r="AP729" s="132">
        <f>IFERROR(VLOOKUP(DATA[[#This Row],[COMBINADA]],#REF!,9,0),0)/COUNTIFS(DATA[COMBINADA],DATA[[#This Row],[COMBINADA]])</f>
        <v>0</v>
      </c>
      <c r="AQ72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18818.169999999998</v>
      </c>
      <c r="AR729" s="26" t="str">
        <f>IFERROR(IF(DATA[[#This Row],[estado_fact]]="FACTURADO",VLOOKUP(DATA[[#This Row],[SERIE2]]&amp;"-"&amp;DATA[[#This Row],[NUMERO]],#REF!,34,0),"NO CORRESPONDE"),"NO CORRESPONDE")</f>
        <v>NO CORRESPONDE</v>
      </c>
      <c r="AS729" s="22" t="str">
        <f>IF(DATA[[#This Row],[fecha_fs]]&gt;0,TEXT(DATA[[#This Row],[fecha_fs]],"Mmmm"),0)</f>
        <v>Mayo</v>
      </c>
      <c r="AT729" s="22" t="str">
        <f>DATA[[#This Row],[SERIE2]]&amp;"-"&amp;DATA[[#This Row],[NUMERO]]</f>
        <v>FF01-123</v>
      </c>
      <c r="AU729" s="28">
        <f>DATA[[#This Row],[TOTAL]]*DATA[[#This Row],[T.C.]]</f>
        <v>18818.169999999998</v>
      </c>
      <c r="AV729" s="6">
        <f>DATA[[#This Row],[FECHA DE VAL.]]</f>
        <v>45807</v>
      </c>
      <c r="AW729" s="6">
        <f>DATA[[#This Row],[FECHA DE EMISION]]</f>
        <v>45821</v>
      </c>
      <c r="AX729" s="6">
        <f>DATA[[#This Row],[F1]]</f>
        <v>0</v>
      </c>
      <c r="AY729" s="20">
        <f>IF(AV729-DATA[[#This Row],[fecha_fs]]&lt;0,0,AV729-DATA[[#This Row],[fecha_fs]])</f>
        <v>0</v>
      </c>
      <c r="AZ729" s="20">
        <f t="shared" si="76"/>
        <v>14</v>
      </c>
      <c r="BA729" s="20">
        <f t="shared" si="77"/>
        <v>0</v>
      </c>
      <c r="BB729" s="195">
        <f>IFERROR(SUM(DATA[[#This Row],[fs_val_ttf]:[fact_pago_ttf]]),0)</f>
        <v>14</v>
      </c>
      <c r="BC729" s="185">
        <v>45813</v>
      </c>
      <c r="BD729" s="185">
        <v>45818</v>
      </c>
      <c r="BE729" s="185">
        <v>45820</v>
      </c>
      <c r="BF729" s="185">
        <v>45821</v>
      </c>
      <c r="BG729" s="20">
        <f>IFERROR(IF(BC729-DATA[[#This Row],[fecha_fs]]&lt;0,0,BC729-DATA[[#This Row],[fecha_fs]]),0)</f>
        <v>6</v>
      </c>
      <c r="BH729" s="20">
        <f t="shared" si="78"/>
        <v>5</v>
      </c>
      <c r="BI729" s="20">
        <f t="shared" si="79"/>
        <v>2</v>
      </c>
      <c r="BJ729" s="20">
        <f t="shared" si="80"/>
        <v>1</v>
      </c>
      <c r="BK729" s="218">
        <f>IFERROR(SUM(DATA[[#This Row],[fs_fd_ttd]:[fend_fenf_ttd]]),0)</f>
        <v>14</v>
      </c>
      <c r="BL729" s="20" t="str">
        <f>IF(DATA[[#This Row],[fecha_fs]]&gt;0,TEXT(DATA[[#This Row],[fecha_fs]],"YYYY"),0)</f>
        <v>2025</v>
      </c>
      <c r="BM729" s="221" t="b">
        <v>1</v>
      </c>
      <c r="BN729" s="278">
        <f>COUNTIF(DATA[[#This Row],[tiempo_td]], "&lt;=15")</f>
        <v>1</v>
      </c>
      <c r="BO729" s="222"/>
    </row>
    <row r="730" spans="1:67" ht="30.6" customHeight="1" x14ac:dyDescent="0.25">
      <c r="A730" s="4">
        <v>20100192064</v>
      </c>
      <c r="B730" s="5" t="s">
        <v>60</v>
      </c>
      <c r="C730" s="52" t="s">
        <v>43</v>
      </c>
      <c r="D730" s="4" t="s">
        <v>120</v>
      </c>
      <c r="E730" s="5" t="s">
        <v>3</v>
      </c>
      <c r="F730" s="24">
        <v>45810</v>
      </c>
      <c r="G730" s="7" t="s">
        <v>113</v>
      </c>
      <c r="H730" s="25">
        <f t="shared" si="75"/>
        <v>1</v>
      </c>
      <c r="I730" s="67">
        <v>4576</v>
      </c>
      <c r="J730" s="8" t="s">
        <v>115</v>
      </c>
      <c r="K730" s="9" t="s">
        <v>121</v>
      </c>
      <c r="L730" s="10" t="s">
        <v>117</v>
      </c>
      <c r="M730" s="11">
        <v>410</v>
      </c>
      <c r="N730" s="12" t="s">
        <v>122</v>
      </c>
      <c r="O730" s="6">
        <v>45834</v>
      </c>
      <c r="P730" s="71">
        <v>3505</v>
      </c>
      <c r="Q730" s="14" t="s">
        <v>123</v>
      </c>
      <c r="R730" s="15">
        <f>(DATA[[#This Row],[cantidad_fs]]/1000)*(47+174.34)</f>
        <v>90.749399999999994</v>
      </c>
      <c r="S730" s="56">
        <v>137</v>
      </c>
      <c r="T730" s="15">
        <f>DATA[[#This Row],[C. DF]]+DATA[[#This Row],[C.OPE.]]</f>
        <v>227.74939999999998</v>
      </c>
      <c r="U730" s="15">
        <f>DATA[[#This Row],[SUB TOTAL]]*0.18</f>
        <v>40.994891999999993</v>
      </c>
      <c r="V730" s="15">
        <f>IFERROR(ROUND(DATA[[#This Row],[SUB TOTAL]]+DATA[[#This Row],[IGV]],2),0)</f>
        <v>268.74</v>
      </c>
      <c r="W730" s="16" t="str">
        <f>IF(DATA[[#This Row],[VALORIZACIÓN ]]="-","NO CORRESPONDE",IF(OR(A730=20558226979,A730=10470707866,A730=20111157058,A730=20100226902),"NO CORRESPONDE",IF(J730="Emitida",IF(P730&gt;0,"EMITIDA","PENDIENTE"),"NO CORRESPONDE")))</f>
        <v>EMITIDA</v>
      </c>
      <c r="X730" s="29"/>
      <c r="Y730" s="17" t="s">
        <v>118</v>
      </c>
      <c r="Z730" s="30">
        <v>45835</v>
      </c>
      <c r="AA730" s="10" t="s">
        <v>150</v>
      </c>
      <c r="AB730" s="19">
        <v>134</v>
      </c>
      <c r="AC730" s="20">
        <v>30</v>
      </c>
      <c r="AD730" s="18">
        <f>DATA[[#This Row],[FECHA DE EMISION]]+DATA[[#This Row],[CONDICION DE PAGO]]</f>
        <v>45865</v>
      </c>
      <c r="AE730" s="23" t="e">
        <f>IF(DATA[[#This Row],[MONEDA]]="USD",VLOOKUP(DATA[[#This Row],[COMBINADA]],#REF!,11,0),1)</f>
        <v>#REF!</v>
      </c>
      <c r="AF730" s="129" t="str">
        <f>IF(DATA[[#This Row],[SERIE2]]="-","NO CORRESPONDE",IF(W730="NO CORRESPONDE","NO CORRESPONDE",IF(Z730&gt;0,"FACTURADO","PENDIENTE")))</f>
        <v>FACTURADO</v>
      </c>
      <c r="AG730" s="133">
        <f>IFERROR(VLOOKUP(DATA[[#This Row],[COMBINADA]],#REF!,6,0),0)</f>
        <v>0</v>
      </c>
      <c r="AH730" s="125">
        <f>IFERROR(VLOOKUP(DATA[[#This Row],[COMBINADA]],#REF!,9,0),0)/COUNTIFS(DATA[COMBINADA],DATA[[#This Row],[COMBINADA]])</f>
        <v>0</v>
      </c>
      <c r="AI730" s="136">
        <f>IFERROR(VLOOKUP(DATA[[#This Row],[COMBINADA]],#REF!,6,0),0)</f>
        <v>0</v>
      </c>
      <c r="AJ730" s="132">
        <f>IFERROR(VLOOKUP(DATA[[#This Row],[COMBINADA]],#REF!,9,0),0)/COUNTIFS(DATA[COMBINADA],DATA[[#This Row],[COMBINADA]])</f>
        <v>0</v>
      </c>
      <c r="AK730" s="407">
        <f>IFERROR(VLOOKUP(DATA[[#This Row],[COMBINADA]],#REF!,6,0),0)</f>
        <v>0</v>
      </c>
      <c r="AL730" s="125">
        <f>IFERROR(VLOOKUP(DATA[[#This Row],[COMBINADA]],#REF!,9,0),0)/COUNTIFS(DATA[COMBINADA],DATA[[#This Row],[COMBINADA]])</f>
        <v>0</v>
      </c>
      <c r="AM730" s="27">
        <f>IFERROR(VLOOKUP(DATA[[#This Row],[COMBINADA]],#REF!,6,0),0)</f>
        <v>0</v>
      </c>
      <c r="AN730" s="125">
        <f>IFERROR(VLOOKUP(DATA[[#This Row],[COMBINADA]],#REF!,9,0),0)/COUNTIFS(DATA[COMBINADA],DATA[[#This Row],[COMBINADA]])</f>
        <v>0</v>
      </c>
      <c r="AO730" s="27">
        <f>IFERROR(VLOOKUP(DATA[[#This Row],[COMBINADA]],#REF!,6,0),0)</f>
        <v>0</v>
      </c>
      <c r="AP730" s="132">
        <f>IFERROR(VLOOKUP(DATA[[#This Row],[COMBINADA]],#REF!,9,0),0)/COUNTIFS(DATA[COMBINADA],DATA[[#This Row],[COMBINADA]])</f>
        <v>0</v>
      </c>
      <c r="AQ73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574.13187500000015</v>
      </c>
      <c r="AR730" s="26" t="str">
        <f>IFERROR(IF(DATA[[#This Row],[estado_fact]]="FACTURADO",VLOOKUP(DATA[[#This Row],[SERIE2]]&amp;"-"&amp;DATA[[#This Row],[NUMERO]],#REF!,34,0),"NO CORRESPONDE"),"NO CORRESPONDE")</f>
        <v>NO CORRESPONDE</v>
      </c>
      <c r="AS730" s="22" t="str">
        <f>IF(DATA[[#This Row],[fecha_fs]]&gt;0,TEXT(DATA[[#This Row],[fecha_fs]],"Mmmm"),0)</f>
        <v>Junio</v>
      </c>
      <c r="AT730" s="22" t="str">
        <f>DATA[[#This Row],[SERIE2]]&amp;"-"&amp;DATA[[#This Row],[NUMERO]]</f>
        <v>FF01-134</v>
      </c>
      <c r="AU730" s="28" t="e">
        <f>DATA[[#This Row],[TOTAL]]*DATA[[#This Row],[T.C.]]</f>
        <v>#REF!</v>
      </c>
      <c r="AV730" s="6">
        <f>DATA[[#This Row],[FECHA DE VAL.]]</f>
        <v>45834</v>
      </c>
      <c r="AW730" s="6">
        <f>DATA[[#This Row],[FECHA DE EMISION]]</f>
        <v>45835</v>
      </c>
      <c r="AX730" s="6">
        <f>DATA[[#This Row],[F1]]</f>
        <v>0</v>
      </c>
      <c r="AY730" s="20">
        <f>IF(AV730-DATA[[#This Row],[fecha_fs]]&lt;0,0,AV730-DATA[[#This Row],[fecha_fs]])</f>
        <v>24</v>
      </c>
      <c r="AZ730" s="20">
        <f t="shared" si="76"/>
        <v>1</v>
      </c>
      <c r="BA730" s="20">
        <f t="shared" si="77"/>
        <v>0</v>
      </c>
      <c r="BB730" s="195">
        <f>IFERROR(SUM(DATA[[#This Row],[fs_val_ttf]:[fact_pago_ttf]]),0)</f>
        <v>25</v>
      </c>
      <c r="BC730" s="185">
        <v>45821</v>
      </c>
      <c r="BD730" s="185">
        <v>45846</v>
      </c>
      <c r="BE730" s="185">
        <v>45852</v>
      </c>
      <c r="BF730" s="185">
        <v>45863</v>
      </c>
      <c r="BG730" s="20">
        <f>IFERROR(IF(BC730-DATA[[#This Row],[fecha_fs]]&lt;0,0,BC730-DATA[[#This Row],[fecha_fs]]),0)</f>
        <v>11</v>
      </c>
      <c r="BH730" s="20">
        <f t="shared" si="78"/>
        <v>25</v>
      </c>
      <c r="BI730" s="20">
        <f t="shared" si="79"/>
        <v>6</v>
      </c>
      <c r="BJ730" s="20">
        <f t="shared" si="80"/>
        <v>11</v>
      </c>
      <c r="BK730" s="218">
        <f>IFERROR(SUM(DATA[[#This Row],[fs_fd_ttd]:[fend_fenf_ttd]]),0)</f>
        <v>53</v>
      </c>
      <c r="BL730" s="20" t="str">
        <f>IF(DATA[[#This Row],[fecha_fs]]&gt;0,TEXT(DATA[[#This Row],[fecha_fs]],"YYYY"),0)</f>
        <v>2025</v>
      </c>
      <c r="BM730" s="221" t="b">
        <v>1</v>
      </c>
      <c r="BN730" s="278">
        <f>COUNTIF(DATA[[#This Row],[tiempo_td]], "&lt;=15")</f>
        <v>0</v>
      </c>
      <c r="BO730" s="222"/>
    </row>
    <row r="731" spans="1:67" ht="30" customHeight="1" x14ac:dyDescent="0.25">
      <c r="A731" s="4"/>
      <c r="B731" s="5" t="s">
        <v>0</v>
      </c>
      <c r="C731" s="52"/>
      <c r="D731" s="4"/>
      <c r="E731" s="5" t="s">
        <v>0</v>
      </c>
      <c r="F731" s="24">
        <v>45807</v>
      </c>
      <c r="G731" s="7" t="s">
        <v>113</v>
      </c>
      <c r="H731" s="25">
        <f t="shared" si="75"/>
        <v>1</v>
      </c>
      <c r="I731" s="67">
        <v>4577</v>
      </c>
      <c r="J731" s="8" t="s">
        <v>151</v>
      </c>
      <c r="K731" s="9"/>
      <c r="L731" s="10"/>
      <c r="M731" s="111"/>
      <c r="N731" s="112"/>
      <c r="O731" s="6"/>
      <c r="P731" s="13"/>
      <c r="Q731" s="14"/>
      <c r="R731" s="15"/>
      <c r="S731" s="56"/>
      <c r="T731" s="15">
        <f>DATA[[#This Row],[C. DF]]+DATA[[#This Row],[C.OPE.]]</f>
        <v>0</v>
      </c>
      <c r="U731" s="73">
        <f>DATA[[#This Row],[SUB TOTAL]]*0.18</f>
        <v>0</v>
      </c>
      <c r="V731" s="45">
        <f>IFERROR(ROUND(DATA[[#This Row],[SUB TOTAL]]+DATA[[#This Row],[IGV]],2),0)</f>
        <v>0</v>
      </c>
      <c r="W731" s="73" t="str">
        <f>IF(DATA[[#This Row],[VALORIZACIÓN ]]="-","NO CORRESPONDE",IF(OR(A731=20558226979,A731=10470707866,A731=20111157058,A731=20100226902),"NO CORRESPONDE",IF(J731="Emitida",IF(P731&gt;0,"EMITIDA","PENDIENTE"),"NO CORRESPONDE")))</f>
        <v>NO CORRESPONDE</v>
      </c>
      <c r="X731" s="46"/>
      <c r="Y731" s="17" t="s">
        <v>128</v>
      </c>
      <c r="Z731" s="48"/>
      <c r="AA731" s="49"/>
      <c r="AB731" s="50"/>
      <c r="AC731" s="51"/>
      <c r="AD731" s="59">
        <f>DATA[[#This Row],[FECHA DE EMISION]]+DATA[[#This Row],[CONDICION DE PAGO]]</f>
        <v>0</v>
      </c>
      <c r="AE731" s="23">
        <f>IF(DATA[[#This Row],[MONEDA]]="USD",VLOOKUP(DATA[[#This Row],[COMBINADA]],#REF!,11,0),1)</f>
        <v>1</v>
      </c>
      <c r="AF731" s="39" t="str">
        <f>IF(DATA[[#This Row],[SERIE2]]="-","NO CORRESPONDE",IF(W731="NO CORRESPONDE","NO CORRESPONDE",IF(Z731&gt;0,"FACTURADO","PENDIENTE")))</f>
        <v>NO CORRESPONDE</v>
      </c>
      <c r="AG731" s="140">
        <f>IFERROR(VLOOKUP(DATA[[#This Row],[COMBINADA]],#REF!,6,0),0)</f>
        <v>0</v>
      </c>
      <c r="AH731" s="126">
        <f>IFERROR(VLOOKUP(DATA[[#This Row],[COMBINADA]],#REF!,9,0),0)/COUNTIFS(DATA[COMBINADA],DATA[[#This Row],[COMBINADA]])</f>
        <v>0</v>
      </c>
      <c r="AI731" s="140">
        <f>IFERROR(VLOOKUP(DATA[[#This Row],[COMBINADA]],#REF!,6,0),0)</f>
        <v>0</v>
      </c>
      <c r="AJ731" s="126">
        <f>IFERROR(VLOOKUP(DATA[[#This Row],[COMBINADA]],#REF!,9,0),0)/COUNTIFS(DATA[COMBINADA],DATA[[#This Row],[COMBINADA]])</f>
        <v>0</v>
      </c>
      <c r="AK731" s="61">
        <f>IFERROR(VLOOKUP(DATA[[#This Row],[COMBINADA]],#REF!,6,0),0)</f>
        <v>0</v>
      </c>
      <c r="AL731" s="62">
        <f>IFERROR(VLOOKUP(DATA[[#This Row],[COMBINADA]],#REF!,9,0),0)/COUNTIFS(DATA[COMBINADA],DATA[[#This Row],[COMBINADA]])</f>
        <v>0</v>
      </c>
      <c r="AM731" s="61">
        <f>IFERROR(VLOOKUP(DATA[[#This Row],[COMBINADA]],#REF!,6,0),0)</f>
        <v>0</v>
      </c>
      <c r="AN731" s="62">
        <f>IFERROR(VLOOKUP(DATA[[#This Row],[COMBINADA]],#REF!,9,0),0)/COUNTIFS(DATA[COMBINADA],DATA[[#This Row],[COMBINADA]])</f>
        <v>0</v>
      </c>
      <c r="AO731" s="61">
        <f>IFERROR(VLOOKUP(DATA[[#This Row],[COMBINADA]],#REF!,6,0),0)</f>
        <v>0</v>
      </c>
      <c r="AP731" s="62">
        <f>IFERROR(VLOOKUP(DATA[[#This Row],[COMBINADA]],#REF!,9,0),0)/COUNTIFS(DATA[COMBINADA],DATA[[#This Row],[COMBINADA]])</f>
        <v>0</v>
      </c>
      <c r="AQ731"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731" s="22" t="str">
        <f>IFERROR(IF(DATA[[#This Row],[estado_fact]]="FACTURADO",VLOOKUP(DATA[[#This Row],[SERIE2]]&amp;"-"&amp;DATA[[#This Row],[NUMERO]],#REF!,34,0),"NO CORRESPONDE"),"NO CORRESPONDE")</f>
        <v>NO CORRESPONDE</v>
      </c>
      <c r="AS731" s="198" t="str">
        <f>IF(DATA[[#This Row],[fecha_fs]]&gt;0,TEXT(DATA[[#This Row],[fecha_fs]],"Mmmm"),0)</f>
        <v>Mayo</v>
      </c>
      <c r="AT731" s="199" t="str">
        <f>DATA[[#This Row],[SERIE2]]&amp;"-"&amp;DATA[[#This Row],[NUMERO]]</f>
        <v>-</v>
      </c>
      <c r="AU731" s="198">
        <f>DATA[[#This Row],[TOTAL]]*DATA[[#This Row],[T.C.]]</f>
        <v>0</v>
      </c>
      <c r="AV731" s="40">
        <f>DATA[[#This Row],[FECHA DE VAL.]]</f>
        <v>0</v>
      </c>
      <c r="AW731" s="40">
        <f>DATA[[#This Row],[FECHA DE EMISION]]</f>
        <v>0</v>
      </c>
      <c r="AX731" s="40">
        <f>DATA[[#This Row],[F1]]</f>
        <v>0</v>
      </c>
      <c r="AY731" s="49">
        <f>IF(AV731-DATA[[#This Row],[fecha_fs]]&lt;0,0,AV731-DATA[[#This Row],[fecha_fs]])</f>
        <v>0</v>
      </c>
      <c r="AZ731" s="49">
        <f t="shared" si="76"/>
        <v>0</v>
      </c>
      <c r="BA731" s="49">
        <f t="shared" si="77"/>
        <v>0</v>
      </c>
      <c r="BB731" s="195">
        <f>IFERROR(SUM(DATA[[#This Row],[fs_val_ttf]:[fact_pago_ttf]]),0)</f>
        <v>0</v>
      </c>
      <c r="BC731" s="200"/>
      <c r="BD731" s="200"/>
      <c r="BE731" s="200"/>
      <c r="BF731" s="200"/>
      <c r="BG731" s="49">
        <f>IFERROR(IF(BC731-DATA[[#This Row],[fecha_fs]]&lt;0,0,BC731-DATA[[#This Row],[fecha_fs]]),0)</f>
        <v>0</v>
      </c>
      <c r="BH731" s="49">
        <f t="shared" si="78"/>
        <v>0</v>
      </c>
      <c r="BI731" s="49">
        <f t="shared" si="79"/>
        <v>0</v>
      </c>
      <c r="BJ731" s="49">
        <f t="shared" si="80"/>
        <v>0</v>
      </c>
      <c r="BK731" s="218">
        <f>IFERROR(SUM(DATA[[#This Row],[fs_fd_ttd]:[fend_fenf_ttd]]),0)</f>
        <v>0</v>
      </c>
      <c r="BL731" s="20" t="str">
        <f>IF(DATA[[#This Row],[fecha_fs]]&gt;0,TEXT(DATA[[#This Row],[fecha_fs]],"YYYY"),0)</f>
        <v>2025</v>
      </c>
      <c r="BM731" s="221" t="b">
        <v>0</v>
      </c>
      <c r="BN731" s="278"/>
      <c r="BO731" s="222"/>
    </row>
    <row r="732" spans="1:67" ht="30.6" customHeight="1" x14ac:dyDescent="0.25">
      <c r="A732" s="4">
        <v>20100192064</v>
      </c>
      <c r="B732" s="5" t="s">
        <v>60</v>
      </c>
      <c r="C732" s="52" t="s">
        <v>43</v>
      </c>
      <c r="D732" s="4" t="s">
        <v>112</v>
      </c>
      <c r="E732" s="5" t="s">
        <v>1</v>
      </c>
      <c r="F732" s="24">
        <v>45810</v>
      </c>
      <c r="G732" s="7" t="s">
        <v>113</v>
      </c>
      <c r="H732" s="25">
        <f t="shared" si="75"/>
        <v>1</v>
      </c>
      <c r="I732" s="67">
        <v>4578</v>
      </c>
      <c r="J732" s="8" t="s">
        <v>115</v>
      </c>
      <c r="K732" s="9" t="s">
        <v>116</v>
      </c>
      <c r="L732" s="10" t="s">
        <v>117</v>
      </c>
      <c r="M732" s="11">
        <v>690</v>
      </c>
      <c r="N732" s="12" t="s">
        <v>132</v>
      </c>
      <c r="O732" s="6">
        <v>45834</v>
      </c>
      <c r="P732" s="71">
        <v>3506</v>
      </c>
      <c r="Q732" s="14" t="s">
        <v>123</v>
      </c>
      <c r="R732" s="15">
        <f>(DATA[[#This Row],[cantidad_fs]]/1000)*(143+175.34)</f>
        <v>219.65460000000002</v>
      </c>
      <c r="S732" s="56">
        <v>137</v>
      </c>
      <c r="T732" s="15">
        <f>DATA[[#This Row],[C. DF]]+DATA[[#This Row],[C.OPE.]]</f>
        <v>356.65460000000002</v>
      </c>
      <c r="U732" s="15">
        <f>DATA[[#This Row],[SUB TOTAL]]*0.18</f>
        <v>64.197828000000001</v>
      </c>
      <c r="V732" s="15">
        <f>IFERROR(ROUND(DATA[[#This Row],[SUB TOTAL]]+DATA[[#This Row],[IGV]],2),0)</f>
        <v>420.85</v>
      </c>
      <c r="W732" s="16" t="str">
        <f>IF(DATA[[#This Row],[VALORIZACIÓN ]]="-","NO CORRESPONDE",IF(OR(A732=20558226979,A732=10470707866,A732=20111157058,A732=20100226902),"NO CORRESPONDE",IF(J732="Emitida",IF(P732&gt;0,"EMITIDA","PENDIENTE"),"NO CORRESPONDE")))</f>
        <v>EMITIDA</v>
      </c>
      <c r="X732" s="29"/>
      <c r="Y732" s="17" t="s">
        <v>118</v>
      </c>
      <c r="Z732" s="30">
        <v>45835</v>
      </c>
      <c r="AA732" s="10" t="s">
        <v>150</v>
      </c>
      <c r="AB732" s="19">
        <v>134</v>
      </c>
      <c r="AC732" s="20">
        <v>30</v>
      </c>
      <c r="AD732" s="18">
        <f>DATA[[#This Row],[FECHA DE EMISION]]+DATA[[#This Row],[CONDICION DE PAGO]]</f>
        <v>45865</v>
      </c>
      <c r="AE732" s="23" t="e">
        <f>IF(DATA[[#This Row],[MONEDA]]="USD",VLOOKUP(DATA[[#This Row],[COMBINADA]],#REF!,11,0),1)</f>
        <v>#REF!</v>
      </c>
      <c r="AF732" s="129" t="str">
        <f>IF(DATA[[#This Row],[SERIE2]]="-","NO CORRESPONDE",IF(W732="NO CORRESPONDE","NO CORRESPONDE",IF(Z732&gt;0,"FACTURADO","PENDIENTE")))</f>
        <v>FACTURADO</v>
      </c>
      <c r="AG732" s="133">
        <f>IFERROR(VLOOKUP(DATA[[#This Row],[COMBINADA]],#REF!,6,0),0)</f>
        <v>0</v>
      </c>
      <c r="AH732" s="125">
        <f>IFERROR(VLOOKUP(DATA[[#This Row],[COMBINADA]],#REF!,9,0),0)/COUNTIFS(DATA[COMBINADA],DATA[[#This Row],[COMBINADA]])</f>
        <v>0</v>
      </c>
      <c r="AI732" s="136">
        <f>IFERROR(VLOOKUP(DATA[[#This Row],[COMBINADA]],#REF!,6,0),0)</f>
        <v>0</v>
      </c>
      <c r="AJ732" s="132">
        <f>IFERROR(VLOOKUP(DATA[[#This Row],[COMBINADA]],#REF!,9,0),0)/COUNTIFS(DATA[COMBINADA],DATA[[#This Row],[COMBINADA]])</f>
        <v>0</v>
      </c>
      <c r="AK732" s="407">
        <f>IFERROR(VLOOKUP(DATA[[#This Row],[COMBINADA]],#REF!,6,0),0)</f>
        <v>0</v>
      </c>
      <c r="AL732" s="125">
        <f>IFERROR(VLOOKUP(DATA[[#This Row],[COMBINADA]],#REF!,9,0),0)/COUNTIFS(DATA[COMBINADA],DATA[[#This Row],[COMBINADA]])</f>
        <v>0</v>
      </c>
      <c r="AM732" s="27">
        <f>IFERROR(VLOOKUP(DATA[[#This Row],[COMBINADA]],#REF!,6,0),0)</f>
        <v>0</v>
      </c>
      <c r="AN732" s="125">
        <f>IFERROR(VLOOKUP(DATA[[#This Row],[COMBINADA]],#REF!,9,0),0)/COUNTIFS(DATA[COMBINADA],DATA[[#This Row],[COMBINADA]])</f>
        <v>0</v>
      </c>
      <c r="AO732" s="27">
        <f>IFERROR(VLOOKUP(DATA[[#This Row],[COMBINADA]],#REF!,6,0),0)</f>
        <v>0</v>
      </c>
      <c r="AP732" s="132">
        <f>IFERROR(VLOOKUP(DATA[[#This Row],[COMBINADA]],#REF!,9,0),0)/COUNTIFS(DATA[COMBINADA],DATA[[#This Row],[COMBINADA]])</f>
        <v>0</v>
      </c>
      <c r="AQ73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574.13187500000015</v>
      </c>
      <c r="AR732" s="26" t="str">
        <f>IFERROR(IF(DATA[[#This Row],[estado_fact]]="FACTURADO",VLOOKUP(DATA[[#This Row],[SERIE2]]&amp;"-"&amp;DATA[[#This Row],[NUMERO]],#REF!,34,0),"NO CORRESPONDE"),"NO CORRESPONDE")</f>
        <v>NO CORRESPONDE</v>
      </c>
      <c r="AS732" s="22" t="str">
        <f>IF(DATA[[#This Row],[fecha_fs]]&gt;0,TEXT(DATA[[#This Row],[fecha_fs]],"Mmmm"),0)</f>
        <v>Junio</v>
      </c>
      <c r="AT732" s="22" t="str">
        <f>DATA[[#This Row],[SERIE2]]&amp;"-"&amp;DATA[[#This Row],[NUMERO]]</f>
        <v>FF01-134</v>
      </c>
      <c r="AU732" s="28" t="e">
        <f>DATA[[#This Row],[TOTAL]]*DATA[[#This Row],[T.C.]]</f>
        <v>#REF!</v>
      </c>
      <c r="AV732" s="6">
        <f>DATA[[#This Row],[FECHA DE VAL.]]</f>
        <v>45834</v>
      </c>
      <c r="AW732" s="6">
        <f>DATA[[#This Row],[FECHA DE EMISION]]</f>
        <v>45835</v>
      </c>
      <c r="AX732" s="6">
        <f>DATA[[#This Row],[F1]]</f>
        <v>0</v>
      </c>
      <c r="AY732" s="20">
        <f>IF(AV732-DATA[[#This Row],[fecha_fs]]&lt;0,0,AV732-DATA[[#This Row],[fecha_fs]])</f>
        <v>24</v>
      </c>
      <c r="AZ732" s="20">
        <f t="shared" si="76"/>
        <v>1</v>
      </c>
      <c r="BA732" s="20">
        <f t="shared" si="77"/>
        <v>0</v>
      </c>
      <c r="BB732" s="195">
        <f>IFERROR(SUM(DATA[[#This Row],[fs_val_ttf]:[fact_pago_ttf]]),0)</f>
        <v>25</v>
      </c>
      <c r="BC732" s="185">
        <v>45820</v>
      </c>
      <c r="BD732" s="185">
        <v>45826</v>
      </c>
      <c r="BE732" s="185">
        <v>45827</v>
      </c>
      <c r="BF732" s="185">
        <v>45863</v>
      </c>
      <c r="BG732" s="20">
        <f>IFERROR(IF(BC732-DATA[[#This Row],[fecha_fs]]&lt;0,0,BC732-DATA[[#This Row],[fecha_fs]]),0)</f>
        <v>10</v>
      </c>
      <c r="BH732" s="20">
        <f t="shared" si="78"/>
        <v>6</v>
      </c>
      <c r="BI732" s="20">
        <f t="shared" si="79"/>
        <v>1</v>
      </c>
      <c r="BJ732" s="20">
        <f t="shared" si="80"/>
        <v>36</v>
      </c>
      <c r="BK732" s="218">
        <f>IFERROR(SUM(DATA[[#This Row],[fs_fd_ttd]:[fend_fenf_ttd]]),0)</f>
        <v>53</v>
      </c>
      <c r="BL732" s="20" t="str">
        <f>IF(DATA[[#This Row],[fecha_fs]]&gt;0,TEXT(DATA[[#This Row],[fecha_fs]],"YYYY"),0)</f>
        <v>2025</v>
      </c>
      <c r="BM732" s="221" t="b">
        <v>1</v>
      </c>
      <c r="BN732" s="278">
        <f>COUNTIF(DATA[[#This Row],[tiempo_td]], "&lt;=15")</f>
        <v>0</v>
      </c>
      <c r="BO732" s="222"/>
    </row>
    <row r="733" spans="1:67" ht="30.6" customHeight="1" x14ac:dyDescent="0.25">
      <c r="A733" s="4">
        <v>20100226902</v>
      </c>
      <c r="B733" s="5" t="s">
        <v>24</v>
      </c>
      <c r="C733" s="52" t="s">
        <v>18</v>
      </c>
      <c r="D733" s="4" t="s">
        <v>120</v>
      </c>
      <c r="E733" s="5" t="s">
        <v>3</v>
      </c>
      <c r="F733" s="24">
        <v>45810</v>
      </c>
      <c r="G733" s="7" t="s">
        <v>113</v>
      </c>
      <c r="H733" s="25">
        <f t="shared" si="75"/>
        <v>1</v>
      </c>
      <c r="I733" s="67">
        <v>4579</v>
      </c>
      <c r="J733" s="8" t="s">
        <v>115</v>
      </c>
      <c r="K733" s="9" t="s">
        <v>121</v>
      </c>
      <c r="L733" s="10" t="s">
        <v>117</v>
      </c>
      <c r="M733" s="11">
        <v>440</v>
      </c>
      <c r="N733" s="12" t="s">
        <v>240</v>
      </c>
      <c r="O733" s="40"/>
      <c r="P733" s="41" t="s">
        <v>114</v>
      </c>
      <c r="Q733" s="42"/>
      <c r="R733" s="43"/>
      <c r="S733" s="43"/>
      <c r="T733" s="43">
        <f>DATA[[#This Row],[C. DF]]+DATA[[#This Row],[C.OPE.]]</f>
        <v>0</v>
      </c>
      <c r="U733" s="43">
        <f>DATA[[#This Row],[SUB TOTAL]]*0.18</f>
        <v>0</v>
      </c>
      <c r="V733" s="43">
        <f>IFERROR(ROUND(DATA[[#This Row],[SUB TOTAL]]+DATA[[#This Row],[IGV]],2),0)</f>
        <v>0</v>
      </c>
      <c r="W733" s="58" t="str">
        <f>IF(DATA[[#This Row],[VALORIZACIÓN ]]="-","NO CORRESPONDE",IF(OR(A733=20558226979,A733=10470707866,A733=20111157058,A733=20100226902),"NO CORRESPONDE",IF(J733="Emitida",IF(P733&gt;0,"EMITIDA","PENDIENTE"),"NO CORRESPONDE")))</f>
        <v>NO CORRESPONDE</v>
      </c>
      <c r="X733" s="45"/>
      <c r="Y733" s="17" t="s">
        <v>128</v>
      </c>
      <c r="Z733" s="46"/>
      <c r="AA733" s="47"/>
      <c r="AB733" s="48"/>
      <c r="AC733" s="49"/>
      <c r="AD733" s="50">
        <f>DATA[[#This Row],[FECHA DE EMISION]]+DATA[[#This Row],[CONDICION DE PAGO]]</f>
        <v>0</v>
      </c>
      <c r="AE733" s="23">
        <f>IF(DATA[[#This Row],[MONEDA]]="USD",VLOOKUP(DATA[[#This Row],[COMBINADA]],#REF!,11,0),1)</f>
        <v>1</v>
      </c>
      <c r="AF733" s="129" t="str">
        <f>IF(DATA[[#This Row],[SERIE2]]="-","NO CORRESPONDE",IF(W733="NO CORRESPONDE","NO CORRESPONDE",IF(Z733&gt;0,"FACTURADO","PENDIENTE")))</f>
        <v>NO CORRESPONDE</v>
      </c>
      <c r="AG733" s="140">
        <f>IFERROR(VLOOKUP(DATA[[#This Row],[COMBINADA]],#REF!,6,0),0)</f>
        <v>0</v>
      </c>
      <c r="AH733" s="126">
        <f>IFERROR(VLOOKUP(DATA[[#This Row],[COMBINADA]],#REF!,9,0),0)/COUNTIFS(DATA[COMBINADA],DATA[[#This Row],[COMBINADA]])</f>
        <v>0</v>
      </c>
      <c r="AI733" s="140">
        <f>IFERROR(VLOOKUP(DATA[[#This Row],[COMBINADA]],#REF!,6,0),0)</f>
        <v>0</v>
      </c>
      <c r="AJ733" s="126">
        <f>IFERROR(VLOOKUP(DATA[[#This Row],[COMBINADA]],#REF!,9,0),0)/COUNTIFS(DATA[COMBINADA],DATA[[#This Row],[COMBINADA]])</f>
        <v>0</v>
      </c>
      <c r="AK733" s="287">
        <f>IFERROR(VLOOKUP(DATA[[#This Row],[COMBINADA]],#REF!,6,0),0)</f>
        <v>0</v>
      </c>
      <c r="AL733" s="126">
        <f>IFERROR(VLOOKUP(DATA[[#This Row],[COMBINADA]],#REF!,9,0),0)/COUNTIFS(DATA[COMBINADA],DATA[[#This Row],[COMBINADA]])</f>
        <v>0</v>
      </c>
      <c r="AM733" s="60">
        <f>IFERROR(VLOOKUP(DATA[[#This Row],[COMBINADA]],#REF!,6,0),0)</f>
        <v>0</v>
      </c>
      <c r="AN733" s="126">
        <f>IFERROR(VLOOKUP(DATA[[#This Row],[COMBINADA]],#REF!,9,0),0)/COUNTIFS(DATA[COMBINADA],DATA[[#This Row],[COMBINADA]])</f>
        <v>0</v>
      </c>
      <c r="AO733" s="60">
        <f>IFERROR(VLOOKUP(DATA[[#This Row],[COMBINADA]],#REF!,6,0),0)</f>
        <v>0</v>
      </c>
      <c r="AP733" s="126">
        <f>IFERROR(VLOOKUP(DATA[[#This Row],[COMBINADA]],#REF!,9,0),0)/COUNTIFS(DATA[COMBINADA],DATA[[#This Row],[COMBINADA]])</f>
        <v>0</v>
      </c>
      <c r="AQ733"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733" s="22" t="str">
        <f>IFERROR(IF(DATA[[#This Row],[estado_fact]]="FACTURADO",VLOOKUP(DATA[[#This Row],[SERIE2]]&amp;"-"&amp;DATA[[#This Row],[NUMERO]],#REF!,34,0),"NO CORRESPONDE"),"NO CORRESPONDE")</f>
        <v>NO CORRESPONDE</v>
      </c>
      <c r="AS733" s="135" t="str">
        <f>IF(DATA[[#This Row],[fecha_fs]]&gt;0,TEXT(DATA[[#This Row],[fecha_fs]],"Mmmm"),0)</f>
        <v>Junio</v>
      </c>
      <c r="AT733" s="22" t="str">
        <f>DATA[[#This Row],[SERIE2]]&amp;"-"&amp;DATA[[#This Row],[NUMERO]]</f>
        <v>-</v>
      </c>
      <c r="AU733" s="28">
        <f>DATA[[#This Row],[TOTAL]]*DATA[[#This Row],[T.C.]]</f>
        <v>0</v>
      </c>
      <c r="AV733" s="6">
        <f>DATA[[#This Row],[FECHA DE VAL.]]</f>
        <v>0</v>
      </c>
      <c r="AW733" s="6">
        <f>DATA[[#This Row],[FECHA DE EMISION]]</f>
        <v>0</v>
      </c>
      <c r="AX733" s="6">
        <f>DATA[[#This Row],[F1]]</f>
        <v>0</v>
      </c>
      <c r="AY733" s="20">
        <f>IF(AV733-DATA[[#This Row],[fecha_fs]]&lt;0,0,AV733-DATA[[#This Row],[fecha_fs]])</f>
        <v>0</v>
      </c>
      <c r="AZ733" s="20">
        <f t="shared" si="76"/>
        <v>0</v>
      </c>
      <c r="BA733" s="20">
        <f t="shared" si="77"/>
        <v>0</v>
      </c>
      <c r="BB733" s="195">
        <f>IFERROR(SUM(DATA[[#This Row],[fs_val_ttf]:[fact_pago_ttf]]),0)</f>
        <v>0</v>
      </c>
      <c r="BC733" s="185">
        <v>45810</v>
      </c>
      <c r="BD733" s="185">
        <v>45810</v>
      </c>
      <c r="BE733" s="185">
        <v>45841</v>
      </c>
      <c r="BF733" s="185">
        <v>45841</v>
      </c>
      <c r="BG733" s="20">
        <f>IFERROR(IF(BC733-DATA[[#This Row],[fecha_fs]]&lt;0,0,BC733-DATA[[#This Row],[fecha_fs]]),0)</f>
        <v>0</v>
      </c>
      <c r="BH733" s="20">
        <f t="shared" si="78"/>
        <v>0</v>
      </c>
      <c r="BI733" s="20">
        <f t="shared" si="79"/>
        <v>31</v>
      </c>
      <c r="BJ733" s="20">
        <f t="shared" si="80"/>
        <v>0</v>
      </c>
      <c r="BK733" s="218">
        <f>IFERROR(SUM(DATA[[#This Row],[fs_fd_ttd]:[fend_fenf_ttd]]),0)</f>
        <v>31</v>
      </c>
      <c r="BL733" s="20" t="str">
        <f>IF(DATA[[#This Row],[fecha_fs]]&gt;0,TEXT(DATA[[#This Row],[fecha_fs]],"YYYY"),0)</f>
        <v>2025</v>
      </c>
      <c r="BM733" s="221" t="b">
        <v>1</v>
      </c>
      <c r="BN733" s="278">
        <f>COUNTIF(DATA[[#This Row],[tiempo_td]], "&lt;=15")</f>
        <v>0</v>
      </c>
      <c r="BO733" s="222"/>
    </row>
    <row r="734" spans="1:67" ht="30.6" customHeight="1" x14ac:dyDescent="0.25">
      <c r="A734" s="4">
        <v>20141637941</v>
      </c>
      <c r="B734" s="5" t="s">
        <v>79</v>
      </c>
      <c r="C734" s="52" t="s">
        <v>18</v>
      </c>
      <c r="D734" s="4" t="s">
        <v>120</v>
      </c>
      <c r="E734" s="5" t="s">
        <v>3</v>
      </c>
      <c r="F734" s="24">
        <v>45810</v>
      </c>
      <c r="G734" s="7" t="s">
        <v>113</v>
      </c>
      <c r="H734" s="25">
        <f t="shared" si="75"/>
        <v>1</v>
      </c>
      <c r="I734" s="67">
        <v>4580</v>
      </c>
      <c r="J734" s="8" t="s">
        <v>115</v>
      </c>
      <c r="K734" s="9" t="s">
        <v>121</v>
      </c>
      <c r="L734" s="10" t="s">
        <v>117</v>
      </c>
      <c r="M734" s="11">
        <v>780</v>
      </c>
      <c r="N734" s="12" t="s">
        <v>125</v>
      </c>
      <c r="O734" s="6">
        <v>45814</v>
      </c>
      <c r="P734" s="110">
        <v>3488</v>
      </c>
      <c r="Q734" s="14" t="s">
        <v>85</v>
      </c>
      <c r="R734" s="15">
        <f>70</f>
        <v>70</v>
      </c>
      <c r="S734" s="56">
        <v>517</v>
      </c>
      <c r="T734" s="15">
        <f>DATA[[#This Row],[C. DF]]+DATA[[#This Row],[C.OPE.]]</f>
        <v>587</v>
      </c>
      <c r="U734" s="15">
        <f>DATA[[#This Row],[SUB TOTAL]]*0.18</f>
        <v>105.66</v>
      </c>
      <c r="V734" s="15">
        <f>IFERROR(ROUND(DATA[[#This Row],[SUB TOTAL]]+DATA[[#This Row],[IGV]],2),0)</f>
        <v>692.66</v>
      </c>
      <c r="W734" s="16" t="str">
        <f>IF(DATA[[#This Row],[VALORIZACIÓN ]]="-","NO CORRESPONDE",IF(OR(A734=20558226979,A734=10470707866,A734=20111157058,A734=20100226902),"NO CORRESPONDE",IF(J734="Emitida",IF(P734&gt;0,"EMITIDA","PENDIENTE"),"NO CORRESPONDE")))</f>
        <v>EMITIDA</v>
      </c>
      <c r="X734" s="29"/>
      <c r="Y734" s="17" t="s">
        <v>118</v>
      </c>
      <c r="Z734" s="30">
        <v>45818</v>
      </c>
      <c r="AA734" s="10" t="s">
        <v>150</v>
      </c>
      <c r="AB734" s="19">
        <v>114</v>
      </c>
      <c r="AC734" s="20">
        <v>30</v>
      </c>
      <c r="AD734" s="18">
        <f>DATA[[#This Row],[FECHA DE EMISION]]+DATA[[#This Row],[CONDICION DE PAGO]]</f>
        <v>45848</v>
      </c>
      <c r="AE734" s="23">
        <f>IF(DATA[[#This Row],[MONEDA]]="USD",VLOOKUP(DATA[[#This Row],[COMBINADA]],#REF!,11,0),1)</f>
        <v>1</v>
      </c>
      <c r="AF734" s="129" t="str">
        <f>IF(DATA[[#This Row],[SERIE2]]="-","NO CORRESPONDE",IF(W734="NO CORRESPONDE","NO CORRESPONDE",IF(Z734&gt;0,"FACTURADO","PENDIENTE")))</f>
        <v>FACTURADO</v>
      </c>
      <c r="AG734" s="133">
        <f>IFERROR(VLOOKUP(DATA[[#This Row],[COMBINADA]],#REF!,6,0),0)</f>
        <v>0</v>
      </c>
      <c r="AH734" s="125">
        <f>IFERROR(VLOOKUP(DATA[[#This Row],[COMBINADA]],#REF!,9,0),0)/COUNTIFS(DATA[COMBINADA],DATA[[#This Row],[COMBINADA]])</f>
        <v>0</v>
      </c>
      <c r="AI734" s="136">
        <f>IFERROR(VLOOKUP(DATA[[#This Row],[COMBINADA]],#REF!,6,0),0)</f>
        <v>0</v>
      </c>
      <c r="AJ734" s="132">
        <f>IFERROR(VLOOKUP(DATA[[#This Row],[COMBINADA]],#REF!,9,0),0)/COUNTIFS(DATA[COMBINADA],DATA[[#This Row],[COMBINADA]])</f>
        <v>0</v>
      </c>
      <c r="AK734" s="408">
        <f>IFERROR(VLOOKUP(DATA[[#This Row],[COMBINADA]],#REF!,6,0),0)</f>
        <v>0</v>
      </c>
      <c r="AL734" s="125">
        <f>IFERROR(VLOOKUP(DATA[[#This Row],[COMBINADA]],#REF!,9,0),0)/COUNTIFS(DATA[COMBINADA],DATA[[#This Row],[COMBINADA]])</f>
        <v>0</v>
      </c>
      <c r="AM734" s="133">
        <f>IFERROR(VLOOKUP(DATA[[#This Row],[COMBINADA]],#REF!,6,0),0)</f>
        <v>0</v>
      </c>
      <c r="AN734" s="125">
        <f>IFERROR(VLOOKUP(DATA[[#This Row],[COMBINADA]],#REF!,9,0),0)/COUNTIFS(DATA[COMBINADA],DATA[[#This Row],[COMBINADA]])</f>
        <v>0</v>
      </c>
      <c r="AO734" s="133">
        <f>IFERROR(VLOOKUP(DATA[[#This Row],[COMBINADA]],#REF!,6,0),0)</f>
        <v>0</v>
      </c>
      <c r="AP734" s="132">
        <f>IFERROR(VLOOKUP(DATA[[#This Row],[COMBINADA]],#REF!,9,0),0)/COUNTIFS(DATA[COMBINADA],DATA[[#This Row],[COMBINADA]])</f>
        <v>0</v>
      </c>
      <c r="AQ73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698.95333333333326</v>
      </c>
      <c r="AR734" s="26" t="str">
        <f>IFERROR(IF(DATA[[#This Row],[estado_fact]]="FACTURADO",VLOOKUP(DATA[[#This Row],[SERIE2]]&amp;"-"&amp;DATA[[#This Row],[NUMERO]],#REF!,34,0),"NO CORRESPONDE"),"NO CORRESPONDE")</f>
        <v>NO CORRESPONDE</v>
      </c>
      <c r="AS734" s="22" t="str">
        <f>IF(DATA[[#This Row],[fecha_fs]]&gt;0,TEXT(DATA[[#This Row],[fecha_fs]],"Mmmm"),0)</f>
        <v>Junio</v>
      </c>
      <c r="AT734" s="22" t="str">
        <f>DATA[[#This Row],[SERIE2]]&amp;"-"&amp;DATA[[#This Row],[NUMERO]]</f>
        <v>FF01-114</v>
      </c>
      <c r="AU734" s="28">
        <f>DATA[[#This Row],[TOTAL]]*DATA[[#This Row],[T.C.]]</f>
        <v>692.66</v>
      </c>
      <c r="AV734" s="6">
        <f>DATA[[#This Row],[FECHA DE VAL.]]</f>
        <v>45814</v>
      </c>
      <c r="AW734" s="6">
        <f>DATA[[#This Row],[FECHA DE EMISION]]</f>
        <v>45818</v>
      </c>
      <c r="AX734" s="6">
        <f>DATA[[#This Row],[F1]]</f>
        <v>0</v>
      </c>
      <c r="AY734" s="20">
        <f>IF(AV734-DATA[[#This Row],[fecha_fs]]&lt;0,0,AV734-DATA[[#This Row],[fecha_fs]])</f>
        <v>4</v>
      </c>
      <c r="AZ734" s="20">
        <f t="shared" si="76"/>
        <v>4</v>
      </c>
      <c r="BA734" s="20">
        <f t="shared" si="77"/>
        <v>0</v>
      </c>
      <c r="BB734" s="195">
        <f>IFERROR(SUM(DATA[[#This Row],[fs_val_ttf]:[fact_pago_ttf]]),0)</f>
        <v>8</v>
      </c>
      <c r="BC734" s="187">
        <v>45810</v>
      </c>
      <c r="BD734" s="187">
        <v>45810</v>
      </c>
      <c r="BE734" s="187">
        <v>45818</v>
      </c>
      <c r="BF734" s="187">
        <v>45818</v>
      </c>
      <c r="BG734" s="20">
        <f>IFERROR(IF(BC734-DATA[[#This Row],[fecha_fs]]&lt;0,0,BC734-DATA[[#This Row],[fecha_fs]]),0)</f>
        <v>0</v>
      </c>
      <c r="BH734" s="20">
        <f t="shared" si="78"/>
        <v>0</v>
      </c>
      <c r="BI734" s="20">
        <f t="shared" si="79"/>
        <v>8</v>
      </c>
      <c r="BJ734" s="20">
        <f t="shared" si="80"/>
        <v>0</v>
      </c>
      <c r="BK734" s="218">
        <f>IFERROR(SUM(DATA[[#This Row],[fs_fd_ttd]:[fend_fenf_ttd]]),0)</f>
        <v>8</v>
      </c>
      <c r="BL734" s="20" t="str">
        <f>IF(DATA[[#This Row],[fecha_fs]]&gt;0,TEXT(DATA[[#This Row],[fecha_fs]],"YYYY"),0)</f>
        <v>2025</v>
      </c>
      <c r="BM734" s="221" t="b">
        <v>1</v>
      </c>
      <c r="BN734" s="278">
        <f>COUNTIF(DATA[[#This Row],[tiempo_td]], "&lt;=15")</f>
        <v>1</v>
      </c>
      <c r="BO734" s="222"/>
    </row>
    <row r="735" spans="1:67" ht="30.6" customHeight="1" x14ac:dyDescent="0.25">
      <c r="A735" s="4">
        <v>20100192064</v>
      </c>
      <c r="B735" s="5" t="s">
        <v>60</v>
      </c>
      <c r="C735" s="52" t="s">
        <v>65</v>
      </c>
      <c r="D735" s="4" t="s">
        <v>120</v>
      </c>
      <c r="E735" s="5" t="s">
        <v>3</v>
      </c>
      <c r="F735" s="24">
        <v>45810</v>
      </c>
      <c r="G735" s="7" t="s">
        <v>142</v>
      </c>
      <c r="H735" s="25">
        <f t="shared" si="75"/>
        <v>2</v>
      </c>
      <c r="I735" s="67">
        <v>1093</v>
      </c>
      <c r="J735" s="8" t="s">
        <v>115</v>
      </c>
      <c r="K735" s="9" t="s">
        <v>121</v>
      </c>
      <c r="L735" s="10" t="s">
        <v>117</v>
      </c>
      <c r="M735" s="11">
        <v>630</v>
      </c>
      <c r="N735" s="112" t="s">
        <v>180</v>
      </c>
      <c r="O735" s="6">
        <v>45834</v>
      </c>
      <c r="P735" s="71">
        <v>3511</v>
      </c>
      <c r="Q735" s="14" t="s">
        <v>123</v>
      </c>
      <c r="R735" s="15">
        <f>(DATA[[#This Row],[cantidad_fs]]/1000)*(37+81.01)</f>
        <v>74.346299999999999</v>
      </c>
      <c r="S735" s="56">
        <v>103.6</v>
      </c>
      <c r="T735" s="15">
        <f>DATA[[#This Row],[C. DF]]+DATA[[#This Row],[C.OPE.]]</f>
        <v>177.94630000000001</v>
      </c>
      <c r="U735" s="15">
        <f>DATA[[#This Row],[SUB TOTAL]]*0.18</f>
        <v>32.030334000000003</v>
      </c>
      <c r="V735" s="15">
        <f>IFERROR(ROUND(DATA[[#This Row],[SUB TOTAL]]+DATA[[#This Row],[IGV]],2),0)</f>
        <v>209.98</v>
      </c>
      <c r="W735" s="16" t="str">
        <f>IF(DATA[[#This Row],[VALORIZACIÓN ]]="-","NO CORRESPONDE",IF(OR(A735=20558226979,A735=10470707866,A735=20111157058,A735=20100226902),"NO CORRESPONDE",IF(J735="Emitida",IF(P735&gt;0,"EMITIDA","PENDIENTE"),"NO CORRESPONDE")))</f>
        <v>EMITIDA</v>
      </c>
      <c r="X735" s="29"/>
      <c r="Y735" s="17" t="s">
        <v>118</v>
      </c>
      <c r="Z735" s="30">
        <v>45838</v>
      </c>
      <c r="AA735" s="10" t="s">
        <v>150</v>
      </c>
      <c r="AB735" s="19">
        <v>140</v>
      </c>
      <c r="AC735" s="20">
        <v>30</v>
      </c>
      <c r="AD735" s="18">
        <f>DATA[[#This Row],[FECHA DE EMISION]]+DATA[[#This Row],[CONDICION DE PAGO]]</f>
        <v>45868</v>
      </c>
      <c r="AE735" s="23" t="e">
        <f>IF(DATA[[#This Row],[MONEDA]]="USD",VLOOKUP(DATA[[#This Row],[COMBINADA]],#REF!,11,0),1)</f>
        <v>#REF!</v>
      </c>
      <c r="AF735" s="129" t="str">
        <f>IF(DATA[[#This Row],[SERIE2]]="-","NO CORRESPONDE",IF(W735="NO CORRESPONDE","NO CORRESPONDE",IF(Z735&gt;0,"FACTURADO","PENDIENTE")))</f>
        <v>FACTURADO</v>
      </c>
      <c r="AG735" s="133">
        <f>IFERROR(VLOOKUP(DATA[[#This Row],[COMBINADA]],#REF!,6,0),0)</f>
        <v>0</v>
      </c>
      <c r="AH735" s="125">
        <f>IFERROR(VLOOKUP(DATA[[#This Row],[COMBINADA]],#REF!,9,0),0)/COUNTIFS(DATA[COMBINADA],DATA[[#This Row],[COMBINADA]])</f>
        <v>0</v>
      </c>
      <c r="AI735" s="136">
        <f>IFERROR(VLOOKUP(DATA[[#This Row],[COMBINADA]],#REF!,6,0),0)</f>
        <v>0</v>
      </c>
      <c r="AJ735" s="132">
        <f>IFERROR(VLOOKUP(DATA[[#This Row],[COMBINADA]],#REF!,9,0),0)/COUNTIFS(DATA[COMBINADA],DATA[[#This Row],[COMBINADA]])</f>
        <v>0</v>
      </c>
      <c r="AK735" s="407">
        <f>IFERROR(VLOOKUP(DATA[[#This Row],[COMBINADA]],#REF!,6,0),0)</f>
        <v>0</v>
      </c>
      <c r="AL735" s="125">
        <f>IFERROR(VLOOKUP(DATA[[#This Row],[COMBINADA]],#REF!,9,0),0)/COUNTIFS(DATA[COMBINADA],DATA[[#This Row],[COMBINADA]])</f>
        <v>0</v>
      </c>
      <c r="AM735" s="27">
        <f>IFERROR(VLOOKUP(DATA[[#This Row],[COMBINADA]],#REF!,6,0),0)</f>
        <v>0</v>
      </c>
      <c r="AN735" s="125">
        <f>IFERROR(VLOOKUP(DATA[[#This Row],[COMBINADA]],#REF!,9,0),0)/COUNTIFS(DATA[COMBINADA],DATA[[#This Row],[COMBINADA]])</f>
        <v>0</v>
      </c>
      <c r="AO735" s="27">
        <f>IFERROR(VLOOKUP(DATA[[#This Row],[COMBINADA]],#REF!,6,0),0)</f>
        <v>0</v>
      </c>
      <c r="AP735" s="132">
        <f>IFERROR(VLOOKUP(DATA[[#This Row],[COMBINADA]],#REF!,9,0),0)/COUNTIFS(DATA[COMBINADA],DATA[[#This Row],[COMBINADA]])</f>
        <v>0</v>
      </c>
      <c r="AQ73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469.822</v>
      </c>
      <c r="AR735" s="26" t="str">
        <f>IFERROR(IF(DATA[[#This Row],[estado_fact]]="FACTURADO",VLOOKUP(DATA[[#This Row],[SERIE2]]&amp;"-"&amp;DATA[[#This Row],[NUMERO]],#REF!,34,0),"NO CORRESPONDE"),"NO CORRESPONDE")</f>
        <v>NO CORRESPONDE</v>
      </c>
      <c r="AS735" s="22" t="str">
        <f>IF(DATA[[#This Row],[fecha_fs]]&gt;0,TEXT(DATA[[#This Row],[fecha_fs]],"Mmmm"),0)</f>
        <v>Junio</v>
      </c>
      <c r="AT735" s="22" t="str">
        <f>DATA[[#This Row],[SERIE2]]&amp;"-"&amp;DATA[[#This Row],[NUMERO]]</f>
        <v>FF01-140</v>
      </c>
      <c r="AU735" s="28" t="e">
        <f>DATA[[#This Row],[TOTAL]]*DATA[[#This Row],[T.C.]]</f>
        <v>#REF!</v>
      </c>
      <c r="AV735" s="6">
        <f>DATA[[#This Row],[FECHA DE VAL.]]</f>
        <v>45834</v>
      </c>
      <c r="AW735" s="6">
        <f>DATA[[#This Row],[FECHA DE EMISION]]</f>
        <v>45838</v>
      </c>
      <c r="AX735" s="6">
        <f>DATA[[#This Row],[F1]]</f>
        <v>0</v>
      </c>
      <c r="AY735" s="20">
        <f>IF(AV735-DATA[[#This Row],[fecha_fs]]&lt;0,0,AV735-DATA[[#This Row],[fecha_fs]])</f>
        <v>24</v>
      </c>
      <c r="AZ735" s="20">
        <f t="shared" si="76"/>
        <v>4</v>
      </c>
      <c r="BA735" s="20">
        <f t="shared" si="77"/>
        <v>0</v>
      </c>
      <c r="BB735" s="195">
        <f>IFERROR(SUM(DATA[[#This Row],[fs_val_ttf]:[fact_pago_ttf]]),0)</f>
        <v>28</v>
      </c>
      <c r="BC735" s="185">
        <v>45811</v>
      </c>
      <c r="BD735" s="185">
        <v>45828</v>
      </c>
      <c r="BE735" s="185">
        <v>45831</v>
      </c>
      <c r="BF735" s="185">
        <v>45868</v>
      </c>
      <c r="BG735" s="20">
        <f>IFERROR(IF(BC735-DATA[[#This Row],[fecha_fs]]&lt;0,0,BC735-DATA[[#This Row],[fecha_fs]]),0)</f>
        <v>1</v>
      </c>
      <c r="BH735" s="20">
        <f t="shared" si="78"/>
        <v>17</v>
      </c>
      <c r="BI735" s="20">
        <f t="shared" si="79"/>
        <v>3</v>
      </c>
      <c r="BJ735" s="20">
        <f t="shared" si="80"/>
        <v>37</v>
      </c>
      <c r="BK735" s="218">
        <f>IFERROR(SUM(DATA[[#This Row],[fs_fd_ttd]:[fend_fenf_ttd]]),0)</f>
        <v>58</v>
      </c>
      <c r="BL735" s="20" t="str">
        <f>IF(DATA[[#This Row],[fecha_fs]]&gt;0,TEXT(DATA[[#This Row],[fecha_fs]],"YYYY"),0)</f>
        <v>2025</v>
      </c>
      <c r="BM735" s="221" t="b">
        <v>1</v>
      </c>
      <c r="BN735" s="278">
        <f>COUNTIF(DATA[[#This Row],[tiempo_td]], "&lt;=15")</f>
        <v>0</v>
      </c>
      <c r="BO735" s="222"/>
    </row>
    <row r="736" spans="1:67" ht="30.6" customHeight="1" x14ac:dyDescent="0.25">
      <c r="A736" s="4">
        <v>20419158462</v>
      </c>
      <c r="B736" s="5" t="s">
        <v>2</v>
      </c>
      <c r="C736" s="52" t="s">
        <v>147</v>
      </c>
      <c r="D736" s="4" t="s">
        <v>120</v>
      </c>
      <c r="E736" s="5" t="s">
        <v>3</v>
      </c>
      <c r="F736" s="24">
        <v>45810</v>
      </c>
      <c r="G736" s="7" t="s">
        <v>113</v>
      </c>
      <c r="H736" s="25">
        <f t="shared" si="75"/>
        <v>1</v>
      </c>
      <c r="I736" s="67">
        <v>4581</v>
      </c>
      <c r="J736" s="8" t="s">
        <v>115</v>
      </c>
      <c r="K736" s="9" t="s">
        <v>148</v>
      </c>
      <c r="L736" s="10" t="s">
        <v>117</v>
      </c>
      <c r="M736" s="11">
        <v>3570</v>
      </c>
      <c r="N736" s="12" t="s">
        <v>261</v>
      </c>
      <c r="O736" s="6">
        <v>45811</v>
      </c>
      <c r="P736" s="13">
        <v>3484</v>
      </c>
      <c r="Q736" s="14" t="s">
        <v>85</v>
      </c>
      <c r="R736" s="15"/>
      <c r="S736" s="56">
        <v>2597.6999999999998</v>
      </c>
      <c r="T736" s="15">
        <f>DATA[[#This Row],[C. DF]]+DATA[[#This Row],[C.OPE.]]</f>
        <v>2597.6999999999998</v>
      </c>
      <c r="U736" s="15">
        <f>DATA[[#This Row],[SUB TOTAL]]*0.18</f>
        <v>467.58599999999996</v>
      </c>
      <c r="V736" s="15">
        <f>IFERROR(ROUND(DATA[[#This Row],[SUB TOTAL]]+DATA[[#This Row],[IGV]],2),0)</f>
        <v>3065.29</v>
      </c>
      <c r="W736" s="16" t="str">
        <f>IF(DATA[[#This Row],[VALORIZACIÓN ]]="-","NO CORRESPONDE",IF(OR(A736=20558226979,A736=10470707866,A736=20111157058,A736=20100226902),"NO CORRESPONDE",IF(J736="Emitida",IF(P736&gt;0,"EMITIDA","PENDIENTE"),"NO CORRESPONDE")))</f>
        <v>EMITIDA</v>
      </c>
      <c r="X736" s="29"/>
      <c r="Y736" s="17" t="s">
        <v>118</v>
      </c>
      <c r="Z736" s="30">
        <v>45846</v>
      </c>
      <c r="AA736" s="10" t="s">
        <v>150</v>
      </c>
      <c r="AB736" s="19">
        <v>166</v>
      </c>
      <c r="AC736" s="20">
        <v>15</v>
      </c>
      <c r="AD736" s="18">
        <f>DATA[[#This Row],[FECHA DE EMISION]]+DATA[[#This Row],[CONDICION DE PAGO]]</f>
        <v>45861</v>
      </c>
      <c r="AE736" s="23">
        <f>IF(DATA[[#This Row],[MONEDA]]="USD",VLOOKUP(DATA[[#This Row],[COMBINADA]],#REF!,11,0),1)</f>
        <v>1</v>
      </c>
      <c r="AF736" s="129" t="str">
        <f>IF(DATA[[#This Row],[SERIE2]]="-","NO CORRESPONDE",IF(W736="NO CORRESPONDE","NO CORRESPONDE",IF(Z736&gt;0,"FACTURADO","PENDIENTE")))</f>
        <v>FACTURADO</v>
      </c>
      <c r="AG736" s="133">
        <f>IFERROR(VLOOKUP(DATA[[#This Row],[COMBINADA]],#REF!,6,0),0)</f>
        <v>0</v>
      </c>
      <c r="AH736" s="125">
        <f>IFERROR(VLOOKUP(DATA[[#This Row],[COMBINADA]],#REF!,9,0),0)/COUNTIFS(DATA[COMBINADA],DATA[[#This Row],[COMBINADA]])</f>
        <v>0</v>
      </c>
      <c r="AI736" s="136">
        <f>IFERROR(VLOOKUP(DATA[[#This Row],[COMBINADA]],#REF!,6,0),0)</f>
        <v>0</v>
      </c>
      <c r="AJ736" s="132">
        <f>IFERROR(VLOOKUP(DATA[[#This Row],[COMBINADA]],#REF!,9,0),0)/COUNTIFS(DATA[COMBINADA],DATA[[#This Row],[COMBINADA]])</f>
        <v>0</v>
      </c>
      <c r="AK736" s="407">
        <f>IFERROR(VLOOKUP(DATA[[#This Row],[COMBINADA]],#REF!,6,0),0)</f>
        <v>0</v>
      </c>
      <c r="AL736" s="125">
        <f>IFERROR(VLOOKUP(DATA[[#This Row],[COMBINADA]],#REF!,9,0),0)/COUNTIFS(DATA[COMBINADA],DATA[[#This Row],[COMBINADA]])</f>
        <v>0</v>
      </c>
      <c r="AM736" s="27">
        <f>IFERROR(VLOOKUP(DATA[[#This Row],[COMBINADA]],#REF!,6,0),0)</f>
        <v>0</v>
      </c>
      <c r="AN736" s="125">
        <f>IFERROR(VLOOKUP(DATA[[#This Row],[COMBINADA]],#REF!,9,0),0)/COUNTIFS(DATA[COMBINADA],DATA[[#This Row],[COMBINADA]])</f>
        <v>0</v>
      </c>
      <c r="AO736" s="27">
        <f>IFERROR(VLOOKUP(DATA[[#This Row],[COMBINADA]],#REF!,6,0),0)</f>
        <v>0</v>
      </c>
      <c r="AP736" s="132">
        <f>IFERROR(VLOOKUP(DATA[[#This Row],[COMBINADA]],#REF!,9,0),0)/COUNTIFS(DATA[COMBINADA],DATA[[#This Row],[COMBINADA]])</f>
        <v>0</v>
      </c>
      <c r="AQ73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3065.29</v>
      </c>
      <c r="AR736" s="26" t="str">
        <f>IFERROR(IF(DATA[[#This Row],[estado_fact]]="FACTURADO",VLOOKUP(DATA[[#This Row],[SERIE2]]&amp;"-"&amp;DATA[[#This Row],[NUMERO]],#REF!,34,0),"NO CORRESPONDE"),"NO CORRESPONDE")</f>
        <v>NO CORRESPONDE</v>
      </c>
      <c r="AS736" s="22" t="str">
        <f>IF(DATA[[#This Row],[fecha_fs]]&gt;0,TEXT(DATA[[#This Row],[fecha_fs]],"Mmmm"),0)</f>
        <v>Junio</v>
      </c>
      <c r="AT736" s="22" t="str">
        <f>DATA[[#This Row],[SERIE2]]&amp;"-"&amp;DATA[[#This Row],[NUMERO]]</f>
        <v>FF01-166</v>
      </c>
      <c r="AU736" s="28">
        <f>DATA[[#This Row],[TOTAL]]*DATA[[#This Row],[T.C.]]</f>
        <v>3065.29</v>
      </c>
      <c r="AV736" s="6">
        <f>DATA[[#This Row],[FECHA DE VAL.]]</f>
        <v>45811</v>
      </c>
      <c r="AW736" s="6">
        <f>DATA[[#This Row],[FECHA DE EMISION]]</f>
        <v>45846</v>
      </c>
      <c r="AX736" s="6">
        <f>DATA[[#This Row],[F1]]</f>
        <v>0</v>
      </c>
      <c r="AY736" s="20">
        <f>IF(AV736-DATA[[#This Row],[fecha_fs]]&lt;0,0,AV736-DATA[[#This Row],[fecha_fs]])</f>
        <v>1</v>
      </c>
      <c r="AZ736" s="20">
        <f t="shared" si="76"/>
        <v>35</v>
      </c>
      <c r="BA736" s="20">
        <f t="shared" si="77"/>
        <v>0</v>
      </c>
      <c r="BB736" s="195">
        <f>IFERROR(SUM(DATA[[#This Row],[fs_val_ttf]:[fact_pago_ttf]]),0)</f>
        <v>36</v>
      </c>
      <c r="BC736" s="185">
        <v>45810</v>
      </c>
      <c r="BD736" s="185">
        <v>45810</v>
      </c>
      <c r="BE736" s="185">
        <v>45840</v>
      </c>
      <c r="BF736" s="185">
        <v>45840</v>
      </c>
      <c r="BG736" s="20">
        <f>IFERROR(IF(BC736-DATA[[#This Row],[fecha_fs]]&lt;0,0,BC736-DATA[[#This Row],[fecha_fs]]),0)</f>
        <v>0</v>
      </c>
      <c r="BH736" s="20">
        <f t="shared" si="78"/>
        <v>0</v>
      </c>
      <c r="BI736" s="20">
        <f t="shared" si="79"/>
        <v>30</v>
      </c>
      <c r="BJ736" s="20">
        <f t="shared" si="80"/>
        <v>0</v>
      </c>
      <c r="BK736" s="218">
        <f>IFERROR(SUM(DATA[[#This Row],[fs_fd_ttd]:[fend_fenf_ttd]]),0)</f>
        <v>30</v>
      </c>
      <c r="BL736" s="20" t="str">
        <f>IF(DATA[[#This Row],[fecha_fs]]&gt;0,TEXT(DATA[[#This Row],[fecha_fs]],"YYYY"),0)</f>
        <v>2025</v>
      </c>
      <c r="BM736" s="221" t="b">
        <v>1</v>
      </c>
      <c r="BN736" s="278">
        <f>COUNTIF(DATA[[#This Row],[tiempo_td]], "&lt;=15")</f>
        <v>0</v>
      </c>
      <c r="BO736" s="222"/>
    </row>
    <row r="737" spans="1:67" ht="30.6" customHeight="1" x14ac:dyDescent="0.25">
      <c r="A737" s="4">
        <v>20100211115</v>
      </c>
      <c r="B737" s="5" t="s">
        <v>41</v>
      </c>
      <c r="C737" s="52" t="s">
        <v>18</v>
      </c>
      <c r="D737" s="4" t="s">
        <v>120</v>
      </c>
      <c r="E737" s="5" t="s">
        <v>3</v>
      </c>
      <c r="F737" s="24">
        <v>45810</v>
      </c>
      <c r="G737" s="7" t="s">
        <v>113</v>
      </c>
      <c r="H737" s="25">
        <f t="shared" si="75"/>
        <v>1</v>
      </c>
      <c r="I737" s="67">
        <v>4582</v>
      </c>
      <c r="J737" s="8" t="s">
        <v>115</v>
      </c>
      <c r="K737" s="9" t="s">
        <v>121</v>
      </c>
      <c r="L737" s="10" t="s">
        <v>117</v>
      </c>
      <c r="M737" s="11">
        <v>90</v>
      </c>
      <c r="N737" s="12" t="s">
        <v>132</v>
      </c>
      <c r="O737" s="6">
        <v>45834</v>
      </c>
      <c r="P737" s="115">
        <v>3515</v>
      </c>
      <c r="Q737" s="14" t="s">
        <v>85</v>
      </c>
      <c r="R737" s="15"/>
      <c r="S737" s="15">
        <f>(DATA[[#This Row],[cantidad_fs]]*4.17)</f>
        <v>375.3</v>
      </c>
      <c r="T737" s="15">
        <f>DATA[[#This Row],[C. DF]]+DATA[[#This Row],[C.OPE.]]</f>
        <v>375.3</v>
      </c>
      <c r="U737" s="15">
        <f>DATA[[#This Row],[SUB TOTAL]]*0.18</f>
        <v>67.554000000000002</v>
      </c>
      <c r="V737" s="15">
        <f>IFERROR(ROUND(DATA[[#This Row],[SUB TOTAL]]+DATA[[#This Row],[IGV]],2),0)</f>
        <v>442.85</v>
      </c>
      <c r="W737" s="16" t="str">
        <f>IF(DATA[[#This Row],[VALORIZACIÓN ]]="-","NO CORRESPONDE",IF(OR(A737=20558226979,A737=10470707866,A737=20111157058,A737=20100226902),"NO CORRESPONDE",IF(J737="Emitida",IF(P737&gt;0,"EMITIDA","PENDIENTE"),"NO CORRESPONDE")))</f>
        <v>EMITIDA</v>
      </c>
      <c r="X737" s="29"/>
      <c r="Y737" s="17" t="s">
        <v>118</v>
      </c>
      <c r="Z737" s="30">
        <v>45835</v>
      </c>
      <c r="AA737" s="10" t="s">
        <v>150</v>
      </c>
      <c r="AB737" s="19">
        <v>137</v>
      </c>
      <c r="AC737" s="20">
        <v>30</v>
      </c>
      <c r="AD737" s="18">
        <f>DATA[[#This Row],[FECHA DE EMISION]]+DATA[[#This Row],[CONDICION DE PAGO]]</f>
        <v>45865</v>
      </c>
      <c r="AE737" s="23">
        <f>IF(DATA[[#This Row],[MONEDA]]="USD",VLOOKUP(DATA[[#This Row],[COMBINADA]],#REF!,11,0),1)</f>
        <v>1</v>
      </c>
      <c r="AF737" s="129" t="str">
        <f>IF(DATA[[#This Row],[SERIE2]]="-","NO CORRESPONDE",IF(W737="NO CORRESPONDE","NO CORRESPONDE",IF(Z737&gt;0,"FACTURADO","PENDIENTE")))</f>
        <v>FACTURADO</v>
      </c>
      <c r="AG737" s="133">
        <f>IFERROR(VLOOKUP(DATA[[#This Row],[COMBINADA]],#REF!,6,0),0)</f>
        <v>0</v>
      </c>
      <c r="AH737" s="125">
        <f>IFERROR(VLOOKUP(DATA[[#This Row],[COMBINADA]],#REF!,9,0),0)/COUNTIFS(DATA[COMBINADA],DATA[[#This Row],[COMBINADA]])</f>
        <v>0</v>
      </c>
      <c r="AI737" s="136">
        <f>IFERROR(VLOOKUP(DATA[[#This Row],[COMBINADA]],#REF!,6,0),0)</f>
        <v>0</v>
      </c>
      <c r="AJ737" s="132">
        <f>IFERROR(VLOOKUP(DATA[[#This Row],[COMBINADA]],#REF!,9,0),0)/COUNTIFS(DATA[COMBINADA],DATA[[#This Row],[COMBINADA]])</f>
        <v>0</v>
      </c>
      <c r="AK737" s="407">
        <f>IFERROR(VLOOKUP(DATA[[#This Row],[COMBINADA]],#REF!,6,0),0)</f>
        <v>0</v>
      </c>
      <c r="AL737" s="125">
        <f>IFERROR(VLOOKUP(DATA[[#This Row],[COMBINADA]],#REF!,9,0),0)/COUNTIFS(DATA[COMBINADA],DATA[[#This Row],[COMBINADA]])</f>
        <v>0</v>
      </c>
      <c r="AM737" s="27">
        <f>IFERROR(VLOOKUP(DATA[[#This Row],[COMBINADA]],#REF!,6,0),0)</f>
        <v>0</v>
      </c>
      <c r="AN737" s="125">
        <f>IFERROR(VLOOKUP(DATA[[#This Row],[COMBINADA]],#REF!,9,0),0)/COUNTIFS(DATA[COMBINADA],DATA[[#This Row],[COMBINADA]])</f>
        <v>0</v>
      </c>
      <c r="AO737" s="27">
        <f>IFERROR(VLOOKUP(DATA[[#This Row],[COMBINADA]],#REF!,6,0),0)</f>
        <v>0</v>
      </c>
      <c r="AP737" s="132">
        <f>IFERROR(VLOOKUP(DATA[[#This Row],[COMBINADA]],#REF!,9,0),0)/COUNTIFS(DATA[COMBINADA],DATA[[#This Row],[COMBINADA]])</f>
        <v>0</v>
      </c>
      <c r="AQ73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737" s="26" t="str">
        <f>IFERROR(IF(DATA[[#This Row],[estado_fact]]="FACTURADO",VLOOKUP(DATA[[#This Row],[SERIE2]]&amp;"-"&amp;DATA[[#This Row],[NUMERO]],#REF!,34,0),"NO CORRESPONDE"),"NO CORRESPONDE")</f>
        <v>NO CORRESPONDE</v>
      </c>
      <c r="AS737" s="22" t="str">
        <f>IF(DATA[[#This Row],[fecha_fs]]&gt;0,TEXT(DATA[[#This Row],[fecha_fs]],"Mmmm"),0)</f>
        <v>Junio</v>
      </c>
      <c r="AT737" s="22" t="str">
        <f>DATA[[#This Row],[SERIE2]]&amp;"-"&amp;DATA[[#This Row],[NUMERO]]</f>
        <v>FF01-137</v>
      </c>
      <c r="AU737" s="28">
        <f>DATA[[#This Row],[TOTAL]]*DATA[[#This Row],[T.C.]]</f>
        <v>442.85</v>
      </c>
      <c r="AV737" s="6">
        <f>DATA[[#This Row],[FECHA DE VAL.]]</f>
        <v>45834</v>
      </c>
      <c r="AW737" s="6">
        <f>DATA[[#This Row],[FECHA DE EMISION]]</f>
        <v>45835</v>
      </c>
      <c r="AX737" s="6">
        <f>DATA[[#This Row],[F1]]</f>
        <v>0</v>
      </c>
      <c r="AY737" s="20">
        <f>IF(AV737-DATA[[#This Row],[fecha_fs]]&lt;0,0,AV737-DATA[[#This Row],[fecha_fs]])</f>
        <v>24</v>
      </c>
      <c r="AZ737" s="20">
        <f t="shared" si="76"/>
        <v>1</v>
      </c>
      <c r="BA737" s="20">
        <f t="shared" si="77"/>
        <v>0</v>
      </c>
      <c r="BB737" s="195">
        <f>IFERROR(SUM(DATA[[#This Row],[fs_val_ttf]:[fact_pago_ttf]]),0)</f>
        <v>25</v>
      </c>
      <c r="BC737" s="185">
        <v>45838</v>
      </c>
      <c r="BD737" s="185">
        <v>45846</v>
      </c>
      <c r="BE737" s="185">
        <v>45848</v>
      </c>
      <c r="BF737" s="185">
        <v>45849</v>
      </c>
      <c r="BG737" s="20">
        <f>IFERROR(IF(BC737-DATA[[#This Row],[fecha_fs]]&lt;0,0,BC737-DATA[[#This Row],[fecha_fs]]),0)</f>
        <v>28</v>
      </c>
      <c r="BH737" s="20">
        <f t="shared" si="78"/>
        <v>8</v>
      </c>
      <c r="BI737" s="20">
        <f t="shared" si="79"/>
        <v>2</v>
      </c>
      <c r="BJ737" s="20">
        <f t="shared" si="80"/>
        <v>1</v>
      </c>
      <c r="BK737" s="218">
        <f>IFERROR(SUM(DATA[[#This Row],[fs_fd_ttd]:[fend_fenf_ttd]]),0)</f>
        <v>39</v>
      </c>
      <c r="BL737" s="20" t="str">
        <f>IF(DATA[[#This Row],[fecha_fs]]&gt;0,TEXT(DATA[[#This Row],[fecha_fs]],"YYYY"),0)</f>
        <v>2025</v>
      </c>
      <c r="BM737" s="221" t="b">
        <v>1</v>
      </c>
      <c r="BN737" s="278">
        <f>COUNTIF(DATA[[#This Row],[tiempo_td]], "&lt;=15")</f>
        <v>0</v>
      </c>
      <c r="BO737" s="222"/>
    </row>
    <row r="738" spans="1:67" ht="30.6" customHeight="1" x14ac:dyDescent="0.25">
      <c r="A738" s="4">
        <v>20505675836</v>
      </c>
      <c r="B738" s="5" t="s">
        <v>42</v>
      </c>
      <c r="C738" s="52" t="s">
        <v>20</v>
      </c>
      <c r="D738" s="4" t="s">
        <v>112</v>
      </c>
      <c r="E738" s="5" t="s">
        <v>1</v>
      </c>
      <c r="F738" s="24">
        <v>45810</v>
      </c>
      <c r="G738" s="7" t="s">
        <v>113</v>
      </c>
      <c r="H738" s="25">
        <f t="shared" si="75"/>
        <v>1</v>
      </c>
      <c r="I738" s="67">
        <v>4583</v>
      </c>
      <c r="J738" s="8" t="s">
        <v>115</v>
      </c>
      <c r="K738" s="9" t="s">
        <v>116</v>
      </c>
      <c r="L738" s="10" t="s">
        <v>117</v>
      </c>
      <c r="M738" s="11">
        <v>740</v>
      </c>
      <c r="N738" s="12" t="s">
        <v>125</v>
      </c>
      <c r="O738" s="6">
        <v>45835</v>
      </c>
      <c r="P738" s="71">
        <v>3521</v>
      </c>
      <c r="Q738" s="14" t="s">
        <v>85</v>
      </c>
      <c r="R738" s="15">
        <f>(DATA[[#This Row],[cantidad_fs]]-600)*0.97</f>
        <v>135.79999999999998</v>
      </c>
      <c r="S738" s="15">
        <v>1988.35</v>
      </c>
      <c r="T738" s="15">
        <f>DATA[[#This Row],[C. DF]]+DATA[[#This Row],[C.OPE.]]</f>
        <v>2124.15</v>
      </c>
      <c r="U738" s="15">
        <f>DATA[[#This Row],[SUB TOTAL]]*0.18</f>
        <v>382.34699999999998</v>
      </c>
      <c r="V738" s="15">
        <f>IFERROR(ROUND(DATA[[#This Row],[SUB TOTAL]]+DATA[[#This Row],[IGV]],2),0)</f>
        <v>2506.5</v>
      </c>
      <c r="W738" s="16" t="str">
        <f>IF(DATA[[#This Row],[VALORIZACIÓN ]]="-","NO CORRESPONDE",IF(OR(A738=20558226979,A738=10470707866,A738=20111157058,A738=20100226902),"NO CORRESPONDE",IF(J738="Emitida",IF(P738&gt;0,"EMITIDA","PENDIENTE"),"NO CORRESPONDE")))</f>
        <v>EMITIDA</v>
      </c>
      <c r="X738" s="29"/>
      <c r="Y738" s="17" t="s">
        <v>118</v>
      </c>
      <c r="Z738" s="30">
        <v>45846</v>
      </c>
      <c r="AA738" s="10" t="s">
        <v>150</v>
      </c>
      <c r="AB738" s="19">
        <v>165</v>
      </c>
      <c r="AC738" s="20">
        <v>30</v>
      </c>
      <c r="AD738" s="18">
        <f>DATA[[#This Row],[FECHA DE EMISION]]+DATA[[#This Row],[CONDICION DE PAGO]]</f>
        <v>45876</v>
      </c>
      <c r="AE738" s="23">
        <f>IF(DATA[[#This Row],[MONEDA]]="USD",VLOOKUP(DATA[[#This Row],[COMBINADA]],#REF!,11,0),1)</f>
        <v>1</v>
      </c>
      <c r="AF738" s="129" t="str">
        <f>IF(DATA[[#This Row],[SERIE2]]="-","NO CORRESPONDE",IF(W738="NO CORRESPONDE","NO CORRESPONDE",IF(Z738&gt;0,"FACTURADO","PENDIENTE")))</f>
        <v>FACTURADO</v>
      </c>
      <c r="AG738" s="133">
        <f>IFERROR(VLOOKUP(DATA[[#This Row],[COMBINADA]],#REF!,6,0),0)</f>
        <v>0</v>
      </c>
      <c r="AH738" s="125">
        <f>IFERROR(VLOOKUP(DATA[[#This Row],[COMBINADA]],#REF!,9,0),0)/COUNTIFS(DATA[COMBINADA],DATA[[#This Row],[COMBINADA]])</f>
        <v>0</v>
      </c>
      <c r="AI738" s="136">
        <f>IFERROR(VLOOKUP(DATA[[#This Row],[COMBINADA]],#REF!,6,0),0)</f>
        <v>0</v>
      </c>
      <c r="AJ738" s="132">
        <f>IFERROR(VLOOKUP(DATA[[#This Row],[COMBINADA]],#REF!,9,0),0)/COUNTIFS(DATA[COMBINADA],DATA[[#This Row],[COMBINADA]])</f>
        <v>0</v>
      </c>
      <c r="AK738" s="407">
        <f>IFERROR(VLOOKUP(DATA[[#This Row],[COMBINADA]],#REF!,6,0),0)</f>
        <v>0</v>
      </c>
      <c r="AL738" s="125">
        <f>IFERROR(VLOOKUP(DATA[[#This Row],[COMBINADA]],#REF!,9,0),0)/COUNTIFS(DATA[COMBINADA],DATA[[#This Row],[COMBINADA]])</f>
        <v>0</v>
      </c>
      <c r="AM738" s="27">
        <f>IFERROR(VLOOKUP(DATA[[#This Row],[COMBINADA]],#REF!,6,0),0)</f>
        <v>0</v>
      </c>
      <c r="AN738" s="125">
        <f>IFERROR(VLOOKUP(DATA[[#This Row],[COMBINADA]],#REF!,9,0),0)/COUNTIFS(DATA[COMBINADA],DATA[[#This Row],[COMBINADA]])</f>
        <v>0</v>
      </c>
      <c r="AO738" s="27">
        <f>IFERROR(VLOOKUP(DATA[[#This Row],[COMBINADA]],#REF!,6,0),0)</f>
        <v>0</v>
      </c>
      <c r="AP738" s="132">
        <f>IFERROR(VLOOKUP(DATA[[#This Row],[COMBINADA]],#REF!,9,0),0)/COUNTIFS(DATA[COMBINADA],DATA[[#This Row],[COMBINADA]])</f>
        <v>0</v>
      </c>
      <c r="AQ73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2163.4633333333336</v>
      </c>
      <c r="AR738" s="26" t="str">
        <f>IFERROR(IF(DATA[[#This Row],[estado_fact]]="FACTURADO",VLOOKUP(DATA[[#This Row],[SERIE2]]&amp;"-"&amp;DATA[[#This Row],[NUMERO]],#REF!,34,0),"NO CORRESPONDE"),"NO CORRESPONDE")</f>
        <v>NO CORRESPONDE</v>
      </c>
      <c r="AS738" s="22" t="str">
        <f>IF(DATA[[#This Row],[fecha_fs]]&gt;0,TEXT(DATA[[#This Row],[fecha_fs]],"Mmmm"),0)</f>
        <v>Junio</v>
      </c>
      <c r="AT738" s="22" t="str">
        <f>DATA[[#This Row],[SERIE2]]&amp;"-"&amp;DATA[[#This Row],[NUMERO]]</f>
        <v>FF01-165</v>
      </c>
      <c r="AU738" s="28">
        <f>DATA[[#This Row],[TOTAL]]*DATA[[#This Row],[T.C.]]</f>
        <v>2506.5</v>
      </c>
      <c r="AV738" s="6">
        <f>DATA[[#This Row],[FECHA DE VAL.]]</f>
        <v>45835</v>
      </c>
      <c r="AW738" s="6">
        <f>DATA[[#This Row],[FECHA DE EMISION]]</f>
        <v>45846</v>
      </c>
      <c r="AX738" s="6">
        <f>DATA[[#This Row],[F1]]</f>
        <v>0</v>
      </c>
      <c r="AY738" s="20">
        <f>IF(AV738-DATA[[#This Row],[fecha_fs]]&lt;0,0,AV738-DATA[[#This Row],[fecha_fs]])</f>
        <v>25</v>
      </c>
      <c r="AZ738" s="20">
        <f t="shared" si="76"/>
        <v>11</v>
      </c>
      <c r="BA738" s="20">
        <f t="shared" si="77"/>
        <v>0</v>
      </c>
      <c r="BB738" s="195">
        <f>IFERROR(SUM(DATA[[#This Row],[fs_val_ttf]:[fact_pago_ttf]]),0)</f>
        <v>36</v>
      </c>
      <c r="BC738" s="185">
        <v>45820</v>
      </c>
      <c r="BD738" s="185">
        <v>45826</v>
      </c>
      <c r="BE738" s="185">
        <v>45827</v>
      </c>
      <c r="BF738" s="185">
        <v>45833</v>
      </c>
      <c r="BG738" s="20">
        <f>IFERROR(IF(BC738-DATA[[#This Row],[fecha_fs]]&lt;0,0,BC738-DATA[[#This Row],[fecha_fs]]),0)</f>
        <v>10</v>
      </c>
      <c r="BH738" s="20">
        <f t="shared" si="78"/>
        <v>6</v>
      </c>
      <c r="BI738" s="20">
        <f t="shared" si="79"/>
        <v>1</v>
      </c>
      <c r="BJ738" s="20">
        <f t="shared" si="80"/>
        <v>6</v>
      </c>
      <c r="BK738" s="218">
        <f>IFERROR(SUM(DATA[[#This Row],[fs_fd_ttd]:[fend_fenf_ttd]]),0)</f>
        <v>23</v>
      </c>
      <c r="BL738" s="20" t="str">
        <f>IF(DATA[[#This Row],[fecha_fs]]&gt;0,TEXT(DATA[[#This Row],[fecha_fs]],"YYYY"),0)</f>
        <v>2025</v>
      </c>
      <c r="BM738" s="221" t="b">
        <v>1</v>
      </c>
      <c r="BN738" s="278">
        <f>COUNTIF(DATA[[#This Row],[tiempo_td]], "&lt;=15")</f>
        <v>0</v>
      </c>
      <c r="BO738" s="222"/>
    </row>
    <row r="739" spans="1:67" ht="30.6" customHeight="1" x14ac:dyDescent="0.25">
      <c r="A739" s="4">
        <v>20505675836</v>
      </c>
      <c r="B739" s="5" t="s">
        <v>42</v>
      </c>
      <c r="C739" s="52" t="s">
        <v>20</v>
      </c>
      <c r="D739" s="4" t="s">
        <v>120</v>
      </c>
      <c r="E739" s="5" t="s">
        <v>3</v>
      </c>
      <c r="F739" s="24">
        <v>45810</v>
      </c>
      <c r="G739" s="7" t="s">
        <v>113</v>
      </c>
      <c r="H739" s="25">
        <f t="shared" si="75"/>
        <v>1</v>
      </c>
      <c r="I739" s="67">
        <v>4584</v>
      </c>
      <c r="J739" s="8" t="s">
        <v>115</v>
      </c>
      <c r="K739" s="9" t="s">
        <v>121</v>
      </c>
      <c r="L739" s="10" t="s">
        <v>117</v>
      </c>
      <c r="M739" s="11">
        <v>150</v>
      </c>
      <c r="N739" s="12" t="s">
        <v>125</v>
      </c>
      <c r="O739" s="6">
        <v>45835</v>
      </c>
      <c r="P739" s="71">
        <v>3520</v>
      </c>
      <c r="Q739" s="14" t="s">
        <v>85</v>
      </c>
      <c r="R739" s="15">
        <f>(DATA[[#This Row],[cantidad_fs]]-150)*0.67</f>
        <v>0</v>
      </c>
      <c r="S739" s="15">
        <v>1387.83</v>
      </c>
      <c r="T739" s="15">
        <f>DATA[[#This Row],[C. DF]]+DATA[[#This Row],[C.OPE.]]</f>
        <v>1387.83</v>
      </c>
      <c r="U739" s="15">
        <f>DATA[[#This Row],[SUB TOTAL]]*0.18</f>
        <v>249.80939999999998</v>
      </c>
      <c r="V739" s="15">
        <f>IFERROR(ROUND(DATA[[#This Row],[SUB TOTAL]]+DATA[[#This Row],[IGV]],2),0)</f>
        <v>1637.64</v>
      </c>
      <c r="W739" s="16" t="str">
        <f>IF(DATA[[#This Row],[VALORIZACIÓN ]]="-","NO CORRESPONDE",IF(OR(A739=20558226979,A739=10470707866,A739=20111157058,A739=20100226902),"NO CORRESPONDE",IF(J739="Emitida",IF(P739&gt;0,"EMITIDA","PENDIENTE"),"NO CORRESPONDE")))</f>
        <v>EMITIDA</v>
      </c>
      <c r="X739" s="29"/>
      <c r="Y739" s="17" t="s">
        <v>118</v>
      </c>
      <c r="Z739" s="30">
        <v>45846</v>
      </c>
      <c r="AA739" s="10" t="s">
        <v>150</v>
      </c>
      <c r="AB739" s="19">
        <v>165</v>
      </c>
      <c r="AC739" s="20">
        <v>30</v>
      </c>
      <c r="AD739" s="18">
        <f>DATA[[#This Row],[FECHA DE EMISION]]+DATA[[#This Row],[CONDICION DE PAGO]]</f>
        <v>45876</v>
      </c>
      <c r="AE739" s="23">
        <f>IF(DATA[[#This Row],[MONEDA]]="USD",VLOOKUP(DATA[[#This Row],[COMBINADA]],#REF!,11,0),1)</f>
        <v>1</v>
      </c>
      <c r="AF739" s="129" t="str">
        <f>IF(DATA[[#This Row],[SERIE2]]="-","NO CORRESPONDE",IF(W739="NO CORRESPONDE","NO CORRESPONDE",IF(Z739&gt;0,"FACTURADO","PENDIENTE")))</f>
        <v>FACTURADO</v>
      </c>
      <c r="AG739" s="133">
        <f>IFERROR(VLOOKUP(DATA[[#This Row],[COMBINADA]],#REF!,6,0),0)</f>
        <v>0</v>
      </c>
      <c r="AH739" s="125">
        <f>IFERROR(VLOOKUP(DATA[[#This Row],[COMBINADA]],#REF!,9,0),0)/COUNTIFS(DATA[COMBINADA],DATA[[#This Row],[COMBINADA]])</f>
        <v>0</v>
      </c>
      <c r="AI739" s="136">
        <f>IFERROR(VLOOKUP(DATA[[#This Row],[COMBINADA]],#REF!,6,0),0)</f>
        <v>0</v>
      </c>
      <c r="AJ739" s="132">
        <f>IFERROR(VLOOKUP(DATA[[#This Row],[COMBINADA]],#REF!,9,0),0)/COUNTIFS(DATA[COMBINADA],DATA[[#This Row],[COMBINADA]])</f>
        <v>0</v>
      </c>
      <c r="AK739" s="409">
        <f>IFERROR(VLOOKUP(DATA[[#This Row],[COMBINADA]],#REF!,6,0),0)</f>
        <v>0</v>
      </c>
      <c r="AL739" s="155">
        <f>IFERROR(VLOOKUP(DATA[[#This Row],[COMBINADA]],#REF!,9,0),0)/COUNTIFS(DATA[COMBINADA],DATA[[#This Row],[COMBINADA]])</f>
        <v>0</v>
      </c>
      <c r="AM739" s="156">
        <f>IFERROR(VLOOKUP(DATA[[#This Row],[COMBINADA]],#REF!,6,0),0)</f>
        <v>0</v>
      </c>
      <c r="AN739" s="155">
        <f>IFERROR(VLOOKUP(DATA[[#This Row],[COMBINADA]],#REF!,9,0),0)/COUNTIFS(DATA[COMBINADA],DATA[[#This Row],[COMBINADA]])</f>
        <v>0</v>
      </c>
      <c r="AO739" s="156">
        <f>IFERROR(VLOOKUP(DATA[[#This Row],[COMBINADA]],#REF!,6,0),0)</f>
        <v>0</v>
      </c>
      <c r="AP739" s="157">
        <f>IFERROR(VLOOKUP(DATA[[#This Row],[COMBINADA]],#REF!,9,0),0)/COUNTIFS(DATA[COMBINADA],DATA[[#This Row],[COMBINADA]])</f>
        <v>0</v>
      </c>
      <c r="AQ739" s="15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2163.4633333333336</v>
      </c>
      <c r="AR739" s="26" t="str">
        <f>IFERROR(IF(DATA[[#This Row],[estado_fact]]="FACTURADO",VLOOKUP(DATA[[#This Row],[SERIE2]]&amp;"-"&amp;DATA[[#This Row],[NUMERO]],#REF!,34,0),"NO CORRESPONDE"),"NO CORRESPONDE")</f>
        <v>NO CORRESPONDE</v>
      </c>
      <c r="AS739" s="22" t="str">
        <f>IF(DATA[[#This Row],[fecha_fs]]&gt;0,TEXT(DATA[[#This Row],[fecha_fs]],"Mmmm"),0)</f>
        <v>Junio</v>
      </c>
      <c r="AT739" s="22" t="str">
        <f>DATA[[#This Row],[SERIE2]]&amp;"-"&amp;DATA[[#This Row],[NUMERO]]</f>
        <v>FF01-165</v>
      </c>
      <c r="AU739" s="28">
        <f>DATA[[#This Row],[TOTAL]]*DATA[[#This Row],[T.C.]]</f>
        <v>1637.64</v>
      </c>
      <c r="AV739" s="6">
        <f>DATA[[#This Row],[FECHA DE VAL.]]</f>
        <v>45835</v>
      </c>
      <c r="AW739" s="6">
        <f>DATA[[#This Row],[FECHA DE EMISION]]</f>
        <v>45846</v>
      </c>
      <c r="AX739" s="6">
        <f>DATA[[#This Row],[F1]]</f>
        <v>0</v>
      </c>
      <c r="AY739" s="20">
        <f>IF(AV739-DATA[[#This Row],[fecha_fs]]&lt;0,0,AV739-DATA[[#This Row],[fecha_fs]])</f>
        <v>25</v>
      </c>
      <c r="AZ739" s="20">
        <f t="shared" si="76"/>
        <v>11</v>
      </c>
      <c r="BA739" s="20">
        <f t="shared" si="77"/>
        <v>0</v>
      </c>
      <c r="BB739" s="195">
        <f>IFERROR(SUM(DATA[[#This Row],[fs_val_ttf]:[fact_pago_ttf]]),0)</f>
        <v>36</v>
      </c>
      <c r="BC739" s="185">
        <v>45821</v>
      </c>
      <c r="BD739" s="185">
        <v>45841</v>
      </c>
      <c r="BE739" s="185">
        <v>45848</v>
      </c>
      <c r="BF739" s="185">
        <v>45873</v>
      </c>
      <c r="BG739" s="20">
        <f>IFERROR(IF(BC739-DATA[[#This Row],[fecha_fs]]&lt;0,0,BC739-DATA[[#This Row],[fecha_fs]]),0)</f>
        <v>11</v>
      </c>
      <c r="BH739" s="20">
        <f t="shared" si="78"/>
        <v>20</v>
      </c>
      <c r="BI739" s="20">
        <f t="shared" si="79"/>
        <v>7</v>
      </c>
      <c r="BJ739" s="20">
        <f t="shared" si="80"/>
        <v>25</v>
      </c>
      <c r="BK739" s="218">
        <f>IFERROR(SUM(DATA[[#This Row],[fs_fd_ttd]:[fend_fenf_ttd]]),0)</f>
        <v>63</v>
      </c>
      <c r="BL739" s="20" t="str">
        <f>IF(DATA[[#This Row],[fecha_fs]]&gt;0,TEXT(DATA[[#This Row],[fecha_fs]],"YYYY"),0)</f>
        <v>2025</v>
      </c>
      <c r="BM739" s="221" t="b">
        <v>1</v>
      </c>
      <c r="BN739" s="278">
        <f>COUNTIF(DATA[[#This Row],[tiempo_td]], "&lt;=15")</f>
        <v>0</v>
      </c>
      <c r="BO739" s="222"/>
    </row>
    <row r="740" spans="1:67" ht="30" customHeight="1" x14ac:dyDescent="0.25">
      <c r="A740" s="4"/>
      <c r="B740" s="5" t="s">
        <v>0</v>
      </c>
      <c r="C740" s="52"/>
      <c r="D740" s="4"/>
      <c r="E740" s="5" t="s">
        <v>0</v>
      </c>
      <c r="F740" s="24">
        <v>45810</v>
      </c>
      <c r="G740" s="7" t="s">
        <v>142</v>
      </c>
      <c r="H740" s="25">
        <f t="shared" si="75"/>
        <v>2</v>
      </c>
      <c r="I740" s="67">
        <v>1094</v>
      </c>
      <c r="J740" s="8" t="s">
        <v>151</v>
      </c>
      <c r="K740" s="9"/>
      <c r="L740" s="10"/>
      <c r="M740" s="111"/>
      <c r="N740" s="112"/>
      <c r="O740" s="6"/>
      <c r="P740" s="13"/>
      <c r="Q740" s="14"/>
      <c r="R740" s="15"/>
      <c r="S740" s="56"/>
      <c r="T740" s="15">
        <f>DATA[[#This Row],[C. DF]]+DATA[[#This Row],[C.OPE.]]</f>
        <v>0</v>
      </c>
      <c r="U740" s="73">
        <f>DATA[[#This Row],[SUB TOTAL]]*0.18</f>
        <v>0</v>
      </c>
      <c r="V740" s="45">
        <f>IFERROR(ROUND(DATA[[#This Row],[SUB TOTAL]]+DATA[[#This Row],[IGV]],2),0)</f>
        <v>0</v>
      </c>
      <c r="W740" s="73" t="str">
        <f>IF(DATA[[#This Row],[VALORIZACIÓN ]]="-","NO CORRESPONDE",IF(OR(A740=20558226979,A740=10470707866,A740=20111157058,A740=20100226902),"NO CORRESPONDE",IF(J740="Emitida",IF(P740&gt;0,"EMITIDA","PENDIENTE"),"NO CORRESPONDE")))</f>
        <v>NO CORRESPONDE</v>
      </c>
      <c r="X740" s="46"/>
      <c r="Y740" s="17" t="s">
        <v>128</v>
      </c>
      <c r="Z740" s="48"/>
      <c r="AA740" s="49"/>
      <c r="AB740" s="50"/>
      <c r="AC740" s="51"/>
      <c r="AD740" s="59">
        <f>DATA[[#This Row],[FECHA DE EMISION]]+DATA[[#This Row],[CONDICION DE PAGO]]</f>
        <v>0</v>
      </c>
      <c r="AE740" s="23">
        <f>IF(DATA[[#This Row],[MONEDA]]="USD",VLOOKUP(DATA[[#This Row],[COMBINADA]],#REF!,11,0),1)</f>
        <v>1</v>
      </c>
      <c r="AF740" s="39" t="str">
        <f>IF(DATA[[#This Row],[SERIE2]]="-","NO CORRESPONDE",IF(W740="NO CORRESPONDE","NO CORRESPONDE",IF(Z740&gt;0,"FACTURADO","PENDIENTE")))</f>
        <v>NO CORRESPONDE</v>
      </c>
      <c r="AG740" s="140">
        <f>IFERROR(VLOOKUP(DATA[[#This Row],[COMBINADA]],#REF!,6,0),0)</f>
        <v>0</v>
      </c>
      <c r="AH740" s="126">
        <f>IFERROR(VLOOKUP(DATA[[#This Row],[COMBINADA]],#REF!,9,0),0)/COUNTIFS(DATA[COMBINADA],DATA[[#This Row],[COMBINADA]])</f>
        <v>0</v>
      </c>
      <c r="AI740" s="140">
        <f>IFERROR(VLOOKUP(DATA[[#This Row],[COMBINADA]],#REF!,6,0),0)</f>
        <v>0</v>
      </c>
      <c r="AJ740" s="126">
        <f>IFERROR(VLOOKUP(DATA[[#This Row],[COMBINADA]],#REF!,9,0),0)/COUNTIFS(DATA[COMBINADA],DATA[[#This Row],[COMBINADA]])</f>
        <v>0</v>
      </c>
      <c r="AK740" s="61">
        <f>IFERROR(VLOOKUP(DATA[[#This Row],[COMBINADA]],#REF!,6,0),0)</f>
        <v>0</v>
      </c>
      <c r="AL740" s="126">
        <f>IFERROR(VLOOKUP(DATA[[#This Row],[COMBINADA]],#REF!,9,0),0)/COUNTIFS(DATA[COMBINADA],DATA[[#This Row],[COMBINADA]])</f>
        <v>0</v>
      </c>
      <c r="AM740" s="140">
        <f>IFERROR(VLOOKUP(DATA[[#This Row],[COMBINADA]],#REF!,6,0),0)</f>
        <v>0</v>
      </c>
      <c r="AN740" s="126">
        <f>IFERROR(VLOOKUP(DATA[[#This Row],[COMBINADA]],#REF!,9,0),0)/COUNTIFS(DATA[COMBINADA],DATA[[#This Row],[COMBINADA]])</f>
        <v>0</v>
      </c>
      <c r="AO740" s="140">
        <f>IFERROR(VLOOKUP(DATA[[#This Row],[COMBINADA]],#REF!,6,0),0)</f>
        <v>0</v>
      </c>
      <c r="AP740" s="126">
        <f>IFERROR(VLOOKUP(DATA[[#This Row],[COMBINADA]],#REF!,9,0),0)/COUNTIFS(DATA[COMBINADA],DATA[[#This Row],[COMBINADA]])</f>
        <v>0</v>
      </c>
      <c r="AQ740" s="165">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740" s="135" t="str">
        <f>IFERROR(IF(DATA[[#This Row],[estado_fact]]="FACTURADO",VLOOKUP(DATA[[#This Row],[SERIE2]]&amp;"-"&amp;DATA[[#This Row],[NUMERO]],#REF!,34,0),"NO CORRESPONDE"),"NO CORRESPONDE")</f>
        <v>NO CORRESPONDE</v>
      </c>
      <c r="AS740" s="198" t="str">
        <f>IF(DATA[[#This Row],[fecha_fs]]&gt;0,TEXT(DATA[[#This Row],[fecha_fs]],"Mmmm"),0)</f>
        <v>Junio</v>
      </c>
      <c r="AT740" s="199" t="str">
        <f>DATA[[#This Row],[SERIE2]]&amp;"-"&amp;DATA[[#This Row],[NUMERO]]</f>
        <v>-</v>
      </c>
      <c r="AU740" s="198">
        <f>DATA[[#This Row],[TOTAL]]*DATA[[#This Row],[T.C.]]</f>
        <v>0</v>
      </c>
      <c r="AV740" s="40">
        <f>DATA[[#This Row],[FECHA DE VAL.]]</f>
        <v>0</v>
      </c>
      <c r="AW740" s="40">
        <f>DATA[[#This Row],[FECHA DE EMISION]]</f>
        <v>0</v>
      </c>
      <c r="AX740" s="40">
        <f>DATA[[#This Row],[F1]]</f>
        <v>0</v>
      </c>
      <c r="AY740" s="49">
        <f>IF(AV740-DATA[[#This Row],[fecha_fs]]&lt;0,0,AV740-DATA[[#This Row],[fecha_fs]])</f>
        <v>0</v>
      </c>
      <c r="AZ740" s="49">
        <f t="shared" si="76"/>
        <v>0</v>
      </c>
      <c r="BA740" s="49">
        <f t="shared" si="77"/>
        <v>0</v>
      </c>
      <c r="BB740" s="195">
        <f>IFERROR(SUM(DATA[[#This Row],[fs_val_ttf]:[fact_pago_ttf]]),0)</f>
        <v>0</v>
      </c>
      <c r="BC740" s="200"/>
      <c r="BD740" s="200"/>
      <c r="BE740" s="200"/>
      <c r="BF740" s="200"/>
      <c r="BG740" s="49">
        <f>IFERROR(IF(BC740-DATA[[#This Row],[fecha_fs]]&lt;0,0,BC740-DATA[[#This Row],[fecha_fs]]),0)</f>
        <v>0</v>
      </c>
      <c r="BH740" s="49">
        <f t="shared" si="78"/>
        <v>0</v>
      </c>
      <c r="BI740" s="49">
        <f t="shared" si="79"/>
        <v>0</v>
      </c>
      <c r="BJ740" s="49">
        <f t="shared" si="80"/>
        <v>0</v>
      </c>
      <c r="BK740" s="218">
        <f>IFERROR(SUM(DATA[[#This Row],[fs_fd_ttd]:[fend_fenf_ttd]]),0)</f>
        <v>0</v>
      </c>
      <c r="BL740" s="20" t="str">
        <f>IF(DATA[[#This Row],[fecha_fs]]&gt;0,TEXT(DATA[[#This Row],[fecha_fs]],"YYYY"),0)</f>
        <v>2025</v>
      </c>
      <c r="BM740" s="221" t="b">
        <v>0</v>
      </c>
      <c r="BN740" s="278"/>
      <c r="BO740" s="222"/>
    </row>
    <row r="741" spans="1:67" ht="30.6" customHeight="1" x14ac:dyDescent="0.25">
      <c r="A741" s="4">
        <v>20100192064</v>
      </c>
      <c r="B741" s="5" t="s">
        <v>60</v>
      </c>
      <c r="C741" s="52" t="s">
        <v>63</v>
      </c>
      <c r="D741" s="4" t="s">
        <v>112</v>
      </c>
      <c r="E741" s="5" t="s">
        <v>1</v>
      </c>
      <c r="F741" s="24">
        <v>45810</v>
      </c>
      <c r="G741" s="7" t="s">
        <v>142</v>
      </c>
      <c r="H741" s="25">
        <f t="shared" si="75"/>
        <v>2</v>
      </c>
      <c r="I741" s="67">
        <v>1095</v>
      </c>
      <c r="J741" s="8" t="s">
        <v>115</v>
      </c>
      <c r="K741" s="9" t="s">
        <v>116</v>
      </c>
      <c r="L741" s="10" t="s">
        <v>117</v>
      </c>
      <c r="M741" s="11">
        <v>15</v>
      </c>
      <c r="N741" s="12" t="s">
        <v>180</v>
      </c>
      <c r="O741" s="6">
        <v>45834</v>
      </c>
      <c r="P741" s="71">
        <v>3514</v>
      </c>
      <c r="Q741" s="14" t="s">
        <v>123</v>
      </c>
      <c r="R741" s="15">
        <f>(DATA[[#This Row],[cantidad_fs]]/1000)*(147+82.74)</f>
        <v>3.4460999999999999</v>
      </c>
      <c r="S741" s="15">
        <v>148.53</v>
      </c>
      <c r="T741" s="15">
        <f>DATA[[#This Row],[C. DF]]+DATA[[#This Row],[C.OPE.]]</f>
        <v>151.9761</v>
      </c>
      <c r="U741" s="15">
        <f>DATA[[#This Row],[SUB TOTAL]]*0.18</f>
        <v>27.355698</v>
      </c>
      <c r="V741" s="15">
        <f>IFERROR(ROUND(DATA[[#This Row],[SUB TOTAL]]+DATA[[#This Row],[IGV]],2),0)</f>
        <v>179.33</v>
      </c>
      <c r="W741" s="16" t="str">
        <f>IF(DATA[[#This Row],[VALORIZACIÓN ]]="-","NO CORRESPONDE",IF(OR(A741=20558226979,A741=10470707866,A741=20111157058,A741=20100226902),"NO CORRESPONDE",IF(J741="Emitida",IF(P741&gt;0,"EMITIDA","PENDIENTE"),"NO CORRESPONDE")))</f>
        <v>EMITIDA</v>
      </c>
      <c r="X741" s="29"/>
      <c r="Y741" s="17" t="s">
        <v>118</v>
      </c>
      <c r="Z741" s="30">
        <v>45838</v>
      </c>
      <c r="AA741" s="10" t="s">
        <v>150</v>
      </c>
      <c r="AB741" s="19">
        <v>140</v>
      </c>
      <c r="AC741" s="20">
        <v>30</v>
      </c>
      <c r="AD741" s="18">
        <f>DATA[[#This Row],[FECHA DE EMISION]]+DATA[[#This Row],[CONDICION DE PAGO]]</f>
        <v>45868</v>
      </c>
      <c r="AE741" s="23" t="e">
        <f>IF(DATA[[#This Row],[MONEDA]]="USD",VLOOKUP(DATA[[#This Row],[COMBINADA]],#REF!,11,0),1)</f>
        <v>#REF!</v>
      </c>
      <c r="AF741" s="129" t="str">
        <f>IF(DATA[[#This Row],[SERIE2]]="-","NO CORRESPONDE",IF(W741="NO CORRESPONDE","NO CORRESPONDE",IF(Z741&gt;0,"FACTURADO","PENDIENTE")))</f>
        <v>FACTURADO</v>
      </c>
      <c r="AG741" s="133">
        <f>IFERROR(VLOOKUP(DATA[[#This Row],[COMBINADA]],#REF!,6,0),0)</f>
        <v>0</v>
      </c>
      <c r="AH741" s="125">
        <f>IFERROR(VLOOKUP(DATA[[#This Row],[COMBINADA]],#REF!,9,0),0)/COUNTIFS(DATA[COMBINADA],DATA[[#This Row],[COMBINADA]])</f>
        <v>0</v>
      </c>
      <c r="AI741" s="136">
        <f>IFERROR(VLOOKUP(DATA[[#This Row],[COMBINADA]],#REF!,6,0),0)</f>
        <v>0</v>
      </c>
      <c r="AJ741" s="132">
        <f>IFERROR(VLOOKUP(DATA[[#This Row],[COMBINADA]],#REF!,9,0),0)/COUNTIFS(DATA[COMBINADA],DATA[[#This Row],[COMBINADA]])</f>
        <v>0</v>
      </c>
      <c r="AK741" s="408">
        <f>IFERROR(VLOOKUP(DATA[[#This Row],[COMBINADA]],#REF!,6,0),0)</f>
        <v>0</v>
      </c>
      <c r="AL741" s="125">
        <f>IFERROR(VLOOKUP(DATA[[#This Row],[COMBINADA]],#REF!,9,0),0)/COUNTIFS(DATA[COMBINADA],DATA[[#This Row],[COMBINADA]])</f>
        <v>0</v>
      </c>
      <c r="AM741" s="133">
        <f>IFERROR(VLOOKUP(DATA[[#This Row],[COMBINADA]],#REF!,6,0),0)</f>
        <v>0</v>
      </c>
      <c r="AN741" s="125">
        <f>IFERROR(VLOOKUP(DATA[[#This Row],[COMBINADA]],#REF!,9,0),0)/COUNTIFS(DATA[COMBINADA],DATA[[#This Row],[COMBINADA]])</f>
        <v>0</v>
      </c>
      <c r="AO741" s="133">
        <f>IFERROR(VLOOKUP(DATA[[#This Row],[COMBINADA]],#REF!,6,0),0)</f>
        <v>0</v>
      </c>
      <c r="AP741" s="132">
        <f>IFERROR(VLOOKUP(DATA[[#This Row],[COMBINADA]],#REF!,9,0),0)/COUNTIFS(DATA[COMBINADA],DATA[[#This Row],[COMBINADA]])</f>
        <v>0</v>
      </c>
      <c r="AQ74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469.822</v>
      </c>
      <c r="AR741" s="153" t="str">
        <f>IFERROR(IF(DATA[[#This Row],[estado_fact]]="FACTURADO",VLOOKUP(DATA[[#This Row],[SERIE2]]&amp;"-"&amp;DATA[[#This Row],[NUMERO]],#REF!,34,0),"NO CORRESPONDE"),"NO CORRESPONDE")</f>
        <v>NO CORRESPONDE</v>
      </c>
      <c r="AS741" s="22" t="str">
        <f>IF(DATA[[#This Row],[fecha_fs]]&gt;0,TEXT(DATA[[#This Row],[fecha_fs]],"Mmmm"),0)</f>
        <v>Junio</v>
      </c>
      <c r="AT741" s="22" t="str">
        <f>DATA[[#This Row],[SERIE2]]&amp;"-"&amp;DATA[[#This Row],[NUMERO]]</f>
        <v>FF01-140</v>
      </c>
      <c r="AU741" s="28" t="e">
        <f>DATA[[#This Row],[TOTAL]]*DATA[[#This Row],[T.C.]]</f>
        <v>#REF!</v>
      </c>
      <c r="AV741" s="6">
        <f>DATA[[#This Row],[FECHA DE VAL.]]</f>
        <v>45834</v>
      </c>
      <c r="AW741" s="6">
        <f>DATA[[#This Row],[FECHA DE EMISION]]</f>
        <v>45838</v>
      </c>
      <c r="AX741" s="6">
        <f>DATA[[#This Row],[F1]]</f>
        <v>0</v>
      </c>
      <c r="AY741" s="20">
        <f>IF(AV741-DATA[[#This Row],[fecha_fs]]&lt;0,0,AV741-DATA[[#This Row],[fecha_fs]])</f>
        <v>24</v>
      </c>
      <c r="AZ741" s="20">
        <f t="shared" si="76"/>
        <v>4</v>
      </c>
      <c r="BA741" s="20">
        <f t="shared" si="77"/>
        <v>0</v>
      </c>
      <c r="BB741" s="195">
        <f>IFERROR(SUM(DATA[[#This Row],[fs_val_ttf]:[fact_pago_ttf]]),0)</f>
        <v>28</v>
      </c>
      <c r="BC741" s="185">
        <v>45820</v>
      </c>
      <c r="BD741" s="185">
        <v>45826</v>
      </c>
      <c r="BE741" s="185">
        <v>45827</v>
      </c>
      <c r="BF741" s="185">
        <v>45863</v>
      </c>
      <c r="BG741" s="20">
        <f>IFERROR(IF(BC741-DATA[[#This Row],[fecha_fs]]&lt;0,0,BC741-DATA[[#This Row],[fecha_fs]]),0)</f>
        <v>10</v>
      </c>
      <c r="BH741" s="20">
        <f t="shared" si="78"/>
        <v>6</v>
      </c>
      <c r="BI741" s="20">
        <f t="shared" si="79"/>
        <v>1</v>
      </c>
      <c r="BJ741" s="20">
        <f t="shared" si="80"/>
        <v>36</v>
      </c>
      <c r="BK741" s="218">
        <f>IFERROR(SUM(DATA[[#This Row],[fs_fd_ttd]:[fend_fenf_ttd]]),0)</f>
        <v>53</v>
      </c>
      <c r="BL741" s="20" t="str">
        <f>IF(DATA[[#This Row],[fecha_fs]]&gt;0,TEXT(DATA[[#This Row],[fecha_fs]],"YYYY"),0)</f>
        <v>2025</v>
      </c>
      <c r="BM741" s="221" t="b">
        <v>1</v>
      </c>
      <c r="BN741" s="278">
        <f>COUNTIF(DATA[[#This Row],[tiempo_td]], "&lt;=15")</f>
        <v>0</v>
      </c>
      <c r="BO741" s="222"/>
    </row>
    <row r="742" spans="1:67" ht="30.6" customHeight="1" x14ac:dyDescent="0.25">
      <c r="A742" s="4">
        <v>20100192064</v>
      </c>
      <c r="B742" s="5" t="s">
        <v>60</v>
      </c>
      <c r="C742" s="52" t="s">
        <v>63</v>
      </c>
      <c r="D742" s="4" t="s">
        <v>120</v>
      </c>
      <c r="E742" s="5" t="s">
        <v>3</v>
      </c>
      <c r="F742" s="24">
        <v>45810</v>
      </c>
      <c r="G742" s="7" t="s">
        <v>142</v>
      </c>
      <c r="H742" s="25">
        <f t="shared" si="75"/>
        <v>2</v>
      </c>
      <c r="I742" s="67">
        <v>1096</v>
      </c>
      <c r="J742" s="8" t="s">
        <v>115</v>
      </c>
      <c r="K742" s="9" t="s">
        <v>121</v>
      </c>
      <c r="L742" s="10" t="s">
        <v>117</v>
      </c>
      <c r="M742" s="11">
        <v>155</v>
      </c>
      <c r="N742" s="12" t="s">
        <v>180</v>
      </c>
      <c r="O742" s="6">
        <v>45834</v>
      </c>
      <c r="P742" s="71">
        <v>3513</v>
      </c>
      <c r="Q742" s="14" t="s">
        <v>123</v>
      </c>
      <c r="R742" s="56">
        <f>(DATA[[#This Row],[cantidad_fs]]/1000)*(37+82.74)</f>
        <v>18.559699999999999</v>
      </c>
      <c r="S742" s="15">
        <v>148.53</v>
      </c>
      <c r="T742" s="15">
        <f>DATA[[#This Row],[C. DF]]+DATA[[#This Row],[C.OPE.]]</f>
        <v>167.08969999999999</v>
      </c>
      <c r="U742" s="15">
        <f>DATA[[#This Row],[SUB TOTAL]]*0.18</f>
        <v>30.076145999999998</v>
      </c>
      <c r="V742" s="15">
        <f>IFERROR(ROUND(DATA[[#This Row],[SUB TOTAL]]+DATA[[#This Row],[IGV]],2),0)</f>
        <v>197.17</v>
      </c>
      <c r="W742" s="16" t="str">
        <f>IF(DATA[[#This Row],[VALORIZACIÓN ]]="-","NO CORRESPONDE",IF(OR(A742=20558226979,A742=10470707866,A742=20111157058,A742=20100226902),"NO CORRESPONDE",IF(J742="Emitida",IF(P742&gt;0,"EMITIDA","PENDIENTE"),"NO CORRESPONDE")))</f>
        <v>EMITIDA</v>
      </c>
      <c r="X742" s="29"/>
      <c r="Y742" s="17" t="s">
        <v>118</v>
      </c>
      <c r="Z742" s="30">
        <v>45838</v>
      </c>
      <c r="AA742" s="10" t="s">
        <v>150</v>
      </c>
      <c r="AB742" s="19">
        <v>140</v>
      </c>
      <c r="AC742" s="20">
        <v>30</v>
      </c>
      <c r="AD742" s="18">
        <f>DATA[[#This Row],[FECHA DE EMISION]]+DATA[[#This Row],[CONDICION DE PAGO]]</f>
        <v>45868</v>
      </c>
      <c r="AE742" s="23" t="e">
        <f>IF(DATA[[#This Row],[MONEDA]]="USD",VLOOKUP(DATA[[#This Row],[COMBINADA]],#REF!,11,0),1)</f>
        <v>#REF!</v>
      </c>
      <c r="AF742" s="129" t="str">
        <f>IF(DATA[[#This Row],[SERIE2]]="-","NO CORRESPONDE",IF(W742="NO CORRESPONDE","NO CORRESPONDE",IF(Z742&gt;0,"FACTURADO","PENDIENTE")))</f>
        <v>FACTURADO</v>
      </c>
      <c r="AG742" s="133">
        <f>IFERROR(VLOOKUP(DATA[[#This Row],[COMBINADA]],#REF!,6,0),0)</f>
        <v>0</v>
      </c>
      <c r="AH742" s="125">
        <f>IFERROR(VLOOKUP(DATA[[#This Row],[COMBINADA]],#REF!,9,0),0)/COUNTIFS(DATA[COMBINADA],DATA[[#This Row],[COMBINADA]])</f>
        <v>0</v>
      </c>
      <c r="AI742" s="136">
        <f>IFERROR(VLOOKUP(DATA[[#This Row],[COMBINADA]],#REF!,6,0),0)</f>
        <v>0</v>
      </c>
      <c r="AJ742" s="132">
        <f>IFERROR(VLOOKUP(DATA[[#This Row],[COMBINADA]],#REF!,9,0),0)/COUNTIFS(DATA[COMBINADA],DATA[[#This Row],[COMBINADA]])</f>
        <v>0</v>
      </c>
      <c r="AK742" s="408">
        <f>IFERROR(VLOOKUP(DATA[[#This Row],[COMBINADA]],#REF!,6,0),0)</f>
        <v>0</v>
      </c>
      <c r="AL742" s="125">
        <f>IFERROR(VLOOKUP(DATA[[#This Row],[COMBINADA]],#REF!,9,0),0)/COUNTIFS(DATA[COMBINADA],DATA[[#This Row],[COMBINADA]])</f>
        <v>0</v>
      </c>
      <c r="AM742" s="133">
        <f>IFERROR(VLOOKUP(DATA[[#This Row],[COMBINADA]],#REF!,6,0),0)</f>
        <v>0</v>
      </c>
      <c r="AN742" s="125">
        <f>IFERROR(VLOOKUP(DATA[[#This Row],[COMBINADA]],#REF!,9,0),0)/COUNTIFS(DATA[COMBINADA],DATA[[#This Row],[COMBINADA]])</f>
        <v>0</v>
      </c>
      <c r="AO742" s="133">
        <f>IFERROR(VLOOKUP(DATA[[#This Row],[COMBINADA]],#REF!,6,0),0)</f>
        <v>0</v>
      </c>
      <c r="AP742" s="132">
        <f>IFERROR(VLOOKUP(DATA[[#This Row],[COMBINADA]],#REF!,9,0),0)/COUNTIFS(DATA[COMBINADA],DATA[[#This Row],[COMBINADA]])</f>
        <v>0</v>
      </c>
      <c r="AQ74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469.822</v>
      </c>
      <c r="AR742" s="153" t="str">
        <f>IFERROR(IF(DATA[[#This Row],[estado_fact]]="FACTURADO",VLOOKUP(DATA[[#This Row],[SERIE2]]&amp;"-"&amp;DATA[[#This Row],[NUMERO]],#REF!,34,0),"NO CORRESPONDE"),"NO CORRESPONDE")</f>
        <v>NO CORRESPONDE</v>
      </c>
      <c r="AS742" s="22" t="str">
        <f>IF(DATA[[#This Row],[fecha_fs]]&gt;0,TEXT(DATA[[#This Row],[fecha_fs]],"Mmmm"),0)</f>
        <v>Junio</v>
      </c>
      <c r="AT742" s="22" t="str">
        <f>DATA[[#This Row],[SERIE2]]&amp;"-"&amp;DATA[[#This Row],[NUMERO]]</f>
        <v>FF01-140</v>
      </c>
      <c r="AU742" s="28" t="e">
        <f>DATA[[#This Row],[TOTAL]]*DATA[[#This Row],[T.C.]]</f>
        <v>#REF!</v>
      </c>
      <c r="AV742" s="6">
        <f>DATA[[#This Row],[FECHA DE VAL.]]</f>
        <v>45834</v>
      </c>
      <c r="AW742" s="6">
        <f>DATA[[#This Row],[FECHA DE EMISION]]</f>
        <v>45838</v>
      </c>
      <c r="AX742" s="6">
        <f>DATA[[#This Row],[F1]]</f>
        <v>0</v>
      </c>
      <c r="AY742" s="20">
        <f>IF(AV742-DATA[[#This Row],[fecha_fs]]&lt;0,0,AV742-DATA[[#This Row],[fecha_fs]])</f>
        <v>24</v>
      </c>
      <c r="AZ742" s="20">
        <f t="shared" si="76"/>
        <v>4</v>
      </c>
      <c r="BA742" s="20">
        <f t="shared" si="77"/>
        <v>0</v>
      </c>
      <c r="BB742" s="195">
        <f>IFERROR(SUM(DATA[[#This Row],[fs_val_ttf]:[fact_pago_ttf]]),0)</f>
        <v>28</v>
      </c>
      <c r="BC742" s="185">
        <v>45811</v>
      </c>
      <c r="BD742" s="185">
        <v>45828</v>
      </c>
      <c r="BE742" s="185">
        <v>45831</v>
      </c>
      <c r="BF742" s="185">
        <v>45863</v>
      </c>
      <c r="BG742" s="20">
        <f>IFERROR(IF(BC742-DATA[[#This Row],[fecha_fs]]&lt;0,0,BC742-DATA[[#This Row],[fecha_fs]]),0)</f>
        <v>1</v>
      </c>
      <c r="BH742" s="20">
        <f t="shared" si="78"/>
        <v>17</v>
      </c>
      <c r="BI742" s="20">
        <f t="shared" si="79"/>
        <v>3</v>
      </c>
      <c r="BJ742" s="20">
        <f t="shared" si="80"/>
        <v>32</v>
      </c>
      <c r="BK742" s="218">
        <f>IFERROR(SUM(DATA[[#This Row],[fs_fd_ttd]:[fend_fenf_ttd]]),0)</f>
        <v>53</v>
      </c>
      <c r="BL742" s="20" t="str">
        <f>IF(DATA[[#This Row],[fecha_fs]]&gt;0,TEXT(DATA[[#This Row],[fecha_fs]],"YYYY"),0)</f>
        <v>2025</v>
      </c>
      <c r="BM742" s="221" t="b">
        <v>1</v>
      </c>
      <c r="BN742" s="278">
        <f>COUNTIF(DATA[[#This Row],[tiempo_td]], "&lt;=15")</f>
        <v>0</v>
      </c>
      <c r="BO742" s="222"/>
    </row>
    <row r="743" spans="1:67" ht="30.6" customHeight="1" x14ac:dyDescent="0.25">
      <c r="A743" s="4">
        <v>20100192064</v>
      </c>
      <c r="B743" s="5" t="s">
        <v>60</v>
      </c>
      <c r="C743" s="52" t="s">
        <v>64</v>
      </c>
      <c r="D743" s="4" t="s">
        <v>112</v>
      </c>
      <c r="E743" s="5" t="s">
        <v>1</v>
      </c>
      <c r="F743" s="24">
        <v>45812</v>
      </c>
      <c r="G743" s="7" t="s">
        <v>113</v>
      </c>
      <c r="H743" s="25">
        <f t="shared" si="75"/>
        <v>1</v>
      </c>
      <c r="I743" s="67">
        <v>4585</v>
      </c>
      <c r="J743" s="8" t="s">
        <v>115</v>
      </c>
      <c r="K743" s="9" t="s">
        <v>136</v>
      </c>
      <c r="L743" s="10" t="s">
        <v>137</v>
      </c>
      <c r="M743" s="11">
        <v>22</v>
      </c>
      <c r="N743" s="12" t="s">
        <v>122</v>
      </c>
      <c r="O743" s="6">
        <v>45834</v>
      </c>
      <c r="P743" s="71">
        <v>3509</v>
      </c>
      <c r="Q743" s="14" t="s">
        <v>123</v>
      </c>
      <c r="R743" s="15">
        <f>DATA[[#This Row],[cantidad_fs]]*33.34</f>
        <v>733.48</v>
      </c>
      <c r="S743" s="15"/>
      <c r="T743" s="15">
        <f>DATA[[#This Row],[C. DF]]+DATA[[#This Row],[C.OPE.]]</f>
        <v>733.48</v>
      </c>
      <c r="U743" s="15">
        <f>DATA[[#This Row],[SUB TOTAL]]*0.18</f>
        <v>132.0264</v>
      </c>
      <c r="V743" s="15">
        <f>IFERROR(ROUND(DATA[[#This Row],[SUB TOTAL]]+DATA[[#This Row],[IGV]],2),0)</f>
        <v>865.51</v>
      </c>
      <c r="W743" s="16" t="str">
        <f>IF(DATA[[#This Row],[VALORIZACIÓN ]]="-","NO CORRESPONDE",IF(OR(A743=20558226979,A743=10470707866,A743=20111157058,A743=20100226902),"NO CORRESPONDE",IF(J743="Emitida",IF(P743&gt;0,"EMITIDA","PENDIENTE"),"NO CORRESPONDE")))</f>
        <v>EMITIDA</v>
      </c>
      <c r="X743" s="29"/>
      <c r="Y743" s="17" t="s">
        <v>118</v>
      </c>
      <c r="Z743" s="30">
        <v>45835</v>
      </c>
      <c r="AA743" s="10" t="s">
        <v>150</v>
      </c>
      <c r="AB743" s="19">
        <v>134</v>
      </c>
      <c r="AC743" s="20">
        <v>30</v>
      </c>
      <c r="AD743" s="18">
        <f>DATA[[#This Row],[FECHA DE EMISION]]+DATA[[#This Row],[CONDICION DE PAGO]]</f>
        <v>45865</v>
      </c>
      <c r="AE743" s="23" t="e">
        <f>IF(DATA[[#This Row],[MONEDA]]="USD",VLOOKUP(DATA[[#This Row],[COMBINADA]],#REF!,11,0),1)</f>
        <v>#REF!</v>
      </c>
      <c r="AF743" s="129" t="str">
        <f>IF(DATA[[#This Row],[SERIE2]]="-","NO CORRESPONDE",IF(W743="NO CORRESPONDE","NO CORRESPONDE",IF(Z743&gt;0,"FACTURADO","PENDIENTE")))</f>
        <v>FACTURADO</v>
      </c>
      <c r="AG743" s="133">
        <f>IFERROR(VLOOKUP(DATA[[#This Row],[COMBINADA]],#REF!,6,0),0)</f>
        <v>0</v>
      </c>
      <c r="AH743" s="125">
        <f>IFERROR(VLOOKUP(DATA[[#This Row],[COMBINADA]],#REF!,9,0),0)/COUNTIFS(DATA[COMBINADA],DATA[[#This Row],[COMBINADA]])</f>
        <v>0</v>
      </c>
      <c r="AI743" s="136">
        <f>IFERROR(VLOOKUP(DATA[[#This Row],[COMBINADA]],#REF!,6,0),0)</f>
        <v>0</v>
      </c>
      <c r="AJ743" s="132">
        <f>IFERROR(VLOOKUP(DATA[[#This Row],[COMBINADA]],#REF!,9,0),0)/COUNTIFS(DATA[COMBINADA],DATA[[#This Row],[COMBINADA]])</f>
        <v>0</v>
      </c>
      <c r="AK743" s="407">
        <f>IFERROR(VLOOKUP(DATA[[#This Row],[COMBINADA]],#REF!,6,0),0)</f>
        <v>0</v>
      </c>
      <c r="AL743" s="125">
        <f>IFERROR(VLOOKUP(DATA[[#This Row],[COMBINADA]],#REF!,9,0),0)/COUNTIFS(DATA[COMBINADA],DATA[[#This Row],[COMBINADA]])</f>
        <v>0</v>
      </c>
      <c r="AM743" s="27">
        <f>IFERROR(VLOOKUP(DATA[[#This Row],[COMBINADA]],#REF!,6,0),0)</f>
        <v>0</v>
      </c>
      <c r="AN743" s="125">
        <f>IFERROR(VLOOKUP(DATA[[#This Row],[COMBINADA]],#REF!,9,0),0)/COUNTIFS(DATA[COMBINADA],DATA[[#This Row],[COMBINADA]])</f>
        <v>0</v>
      </c>
      <c r="AO743" s="27">
        <f>IFERROR(VLOOKUP(DATA[[#This Row],[COMBINADA]],#REF!,6,0),0)</f>
        <v>0</v>
      </c>
      <c r="AP743" s="132">
        <f>IFERROR(VLOOKUP(DATA[[#This Row],[COMBINADA]],#REF!,9,0),0)/COUNTIFS(DATA[COMBINADA],DATA[[#This Row],[COMBINADA]])</f>
        <v>0</v>
      </c>
      <c r="AQ74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574.13187500000015</v>
      </c>
      <c r="AR743" s="26" t="str">
        <f>IFERROR(IF(DATA[[#This Row],[estado_fact]]="FACTURADO",VLOOKUP(DATA[[#This Row],[SERIE2]]&amp;"-"&amp;DATA[[#This Row],[NUMERO]],#REF!,34,0),"NO CORRESPONDE"),"NO CORRESPONDE")</f>
        <v>NO CORRESPONDE</v>
      </c>
      <c r="AS743" s="22" t="str">
        <f>IF(DATA[[#This Row],[fecha_fs]]&gt;0,TEXT(DATA[[#This Row],[fecha_fs]],"Mmmm"),0)</f>
        <v>Junio</v>
      </c>
      <c r="AT743" s="22" t="str">
        <f>DATA[[#This Row],[SERIE2]]&amp;"-"&amp;DATA[[#This Row],[NUMERO]]</f>
        <v>FF01-134</v>
      </c>
      <c r="AU743" s="28" t="e">
        <f>DATA[[#This Row],[TOTAL]]*DATA[[#This Row],[T.C.]]</f>
        <v>#REF!</v>
      </c>
      <c r="AV743" s="6">
        <f>DATA[[#This Row],[FECHA DE VAL.]]</f>
        <v>45834</v>
      </c>
      <c r="AW743" s="6">
        <f>DATA[[#This Row],[FECHA DE EMISION]]</f>
        <v>45835</v>
      </c>
      <c r="AX743" s="6">
        <f>DATA[[#This Row],[F1]]</f>
        <v>0</v>
      </c>
      <c r="AY743" s="20">
        <f>IF(AV743-DATA[[#This Row],[fecha_fs]]&lt;0,0,AV743-DATA[[#This Row],[fecha_fs]])</f>
        <v>22</v>
      </c>
      <c r="AZ743" s="20">
        <f t="shared" si="76"/>
        <v>1</v>
      </c>
      <c r="BA743" s="20">
        <f t="shared" si="77"/>
        <v>0</v>
      </c>
      <c r="BB743" s="195">
        <f>IFERROR(SUM(DATA[[#This Row],[fs_val_ttf]:[fact_pago_ttf]]),0)</f>
        <v>23</v>
      </c>
      <c r="BC743" s="185">
        <v>45812</v>
      </c>
      <c r="BD743" s="185">
        <v>45845</v>
      </c>
      <c r="BE743" s="185">
        <v>45845</v>
      </c>
      <c r="BF743" s="185">
        <v>45863</v>
      </c>
      <c r="BG743" s="20">
        <f>IFERROR(IF(BC743-DATA[[#This Row],[fecha_fs]]&lt;0,0,BC743-DATA[[#This Row],[fecha_fs]]),0)</f>
        <v>0</v>
      </c>
      <c r="BH743" s="20">
        <f t="shared" si="78"/>
        <v>33</v>
      </c>
      <c r="BI743" s="20">
        <f t="shared" si="79"/>
        <v>0</v>
      </c>
      <c r="BJ743" s="20">
        <f t="shared" si="80"/>
        <v>18</v>
      </c>
      <c r="BK743" s="218">
        <f>IFERROR(SUM(DATA[[#This Row],[fs_fd_ttd]:[fend_fenf_ttd]]),0)</f>
        <v>51</v>
      </c>
      <c r="BL743" s="20" t="str">
        <f>IF(DATA[[#This Row],[fecha_fs]]&gt;0,TEXT(DATA[[#This Row],[fecha_fs]],"YYYY"),0)</f>
        <v>2025</v>
      </c>
      <c r="BM743" s="221" t="b">
        <v>1</v>
      </c>
      <c r="BN743" s="278">
        <f>COUNTIF(DATA[[#This Row],[tiempo_td]], "&lt;=15")</f>
        <v>0</v>
      </c>
      <c r="BO743" s="222"/>
    </row>
    <row r="744" spans="1:67" ht="30.6" customHeight="1" x14ac:dyDescent="0.25">
      <c r="A744" s="4">
        <v>20141637941</v>
      </c>
      <c r="B744" s="5" t="s">
        <v>79</v>
      </c>
      <c r="C744" s="52" t="s">
        <v>18</v>
      </c>
      <c r="D744" s="4" t="s">
        <v>120</v>
      </c>
      <c r="E744" s="5" t="s">
        <v>3</v>
      </c>
      <c r="F744" s="24">
        <v>45812</v>
      </c>
      <c r="G744" s="7" t="s">
        <v>113</v>
      </c>
      <c r="H744" s="25">
        <f t="shared" si="75"/>
        <v>1</v>
      </c>
      <c r="I744" s="67">
        <v>4586</v>
      </c>
      <c r="J744" s="8" t="s">
        <v>115</v>
      </c>
      <c r="K744" s="9" t="s">
        <v>121</v>
      </c>
      <c r="L744" s="10" t="s">
        <v>117</v>
      </c>
      <c r="M744" s="11">
        <v>730</v>
      </c>
      <c r="N744" s="12" t="s">
        <v>125</v>
      </c>
      <c r="O744" s="6">
        <v>45814</v>
      </c>
      <c r="P744" s="110">
        <v>3488</v>
      </c>
      <c r="Q744" s="14" t="s">
        <v>85</v>
      </c>
      <c r="R744" s="15">
        <f>70</f>
        <v>70</v>
      </c>
      <c r="S744" s="56">
        <v>517</v>
      </c>
      <c r="T744" s="15">
        <f>DATA[[#This Row],[C. DF]]+DATA[[#This Row],[C.OPE.]]</f>
        <v>587</v>
      </c>
      <c r="U744" s="15">
        <f>DATA[[#This Row],[SUB TOTAL]]*0.18</f>
        <v>105.66</v>
      </c>
      <c r="V744" s="15">
        <f>IFERROR(ROUND(DATA[[#This Row],[SUB TOTAL]]+DATA[[#This Row],[IGV]],2),0)</f>
        <v>692.66</v>
      </c>
      <c r="W744" s="16" t="str">
        <f>IF(DATA[[#This Row],[VALORIZACIÓN ]]="-","NO CORRESPONDE",IF(OR(A744=20558226979,A744=10470707866,A744=20111157058,A744=20100226902),"NO CORRESPONDE",IF(J744="Emitida",IF(P744&gt;0,"EMITIDA","PENDIENTE"),"NO CORRESPONDE")))</f>
        <v>EMITIDA</v>
      </c>
      <c r="X744" s="29"/>
      <c r="Y744" s="17" t="s">
        <v>118</v>
      </c>
      <c r="Z744" s="30">
        <v>45818</v>
      </c>
      <c r="AA744" s="10" t="s">
        <v>150</v>
      </c>
      <c r="AB744" s="19">
        <v>114</v>
      </c>
      <c r="AC744" s="20">
        <v>30</v>
      </c>
      <c r="AD744" s="18">
        <f>DATA[[#This Row],[FECHA DE EMISION]]+DATA[[#This Row],[CONDICION DE PAGO]]</f>
        <v>45848</v>
      </c>
      <c r="AE744" s="23">
        <f>IF(DATA[[#This Row],[MONEDA]]="USD",VLOOKUP(DATA[[#This Row],[COMBINADA]],#REF!,11,0),1)</f>
        <v>1</v>
      </c>
      <c r="AF744" s="129" t="str">
        <f>IF(DATA[[#This Row],[SERIE2]]="-","NO CORRESPONDE",IF(W744="NO CORRESPONDE","NO CORRESPONDE",IF(Z744&gt;0,"FACTURADO","PENDIENTE")))</f>
        <v>FACTURADO</v>
      </c>
      <c r="AG744" s="133">
        <f>IFERROR(VLOOKUP(DATA[[#This Row],[COMBINADA]],#REF!,6,0),0)</f>
        <v>0</v>
      </c>
      <c r="AH744" s="125">
        <f>IFERROR(VLOOKUP(DATA[[#This Row],[COMBINADA]],#REF!,9,0),0)/COUNTIFS(DATA[COMBINADA],DATA[[#This Row],[COMBINADA]])</f>
        <v>0</v>
      </c>
      <c r="AI744" s="136">
        <f>IFERROR(VLOOKUP(DATA[[#This Row],[COMBINADA]],#REF!,6,0),0)</f>
        <v>0</v>
      </c>
      <c r="AJ744" s="132">
        <f>IFERROR(VLOOKUP(DATA[[#This Row],[COMBINADA]],#REF!,9,0),0)/COUNTIFS(DATA[COMBINADA],DATA[[#This Row],[COMBINADA]])</f>
        <v>0</v>
      </c>
      <c r="AK744" s="408">
        <f>IFERROR(VLOOKUP(DATA[[#This Row],[COMBINADA]],#REF!,6,0),0)</f>
        <v>0</v>
      </c>
      <c r="AL744" s="125">
        <f>IFERROR(VLOOKUP(DATA[[#This Row],[COMBINADA]],#REF!,9,0),0)/COUNTIFS(DATA[COMBINADA],DATA[[#This Row],[COMBINADA]])</f>
        <v>0</v>
      </c>
      <c r="AM744" s="133">
        <f>IFERROR(VLOOKUP(DATA[[#This Row],[COMBINADA]],#REF!,6,0),0)</f>
        <v>0</v>
      </c>
      <c r="AN744" s="125">
        <f>IFERROR(VLOOKUP(DATA[[#This Row],[COMBINADA]],#REF!,9,0),0)/COUNTIFS(DATA[COMBINADA],DATA[[#This Row],[COMBINADA]])</f>
        <v>0</v>
      </c>
      <c r="AO744" s="133">
        <f>IFERROR(VLOOKUP(DATA[[#This Row],[COMBINADA]],#REF!,6,0),0)</f>
        <v>0</v>
      </c>
      <c r="AP744" s="132">
        <f>IFERROR(VLOOKUP(DATA[[#This Row],[COMBINADA]],#REF!,9,0),0)/COUNTIFS(DATA[COMBINADA],DATA[[#This Row],[COMBINADA]])</f>
        <v>0</v>
      </c>
      <c r="AQ74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698.95333333333326</v>
      </c>
      <c r="AR744" s="26" t="str">
        <f>IFERROR(IF(DATA[[#This Row],[estado_fact]]="FACTURADO",VLOOKUP(DATA[[#This Row],[SERIE2]]&amp;"-"&amp;DATA[[#This Row],[NUMERO]],#REF!,34,0),"NO CORRESPONDE"),"NO CORRESPONDE")</f>
        <v>NO CORRESPONDE</v>
      </c>
      <c r="AS744" s="22" t="str">
        <f>IF(DATA[[#This Row],[fecha_fs]]&gt;0,TEXT(DATA[[#This Row],[fecha_fs]],"Mmmm"),0)</f>
        <v>Junio</v>
      </c>
      <c r="AT744" s="22" t="str">
        <f>DATA[[#This Row],[SERIE2]]&amp;"-"&amp;DATA[[#This Row],[NUMERO]]</f>
        <v>FF01-114</v>
      </c>
      <c r="AU744" s="28">
        <f>DATA[[#This Row],[TOTAL]]*DATA[[#This Row],[T.C.]]</f>
        <v>692.66</v>
      </c>
      <c r="AV744" s="6">
        <f>DATA[[#This Row],[FECHA DE VAL.]]</f>
        <v>45814</v>
      </c>
      <c r="AW744" s="6">
        <f>DATA[[#This Row],[FECHA DE EMISION]]</f>
        <v>45818</v>
      </c>
      <c r="AX744" s="6">
        <f>DATA[[#This Row],[F1]]</f>
        <v>0</v>
      </c>
      <c r="AY744" s="20">
        <f>IF(AV744-DATA[[#This Row],[fecha_fs]]&lt;0,0,AV744-DATA[[#This Row],[fecha_fs]])</f>
        <v>2</v>
      </c>
      <c r="AZ744" s="20">
        <f t="shared" si="76"/>
        <v>4</v>
      </c>
      <c r="BA744" s="20">
        <f t="shared" si="77"/>
        <v>0</v>
      </c>
      <c r="BB744" s="195">
        <f>IFERROR(SUM(DATA[[#This Row],[fs_val_ttf]:[fact_pago_ttf]]),0)</f>
        <v>6</v>
      </c>
      <c r="BC744" s="185">
        <v>45812</v>
      </c>
      <c r="BD744" s="185">
        <v>45812</v>
      </c>
      <c r="BE744" s="185">
        <v>45818</v>
      </c>
      <c r="BF744" s="185">
        <v>45818</v>
      </c>
      <c r="BG744" s="20">
        <f>IFERROR(IF(BC744-DATA[[#This Row],[fecha_fs]]&lt;0,0,BC744-DATA[[#This Row],[fecha_fs]]),0)</f>
        <v>0</v>
      </c>
      <c r="BH744" s="20">
        <f t="shared" si="78"/>
        <v>0</v>
      </c>
      <c r="BI744" s="20">
        <f t="shared" si="79"/>
        <v>6</v>
      </c>
      <c r="BJ744" s="20">
        <f t="shared" si="80"/>
        <v>0</v>
      </c>
      <c r="BK744" s="218">
        <f>IFERROR(SUM(DATA[[#This Row],[fs_fd_ttd]:[fend_fenf_ttd]]),0)</f>
        <v>6</v>
      </c>
      <c r="BL744" s="20" t="str">
        <f>IF(DATA[[#This Row],[fecha_fs]]&gt;0,TEXT(DATA[[#This Row],[fecha_fs]],"YYYY"),0)</f>
        <v>2025</v>
      </c>
      <c r="BM744" s="221" t="b">
        <v>1</v>
      </c>
      <c r="BN744" s="278">
        <f>COUNTIF(DATA[[#This Row],[tiempo_td]], "&lt;=15")</f>
        <v>1</v>
      </c>
      <c r="BO744" s="222"/>
    </row>
    <row r="745" spans="1:67" ht="30.6" customHeight="1" x14ac:dyDescent="0.25">
      <c r="A745" s="4">
        <v>20100226902</v>
      </c>
      <c r="B745" s="5" t="s">
        <v>24</v>
      </c>
      <c r="C745" s="52" t="s">
        <v>18</v>
      </c>
      <c r="D745" s="4" t="s">
        <v>120</v>
      </c>
      <c r="E745" s="5" t="s">
        <v>3</v>
      </c>
      <c r="F745" s="24">
        <v>45812</v>
      </c>
      <c r="G745" s="7" t="s">
        <v>113</v>
      </c>
      <c r="H745" s="25">
        <f t="shared" si="75"/>
        <v>1</v>
      </c>
      <c r="I745" s="67">
        <v>4587</v>
      </c>
      <c r="J745" s="8" t="s">
        <v>115</v>
      </c>
      <c r="K745" s="9" t="s">
        <v>121</v>
      </c>
      <c r="L745" s="10" t="s">
        <v>117</v>
      </c>
      <c r="M745" s="11">
        <v>850</v>
      </c>
      <c r="N745" s="12" t="s">
        <v>127</v>
      </c>
      <c r="O745" s="40"/>
      <c r="P745" s="41" t="s">
        <v>114</v>
      </c>
      <c r="Q745" s="42"/>
      <c r="R745" s="43"/>
      <c r="S745" s="43"/>
      <c r="T745" s="43">
        <f>DATA[[#This Row],[C. DF]]+DATA[[#This Row],[C.OPE.]]</f>
        <v>0</v>
      </c>
      <c r="U745" s="43">
        <f>DATA[[#This Row],[SUB TOTAL]]*0.18</f>
        <v>0</v>
      </c>
      <c r="V745" s="43">
        <f>IFERROR(ROUND(DATA[[#This Row],[SUB TOTAL]]+DATA[[#This Row],[IGV]],2),0)</f>
        <v>0</v>
      </c>
      <c r="W745" s="58" t="str">
        <f>IF(DATA[[#This Row],[VALORIZACIÓN ]]="-","NO CORRESPONDE",IF(OR(A745=20558226979,A745=10470707866,A745=20111157058,A745=20100226902),"NO CORRESPONDE",IF(J745="Emitida",IF(P745&gt;0,"EMITIDA","PENDIENTE"),"NO CORRESPONDE")))</f>
        <v>NO CORRESPONDE</v>
      </c>
      <c r="X745" s="45"/>
      <c r="Y745" s="17" t="s">
        <v>128</v>
      </c>
      <c r="Z745" s="46"/>
      <c r="AA745" s="47"/>
      <c r="AB745" s="48"/>
      <c r="AC745" s="49"/>
      <c r="AD745" s="50">
        <f>DATA[[#This Row],[FECHA DE EMISION]]+DATA[[#This Row],[CONDICION DE PAGO]]</f>
        <v>0</v>
      </c>
      <c r="AE745" s="23">
        <f>IF(DATA[[#This Row],[MONEDA]]="USD",VLOOKUP(DATA[[#This Row],[COMBINADA]],#REF!,11,0),1)</f>
        <v>1</v>
      </c>
      <c r="AF745" s="129" t="str">
        <f>IF(DATA[[#This Row],[SERIE2]]="-","NO CORRESPONDE",IF(W745="NO CORRESPONDE","NO CORRESPONDE",IF(Z745&gt;0,"FACTURADO","PENDIENTE")))</f>
        <v>NO CORRESPONDE</v>
      </c>
      <c r="AG745" s="140">
        <f>IFERROR(VLOOKUP(DATA[[#This Row],[COMBINADA]],#REF!,6,0),0)</f>
        <v>0</v>
      </c>
      <c r="AH745" s="126">
        <f>IFERROR(VLOOKUP(DATA[[#This Row],[COMBINADA]],#REF!,9,0),0)/COUNTIFS(DATA[COMBINADA],DATA[[#This Row],[COMBINADA]])</f>
        <v>0</v>
      </c>
      <c r="AI745" s="140">
        <f>IFERROR(VLOOKUP(DATA[[#This Row],[COMBINADA]],#REF!,6,0),0)</f>
        <v>0</v>
      </c>
      <c r="AJ745" s="126">
        <f>IFERROR(VLOOKUP(DATA[[#This Row],[COMBINADA]],#REF!,9,0),0)/COUNTIFS(DATA[COMBINADA],DATA[[#This Row],[COMBINADA]])</f>
        <v>0</v>
      </c>
      <c r="AK745" s="287">
        <f>IFERROR(VLOOKUP(DATA[[#This Row],[COMBINADA]],#REF!,6,0),0)</f>
        <v>0</v>
      </c>
      <c r="AL745" s="126">
        <f>IFERROR(VLOOKUP(DATA[[#This Row],[COMBINADA]],#REF!,9,0),0)/COUNTIFS(DATA[COMBINADA],DATA[[#This Row],[COMBINADA]])</f>
        <v>0</v>
      </c>
      <c r="AM745" s="60">
        <f>IFERROR(VLOOKUP(DATA[[#This Row],[COMBINADA]],#REF!,6,0),0)</f>
        <v>0</v>
      </c>
      <c r="AN745" s="126">
        <f>IFERROR(VLOOKUP(DATA[[#This Row],[COMBINADA]],#REF!,9,0),0)/COUNTIFS(DATA[COMBINADA],DATA[[#This Row],[COMBINADA]])</f>
        <v>0</v>
      </c>
      <c r="AO745" s="60">
        <f>IFERROR(VLOOKUP(DATA[[#This Row],[COMBINADA]],#REF!,6,0),0)</f>
        <v>0</v>
      </c>
      <c r="AP745" s="126">
        <f>IFERROR(VLOOKUP(DATA[[#This Row],[COMBINADA]],#REF!,9,0),0)/COUNTIFS(DATA[COMBINADA],DATA[[#This Row],[COMBINADA]])</f>
        <v>0</v>
      </c>
      <c r="AQ745"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745" s="22" t="str">
        <f>IFERROR(IF(DATA[[#This Row],[estado_fact]]="FACTURADO",VLOOKUP(DATA[[#This Row],[SERIE2]]&amp;"-"&amp;DATA[[#This Row],[NUMERO]],#REF!,34,0),"NO CORRESPONDE"),"NO CORRESPONDE")</f>
        <v>NO CORRESPONDE</v>
      </c>
      <c r="AS745" s="135" t="str">
        <f>IF(DATA[[#This Row],[fecha_fs]]&gt;0,TEXT(DATA[[#This Row],[fecha_fs]],"Mmmm"),0)</f>
        <v>Junio</v>
      </c>
      <c r="AT745" s="22" t="str">
        <f>DATA[[#This Row],[SERIE2]]&amp;"-"&amp;DATA[[#This Row],[NUMERO]]</f>
        <v>-</v>
      </c>
      <c r="AU745" s="28">
        <f>DATA[[#This Row],[TOTAL]]*DATA[[#This Row],[T.C.]]</f>
        <v>0</v>
      </c>
      <c r="AV745" s="6">
        <f>DATA[[#This Row],[FECHA DE VAL.]]</f>
        <v>0</v>
      </c>
      <c r="AW745" s="6">
        <f>DATA[[#This Row],[FECHA DE EMISION]]</f>
        <v>0</v>
      </c>
      <c r="AX745" s="6">
        <f>DATA[[#This Row],[F1]]</f>
        <v>0</v>
      </c>
      <c r="AY745" s="20">
        <f>IF(AV745-DATA[[#This Row],[fecha_fs]]&lt;0,0,AV745-DATA[[#This Row],[fecha_fs]])</f>
        <v>0</v>
      </c>
      <c r="AZ745" s="20">
        <f t="shared" si="76"/>
        <v>0</v>
      </c>
      <c r="BA745" s="20">
        <f t="shared" si="77"/>
        <v>0</v>
      </c>
      <c r="BB745" s="195">
        <f>IFERROR(SUM(DATA[[#This Row],[fs_val_ttf]:[fact_pago_ttf]]),0)</f>
        <v>0</v>
      </c>
      <c r="BC745" s="185">
        <v>45812</v>
      </c>
      <c r="BD745" s="185">
        <v>45812</v>
      </c>
      <c r="BE745" s="185">
        <v>45841</v>
      </c>
      <c r="BF745" s="185">
        <v>45841</v>
      </c>
      <c r="BG745" s="20">
        <f>IFERROR(IF(BC745-DATA[[#This Row],[fecha_fs]]&lt;0,0,BC745-DATA[[#This Row],[fecha_fs]]),0)</f>
        <v>0</v>
      </c>
      <c r="BH745" s="20">
        <f t="shared" si="78"/>
        <v>0</v>
      </c>
      <c r="BI745" s="20">
        <f t="shared" si="79"/>
        <v>29</v>
      </c>
      <c r="BJ745" s="20">
        <f t="shared" si="80"/>
        <v>0</v>
      </c>
      <c r="BK745" s="218">
        <f>IFERROR(SUM(DATA[[#This Row],[fs_fd_ttd]:[fend_fenf_ttd]]),0)</f>
        <v>29</v>
      </c>
      <c r="BL745" s="20" t="str">
        <f>IF(DATA[[#This Row],[fecha_fs]]&gt;0,TEXT(DATA[[#This Row],[fecha_fs]],"YYYY"),0)</f>
        <v>2025</v>
      </c>
      <c r="BM745" s="221" t="b">
        <v>1</v>
      </c>
      <c r="BN745" s="278">
        <f>COUNTIF(DATA[[#This Row],[tiempo_td]], "&lt;=15")</f>
        <v>0</v>
      </c>
      <c r="BO745" s="222"/>
    </row>
    <row r="746" spans="1:67" ht="30.6" customHeight="1" x14ac:dyDescent="0.25">
      <c r="A746" s="4">
        <v>20120858425</v>
      </c>
      <c r="B746" s="5" t="s">
        <v>68</v>
      </c>
      <c r="C746" s="52" t="s">
        <v>18</v>
      </c>
      <c r="D746" s="4" t="s">
        <v>120</v>
      </c>
      <c r="E746" s="5" t="s">
        <v>3</v>
      </c>
      <c r="F746" s="24">
        <v>45811</v>
      </c>
      <c r="G746" s="7" t="s">
        <v>113</v>
      </c>
      <c r="H746" s="25">
        <f t="shared" si="75"/>
        <v>1</v>
      </c>
      <c r="I746" s="67">
        <v>4588</v>
      </c>
      <c r="J746" s="8" t="s">
        <v>115</v>
      </c>
      <c r="K746" s="9" t="s">
        <v>121</v>
      </c>
      <c r="L746" s="10" t="s">
        <v>117</v>
      </c>
      <c r="M746" s="11">
        <v>120</v>
      </c>
      <c r="N746" s="12" t="s">
        <v>125</v>
      </c>
      <c r="O746" s="6">
        <v>45812</v>
      </c>
      <c r="P746" s="13">
        <v>3485</v>
      </c>
      <c r="Q746" s="14" t="s">
        <v>85</v>
      </c>
      <c r="R746" s="15">
        <f>DATA[[#This Row],[cantidad_fs]]*0.67</f>
        <v>80.400000000000006</v>
      </c>
      <c r="S746" s="15">
        <f>649.9/2</f>
        <v>324.95</v>
      </c>
      <c r="T746" s="15">
        <f>DATA[[#This Row],[C. DF]]+DATA[[#This Row],[C.OPE.]]</f>
        <v>405.35</v>
      </c>
      <c r="U746" s="15">
        <f>DATA[[#This Row],[SUB TOTAL]]*0.18</f>
        <v>72.963000000000008</v>
      </c>
      <c r="V746" s="15">
        <f>IFERROR(ROUND(DATA[[#This Row],[SUB TOTAL]]+DATA[[#This Row],[IGV]],2),0)</f>
        <v>478.31</v>
      </c>
      <c r="W746" s="16" t="str">
        <f>IF(DATA[[#This Row],[VALORIZACIÓN ]]="-","NO CORRESPONDE",IF(OR(A746=20558226979,A746=10470707866,A746=20111157058,A746=20100226902),"NO CORRESPONDE",IF(J746="Emitida",IF(P746&gt;0,"EMITIDA","PENDIENTE"),"NO CORRESPONDE")))</f>
        <v>EMITIDA</v>
      </c>
      <c r="X746" s="29"/>
      <c r="Y746" s="17" t="s">
        <v>118</v>
      </c>
      <c r="Z746" s="30">
        <v>45820</v>
      </c>
      <c r="AA746" s="10" t="s">
        <v>150</v>
      </c>
      <c r="AB746" s="19">
        <v>117</v>
      </c>
      <c r="AC746" s="20">
        <v>15</v>
      </c>
      <c r="AD746" s="18">
        <f>DATA[[#This Row],[FECHA DE EMISION]]+DATA[[#This Row],[CONDICION DE PAGO]]</f>
        <v>45835</v>
      </c>
      <c r="AE746" s="23">
        <f>IF(DATA[[#This Row],[MONEDA]]="USD",VLOOKUP(DATA[[#This Row],[COMBINADA]],#REF!,11,0),1)</f>
        <v>1</v>
      </c>
      <c r="AF746" s="129" t="str">
        <f>IF(DATA[[#This Row],[SERIE2]]="-","NO CORRESPONDE",IF(W746="NO CORRESPONDE","NO CORRESPONDE",IF(Z746&gt;0,"FACTURADO","PENDIENTE")))</f>
        <v>FACTURADO</v>
      </c>
      <c r="AG746" s="133">
        <f>IFERROR(VLOOKUP(DATA[[#This Row],[COMBINADA]],#REF!,6,0),0)</f>
        <v>0</v>
      </c>
      <c r="AH746" s="125">
        <f>IFERROR(VLOOKUP(DATA[[#This Row],[COMBINADA]],#REF!,9,0),0)/COUNTIFS(DATA[COMBINADA],DATA[[#This Row],[COMBINADA]])</f>
        <v>0</v>
      </c>
      <c r="AI746" s="136">
        <f>IFERROR(VLOOKUP(DATA[[#This Row],[COMBINADA]],#REF!,6,0),0)</f>
        <v>0</v>
      </c>
      <c r="AJ746" s="132">
        <f>IFERROR(VLOOKUP(DATA[[#This Row],[COMBINADA]],#REF!,9,0),0)/COUNTIFS(DATA[COMBINADA],DATA[[#This Row],[COMBINADA]])</f>
        <v>0</v>
      </c>
      <c r="AK746" s="407">
        <f>IFERROR(VLOOKUP(DATA[[#This Row],[COMBINADA]],#REF!,6,0),0)</f>
        <v>0</v>
      </c>
      <c r="AL746" s="125">
        <f>IFERROR(VLOOKUP(DATA[[#This Row],[COMBINADA]],#REF!,9,0),0)/COUNTIFS(DATA[COMBINADA],DATA[[#This Row],[COMBINADA]])</f>
        <v>0</v>
      </c>
      <c r="AM746" s="27">
        <f>IFERROR(VLOOKUP(DATA[[#This Row],[COMBINADA]],#REF!,6,0),0)</f>
        <v>0</v>
      </c>
      <c r="AN746" s="125">
        <f>IFERROR(VLOOKUP(DATA[[#This Row],[COMBINADA]],#REF!,9,0),0)/COUNTIFS(DATA[COMBINADA],DATA[[#This Row],[COMBINADA]])</f>
        <v>0</v>
      </c>
      <c r="AO746" s="27">
        <f>IFERROR(VLOOKUP(DATA[[#This Row],[COMBINADA]],#REF!,6,0),0)</f>
        <v>0</v>
      </c>
      <c r="AP746" s="132">
        <f>IFERROR(VLOOKUP(DATA[[#This Row],[COMBINADA]],#REF!,9,0),0)/COUNTIFS(DATA[COMBINADA],DATA[[#This Row],[COMBINADA]])</f>
        <v>0</v>
      </c>
      <c r="AQ74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614.01</v>
      </c>
      <c r="AR746" s="26" t="str">
        <f>IFERROR(IF(DATA[[#This Row],[estado_fact]]="FACTURADO",VLOOKUP(DATA[[#This Row],[SERIE2]]&amp;"-"&amp;DATA[[#This Row],[NUMERO]],#REF!,34,0),"NO CORRESPONDE"),"NO CORRESPONDE")</f>
        <v>NO CORRESPONDE</v>
      </c>
      <c r="AS746" s="22" t="str">
        <f>IF(DATA[[#This Row],[fecha_fs]]&gt;0,TEXT(DATA[[#This Row],[fecha_fs]],"Mmmm"),0)</f>
        <v>Junio</v>
      </c>
      <c r="AT746" s="22" t="str">
        <f>DATA[[#This Row],[SERIE2]]&amp;"-"&amp;DATA[[#This Row],[NUMERO]]</f>
        <v>FF01-117</v>
      </c>
      <c r="AU746" s="28">
        <f>DATA[[#This Row],[TOTAL]]*DATA[[#This Row],[T.C.]]</f>
        <v>478.31</v>
      </c>
      <c r="AV746" s="6">
        <f>DATA[[#This Row],[FECHA DE VAL.]]</f>
        <v>45812</v>
      </c>
      <c r="AW746" s="6">
        <f>DATA[[#This Row],[FECHA DE EMISION]]</f>
        <v>45820</v>
      </c>
      <c r="AX746" s="6">
        <f>DATA[[#This Row],[F1]]</f>
        <v>0</v>
      </c>
      <c r="AY746" s="20">
        <f>IF(AV746-DATA[[#This Row],[fecha_fs]]&lt;0,0,AV746-DATA[[#This Row],[fecha_fs]])</f>
        <v>1</v>
      </c>
      <c r="AZ746" s="20">
        <f t="shared" si="76"/>
        <v>8</v>
      </c>
      <c r="BA746" s="20">
        <f t="shared" si="77"/>
        <v>0</v>
      </c>
      <c r="BB746" s="195">
        <f>IFERROR(SUM(DATA[[#This Row],[fs_val_ttf]:[fact_pago_ttf]]),0)</f>
        <v>9</v>
      </c>
      <c r="BC746" s="185">
        <v>45821</v>
      </c>
      <c r="BD746" s="185">
        <v>45828</v>
      </c>
      <c r="BE746" s="185">
        <v>45831</v>
      </c>
      <c r="BF746" s="185">
        <v>45832</v>
      </c>
      <c r="BG746" s="20">
        <f>IFERROR(IF(BC746-DATA[[#This Row],[fecha_fs]]&lt;0,0,BC746-DATA[[#This Row],[fecha_fs]]),0)</f>
        <v>10</v>
      </c>
      <c r="BH746" s="20">
        <f t="shared" si="78"/>
        <v>7</v>
      </c>
      <c r="BI746" s="20">
        <f t="shared" si="79"/>
        <v>3</v>
      </c>
      <c r="BJ746" s="20">
        <f t="shared" si="80"/>
        <v>1</v>
      </c>
      <c r="BK746" s="218">
        <f>IFERROR(SUM(DATA[[#This Row],[fs_fd_ttd]:[fend_fenf_ttd]]),0)</f>
        <v>21</v>
      </c>
      <c r="BL746" s="20" t="str">
        <f>IF(DATA[[#This Row],[fecha_fs]]&gt;0,TEXT(DATA[[#This Row],[fecha_fs]],"YYYY"),0)</f>
        <v>2025</v>
      </c>
      <c r="BM746" s="221" t="b">
        <v>0</v>
      </c>
      <c r="BN746" s="278">
        <f>COUNTIF(DATA[[#This Row],[tiempo_td]], "&lt;=15")</f>
        <v>0</v>
      </c>
      <c r="BO746" s="222"/>
    </row>
    <row r="747" spans="1:67" ht="30.6" customHeight="1" x14ac:dyDescent="0.25">
      <c r="A747" s="4">
        <v>20120858425</v>
      </c>
      <c r="B747" s="5" t="s">
        <v>68</v>
      </c>
      <c r="C747" s="52" t="s">
        <v>18</v>
      </c>
      <c r="D747" s="4" t="s">
        <v>112</v>
      </c>
      <c r="E747" s="5" t="s">
        <v>1</v>
      </c>
      <c r="F747" s="24">
        <v>45811</v>
      </c>
      <c r="G747" s="7" t="s">
        <v>113</v>
      </c>
      <c r="H747" s="25">
        <f t="shared" si="75"/>
        <v>1</v>
      </c>
      <c r="I747" s="67">
        <v>4589</v>
      </c>
      <c r="J747" s="8" t="s">
        <v>115</v>
      </c>
      <c r="K747" s="9" t="s">
        <v>116</v>
      </c>
      <c r="L747" s="10" t="s">
        <v>117</v>
      </c>
      <c r="M747" s="11">
        <v>520</v>
      </c>
      <c r="N747" s="12" t="s">
        <v>125</v>
      </c>
      <c r="O747" s="6">
        <v>45812</v>
      </c>
      <c r="P747" s="13">
        <v>3485</v>
      </c>
      <c r="Q747" s="14" t="s">
        <v>85</v>
      </c>
      <c r="R747" s="15">
        <f>(DATA[[#This Row],[cantidad_fs]]-200)*0.97</f>
        <v>310.39999999999998</v>
      </c>
      <c r="S747" s="15">
        <f>649.9/2</f>
        <v>324.95</v>
      </c>
      <c r="T747" s="15">
        <f>DATA[[#This Row],[C. DF]]+DATA[[#This Row],[C.OPE.]]</f>
        <v>635.34999999999991</v>
      </c>
      <c r="U747" s="15">
        <f>DATA[[#This Row],[SUB TOTAL]]*0.18</f>
        <v>114.36299999999999</v>
      </c>
      <c r="V747" s="15">
        <f>IFERROR(ROUND(DATA[[#This Row],[SUB TOTAL]]+DATA[[#This Row],[IGV]],2),0)</f>
        <v>749.71</v>
      </c>
      <c r="W747" s="16" t="str">
        <f>IF(DATA[[#This Row],[VALORIZACIÓN ]]="-","NO CORRESPONDE",IF(OR(A747=20558226979,A747=10470707866,A747=20111157058,A747=20100226902),"NO CORRESPONDE",IF(J747="Emitida",IF(P747&gt;0,"EMITIDA","PENDIENTE"),"NO CORRESPONDE")))</f>
        <v>EMITIDA</v>
      </c>
      <c r="X747" s="29"/>
      <c r="Y747" s="17" t="s">
        <v>118</v>
      </c>
      <c r="Z747" s="30">
        <v>45820</v>
      </c>
      <c r="AA747" s="10" t="s">
        <v>150</v>
      </c>
      <c r="AB747" s="19">
        <v>117</v>
      </c>
      <c r="AC747" s="20">
        <v>15</v>
      </c>
      <c r="AD747" s="18">
        <f>DATA[[#This Row],[FECHA DE EMISION]]+DATA[[#This Row],[CONDICION DE PAGO]]</f>
        <v>45835</v>
      </c>
      <c r="AE747" s="23">
        <f>IF(DATA[[#This Row],[MONEDA]]="USD",VLOOKUP(DATA[[#This Row],[COMBINADA]],#REF!,11,0),1)</f>
        <v>1</v>
      </c>
      <c r="AF747" s="129" t="str">
        <f>IF(DATA[[#This Row],[SERIE2]]="-","NO CORRESPONDE",IF(W747="NO CORRESPONDE","NO CORRESPONDE",IF(Z747&gt;0,"FACTURADO","PENDIENTE")))</f>
        <v>FACTURADO</v>
      </c>
      <c r="AG747" s="133">
        <f>IFERROR(VLOOKUP(DATA[[#This Row],[COMBINADA]],#REF!,6,0),0)</f>
        <v>0</v>
      </c>
      <c r="AH747" s="125">
        <f>IFERROR(VLOOKUP(DATA[[#This Row],[COMBINADA]],#REF!,9,0),0)/COUNTIFS(DATA[COMBINADA],DATA[[#This Row],[COMBINADA]])</f>
        <v>0</v>
      </c>
      <c r="AI747" s="136">
        <f>IFERROR(VLOOKUP(DATA[[#This Row],[COMBINADA]],#REF!,6,0),0)</f>
        <v>0</v>
      </c>
      <c r="AJ747" s="132">
        <f>IFERROR(VLOOKUP(DATA[[#This Row],[COMBINADA]],#REF!,9,0),0)/COUNTIFS(DATA[COMBINADA],DATA[[#This Row],[COMBINADA]])</f>
        <v>0</v>
      </c>
      <c r="AK747" s="407">
        <f>IFERROR(VLOOKUP(DATA[[#This Row],[COMBINADA]],#REF!,6,0),0)</f>
        <v>0</v>
      </c>
      <c r="AL747" s="125">
        <f>IFERROR(VLOOKUP(DATA[[#This Row],[COMBINADA]],#REF!,9,0),0)/COUNTIFS(DATA[COMBINADA],DATA[[#This Row],[COMBINADA]])</f>
        <v>0</v>
      </c>
      <c r="AM747" s="27">
        <f>IFERROR(VLOOKUP(DATA[[#This Row],[COMBINADA]],#REF!,6,0),0)</f>
        <v>0</v>
      </c>
      <c r="AN747" s="125">
        <f>IFERROR(VLOOKUP(DATA[[#This Row],[COMBINADA]],#REF!,9,0),0)/COUNTIFS(DATA[COMBINADA],DATA[[#This Row],[COMBINADA]])</f>
        <v>0</v>
      </c>
      <c r="AO747" s="27">
        <f>IFERROR(VLOOKUP(DATA[[#This Row],[COMBINADA]],#REF!,6,0),0)</f>
        <v>0</v>
      </c>
      <c r="AP747" s="132">
        <f>IFERROR(VLOOKUP(DATA[[#This Row],[COMBINADA]],#REF!,9,0),0)/COUNTIFS(DATA[COMBINADA],DATA[[#This Row],[COMBINADA]])</f>
        <v>0</v>
      </c>
      <c r="AQ74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614.01</v>
      </c>
      <c r="AR747" s="26" t="str">
        <f>IFERROR(IF(DATA[[#This Row],[estado_fact]]="FACTURADO",VLOOKUP(DATA[[#This Row],[SERIE2]]&amp;"-"&amp;DATA[[#This Row],[NUMERO]],#REF!,34,0),"NO CORRESPONDE"),"NO CORRESPONDE")</f>
        <v>NO CORRESPONDE</v>
      </c>
      <c r="AS747" s="22" t="str">
        <f>IF(DATA[[#This Row],[fecha_fs]]&gt;0,TEXT(DATA[[#This Row],[fecha_fs]],"Mmmm"),0)</f>
        <v>Junio</v>
      </c>
      <c r="AT747" s="22" t="str">
        <f>DATA[[#This Row],[SERIE2]]&amp;"-"&amp;DATA[[#This Row],[NUMERO]]</f>
        <v>FF01-117</v>
      </c>
      <c r="AU747" s="28">
        <f>DATA[[#This Row],[TOTAL]]*DATA[[#This Row],[T.C.]]</f>
        <v>749.71</v>
      </c>
      <c r="AV747" s="6">
        <f>DATA[[#This Row],[FECHA DE VAL.]]</f>
        <v>45812</v>
      </c>
      <c r="AW747" s="6">
        <f>DATA[[#This Row],[FECHA DE EMISION]]</f>
        <v>45820</v>
      </c>
      <c r="AX747" s="6">
        <f>DATA[[#This Row],[F1]]</f>
        <v>0</v>
      </c>
      <c r="AY747" s="20">
        <f>IF(AV747-DATA[[#This Row],[fecha_fs]]&lt;0,0,AV747-DATA[[#This Row],[fecha_fs]])</f>
        <v>1</v>
      </c>
      <c r="AZ747" s="20">
        <f t="shared" si="76"/>
        <v>8</v>
      </c>
      <c r="BA747" s="20">
        <f t="shared" si="77"/>
        <v>0</v>
      </c>
      <c r="BB747" s="195">
        <f>IFERROR(SUM(DATA[[#This Row],[fs_val_ttf]:[fact_pago_ttf]]),0)</f>
        <v>9</v>
      </c>
      <c r="BC747" s="185">
        <v>45821</v>
      </c>
      <c r="BD747" s="185">
        <v>45826</v>
      </c>
      <c r="BE747" s="185">
        <v>45827</v>
      </c>
      <c r="BF747" s="185">
        <v>45832</v>
      </c>
      <c r="BG747" s="20">
        <f>IFERROR(IF(BC747-DATA[[#This Row],[fecha_fs]]&lt;0,0,BC747-DATA[[#This Row],[fecha_fs]]),0)</f>
        <v>10</v>
      </c>
      <c r="BH747" s="20">
        <f t="shared" si="78"/>
        <v>5</v>
      </c>
      <c r="BI747" s="20">
        <f t="shared" si="79"/>
        <v>1</v>
      </c>
      <c r="BJ747" s="20">
        <f t="shared" si="80"/>
        <v>5</v>
      </c>
      <c r="BK747" s="218">
        <f>IFERROR(SUM(DATA[[#This Row],[fs_fd_ttd]:[fend_fenf_ttd]]),0)</f>
        <v>21</v>
      </c>
      <c r="BL747" s="20" t="str">
        <f>IF(DATA[[#This Row],[fecha_fs]]&gt;0,TEXT(DATA[[#This Row],[fecha_fs]],"YYYY"),0)</f>
        <v>2025</v>
      </c>
      <c r="BM747" s="221" t="b">
        <v>0</v>
      </c>
      <c r="BN747" s="278">
        <f>COUNTIF(DATA[[#This Row],[tiempo_td]], "&lt;=15")</f>
        <v>0</v>
      </c>
      <c r="BO747" s="222"/>
    </row>
    <row r="748" spans="1:67" ht="30.6" customHeight="1" x14ac:dyDescent="0.25">
      <c r="A748" s="4">
        <v>20100211115</v>
      </c>
      <c r="B748" s="5" t="s">
        <v>41</v>
      </c>
      <c r="C748" s="52" t="s">
        <v>18</v>
      </c>
      <c r="D748" s="4" t="s">
        <v>120</v>
      </c>
      <c r="E748" s="5" t="s">
        <v>3</v>
      </c>
      <c r="F748" s="24">
        <v>45812</v>
      </c>
      <c r="G748" s="7" t="s">
        <v>113</v>
      </c>
      <c r="H748" s="25">
        <f t="shared" si="75"/>
        <v>1</v>
      </c>
      <c r="I748" s="67">
        <v>4590</v>
      </c>
      <c r="J748" s="8" t="s">
        <v>115</v>
      </c>
      <c r="K748" s="9" t="s">
        <v>121</v>
      </c>
      <c r="L748" s="10" t="s">
        <v>117</v>
      </c>
      <c r="M748" s="11">
        <v>90</v>
      </c>
      <c r="N748" s="12" t="s">
        <v>132</v>
      </c>
      <c r="O748" s="6">
        <v>45834</v>
      </c>
      <c r="P748" s="115">
        <v>3515</v>
      </c>
      <c r="Q748" s="14" t="s">
        <v>85</v>
      </c>
      <c r="R748" s="15"/>
      <c r="S748" s="15">
        <f>(DATA[[#This Row],[cantidad_fs]]*4.17)</f>
        <v>375.3</v>
      </c>
      <c r="T748" s="15">
        <f>DATA[[#This Row],[C. DF]]+DATA[[#This Row],[C.OPE.]]</f>
        <v>375.3</v>
      </c>
      <c r="U748" s="15">
        <f>DATA[[#This Row],[SUB TOTAL]]*0.18</f>
        <v>67.554000000000002</v>
      </c>
      <c r="V748" s="15">
        <f>IFERROR(ROUND(DATA[[#This Row],[SUB TOTAL]]+DATA[[#This Row],[IGV]],2),0)</f>
        <v>442.85</v>
      </c>
      <c r="W748" s="16" t="str">
        <f>IF(DATA[[#This Row],[VALORIZACIÓN ]]="-","NO CORRESPONDE",IF(OR(A748=20558226979,A748=10470707866,A748=20111157058,A748=20100226902),"NO CORRESPONDE",IF(J748="Emitida",IF(P748&gt;0,"EMITIDA","PENDIENTE"),"NO CORRESPONDE")))</f>
        <v>EMITIDA</v>
      </c>
      <c r="X748" s="29"/>
      <c r="Y748" s="17" t="s">
        <v>118</v>
      </c>
      <c r="Z748" s="30">
        <v>45835</v>
      </c>
      <c r="AA748" s="10" t="s">
        <v>150</v>
      </c>
      <c r="AB748" s="19">
        <v>137</v>
      </c>
      <c r="AC748" s="20">
        <v>30</v>
      </c>
      <c r="AD748" s="18">
        <f>DATA[[#This Row],[FECHA DE EMISION]]+DATA[[#This Row],[CONDICION DE PAGO]]</f>
        <v>45865</v>
      </c>
      <c r="AE748" s="23">
        <f>IF(DATA[[#This Row],[MONEDA]]="USD",VLOOKUP(DATA[[#This Row],[COMBINADA]],#REF!,11,0),1)</f>
        <v>1</v>
      </c>
      <c r="AF748" s="129" t="str">
        <f>IF(DATA[[#This Row],[SERIE2]]="-","NO CORRESPONDE",IF(W748="NO CORRESPONDE","NO CORRESPONDE",IF(Z748&gt;0,"FACTURADO","PENDIENTE")))</f>
        <v>FACTURADO</v>
      </c>
      <c r="AG748" s="133">
        <f>IFERROR(VLOOKUP(DATA[[#This Row],[COMBINADA]],#REF!,6,0),0)</f>
        <v>0</v>
      </c>
      <c r="AH748" s="125">
        <f>IFERROR(VLOOKUP(DATA[[#This Row],[COMBINADA]],#REF!,9,0),0)/COUNTIFS(DATA[COMBINADA],DATA[[#This Row],[COMBINADA]])</f>
        <v>0</v>
      </c>
      <c r="AI748" s="136">
        <f>IFERROR(VLOOKUP(DATA[[#This Row],[COMBINADA]],#REF!,6,0),0)</f>
        <v>0</v>
      </c>
      <c r="AJ748" s="132">
        <f>IFERROR(VLOOKUP(DATA[[#This Row],[COMBINADA]],#REF!,9,0),0)/COUNTIFS(DATA[COMBINADA],DATA[[#This Row],[COMBINADA]])</f>
        <v>0</v>
      </c>
      <c r="AK748" s="407">
        <f>IFERROR(VLOOKUP(DATA[[#This Row],[COMBINADA]],#REF!,6,0),0)</f>
        <v>0</v>
      </c>
      <c r="AL748" s="125">
        <f>IFERROR(VLOOKUP(DATA[[#This Row],[COMBINADA]],#REF!,9,0),0)/COUNTIFS(DATA[COMBINADA],DATA[[#This Row],[COMBINADA]])</f>
        <v>0</v>
      </c>
      <c r="AM748" s="27">
        <f>IFERROR(VLOOKUP(DATA[[#This Row],[COMBINADA]],#REF!,6,0),0)</f>
        <v>0</v>
      </c>
      <c r="AN748" s="125">
        <f>IFERROR(VLOOKUP(DATA[[#This Row],[COMBINADA]],#REF!,9,0),0)/COUNTIFS(DATA[COMBINADA],DATA[[#This Row],[COMBINADA]])</f>
        <v>0</v>
      </c>
      <c r="AO748" s="27">
        <f>IFERROR(VLOOKUP(DATA[[#This Row],[COMBINADA]],#REF!,6,0),0)</f>
        <v>0</v>
      </c>
      <c r="AP748" s="132">
        <f>IFERROR(VLOOKUP(DATA[[#This Row],[COMBINADA]],#REF!,9,0),0)/COUNTIFS(DATA[COMBINADA],DATA[[#This Row],[COMBINADA]])</f>
        <v>0</v>
      </c>
      <c r="AQ74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748" s="26" t="str">
        <f>IFERROR(IF(DATA[[#This Row],[estado_fact]]="FACTURADO",VLOOKUP(DATA[[#This Row],[SERIE2]]&amp;"-"&amp;DATA[[#This Row],[NUMERO]],#REF!,34,0),"NO CORRESPONDE"),"NO CORRESPONDE")</f>
        <v>NO CORRESPONDE</v>
      </c>
      <c r="AS748" s="22" t="str">
        <f>IF(DATA[[#This Row],[fecha_fs]]&gt;0,TEXT(DATA[[#This Row],[fecha_fs]],"Mmmm"),0)</f>
        <v>Junio</v>
      </c>
      <c r="AT748" s="22" t="str">
        <f>DATA[[#This Row],[SERIE2]]&amp;"-"&amp;DATA[[#This Row],[NUMERO]]</f>
        <v>FF01-137</v>
      </c>
      <c r="AU748" s="28">
        <f>DATA[[#This Row],[TOTAL]]*DATA[[#This Row],[T.C.]]</f>
        <v>442.85</v>
      </c>
      <c r="AV748" s="6">
        <f>DATA[[#This Row],[FECHA DE VAL.]]</f>
        <v>45834</v>
      </c>
      <c r="AW748" s="6">
        <f>DATA[[#This Row],[FECHA DE EMISION]]</f>
        <v>45835</v>
      </c>
      <c r="AX748" s="6">
        <f>DATA[[#This Row],[F1]]</f>
        <v>0</v>
      </c>
      <c r="AY748" s="20">
        <f>IF(AV748-DATA[[#This Row],[fecha_fs]]&lt;0,0,AV748-DATA[[#This Row],[fecha_fs]])</f>
        <v>22</v>
      </c>
      <c r="AZ748" s="20">
        <f t="shared" si="76"/>
        <v>1</v>
      </c>
      <c r="BA748" s="20">
        <f t="shared" si="77"/>
        <v>0</v>
      </c>
      <c r="BB748" s="195">
        <f>IFERROR(SUM(DATA[[#This Row],[fs_val_ttf]:[fact_pago_ttf]]),0)</f>
        <v>23</v>
      </c>
      <c r="BC748" s="185">
        <v>45838</v>
      </c>
      <c r="BD748" s="185">
        <v>45846</v>
      </c>
      <c r="BE748" s="185">
        <v>45848</v>
      </c>
      <c r="BF748" s="185">
        <v>45849</v>
      </c>
      <c r="BG748" s="20">
        <f>IFERROR(IF(BC748-DATA[[#This Row],[fecha_fs]]&lt;0,0,BC748-DATA[[#This Row],[fecha_fs]]),0)</f>
        <v>26</v>
      </c>
      <c r="BH748" s="20">
        <f t="shared" si="78"/>
        <v>8</v>
      </c>
      <c r="BI748" s="20">
        <f t="shared" si="79"/>
        <v>2</v>
      </c>
      <c r="BJ748" s="20">
        <f t="shared" si="80"/>
        <v>1</v>
      </c>
      <c r="BK748" s="218">
        <f>IFERROR(SUM(DATA[[#This Row],[fs_fd_ttd]:[fend_fenf_ttd]]),0)</f>
        <v>37</v>
      </c>
      <c r="BL748" s="20" t="str">
        <f>IF(DATA[[#This Row],[fecha_fs]]&gt;0,TEXT(DATA[[#This Row],[fecha_fs]],"YYYY"),0)</f>
        <v>2025</v>
      </c>
      <c r="BM748" s="221" t="b">
        <v>1</v>
      </c>
      <c r="BN748" s="278">
        <f>COUNTIF(DATA[[#This Row],[tiempo_td]], "&lt;=15")</f>
        <v>0</v>
      </c>
      <c r="BO748" s="222"/>
    </row>
    <row r="749" spans="1:67" ht="30.6" customHeight="1" x14ac:dyDescent="0.25">
      <c r="A749" s="4">
        <v>20100192064</v>
      </c>
      <c r="B749" s="5" t="s">
        <v>60</v>
      </c>
      <c r="C749" s="52" t="s">
        <v>65</v>
      </c>
      <c r="D749" s="4" t="s">
        <v>120</v>
      </c>
      <c r="E749" s="5" t="s">
        <v>3</v>
      </c>
      <c r="F749" s="24">
        <v>45813</v>
      </c>
      <c r="G749" s="7" t="s">
        <v>142</v>
      </c>
      <c r="H749" s="25">
        <f>IF(G749="","",IF(G749="LIM",2,1))</f>
        <v>2</v>
      </c>
      <c r="I749" s="67">
        <v>1097</v>
      </c>
      <c r="J749" s="8" t="s">
        <v>115</v>
      </c>
      <c r="K749" s="9" t="s">
        <v>121</v>
      </c>
      <c r="L749" s="10" t="s">
        <v>117</v>
      </c>
      <c r="M749" s="11">
        <v>400</v>
      </c>
      <c r="N749" s="12" t="s">
        <v>143</v>
      </c>
      <c r="O749" s="6">
        <v>45834</v>
      </c>
      <c r="P749" s="71">
        <v>3511</v>
      </c>
      <c r="Q749" s="14" t="s">
        <v>123</v>
      </c>
      <c r="R749" s="15">
        <f>(DATA[[#This Row],[cantidad_fs]]/1000)*(37+81.01)</f>
        <v>47.204000000000008</v>
      </c>
      <c r="S749" s="56">
        <v>103.6</v>
      </c>
      <c r="T749" s="15">
        <f>DATA[[#This Row],[C. DF]]+DATA[[#This Row],[C.OPE.]]</f>
        <v>150.804</v>
      </c>
      <c r="U749" s="15">
        <f>DATA[[#This Row],[SUB TOTAL]]*0.18</f>
        <v>27.14472</v>
      </c>
      <c r="V749" s="15">
        <f>IFERROR(ROUND(DATA[[#This Row],[SUB TOTAL]]+DATA[[#This Row],[IGV]],2),0)</f>
        <v>177.95</v>
      </c>
      <c r="W749" s="16" t="str">
        <f>IF(DATA[[#This Row],[VALORIZACIÓN ]]="-","NO CORRESPONDE",IF(OR(A749=20558226979,A749=10470707866,A749=20111157058,A749=20100226902),"NO CORRESPONDE",IF(J749="Emitida",IF(P749&gt;0,"EMITIDA","PENDIENTE"),"NO CORRESPONDE")))</f>
        <v>EMITIDA</v>
      </c>
      <c r="X749" s="29"/>
      <c r="Y749" s="17" t="s">
        <v>118</v>
      </c>
      <c r="Z749" s="30">
        <v>45838</v>
      </c>
      <c r="AA749" s="10" t="s">
        <v>150</v>
      </c>
      <c r="AB749" s="19">
        <v>140</v>
      </c>
      <c r="AC749" s="20">
        <v>30</v>
      </c>
      <c r="AD749" s="18">
        <f>DATA[[#This Row],[FECHA DE EMISION]]+DATA[[#This Row],[CONDICION DE PAGO]]</f>
        <v>45868</v>
      </c>
      <c r="AE749" s="23" t="e">
        <f>IF(DATA[[#This Row],[MONEDA]]="USD",VLOOKUP(DATA[[#This Row],[COMBINADA]],#REF!,11,0),1)</f>
        <v>#REF!</v>
      </c>
      <c r="AF749" s="129" t="str">
        <f>IF(DATA[[#This Row],[SERIE2]]="-","NO CORRESPONDE",IF(W749="NO CORRESPONDE","NO CORRESPONDE",IF(Z749&gt;0,"FACTURADO","PENDIENTE")))</f>
        <v>FACTURADO</v>
      </c>
      <c r="AG749" s="133">
        <f>IFERROR(VLOOKUP(DATA[[#This Row],[COMBINADA]],#REF!,6,0),0)</f>
        <v>0</v>
      </c>
      <c r="AH749" s="125">
        <f>IFERROR(VLOOKUP(DATA[[#This Row],[COMBINADA]],#REF!,9,0),0)/COUNTIFS(DATA[COMBINADA],DATA[[#This Row],[COMBINADA]])</f>
        <v>0</v>
      </c>
      <c r="AI749" s="136">
        <f>IFERROR(VLOOKUP(DATA[[#This Row],[COMBINADA]],#REF!,6,0),0)</f>
        <v>0</v>
      </c>
      <c r="AJ749" s="132">
        <f>IFERROR(VLOOKUP(DATA[[#This Row],[COMBINADA]],#REF!,9,0),0)/COUNTIFS(DATA[COMBINADA],DATA[[#This Row],[COMBINADA]])</f>
        <v>0</v>
      </c>
      <c r="AK749" s="408">
        <f>IFERROR(VLOOKUP(DATA[[#This Row],[COMBINADA]],#REF!,6,0),0)</f>
        <v>0</v>
      </c>
      <c r="AL749" s="125">
        <f>IFERROR(VLOOKUP(DATA[[#This Row],[COMBINADA]],#REF!,9,0),0)/COUNTIFS(DATA[COMBINADA],DATA[[#This Row],[COMBINADA]])</f>
        <v>0</v>
      </c>
      <c r="AM749" s="133">
        <f>IFERROR(VLOOKUP(DATA[[#This Row],[COMBINADA]],#REF!,6,0),0)</f>
        <v>0</v>
      </c>
      <c r="AN749" s="125">
        <f>IFERROR(VLOOKUP(DATA[[#This Row],[COMBINADA]],#REF!,9,0),0)/COUNTIFS(DATA[COMBINADA],DATA[[#This Row],[COMBINADA]])</f>
        <v>0</v>
      </c>
      <c r="AO749" s="133">
        <f>IFERROR(VLOOKUP(DATA[[#This Row],[COMBINADA]],#REF!,6,0),0)</f>
        <v>0</v>
      </c>
      <c r="AP749" s="132">
        <f>IFERROR(VLOOKUP(DATA[[#This Row],[COMBINADA]],#REF!,9,0),0)/COUNTIFS(DATA[COMBINADA],DATA[[#This Row],[COMBINADA]])</f>
        <v>0</v>
      </c>
      <c r="AQ74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469.822</v>
      </c>
      <c r="AR749" s="153" t="str">
        <f>IFERROR(IF(DATA[[#This Row],[estado_fact]]="FACTURADO",VLOOKUP(DATA[[#This Row],[SERIE2]]&amp;"-"&amp;DATA[[#This Row],[NUMERO]],#REF!,34,0),"NO CORRESPONDE"),"NO CORRESPONDE")</f>
        <v>NO CORRESPONDE</v>
      </c>
      <c r="AS749" s="22" t="str">
        <f>IF(DATA[[#This Row],[fecha_fs]]&gt;0,TEXT(DATA[[#This Row],[fecha_fs]],"Mmmm"),0)</f>
        <v>Junio</v>
      </c>
      <c r="AT749" s="22" t="str">
        <f>DATA[[#This Row],[SERIE2]]&amp;"-"&amp;DATA[[#This Row],[NUMERO]]</f>
        <v>FF01-140</v>
      </c>
      <c r="AU749" s="28" t="e">
        <f>DATA[[#This Row],[TOTAL]]*DATA[[#This Row],[T.C.]]</f>
        <v>#REF!</v>
      </c>
      <c r="AV749" s="6">
        <f>DATA[[#This Row],[FECHA DE VAL.]]</f>
        <v>45834</v>
      </c>
      <c r="AW749" s="6">
        <f>DATA[[#This Row],[FECHA DE EMISION]]</f>
        <v>45838</v>
      </c>
      <c r="AX749" s="6">
        <f>DATA[[#This Row],[F1]]</f>
        <v>0</v>
      </c>
      <c r="AY749" s="20">
        <f>IF(AV749-DATA[[#This Row],[fecha_fs]]&lt;0,0,AV749-DATA[[#This Row],[fecha_fs]])</f>
        <v>21</v>
      </c>
      <c r="AZ749" s="20">
        <f>IF(AW749-AV749&lt;0,0,AW749-AV749)</f>
        <v>4</v>
      </c>
      <c r="BA749" s="20">
        <f>IF(AX749-AW749&lt;0,0,AX749-AW749)</f>
        <v>0</v>
      </c>
      <c r="BB749" s="195">
        <f>IFERROR(SUM(DATA[[#This Row],[fs_val_ttf]:[fact_pago_ttf]]),0)</f>
        <v>25</v>
      </c>
      <c r="BC749" s="184">
        <v>45813</v>
      </c>
      <c r="BD749" s="184">
        <v>45828</v>
      </c>
      <c r="BE749" s="184">
        <v>45831</v>
      </c>
      <c r="BF749" s="233">
        <v>45868</v>
      </c>
      <c r="BG749" s="20">
        <f>IFERROR(IF(BC749-DATA[[#This Row],[fecha_fs]]&lt;0,0,BC749-DATA[[#This Row],[fecha_fs]]),0)</f>
        <v>0</v>
      </c>
      <c r="BH749" s="20">
        <f>IFERROR(IF(BD749-BC749&lt;0,0,BD749-BC749),0)</f>
        <v>15</v>
      </c>
      <c r="BI749" s="20">
        <f>IFERROR(IF(BE749-BD749&lt;0,0,BE749-BD749),0)</f>
        <v>3</v>
      </c>
      <c r="BJ749" s="20">
        <f>IFERROR(IF(BF749-BE749&lt;0,0,BF749-BE749),0)</f>
        <v>37</v>
      </c>
      <c r="BK749" s="218">
        <f>IFERROR(SUM(DATA[[#This Row],[fs_fd_ttd]:[fend_fenf_ttd]]),0)</f>
        <v>55</v>
      </c>
      <c r="BL749" s="20" t="str">
        <f>IF(DATA[[#This Row],[fecha_fs]]&gt;0,TEXT(DATA[[#This Row],[fecha_fs]],"YYYY"),0)</f>
        <v>2025</v>
      </c>
      <c r="BM749" s="221" t="b">
        <v>1</v>
      </c>
      <c r="BN749" s="278">
        <f>COUNTIF(DATA[[#This Row],[tiempo_td]], "&lt;=15")</f>
        <v>0</v>
      </c>
      <c r="BO749" s="222"/>
    </row>
    <row r="750" spans="1:67" ht="30.6" customHeight="1" x14ac:dyDescent="0.25">
      <c r="A750" s="4">
        <v>20100055237</v>
      </c>
      <c r="B750" s="5" t="s">
        <v>21</v>
      </c>
      <c r="C750" s="52" t="s">
        <v>138</v>
      </c>
      <c r="D750" s="4" t="s">
        <v>139</v>
      </c>
      <c r="E750" s="5" t="s">
        <v>23</v>
      </c>
      <c r="F750" s="24">
        <v>45813</v>
      </c>
      <c r="G750" s="7" t="s">
        <v>113</v>
      </c>
      <c r="H750" s="25">
        <f t="shared" si="75"/>
        <v>1</v>
      </c>
      <c r="I750" s="67">
        <v>4591</v>
      </c>
      <c r="J750" s="8" t="s">
        <v>115</v>
      </c>
      <c r="K750" s="9" t="s">
        <v>121</v>
      </c>
      <c r="L750" s="10" t="s">
        <v>117</v>
      </c>
      <c r="M750" s="11">
        <v>230</v>
      </c>
      <c r="N750" s="12" t="s">
        <v>167</v>
      </c>
      <c r="O750" s="6">
        <v>45835</v>
      </c>
      <c r="P750" s="54">
        <v>3525</v>
      </c>
      <c r="Q750" s="14" t="s">
        <v>85</v>
      </c>
      <c r="R750" s="15"/>
      <c r="S750" s="56">
        <v>297.92</v>
      </c>
      <c r="T750" s="15">
        <f>DATA[[#This Row],[C. DF]]+DATA[[#This Row],[C.OPE.]]</f>
        <v>297.92</v>
      </c>
      <c r="U750" s="15">
        <f>DATA[[#This Row],[SUB TOTAL]]*0.18</f>
        <v>53.625599999999999</v>
      </c>
      <c r="V750" s="15">
        <f>IFERROR(ROUND(DATA[[#This Row],[SUB TOTAL]]+DATA[[#This Row],[IGV]],2),0)</f>
        <v>351.55</v>
      </c>
      <c r="W750" s="16" t="str">
        <f>IF(DATA[[#This Row],[VALORIZACIÓN ]]="-","NO CORRESPONDE",IF(OR(A750=20558226979,A750=10470707866,A750=20111157058,A750=20100226902),"NO CORRESPONDE",IF(J750="Emitida",IF(P750&gt;0,"EMITIDA","PENDIENTE"),"NO CORRESPONDE")))</f>
        <v>EMITIDA</v>
      </c>
      <c r="X750" s="29"/>
      <c r="Y750" s="17" t="s">
        <v>118</v>
      </c>
      <c r="Z750" s="30">
        <v>45848</v>
      </c>
      <c r="AA750" s="10" t="s">
        <v>150</v>
      </c>
      <c r="AB750" s="19">
        <v>169</v>
      </c>
      <c r="AC750" s="20">
        <v>30</v>
      </c>
      <c r="AD750" s="18">
        <f>DATA[[#This Row],[FECHA DE EMISION]]+DATA[[#This Row],[CONDICION DE PAGO]]</f>
        <v>45878</v>
      </c>
      <c r="AE750" s="23">
        <f>IF(DATA[[#This Row],[MONEDA]]="USD",VLOOKUP(DATA[[#This Row],[COMBINADA]],#REF!,11,0),1)</f>
        <v>1</v>
      </c>
      <c r="AF750" s="129" t="str">
        <f>IF(DATA[[#This Row],[SERIE2]]="-","NO CORRESPONDE",IF(W750="NO CORRESPONDE","NO CORRESPONDE",IF(Z750&gt;0,"FACTURADO","PENDIENTE")))</f>
        <v>FACTURADO</v>
      </c>
      <c r="AG750" s="133">
        <f>IFERROR(VLOOKUP(DATA[[#This Row],[COMBINADA]],#REF!,6,0),0)</f>
        <v>0</v>
      </c>
      <c r="AH750" s="125">
        <f>IFERROR(VLOOKUP(DATA[[#This Row],[COMBINADA]],#REF!,9,0),0)/COUNTIFS(DATA[COMBINADA],DATA[[#This Row],[COMBINADA]])</f>
        <v>0</v>
      </c>
      <c r="AI750" s="136">
        <f>IFERROR(VLOOKUP(DATA[[#This Row],[COMBINADA]],#REF!,6,0),0)</f>
        <v>0</v>
      </c>
      <c r="AJ750" s="132">
        <f>IFERROR(VLOOKUP(DATA[[#This Row],[COMBINADA]],#REF!,9,0),0)/COUNTIFS(DATA[COMBINADA],DATA[[#This Row],[COMBINADA]])</f>
        <v>0</v>
      </c>
      <c r="AK750" s="407">
        <f>IFERROR(VLOOKUP(DATA[[#This Row],[COMBINADA]],#REF!,6,0),0)</f>
        <v>0</v>
      </c>
      <c r="AL750" s="125">
        <f>IFERROR(VLOOKUP(DATA[[#This Row],[COMBINADA]],#REF!,9,0),0)/COUNTIFS(DATA[COMBINADA],DATA[[#This Row],[COMBINADA]])</f>
        <v>0</v>
      </c>
      <c r="AM750" s="27">
        <f>IFERROR(VLOOKUP(DATA[[#This Row],[COMBINADA]],#REF!,6,0),0)</f>
        <v>0</v>
      </c>
      <c r="AN750" s="125">
        <f>IFERROR(VLOOKUP(DATA[[#This Row],[COMBINADA]],#REF!,9,0),0)/COUNTIFS(DATA[COMBINADA],DATA[[#This Row],[COMBINADA]])</f>
        <v>0</v>
      </c>
      <c r="AO750" s="27">
        <f>IFERROR(VLOOKUP(DATA[[#This Row],[COMBINADA]],#REF!,6,0),0)</f>
        <v>0</v>
      </c>
      <c r="AP750" s="132">
        <f>IFERROR(VLOOKUP(DATA[[#This Row],[COMBINADA]],#REF!,9,0),0)/COUNTIFS(DATA[COMBINADA],DATA[[#This Row],[COMBINADA]])</f>
        <v>0</v>
      </c>
      <c r="AQ75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v>
      </c>
      <c r="AR750" s="26" t="str">
        <f>IFERROR(IF(DATA[[#This Row],[estado_fact]]="FACTURADO",VLOOKUP(DATA[[#This Row],[SERIE2]]&amp;"-"&amp;DATA[[#This Row],[NUMERO]],#REF!,34,0),"NO CORRESPONDE"),"NO CORRESPONDE")</f>
        <v>NO CORRESPONDE</v>
      </c>
      <c r="AS750" s="22" t="str">
        <f>IF(DATA[[#This Row],[fecha_fs]]&gt;0,TEXT(DATA[[#This Row],[fecha_fs]],"Mmmm"),0)</f>
        <v>Junio</v>
      </c>
      <c r="AT750" s="22" t="str">
        <f>DATA[[#This Row],[SERIE2]]&amp;"-"&amp;DATA[[#This Row],[NUMERO]]</f>
        <v>FF01-169</v>
      </c>
      <c r="AU750" s="28">
        <f>DATA[[#This Row],[TOTAL]]*DATA[[#This Row],[T.C.]]</f>
        <v>351.55</v>
      </c>
      <c r="AV750" s="6">
        <f>DATA[[#This Row],[FECHA DE VAL.]]</f>
        <v>45835</v>
      </c>
      <c r="AW750" s="6">
        <f>DATA[[#This Row],[FECHA DE EMISION]]</f>
        <v>45848</v>
      </c>
      <c r="AX750" s="6">
        <f>DATA[[#This Row],[F1]]</f>
        <v>0</v>
      </c>
      <c r="AY750" s="20">
        <f>IF(AV750-DATA[[#This Row],[fecha_fs]]&lt;0,0,AV750-DATA[[#This Row],[fecha_fs]])</f>
        <v>22</v>
      </c>
      <c r="AZ750" s="20">
        <f t="shared" si="76"/>
        <v>13</v>
      </c>
      <c r="BA750" s="20">
        <f t="shared" si="77"/>
        <v>0</v>
      </c>
      <c r="BB750" s="195">
        <f>IFERROR(SUM(DATA[[#This Row],[fs_val_ttf]:[fact_pago_ttf]]),0)</f>
        <v>35</v>
      </c>
      <c r="BC750" s="185">
        <v>45813</v>
      </c>
      <c r="BD750" s="185">
        <v>45813</v>
      </c>
      <c r="BE750" s="185">
        <v>45839</v>
      </c>
      <c r="BF750" s="185">
        <v>45839</v>
      </c>
      <c r="BG750" s="20">
        <f>IFERROR(IF(BC750-DATA[[#This Row],[fecha_fs]]&lt;0,0,BC750-DATA[[#This Row],[fecha_fs]]),0)</f>
        <v>0</v>
      </c>
      <c r="BH750" s="20">
        <f t="shared" si="78"/>
        <v>0</v>
      </c>
      <c r="BI750" s="20">
        <f t="shared" si="79"/>
        <v>26</v>
      </c>
      <c r="BJ750" s="20">
        <f t="shared" si="80"/>
        <v>0</v>
      </c>
      <c r="BK750" s="218">
        <f>IFERROR(SUM(DATA[[#This Row],[fs_fd_ttd]:[fend_fenf_ttd]]),0)</f>
        <v>26</v>
      </c>
      <c r="BL750" s="20" t="str">
        <f>IF(DATA[[#This Row],[fecha_fs]]&gt;0,TEXT(DATA[[#This Row],[fecha_fs]],"YYYY"),0)</f>
        <v>2025</v>
      </c>
      <c r="BM750" s="221" t="b">
        <v>1</v>
      </c>
      <c r="BN750" s="278">
        <f>COUNTIF(DATA[[#This Row],[tiempo_td]], "&lt;=15")</f>
        <v>0</v>
      </c>
      <c r="BO750" s="222"/>
    </row>
    <row r="751" spans="1:67" ht="30.6" customHeight="1" x14ac:dyDescent="0.25">
      <c r="A751" s="4">
        <v>20141637941</v>
      </c>
      <c r="B751" s="5" t="s">
        <v>79</v>
      </c>
      <c r="C751" s="52" t="s">
        <v>18</v>
      </c>
      <c r="D751" s="4" t="s">
        <v>120</v>
      </c>
      <c r="E751" s="5" t="s">
        <v>3</v>
      </c>
      <c r="F751" s="24">
        <v>45814</v>
      </c>
      <c r="G751" s="7" t="s">
        <v>113</v>
      </c>
      <c r="H751" s="25">
        <f t="shared" si="75"/>
        <v>1</v>
      </c>
      <c r="I751" s="67">
        <v>4592</v>
      </c>
      <c r="J751" s="8" t="s">
        <v>115</v>
      </c>
      <c r="K751" s="9" t="s">
        <v>121</v>
      </c>
      <c r="L751" s="10" t="s">
        <v>117</v>
      </c>
      <c r="M751" s="11">
        <v>1160</v>
      </c>
      <c r="N751" s="12" t="s">
        <v>125</v>
      </c>
      <c r="O751" s="6">
        <v>45814</v>
      </c>
      <c r="P751" s="110">
        <v>3488</v>
      </c>
      <c r="Q751" s="14" t="s">
        <v>85</v>
      </c>
      <c r="R751" s="15">
        <f>70+(DATA[[#This Row],[cantidad_fs]]-1000)*0.1</f>
        <v>86</v>
      </c>
      <c r="S751" s="56">
        <v>517</v>
      </c>
      <c r="T751" s="15">
        <f>DATA[[#This Row],[C. DF]]+DATA[[#This Row],[C.OPE.]]</f>
        <v>603</v>
      </c>
      <c r="U751" s="15">
        <f>DATA[[#This Row],[SUB TOTAL]]*0.18</f>
        <v>108.53999999999999</v>
      </c>
      <c r="V751" s="15">
        <f>IFERROR(ROUND(DATA[[#This Row],[SUB TOTAL]]+DATA[[#This Row],[IGV]],2),0)</f>
        <v>711.54</v>
      </c>
      <c r="W751" s="16" t="str">
        <f>IF(DATA[[#This Row],[VALORIZACIÓN ]]="-","NO CORRESPONDE",IF(OR(A751=20558226979,A751=10470707866,A751=20111157058,A751=20100226902),"NO CORRESPONDE",IF(J751="Emitida",IF(P751&gt;0,"EMITIDA","PENDIENTE"),"NO CORRESPONDE")))</f>
        <v>EMITIDA</v>
      </c>
      <c r="X751" s="29"/>
      <c r="Y751" s="17" t="s">
        <v>118</v>
      </c>
      <c r="Z751" s="30">
        <v>45818</v>
      </c>
      <c r="AA751" s="10" t="s">
        <v>150</v>
      </c>
      <c r="AB751" s="19">
        <v>114</v>
      </c>
      <c r="AC751" s="20">
        <v>30</v>
      </c>
      <c r="AD751" s="18">
        <f>DATA[[#This Row],[FECHA DE EMISION]]+DATA[[#This Row],[CONDICION DE PAGO]]</f>
        <v>45848</v>
      </c>
      <c r="AE751" s="23">
        <f>IF(DATA[[#This Row],[MONEDA]]="USD",VLOOKUP(DATA[[#This Row],[COMBINADA]],#REF!,11,0),1)</f>
        <v>1</v>
      </c>
      <c r="AF751" s="129" t="str">
        <f>IF(DATA[[#This Row],[SERIE2]]="-","NO CORRESPONDE",IF(W751="NO CORRESPONDE","NO CORRESPONDE",IF(Z751&gt;0,"FACTURADO","PENDIENTE")))</f>
        <v>FACTURADO</v>
      </c>
      <c r="AG751" s="133">
        <f>IFERROR(VLOOKUP(DATA[[#This Row],[COMBINADA]],#REF!,6,0),0)</f>
        <v>0</v>
      </c>
      <c r="AH751" s="125">
        <f>IFERROR(VLOOKUP(DATA[[#This Row],[COMBINADA]],#REF!,9,0),0)/COUNTIFS(DATA[COMBINADA],DATA[[#This Row],[COMBINADA]])</f>
        <v>0</v>
      </c>
      <c r="AI751" s="136">
        <f>IFERROR(VLOOKUP(DATA[[#This Row],[COMBINADA]],#REF!,6,0),0)</f>
        <v>0</v>
      </c>
      <c r="AJ751" s="132">
        <f>IFERROR(VLOOKUP(DATA[[#This Row],[COMBINADA]],#REF!,9,0),0)/COUNTIFS(DATA[COMBINADA],DATA[[#This Row],[COMBINADA]])</f>
        <v>0</v>
      </c>
      <c r="AK751" s="407">
        <f>IFERROR(VLOOKUP(DATA[[#This Row],[COMBINADA]],#REF!,6,0),0)</f>
        <v>0</v>
      </c>
      <c r="AL751" s="125">
        <f>IFERROR(VLOOKUP(DATA[[#This Row],[COMBINADA]],#REF!,9,0),0)/COUNTIFS(DATA[COMBINADA],DATA[[#This Row],[COMBINADA]])</f>
        <v>0</v>
      </c>
      <c r="AM751" s="27">
        <f>IFERROR(VLOOKUP(DATA[[#This Row],[COMBINADA]],#REF!,6,0),0)</f>
        <v>0</v>
      </c>
      <c r="AN751" s="125">
        <f>IFERROR(VLOOKUP(DATA[[#This Row],[COMBINADA]],#REF!,9,0),0)/COUNTIFS(DATA[COMBINADA],DATA[[#This Row],[COMBINADA]])</f>
        <v>0</v>
      </c>
      <c r="AO751" s="27">
        <f>IFERROR(VLOOKUP(DATA[[#This Row],[COMBINADA]],#REF!,6,0),0)</f>
        <v>0</v>
      </c>
      <c r="AP751" s="132">
        <f>IFERROR(VLOOKUP(DATA[[#This Row],[COMBINADA]],#REF!,9,0),0)/COUNTIFS(DATA[COMBINADA],DATA[[#This Row],[COMBINADA]])</f>
        <v>0</v>
      </c>
      <c r="AQ75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698.95333333333326</v>
      </c>
      <c r="AR751" s="26" t="str">
        <f>IFERROR(IF(DATA[[#This Row],[estado_fact]]="FACTURADO",VLOOKUP(DATA[[#This Row],[SERIE2]]&amp;"-"&amp;DATA[[#This Row],[NUMERO]],#REF!,34,0),"NO CORRESPONDE"),"NO CORRESPONDE")</f>
        <v>NO CORRESPONDE</v>
      </c>
      <c r="AS751" s="22" t="str">
        <f>IF(DATA[[#This Row],[fecha_fs]]&gt;0,TEXT(DATA[[#This Row],[fecha_fs]],"Mmmm"),0)</f>
        <v>Junio</v>
      </c>
      <c r="AT751" s="22" t="str">
        <f>DATA[[#This Row],[SERIE2]]&amp;"-"&amp;DATA[[#This Row],[NUMERO]]</f>
        <v>FF01-114</v>
      </c>
      <c r="AU751" s="28">
        <f>DATA[[#This Row],[TOTAL]]*DATA[[#This Row],[T.C.]]</f>
        <v>711.54</v>
      </c>
      <c r="AV751" s="6">
        <f>DATA[[#This Row],[FECHA DE VAL.]]</f>
        <v>45814</v>
      </c>
      <c r="AW751" s="6">
        <f>DATA[[#This Row],[FECHA DE EMISION]]</f>
        <v>45818</v>
      </c>
      <c r="AX751" s="6">
        <f>DATA[[#This Row],[F1]]</f>
        <v>0</v>
      </c>
      <c r="AY751" s="20">
        <f>IF(AV751-DATA[[#This Row],[fecha_fs]]&lt;0,0,AV751-DATA[[#This Row],[fecha_fs]])</f>
        <v>0</v>
      </c>
      <c r="AZ751" s="20">
        <f t="shared" si="76"/>
        <v>4</v>
      </c>
      <c r="BA751" s="20">
        <f t="shared" si="77"/>
        <v>0</v>
      </c>
      <c r="BB751" s="195">
        <f>IFERROR(SUM(DATA[[#This Row],[fs_val_ttf]:[fact_pago_ttf]]),0)</f>
        <v>4</v>
      </c>
      <c r="BC751" s="185">
        <v>45814</v>
      </c>
      <c r="BD751" s="185">
        <v>45814</v>
      </c>
      <c r="BE751" s="185">
        <v>45818</v>
      </c>
      <c r="BF751" s="185">
        <v>45818</v>
      </c>
      <c r="BG751" s="20">
        <f>IFERROR(IF(BC751-DATA[[#This Row],[fecha_fs]]&lt;0,0,BC751-DATA[[#This Row],[fecha_fs]]),0)</f>
        <v>0</v>
      </c>
      <c r="BH751" s="20">
        <f t="shared" si="78"/>
        <v>0</v>
      </c>
      <c r="BI751" s="20">
        <f t="shared" si="79"/>
        <v>4</v>
      </c>
      <c r="BJ751" s="20">
        <f t="shared" si="80"/>
        <v>0</v>
      </c>
      <c r="BK751" s="218">
        <f>IFERROR(SUM(DATA[[#This Row],[fs_fd_ttd]:[fend_fenf_ttd]]),0)</f>
        <v>4</v>
      </c>
      <c r="BL751" s="20" t="str">
        <f>IF(DATA[[#This Row],[fecha_fs]]&gt;0,TEXT(DATA[[#This Row],[fecha_fs]],"YYYY"),0)</f>
        <v>2025</v>
      </c>
      <c r="BM751" s="221" t="b">
        <v>1</v>
      </c>
      <c r="BN751" s="278">
        <f>COUNTIF(DATA[[#This Row],[tiempo_td]], "&lt;=15")</f>
        <v>1</v>
      </c>
      <c r="BO751" s="222"/>
    </row>
    <row r="752" spans="1:67" ht="30.6" customHeight="1" x14ac:dyDescent="0.25">
      <c r="A752" s="4">
        <v>20159473148</v>
      </c>
      <c r="B752" s="5" t="s">
        <v>280</v>
      </c>
      <c r="C752" s="52" t="s">
        <v>20</v>
      </c>
      <c r="D752" s="4" t="s">
        <v>112</v>
      </c>
      <c r="E752" s="5" t="s">
        <v>1</v>
      </c>
      <c r="F752" s="24">
        <v>45813</v>
      </c>
      <c r="G752" s="7" t="s">
        <v>113</v>
      </c>
      <c r="H752" s="25">
        <f t="shared" si="75"/>
        <v>1</v>
      </c>
      <c r="I752" s="67">
        <v>4593</v>
      </c>
      <c r="J752" s="8" t="s">
        <v>115</v>
      </c>
      <c r="K752" s="9" t="s">
        <v>116</v>
      </c>
      <c r="L752" s="10" t="s">
        <v>117</v>
      </c>
      <c r="M752" s="11">
        <v>2320</v>
      </c>
      <c r="N752" s="12" t="s">
        <v>122</v>
      </c>
      <c r="O752" s="6">
        <v>45814</v>
      </c>
      <c r="P752" s="13">
        <v>3486</v>
      </c>
      <c r="Q752" s="14" t="s">
        <v>85</v>
      </c>
      <c r="R752" s="15">
        <f>DATA[[#This Row],[cantidad_fs]]*0.4</f>
        <v>928</v>
      </c>
      <c r="S752" s="15">
        <v>2650.9</v>
      </c>
      <c r="T752" s="15">
        <f>DATA[[#This Row],[C. DF]]+DATA[[#This Row],[C.OPE.]]</f>
        <v>3578.9</v>
      </c>
      <c r="U752" s="15">
        <f>DATA[[#This Row],[SUB TOTAL]]*0.18</f>
        <v>644.202</v>
      </c>
      <c r="V752" s="15">
        <f>IFERROR(ROUND(DATA[[#This Row],[SUB TOTAL]]+DATA[[#This Row],[IGV]],2),0)</f>
        <v>4223.1000000000004</v>
      </c>
      <c r="W752" s="16" t="str">
        <f>IF(DATA[[#This Row],[VALORIZACIÓN ]]="-","NO CORRESPONDE",IF(OR(A752=20558226979,A752=10470707866,A752=20111157058,A752=20100226902),"NO CORRESPONDE",IF(J752="Emitida",IF(P752&gt;0,"EMITIDA","PENDIENTE"),"NO CORRESPONDE")))</f>
        <v>EMITIDA</v>
      </c>
      <c r="X752" s="29"/>
      <c r="Y752" s="17" t="s">
        <v>118</v>
      </c>
      <c r="Z752" s="30">
        <v>45831</v>
      </c>
      <c r="AA752" s="10" t="s">
        <v>150</v>
      </c>
      <c r="AB752" s="19">
        <v>131</v>
      </c>
      <c r="AC752" s="20">
        <v>15</v>
      </c>
      <c r="AD752" s="18">
        <f>DATA[[#This Row],[FECHA DE EMISION]]+DATA[[#This Row],[CONDICION DE PAGO]]</f>
        <v>45846</v>
      </c>
      <c r="AE752" s="23">
        <f>IF(DATA[[#This Row],[MONEDA]]="USD",VLOOKUP(DATA[[#This Row],[COMBINADA]],#REF!,11,0),1)</f>
        <v>1</v>
      </c>
      <c r="AF752" s="129" t="str">
        <f>IF(DATA[[#This Row],[SERIE2]]="-","NO CORRESPONDE",IF(W752="NO CORRESPONDE","NO CORRESPONDE",IF(Z752&gt;0,"FACTURADO","PENDIENTE")))</f>
        <v>FACTURADO</v>
      </c>
      <c r="AG752" s="133">
        <f>IFERROR(VLOOKUP(DATA[[#This Row],[COMBINADA]],#REF!,6,0),0)</f>
        <v>0</v>
      </c>
      <c r="AH752" s="125">
        <f>IFERROR(VLOOKUP(DATA[[#This Row],[COMBINADA]],#REF!,9,0),0)/COUNTIFS(DATA[COMBINADA],DATA[[#This Row],[COMBINADA]])</f>
        <v>0</v>
      </c>
      <c r="AI752" s="136">
        <f>IFERROR(VLOOKUP(DATA[[#This Row],[COMBINADA]],#REF!,6,0),0)</f>
        <v>0</v>
      </c>
      <c r="AJ752" s="132">
        <f>IFERROR(VLOOKUP(DATA[[#This Row],[COMBINADA]],#REF!,9,0),0)/COUNTIFS(DATA[COMBINADA],DATA[[#This Row],[COMBINADA]])</f>
        <v>0</v>
      </c>
      <c r="AK752" s="407">
        <f>IFERROR(VLOOKUP(DATA[[#This Row],[COMBINADA]],#REF!,6,0),0)</f>
        <v>0</v>
      </c>
      <c r="AL752" s="125">
        <f>IFERROR(VLOOKUP(DATA[[#This Row],[COMBINADA]],#REF!,9,0),0)/COUNTIFS(DATA[COMBINADA],DATA[[#This Row],[COMBINADA]])</f>
        <v>0</v>
      </c>
      <c r="AM752" s="27">
        <f>IFERROR(VLOOKUP(DATA[[#This Row],[COMBINADA]],#REF!,6,0),0)</f>
        <v>0</v>
      </c>
      <c r="AN752" s="125">
        <f>IFERROR(VLOOKUP(DATA[[#This Row],[COMBINADA]],#REF!,9,0),0)/COUNTIFS(DATA[COMBINADA],DATA[[#This Row],[COMBINADA]])</f>
        <v>0</v>
      </c>
      <c r="AO752" s="27">
        <f>IFERROR(VLOOKUP(DATA[[#This Row],[COMBINADA]],#REF!,6,0),0)</f>
        <v>0</v>
      </c>
      <c r="AP752" s="132">
        <f>IFERROR(VLOOKUP(DATA[[#This Row],[COMBINADA]],#REF!,9,0),0)/COUNTIFS(DATA[COMBINADA],DATA[[#This Row],[COMBINADA]])</f>
        <v>0</v>
      </c>
      <c r="AQ75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4223.1000000000004</v>
      </c>
      <c r="AR752" s="26" t="str">
        <f>IFERROR(IF(DATA[[#This Row],[estado_fact]]="FACTURADO",VLOOKUP(DATA[[#This Row],[SERIE2]]&amp;"-"&amp;DATA[[#This Row],[NUMERO]],#REF!,34,0),"NO CORRESPONDE"),"NO CORRESPONDE")</f>
        <v>NO CORRESPONDE</v>
      </c>
      <c r="AS752" s="22" t="str">
        <f>IF(DATA[[#This Row],[fecha_fs]]&gt;0,TEXT(DATA[[#This Row],[fecha_fs]],"Mmmm"),0)</f>
        <v>Junio</v>
      </c>
      <c r="AT752" s="22" t="str">
        <f>DATA[[#This Row],[SERIE2]]&amp;"-"&amp;DATA[[#This Row],[NUMERO]]</f>
        <v>FF01-131</v>
      </c>
      <c r="AU752" s="28">
        <f>DATA[[#This Row],[TOTAL]]*DATA[[#This Row],[T.C.]]</f>
        <v>4223.1000000000004</v>
      </c>
      <c r="AV752" s="6">
        <f>DATA[[#This Row],[FECHA DE VAL.]]</f>
        <v>45814</v>
      </c>
      <c r="AW752" s="6">
        <f>DATA[[#This Row],[FECHA DE EMISION]]</f>
        <v>45831</v>
      </c>
      <c r="AX752" s="6">
        <f>DATA[[#This Row],[F1]]</f>
        <v>0</v>
      </c>
      <c r="AY752" s="20">
        <f>IF(AV752-DATA[[#This Row],[fecha_fs]]&lt;0,0,AV752-DATA[[#This Row],[fecha_fs]])</f>
        <v>1</v>
      </c>
      <c r="AZ752" s="20">
        <f t="shared" si="76"/>
        <v>17</v>
      </c>
      <c r="BA752" s="20">
        <f t="shared" si="77"/>
        <v>0</v>
      </c>
      <c r="BB752" s="195">
        <f>IFERROR(SUM(DATA[[#This Row],[fs_val_ttf]:[fact_pago_ttf]]),0)</f>
        <v>18</v>
      </c>
      <c r="BC752" s="185">
        <v>45813</v>
      </c>
      <c r="BD752" s="185">
        <v>45826</v>
      </c>
      <c r="BE752" s="185">
        <v>45826</v>
      </c>
      <c r="BF752" s="185">
        <v>45831</v>
      </c>
      <c r="BG752" s="20">
        <f>IFERROR(IF(BC752-DATA[[#This Row],[fecha_fs]]&lt;0,0,BC752-DATA[[#This Row],[fecha_fs]]),0)</f>
        <v>0</v>
      </c>
      <c r="BH752" s="20">
        <f t="shared" si="78"/>
        <v>13</v>
      </c>
      <c r="BI752" s="20">
        <f t="shared" si="79"/>
        <v>0</v>
      </c>
      <c r="BJ752" s="20">
        <f t="shared" si="80"/>
        <v>5</v>
      </c>
      <c r="BK752" s="218">
        <f>IFERROR(SUM(DATA[[#This Row],[fs_fd_ttd]:[fend_fenf_ttd]]),0)</f>
        <v>18</v>
      </c>
      <c r="BL752" s="20" t="str">
        <f>IF(DATA[[#This Row],[fecha_fs]]&gt;0,TEXT(DATA[[#This Row],[fecha_fs]],"YYYY"),0)</f>
        <v>2025</v>
      </c>
      <c r="BM752" s="221" t="b">
        <v>1</v>
      </c>
      <c r="BN752" s="278">
        <f>COUNTIF(DATA[[#This Row],[tiempo_td]], "&lt;=15")</f>
        <v>0</v>
      </c>
      <c r="BO752" s="222"/>
    </row>
    <row r="753" spans="1:67" ht="30.6" customHeight="1" x14ac:dyDescent="0.25">
      <c r="A753" s="4">
        <v>20100226902</v>
      </c>
      <c r="B753" s="5" t="s">
        <v>24</v>
      </c>
      <c r="C753" s="52" t="s">
        <v>18</v>
      </c>
      <c r="D753" s="4" t="s">
        <v>120</v>
      </c>
      <c r="E753" s="5" t="s">
        <v>3</v>
      </c>
      <c r="F753" s="24">
        <v>45814</v>
      </c>
      <c r="G753" s="7" t="s">
        <v>113</v>
      </c>
      <c r="H753" s="25">
        <f t="shared" si="75"/>
        <v>1</v>
      </c>
      <c r="I753" s="67">
        <v>4594</v>
      </c>
      <c r="J753" s="8" t="s">
        <v>115</v>
      </c>
      <c r="K753" s="9" t="s">
        <v>121</v>
      </c>
      <c r="L753" s="10" t="s">
        <v>117</v>
      </c>
      <c r="M753" s="11">
        <v>580</v>
      </c>
      <c r="N753" s="12" t="s">
        <v>127</v>
      </c>
      <c r="O753" s="40"/>
      <c r="P753" s="41" t="s">
        <v>114</v>
      </c>
      <c r="Q753" s="42"/>
      <c r="R753" s="43"/>
      <c r="S753" s="43"/>
      <c r="T753" s="43">
        <f>DATA[[#This Row],[C. DF]]+DATA[[#This Row],[C.OPE.]]</f>
        <v>0</v>
      </c>
      <c r="U753" s="43">
        <f>DATA[[#This Row],[SUB TOTAL]]*0.18</f>
        <v>0</v>
      </c>
      <c r="V753" s="43">
        <f>IFERROR(ROUND(DATA[[#This Row],[SUB TOTAL]]+DATA[[#This Row],[IGV]],2),0)</f>
        <v>0</v>
      </c>
      <c r="W753" s="58" t="str">
        <f>IF(DATA[[#This Row],[VALORIZACIÓN ]]="-","NO CORRESPONDE",IF(OR(A753=20558226979,A753=10470707866,A753=20111157058,A753=20100226902),"NO CORRESPONDE",IF(J753="Emitida",IF(P753&gt;0,"EMITIDA","PENDIENTE"),"NO CORRESPONDE")))</f>
        <v>NO CORRESPONDE</v>
      </c>
      <c r="X753" s="45"/>
      <c r="Y753" s="17" t="s">
        <v>128</v>
      </c>
      <c r="Z753" s="46"/>
      <c r="AA753" s="47"/>
      <c r="AB753" s="48"/>
      <c r="AC753" s="49"/>
      <c r="AD753" s="50">
        <f>DATA[[#This Row],[FECHA DE EMISION]]+DATA[[#This Row],[CONDICION DE PAGO]]</f>
        <v>0</v>
      </c>
      <c r="AE753" s="23">
        <f>IF(DATA[[#This Row],[MONEDA]]="USD",VLOOKUP(DATA[[#This Row],[COMBINADA]],#REF!,11,0),1)</f>
        <v>1</v>
      </c>
      <c r="AF753" s="129" t="str">
        <f>IF(DATA[[#This Row],[SERIE2]]="-","NO CORRESPONDE",IF(W753="NO CORRESPONDE","NO CORRESPONDE",IF(Z753&gt;0,"FACTURADO","PENDIENTE")))</f>
        <v>NO CORRESPONDE</v>
      </c>
      <c r="AG753" s="140">
        <f>IFERROR(VLOOKUP(DATA[[#This Row],[COMBINADA]],#REF!,6,0),0)</f>
        <v>0</v>
      </c>
      <c r="AH753" s="126">
        <f>IFERROR(VLOOKUP(DATA[[#This Row],[COMBINADA]],#REF!,9,0),0)/COUNTIFS(DATA[COMBINADA],DATA[[#This Row],[COMBINADA]])</f>
        <v>0</v>
      </c>
      <c r="AI753" s="140">
        <f>IFERROR(VLOOKUP(DATA[[#This Row],[COMBINADA]],#REF!,6,0),0)</f>
        <v>0</v>
      </c>
      <c r="AJ753" s="126">
        <f>IFERROR(VLOOKUP(DATA[[#This Row],[COMBINADA]],#REF!,9,0),0)/COUNTIFS(DATA[COMBINADA],DATA[[#This Row],[COMBINADA]])</f>
        <v>0</v>
      </c>
      <c r="AK753" s="287">
        <f>IFERROR(VLOOKUP(DATA[[#This Row],[COMBINADA]],#REF!,6,0),0)</f>
        <v>0</v>
      </c>
      <c r="AL753" s="126">
        <f>IFERROR(VLOOKUP(DATA[[#This Row],[COMBINADA]],#REF!,9,0),0)/COUNTIFS(DATA[COMBINADA],DATA[[#This Row],[COMBINADA]])</f>
        <v>0</v>
      </c>
      <c r="AM753" s="60">
        <f>IFERROR(VLOOKUP(DATA[[#This Row],[COMBINADA]],#REF!,6,0),0)</f>
        <v>0</v>
      </c>
      <c r="AN753" s="126">
        <f>IFERROR(VLOOKUP(DATA[[#This Row],[COMBINADA]],#REF!,9,0),0)/COUNTIFS(DATA[COMBINADA],DATA[[#This Row],[COMBINADA]])</f>
        <v>0</v>
      </c>
      <c r="AO753" s="60">
        <f>IFERROR(VLOOKUP(DATA[[#This Row],[COMBINADA]],#REF!,6,0),0)</f>
        <v>0</v>
      </c>
      <c r="AP753" s="126">
        <f>IFERROR(VLOOKUP(DATA[[#This Row],[COMBINADA]],#REF!,9,0),0)/COUNTIFS(DATA[COMBINADA],DATA[[#This Row],[COMBINADA]])</f>
        <v>0</v>
      </c>
      <c r="AQ753"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753" s="22" t="str">
        <f>IFERROR(IF(DATA[[#This Row],[estado_fact]]="FACTURADO",VLOOKUP(DATA[[#This Row],[SERIE2]]&amp;"-"&amp;DATA[[#This Row],[NUMERO]],#REF!,34,0),"NO CORRESPONDE"),"NO CORRESPONDE")</f>
        <v>NO CORRESPONDE</v>
      </c>
      <c r="AS753" s="22" t="str">
        <f>IF(DATA[[#This Row],[fecha_fs]]&gt;0,TEXT(DATA[[#This Row],[fecha_fs]],"Mmmm"),0)</f>
        <v>Junio</v>
      </c>
      <c r="AT753" s="22" t="str">
        <f>DATA[[#This Row],[SERIE2]]&amp;"-"&amp;DATA[[#This Row],[NUMERO]]</f>
        <v>-</v>
      </c>
      <c r="AU753" s="28">
        <f>DATA[[#This Row],[TOTAL]]*DATA[[#This Row],[T.C.]]</f>
        <v>0</v>
      </c>
      <c r="AV753" s="6">
        <f>DATA[[#This Row],[FECHA DE VAL.]]</f>
        <v>0</v>
      </c>
      <c r="AW753" s="6">
        <f>DATA[[#This Row],[FECHA DE EMISION]]</f>
        <v>0</v>
      </c>
      <c r="AX753" s="6">
        <f>DATA[[#This Row],[F1]]</f>
        <v>0</v>
      </c>
      <c r="AY753" s="20">
        <f>IF(AV753-DATA[[#This Row],[fecha_fs]]&lt;0,0,AV753-DATA[[#This Row],[fecha_fs]])</f>
        <v>0</v>
      </c>
      <c r="AZ753" s="20">
        <f t="shared" si="76"/>
        <v>0</v>
      </c>
      <c r="BA753" s="20">
        <f t="shared" si="77"/>
        <v>0</v>
      </c>
      <c r="BB753" s="195">
        <f>IFERROR(SUM(DATA[[#This Row],[fs_val_ttf]:[fact_pago_ttf]]),0)</f>
        <v>0</v>
      </c>
      <c r="BC753" s="185">
        <v>45814</v>
      </c>
      <c r="BD753" s="185">
        <v>45814</v>
      </c>
      <c r="BE753" s="185">
        <v>45841</v>
      </c>
      <c r="BF753" s="185">
        <v>45841</v>
      </c>
      <c r="BG753" s="20">
        <f>IFERROR(IF(BC753-DATA[[#This Row],[fecha_fs]]&lt;0,0,BC753-DATA[[#This Row],[fecha_fs]]),0)</f>
        <v>0</v>
      </c>
      <c r="BH753" s="20">
        <f t="shared" si="78"/>
        <v>0</v>
      </c>
      <c r="BI753" s="20">
        <f t="shared" si="79"/>
        <v>27</v>
      </c>
      <c r="BJ753" s="20">
        <f t="shared" si="80"/>
        <v>0</v>
      </c>
      <c r="BK753" s="218">
        <f>IFERROR(SUM(DATA[[#This Row],[fs_fd_ttd]:[fend_fenf_ttd]]),0)</f>
        <v>27</v>
      </c>
      <c r="BL753" s="20" t="str">
        <f>IF(DATA[[#This Row],[fecha_fs]]&gt;0,TEXT(DATA[[#This Row],[fecha_fs]],"YYYY"),0)</f>
        <v>2025</v>
      </c>
      <c r="BM753" s="221" t="b">
        <v>1</v>
      </c>
      <c r="BN753" s="278">
        <f>COUNTIF(DATA[[#This Row],[tiempo_td]], "&lt;=15")</f>
        <v>0</v>
      </c>
      <c r="BO753" s="222"/>
    </row>
    <row r="754" spans="1:67" ht="30.6" customHeight="1" x14ac:dyDescent="0.25">
      <c r="A754" s="4">
        <v>20456012427</v>
      </c>
      <c r="B754" s="5" t="s">
        <v>54</v>
      </c>
      <c r="C754" s="52" t="s">
        <v>55</v>
      </c>
      <c r="D754" s="4" t="s">
        <v>112</v>
      </c>
      <c r="E754" s="5" t="s">
        <v>1</v>
      </c>
      <c r="F754" s="24">
        <v>45813</v>
      </c>
      <c r="G754" s="7" t="s">
        <v>113</v>
      </c>
      <c r="H754" s="25">
        <f t="shared" si="75"/>
        <v>1</v>
      </c>
      <c r="I754" s="67">
        <v>4595</v>
      </c>
      <c r="J754" s="8" t="s">
        <v>115</v>
      </c>
      <c r="K754" s="9" t="s">
        <v>116</v>
      </c>
      <c r="L754" s="10" t="s">
        <v>117</v>
      </c>
      <c r="M754" s="11">
        <v>160</v>
      </c>
      <c r="N754" s="12" t="s">
        <v>114</v>
      </c>
      <c r="O754" s="6">
        <v>45817</v>
      </c>
      <c r="P754" s="13">
        <v>3489</v>
      </c>
      <c r="Q754" s="14" t="s">
        <v>85</v>
      </c>
      <c r="R754" s="15">
        <f>DATA[[#This Row],[cantidad_fs]]*1</f>
        <v>160</v>
      </c>
      <c r="S754" s="56">
        <v>270</v>
      </c>
      <c r="T754" s="15">
        <f>DATA[[#This Row],[C. DF]]+DATA[[#This Row],[C.OPE.]]</f>
        <v>430</v>
      </c>
      <c r="U754" s="15">
        <f>DATA[[#This Row],[SUB TOTAL]]*0.18</f>
        <v>77.399999999999991</v>
      </c>
      <c r="V754" s="15">
        <f>IFERROR(ROUND(DATA[[#This Row],[SUB TOTAL]]+DATA[[#This Row],[IGV]],2),0)</f>
        <v>507.4</v>
      </c>
      <c r="W754" s="16" t="str">
        <f>IF(DATA[[#This Row],[VALORIZACIÓN ]]="-","NO CORRESPONDE",IF(OR(A754=20558226979,A754=10470707866,A754=20111157058,A754=20100226902),"NO CORRESPONDE",IF(J754="Emitida",IF(P754&gt;0,"EMITIDA","PENDIENTE"),"NO CORRESPONDE")))</f>
        <v>EMITIDA</v>
      </c>
      <c r="X754" s="29"/>
      <c r="Y754" s="17" t="s">
        <v>118</v>
      </c>
      <c r="Z754" s="30">
        <v>45820</v>
      </c>
      <c r="AA754" s="10" t="s">
        <v>150</v>
      </c>
      <c r="AB754" s="19">
        <v>119</v>
      </c>
      <c r="AC754" s="20">
        <v>15</v>
      </c>
      <c r="AD754" s="18">
        <f>DATA[[#This Row],[FECHA DE EMISION]]+DATA[[#This Row],[CONDICION DE PAGO]]</f>
        <v>45835</v>
      </c>
      <c r="AE754" s="23">
        <f>IF(DATA[[#This Row],[MONEDA]]="USD",VLOOKUP(DATA[[#This Row],[COMBINADA]],#REF!,11,0),1)</f>
        <v>1</v>
      </c>
      <c r="AF754" s="129" t="str">
        <f>IF(DATA[[#This Row],[SERIE2]]="-","NO CORRESPONDE",IF(W754="NO CORRESPONDE","NO CORRESPONDE",IF(Z754&gt;0,"FACTURADO","PENDIENTE")))</f>
        <v>FACTURADO</v>
      </c>
      <c r="AG754" s="133">
        <f>IFERROR(VLOOKUP(DATA[[#This Row],[COMBINADA]],#REF!,6,0),0)</f>
        <v>0</v>
      </c>
      <c r="AH754" s="125">
        <f>IFERROR(VLOOKUP(DATA[[#This Row],[COMBINADA]],#REF!,9,0),0)/COUNTIFS(DATA[COMBINADA],DATA[[#This Row],[COMBINADA]])</f>
        <v>0</v>
      </c>
      <c r="AI754" s="136">
        <f>IFERROR(VLOOKUP(DATA[[#This Row],[COMBINADA]],#REF!,6,0),0)</f>
        <v>0</v>
      </c>
      <c r="AJ754" s="132">
        <f>IFERROR(VLOOKUP(DATA[[#This Row],[COMBINADA]],#REF!,9,0),0)/COUNTIFS(DATA[COMBINADA],DATA[[#This Row],[COMBINADA]])</f>
        <v>0</v>
      </c>
      <c r="AK754" s="407">
        <f>IFERROR(VLOOKUP(DATA[[#This Row],[COMBINADA]],#REF!,6,0),0)</f>
        <v>0</v>
      </c>
      <c r="AL754" s="125">
        <f>IFERROR(VLOOKUP(DATA[[#This Row],[COMBINADA]],#REF!,9,0),0)/COUNTIFS(DATA[COMBINADA],DATA[[#This Row],[COMBINADA]])</f>
        <v>0</v>
      </c>
      <c r="AM754" s="27">
        <f>IFERROR(VLOOKUP(DATA[[#This Row],[COMBINADA]],#REF!,6,0),0)</f>
        <v>0</v>
      </c>
      <c r="AN754" s="125">
        <f>IFERROR(VLOOKUP(DATA[[#This Row],[COMBINADA]],#REF!,9,0),0)/COUNTIFS(DATA[COMBINADA],DATA[[#This Row],[COMBINADA]])</f>
        <v>0</v>
      </c>
      <c r="AO754" s="27">
        <f>IFERROR(VLOOKUP(DATA[[#This Row],[COMBINADA]],#REF!,6,0),0)</f>
        <v>0</v>
      </c>
      <c r="AP754" s="132">
        <f>IFERROR(VLOOKUP(DATA[[#This Row],[COMBINADA]],#REF!,9,0),0)/COUNTIFS(DATA[COMBINADA],DATA[[#This Row],[COMBINADA]])</f>
        <v>0</v>
      </c>
      <c r="AQ75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501.5</v>
      </c>
      <c r="AR754" s="26" t="str">
        <f>IFERROR(IF(DATA[[#This Row],[estado_fact]]="FACTURADO",VLOOKUP(DATA[[#This Row],[SERIE2]]&amp;"-"&amp;DATA[[#This Row],[NUMERO]],#REF!,34,0),"NO CORRESPONDE"),"NO CORRESPONDE")</f>
        <v>NO CORRESPONDE</v>
      </c>
      <c r="AS754" s="22" t="str">
        <f>IF(DATA[[#This Row],[fecha_fs]]&gt;0,TEXT(DATA[[#This Row],[fecha_fs]],"Mmmm"),0)</f>
        <v>Junio</v>
      </c>
      <c r="AT754" s="22" t="str">
        <f>DATA[[#This Row],[SERIE2]]&amp;"-"&amp;DATA[[#This Row],[NUMERO]]</f>
        <v>FF01-119</v>
      </c>
      <c r="AU754" s="28">
        <f>DATA[[#This Row],[TOTAL]]*DATA[[#This Row],[T.C.]]</f>
        <v>507.4</v>
      </c>
      <c r="AV754" s="6">
        <f>DATA[[#This Row],[FECHA DE VAL.]]</f>
        <v>45817</v>
      </c>
      <c r="AW754" s="6">
        <f>DATA[[#This Row],[FECHA DE EMISION]]</f>
        <v>45820</v>
      </c>
      <c r="AX754" s="6">
        <f>DATA[[#This Row],[F1]]</f>
        <v>0</v>
      </c>
      <c r="AY754" s="20">
        <f>IF(AV754-DATA[[#This Row],[fecha_fs]]&lt;0,0,AV754-DATA[[#This Row],[fecha_fs]])</f>
        <v>4</v>
      </c>
      <c r="AZ754" s="20">
        <f t="shared" si="76"/>
        <v>3</v>
      </c>
      <c r="BA754" s="20">
        <f t="shared" si="77"/>
        <v>0</v>
      </c>
      <c r="BB754" s="195">
        <f>IFERROR(SUM(DATA[[#This Row],[fs_val_ttf]:[fact_pago_ttf]]),0)</f>
        <v>7</v>
      </c>
      <c r="BC754" s="185">
        <v>45828</v>
      </c>
      <c r="BD754" s="185">
        <v>45839</v>
      </c>
      <c r="BE754" s="185">
        <v>45839</v>
      </c>
      <c r="BF754" s="185">
        <v>45840</v>
      </c>
      <c r="BG754" s="20">
        <f>IFERROR(IF(BC754-DATA[[#This Row],[fecha_fs]]&lt;0,0,BC754-DATA[[#This Row],[fecha_fs]]),0)</f>
        <v>15</v>
      </c>
      <c r="BH754" s="20">
        <f t="shared" si="78"/>
        <v>11</v>
      </c>
      <c r="BI754" s="20">
        <f t="shared" si="79"/>
        <v>0</v>
      </c>
      <c r="BJ754" s="20">
        <f t="shared" si="80"/>
        <v>1</v>
      </c>
      <c r="BK754" s="218">
        <f>IFERROR(SUM(DATA[[#This Row],[fs_fd_ttd]:[fend_fenf_ttd]]),0)</f>
        <v>27</v>
      </c>
      <c r="BL754" s="20" t="str">
        <f>IF(DATA[[#This Row],[fecha_fs]]&gt;0,TEXT(DATA[[#This Row],[fecha_fs]],"YYYY"),0)</f>
        <v>2025</v>
      </c>
      <c r="BM754" s="221" t="b">
        <v>1</v>
      </c>
      <c r="BN754" s="278">
        <f>COUNTIF(DATA[[#This Row],[tiempo_td]], "&lt;=15")</f>
        <v>0</v>
      </c>
      <c r="BO754" s="222"/>
    </row>
    <row r="755" spans="1:67" ht="30.6" customHeight="1" x14ac:dyDescent="0.25">
      <c r="A755" s="4">
        <v>20456012427</v>
      </c>
      <c r="B755" s="5" t="s">
        <v>54</v>
      </c>
      <c r="C755" s="52" t="s">
        <v>177</v>
      </c>
      <c r="D755" s="4" t="s">
        <v>112</v>
      </c>
      <c r="E755" s="5" t="s">
        <v>1</v>
      </c>
      <c r="F755" s="24">
        <v>45813</v>
      </c>
      <c r="G755" s="7" t="s">
        <v>113</v>
      </c>
      <c r="H755" s="25">
        <f t="shared" si="75"/>
        <v>1</v>
      </c>
      <c r="I755" s="67">
        <v>4596</v>
      </c>
      <c r="J755" s="8" t="s">
        <v>115</v>
      </c>
      <c r="K755" s="9" t="s">
        <v>116</v>
      </c>
      <c r="L755" s="10" t="s">
        <v>117</v>
      </c>
      <c r="M755" s="11">
        <v>150</v>
      </c>
      <c r="N755" s="12" t="s">
        <v>114</v>
      </c>
      <c r="O755" s="6">
        <v>45817</v>
      </c>
      <c r="P755" s="13">
        <v>3489</v>
      </c>
      <c r="Q755" s="14" t="s">
        <v>85</v>
      </c>
      <c r="R755" s="15">
        <f>DATA[[#This Row],[cantidad_fs]]*1</f>
        <v>150</v>
      </c>
      <c r="S755" s="56">
        <v>270</v>
      </c>
      <c r="T755" s="15">
        <f>DATA[[#This Row],[C. DF]]+DATA[[#This Row],[C.OPE.]]</f>
        <v>420</v>
      </c>
      <c r="U755" s="15">
        <f>DATA[[#This Row],[SUB TOTAL]]*0.18</f>
        <v>75.599999999999994</v>
      </c>
      <c r="V755" s="15">
        <f>IFERROR(ROUND(DATA[[#This Row],[SUB TOTAL]]+DATA[[#This Row],[IGV]],2),0)</f>
        <v>495.6</v>
      </c>
      <c r="W755" s="16" t="str">
        <f>IF(DATA[[#This Row],[VALORIZACIÓN ]]="-","NO CORRESPONDE",IF(OR(A755=20558226979,A755=10470707866,A755=20111157058,A755=20100226902),"NO CORRESPONDE",IF(J755="Emitida",IF(P755&gt;0,"EMITIDA","PENDIENTE"),"NO CORRESPONDE")))</f>
        <v>EMITIDA</v>
      </c>
      <c r="X755" s="29"/>
      <c r="Y755" s="17" t="s">
        <v>118</v>
      </c>
      <c r="Z755" s="30">
        <v>45820</v>
      </c>
      <c r="AA755" s="10" t="s">
        <v>150</v>
      </c>
      <c r="AB755" s="19">
        <v>119</v>
      </c>
      <c r="AC755" s="20">
        <v>15</v>
      </c>
      <c r="AD755" s="18">
        <f>DATA[[#This Row],[FECHA DE EMISION]]+DATA[[#This Row],[CONDICION DE PAGO]]</f>
        <v>45835</v>
      </c>
      <c r="AE755" s="23">
        <f>IF(DATA[[#This Row],[MONEDA]]="USD",VLOOKUP(DATA[[#This Row],[COMBINADA]],#REF!,11,0),1)</f>
        <v>1</v>
      </c>
      <c r="AF755" s="129" t="str">
        <f>IF(DATA[[#This Row],[SERIE2]]="-","NO CORRESPONDE",IF(W755="NO CORRESPONDE","NO CORRESPONDE",IF(Z755&gt;0,"FACTURADO","PENDIENTE")))</f>
        <v>FACTURADO</v>
      </c>
      <c r="AG755" s="133">
        <f>IFERROR(VLOOKUP(DATA[[#This Row],[COMBINADA]],#REF!,6,0),0)</f>
        <v>0</v>
      </c>
      <c r="AH755" s="125">
        <f>IFERROR(VLOOKUP(DATA[[#This Row],[COMBINADA]],#REF!,9,0),0)/COUNTIFS(DATA[COMBINADA],DATA[[#This Row],[COMBINADA]])</f>
        <v>0</v>
      </c>
      <c r="AI755" s="136">
        <f>IFERROR(VLOOKUP(DATA[[#This Row],[COMBINADA]],#REF!,6,0),0)</f>
        <v>0</v>
      </c>
      <c r="AJ755" s="132">
        <f>IFERROR(VLOOKUP(DATA[[#This Row],[COMBINADA]],#REF!,9,0),0)/COUNTIFS(DATA[COMBINADA],DATA[[#This Row],[COMBINADA]])</f>
        <v>0</v>
      </c>
      <c r="AK755" s="407">
        <f>IFERROR(VLOOKUP(DATA[[#This Row],[COMBINADA]],#REF!,6,0),0)</f>
        <v>0</v>
      </c>
      <c r="AL755" s="125">
        <f>IFERROR(VLOOKUP(DATA[[#This Row],[COMBINADA]],#REF!,9,0),0)/COUNTIFS(DATA[COMBINADA],DATA[[#This Row],[COMBINADA]])</f>
        <v>0</v>
      </c>
      <c r="AM755" s="27">
        <f>IFERROR(VLOOKUP(DATA[[#This Row],[COMBINADA]],#REF!,6,0),0)</f>
        <v>0</v>
      </c>
      <c r="AN755" s="125">
        <f>IFERROR(VLOOKUP(DATA[[#This Row],[COMBINADA]],#REF!,9,0),0)/COUNTIFS(DATA[COMBINADA],DATA[[#This Row],[COMBINADA]])</f>
        <v>0</v>
      </c>
      <c r="AO755" s="27">
        <f>IFERROR(VLOOKUP(DATA[[#This Row],[COMBINADA]],#REF!,6,0),0)</f>
        <v>0</v>
      </c>
      <c r="AP755" s="132">
        <f>IFERROR(VLOOKUP(DATA[[#This Row],[COMBINADA]],#REF!,9,0),0)/COUNTIFS(DATA[COMBINADA],DATA[[#This Row],[COMBINADA]])</f>
        <v>0</v>
      </c>
      <c r="AQ75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501.5</v>
      </c>
      <c r="AR755" s="26" t="str">
        <f>IFERROR(IF(DATA[[#This Row],[estado_fact]]="FACTURADO",VLOOKUP(DATA[[#This Row],[SERIE2]]&amp;"-"&amp;DATA[[#This Row],[NUMERO]],#REF!,34,0),"NO CORRESPONDE"),"NO CORRESPONDE")</f>
        <v>NO CORRESPONDE</v>
      </c>
      <c r="AS755" s="22" t="str">
        <f>IF(DATA[[#This Row],[fecha_fs]]&gt;0,TEXT(DATA[[#This Row],[fecha_fs]],"Mmmm"),0)</f>
        <v>Junio</v>
      </c>
      <c r="AT755" s="22" t="str">
        <f>DATA[[#This Row],[SERIE2]]&amp;"-"&amp;DATA[[#This Row],[NUMERO]]</f>
        <v>FF01-119</v>
      </c>
      <c r="AU755" s="28">
        <f>DATA[[#This Row],[TOTAL]]*DATA[[#This Row],[T.C.]]</f>
        <v>495.6</v>
      </c>
      <c r="AV755" s="6">
        <f>DATA[[#This Row],[FECHA DE VAL.]]</f>
        <v>45817</v>
      </c>
      <c r="AW755" s="6">
        <f>DATA[[#This Row],[FECHA DE EMISION]]</f>
        <v>45820</v>
      </c>
      <c r="AX755" s="6">
        <f>DATA[[#This Row],[F1]]</f>
        <v>0</v>
      </c>
      <c r="AY755" s="20">
        <f>IF(AV755-DATA[[#This Row],[fecha_fs]]&lt;0,0,AV755-DATA[[#This Row],[fecha_fs]])</f>
        <v>4</v>
      </c>
      <c r="AZ755" s="20">
        <f t="shared" si="76"/>
        <v>3</v>
      </c>
      <c r="BA755" s="20">
        <f t="shared" si="77"/>
        <v>0</v>
      </c>
      <c r="BB755" s="195">
        <f>IFERROR(SUM(DATA[[#This Row],[fs_val_ttf]:[fact_pago_ttf]]),0)</f>
        <v>7</v>
      </c>
      <c r="BC755" s="185">
        <v>45828</v>
      </c>
      <c r="BD755" s="185">
        <v>45839</v>
      </c>
      <c r="BE755" s="185">
        <v>45839</v>
      </c>
      <c r="BF755" s="185">
        <v>45840</v>
      </c>
      <c r="BG755" s="20">
        <f>IFERROR(IF(BC755-DATA[[#This Row],[fecha_fs]]&lt;0,0,BC755-DATA[[#This Row],[fecha_fs]]),0)</f>
        <v>15</v>
      </c>
      <c r="BH755" s="20">
        <f t="shared" si="78"/>
        <v>11</v>
      </c>
      <c r="BI755" s="20">
        <f t="shared" si="79"/>
        <v>0</v>
      </c>
      <c r="BJ755" s="20">
        <f t="shared" si="80"/>
        <v>1</v>
      </c>
      <c r="BK755" s="218">
        <f>IFERROR(SUM(DATA[[#This Row],[fs_fd_ttd]:[fend_fenf_ttd]]),0)</f>
        <v>27</v>
      </c>
      <c r="BL755" s="20" t="str">
        <f>IF(DATA[[#This Row],[fecha_fs]]&gt;0,TEXT(DATA[[#This Row],[fecha_fs]],"YYYY"),0)</f>
        <v>2025</v>
      </c>
      <c r="BM755" s="221" t="b">
        <v>1</v>
      </c>
      <c r="BN755" s="278">
        <f>COUNTIF(DATA[[#This Row],[tiempo_td]], "&lt;=15")</f>
        <v>0</v>
      </c>
      <c r="BO755" s="222"/>
    </row>
    <row r="756" spans="1:67" ht="30.6" customHeight="1" x14ac:dyDescent="0.25">
      <c r="A756" s="4">
        <v>20100211115</v>
      </c>
      <c r="B756" s="5" t="s">
        <v>41</v>
      </c>
      <c r="C756" s="52" t="s">
        <v>18</v>
      </c>
      <c r="D756" s="4" t="s">
        <v>120</v>
      </c>
      <c r="E756" s="5" t="s">
        <v>3</v>
      </c>
      <c r="F756" s="24">
        <v>45814</v>
      </c>
      <c r="G756" s="7" t="s">
        <v>113</v>
      </c>
      <c r="H756" s="25">
        <f t="shared" si="75"/>
        <v>1</v>
      </c>
      <c r="I756" s="67">
        <v>4597</v>
      </c>
      <c r="J756" s="8" t="s">
        <v>115</v>
      </c>
      <c r="K756" s="9" t="s">
        <v>121</v>
      </c>
      <c r="L756" s="10" t="s">
        <v>117</v>
      </c>
      <c r="M756" s="11">
        <v>90</v>
      </c>
      <c r="N756" s="12" t="s">
        <v>167</v>
      </c>
      <c r="O756" s="6">
        <v>45834</v>
      </c>
      <c r="P756" s="115">
        <v>3515</v>
      </c>
      <c r="Q756" s="14" t="s">
        <v>85</v>
      </c>
      <c r="R756" s="75"/>
      <c r="S756" s="15">
        <f>(DATA[[#This Row],[cantidad_fs]]*4.17)</f>
        <v>375.3</v>
      </c>
      <c r="T756" s="15">
        <f>DATA[[#This Row],[C. DF]]+DATA[[#This Row],[C.OPE.]]</f>
        <v>375.3</v>
      </c>
      <c r="U756" s="15">
        <f>DATA[[#This Row],[SUB TOTAL]]*0.18</f>
        <v>67.554000000000002</v>
      </c>
      <c r="V756" s="15">
        <f>IFERROR(ROUND(DATA[[#This Row],[SUB TOTAL]]+DATA[[#This Row],[IGV]],2),0)</f>
        <v>442.85</v>
      </c>
      <c r="W756" s="16" t="str">
        <f>IF(DATA[[#This Row],[VALORIZACIÓN ]]="-","NO CORRESPONDE",IF(OR(A756=20558226979,A756=10470707866,A756=20111157058,A756=20100226902),"NO CORRESPONDE",IF(J756="Emitida",IF(P756&gt;0,"EMITIDA","PENDIENTE"),"NO CORRESPONDE")))</f>
        <v>EMITIDA</v>
      </c>
      <c r="X756" s="29"/>
      <c r="Y756" s="17" t="s">
        <v>118</v>
      </c>
      <c r="Z756" s="30">
        <v>45835</v>
      </c>
      <c r="AA756" s="10" t="s">
        <v>150</v>
      </c>
      <c r="AB756" s="19">
        <v>137</v>
      </c>
      <c r="AC756" s="20">
        <v>30</v>
      </c>
      <c r="AD756" s="18">
        <f>DATA[[#This Row],[FECHA DE EMISION]]+DATA[[#This Row],[CONDICION DE PAGO]]</f>
        <v>45865</v>
      </c>
      <c r="AE756" s="23">
        <f>IF(DATA[[#This Row],[MONEDA]]="USD",VLOOKUP(DATA[[#This Row],[COMBINADA]],#REF!,11,0),1)</f>
        <v>1</v>
      </c>
      <c r="AF756" s="129" t="str">
        <f>IF(DATA[[#This Row],[SERIE2]]="-","NO CORRESPONDE",IF(W756="NO CORRESPONDE","NO CORRESPONDE",IF(Z756&gt;0,"FACTURADO","PENDIENTE")))</f>
        <v>FACTURADO</v>
      </c>
      <c r="AG756" s="133">
        <f>IFERROR(VLOOKUP(DATA[[#This Row],[COMBINADA]],#REF!,6,0),0)</f>
        <v>0</v>
      </c>
      <c r="AH756" s="125">
        <f>IFERROR(VLOOKUP(DATA[[#This Row],[COMBINADA]],#REF!,9,0),0)/COUNTIFS(DATA[COMBINADA],DATA[[#This Row],[COMBINADA]])</f>
        <v>0</v>
      </c>
      <c r="AI756" s="136">
        <f>IFERROR(VLOOKUP(DATA[[#This Row],[COMBINADA]],#REF!,6,0),0)</f>
        <v>0</v>
      </c>
      <c r="AJ756" s="132">
        <f>IFERROR(VLOOKUP(DATA[[#This Row],[COMBINADA]],#REF!,9,0),0)/COUNTIFS(DATA[COMBINADA],DATA[[#This Row],[COMBINADA]])</f>
        <v>0</v>
      </c>
      <c r="AK756" s="407">
        <f>IFERROR(VLOOKUP(DATA[[#This Row],[COMBINADA]],#REF!,6,0),0)</f>
        <v>0</v>
      </c>
      <c r="AL756" s="125">
        <f>IFERROR(VLOOKUP(DATA[[#This Row],[COMBINADA]],#REF!,9,0),0)/COUNTIFS(DATA[COMBINADA],DATA[[#This Row],[COMBINADA]])</f>
        <v>0</v>
      </c>
      <c r="AM756" s="27">
        <f>IFERROR(VLOOKUP(DATA[[#This Row],[COMBINADA]],#REF!,6,0),0)</f>
        <v>0</v>
      </c>
      <c r="AN756" s="125">
        <f>IFERROR(VLOOKUP(DATA[[#This Row],[COMBINADA]],#REF!,9,0),0)/COUNTIFS(DATA[COMBINADA],DATA[[#This Row],[COMBINADA]])</f>
        <v>0</v>
      </c>
      <c r="AO756" s="27">
        <f>IFERROR(VLOOKUP(DATA[[#This Row],[COMBINADA]],#REF!,6,0),0)</f>
        <v>0</v>
      </c>
      <c r="AP756" s="132">
        <f>IFERROR(VLOOKUP(DATA[[#This Row],[COMBINADA]],#REF!,9,0),0)/COUNTIFS(DATA[COMBINADA],DATA[[#This Row],[COMBINADA]])</f>
        <v>0</v>
      </c>
      <c r="AQ75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756" s="26" t="str">
        <f>IFERROR(IF(DATA[[#This Row],[estado_fact]]="FACTURADO",VLOOKUP(DATA[[#This Row],[SERIE2]]&amp;"-"&amp;DATA[[#This Row],[NUMERO]],#REF!,34,0),"NO CORRESPONDE"),"NO CORRESPONDE")</f>
        <v>NO CORRESPONDE</v>
      </c>
      <c r="AS756" s="22" t="str">
        <f>IF(DATA[[#This Row],[fecha_fs]]&gt;0,TEXT(DATA[[#This Row],[fecha_fs]],"Mmmm"),0)</f>
        <v>Junio</v>
      </c>
      <c r="AT756" s="22" t="str">
        <f>DATA[[#This Row],[SERIE2]]&amp;"-"&amp;DATA[[#This Row],[NUMERO]]</f>
        <v>FF01-137</v>
      </c>
      <c r="AU756" s="28">
        <f>DATA[[#This Row],[TOTAL]]*DATA[[#This Row],[T.C.]]</f>
        <v>442.85</v>
      </c>
      <c r="AV756" s="6">
        <f>DATA[[#This Row],[FECHA DE VAL.]]</f>
        <v>45834</v>
      </c>
      <c r="AW756" s="6">
        <f>DATA[[#This Row],[FECHA DE EMISION]]</f>
        <v>45835</v>
      </c>
      <c r="AX756" s="6">
        <f>DATA[[#This Row],[F1]]</f>
        <v>0</v>
      </c>
      <c r="AY756" s="20">
        <f>IF(AV756-DATA[[#This Row],[fecha_fs]]&lt;0,0,AV756-DATA[[#This Row],[fecha_fs]])</f>
        <v>20</v>
      </c>
      <c r="AZ756" s="20">
        <f t="shared" si="76"/>
        <v>1</v>
      </c>
      <c r="BA756" s="20">
        <f t="shared" si="77"/>
        <v>0</v>
      </c>
      <c r="BB756" s="195">
        <f>IFERROR(SUM(DATA[[#This Row],[fs_val_ttf]:[fact_pago_ttf]]),0)</f>
        <v>21</v>
      </c>
      <c r="BC756" s="185">
        <v>45838</v>
      </c>
      <c r="BD756" s="185">
        <v>45846</v>
      </c>
      <c r="BE756" s="185">
        <v>45848</v>
      </c>
      <c r="BF756" s="185">
        <v>45849</v>
      </c>
      <c r="BG756" s="20">
        <f>IFERROR(IF(BC756-DATA[[#This Row],[fecha_fs]]&lt;0,0,BC756-DATA[[#This Row],[fecha_fs]]),0)</f>
        <v>24</v>
      </c>
      <c r="BH756" s="20">
        <f t="shared" si="78"/>
        <v>8</v>
      </c>
      <c r="BI756" s="20">
        <f t="shared" si="79"/>
        <v>2</v>
      </c>
      <c r="BJ756" s="20">
        <f t="shared" si="80"/>
        <v>1</v>
      </c>
      <c r="BK756" s="218">
        <f>IFERROR(SUM(DATA[[#This Row],[fs_fd_ttd]:[fend_fenf_ttd]]),0)</f>
        <v>35</v>
      </c>
      <c r="BL756" s="20" t="str">
        <f>IF(DATA[[#This Row],[fecha_fs]]&gt;0,TEXT(DATA[[#This Row],[fecha_fs]],"YYYY"),0)</f>
        <v>2025</v>
      </c>
      <c r="BM756" s="221" t="b">
        <v>1</v>
      </c>
      <c r="BN756" s="278">
        <f>COUNTIF(DATA[[#This Row],[tiempo_td]], "&lt;=15")</f>
        <v>0</v>
      </c>
      <c r="BO756" s="222"/>
    </row>
    <row r="757" spans="1:67" ht="30.6" customHeight="1" x14ac:dyDescent="0.25">
      <c r="A757" s="4">
        <v>20100211115</v>
      </c>
      <c r="B757" s="5" t="s">
        <v>41</v>
      </c>
      <c r="C757" s="52" t="s">
        <v>18</v>
      </c>
      <c r="D757" s="4" t="s">
        <v>112</v>
      </c>
      <c r="E757" s="5" t="s">
        <v>1</v>
      </c>
      <c r="F757" s="24">
        <v>45814</v>
      </c>
      <c r="G757" s="7" t="s">
        <v>113</v>
      </c>
      <c r="H757" s="25">
        <f t="shared" si="75"/>
        <v>1</v>
      </c>
      <c r="I757" s="67">
        <v>4598</v>
      </c>
      <c r="J757" s="8" t="s">
        <v>115</v>
      </c>
      <c r="K757" s="9" t="s">
        <v>116</v>
      </c>
      <c r="L757" s="10" t="s">
        <v>117</v>
      </c>
      <c r="M757" s="11">
        <v>15</v>
      </c>
      <c r="N757" s="12" t="s">
        <v>132</v>
      </c>
      <c r="O757" s="6">
        <v>45834</v>
      </c>
      <c r="P757" s="115">
        <v>3517</v>
      </c>
      <c r="Q757" s="14" t="s">
        <v>85</v>
      </c>
      <c r="R757" s="75"/>
      <c r="S757" s="15">
        <f>(DATA[[#This Row],[cantidad_fs]]*4.57)</f>
        <v>68.550000000000011</v>
      </c>
      <c r="T757" s="15">
        <f>DATA[[#This Row],[C. DF]]+DATA[[#This Row],[C.OPE.]]</f>
        <v>68.550000000000011</v>
      </c>
      <c r="U757" s="15">
        <f>DATA[[#This Row],[SUB TOTAL]]*0.18</f>
        <v>12.339000000000002</v>
      </c>
      <c r="V757" s="15">
        <f>IFERROR(ROUND(DATA[[#This Row],[SUB TOTAL]]+DATA[[#This Row],[IGV]],2),0)</f>
        <v>80.89</v>
      </c>
      <c r="W757" s="16" t="str">
        <f>IF(DATA[[#This Row],[VALORIZACIÓN ]]="-","NO CORRESPONDE",IF(OR(A757=20558226979,A757=10470707866,A757=20111157058,A757=20100226902),"NO CORRESPONDE",IF(J757="Emitida",IF(P757&gt;0,"EMITIDA","PENDIENTE"),"NO CORRESPONDE")))</f>
        <v>EMITIDA</v>
      </c>
      <c r="X757" s="29"/>
      <c r="Y757" s="17" t="s">
        <v>118</v>
      </c>
      <c r="Z757" s="30">
        <v>45835</v>
      </c>
      <c r="AA757" s="10" t="s">
        <v>150</v>
      </c>
      <c r="AB757" s="19">
        <v>139</v>
      </c>
      <c r="AC757" s="20">
        <v>30</v>
      </c>
      <c r="AD757" s="18">
        <f>DATA[[#This Row],[FECHA DE EMISION]]+DATA[[#This Row],[CONDICION DE PAGO]]</f>
        <v>45865</v>
      </c>
      <c r="AE757" s="23">
        <f>IF(DATA[[#This Row],[MONEDA]]="USD",VLOOKUP(DATA[[#This Row],[COMBINADA]],#REF!,11,0),1)</f>
        <v>1</v>
      </c>
      <c r="AF757" s="129" t="str">
        <f>IF(DATA[[#This Row],[SERIE2]]="-","NO CORRESPONDE",IF(W757="NO CORRESPONDE","NO CORRESPONDE",IF(Z757&gt;0,"FACTURADO","PENDIENTE")))</f>
        <v>FACTURADO</v>
      </c>
      <c r="AG757" s="133">
        <f>IFERROR(VLOOKUP(DATA[[#This Row],[COMBINADA]],#REF!,6,0),0)</f>
        <v>0</v>
      </c>
      <c r="AH757" s="125">
        <f>IFERROR(VLOOKUP(DATA[[#This Row],[COMBINADA]],#REF!,9,0),0)/COUNTIFS(DATA[COMBINADA],DATA[[#This Row],[COMBINADA]])</f>
        <v>0</v>
      </c>
      <c r="AI757" s="136">
        <f>IFERROR(VLOOKUP(DATA[[#This Row],[COMBINADA]],#REF!,6,0),0)</f>
        <v>0</v>
      </c>
      <c r="AJ757" s="132">
        <f>IFERROR(VLOOKUP(DATA[[#This Row],[COMBINADA]],#REF!,9,0),0)/COUNTIFS(DATA[COMBINADA],DATA[[#This Row],[COMBINADA]])</f>
        <v>0</v>
      </c>
      <c r="AK757" s="407">
        <f>IFERROR(VLOOKUP(DATA[[#This Row],[COMBINADA]],#REF!,6,0),0)</f>
        <v>0</v>
      </c>
      <c r="AL757" s="125">
        <f>IFERROR(VLOOKUP(DATA[[#This Row],[COMBINADA]],#REF!,9,0),0)/COUNTIFS(DATA[COMBINADA],DATA[[#This Row],[COMBINADA]])</f>
        <v>0</v>
      </c>
      <c r="AM757" s="27">
        <f>IFERROR(VLOOKUP(DATA[[#This Row],[COMBINADA]],#REF!,6,0),0)</f>
        <v>0</v>
      </c>
      <c r="AN757" s="125">
        <f>IFERROR(VLOOKUP(DATA[[#This Row],[COMBINADA]],#REF!,9,0),0)/COUNTIFS(DATA[COMBINADA],DATA[[#This Row],[COMBINADA]])</f>
        <v>0</v>
      </c>
      <c r="AO757" s="27">
        <f>IFERROR(VLOOKUP(DATA[[#This Row],[COMBINADA]],#REF!,6,0),0)</f>
        <v>0</v>
      </c>
      <c r="AP757" s="132">
        <f>IFERROR(VLOOKUP(DATA[[#This Row],[COMBINADA]],#REF!,9,0),0)/COUNTIFS(DATA[COMBINADA],DATA[[#This Row],[COMBINADA]])</f>
        <v>0</v>
      </c>
      <c r="AQ75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78.19250000000001</v>
      </c>
      <c r="AR757" s="26" t="str">
        <f>IFERROR(IF(DATA[[#This Row],[estado_fact]]="FACTURADO",VLOOKUP(DATA[[#This Row],[SERIE2]]&amp;"-"&amp;DATA[[#This Row],[NUMERO]],#REF!,34,0),"NO CORRESPONDE"),"NO CORRESPONDE")</f>
        <v>NO CORRESPONDE</v>
      </c>
      <c r="AS757" s="22" t="str">
        <f>IF(DATA[[#This Row],[fecha_fs]]&gt;0,TEXT(DATA[[#This Row],[fecha_fs]],"Mmmm"),0)</f>
        <v>Junio</v>
      </c>
      <c r="AT757" s="22" t="str">
        <f>DATA[[#This Row],[SERIE2]]&amp;"-"&amp;DATA[[#This Row],[NUMERO]]</f>
        <v>FF01-139</v>
      </c>
      <c r="AU757" s="28">
        <f>DATA[[#This Row],[TOTAL]]*DATA[[#This Row],[T.C.]]</f>
        <v>80.89</v>
      </c>
      <c r="AV757" s="6">
        <f>DATA[[#This Row],[FECHA DE VAL.]]</f>
        <v>45834</v>
      </c>
      <c r="AW757" s="6">
        <f>DATA[[#This Row],[FECHA DE EMISION]]</f>
        <v>45835</v>
      </c>
      <c r="AX757" s="6">
        <f>DATA[[#This Row],[F1]]</f>
        <v>0</v>
      </c>
      <c r="AY757" s="20">
        <f>IF(AV757-DATA[[#This Row],[fecha_fs]]&lt;0,0,AV757-DATA[[#This Row],[fecha_fs]])</f>
        <v>20</v>
      </c>
      <c r="AZ757" s="20">
        <f t="shared" si="76"/>
        <v>1</v>
      </c>
      <c r="BA757" s="20">
        <f t="shared" si="77"/>
        <v>0</v>
      </c>
      <c r="BB757" s="195">
        <f>IFERROR(SUM(DATA[[#This Row],[fs_val_ttf]:[fact_pago_ttf]]),0)</f>
        <v>21</v>
      </c>
      <c r="BC757" s="185">
        <v>45842</v>
      </c>
      <c r="BD757" s="185">
        <v>45846</v>
      </c>
      <c r="BE757" s="185">
        <v>45848</v>
      </c>
      <c r="BF757" s="185">
        <v>45849</v>
      </c>
      <c r="BG757" s="20">
        <f>IFERROR(IF(BC757-DATA[[#This Row],[fecha_fs]]&lt;0,0,BC757-DATA[[#This Row],[fecha_fs]]),0)</f>
        <v>28</v>
      </c>
      <c r="BH757" s="20">
        <f t="shared" si="78"/>
        <v>4</v>
      </c>
      <c r="BI757" s="20">
        <f t="shared" si="79"/>
        <v>2</v>
      </c>
      <c r="BJ757" s="20">
        <f t="shared" si="80"/>
        <v>1</v>
      </c>
      <c r="BK757" s="218">
        <f>IFERROR(SUM(DATA[[#This Row],[fs_fd_ttd]:[fend_fenf_ttd]]),0)</f>
        <v>35</v>
      </c>
      <c r="BL757" s="20" t="str">
        <f>IF(DATA[[#This Row],[fecha_fs]]&gt;0,TEXT(DATA[[#This Row],[fecha_fs]],"YYYY"),0)</f>
        <v>2025</v>
      </c>
      <c r="BM757" s="221" t="b">
        <v>1</v>
      </c>
      <c r="BN757" s="278">
        <f>COUNTIF(DATA[[#This Row],[tiempo_td]], "&lt;=15")</f>
        <v>0</v>
      </c>
      <c r="BO757" s="222"/>
    </row>
    <row r="758" spans="1:67" ht="30.6" customHeight="1" x14ac:dyDescent="0.25">
      <c r="A758" s="4">
        <v>20454186002</v>
      </c>
      <c r="B758" s="5" t="s">
        <v>25</v>
      </c>
      <c r="C758" s="52" t="s">
        <v>18</v>
      </c>
      <c r="D758" s="4" t="s">
        <v>120</v>
      </c>
      <c r="E758" s="5" t="s">
        <v>3</v>
      </c>
      <c r="F758" s="24">
        <v>45814</v>
      </c>
      <c r="G758" s="7" t="s">
        <v>113</v>
      </c>
      <c r="H758" s="25">
        <f t="shared" si="75"/>
        <v>1</v>
      </c>
      <c r="I758" s="67">
        <v>4599</v>
      </c>
      <c r="J758" s="8" t="s">
        <v>115</v>
      </c>
      <c r="K758" s="9" t="s">
        <v>121</v>
      </c>
      <c r="L758" s="10" t="s">
        <v>117</v>
      </c>
      <c r="M758" s="11">
        <v>3890</v>
      </c>
      <c r="N758" s="12" t="s">
        <v>261</v>
      </c>
      <c r="O758" s="6">
        <v>45814</v>
      </c>
      <c r="P758" s="13">
        <v>3487</v>
      </c>
      <c r="Q758" s="14" t="s">
        <v>85</v>
      </c>
      <c r="R758" s="15">
        <f>(DATA[[#This Row],[cantidad_fs]]-3000)*0.49</f>
        <v>436.09999999999997</v>
      </c>
      <c r="S758" s="15">
        <v>1485.02</v>
      </c>
      <c r="T758" s="15">
        <f>DATA[[#This Row],[C. DF]]+DATA[[#This Row],[C.OPE.]]</f>
        <v>1921.12</v>
      </c>
      <c r="U758" s="15">
        <f>DATA[[#This Row],[SUB TOTAL]]*0.18</f>
        <v>345.80159999999995</v>
      </c>
      <c r="V758" s="15">
        <f>IFERROR(ROUND(DATA[[#This Row],[SUB TOTAL]]+DATA[[#This Row],[IGV]],2),0)</f>
        <v>2266.92</v>
      </c>
      <c r="W758" s="16" t="str">
        <f>IF(DATA[[#This Row],[VALORIZACIÓN ]]="-","NO CORRESPONDE",IF(OR(A758=20558226979,A758=10470707866,A758=20111157058,A758=20100226902),"NO CORRESPONDE",IF(J758="Emitida",IF(P758&gt;0,"EMITIDA","PENDIENTE"),"NO CORRESPONDE")))</f>
        <v>EMITIDA</v>
      </c>
      <c r="X758" s="29"/>
      <c r="Y758" s="17" t="s">
        <v>118</v>
      </c>
      <c r="Z758" s="30">
        <v>45820</v>
      </c>
      <c r="AA758" s="10" t="s">
        <v>150</v>
      </c>
      <c r="AB758" s="19">
        <v>118</v>
      </c>
      <c r="AC758" s="20">
        <v>7</v>
      </c>
      <c r="AD758" s="18">
        <f>DATA[[#This Row],[FECHA DE EMISION]]+DATA[[#This Row],[CONDICION DE PAGO]]</f>
        <v>45827</v>
      </c>
      <c r="AE758" s="23">
        <f>IF(DATA[[#This Row],[MONEDA]]="USD",VLOOKUP(DATA[[#This Row],[COMBINADA]],#REF!,11,0),1)</f>
        <v>1</v>
      </c>
      <c r="AF758" s="129" t="str">
        <f>IF(DATA[[#This Row],[SERIE2]]="-","NO CORRESPONDE",IF(W758="NO CORRESPONDE","NO CORRESPONDE",IF(Z758&gt;0,"FACTURADO","PENDIENTE")))</f>
        <v>FACTURADO</v>
      </c>
      <c r="AG758" s="133">
        <f>IFERROR(VLOOKUP(DATA[[#This Row],[COMBINADA]],#REF!,6,0),0)</f>
        <v>0</v>
      </c>
      <c r="AH758" s="125">
        <f>IFERROR(VLOOKUP(DATA[[#This Row],[COMBINADA]],#REF!,9,0),0)/COUNTIFS(DATA[COMBINADA],DATA[[#This Row],[COMBINADA]])</f>
        <v>0</v>
      </c>
      <c r="AI758" s="136">
        <f>IFERROR(VLOOKUP(DATA[[#This Row],[COMBINADA]],#REF!,6,0),0)</f>
        <v>0</v>
      </c>
      <c r="AJ758" s="132">
        <f>IFERROR(VLOOKUP(DATA[[#This Row],[COMBINADA]],#REF!,9,0),0)/COUNTIFS(DATA[COMBINADA],DATA[[#This Row],[COMBINADA]])</f>
        <v>0</v>
      </c>
      <c r="AK758" s="407">
        <f>IFERROR(VLOOKUP(DATA[[#This Row],[COMBINADA]],#REF!,6,0),0)</f>
        <v>0</v>
      </c>
      <c r="AL758" s="125">
        <f>IFERROR(VLOOKUP(DATA[[#This Row],[COMBINADA]],#REF!,9,0),0)/COUNTIFS(DATA[COMBINADA],DATA[[#This Row],[COMBINADA]])</f>
        <v>0</v>
      </c>
      <c r="AM758" s="27">
        <f>IFERROR(VLOOKUP(DATA[[#This Row],[COMBINADA]],#REF!,6,0),0)</f>
        <v>0</v>
      </c>
      <c r="AN758" s="125">
        <f>IFERROR(VLOOKUP(DATA[[#This Row],[COMBINADA]],#REF!,9,0),0)/COUNTIFS(DATA[COMBINADA],DATA[[#This Row],[COMBINADA]])</f>
        <v>0</v>
      </c>
      <c r="AO758" s="27">
        <f>IFERROR(VLOOKUP(DATA[[#This Row],[COMBINADA]],#REF!,6,0),0)</f>
        <v>0</v>
      </c>
      <c r="AP758" s="132">
        <f>IFERROR(VLOOKUP(DATA[[#This Row],[COMBINADA]],#REF!,9,0),0)/COUNTIFS(DATA[COMBINADA],DATA[[#This Row],[COMBINADA]])</f>
        <v>0</v>
      </c>
      <c r="AQ75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2266.92</v>
      </c>
      <c r="AR758" s="26" t="str">
        <f>IFERROR(IF(DATA[[#This Row],[estado_fact]]="FACTURADO",VLOOKUP(DATA[[#This Row],[SERIE2]]&amp;"-"&amp;DATA[[#This Row],[NUMERO]],#REF!,34,0),"NO CORRESPONDE"),"NO CORRESPONDE")</f>
        <v>NO CORRESPONDE</v>
      </c>
      <c r="AS758" s="22" t="str">
        <f>IF(DATA[[#This Row],[fecha_fs]]&gt;0,TEXT(DATA[[#This Row],[fecha_fs]],"Mmmm"),0)</f>
        <v>Junio</v>
      </c>
      <c r="AT758" s="22" t="str">
        <f>DATA[[#This Row],[SERIE2]]&amp;"-"&amp;DATA[[#This Row],[NUMERO]]</f>
        <v>FF01-118</v>
      </c>
      <c r="AU758" s="28">
        <f>DATA[[#This Row],[TOTAL]]*DATA[[#This Row],[T.C.]]</f>
        <v>2266.92</v>
      </c>
      <c r="AV758" s="6">
        <f>DATA[[#This Row],[FECHA DE VAL.]]</f>
        <v>45814</v>
      </c>
      <c r="AW758" s="6">
        <f>DATA[[#This Row],[FECHA DE EMISION]]</f>
        <v>45820</v>
      </c>
      <c r="AX758" s="6">
        <f>DATA[[#This Row],[F1]]</f>
        <v>0</v>
      </c>
      <c r="AY758" s="20">
        <f>IF(AV758-DATA[[#This Row],[fecha_fs]]&lt;0,0,AV758-DATA[[#This Row],[fecha_fs]])</f>
        <v>0</v>
      </c>
      <c r="AZ758" s="20">
        <f t="shared" si="76"/>
        <v>6</v>
      </c>
      <c r="BA758" s="20">
        <f t="shared" si="77"/>
        <v>0</v>
      </c>
      <c r="BB758" s="195">
        <f>IFERROR(SUM(DATA[[#This Row],[fs_val_ttf]:[fact_pago_ttf]]),0)</f>
        <v>6</v>
      </c>
      <c r="BC758" s="185">
        <v>45814</v>
      </c>
      <c r="BD758" s="185">
        <v>45828</v>
      </c>
      <c r="BE758" s="185">
        <v>45831</v>
      </c>
      <c r="BF758" s="185">
        <v>45832</v>
      </c>
      <c r="BG758" s="20">
        <f>IFERROR(IF(BC758-DATA[[#This Row],[fecha_fs]]&lt;0,0,BC758-DATA[[#This Row],[fecha_fs]]),0)</f>
        <v>0</v>
      </c>
      <c r="BH758" s="20">
        <f t="shared" si="78"/>
        <v>14</v>
      </c>
      <c r="BI758" s="20">
        <f t="shared" si="79"/>
        <v>3</v>
      </c>
      <c r="BJ758" s="20">
        <f t="shared" si="80"/>
        <v>1</v>
      </c>
      <c r="BK758" s="218">
        <f>IFERROR(SUM(DATA[[#This Row],[fs_fd_ttd]:[fend_fenf_ttd]]),0)</f>
        <v>18</v>
      </c>
      <c r="BL758" s="20" t="str">
        <f>IF(DATA[[#This Row],[fecha_fs]]&gt;0,TEXT(DATA[[#This Row],[fecha_fs]],"YYYY"),0)</f>
        <v>2025</v>
      </c>
      <c r="BM758" s="221" t="b">
        <v>1</v>
      </c>
      <c r="BN758" s="278">
        <f>COUNTIF(DATA[[#This Row],[tiempo_td]], "&lt;=15")</f>
        <v>0</v>
      </c>
      <c r="BO758" s="222"/>
    </row>
    <row r="759" spans="1:67" ht="30.6" customHeight="1" x14ac:dyDescent="0.25">
      <c r="A759" s="4">
        <v>20100192064</v>
      </c>
      <c r="B759" s="5" t="s">
        <v>60</v>
      </c>
      <c r="C759" s="52" t="s">
        <v>43</v>
      </c>
      <c r="D759" s="4" t="s">
        <v>112</v>
      </c>
      <c r="E759" s="5" t="s">
        <v>1</v>
      </c>
      <c r="F759" s="24">
        <v>45814</v>
      </c>
      <c r="G759" s="7" t="s">
        <v>113</v>
      </c>
      <c r="H759" s="25">
        <f t="shared" si="75"/>
        <v>1</v>
      </c>
      <c r="I759" s="67">
        <v>4600</v>
      </c>
      <c r="J759" s="8" t="s">
        <v>115</v>
      </c>
      <c r="K759" s="9" t="s">
        <v>116</v>
      </c>
      <c r="L759" s="10" t="s">
        <v>117</v>
      </c>
      <c r="M759" s="11">
        <v>1530</v>
      </c>
      <c r="N759" s="12" t="s">
        <v>125</v>
      </c>
      <c r="O759" s="6">
        <v>45834</v>
      </c>
      <c r="P759" s="71">
        <v>3506</v>
      </c>
      <c r="Q759" s="14" t="s">
        <v>123</v>
      </c>
      <c r="R759" s="15">
        <f>(DATA[[#This Row],[cantidad_fs]]/1000)*(143+175.34)</f>
        <v>487.06020000000007</v>
      </c>
      <c r="S759" s="56">
        <v>137</v>
      </c>
      <c r="T759" s="15">
        <f>DATA[[#This Row],[C. DF]]+DATA[[#This Row],[C.OPE.]]</f>
        <v>624.06020000000012</v>
      </c>
      <c r="U759" s="15">
        <f>DATA[[#This Row],[SUB TOTAL]]*0.18</f>
        <v>112.33083600000002</v>
      </c>
      <c r="V759" s="15">
        <f>IFERROR(ROUND(DATA[[#This Row],[SUB TOTAL]]+DATA[[#This Row],[IGV]],2),0)</f>
        <v>736.39</v>
      </c>
      <c r="W759" s="16" t="str">
        <f>IF(DATA[[#This Row],[VALORIZACIÓN ]]="-","NO CORRESPONDE",IF(OR(A759=20558226979,A759=10470707866,A759=20111157058,A759=20100226902),"NO CORRESPONDE",IF(J759="Emitida",IF(P759&gt;0,"EMITIDA","PENDIENTE"),"NO CORRESPONDE")))</f>
        <v>EMITIDA</v>
      </c>
      <c r="X759" s="29"/>
      <c r="Y759" s="17" t="s">
        <v>118</v>
      </c>
      <c r="Z759" s="30">
        <v>45835</v>
      </c>
      <c r="AA759" s="10" t="s">
        <v>150</v>
      </c>
      <c r="AB759" s="19">
        <v>134</v>
      </c>
      <c r="AC759" s="20">
        <v>30</v>
      </c>
      <c r="AD759" s="18">
        <f>DATA[[#This Row],[FECHA DE EMISION]]+DATA[[#This Row],[CONDICION DE PAGO]]</f>
        <v>45865</v>
      </c>
      <c r="AE759" s="23" t="e">
        <f>IF(DATA[[#This Row],[MONEDA]]="USD",VLOOKUP(DATA[[#This Row],[COMBINADA]],#REF!,11,0),1)</f>
        <v>#REF!</v>
      </c>
      <c r="AF759" s="129" t="str">
        <f>IF(DATA[[#This Row],[SERIE2]]="-","NO CORRESPONDE",IF(W759="NO CORRESPONDE","NO CORRESPONDE",IF(Z759&gt;0,"FACTURADO","PENDIENTE")))</f>
        <v>FACTURADO</v>
      </c>
      <c r="AG759" s="133">
        <f>IFERROR(VLOOKUP(DATA[[#This Row],[COMBINADA]],#REF!,6,0),0)</f>
        <v>0</v>
      </c>
      <c r="AH759" s="125">
        <f>IFERROR(VLOOKUP(DATA[[#This Row],[COMBINADA]],#REF!,9,0),0)/COUNTIFS(DATA[COMBINADA],DATA[[#This Row],[COMBINADA]])</f>
        <v>0</v>
      </c>
      <c r="AI759" s="136">
        <f>IFERROR(VLOOKUP(DATA[[#This Row],[COMBINADA]],#REF!,6,0),0)</f>
        <v>0</v>
      </c>
      <c r="AJ759" s="132">
        <f>IFERROR(VLOOKUP(DATA[[#This Row],[COMBINADA]],#REF!,9,0),0)/COUNTIFS(DATA[COMBINADA],DATA[[#This Row],[COMBINADA]])</f>
        <v>0</v>
      </c>
      <c r="AK759" s="407">
        <f>IFERROR(VLOOKUP(DATA[[#This Row],[COMBINADA]],#REF!,6,0),0)</f>
        <v>0</v>
      </c>
      <c r="AL759" s="125">
        <f>IFERROR(VLOOKUP(DATA[[#This Row],[COMBINADA]],#REF!,9,0),0)/COUNTIFS(DATA[COMBINADA],DATA[[#This Row],[COMBINADA]])</f>
        <v>0</v>
      </c>
      <c r="AM759" s="27">
        <f>IFERROR(VLOOKUP(DATA[[#This Row],[COMBINADA]],#REF!,6,0),0)</f>
        <v>0</v>
      </c>
      <c r="AN759" s="125">
        <f>IFERROR(VLOOKUP(DATA[[#This Row],[COMBINADA]],#REF!,9,0),0)/COUNTIFS(DATA[COMBINADA],DATA[[#This Row],[COMBINADA]])</f>
        <v>0</v>
      </c>
      <c r="AO759" s="27">
        <f>IFERROR(VLOOKUP(DATA[[#This Row],[COMBINADA]],#REF!,6,0),0)</f>
        <v>0</v>
      </c>
      <c r="AP759" s="132">
        <f>IFERROR(VLOOKUP(DATA[[#This Row],[COMBINADA]],#REF!,9,0),0)/COUNTIFS(DATA[COMBINADA],DATA[[#This Row],[COMBINADA]])</f>
        <v>0</v>
      </c>
      <c r="AQ75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574.13187500000015</v>
      </c>
      <c r="AR759" s="26" t="str">
        <f>IFERROR(IF(DATA[[#This Row],[estado_fact]]="FACTURADO",VLOOKUP(DATA[[#This Row],[SERIE2]]&amp;"-"&amp;DATA[[#This Row],[NUMERO]],#REF!,34,0),"NO CORRESPONDE"),"NO CORRESPONDE")</f>
        <v>NO CORRESPONDE</v>
      </c>
      <c r="AS759" s="22" t="str">
        <f>IF(DATA[[#This Row],[fecha_fs]]&gt;0,TEXT(DATA[[#This Row],[fecha_fs]],"Mmmm"),0)</f>
        <v>Junio</v>
      </c>
      <c r="AT759" s="22" t="str">
        <f>DATA[[#This Row],[SERIE2]]&amp;"-"&amp;DATA[[#This Row],[NUMERO]]</f>
        <v>FF01-134</v>
      </c>
      <c r="AU759" s="28" t="e">
        <f>DATA[[#This Row],[TOTAL]]*DATA[[#This Row],[T.C.]]</f>
        <v>#REF!</v>
      </c>
      <c r="AV759" s="6">
        <f>DATA[[#This Row],[FECHA DE VAL.]]</f>
        <v>45834</v>
      </c>
      <c r="AW759" s="6">
        <f>DATA[[#This Row],[FECHA DE EMISION]]</f>
        <v>45835</v>
      </c>
      <c r="AX759" s="6">
        <f>DATA[[#This Row],[F1]]</f>
        <v>0</v>
      </c>
      <c r="AY759" s="20">
        <f>IF(AV759-DATA[[#This Row],[fecha_fs]]&lt;0,0,AV759-DATA[[#This Row],[fecha_fs]])</f>
        <v>20</v>
      </c>
      <c r="AZ759" s="20">
        <f t="shared" si="76"/>
        <v>1</v>
      </c>
      <c r="BA759" s="20">
        <f t="shared" si="77"/>
        <v>0</v>
      </c>
      <c r="BB759" s="195">
        <f>IFERROR(SUM(DATA[[#This Row],[fs_val_ttf]:[fact_pago_ttf]]),0)</f>
        <v>21</v>
      </c>
      <c r="BC759" s="185">
        <v>45828</v>
      </c>
      <c r="BD759" s="233">
        <v>45841</v>
      </c>
      <c r="BE759" s="233">
        <v>45845</v>
      </c>
      <c r="BF759" s="185">
        <v>45863</v>
      </c>
      <c r="BG759" s="20">
        <f>IFERROR(IF(BC759-DATA[[#This Row],[fecha_fs]]&lt;0,0,BC759-DATA[[#This Row],[fecha_fs]]),0)</f>
        <v>14</v>
      </c>
      <c r="BH759" s="20">
        <f t="shared" si="78"/>
        <v>13</v>
      </c>
      <c r="BI759" s="20">
        <f t="shared" si="79"/>
        <v>4</v>
      </c>
      <c r="BJ759" s="20">
        <f t="shared" si="80"/>
        <v>18</v>
      </c>
      <c r="BK759" s="218">
        <f>IFERROR(SUM(DATA[[#This Row],[fs_fd_ttd]:[fend_fenf_ttd]]),0)</f>
        <v>49</v>
      </c>
      <c r="BL759" s="20" t="str">
        <f>IF(DATA[[#This Row],[fecha_fs]]&gt;0,TEXT(DATA[[#This Row],[fecha_fs]],"YYYY"),0)</f>
        <v>2025</v>
      </c>
      <c r="BM759" s="221" t="b">
        <v>1</v>
      </c>
      <c r="BN759" s="278">
        <f>COUNTIF(DATA[[#This Row],[tiempo_td]], "&lt;=15")</f>
        <v>0</v>
      </c>
      <c r="BO759" s="222"/>
    </row>
    <row r="760" spans="1:67" ht="30.6" customHeight="1" x14ac:dyDescent="0.25">
      <c r="A760" s="4">
        <v>20100192064</v>
      </c>
      <c r="B760" s="5" t="s">
        <v>60</v>
      </c>
      <c r="C760" s="52" t="s">
        <v>43</v>
      </c>
      <c r="D760" s="4" t="s">
        <v>120</v>
      </c>
      <c r="E760" s="5" t="s">
        <v>3</v>
      </c>
      <c r="F760" s="24">
        <v>45814</v>
      </c>
      <c r="G760" s="7" t="s">
        <v>113</v>
      </c>
      <c r="H760" s="25">
        <f t="shared" si="75"/>
        <v>1</v>
      </c>
      <c r="I760" s="67">
        <v>4601</v>
      </c>
      <c r="J760" s="8" t="s">
        <v>115</v>
      </c>
      <c r="K760" s="9" t="s">
        <v>121</v>
      </c>
      <c r="L760" s="10" t="s">
        <v>117</v>
      </c>
      <c r="M760" s="11">
        <v>660</v>
      </c>
      <c r="N760" s="12" t="s">
        <v>125</v>
      </c>
      <c r="O760" s="6">
        <v>45834</v>
      </c>
      <c r="P760" s="71">
        <v>3505</v>
      </c>
      <c r="Q760" s="14" t="s">
        <v>123</v>
      </c>
      <c r="R760" s="15">
        <f>(DATA[[#This Row],[cantidad_fs]]/1000)*(47+174.34)</f>
        <v>146.08440000000002</v>
      </c>
      <c r="S760" s="56">
        <v>137</v>
      </c>
      <c r="T760" s="15">
        <f>DATA[[#This Row],[C. DF]]+DATA[[#This Row],[C.OPE.]]</f>
        <v>283.08440000000002</v>
      </c>
      <c r="U760" s="15">
        <f>DATA[[#This Row],[SUB TOTAL]]*0.18</f>
        <v>50.955192000000004</v>
      </c>
      <c r="V760" s="15">
        <f>IFERROR(ROUND(DATA[[#This Row],[SUB TOTAL]]+DATA[[#This Row],[IGV]],2),0)</f>
        <v>334.04</v>
      </c>
      <c r="W760" s="16" t="str">
        <f>IF(DATA[[#This Row],[VALORIZACIÓN ]]="-","NO CORRESPONDE",IF(OR(A760=20558226979,A760=10470707866,A760=20111157058,A760=20100226902),"NO CORRESPONDE",IF(J760="Emitida",IF(P760&gt;0,"EMITIDA","PENDIENTE"),"NO CORRESPONDE")))</f>
        <v>EMITIDA</v>
      </c>
      <c r="X760" s="29"/>
      <c r="Y760" s="17" t="s">
        <v>118</v>
      </c>
      <c r="Z760" s="30">
        <v>45835</v>
      </c>
      <c r="AA760" s="10" t="s">
        <v>150</v>
      </c>
      <c r="AB760" s="19">
        <v>134</v>
      </c>
      <c r="AC760" s="20">
        <v>30</v>
      </c>
      <c r="AD760" s="18">
        <f>DATA[[#This Row],[FECHA DE EMISION]]+DATA[[#This Row],[CONDICION DE PAGO]]</f>
        <v>45865</v>
      </c>
      <c r="AE760" s="23" t="e">
        <f>IF(DATA[[#This Row],[MONEDA]]="USD",VLOOKUP(DATA[[#This Row],[COMBINADA]],#REF!,11,0),1)</f>
        <v>#REF!</v>
      </c>
      <c r="AF760" s="129" t="str">
        <f>IF(DATA[[#This Row],[SERIE2]]="-","NO CORRESPONDE",IF(W760="NO CORRESPONDE","NO CORRESPONDE",IF(Z760&gt;0,"FACTURADO","PENDIENTE")))</f>
        <v>FACTURADO</v>
      </c>
      <c r="AG760" s="133">
        <f>IFERROR(VLOOKUP(DATA[[#This Row],[COMBINADA]],#REF!,6,0),0)</f>
        <v>0</v>
      </c>
      <c r="AH760" s="125">
        <f>IFERROR(VLOOKUP(DATA[[#This Row],[COMBINADA]],#REF!,9,0),0)/COUNTIFS(DATA[COMBINADA],DATA[[#This Row],[COMBINADA]])</f>
        <v>0</v>
      </c>
      <c r="AI760" s="136">
        <f>IFERROR(VLOOKUP(DATA[[#This Row],[COMBINADA]],#REF!,6,0),0)</f>
        <v>0</v>
      </c>
      <c r="AJ760" s="132">
        <f>IFERROR(VLOOKUP(DATA[[#This Row],[COMBINADA]],#REF!,9,0),0)/COUNTIFS(DATA[COMBINADA],DATA[[#This Row],[COMBINADA]])</f>
        <v>0</v>
      </c>
      <c r="AK760" s="408">
        <f>IFERROR(VLOOKUP(DATA[[#This Row],[COMBINADA]],#REF!,6,0),0)</f>
        <v>0</v>
      </c>
      <c r="AL760" s="125">
        <f>IFERROR(VLOOKUP(DATA[[#This Row],[COMBINADA]],#REF!,9,0),0)/COUNTIFS(DATA[COMBINADA],DATA[[#This Row],[COMBINADA]])</f>
        <v>0</v>
      </c>
      <c r="AM760" s="147">
        <f>IFERROR(VLOOKUP(DATA[[#This Row],[COMBINADA]],#REF!,6,0),0)</f>
        <v>0</v>
      </c>
      <c r="AN760" s="125">
        <f>IFERROR(VLOOKUP(DATA[[#This Row],[COMBINADA]],#REF!,9,0),0)/COUNTIFS(DATA[COMBINADA],DATA[[#This Row],[COMBINADA]])</f>
        <v>0</v>
      </c>
      <c r="AO760" s="27">
        <f>IFERROR(VLOOKUP(DATA[[#This Row],[COMBINADA]],#REF!,6,0),0)</f>
        <v>0</v>
      </c>
      <c r="AP760" s="132">
        <f>IFERROR(VLOOKUP(DATA[[#This Row],[COMBINADA]],#REF!,9,0),0)/COUNTIFS(DATA[COMBINADA],DATA[[#This Row],[COMBINADA]])</f>
        <v>0</v>
      </c>
      <c r="AQ76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574.13187500000015</v>
      </c>
      <c r="AR760" s="26" t="str">
        <f>IFERROR(IF(DATA[[#This Row],[estado_fact]]="FACTURADO",VLOOKUP(DATA[[#This Row],[SERIE2]]&amp;"-"&amp;DATA[[#This Row],[NUMERO]],#REF!,34,0),"NO CORRESPONDE"),"NO CORRESPONDE")</f>
        <v>NO CORRESPONDE</v>
      </c>
      <c r="AS760" s="22" t="str">
        <f>IF(DATA[[#This Row],[fecha_fs]]&gt;0,TEXT(DATA[[#This Row],[fecha_fs]],"Mmmm"),0)</f>
        <v>Junio</v>
      </c>
      <c r="AT760" s="22" t="str">
        <f>DATA[[#This Row],[SERIE2]]&amp;"-"&amp;DATA[[#This Row],[NUMERO]]</f>
        <v>FF01-134</v>
      </c>
      <c r="AU760" s="28" t="e">
        <f>DATA[[#This Row],[TOTAL]]*DATA[[#This Row],[T.C.]]</f>
        <v>#REF!</v>
      </c>
      <c r="AV760" s="6">
        <f>DATA[[#This Row],[FECHA DE VAL.]]</f>
        <v>45834</v>
      </c>
      <c r="AW760" s="6">
        <f>DATA[[#This Row],[FECHA DE EMISION]]</f>
        <v>45835</v>
      </c>
      <c r="AX760" s="6">
        <f>DATA[[#This Row],[F1]]</f>
        <v>0</v>
      </c>
      <c r="AY760" s="20">
        <f>IF(AV760-DATA[[#This Row],[fecha_fs]]&lt;0,0,AV760-DATA[[#This Row],[fecha_fs]])</f>
        <v>20</v>
      </c>
      <c r="AZ760" s="20">
        <f t="shared" si="76"/>
        <v>1</v>
      </c>
      <c r="BA760" s="20">
        <f t="shared" si="77"/>
        <v>0</v>
      </c>
      <c r="BB760" s="195">
        <f>IFERROR(SUM(DATA[[#This Row],[fs_val_ttf]:[fact_pago_ttf]]),0)</f>
        <v>21</v>
      </c>
      <c r="BC760" s="185">
        <v>45845</v>
      </c>
      <c r="BD760" s="185">
        <v>45852</v>
      </c>
      <c r="BE760" s="185">
        <v>45852</v>
      </c>
      <c r="BF760" s="185">
        <v>45863</v>
      </c>
      <c r="BG760" s="20">
        <f>IFERROR(IF(BC760-DATA[[#This Row],[fecha_fs]]&lt;0,0,BC760-DATA[[#This Row],[fecha_fs]]),0)</f>
        <v>31</v>
      </c>
      <c r="BH760" s="20">
        <f t="shared" si="78"/>
        <v>7</v>
      </c>
      <c r="BI760" s="20">
        <f t="shared" si="79"/>
        <v>0</v>
      </c>
      <c r="BJ760" s="20">
        <f t="shared" si="80"/>
        <v>11</v>
      </c>
      <c r="BK760" s="218">
        <f>IFERROR(SUM(DATA[[#This Row],[fs_fd_ttd]:[fend_fenf_ttd]]),0)</f>
        <v>49</v>
      </c>
      <c r="BL760" s="20" t="str">
        <f>IF(DATA[[#This Row],[fecha_fs]]&gt;0,TEXT(DATA[[#This Row],[fecha_fs]],"YYYY"),0)</f>
        <v>2025</v>
      </c>
      <c r="BM760" s="221" t="b">
        <v>1</v>
      </c>
      <c r="BN760" s="278">
        <f>COUNTIF(DATA[[#This Row],[tiempo_td]], "&lt;=15")</f>
        <v>0</v>
      </c>
      <c r="BO760" s="222"/>
    </row>
    <row r="761" spans="1:67" ht="30" customHeight="1" x14ac:dyDescent="0.25">
      <c r="A761" s="4"/>
      <c r="B761" s="5" t="s">
        <v>0</v>
      </c>
      <c r="C761" s="52"/>
      <c r="D761" s="4"/>
      <c r="E761" s="5" t="s">
        <v>0</v>
      </c>
      <c r="F761" s="24">
        <v>45814</v>
      </c>
      <c r="G761" s="7" t="s">
        <v>113</v>
      </c>
      <c r="H761" s="25">
        <f t="shared" si="75"/>
        <v>1</v>
      </c>
      <c r="I761" s="67">
        <v>4602</v>
      </c>
      <c r="J761" s="8" t="s">
        <v>151</v>
      </c>
      <c r="K761" s="9"/>
      <c r="L761" s="10"/>
      <c r="M761" s="111"/>
      <c r="N761" s="112"/>
      <c r="O761" s="6"/>
      <c r="P761" s="13"/>
      <c r="Q761" s="14"/>
      <c r="R761" s="15"/>
      <c r="S761" s="56"/>
      <c r="T761" s="15">
        <f>DATA[[#This Row],[C. DF]]+DATA[[#This Row],[C.OPE.]]</f>
        <v>0</v>
      </c>
      <c r="U761" s="73">
        <f>DATA[[#This Row],[SUB TOTAL]]*0.18</f>
        <v>0</v>
      </c>
      <c r="V761" s="45">
        <f>IFERROR(ROUND(DATA[[#This Row],[SUB TOTAL]]+DATA[[#This Row],[IGV]],2),0)</f>
        <v>0</v>
      </c>
      <c r="W761" s="73" t="str">
        <f>IF(DATA[[#This Row],[VALORIZACIÓN ]]="-","NO CORRESPONDE",IF(OR(A761=20558226979,A761=10470707866,A761=20111157058,A761=20100226902),"NO CORRESPONDE",IF(J761="Emitida",IF(P761&gt;0,"EMITIDA","PENDIENTE"),"NO CORRESPONDE")))</f>
        <v>NO CORRESPONDE</v>
      </c>
      <c r="X761" s="46"/>
      <c r="Y761" s="17" t="s">
        <v>128</v>
      </c>
      <c r="Z761" s="48"/>
      <c r="AA761" s="49"/>
      <c r="AB761" s="50"/>
      <c r="AC761" s="51"/>
      <c r="AD761" s="59">
        <f>DATA[[#This Row],[FECHA DE EMISION]]+DATA[[#This Row],[CONDICION DE PAGO]]</f>
        <v>0</v>
      </c>
      <c r="AE761" s="23">
        <f>IF(DATA[[#This Row],[MONEDA]]="USD",VLOOKUP(DATA[[#This Row],[COMBINADA]],#REF!,11,0),1)</f>
        <v>1</v>
      </c>
      <c r="AF761" s="129" t="str">
        <f>IF(DATA[[#This Row],[SERIE2]]="-","NO CORRESPONDE",IF(W761="NO CORRESPONDE","NO CORRESPONDE",IF(Z761&gt;0,"FACTURADO","PENDIENTE")))</f>
        <v>NO CORRESPONDE</v>
      </c>
      <c r="AG761" s="140">
        <f>IFERROR(VLOOKUP(DATA[[#This Row],[COMBINADA]],#REF!,6,0),0)</f>
        <v>0</v>
      </c>
      <c r="AH761" s="126">
        <f>IFERROR(VLOOKUP(DATA[[#This Row],[COMBINADA]],#REF!,9,0),0)/COUNTIFS(DATA[COMBINADA],DATA[[#This Row],[COMBINADA]])</f>
        <v>0</v>
      </c>
      <c r="AI761" s="140">
        <f>IFERROR(VLOOKUP(DATA[[#This Row],[COMBINADA]],#REF!,6,0),0)</f>
        <v>0</v>
      </c>
      <c r="AJ761" s="126">
        <f>IFERROR(VLOOKUP(DATA[[#This Row],[COMBINADA]],#REF!,9,0),0)/COUNTIFS(DATA[COMBINADA],DATA[[#This Row],[COMBINADA]])</f>
        <v>0</v>
      </c>
      <c r="AK761" s="61">
        <f>IFERROR(VLOOKUP(DATA[[#This Row],[COMBINADA]],#REF!,6,0),0)</f>
        <v>0</v>
      </c>
      <c r="AL761" s="126">
        <f>IFERROR(VLOOKUP(DATA[[#This Row],[COMBINADA]],#REF!,9,0),0)/COUNTIFS(DATA[COMBINADA],DATA[[#This Row],[COMBINADA]])</f>
        <v>0</v>
      </c>
      <c r="AM761" s="61">
        <f>IFERROR(VLOOKUP(DATA[[#This Row],[COMBINADA]],#REF!,6,0),0)</f>
        <v>0</v>
      </c>
      <c r="AN761" s="62">
        <f>IFERROR(VLOOKUP(DATA[[#This Row],[COMBINADA]],#REF!,9,0),0)/COUNTIFS(DATA[COMBINADA],DATA[[#This Row],[COMBINADA]])</f>
        <v>0</v>
      </c>
      <c r="AO761" s="61">
        <f>IFERROR(VLOOKUP(DATA[[#This Row],[COMBINADA]],#REF!,6,0),0)</f>
        <v>0</v>
      </c>
      <c r="AP761" s="62">
        <f>IFERROR(VLOOKUP(DATA[[#This Row],[COMBINADA]],#REF!,9,0),0)/COUNTIFS(DATA[COMBINADA],DATA[[#This Row],[COMBINADA]])</f>
        <v>0</v>
      </c>
      <c r="AQ761"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761" s="22" t="str">
        <f>IFERROR(IF(DATA[[#This Row],[estado_fact]]="FACTURADO",VLOOKUP(DATA[[#This Row],[SERIE2]]&amp;"-"&amp;DATA[[#This Row],[NUMERO]],#REF!,34,0),"NO CORRESPONDE"),"NO CORRESPONDE")</f>
        <v>NO CORRESPONDE</v>
      </c>
      <c r="AS761" s="198" t="str">
        <f>IF(DATA[[#This Row],[fecha_fs]]&gt;0,TEXT(DATA[[#This Row],[fecha_fs]],"Mmmm"),0)</f>
        <v>Junio</v>
      </c>
      <c r="AT761" s="199" t="str">
        <f>DATA[[#This Row],[SERIE2]]&amp;"-"&amp;DATA[[#This Row],[NUMERO]]</f>
        <v>-</v>
      </c>
      <c r="AU761" s="198">
        <f>DATA[[#This Row],[TOTAL]]*DATA[[#This Row],[T.C.]]</f>
        <v>0</v>
      </c>
      <c r="AV761" s="40">
        <f>DATA[[#This Row],[FECHA DE VAL.]]</f>
        <v>0</v>
      </c>
      <c r="AW761" s="40">
        <f>DATA[[#This Row],[FECHA DE EMISION]]</f>
        <v>0</v>
      </c>
      <c r="AX761" s="40">
        <f>DATA[[#This Row],[F1]]</f>
        <v>0</v>
      </c>
      <c r="AY761" s="49">
        <f>IF(AV761-DATA[[#This Row],[fecha_fs]]&lt;0,0,AV761-DATA[[#This Row],[fecha_fs]])</f>
        <v>0</v>
      </c>
      <c r="AZ761" s="49">
        <f t="shared" si="76"/>
        <v>0</v>
      </c>
      <c r="BA761" s="49">
        <f t="shared" si="77"/>
        <v>0</v>
      </c>
      <c r="BB761" s="195">
        <f>IFERROR(SUM(DATA[[#This Row],[fs_val_ttf]:[fact_pago_ttf]]),0)</f>
        <v>0</v>
      </c>
      <c r="BC761" s="204"/>
      <c r="BD761" s="204"/>
      <c r="BE761" s="204"/>
      <c r="BF761" s="234"/>
      <c r="BG761" s="49">
        <f>IFERROR(IF(BC761-DATA[[#This Row],[fecha_fs]]&lt;0,0,BC761-DATA[[#This Row],[fecha_fs]]),0)</f>
        <v>0</v>
      </c>
      <c r="BH761" s="49">
        <f t="shared" si="78"/>
        <v>0</v>
      </c>
      <c r="BI761" s="49">
        <f t="shared" si="79"/>
        <v>0</v>
      </c>
      <c r="BJ761" s="49">
        <f t="shared" si="80"/>
        <v>0</v>
      </c>
      <c r="BK761" s="218">
        <f>IFERROR(SUM(DATA[[#This Row],[fs_fd_ttd]:[fend_fenf_ttd]]),0)</f>
        <v>0</v>
      </c>
      <c r="BL761" s="20" t="str">
        <f>IF(DATA[[#This Row],[fecha_fs]]&gt;0,TEXT(DATA[[#This Row],[fecha_fs]],"YYYY"),0)</f>
        <v>2025</v>
      </c>
      <c r="BM761" s="221" t="b">
        <v>0</v>
      </c>
      <c r="BN761" s="278"/>
      <c r="BO761" s="222"/>
    </row>
    <row r="762" spans="1:67" ht="30.6" customHeight="1" x14ac:dyDescent="0.25">
      <c r="A762" s="4">
        <v>20141637941</v>
      </c>
      <c r="B762" s="5" t="s">
        <v>79</v>
      </c>
      <c r="C762" s="52" t="s">
        <v>18</v>
      </c>
      <c r="D762" s="4" t="s">
        <v>120</v>
      </c>
      <c r="E762" s="5" t="s">
        <v>3</v>
      </c>
      <c r="F762" s="24">
        <v>45817</v>
      </c>
      <c r="G762" s="7" t="s">
        <v>113</v>
      </c>
      <c r="H762" s="25">
        <f t="shared" si="75"/>
        <v>1</v>
      </c>
      <c r="I762" s="67">
        <v>4603</v>
      </c>
      <c r="J762" s="8" t="s">
        <v>115</v>
      </c>
      <c r="K762" s="9" t="s">
        <v>121</v>
      </c>
      <c r="L762" s="10" t="s">
        <v>117</v>
      </c>
      <c r="M762" s="11">
        <v>680</v>
      </c>
      <c r="N762" s="12" t="s">
        <v>125</v>
      </c>
      <c r="O762" s="6">
        <v>45821</v>
      </c>
      <c r="P762" s="110">
        <v>3493</v>
      </c>
      <c r="Q762" s="14" t="s">
        <v>85</v>
      </c>
      <c r="R762" s="15">
        <f>70</f>
        <v>70</v>
      </c>
      <c r="S762" s="56">
        <v>517</v>
      </c>
      <c r="T762" s="15">
        <f>DATA[[#This Row],[C. DF]]+DATA[[#This Row],[C.OPE.]]</f>
        <v>587</v>
      </c>
      <c r="U762" s="15">
        <f>DATA[[#This Row],[SUB TOTAL]]*0.18</f>
        <v>105.66</v>
      </c>
      <c r="V762" s="15">
        <f>IFERROR(ROUND(DATA[[#This Row],[SUB TOTAL]]+DATA[[#This Row],[IGV]],2),0)</f>
        <v>692.66</v>
      </c>
      <c r="W762" s="16" t="str">
        <f>IF(DATA[[#This Row],[VALORIZACIÓN ]]="-","NO CORRESPONDE",IF(OR(A762=20558226979,A762=10470707866,A762=20111157058,A762=20100226902),"NO CORRESPONDE",IF(J762="Emitida",IF(P762&gt;0,"EMITIDA","PENDIENTE"),"NO CORRESPONDE")))</f>
        <v>EMITIDA</v>
      </c>
      <c r="X762" s="29"/>
      <c r="Y762" s="17" t="s">
        <v>118</v>
      </c>
      <c r="Z762" s="30">
        <v>45825</v>
      </c>
      <c r="AA762" s="10" t="s">
        <v>150</v>
      </c>
      <c r="AB762" s="19">
        <v>124</v>
      </c>
      <c r="AC762" s="20">
        <v>30</v>
      </c>
      <c r="AD762" s="18">
        <f>DATA[[#This Row],[FECHA DE EMISION]]+DATA[[#This Row],[CONDICION DE PAGO]]</f>
        <v>45855</v>
      </c>
      <c r="AE762" s="23">
        <f>IF(DATA[[#This Row],[MONEDA]]="USD",VLOOKUP(DATA[[#This Row],[COMBINADA]],#REF!,11,0),1)</f>
        <v>1</v>
      </c>
      <c r="AF762" s="129" t="str">
        <f>IF(DATA[[#This Row],[SERIE2]]="-","NO CORRESPONDE",IF(W762="NO CORRESPONDE","NO CORRESPONDE",IF(Z762&gt;0,"FACTURADO","PENDIENTE")))</f>
        <v>FACTURADO</v>
      </c>
      <c r="AG762" s="133">
        <f>IFERROR(VLOOKUP(DATA[[#This Row],[COMBINADA]],#REF!,6,0),0)</f>
        <v>0</v>
      </c>
      <c r="AH762" s="125">
        <f>IFERROR(VLOOKUP(DATA[[#This Row],[COMBINADA]],#REF!,9,0),0)/COUNTIFS(DATA[COMBINADA],DATA[[#This Row],[COMBINADA]])</f>
        <v>0</v>
      </c>
      <c r="AI762" s="136">
        <f>IFERROR(VLOOKUP(DATA[[#This Row],[COMBINADA]],#REF!,6,0),0)</f>
        <v>0</v>
      </c>
      <c r="AJ762" s="132">
        <f>IFERROR(VLOOKUP(DATA[[#This Row],[COMBINADA]],#REF!,9,0),0)/COUNTIFS(DATA[COMBINADA],DATA[[#This Row],[COMBINADA]])</f>
        <v>0</v>
      </c>
      <c r="AK762" s="410">
        <f>IFERROR(VLOOKUP(DATA[[#This Row],[COMBINADA]],#REF!,6,0),0)</f>
        <v>0</v>
      </c>
      <c r="AL762" s="155">
        <f>IFERROR(VLOOKUP(DATA[[#This Row],[COMBINADA]],#REF!,9,0),0)/COUNTIFS(DATA[COMBINADA],DATA[[#This Row],[COMBINADA]])</f>
        <v>0</v>
      </c>
      <c r="AM762" s="159">
        <f>IFERROR(VLOOKUP(DATA[[#This Row],[COMBINADA]],#REF!,6,0),0)</f>
        <v>0</v>
      </c>
      <c r="AN762" s="155">
        <f>IFERROR(VLOOKUP(DATA[[#This Row],[COMBINADA]],#REF!,9,0),0)/COUNTIFS(DATA[COMBINADA],DATA[[#This Row],[COMBINADA]])</f>
        <v>0</v>
      </c>
      <c r="AO762" s="156">
        <f>IFERROR(VLOOKUP(DATA[[#This Row],[COMBINADA]],#REF!,6,0),0)</f>
        <v>0</v>
      </c>
      <c r="AP762" s="157">
        <f>IFERROR(VLOOKUP(DATA[[#This Row],[COMBINADA]],#REF!,9,0),0)/COUNTIFS(DATA[COMBINADA],DATA[[#This Row],[COMBINADA]])</f>
        <v>0</v>
      </c>
      <c r="AQ762" s="15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708.78666666666675</v>
      </c>
      <c r="AR762" s="26" t="str">
        <f>IFERROR(IF(DATA[[#This Row],[estado_fact]]="FACTURADO",VLOOKUP(DATA[[#This Row],[SERIE2]]&amp;"-"&amp;DATA[[#This Row],[NUMERO]],#REF!,34,0),"NO CORRESPONDE"),"NO CORRESPONDE")</f>
        <v>NO CORRESPONDE</v>
      </c>
      <c r="AS762" s="22" t="str">
        <f>IF(DATA[[#This Row],[fecha_fs]]&gt;0,TEXT(DATA[[#This Row],[fecha_fs]],"Mmmm"),0)</f>
        <v>Junio</v>
      </c>
      <c r="AT762" s="22" t="str">
        <f>DATA[[#This Row],[SERIE2]]&amp;"-"&amp;DATA[[#This Row],[NUMERO]]</f>
        <v>FF01-124</v>
      </c>
      <c r="AU762" s="28">
        <f>DATA[[#This Row],[TOTAL]]*DATA[[#This Row],[T.C.]]</f>
        <v>692.66</v>
      </c>
      <c r="AV762" s="6">
        <f>DATA[[#This Row],[FECHA DE VAL.]]</f>
        <v>45821</v>
      </c>
      <c r="AW762" s="6">
        <f>DATA[[#This Row],[FECHA DE EMISION]]</f>
        <v>45825</v>
      </c>
      <c r="AX762" s="6">
        <f>DATA[[#This Row],[F1]]</f>
        <v>0</v>
      </c>
      <c r="AY762" s="20">
        <f>IF(AV762-DATA[[#This Row],[fecha_fs]]&lt;0,0,AV762-DATA[[#This Row],[fecha_fs]])</f>
        <v>4</v>
      </c>
      <c r="AZ762" s="20">
        <f t="shared" si="76"/>
        <v>4</v>
      </c>
      <c r="BA762" s="20">
        <f t="shared" si="77"/>
        <v>0</v>
      </c>
      <c r="BB762" s="195">
        <f>IFERROR(SUM(DATA[[#This Row],[fs_val_ttf]:[fact_pago_ttf]]),0)</f>
        <v>8</v>
      </c>
      <c r="BC762" s="184">
        <v>45817</v>
      </c>
      <c r="BD762" s="184">
        <v>45817</v>
      </c>
      <c r="BE762" s="184">
        <v>45825</v>
      </c>
      <c r="BF762" s="235">
        <v>45825</v>
      </c>
      <c r="BG762" s="20">
        <f>IFERROR(IF(BC762-DATA[[#This Row],[fecha_fs]]&lt;0,0,BC762-DATA[[#This Row],[fecha_fs]]),0)</f>
        <v>0</v>
      </c>
      <c r="BH762" s="20">
        <f t="shared" si="78"/>
        <v>0</v>
      </c>
      <c r="BI762" s="20">
        <f t="shared" si="79"/>
        <v>8</v>
      </c>
      <c r="BJ762" s="20">
        <f t="shared" si="80"/>
        <v>0</v>
      </c>
      <c r="BK762" s="218">
        <f>IFERROR(SUM(DATA[[#This Row],[fs_fd_ttd]:[fend_fenf_ttd]]),0)</f>
        <v>8</v>
      </c>
      <c r="BL762" s="20" t="str">
        <f>IF(DATA[[#This Row],[fecha_fs]]&gt;0,TEXT(DATA[[#This Row],[fecha_fs]],"YYYY"),0)</f>
        <v>2025</v>
      </c>
      <c r="BM762" s="221" t="b">
        <v>1</v>
      </c>
      <c r="BN762" s="278">
        <f>COUNTIF(DATA[[#This Row],[tiempo_td]], "&lt;=15")</f>
        <v>1</v>
      </c>
      <c r="BO762" s="222"/>
    </row>
    <row r="763" spans="1:67" ht="30.6" customHeight="1" x14ac:dyDescent="0.25">
      <c r="A763" s="4">
        <v>20419158462</v>
      </c>
      <c r="B763" s="5" t="s">
        <v>2</v>
      </c>
      <c r="C763" s="52" t="s">
        <v>199</v>
      </c>
      <c r="D763" s="4" t="s">
        <v>120</v>
      </c>
      <c r="E763" s="5" t="s">
        <v>3</v>
      </c>
      <c r="F763" s="24">
        <v>45817</v>
      </c>
      <c r="G763" s="7" t="s">
        <v>113</v>
      </c>
      <c r="H763" s="25">
        <f t="shared" si="75"/>
        <v>1</v>
      </c>
      <c r="I763" s="67">
        <v>4604</v>
      </c>
      <c r="J763" s="8" t="s">
        <v>115</v>
      </c>
      <c r="K763" s="9" t="s">
        <v>156</v>
      </c>
      <c r="L763" s="10" t="s">
        <v>117</v>
      </c>
      <c r="M763" s="11">
        <v>450</v>
      </c>
      <c r="N763" s="12" t="s">
        <v>261</v>
      </c>
      <c r="O763" s="6">
        <v>45818</v>
      </c>
      <c r="P763" s="13">
        <v>3490</v>
      </c>
      <c r="Q763" s="14" t="s">
        <v>85</v>
      </c>
      <c r="R763" s="75"/>
      <c r="S763" s="15">
        <f>1429.7/2</f>
        <v>714.85</v>
      </c>
      <c r="T763" s="15">
        <f>DATA[[#This Row],[C. DF]]+DATA[[#This Row],[C.OPE.]]</f>
        <v>714.85</v>
      </c>
      <c r="U763" s="15">
        <f>DATA[[#This Row],[SUB TOTAL]]*0.18</f>
        <v>128.673</v>
      </c>
      <c r="V763" s="15">
        <f>IFERROR(ROUND(DATA[[#This Row],[SUB TOTAL]]+DATA[[#This Row],[IGV]],2),0)</f>
        <v>843.52</v>
      </c>
      <c r="W763" s="16" t="str">
        <f>IF(DATA[[#This Row],[VALORIZACIÓN ]]="-","NO CORRESPONDE",IF(OR(A763=20558226979,A763=10470707866,A763=20111157058,A763=20100226902),"NO CORRESPONDE",IF(J763="Emitida",IF(P763&gt;0,"EMITIDA","PENDIENTE"),"NO CORRESPONDE")))</f>
        <v>EMITIDA</v>
      </c>
      <c r="X763" s="29"/>
      <c r="Y763" s="17" t="s">
        <v>118</v>
      </c>
      <c r="Z763" s="30">
        <v>45845</v>
      </c>
      <c r="AA763" s="10" t="s">
        <v>150</v>
      </c>
      <c r="AB763" s="19">
        <v>146</v>
      </c>
      <c r="AC763" s="20">
        <v>15</v>
      </c>
      <c r="AD763" s="18">
        <f>DATA[[#This Row],[FECHA DE EMISION]]+DATA[[#This Row],[CONDICION DE PAGO]]</f>
        <v>45860</v>
      </c>
      <c r="AE763" s="23">
        <f>IF(DATA[[#This Row],[MONEDA]]="USD",VLOOKUP(DATA[[#This Row],[COMBINADA]],#REF!,11,0),1)</f>
        <v>1</v>
      </c>
      <c r="AF763" s="129" t="str">
        <f>IF(DATA[[#This Row],[SERIE2]]="-","NO CORRESPONDE",IF(W763="NO CORRESPONDE","NO CORRESPONDE",IF(Z763&gt;0,"FACTURADO","PENDIENTE")))</f>
        <v>FACTURADO</v>
      </c>
      <c r="AG763" s="133">
        <f>IFERROR(VLOOKUP(DATA[[#This Row],[COMBINADA]],#REF!,6,0),0)</f>
        <v>0</v>
      </c>
      <c r="AH763" s="125">
        <f>IFERROR(VLOOKUP(DATA[[#This Row],[COMBINADA]],#REF!,9,0),0)/COUNTIFS(DATA[COMBINADA],DATA[[#This Row],[COMBINADA]])</f>
        <v>0</v>
      </c>
      <c r="AI763" s="136">
        <f>IFERROR(VLOOKUP(DATA[[#This Row],[COMBINADA]],#REF!,6,0),0)</f>
        <v>0</v>
      </c>
      <c r="AJ763" s="132">
        <f>IFERROR(VLOOKUP(DATA[[#This Row],[COMBINADA]],#REF!,9,0),0)/COUNTIFS(DATA[COMBINADA],DATA[[#This Row],[COMBINADA]])</f>
        <v>0</v>
      </c>
      <c r="AK763" s="408">
        <f>IFERROR(VLOOKUP(DATA[[#This Row],[COMBINADA]],#REF!,6,0),0)</f>
        <v>0</v>
      </c>
      <c r="AL763" s="125">
        <f>IFERROR(VLOOKUP(DATA[[#This Row],[COMBINADA]],#REF!,9,0),0)/COUNTIFS(DATA[COMBINADA],DATA[[#This Row],[COMBINADA]])</f>
        <v>0</v>
      </c>
      <c r="AM763" s="147">
        <f>IFERROR(VLOOKUP(DATA[[#This Row],[COMBINADA]],#REF!,6,0),0)</f>
        <v>0</v>
      </c>
      <c r="AN763" s="125">
        <f>IFERROR(VLOOKUP(DATA[[#This Row],[COMBINADA]],#REF!,9,0),0)/COUNTIFS(DATA[COMBINADA],DATA[[#This Row],[COMBINADA]])</f>
        <v>0</v>
      </c>
      <c r="AO763" s="27">
        <f>IFERROR(VLOOKUP(DATA[[#This Row],[COMBINADA]],#REF!,6,0),0)</f>
        <v>0</v>
      </c>
      <c r="AP763" s="132">
        <f>IFERROR(VLOOKUP(DATA[[#This Row],[COMBINADA]],#REF!,9,0),0)/COUNTIFS(DATA[COMBINADA],DATA[[#This Row],[COMBINADA]])</f>
        <v>0</v>
      </c>
      <c r="AQ76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763" s="26" t="str">
        <f>IFERROR(IF(DATA[[#This Row],[estado_fact]]="FACTURADO",VLOOKUP(DATA[[#This Row],[SERIE2]]&amp;"-"&amp;DATA[[#This Row],[NUMERO]],#REF!,34,0),"NO CORRESPONDE"),"NO CORRESPONDE")</f>
        <v>NO CORRESPONDE</v>
      </c>
      <c r="AS763" s="22" t="str">
        <f>IF(DATA[[#This Row],[fecha_fs]]&gt;0,TEXT(DATA[[#This Row],[fecha_fs]],"Mmmm"),0)</f>
        <v>Junio</v>
      </c>
      <c r="AT763" s="22" t="str">
        <f>DATA[[#This Row],[SERIE2]]&amp;"-"&amp;DATA[[#This Row],[NUMERO]]</f>
        <v>FF01-146</v>
      </c>
      <c r="AU763" s="28">
        <f>DATA[[#This Row],[TOTAL]]*DATA[[#This Row],[T.C.]]</f>
        <v>843.52</v>
      </c>
      <c r="AV763" s="6">
        <f>DATA[[#This Row],[FECHA DE VAL.]]</f>
        <v>45818</v>
      </c>
      <c r="AW763" s="6">
        <f>DATA[[#This Row],[FECHA DE EMISION]]</f>
        <v>45845</v>
      </c>
      <c r="AX763" s="6">
        <f>DATA[[#This Row],[F1]]</f>
        <v>0</v>
      </c>
      <c r="AY763" s="20">
        <f>IF(AV763-DATA[[#This Row],[fecha_fs]]&lt;0,0,AV763-DATA[[#This Row],[fecha_fs]])</f>
        <v>1</v>
      </c>
      <c r="AZ763" s="20">
        <f t="shared" si="76"/>
        <v>27</v>
      </c>
      <c r="BA763" s="20">
        <f t="shared" si="77"/>
        <v>0</v>
      </c>
      <c r="BB763" s="195">
        <f>IFERROR(SUM(DATA[[#This Row],[fs_val_ttf]:[fact_pago_ttf]]),0)</f>
        <v>28</v>
      </c>
      <c r="BC763" s="185">
        <v>45817</v>
      </c>
      <c r="BD763" s="185">
        <v>45817</v>
      </c>
      <c r="BE763" s="185">
        <v>45840</v>
      </c>
      <c r="BF763" s="235">
        <v>45840</v>
      </c>
      <c r="BG763" s="20">
        <f>IFERROR(IF(BC763-DATA[[#This Row],[fecha_fs]]&lt;0,0,BC763-DATA[[#This Row],[fecha_fs]]),0)</f>
        <v>0</v>
      </c>
      <c r="BH763" s="20">
        <f t="shared" si="78"/>
        <v>0</v>
      </c>
      <c r="BI763" s="20">
        <f t="shared" si="79"/>
        <v>23</v>
      </c>
      <c r="BJ763" s="20">
        <f t="shared" si="80"/>
        <v>0</v>
      </c>
      <c r="BK763" s="218">
        <f>IFERROR(SUM(DATA[[#This Row],[fs_fd_ttd]:[fend_fenf_ttd]]),0)</f>
        <v>23</v>
      </c>
      <c r="BL763" s="20" t="str">
        <f>IF(DATA[[#This Row],[fecha_fs]]&gt;0,TEXT(DATA[[#This Row],[fecha_fs]],"YYYY"),0)</f>
        <v>2025</v>
      </c>
      <c r="BM763" s="221" t="b">
        <v>1</v>
      </c>
      <c r="BN763" s="278">
        <f>COUNTIF(DATA[[#This Row],[tiempo_td]], "&lt;=15")</f>
        <v>0</v>
      </c>
      <c r="BO763" s="222"/>
    </row>
    <row r="764" spans="1:67" ht="30.6" customHeight="1" x14ac:dyDescent="0.25">
      <c r="A764" s="4">
        <v>20419158462</v>
      </c>
      <c r="B764" s="5" t="s">
        <v>2</v>
      </c>
      <c r="C764" s="52" t="s">
        <v>201</v>
      </c>
      <c r="D764" s="4" t="s">
        <v>120</v>
      </c>
      <c r="E764" s="5" t="s">
        <v>3</v>
      </c>
      <c r="F764" s="24">
        <v>45817</v>
      </c>
      <c r="G764" s="7" t="s">
        <v>113</v>
      </c>
      <c r="H764" s="25">
        <f t="shared" si="75"/>
        <v>1</v>
      </c>
      <c r="I764" s="67">
        <v>4605</v>
      </c>
      <c r="J764" s="8" t="s">
        <v>115</v>
      </c>
      <c r="K764" s="9" t="s">
        <v>156</v>
      </c>
      <c r="L764" s="10" t="s">
        <v>117</v>
      </c>
      <c r="M764" s="11">
        <v>780</v>
      </c>
      <c r="N764" s="12" t="s">
        <v>261</v>
      </c>
      <c r="O764" s="6">
        <v>45818</v>
      </c>
      <c r="P764" s="13">
        <v>3490</v>
      </c>
      <c r="Q764" s="14" t="s">
        <v>85</v>
      </c>
      <c r="R764" s="75"/>
      <c r="S764" s="15">
        <f>1429.7/2</f>
        <v>714.85</v>
      </c>
      <c r="T764" s="15">
        <f>DATA[[#This Row],[C. DF]]+DATA[[#This Row],[C.OPE.]]</f>
        <v>714.85</v>
      </c>
      <c r="U764" s="15">
        <f>DATA[[#This Row],[SUB TOTAL]]*0.18</f>
        <v>128.673</v>
      </c>
      <c r="V764" s="15">
        <f>IFERROR(ROUND(DATA[[#This Row],[SUB TOTAL]]+DATA[[#This Row],[IGV]],2),0)</f>
        <v>843.52</v>
      </c>
      <c r="W764" s="16" t="str">
        <f>IF(DATA[[#This Row],[VALORIZACIÓN ]]="-","NO CORRESPONDE",IF(OR(A764=20558226979,A764=10470707866,A764=20111157058,A764=20100226902),"NO CORRESPONDE",IF(J764="Emitida",IF(P764&gt;0,"EMITIDA","PENDIENTE"),"NO CORRESPONDE")))</f>
        <v>EMITIDA</v>
      </c>
      <c r="X764" s="29"/>
      <c r="Y764" s="17" t="s">
        <v>118</v>
      </c>
      <c r="Z764" s="30">
        <v>45845</v>
      </c>
      <c r="AA764" s="10" t="s">
        <v>150</v>
      </c>
      <c r="AB764" s="19">
        <v>146</v>
      </c>
      <c r="AC764" s="20">
        <v>15</v>
      </c>
      <c r="AD764" s="18">
        <f>DATA[[#This Row],[FECHA DE EMISION]]+DATA[[#This Row],[CONDICION DE PAGO]]</f>
        <v>45860</v>
      </c>
      <c r="AE764" s="23">
        <f>IF(DATA[[#This Row],[MONEDA]]="USD",VLOOKUP(DATA[[#This Row],[COMBINADA]],#REF!,11,0),1)</f>
        <v>1</v>
      </c>
      <c r="AF764" s="129" t="str">
        <f>IF(DATA[[#This Row],[SERIE2]]="-","NO CORRESPONDE",IF(W764="NO CORRESPONDE","NO CORRESPONDE",IF(Z764&gt;0,"FACTURADO","PENDIENTE")))</f>
        <v>FACTURADO</v>
      </c>
      <c r="AG764" s="133">
        <f>IFERROR(VLOOKUP(DATA[[#This Row],[COMBINADA]],#REF!,6,0),0)</f>
        <v>0</v>
      </c>
      <c r="AH764" s="125">
        <f>IFERROR(VLOOKUP(DATA[[#This Row],[COMBINADA]],#REF!,9,0),0)/COUNTIFS(DATA[COMBINADA],DATA[[#This Row],[COMBINADA]])</f>
        <v>0</v>
      </c>
      <c r="AI764" s="136">
        <f>IFERROR(VLOOKUP(DATA[[#This Row],[COMBINADA]],#REF!,6,0),0)</f>
        <v>0</v>
      </c>
      <c r="AJ764" s="132">
        <f>IFERROR(VLOOKUP(DATA[[#This Row],[COMBINADA]],#REF!,9,0),0)/COUNTIFS(DATA[COMBINADA],DATA[[#This Row],[COMBINADA]])</f>
        <v>0</v>
      </c>
      <c r="AK764" s="408">
        <f>IFERROR(VLOOKUP(DATA[[#This Row],[COMBINADA]],#REF!,6,0),0)</f>
        <v>0</v>
      </c>
      <c r="AL764" s="125">
        <f>IFERROR(VLOOKUP(DATA[[#This Row],[COMBINADA]],#REF!,9,0),0)/COUNTIFS(DATA[COMBINADA],DATA[[#This Row],[COMBINADA]])</f>
        <v>0</v>
      </c>
      <c r="AM764" s="147">
        <f>IFERROR(VLOOKUP(DATA[[#This Row],[COMBINADA]],#REF!,6,0),0)</f>
        <v>0</v>
      </c>
      <c r="AN764" s="125">
        <f>IFERROR(VLOOKUP(DATA[[#This Row],[COMBINADA]],#REF!,9,0),0)/COUNTIFS(DATA[COMBINADA],DATA[[#This Row],[COMBINADA]])</f>
        <v>0</v>
      </c>
      <c r="AO764" s="27">
        <f>IFERROR(VLOOKUP(DATA[[#This Row],[COMBINADA]],#REF!,6,0),0)</f>
        <v>0</v>
      </c>
      <c r="AP764" s="132">
        <f>IFERROR(VLOOKUP(DATA[[#This Row],[COMBINADA]],#REF!,9,0),0)/COUNTIFS(DATA[COMBINADA],DATA[[#This Row],[COMBINADA]])</f>
        <v>0</v>
      </c>
      <c r="AQ76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764" s="26" t="str">
        <f>IFERROR(IF(DATA[[#This Row],[estado_fact]]="FACTURADO",VLOOKUP(DATA[[#This Row],[SERIE2]]&amp;"-"&amp;DATA[[#This Row],[NUMERO]],#REF!,34,0),"NO CORRESPONDE"),"NO CORRESPONDE")</f>
        <v>NO CORRESPONDE</v>
      </c>
      <c r="AS764" s="22" t="str">
        <f>IF(DATA[[#This Row],[fecha_fs]]&gt;0,TEXT(DATA[[#This Row],[fecha_fs]],"Mmmm"),0)</f>
        <v>Junio</v>
      </c>
      <c r="AT764" s="22" t="str">
        <f>DATA[[#This Row],[SERIE2]]&amp;"-"&amp;DATA[[#This Row],[NUMERO]]</f>
        <v>FF01-146</v>
      </c>
      <c r="AU764" s="28">
        <f>DATA[[#This Row],[TOTAL]]*DATA[[#This Row],[T.C.]]</f>
        <v>843.52</v>
      </c>
      <c r="AV764" s="6">
        <f>DATA[[#This Row],[FECHA DE VAL.]]</f>
        <v>45818</v>
      </c>
      <c r="AW764" s="6">
        <f>DATA[[#This Row],[FECHA DE EMISION]]</f>
        <v>45845</v>
      </c>
      <c r="AX764" s="6">
        <f>DATA[[#This Row],[F1]]</f>
        <v>0</v>
      </c>
      <c r="AY764" s="20">
        <f>IF(AV764-DATA[[#This Row],[fecha_fs]]&lt;0,0,AV764-DATA[[#This Row],[fecha_fs]])</f>
        <v>1</v>
      </c>
      <c r="AZ764" s="20">
        <f t="shared" si="76"/>
        <v>27</v>
      </c>
      <c r="BA764" s="20">
        <f t="shared" si="77"/>
        <v>0</v>
      </c>
      <c r="BB764" s="195">
        <f>IFERROR(SUM(DATA[[#This Row],[fs_val_ttf]:[fact_pago_ttf]]),0)</f>
        <v>28</v>
      </c>
      <c r="BC764" s="185">
        <v>45817</v>
      </c>
      <c r="BD764" s="185">
        <v>45817</v>
      </c>
      <c r="BE764" s="185">
        <v>45840</v>
      </c>
      <c r="BF764" s="235">
        <v>45840</v>
      </c>
      <c r="BG764" s="20">
        <f>IFERROR(IF(BC764-DATA[[#This Row],[fecha_fs]]&lt;0,0,BC764-DATA[[#This Row],[fecha_fs]]),0)</f>
        <v>0</v>
      </c>
      <c r="BH764" s="20">
        <f t="shared" si="78"/>
        <v>0</v>
      </c>
      <c r="BI764" s="20">
        <f t="shared" si="79"/>
        <v>23</v>
      </c>
      <c r="BJ764" s="20">
        <f t="shared" si="80"/>
        <v>0</v>
      </c>
      <c r="BK764" s="218">
        <f>IFERROR(SUM(DATA[[#This Row],[fs_fd_ttd]:[fend_fenf_ttd]]),0)</f>
        <v>23</v>
      </c>
      <c r="BL764" s="20" t="str">
        <f>IF(DATA[[#This Row],[fecha_fs]]&gt;0,TEXT(DATA[[#This Row],[fecha_fs]],"YYYY"),0)</f>
        <v>2025</v>
      </c>
      <c r="BM764" s="221" t="b">
        <v>1</v>
      </c>
      <c r="BN764" s="278">
        <f>COUNTIF(DATA[[#This Row],[tiempo_td]], "&lt;=15")</f>
        <v>0</v>
      </c>
      <c r="BO764" s="222"/>
    </row>
    <row r="765" spans="1:67" ht="30.6" customHeight="1" x14ac:dyDescent="0.25">
      <c r="A765" s="4">
        <v>20100211115</v>
      </c>
      <c r="B765" s="5" t="s">
        <v>41</v>
      </c>
      <c r="C765" s="52" t="s">
        <v>18</v>
      </c>
      <c r="D765" s="4" t="s">
        <v>120</v>
      </c>
      <c r="E765" s="5" t="s">
        <v>3</v>
      </c>
      <c r="F765" s="24">
        <v>45817</v>
      </c>
      <c r="G765" s="7" t="s">
        <v>113</v>
      </c>
      <c r="H765" s="25">
        <f t="shared" ref="H765:H830" si="81">IF(G765="","",IF(G765="LIM",2,1))</f>
        <v>1</v>
      </c>
      <c r="I765" s="67">
        <v>4606</v>
      </c>
      <c r="J765" s="8" t="s">
        <v>115</v>
      </c>
      <c r="K765" s="9" t="s">
        <v>121</v>
      </c>
      <c r="L765" s="10" t="s">
        <v>117</v>
      </c>
      <c r="M765" s="11">
        <v>90</v>
      </c>
      <c r="N765" s="12" t="s">
        <v>167</v>
      </c>
      <c r="O765" s="6">
        <v>45834</v>
      </c>
      <c r="P765" s="115">
        <v>3515</v>
      </c>
      <c r="Q765" s="14" t="s">
        <v>85</v>
      </c>
      <c r="R765" s="75"/>
      <c r="S765" s="15">
        <f>(DATA[[#This Row],[cantidad_fs]]*4.17)</f>
        <v>375.3</v>
      </c>
      <c r="T765" s="15">
        <f>DATA[[#This Row],[C. DF]]+DATA[[#This Row],[C.OPE.]]</f>
        <v>375.3</v>
      </c>
      <c r="U765" s="15">
        <f>DATA[[#This Row],[SUB TOTAL]]*0.18</f>
        <v>67.554000000000002</v>
      </c>
      <c r="V765" s="15">
        <f>IFERROR(ROUND(DATA[[#This Row],[SUB TOTAL]]+DATA[[#This Row],[IGV]],2),0)</f>
        <v>442.85</v>
      </c>
      <c r="W765" s="16" t="str">
        <f>IF(DATA[[#This Row],[VALORIZACIÓN ]]="-","NO CORRESPONDE",IF(OR(A765=20558226979,A765=10470707866,A765=20111157058,A765=20100226902),"NO CORRESPONDE",IF(J765="Emitida",IF(P765&gt;0,"EMITIDA","PENDIENTE"),"NO CORRESPONDE")))</f>
        <v>EMITIDA</v>
      </c>
      <c r="X765" s="29"/>
      <c r="Y765" s="17" t="s">
        <v>118</v>
      </c>
      <c r="Z765" s="30">
        <v>45835</v>
      </c>
      <c r="AA765" s="10" t="s">
        <v>150</v>
      </c>
      <c r="AB765" s="19">
        <v>137</v>
      </c>
      <c r="AC765" s="20">
        <v>30</v>
      </c>
      <c r="AD765" s="18">
        <f>DATA[[#This Row],[FECHA DE EMISION]]+DATA[[#This Row],[CONDICION DE PAGO]]</f>
        <v>45865</v>
      </c>
      <c r="AE765" s="23">
        <f>IF(DATA[[#This Row],[MONEDA]]="USD",VLOOKUP(DATA[[#This Row],[COMBINADA]],#REF!,11,0),1)</f>
        <v>1</v>
      </c>
      <c r="AF765" s="129" t="str">
        <f>IF(DATA[[#This Row],[SERIE2]]="-","NO CORRESPONDE",IF(W765="NO CORRESPONDE","NO CORRESPONDE",IF(Z765&gt;0,"FACTURADO","PENDIENTE")))</f>
        <v>FACTURADO</v>
      </c>
      <c r="AG765" s="133">
        <f>IFERROR(VLOOKUP(DATA[[#This Row],[COMBINADA]],#REF!,6,0),0)</f>
        <v>0</v>
      </c>
      <c r="AH765" s="125">
        <f>IFERROR(VLOOKUP(DATA[[#This Row],[COMBINADA]],#REF!,9,0),0)/COUNTIFS(DATA[COMBINADA],DATA[[#This Row],[COMBINADA]])</f>
        <v>0</v>
      </c>
      <c r="AI765" s="136">
        <f>IFERROR(VLOOKUP(DATA[[#This Row],[COMBINADA]],#REF!,6,0),0)</f>
        <v>0</v>
      </c>
      <c r="AJ765" s="132">
        <f>IFERROR(VLOOKUP(DATA[[#This Row],[COMBINADA]],#REF!,9,0),0)/COUNTIFS(DATA[COMBINADA],DATA[[#This Row],[COMBINADA]])</f>
        <v>0</v>
      </c>
      <c r="AK765" s="410">
        <f>IFERROR(VLOOKUP(DATA[[#This Row],[COMBINADA]],#REF!,6,0),0)</f>
        <v>0</v>
      </c>
      <c r="AL765" s="155">
        <f>IFERROR(VLOOKUP(DATA[[#This Row],[COMBINADA]],#REF!,9,0),0)/COUNTIFS(DATA[COMBINADA],DATA[[#This Row],[COMBINADA]])</f>
        <v>0</v>
      </c>
      <c r="AM765" s="159">
        <f>IFERROR(VLOOKUP(DATA[[#This Row],[COMBINADA]],#REF!,6,0),0)</f>
        <v>0</v>
      </c>
      <c r="AN765" s="155">
        <f>IFERROR(VLOOKUP(DATA[[#This Row],[COMBINADA]],#REF!,9,0),0)/COUNTIFS(DATA[COMBINADA],DATA[[#This Row],[COMBINADA]])</f>
        <v>0</v>
      </c>
      <c r="AO765" s="156">
        <f>IFERROR(VLOOKUP(DATA[[#This Row],[COMBINADA]],#REF!,6,0),0)</f>
        <v>0</v>
      </c>
      <c r="AP765" s="157">
        <f>IFERROR(VLOOKUP(DATA[[#This Row],[COMBINADA]],#REF!,9,0),0)/COUNTIFS(DATA[COMBINADA],DATA[[#This Row],[COMBINADA]])</f>
        <v>0</v>
      </c>
      <c r="AQ765" s="15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765" s="26" t="str">
        <f>IFERROR(IF(DATA[[#This Row],[estado_fact]]="FACTURADO",VLOOKUP(DATA[[#This Row],[SERIE2]]&amp;"-"&amp;DATA[[#This Row],[NUMERO]],#REF!,34,0),"NO CORRESPONDE"),"NO CORRESPONDE")</f>
        <v>NO CORRESPONDE</v>
      </c>
      <c r="AS765" s="22" t="str">
        <f>IF(DATA[[#This Row],[fecha_fs]]&gt;0,TEXT(DATA[[#This Row],[fecha_fs]],"Mmmm"),0)</f>
        <v>Junio</v>
      </c>
      <c r="AT765" s="22" t="str">
        <f>DATA[[#This Row],[SERIE2]]&amp;"-"&amp;DATA[[#This Row],[NUMERO]]</f>
        <v>FF01-137</v>
      </c>
      <c r="AU765" s="28">
        <f>DATA[[#This Row],[TOTAL]]*DATA[[#This Row],[T.C.]]</f>
        <v>442.85</v>
      </c>
      <c r="AV765" s="6">
        <f>DATA[[#This Row],[FECHA DE VAL.]]</f>
        <v>45834</v>
      </c>
      <c r="AW765" s="6">
        <f>DATA[[#This Row],[FECHA DE EMISION]]</f>
        <v>45835</v>
      </c>
      <c r="AX765" s="6">
        <f>DATA[[#This Row],[F1]]</f>
        <v>0</v>
      </c>
      <c r="AY765" s="20">
        <f>IF(AV765-DATA[[#This Row],[fecha_fs]]&lt;0,0,AV765-DATA[[#This Row],[fecha_fs]])</f>
        <v>17</v>
      </c>
      <c r="AZ765" s="20">
        <f t="shared" si="76"/>
        <v>1</v>
      </c>
      <c r="BA765" s="20">
        <f t="shared" si="77"/>
        <v>0</v>
      </c>
      <c r="BB765" s="195">
        <f>IFERROR(SUM(DATA[[#This Row],[fs_val_ttf]:[fact_pago_ttf]]),0)</f>
        <v>18</v>
      </c>
      <c r="BC765" s="185">
        <v>45838</v>
      </c>
      <c r="BD765" s="185">
        <v>45846</v>
      </c>
      <c r="BE765" s="185">
        <v>45848</v>
      </c>
      <c r="BF765" s="185">
        <v>45849</v>
      </c>
      <c r="BG765" s="20">
        <f>IFERROR(IF(BC765-DATA[[#This Row],[fecha_fs]]&lt;0,0,BC765-DATA[[#This Row],[fecha_fs]]),0)</f>
        <v>21</v>
      </c>
      <c r="BH765" s="20">
        <f t="shared" si="78"/>
        <v>8</v>
      </c>
      <c r="BI765" s="20">
        <f t="shared" si="79"/>
        <v>2</v>
      </c>
      <c r="BJ765" s="20">
        <f t="shared" si="80"/>
        <v>1</v>
      </c>
      <c r="BK765" s="218">
        <f>IFERROR(SUM(DATA[[#This Row],[fs_fd_ttd]:[fend_fenf_ttd]]),0)</f>
        <v>32</v>
      </c>
      <c r="BL765" s="20" t="str">
        <f>IF(DATA[[#This Row],[fecha_fs]]&gt;0,TEXT(DATA[[#This Row],[fecha_fs]],"YYYY"),0)</f>
        <v>2025</v>
      </c>
      <c r="BM765" s="221" t="b">
        <v>1</v>
      </c>
      <c r="BN765" s="278">
        <f>COUNTIF(DATA[[#This Row],[tiempo_td]], "&lt;=15")</f>
        <v>0</v>
      </c>
      <c r="BO765" s="222"/>
    </row>
    <row r="766" spans="1:67" ht="30.6" customHeight="1" x14ac:dyDescent="0.25">
      <c r="A766" s="4">
        <v>20100192064</v>
      </c>
      <c r="B766" s="5" t="s">
        <v>60</v>
      </c>
      <c r="C766" s="52" t="s">
        <v>65</v>
      </c>
      <c r="D766" s="4" t="s">
        <v>112</v>
      </c>
      <c r="E766" s="5" t="s">
        <v>1</v>
      </c>
      <c r="F766" s="24">
        <v>45818</v>
      </c>
      <c r="G766" s="7" t="s">
        <v>142</v>
      </c>
      <c r="H766" s="25">
        <f t="shared" si="81"/>
        <v>2</v>
      </c>
      <c r="I766" s="67">
        <v>1098</v>
      </c>
      <c r="J766" s="8" t="s">
        <v>115</v>
      </c>
      <c r="K766" s="9" t="s">
        <v>116</v>
      </c>
      <c r="L766" s="10" t="s">
        <v>117</v>
      </c>
      <c r="M766" s="11">
        <v>3120</v>
      </c>
      <c r="N766" s="12" t="s">
        <v>180</v>
      </c>
      <c r="O766" s="6">
        <v>45834</v>
      </c>
      <c r="P766" s="71">
        <v>3512</v>
      </c>
      <c r="Q766" s="14" t="s">
        <v>123</v>
      </c>
      <c r="R766" s="15">
        <f>(DATA[[#This Row],[cantidad_fs]]/1000)*(147+81.01)</f>
        <v>711.39120000000003</v>
      </c>
      <c r="S766" s="56">
        <v>103.6</v>
      </c>
      <c r="T766" s="15">
        <f>DATA[[#This Row],[C. DF]]+DATA[[#This Row],[C.OPE.]]</f>
        <v>814.99120000000005</v>
      </c>
      <c r="U766" s="15">
        <f>DATA[[#This Row],[SUB TOTAL]]*0.18</f>
        <v>146.69841600000001</v>
      </c>
      <c r="V766" s="15">
        <f>IFERROR(ROUND(DATA[[#This Row],[SUB TOTAL]]+DATA[[#This Row],[IGV]],2),0)</f>
        <v>961.69</v>
      </c>
      <c r="W766" s="16" t="str">
        <f>IF(DATA[[#This Row],[VALORIZACIÓN ]]="-","NO CORRESPONDE",IF(OR(A766=20558226979,A766=10470707866,A766=20111157058,A766=20100226902),"NO CORRESPONDE",IF(J766="Emitida",IF(P766&gt;0,"EMITIDA","PENDIENTE"),"NO CORRESPONDE")))</f>
        <v>EMITIDA</v>
      </c>
      <c r="X766" s="29"/>
      <c r="Y766" s="17" t="s">
        <v>118</v>
      </c>
      <c r="Z766" s="30">
        <v>45838</v>
      </c>
      <c r="AA766" s="10" t="s">
        <v>150</v>
      </c>
      <c r="AB766" s="19">
        <v>140</v>
      </c>
      <c r="AC766" s="20">
        <v>30</v>
      </c>
      <c r="AD766" s="18">
        <f>DATA[[#This Row],[FECHA DE EMISION]]+DATA[[#This Row],[CONDICION DE PAGO]]</f>
        <v>45868</v>
      </c>
      <c r="AE766" s="23" t="e">
        <f>IF(DATA[[#This Row],[MONEDA]]="USD",VLOOKUP(DATA[[#This Row],[COMBINADA]],#REF!,11,0),1)</f>
        <v>#REF!</v>
      </c>
      <c r="AF766" s="129" t="str">
        <f>IF(DATA[[#This Row],[SERIE2]]="-","NO CORRESPONDE",IF(W766="NO CORRESPONDE","NO CORRESPONDE",IF(Z766&gt;0,"FACTURADO","PENDIENTE")))</f>
        <v>FACTURADO</v>
      </c>
      <c r="AG766" s="133">
        <f>IFERROR(VLOOKUP(DATA[[#This Row],[COMBINADA]],#REF!,6,0),0)</f>
        <v>0</v>
      </c>
      <c r="AH766" s="125">
        <f>IFERROR(VLOOKUP(DATA[[#This Row],[COMBINADA]],#REF!,9,0),0)/COUNTIFS(DATA[COMBINADA],DATA[[#This Row],[COMBINADA]])</f>
        <v>0</v>
      </c>
      <c r="AI766" s="136">
        <f>IFERROR(VLOOKUP(DATA[[#This Row],[COMBINADA]],#REF!,6,0),0)</f>
        <v>0</v>
      </c>
      <c r="AJ766" s="132">
        <f>IFERROR(VLOOKUP(DATA[[#This Row],[COMBINADA]],#REF!,9,0),0)/COUNTIFS(DATA[COMBINADA],DATA[[#This Row],[COMBINADA]])</f>
        <v>0</v>
      </c>
      <c r="AK766" s="408">
        <f>IFERROR(VLOOKUP(DATA[[#This Row],[COMBINADA]],#REF!,6,0),0)</f>
        <v>0</v>
      </c>
      <c r="AL766" s="125">
        <f>IFERROR(VLOOKUP(DATA[[#This Row],[COMBINADA]],#REF!,9,0),0)/COUNTIFS(DATA[COMBINADA],DATA[[#This Row],[COMBINADA]])</f>
        <v>0</v>
      </c>
      <c r="AM766" s="133">
        <f>IFERROR(VLOOKUP(DATA[[#This Row],[COMBINADA]],#REF!,6,0),0)</f>
        <v>0</v>
      </c>
      <c r="AN766" s="125">
        <f>IFERROR(VLOOKUP(DATA[[#This Row],[COMBINADA]],#REF!,9,0),0)/COUNTIFS(DATA[COMBINADA],DATA[[#This Row],[COMBINADA]])</f>
        <v>0</v>
      </c>
      <c r="AO766" s="133">
        <f>IFERROR(VLOOKUP(DATA[[#This Row],[COMBINADA]],#REF!,6,0),0)</f>
        <v>0</v>
      </c>
      <c r="AP766" s="132">
        <f>IFERROR(VLOOKUP(DATA[[#This Row],[COMBINADA]],#REF!,9,0),0)/COUNTIFS(DATA[COMBINADA],DATA[[#This Row],[COMBINADA]])</f>
        <v>0</v>
      </c>
      <c r="AQ76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469.822</v>
      </c>
      <c r="AR766" s="153" t="str">
        <f>IFERROR(IF(DATA[[#This Row],[estado_fact]]="FACTURADO",VLOOKUP(DATA[[#This Row],[SERIE2]]&amp;"-"&amp;DATA[[#This Row],[NUMERO]],#REF!,34,0),"NO CORRESPONDE"),"NO CORRESPONDE")</f>
        <v>NO CORRESPONDE</v>
      </c>
      <c r="AS766" s="22" t="str">
        <f>IF(DATA[[#This Row],[fecha_fs]]&gt;0,TEXT(DATA[[#This Row],[fecha_fs]],"Mmmm"),0)</f>
        <v>Junio</v>
      </c>
      <c r="AT766" s="22" t="str">
        <f>DATA[[#This Row],[SERIE2]]&amp;"-"&amp;DATA[[#This Row],[NUMERO]]</f>
        <v>FF01-140</v>
      </c>
      <c r="AU766" s="28" t="e">
        <f>DATA[[#This Row],[TOTAL]]*DATA[[#This Row],[T.C.]]</f>
        <v>#REF!</v>
      </c>
      <c r="AV766" s="6">
        <f>DATA[[#This Row],[FECHA DE VAL.]]</f>
        <v>45834</v>
      </c>
      <c r="AW766" s="6">
        <f>DATA[[#This Row],[FECHA DE EMISION]]</f>
        <v>45838</v>
      </c>
      <c r="AX766" s="6">
        <f>DATA[[#This Row],[F1]]</f>
        <v>0</v>
      </c>
      <c r="AY766" s="20">
        <f>IF(AV766-DATA[[#This Row],[fecha_fs]]&lt;0,0,AV766-DATA[[#This Row],[fecha_fs]])</f>
        <v>16</v>
      </c>
      <c r="AZ766" s="20">
        <f t="shared" ref="AZ766:AZ831" si="82">IF(AW766-AV766&lt;0,0,AW766-AV766)</f>
        <v>4</v>
      </c>
      <c r="BA766" s="20">
        <f t="shared" ref="BA766:BA831" si="83">IF(AX766-AW766&lt;0,0,AX766-AW766)</f>
        <v>0</v>
      </c>
      <c r="BB766" s="195">
        <f>IFERROR(SUM(DATA[[#This Row],[fs_val_ttf]:[fact_pago_ttf]]),0)</f>
        <v>20</v>
      </c>
      <c r="BC766" s="184">
        <v>45818</v>
      </c>
      <c r="BD766" s="184">
        <v>45826</v>
      </c>
      <c r="BE766" s="184">
        <v>45827</v>
      </c>
      <c r="BF766" s="233">
        <v>45846</v>
      </c>
      <c r="BG766" s="20">
        <f>IFERROR(IF(BC766-DATA[[#This Row],[fecha_fs]]&lt;0,0,BC766-DATA[[#This Row],[fecha_fs]]),0)</f>
        <v>0</v>
      </c>
      <c r="BH766" s="20">
        <f t="shared" si="78"/>
        <v>8</v>
      </c>
      <c r="BI766" s="20">
        <f t="shared" si="79"/>
        <v>1</v>
      </c>
      <c r="BJ766" s="20">
        <f t="shared" si="80"/>
        <v>19</v>
      </c>
      <c r="BK766" s="218">
        <f>IFERROR(SUM(DATA[[#This Row],[fs_fd_ttd]:[fend_fenf_ttd]]),0)</f>
        <v>28</v>
      </c>
      <c r="BL766" s="20" t="str">
        <f>IF(DATA[[#This Row],[fecha_fs]]&gt;0,TEXT(DATA[[#This Row],[fecha_fs]],"YYYY"),0)</f>
        <v>2025</v>
      </c>
      <c r="BM766" s="221" t="b">
        <v>1</v>
      </c>
      <c r="BN766" s="278">
        <f>COUNTIF(DATA[[#This Row],[tiempo_td]], "&lt;=15")</f>
        <v>0</v>
      </c>
      <c r="BO766" s="222"/>
    </row>
    <row r="767" spans="1:67" ht="30.6" customHeight="1" x14ac:dyDescent="0.25">
      <c r="A767" s="4">
        <v>20100192064</v>
      </c>
      <c r="B767" s="5" t="s">
        <v>60</v>
      </c>
      <c r="C767" s="52" t="s">
        <v>64</v>
      </c>
      <c r="D767" s="4" t="s">
        <v>112</v>
      </c>
      <c r="E767" s="5" t="s">
        <v>1</v>
      </c>
      <c r="F767" s="24">
        <v>45818</v>
      </c>
      <c r="G767" s="7" t="s">
        <v>113</v>
      </c>
      <c r="H767" s="25">
        <f t="shared" si="81"/>
        <v>1</v>
      </c>
      <c r="I767" s="67">
        <v>4607</v>
      </c>
      <c r="J767" s="8" t="s">
        <v>115</v>
      </c>
      <c r="K767" s="9" t="s">
        <v>136</v>
      </c>
      <c r="L767" s="10" t="s">
        <v>137</v>
      </c>
      <c r="M767" s="11">
        <v>22</v>
      </c>
      <c r="N767" s="12" t="s">
        <v>129</v>
      </c>
      <c r="O767" s="6">
        <v>45834</v>
      </c>
      <c r="P767" s="71">
        <v>3509</v>
      </c>
      <c r="Q767" s="14" t="s">
        <v>123</v>
      </c>
      <c r="R767" s="15">
        <f>DATA[[#This Row],[cantidad_fs]]*33.34</f>
        <v>733.48</v>
      </c>
      <c r="S767" s="75"/>
      <c r="T767" s="15">
        <f>DATA[[#This Row],[C. DF]]+DATA[[#This Row],[C.OPE.]]</f>
        <v>733.48</v>
      </c>
      <c r="U767" s="15">
        <f>DATA[[#This Row],[SUB TOTAL]]*0.18</f>
        <v>132.0264</v>
      </c>
      <c r="V767" s="15">
        <f>IFERROR(ROUND(DATA[[#This Row],[SUB TOTAL]]+DATA[[#This Row],[IGV]],2),0)</f>
        <v>865.51</v>
      </c>
      <c r="W767" s="16" t="str">
        <f>IF(DATA[[#This Row],[VALORIZACIÓN ]]="-","NO CORRESPONDE",IF(OR(A767=20558226979,A767=10470707866,A767=20111157058,A767=20100226902),"NO CORRESPONDE",IF(J767="Emitida",IF(P767&gt;0,"EMITIDA","PENDIENTE"),"NO CORRESPONDE")))</f>
        <v>EMITIDA</v>
      </c>
      <c r="X767" s="29"/>
      <c r="Y767" s="17" t="s">
        <v>118</v>
      </c>
      <c r="Z767" s="30">
        <v>45835</v>
      </c>
      <c r="AA767" s="10" t="s">
        <v>150</v>
      </c>
      <c r="AB767" s="19">
        <v>134</v>
      </c>
      <c r="AC767" s="20">
        <v>30</v>
      </c>
      <c r="AD767" s="18">
        <f>DATA[[#This Row],[FECHA DE EMISION]]+DATA[[#This Row],[CONDICION DE PAGO]]</f>
        <v>45865</v>
      </c>
      <c r="AE767" s="23" t="e">
        <f>IF(DATA[[#This Row],[MONEDA]]="USD",VLOOKUP(DATA[[#This Row],[COMBINADA]],#REF!,11,0),1)</f>
        <v>#REF!</v>
      </c>
      <c r="AF767" s="129" t="str">
        <f>IF(DATA[[#This Row],[SERIE2]]="-","NO CORRESPONDE",IF(W767="NO CORRESPONDE","NO CORRESPONDE",IF(Z767&gt;0,"FACTURADO","PENDIENTE")))</f>
        <v>FACTURADO</v>
      </c>
      <c r="AG767" s="133">
        <f>IFERROR(VLOOKUP(DATA[[#This Row],[COMBINADA]],#REF!,6,0),0)</f>
        <v>0</v>
      </c>
      <c r="AH767" s="125">
        <f>IFERROR(VLOOKUP(DATA[[#This Row],[COMBINADA]],#REF!,9,0),0)/COUNTIFS(DATA[COMBINADA],DATA[[#This Row],[COMBINADA]])</f>
        <v>0</v>
      </c>
      <c r="AI767" s="136">
        <f>IFERROR(VLOOKUP(DATA[[#This Row],[COMBINADA]],#REF!,6,0),0)</f>
        <v>0</v>
      </c>
      <c r="AJ767" s="132">
        <f>IFERROR(VLOOKUP(DATA[[#This Row],[COMBINADA]],#REF!,9,0),0)/COUNTIFS(DATA[COMBINADA],DATA[[#This Row],[COMBINADA]])</f>
        <v>0</v>
      </c>
      <c r="AK767" s="408">
        <f>IFERROR(VLOOKUP(DATA[[#This Row],[COMBINADA]],#REF!,6,0),0)</f>
        <v>0</v>
      </c>
      <c r="AL767" s="125">
        <f>IFERROR(VLOOKUP(DATA[[#This Row],[COMBINADA]],#REF!,9,0),0)/COUNTIFS(DATA[COMBINADA],DATA[[#This Row],[COMBINADA]])</f>
        <v>0</v>
      </c>
      <c r="AM767" s="147">
        <f>IFERROR(VLOOKUP(DATA[[#This Row],[COMBINADA]],#REF!,6,0),0)</f>
        <v>0</v>
      </c>
      <c r="AN767" s="125">
        <f>IFERROR(VLOOKUP(DATA[[#This Row],[COMBINADA]],#REF!,9,0),0)/COUNTIFS(DATA[COMBINADA],DATA[[#This Row],[COMBINADA]])</f>
        <v>0</v>
      </c>
      <c r="AO767" s="27">
        <f>IFERROR(VLOOKUP(DATA[[#This Row],[COMBINADA]],#REF!,6,0),0)</f>
        <v>0</v>
      </c>
      <c r="AP767" s="132">
        <f>IFERROR(VLOOKUP(DATA[[#This Row],[COMBINADA]],#REF!,9,0),0)/COUNTIFS(DATA[COMBINADA],DATA[[#This Row],[COMBINADA]])</f>
        <v>0</v>
      </c>
      <c r="AQ76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574.13187500000015</v>
      </c>
      <c r="AR767" s="26" t="str">
        <f>IFERROR(IF(DATA[[#This Row],[estado_fact]]="FACTURADO",VLOOKUP(DATA[[#This Row],[SERIE2]]&amp;"-"&amp;DATA[[#This Row],[NUMERO]],#REF!,34,0),"NO CORRESPONDE"),"NO CORRESPONDE")</f>
        <v>NO CORRESPONDE</v>
      </c>
      <c r="AS767" s="22" t="str">
        <f>IF(DATA[[#This Row],[fecha_fs]]&gt;0,TEXT(DATA[[#This Row],[fecha_fs]],"Mmmm"),0)</f>
        <v>Junio</v>
      </c>
      <c r="AT767" s="22" t="str">
        <f>DATA[[#This Row],[SERIE2]]&amp;"-"&amp;DATA[[#This Row],[NUMERO]]</f>
        <v>FF01-134</v>
      </c>
      <c r="AU767" s="28" t="e">
        <f>DATA[[#This Row],[TOTAL]]*DATA[[#This Row],[T.C.]]</f>
        <v>#REF!</v>
      </c>
      <c r="AV767" s="6">
        <f>DATA[[#This Row],[FECHA DE VAL.]]</f>
        <v>45834</v>
      </c>
      <c r="AW767" s="6">
        <f>DATA[[#This Row],[FECHA DE EMISION]]</f>
        <v>45835</v>
      </c>
      <c r="AX767" s="6">
        <f>DATA[[#This Row],[F1]]</f>
        <v>0</v>
      </c>
      <c r="AY767" s="20">
        <f>IF(AV767-DATA[[#This Row],[fecha_fs]]&lt;0,0,AV767-DATA[[#This Row],[fecha_fs]])</f>
        <v>16</v>
      </c>
      <c r="AZ767" s="20">
        <f t="shared" si="82"/>
        <v>1</v>
      </c>
      <c r="BA767" s="20">
        <f t="shared" si="83"/>
        <v>0</v>
      </c>
      <c r="BB767" s="195">
        <f>IFERROR(SUM(DATA[[#This Row],[fs_val_ttf]:[fact_pago_ttf]]),0)</f>
        <v>17</v>
      </c>
      <c r="BC767" s="185">
        <v>45818</v>
      </c>
      <c r="BD767" s="233">
        <v>45845</v>
      </c>
      <c r="BE767" s="233">
        <v>45845</v>
      </c>
      <c r="BF767" s="185">
        <v>45863</v>
      </c>
      <c r="BG767" s="20">
        <f>IFERROR(IF(BC767-DATA[[#This Row],[fecha_fs]]&lt;0,0,BC767-DATA[[#This Row],[fecha_fs]]),0)</f>
        <v>0</v>
      </c>
      <c r="BH767" s="20">
        <f t="shared" si="78"/>
        <v>27</v>
      </c>
      <c r="BI767" s="20">
        <f t="shared" si="79"/>
        <v>0</v>
      </c>
      <c r="BJ767" s="20">
        <f t="shared" si="80"/>
        <v>18</v>
      </c>
      <c r="BK767" s="218">
        <f>IFERROR(SUM(DATA[[#This Row],[fs_fd_ttd]:[fend_fenf_ttd]]),0)</f>
        <v>45</v>
      </c>
      <c r="BL767" s="20" t="str">
        <f>IF(DATA[[#This Row],[fecha_fs]]&gt;0,TEXT(DATA[[#This Row],[fecha_fs]],"YYYY"),0)</f>
        <v>2025</v>
      </c>
      <c r="BM767" s="221" t="b">
        <v>1</v>
      </c>
      <c r="BN767" s="278">
        <f>COUNTIF(DATA[[#This Row],[tiempo_td]], "&lt;=15")</f>
        <v>0</v>
      </c>
      <c r="BO767" s="222"/>
    </row>
    <row r="768" spans="1:67" ht="30.6" customHeight="1" x14ac:dyDescent="0.25">
      <c r="A768" s="4">
        <v>20100055237</v>
      </c>
      <c r="B768" s="5" t="s">
        <v>21</v>
      </c>
      <c r="C768" s="52" t="s">
        <v>138</v>
      </c>
      <c r="D768" s="4" t="s">
        <v>139</v>
      </c>
      <c r="E768" s="5" t="s">
        <v>23</v>
      </c>
      <c r="F768" s="24">
        <v>45818</v>
      </c>
      <c r="G768" s="7" t="s">
        <v>113</v>
      </c>
      <c r="H768" s="25">
        <f t="shared" si="81"/>
        <v>1</v>
      </c>
      <c r="I768" s="67">
        <v>4608</v>
      </c>
      <c r="J768" s="8" t="s">
        <v>115</v>
      </c>
      <c r="K768" s="9" t="s">
        <v>121</v>
      </c>
      <c r="L768" s="10" t="s">
        <v>117</v>
      </c>
      <c r="M768" s="11">
        <v>110</v>
      </c>
      <c r="N768" s="12" t="s">
        <v>167</v>
      </c>
      <c r="O768" s="6">
        <v>45835</v>
      </c>
      <c r="P768" s="54">
        <v>3525</v>
      </c>
      <c r="Q768" s="14" t="s">
        <v>85</v>
      </c>
      <c r="R768" s="15"/>
      <c r="S768" s="56">
        <v>297.92</v>
      </c>
      <c r="T768" s="15">
        <f>DATA[[#This Row],[C. DF]]+DATA[[#This Row],[C.OPE.]]</f>
        <v>297.92</v>
      </c>
      <c r="U768" s="15">
        <f>DATA[[#This Row],[SUB TOTAL]]*0.18</f>
        <v>53.625599999999999</v>
      </c>
      <c r="V768" s="15">
        <f>IFERROR(ROUND(DATA[[#This Row],[SUB TOTAL]]+DATA[[#This Row],[IGV]],2),0)</f>
        <v>351.55</v>
      </c>
      <c r="W768" s="16" t="str">
        <f>IF(DATA[[#This Row],[VALORIZACIÓN ]]="-","NO CORRESPONDE",IF(OR(A768=20558226979,A768=10470707866,A768=20111157058,A768=20100226902),"NO CORRESPONDE",IF(J768="Emitida",IF(P768&gt;0,"EMITIDA","PENDIENTE"),"NO CORRESPONDE")))</f>
        <v>EMITIDA</v>
      </c>
      <c r="X768" s="29"/>
      <c r="Y768" s="17" t="s">
        <v>118</v>
      </c>
      <c r="Z768" s="30">
        <v>45848</v>
      </c>
      <c r="AA768" s="10" t="s">
        <v>150</v>
      </c>
      <c r="AB768" s="19">
        <v>169</v>
      </c>
      <c r="AC768" s="20">
        <v>30</v>
      </c>
      <c r="AD768" s="18">
        <f>DATA[[#This Row],[FECHA DE EMISION]]+DATA[[#This Row],[CONDICION DE PAGO]]</f>
        <v>45878</v>
      </c>
      <c r="AE768" s="23">
        <f>IF(DATA[[#This Row],[MONEDA]]="USD",VLOOKUP(DATA[[#This Row],[COMBINADA]],#REF!,11,0),1)</f>
        <v>1</v>
      </c>
      <c r="AF768" s="129" t="str">
        <f>IF(DATA[[#This Row],[SERIE2]]="-","NO CORRESPONDE",IF(W768="NO CORRESPONDE","NO CORRESPONDE",IF(Z768&gt;0,"FACTURADO","PENDIENTE")))</f>
        <v>FACTURADO</v>
      </c>
      <c r="AG768" s="133">
        <f>IFERROR(VLOOKUP(DATA[[#This Row],[COMBINADA]],#REF!,6,0),0)</f>
        <v>0</v>
      </c>
      <c r="AH768" s="125">
        <f>IFERROR(VLOOKUP(DATA[[#This Row],[COMBINADA]],#REF!,9,0),0)/COUNTIFS(DATA[COMBINADA],DATA[[#This Row],[COMBINADA]])</f>
        <v>0</v>
      </c>
      <c r="AI768" s="136">
        <f>IFERROR(VLOOKUP(DATA[[#This Row],[COMBINADA]],#REF!,6,0),0)</f>
        <v>0</v>
      </c>
      <c r="AJ768" s="132">
        <f>IFERROR(VLOOKUP(DATA[[#This Row],[COMBINADA]],#REF!,9,0),0)/COUNTIFS(DATA[COMBINADA],DATA[[#This Row],[COMBINADA]])</f>
        <v>0</v>
      </c>
      <c r="AK768" s="408">
        <f>IFERROR(VLOOKUP(DATA[[#This Row],[COMBINADA]],#REF!,6,0),0)</f>
        <v>0</v>
      </c>
      <c r="AL768" s="125">
        <f>IFERROR(VLOOKUP(DATA[[#This Row],[COMBINADA]],#REF!,9,0),0)/COUNTIFS(DATA[COMBINADA],DATA[[#This Row],[COMBINADA]])</f>
        <v>0</v>
      </c>
      <c r="AM768" s="147">
        <f>IFERROR(VLOOKUP(DATA[[#This Row],[COMBINADA]],#REF!,6,0),0)</f>
        <v>0</v>
      </c>
      <c r="AN768" s="125">
        <f>IFERROR(VLOOKUP(DATA[[#This Row],[COMBINADA]],#REF!,9,0),0)/COUNTIFS(DATA[COMBINADA],DATA[[#This Row],[COMBINADA]])</f>
        <v>0</v>
      </c>
      <c r="AO768" s="27">
        <f>IFERROR(VLOOKUP(DATA[[#This Row],[COMBINADA]],#REF!,6,0),0)</f>
        <v>0</v>
      </c>
      <c r="AP768" s="132">
        <f>IFERROR(VLOOKUP(DATA[[#This Row],[COMBINADA]],#REF!,9,0),0)/COUNTIFS(DATA[COMBINADA],DATA[[#This Row],[COMBINADA]])</f>
        <v>0</v>
      </c>
      <c r="AQ76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v>
      </c>
      <c r="AR768" s="26" t="str">
        <f>IFERROR(IF(DATA[[#This Row],[estado_fact]]="FACTURADO",VLOOKUP(DATA[[#This Row],[SERIE2]]&amp;"-"&amp;DATA[[#This Row],[NUMERO]],#REF!,34,0),"NO CORRESPONDE"),"NO CORRESPONDE")</f>
        <v>NO CORRESPONDE</v>
      </c>
      <c r="AS768" s="22" t="str">
        <f>IF(DATA[[#This Row],[fecha_fs]]&gt;0,TEXT(DATA[[#This Row],[fecha_fs]],"Mmmm"),0)</f>
        <v>Junio</v>
      </c>
      <c r="AT768" s="22" t="str">
        <f>DATA[[#This Row],[SERIE2]]&amp;"-"&amp;DATA[[#This Row],[NUMERO]]</f>
        <v>FF01-169</v>
      </c>
      <c r="AU768" s="28">
        <f>DATA[[#This Row],[TOTAL]]*DATA[[#This Row],[T.C.]]</f>
        <v>351.55</v>
      </c>
      <c r="AV768" s="6">
        <f>DATA[[#This Row],[FECHA DE VAL.]]</f>
        <v>45835</v>
      </c>
      <c r="AW768" s="6">
        <f>DATA[[#This Row],[FECHA DE EMISION]]</f>
        <v>45848</v>
      </c>
      <c r="AX768" s="6">
        <f>DATA[[#This Row],[F1]]</f>
        <v>0</v>
      </c>
      <c r="AY768" s="20">
        <f>IF(AV768-DATA[[#This Row],[fecha_fs]]&lt;0,0,AV768-DATA[[#This Row],[fecha_fs]])</f>
        <v>17</v>
      </c>
      <c r="AZ768" s="20">
        <f t="shared" si="82"/>
        <v>13</v>
      </c>
      <c r="BA768" s="20">
        <f t="shared" si="83"/>
        <v>0</v>
      </c>
      <c r="BB768" s="195">
        <f>IFERROR(SUM(DATA[[#This Row],[fs_val_ttf]:[fact_pago_ttf]]),0)</f>
        <v>30</v>
      </c>
      <c r="BC768" s="184">
        <v>45818</v>
      </c>
      <c r="BD768" s="184">
        <v>45818</v>
      </c>
      <c r="BE768" s="184">
        <v>45839</v>
      </c>
      <c r="BF768" s="233">
        <v>45839</v>
      </c>
      <c r="BG768" s="20">
        <f>IFERROR(IF(BC768-DATA[[#This Row],[fecha_fs]]&lt;0,0,BC768-DATA[[#This Row],[fecha_fs]]),0)</f>
        <v>0</v>
      </c>
      <c r="BH768" s="20">
        <f t="shared" si="78"/>
        <v>0</v>
      </c>
      <c r="BI768" s="20">
        <f t="shared" si="79"/>
        <v>21</v>
      </c>
      <c r="BJ768" s="20">
        <f t="shared" si="80"/>
        <v>0</v>
      </c>
      <c r="BK768" s="218">
        <f>IFERROR(SUM(DATA[[#This Row],[fs_fd_ttd]:[fend_fenf_ttd]]),0)</f>
        <v>21</v>
      </c>
      <c r="BL768" s="20" t="str">
        <f>IF(DATA[[#This Row],[fecha_fs]]&gt;0,TEXT(DATA[[#This Row],[fecha_fs]],"YYYY"),0)</f>
        <v>2025</v>
      </c>
      <c r="BM768" s="221" t="b">
        <v>1</v>
      </c>
      <c r="BN768" s="278">
        <f>COUNTIF(DATA[[#This Row],[tiempo_td]], "&lt;=15")</f>
        <v>0</v>
      </c>
      <c r="BO768" s="222"/>
    </row>
    <row r="769" spans="1:67" ht="30.6" customHeight="1" x14ac:dyDescent="0.25">
      <c r="A769" s="4">
        <v>20100192064</v>
      </c>
      <c r="B769" s="5" t="s">
        <v>60</v>
      </c>
      <c r="C769" s="52" t="s">
        <v>64</v>
      </c>
      <c r="D769" s="4" t="s">
        <v>112</v>
      </c>
      <c r="E769" s="5" t="s">
        <v>1</v>
      </c>
      <c r="F769" s="24">
        <v>45818</v>
      </c>
      <c r="G769" s="7" t="s">
        <v>113</v>
      </c>
      <c r="H769" s="25">
        <f t="shared" si="81"/>
        <v>1</v>
      </c>
      <c r="I769" s="67">
        <v>4609</v>
      </c>
      <c r="J769" s="8" t="s">
        <v>115</v>
      </c>
      <c r="K769" s="9" t="s">
        <v>136</v>
      </c>
      <c r="L769" s="10" t="s">
        <v>137</v>
      </c>
      <c r="M769" s="11">
        <v>22</v>
      </c>
      <c r="N769" s="12" t="s">
        <v>129</v>
      </c>
      <c r="O769" s="6">
        <v>45834</v>
      </c>
      <c r="P769" s="71">
        <v>3509</v>
      </c>
      <c r="Q769" s="14" t="s">
        <v>123</v>
      </c>
      <c r="R769" s="15">
        <f>DATA[[#This Row],[cantidad_fs]]*33.34</f>
        <v>733.48</v>
      </c>
      <c r="S769" s="75"/>
      <c r="T769" s="15">
        <f>DATA[[#This Row],[C. DF]]+DATA[[#This Row],[C.OPE.]]</f>
        <v>733.48</v>
      </c>
      <c r="U769" s="15">
        <f>DATA[[#This Row],[SUB TOTAL]]*0.18</f>
        <v>132.0264</v>
      </c>
      <c r="V769" s="15">
        <f>IFERROR(ROUND(DATA[[#This Row],[SUB TOTAL]]+DATA[[#This Row],[IGV]],2),0)</f>
        <v>865.51</v>
      </c>
      <c r="W769" s="16" t="str">
        <f>IF(DATA[[#This Row],[VALORIZACIÓN ]]="-","NO CORRESPONDE",IF(OR(A769=20558226979,A769=10470707866,A769=20111157058,A769=20100226902),"NO CORRESPONDE",IF(J769="Emitida",IF(P769&gt;0,"EMITIDA","PENDIENTE"),"NO CORRESPONDE")))</f>
        <v>EMITIDA</v>
      </c>
      <c r="X769" s="29"/>
      <c r="Y769" s="17" t="s">
        <v>118</v>
      </c>
      <c r="Z769" s="30">
        <v>45835</v>
      </c>
      <c r="AA769" s="10" t="s">
        <v>150</v>
      </c>
      <c r="AB769" s="19">
        <v>134</v>
      </c>
      <c r="AC769" s="20">
        <v>30</v>
      </c>
      <c r="AD769" s="18">
        <f>DATA[[#This Row],[FECHA DE EMISION]]+DATA[[#This Row],[CONDICION DE PAGO]]</f>
        <v>45865</v>
      </c>
      <c r="AE769" s="23" t="e">
        <f>IF(DATA[[#This Row],[MONEDA]]="USD",VLOOKUP(DATA[[#This Row],[COMBINADA]],#REF!,11,0),1)</f>
        <v>#REF!</v>
      </c>
      <c r="AF769" s="129" t="str">
        <f>IF(DATA[[#This Row],[SERIE2]]="-","NO CORRESPONDE",IF(W769="NO CORRESPONDE","NO CORRESPONDE",IF(Z769&gt;0,"FACTURADO","PENDIENTE")))</f>
        <v>FACTURADO</v>
      </c>
      <c r="AG769" s="133">
        <f>IFERROR(VLOOKUP(DATA[[#This Row],[COMBINADA]],#REF!,6,0),0)</f>
        <v>0</v>
      </c>
      <c r="AH769" s="125">
        <f>IFERROR(VLOOKUP(DATA[[#This Row],[COMBINADA]],#REF!,9,0),0)/COUNTIFS(DATA[COMBINADA],DATA[[#This Row],[COMBINADA]])</f>
        <v>0</v>
      </c>
      <c r="AI769" s="136">
        <f>IFERROR(VLOOKUP(DATA[[#This Row],[COMBINADA]],#REF!,6,0),0)</f>
        <v>0</v>
      </c>
      <c r="AJ769" s="132">
        <f>IFERROR(VLOOKUP(DATA[[#This Row],[COMBINADA]],#REF!,9,0),0)/COUNTIFS(DATA[COMBINADA],DATA[[#This Row],[COMBINADA]])</f>
        <v>0</v>
      </c>
      <c r="AK769" s="408">
        <f>IFERROR(VLOOKUP(DATA[[#This Row],[COMBINADA]],#REF!,6,0),0)</f>
        <v>0</v>
      </c>
      <c r="AL769" s="125">
        <f>IFERROR(VLOOKUP(DATA[[#This Row],[COMBINADA]],#REF!,9,0),0)/COUNTIFS(DATA[COMBINADA],DATA[[#This Row],[COMBINADA]])</f>
        <v>0</v>
      </c>
      <c r="AM769" s="147">
        <f>IFERROR(VLOOKUP(DATA[[#This Row],[COMBINADA]],#REF!,6,0),0)</f>
        <v>0</v>
      </c>
      <c r="AN769" s="125">
        <f>IFERROR(VLOOKUP(DATA[[#This Row],[COMBINADA]],#REF!,9,0),0)/COUNTIFS(DATA[COMBINADA],DATA[[#This Row],[COMBINADA]])</f>
        <v>0</v>
      </c>
      <c r="AO769" s="27">
        <f>IFERROR(VLOOKUP(DATA[[#This Row],[COMBINADA]],#REF!,6,0),0)</f>
        <v>0</v>
      </c>
      <c r="AP769" s="132">
        <f>IFERROR(VLOOKUP(DATA[[#This Row],[COMBINADA]],#REF!,9,0),0)/COUNTIFS(DATA[COMBINADA],DATA[[#This Row],[COMBINADA]])</f>
        <v>0</v>
      </c>
      <c r="AQ76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574.13187500000015</v>
      </c>
      <c r="AR769" s="26" t="str">
        <f>IFERROR(IF(DATA[[#This Row],[estado_fact]]="FACTURADO",VLOOKUP(DATA[[#This Row],[SERIE2]]&amp;"-"&amp;DATA[[#This Row],[NUMERO]],#REF!,34,0),"NO CORRESPONDE"),"NO CORRESPONDE")</f>
        <v>NO CORRESPONDE</v>
      </c>
      <c r="AS769" s="22" t="str">
        <f>IF(DATA[[#This Row],[fecha_fs]]&gt;0,TEXT(DATA[[#This Row],[fecha_fs]],"Mmmm"),0)</f>
        <v>Junio</v>
      </c>
      <c r="AT769" s="22" t="str">
        <f>DATA[[#This Row],[SERIE2]]&amp;"-"&amp;DATA[[#This Row],[NUMERO]]</f>
        <v>FF01-134</v>
      </c>
      <c r="AU769" s="28" t="e">
        <f>DATA[[#This Row],[TOTAL]]*DATA[[#This Row],[T.C.]]</f>
        <v>#REF!</v>
      </c>
      <c r="AV769" s="6">
        <f>DATA[[#This Row],[FECHA DE VAL.]]</f>
        <v>45834</v>
      </c>
      <c r="AW769" s="6">
        <f>DATA[[#This Row],[FECHA DE EMISION]]</f>
        <v>45835</v>
      </c>
      <c r="AX769" s="6">
        <f>DATA[[#This Row],[F1]]</f>
        <v>0</v>
      </c>
      <c r="AY769" s="20">
        <f>IF(AV769-DATA[[#This Row],[fecha_fs]]&lt;0,0,AV769-DATA[[#This Row],[fecha_fs]])</f>
        <v>16</v>
      </c>
      <c r="AZ769" s="20">
        <f t="shared" si="82"/>
        <v>1</v>
      </c>
      <c r="BA769" s="20">
        <f t="shared" si="83"/>
        <v>0</v>
      </c>
      <c r="BB769" s="195">
        <f>IFERROR(SUM(DATA[[#This Row],[fs_val_ttf]:[fact_pago_ttf]]),0)</f>
        <v>17</v>
      </c>
      <c r="BC769" s="185">
        <v>45818</v>
      </c>
      <c r="BD769" s="233">
        <v>45845</v>
      </c>
      <c r="BE769" s="233">
        <v>45845</v>
      </c>
      <c r="BF769" s="185">
        <v>45863</v>
      </c>
      <c r="BG769" s="20">
        <f>IFERROR(IF(BC769-DATA[[#This Row],[fecha_fs]]&lt;0,0,BC769-DATA[[#This Row],[fecha_fs]]),0)</f>
        <v>0</v>
      </c>
      <c r="BH769" s="20">
        <f t="shared" si="78"/>
        <v>27</v>
      </c>
      <c r="BI769" s="20">
        <f t="shared" si="79"/>
        <v>0</v>
      </c>
      <c r="BJ769" s="20">
        <f t="shared" si="80"/>
        <v>18</v>
      </c>
      <c r="BK769" s="218">
        <f>IFERROR(SUM(DATA[[#This Row],[fs_fd_ttd]:[fend_fenf_ttd]]),0)</f>
        <v>45</v>
      </c>
      <c r="BL769" s="20" t="str">
        <f>IF(DATA[[#This Row],[fecha_fs]]&gt;0,TEXT(DATA[[#This Row],[fecha_fs]],"YYYY"),0)</f>
        <v>2025</v>
      </c>
      <c r="BM769" s="221" t="b">
        <v>1</v>
      </c>
      <c r="BN769" s="278">
        <f>COUNTIF(DATA[[#This Row],[tiempo_td]], "&lt;=15")</f>
        <v>0</v>
      </c>
      <c r="BO769" s="222"/>
    </row>
    <row r="770" spans="1:67" ht="30.6" customHeight="1" x14ac:dyDescent="0.25">
      <c r="A770" s="4">
        <v>20141637941</v>
      </c>
      <c r="B770" s="5" t="s">
        <v>79</v>
      </c>
      <c r="C770" s="52" t="s">
        <v>18</v>
      </c>
      <c r="D770" s="4" t="s">
        <v>120</v>
      </c>
      <c r="E770" s="5" t="s">
        <v>3</v>
      </c>
      <c r="F770" s="24">
        <v>45819</v>
      </c>
      <c r="G770" s="7" t="s">
        <v>113</v>
      </c>
      <c r="H770" s="25">
        <f t="shared" si="81"/>
        <v>1</v>
      </c>
      <c r="I770" s="67">
        <v>4610</v>
      </c>
      <c r="J770" s="8" t="s">
        <v>115</v>
      </c>
      <c r="K770" s="9" t="s">
        <v>121</v>
      </c>
      <c r="L770" s="10" t="s">
        <v>117</v>
      </c>
      <c r="M770" s="11">
        <v>1010</v>
      </c>
      <c r="N770" s="12" t="s">
        <v>125</v>
      </c>
      <c r="O770" s="6">
        <v>45821</v>
      </c>
      <c r="P770" s="110">
        <v>3493</v>
      </c>
      <c r="Q770" s="14" t="s">
        <v>85</v>
      </c>
      <c r="R770" s="15">
        <f>70+(DATA[[#This Row],[cantidad_fs]]-1000)*0.1</f>
        <v>71</v>
      </c>
      <c r="S770" s="56">
        <v>517</v>
      </c>
      <c r="T770" s="15">
        <f>DATA[[#This Row],[C. DF]]+DATA[[#This Row],[C.OPE.]]</f>
        <v>588</v>
      </c>
      <c r="U770" s="15">
        <f>DATA[[#This Row],[SUB TOTAL]]*0.18</f>
        <v>105.83999999999999</v>
      </c>
      <c r="V770" s="15">
        <f>IFERROR(ROUND(DATA[[#This Row],[SUB TOTAL]]+DATA[[#This Row],[IGV]],2),0)</f>
        <v>693.84</v>
      </c>
      <c r="W770" s="16" t="str">
        <f>IF(DATA[[#This Row],[VALORIZACIÓN ]]="-","NO CORRESPONDE",IF(OR(A770=20558226979,A770=10470707866,A770=20111157058,A770=20100226902),"NO CORRESPONDE",IF(J770="Emitida",IF(P770&gt;0,"EMITIDA","PENDIENTE"),"NO CORRESPONDE")))</f>
        <v>EMITIDA</v>
      </c>
      <c r="X770" s="29"/>
      <c r="Y770" s="17" t="s">
        <v>118</v>
      </c>
      <c r="Z770" s="30">
        <v>45825</v>
      </c>
      <c r="AA770" s="10" t="s">
        <v>150</v>
      </c>
      <c r="AB770" s="19">
        <v>124</v>
      </c>
      <c r="AC770" s="20">
        <v>30</v>
      </c>
      <c r="AD770" s="18">
        <f>DATA[[#This Row],[FECHA DE EMISION]]+DATA[[#This Row],[CONDICION DE PAGO]]</f>
        <v>45855</v>
      </c>
      <c r="AE770" s="23">
        <f>IF(DATA[[#This Row],[MONEDA]]="USD",VLOOKUP(DATA[[#This Row],[COMBINADA]],#REF!,11,0),1)</f>
        <v>1</v>
      </c>
      <c r="AF770" s="129" t="str">
        <f>IF(DATA[[#This Row],[SERIE2]]="-","NO CORRESPONDE",IF(W770="NO CORRESPONDE","NO CORRESPONDE",IF(Z770&gt;0,"FACTURADO","PENDIENTE")))</f>
        <v>FACTURADO</v>
      </c>
      <c r="AG770" s="133">
        <f>IFERROR(VLOOKUP(DATA[[#This Row],[COMBINADA]],#REF!,6,0),0)</f>
        <v>0</v>
      </c>
      <c r="AH770" s="125">
        <f>IFERROR(VLOOKUP(DATA[[#This Row],[COMBINADA]],#REF!,9,0),0)/COUNTIFS(DATA[COMBINADA],DATA[[#This Row],[COMBINADA]])</f>
        <v>0</v>
      </c>
      <c r="AI770" s="136">
        <f>IFERROR(VLOOKUP(DATA[[#This Row],[COMBINADA]],#REF!,6,0),0)</f>
        <v>0</v>
      </c>
      <c r="AJ770" s="132">
        <f>IFERROR(VLOOKUP(DATA[[#This Row],[COMBINADA]],#REF!,9,0),0)/COUNTIFS(DATA[COMBINADA],DATA[[#This Row],[COMBINADA]])</f>
        <v>0</v>
      </c>
      <c r="AK770" s="408">
        <f>IFERROR(VLOOKUP(DATA[[#This Row],[COMBINADA]],#REF!,6,0),0)</f>
        <v>0</v>
      </c>
      <c r="AL770" s="125">
        <f>IFERROR(VLOOKUP(DATA[[#This Row],[COMBINADA]],#REF!,9,0),0)/COUNTIFS(DATA[COMBINADA],DATA[[#This Row],[COMBINADA]])</f>
        <v>0</v>
      </c>
      <c r="AM770" s="147">
        <f>IFERROR(VLOOKUP(DATA[[#This Row],[COMBINADA]],#REF!,6,0),0)</f>
        <v>0</v>
      </c>
      <c r="AN770" s="125">
        <f>IFERROR(VLOOKUP(DATA[[#This Row],[COMBINADA]],#REF!,9,0),0)/COUNTIFS(DATA[COMBINADA],DATA[[#This Row],[COMBINADA]])</f>
        <v>0</v>
      </c>
      <c r="AO770" s="27">
        <f>IFERROR(VLOOKUP(DATA[[#This Row],[COMBINADA]],#REF!,6,0),0)</f>
        <v>0</v>
      </c>
      <c r="AP770" s="132">
        <f>IFERROR(VLOOKUP(DATA[[#This Row],[COMBINADA]],#REF!,9,0),0)/COUNTIFS(DATA[COMBINADA],DATA[[#This Row],[COMBINADA]])</f>
        <v>0</v>
      </c>
      <c r="AQ77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708.78666666666675</v>
      </c>
      <c r="AR770" s="26" t="str">
        <f>IFERROR(IF(DATA[[#This Row],[estado_fact]]="FACTURADO",VLOOKUP(DATA[[#This Row],[SERIE2]]&amp;"-"&amp;DATA[[#This Row],[NUMERO]],#REF!,34,0),"NO CORRESPONDE"),"NO CORRESPONDE")</f>
        <v>NO CORRESPONDE</v>
      </c>
      <c r="AS770" s="22" t="str">
        <f>IF(DATA[[#This Row],[fecha_fs]]&gt;0,TEXT(DATA[[#This Row],[fecha_fs]],"Mmmm"),0)</f>
        <v>Junio</v>
      </c>
      <c r="AT770" s="22" t="str">
        <f>DATA[[#This Row],[SERIE2]]&amp;"-"&amp;DATA[[#This Row],[NUMERO]]</f>
        <v>FF01-124</v>
      </c>
      <c r="AU770" s="28">
        <f>DATA[[#This Row],[TOTAL]]*DATA[[#This Row],[T.C.]]</f>
        <v>693.84</v>
      </c>
      <c r="AV770" s="6">
        <f>DATA[[#This Row],[FECHA DE VAL.]]</f>
        <v>45821</v>
      </c>
      <c r="AW770" s="6">
        <f>DATA[[#This Row],[FECHA DE EMISION]]</f>
        <v>45825</v>
      </c>
      <c r="AX770" s="6">
        <f>DATA[[#This Row],[F1]]</f>
        <v>0</v>
      </c>
      <c r="AY770" s="20">
        <f>IF(AV770-DATA[[#This Row],[fecha_fs]]&lt;0,0,AV770-DATA[[#This Row],[fecha_fs]])</f>
        <v>2</v>
      </c>
      <c r="AZ770" s="20">
        <f t="shared" si="82"/>
        <v>4</v>
      </c>
      <c r="BA770" s="20">
        <f t="shared" si="83"/>
        <v>0</v>
      </c>
      <c r="BB770" s="195">
        <f>IFERROR(SUM(DATA[[#This Row],[fs_val_ttf]:[fact_pago_ttf]]),0)</f>
        <v>6</v>
      </c>
      <c r="BC770" s="184">
        <v>45819</v>
      </c>
      <c r="BD770" s="184">
        <v>45819</v>
      </c>
      <c r="BE770" s="184">
        <v>45825</v>
      </c>
      <c r="BF770" s="233">
        <v>45825</v>
      </c>
      <c r="BG770" s="20">
        <f>IFERROR(IF(BC770-DATA[[#This Row],[fecha_fs]]&lt;0,0,BC770-DATA[[#This Row],[fecha_fs]]),0)</f>
        <v>0</v>
      </c>
      <c r="BH770" s="20">
        <f t="shared" si="78"/>
        <v>0</v>
      </c>
      <c r="BI770" s="20">
        <f t="shared" si="79"/>
        <v>6</v>
      </c>
      <c r="BJ770" s="20">
        <f t="shared" si="80"/>
        <v>0</v>
      </c>
      <c r="BK770" s="218">
        <f>IFERROR(SUM(DATA[[#This Row],[fs_fd_ttd]:[fend_fenf_ttd]]),0)</f>
        <v>6</v>
      </c>
      <c r="BL770" s="20" t="str">
        <f>IF(DATA[[#This Row],[fecha_fs]]&gt;0,TEXT(DATA[[#This Row],[fecha_fs]],"YYYY"),0)</f>
        <v>2025</v>
      </c>
      <c r="BM770" s="221" t="b">
        <v>1</v>
      </c>
      <c r="BN770" s="278">
        <f>COUNTIF(DATA[[#This Row],[tiempo_td]], "&lt;=15")</f>
        <v>1</v>
      </c>
      <c r="BO770" s="222"/>
    </row>
    <row r="771" spans="1:67" ht="30.6" customHeight="1" x14ac:dyDescent="0.25">
      <c r="A771" s="4">
        <v>20604002576</v>
      </c>
      <c r="B771" s="5" t="s">
        <v>297</v>
      </c>
      <c r="C771" s="52" t="s">
        <v>147</v>
      </c>
      <c r="D771" s="4" t="s">
        <v>112</v>
      </c>
      <c r="E771" s="5" t="s">
        <v>1</v>
      </c>
      <c r="F771" s="87">
        <v>45818</v>
      </c>
      <c r="G771" s="88" t="s">
        <v>113</v>
      </c>
      <c r="H771" s="89">
        <f t="shared" si="81"/>
        <v>1</v>
      </c>
      <c r="I771" s="67">
        <v>4611</v>
      </c>
      <c r="J771" s="90" t="s">
        <v>115</v>
      </c>
      <c r="K771" s="91" t="s">
        <v>116</v>
      </c>
      <c r="L771" s="92" t="s">
        <v>117</v>
      </c>
      <c r="M771" s="93">
        <v>720</v>
      </c>
      <c r="N771" s="12" t="s">
        <v>167</v>
      </c>
      <c r="O771" s="6">
        <v>45819</v>
      </c>
      <c r="P771" s="13">
        <v>3491</v>
      </c>
      <c r="Q771" s="14" t="s">
        <v>85</v>
      </c>
      <c r="R771" s="15">
        <f>DATA[[#This Row],[cantidad_fs]]*0.97</f>
        <v>698.4</v>
      </c>
      <c r="S771" s="56">
        <v>890</v>
      </c>
      <c r="T771" s="15">
        <f>DATA[[#This Row],[C. DF]]+DATA[[#This Row],[C.OPE.]]</f>
        <v>1588.4</v>
      </c>
      <c r="U771" s="15">
        <f>DATA[[#This Row],[SUB TOTAL]]*0.18</f>
        <v>285.91199999999998</v>
      </c>
      <c r="V771" s="292">
        <f>IFERROR(ROUND(DATA[[#This Row],[SUB TOTAL]]+DATA[[#This Row],[IGV]],2),0)</f>
        <v>1874.31</v>
      </c>
      <c r="W771" s="16" t="str">
        <f>IF(DATA[[#This Row],[VALORIZACIÓN ]]="-","NO CORRESPONDE",IF(OR(A771=20558226979,A771=10470707866,A771=20111157058,A771=20100226902),"NO CORRESPONDE",IF(J771="Emitida",IF(P771&gt;0,"EMITIDA","PENDIENTE"),"NO CORRESPONDE")))</f>
        <v>EMITIDA</v>
      </c>
      <c r="X771" s="29"/>
      <c r="Y771" s="17" t="s">
        <v>232</v>
      </c>
      <c r="Z771" s="30"/>
      <c r="AA771" s="10"/>
      <c r="AB771" s="19"/>
      <c r="AC771" s="20"/>
      <c r="AD771" s="18">
        <f>DATA[[#This Row],[FECHA DE EMISION]]+DATA[[#This Row],[CONDICION DE PAGO]]</f>
        <v>0</v>
      </c>
      <c r="AE771" s="23">
        <f>IF(DATA[[#This Row],[MONEDA]]="USD",VLOOKUP(DATA[[#This Row],[COMBINADA]],#REF!,11,0),1)</f>
        <v>1</v>
      </c>
      <c r="AF771" s="129" t="str">
        <f>IF(DATA[[#This Row],[SERIE2]]="-","NO CORRESPONDE",IF(W771="NO CORRESPONDE","NO CORRESPONDE",IF(Z771&gt;0,"FACTURADO","PENDIENTE")))</f>
        <v>PENDIENTE</v>
      </c>
      <c r="AG771" s="133">
        <f>IFERROR(VLOOKUP(DATA[[#This Row],[COMBINADA]],#REF!,6,0),0)</f>
        <v>0</v>
      </c>
      <c r="AH771" s="125">
        <f>IFERROR(VLOOKUP(DATA[[#This Row],[COMBINADA]],#REF!,9,0),0)/COUNTIFS(DATA[COMBINADA],DATA[[#This Row],[COMBINADA]])</f>
        <v>0</v>
      </c>
      <c r="AI771" s="136">
        <f>IFERROR(VLOOKUP(DATA[[#This Row],[COMBINADA]],#REF!,6,0),0)</f>
        <v>0</v>
      </c>
      <c r="AJ771" s="132">
        <f>IFERROR(VLOOKUP(DATA[[#This Row],[COMBINADA]],#REF!,9,0),0)/COUNTIFS(DATA[COMBINADA],DATA[[#This Row],[COMBINADA]])</f>
        <v>0</v>
      </c>
      <c r="AK771" s="408">
        <f>IFERROR(VLOOKUP(DATA[[#This Row],[COMBINADA]],#REF!,6,0),0)</f>
        <v>0</v>
      </c>
      <c r="AL771" s="125">
        <f>IFERROR(VLOOKUP(DATA[[#This Row],[COMBINADA]],#REF!,9,0),0)/COUNTIFS(DATA[COMBINADA],DATA[[#This Row],[COMBINADA]])</f>
        <v>0</v>
      </c>
      <c r="AM771" s="147">
        <f>IFERROR(VLOOKUP(DATA[[#This Row],[COMBINADA]],#REF!,6,0),0)</f>
        <v>0</v>
      </c>
      <c r="AN771" s="125">
        <f>IFERROR(VLOOKUP(DATA[[#This Row],[COMBINADA]],#REF!,9,0),0)/COUNTIFS(DATA[COMBINADA],DATA[[#This Row],[COMBINADA]])</f>
        <v>0</v>
      </c>
      <c r="AO771" s="27">
        <f>IFERROR(VLOOKUP(DATA[[#This Row],[COMBINADA]],#REF!,6,0),0)</f>
        <v>0</v>
      </c>
      <c r="AP771" s="132">
        <f>IFERROR(VLOOKUP(DATA[[#This Row],[COMBINADA]],#REF!,9,0),0)/COUNTIFS(DATA[COMBINADA],DATA[[#This Row],[COMBINADA]])</f>
        <v>0</v>
      </c>
      <c r="AQ77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771" s="26" t="str">
        <f>IFERROR(IF(DATA[[#This Row],[estado_fact]]="FACTURADO",VLOOKUP(DATA[[#This Row],[SERIE2]]&amp;"-"&amp;DATA[[#This Row],[NUMERO]],#REF!,34,0),"NO CORRESPONDE"),"NO CORRESPONDE")</f>
        <v>NO CORRESPONDE</v>
      </c>
      <c r="AS771" s="22" t="str">
        <f>IF(DATA[[#This Row],[fecha_fs]]&gt;0,TEXT(DATA[[#This Row],[fecha_fs]],"Mmmm"),0)</f>
        <v>Junio</v>
      </c>
      <c r="AT771" s="22" t="str">
        <f>DATA[[#This Row],[SERIE2]]&amp;"-"&amp;DATA[[#This Row],[NUMERO]]</f>
        <v>-</v>
      </c>
      <c r="AU771" s="28">
        <f>DATA[[#This Row],[TOTAL]]*DATA[[#This Row],[T.C.]]</f>
        <v>1874.31</v>
      </c>
      <c r="AV771" s="6">
        <f>DATA[[#This Row],[FECHA DE VAL.]]</f>
        <v>45819</v>
      </c>
      <c r="AW771" s="6">
        <f>DATA[[#This Row],[FECHA DE EMISION]]</f>
        <v>0</v>
      </c>
      <c r="AX771" s="6">
        <f>DATA[[#This Row],[F1]]</f>
        <v>0</v>
      </c>
      <c r="AY771" s="20">
        <f>IF(AV771-DATA[[#This Row],[fecha_fs]]&lt;0,0,AV771-DATA[[#This Row],[fecha_fs]])</f>
        <v>1</v>
      </c>
      <c r="AZ771" s="20">
        <f t="shared" si="82"/>
        <v>0</v>
      </c>
      <c r="BA771" s="20">
        <f t="shared" si="83"/>
        <v>0</v>
      </c>
      <c r="BB771" s="195">
        <f>IFERROR(SUM(DATA[[#This Row],[fs_val_ttf]:[fact_pago_ttf]]),0)</f>
        <v>1</v>
      </c>
      <c r="BC771" s="184">
        <v>45821</v>
      </c>
      <c r="BD771" s="184">
        <v>45826</v>
      </c>
      <c r="BE771" s="184">
        <v>45827</v>
      </c>
      <c r="BF771" s="233">
        <v>45860</v>
      </c>
      <c r="BG771" s="20">
        <f>IFERROR(IF(BC771-DATA[[#This Row],[fecha_fs]]&lt;0,0,BC771-DATA[[#This Row],[fecha_fs]]),0)</f>
        <v>3</v>
      </c>
      <c r="BH771" s="20">
        <f t="shared" si="78"/>
        <v>5</v>
      </c>
      <c r="BI771" s="20">
        <f t="shared" si="79"/>
        <v>1</v>
      </c>
      <c r="BJ771" s="20">
        <f t="shared" si="80"/>
        <v>33</v>
      </c>
      <c r="BK771" s="218">
        <f>IFERROR(SUM(DATA[[#This Row],[fs_fd_ttd]:[fend_fenf_ttd]]),0)</f>
        <v>42</v>
      </c>
      <c r="BL771" s="20" t="str">
        <f>IF(DATA[[#This Row],[fecha_fs]]&gt;0,TEXT(DATA[[#This Row],[fecha_fs]],"YYYY"),0)</f>
        <v>2025</v>
      </c>
      <c r="BM771" s="221" t="b">
        <v>1</v>
      </c>
      <c r="BN771" s="278">
        <f>COUNTIF(DATA[[#This Row],[tiempo_td]], "&lt;=15")</f>
        <v>0</v>
      </c>
      <c r="BO771" s="222"/>
    </row>
    <row r="772" spans="1:67" ht="30.6" customHeight="1" x14ac:dyDescent="0.25">
      <c r="A772" s="4">
        <v>20100192064</v>
      </c>
      <c r="B772" s="5" t="s">
        <v>60</v>
      </c>
      <c r="C772" s="52" t="s">
        <v>59</v>
      </c>
      <c r="D772" s="4" t="s">
        <v>120</v>
      </c>
      <c r="E772" s="5" t="s">
        <v>3</v>
      </c>
      <c r="F772" s="24">
        <v>45818</v>
      </c>
      <c r="G772" s="7" t="s">
        <v>113</v>
      </c>
      <c r="H772" s="25">
        <f t="shared" si="81"/>
        <v>1</v>
      </c>
      <c r="I772" s="67">
        <v>4612</v>
      </c>
      <c r="J772" s="8" t="s">
        <v>115</v>
      </c>
      <c r="K772" s="9" t="s">
        <v>121</v>
      </c>
      <c r="L772" s="10" t="s">
        <v>117</v>
      </c>
      <c r="M772" s="11">
        <v>720</v>
      </c>
      <c r="N772" s="12" t="s">
        <v>125</v>
      </c>
      <c r="O772" s="6">
        <v>45834</v>
      </c>
      <c r="P772" s="71">
        <v>3504</v>
      </c>
      <c r="Q772" s="14" t="s">
        <v>123</v>
      </c>
      <c r="R772" s="15">
        <f>(DATA[[#This Row],[cantidad_fs]]/1000)*(47+169.83)</f>
        <v>156.11760000000001</v>
      </c>
      <c r="S772" s="15">
        <v>67</v>
      </c>
      <c r="T772" s="15">
        <f>DATA[[#This Row],[C. DF]]+DATA[[#This Row],[C.OPE.]]</f>
        <v>223.11760000000001</v>
      </c>
      <c r="U772" s="15">
        <f>DATA[[#This Row],[SUB TOTAL]]*0.18</f>
        <v>40.161168000000004</v>
      </c>
      <c r="V772" s="15">
        <f>IFERROR(ROUND(DATA[[#This Row],[SUB TOTAL]]+DATA[[#This Row],[IGV]],2),0)</f>
        <v>263.27999999999997</v>
      </c>
      <c r="W772" s="16" t="str">
        <f>IF(DATA[[#This Row],[VALORIZACIÓN ]]="-","NO CORRESPONDE",IF(OR(A772=20558226979,A772=10470707866,A772=20111157058,A772=20100226902),"NO CORRESPONDE",IF(J772="Emitida",IF(P772&gt;0,"EMITIDA","PENDIENTE"),"NO CORRESPONDE")))</f>
        <v>EMITIDA</v>
      </c>
      <c r="X772" s="29"/>
      <c r="Y772" s="17" t="s">
        <v>118</v>
      </c>
      <c r="Z772" s="30">
        <v>45835</v>
      </c>
      <c r="AA772" s="10" t="s">
        <v>150</v>
      </c>
      <c r="AB772" s="19">
        <v>134</v>
      </c>
      <c r="AC772" s="20">
        <v>30</v>
      </c>
      <c r="AD772" s="18">
        <f>DATA[[#This Row],[FECHA DE EMISION]]+DATA[[#This Row],[CONDICION DE PAGO]]</f>
        <v>45865</v>
      </c>
      <c r="AE772" s="23" t="e">
        <f>IF(DATA[[#This Row],[MONEDA]]="USD",VLOOKUP(DATA[[#This Row],[COMBINADA]],#REF!,11,0),1)</f>
        <v>#REF!</v>
      </c>
      <c r="AF772" s="129" t="str">
        <f>IF(DATA[[#This Row],[SERIE2]]="-","NO CORRESPONDE",IF(W772="NO CORRESPONDE","NO CORRESPONDE",IF(Z772&gt;0,"FACTURADO","PENDIENTE")))</f>
        <v>FACTURADO</v>
      </c>
      <c r="AG772" s="133">
        <f>IFERROR(VLOOKUP(DATA[[#This Row],[COMBINADA]],#REF!,6,0),0)</f>
        <v>0</v>
      </c>
      <c r="AH772" s="125">
        <f>IFERROR(VLOOKUP(DATA[[#This Row],[COMBINADA]],#REF!,9,0),0)/COUNTIFS(DATA[COMBINADA],DATA[[#This Row],[COMBINADA]])</f>
        <v>0</v>
      </c>
      <c r="AI772" s="136">
        <f>IFERROR(VLOOKUP(DATA[[#This Row],[COMBINADA]],#REF!,6,0),0)</f>
        <v>0</v>
      </c>
      <c r="AJ772" s="132">
        <f>IFERROR(VLOOKUP(DATA[[#This Row],[COMBINADA]],#REF!,9,0),0)/COUNTIFS(DATA[COMBINADA],DATA[[#This Row],[COMBINADA]])</f>
        <v>0</v>
      </c>
      <c r="AK772" s="408">
        <f>IFERROR(VLOOKUP(DATA[[#This Row],[COMBINADA]],#REF!,6,0),0)</f>
        <v>0</v>
      </c>
      <c r="AL772" s="125">
        <f>IFERROR(VLOOKUP(DATA[[#This Row],[COMBINADA]],#REF!,9,0),0)/COUNTIFS(DATA[COMBINADA],DATA[[#This Row],[COMBINADA]])</f>
        <v>0</v>
      </c>
      <c r="AM772" s="147">
        <f>IFERROR(VLOOKUP(DATA[[#This Row],[COMBINADA]],#REF!,6,0),0)</f>
        <v>0</v>
      </c>
      <c r="AN772" s="125">
        <f>IFERROR(VLOOKUP(DATA[[#This Row],[COMBINADA]],#REF!,9,0),0)/COUNTIFS(DATA[COMBINADA],DATA[[#This Row],[COMBINADA]])</f>
        <v>0</v>
      </c>
      <c r="AO772" s="27">
        <f>IFERROR(VLOOKUP(DATA[[#This Row],[COMBINADA]],#REF!,6,0),0)</f>
        <v>0</v>
      </c>
      <c r="AP772" s="132">
        <f>IFERROR(VLOOKUP(DATA[[#This Row],[COMBINADA]],#REF!,9,0),0)/COUNTIFS(DATA[COMBINADA],DATA[[#This Row],[COMBINADA]])</f>
        <v>0</v>
      </c>
      <c r="AQ77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574.13187500000015</v>
      </c>
      <c r="AR772" s="26" t="str">
        <f>IFERROR(IF(DATA[[#This Row],[estado_fact]]="FACTURADO",VLOOKUP(DATA[[#This Row],[SERIE2]]&amp;"-"&amp;DATA[[#This Row],[NUMERO]],#REF!,34,0),"NO CORRESPONDE"),"NO CORRESPONDE")</f>
        <v>NO CORRESPONDE</v>
      </c>
      <c r="AS772" s="22" t="str">
        <f>IF(DATA[[#This Row],[fecha_fs]]&gt;0,TEXT(DATA[[#This Row],[fecha_fs]],"Mmmm"),0)</f>
        <v>Junio</v>
      </c>
      <c r="AT772" s="22" t="str">
        <f>DATA[[#This Row],[SERIE2]]&amp;"-"&amp;DATA[[#This Row],[NUMERO]]</f>
        <v>FF01-134</v>
      </c>
      <c r="AU772" s="28" t="e">
        <f>DATA[[#This Row],[TOTAL]]*DATA[[#This Row],[T.C.]]</f>
        <v>#REF!</v>
      </c>
      <c r="AV772" s="6">
        <f>DATA[[#This Row],[FECHA DE VAL.]]</f>
        <v>45834</v>
      </c>
      <c r="AW772" s="6">
        <f>DATA[[#This Row],[FECHA DE EMISION]]</f>
        <v>45835</v>
      </c>
      <c r="AX772" s="6">
        <f>DATA[[#This Row],[F1]]</f>
        <v>0</v>
      </c>
      <c r="AY772" s="20">
        <f>IF(AV772-DATA[[#This Row],[fecha_fs]]&lt;0,0,AV772-DATA[[#This Row],[fecha_fs]])</f>
        <v>16</v>
      </c>
      <c r="AZ772" s="20">
        <f t="shared" si="82"/>
        <v>1</v>
      </c>
      <c r="BA772" s="20">
        <f t="shared" si="83"/>
        <v>0</v>
      </c>
      <c r="BB772" s="195">
        <f>IFERROR(SUM(DATA[[#This Row],[fs_val_ttf]:[fact_pago_ttf]]),0)</f>
        <v>17</v>
      </c>
      <c r="BC772" s="185">
        <v>45845</v>
      </c>
      <c r="BD772" s="185">
        <v>45852</v>
      </c>
      <c r="BE772" s="185">
        <v>45852</v>
      </c>
      <c r="BF772" s="185">
        <v>45863</v>
      </c>
      <c r="BG772" s="20">
        <f>IFERROR(IF(BC772-DATA[[#This Row],[fecha_fs]]&lt;0,0,BC772-DATA[[#This Row],[fecha_fs]]),0)</f>
        <v>27</v>
      </c>
      <c r="BH772" s="171">
        <f t="shared" si="78"/>
        <v>7</v>
      </c>
      <c r="BI772" s="171">
        <f t="shared" si="79"/>
        <v>0</v>
      </c>
      <c r="BJ772" s="171">
        <f t="shared" si="80"/>
        <v>11</v>
      </c>
      <c r="BK772" s="219">
        <f>IFERROR(SUM(DATA[[#This Row],[fs_fd_ttd]:[fend_fenf_ttd]]),0)</f>
        <v>45</v>
      </c>
      <c r="BL772" s="20" t="str">
        <f>IF(DATA[[#This Row],[fecha_fs]]&gt;0,TEXT(DATA[[#This Row],[fecha_fs]],"YYYY"),0)</f>
        <v>2025</v>
      </c>
      <c r="BM772" s="221" t="b">
        <v>1</v>
      </c>
      <c r="BN772" s="278">
        <f>COUNTIF(DATA[[#This Row],[tiempo_td]], "&lt;=15")</f>
        <v>0</v>
      </c>
      <c r="BO772" s="222"/>
    </row>
    <row r="773" spans="1:67" ht="30.6" customHeight="1" x14ac:dyDescent="0.25">
      <c r="A773" s="4">
        <v>20523573226</v>
      </c>
      <c r="B773" s="5" t="s">
        <v>31</v>
      </c>
      <c r="C773" s="52" t="s">
        <v>20</v>
      </c>
      <c r="D773" s="4" t="s">
        <v>120</v>
      </c>
      <c r="E773" s="5" t="s">
        <v>3</v>
      </c>
      <c r="F773" s="24">
        <v>45818</v>
      </c>
      <c r="G773" s="7" t="s">
        <v>113</v>
      </c>
      <c r="H773" s="25">
        <f t="shared" si="81"/>
        <v>1</v>
      </c>
      <c r="I773" s="67">
        <v>4613</v>
      </c>
      <c r="J773" s="8" t="s">
        <v>115</v>
      </c>
      <c r="K773" s="9" t="s">
        <v>121</v>
      </c>
      <c r="L773" s="10" t="s">
        <v>117</v>
      </c>
      <c r="M773" s="11">
        <v>2070</v>
      </c>
      <c r="N773" s="12" t="s">
        <v>135</v>
      </c>
      <c r="O773" s="6">
        <v>45819</v>
      </c>
      <c r="P773" s="13">
        <v>3492</v>
      </c>
      <c r="Q773" s="14" t="s">
        <v>85</v>
      </c>
      <c r="R773" s="15">
        <f>DATA[[#This Row],[cantidad_fs]]*0.64</f>
        <v>1324.8</v>
      </c>
      <c r="S773" s="15">
        <v>2100</v>
      </c>
      <c r="T773" s="15">
        <f>DATA[[#This Row],[C. DF]]+DATA[[#This Row],[C.OPE.]]</f>
        <v>3424.8</v>
      </c>
      <c r="U773" s="15">
        <f>DATA[[#This Row],[SUB TOTAL]]*0.18</f>
        <v>616.46400000000006</v>
      </c>
      <c r="V773" s="15">
        <f>IFERROR(ROUND(DATA[[#This Row],[SUB TOTAL]]+DATA[[#This Row],[IGV]],2),0)</f>
        <v>4041.26</v>
      </c>
      <c r="W773" s="16" t="str">
        <f>IF(DATA[[#This Row],[VALORIZACIÓN ]]="-","NO CORRESPONDE",IF(OR(A773=20558226979,A773=10470707866,A773=20111157058,A773=20100226902),"NO CORRESPONDE",IF(J773="Emitida",IF(P773&gt;0,"EMITIDA","PENDIENTE"),"NO CORRESPONDE")))</f>
        <v>EMITIDA</v>
      </c>
      <c r="X773" s="29"/>
      <c r="Y773" s="17" t="s">
        <v>118</v>
      </c>
      <c r="Z773" s="30">
        <v>45898</v>
      </c>
      <c r="AA773" s="10" t="s">
        <v>150</v>
      </c>
      <c r="AB773" s="19">
        <v>227</v>
      </c>
      <c r="AC773" s="20">
        <v>15</v>
      </c>
      <c r="AD773" s="18">
        <f>DATA[[#This Row],[FECHA DE EMISION]]+DATA[[#This Row],[CONDICION DE PAGO]]</f>
        <v>45913</v>
      </c>
      <c r="AE773" s="23">
        <f>IF(DATA[[#This Row],[MONEDA]]="USD",VLOOKUP(DATA[[#This Row],[COMBINADA]],#REF!,11,0),1)</f>
        <v>1</v>
      </c>
      <c r="AF773" s="129" t="str">
        <f>IF(DATA[[#This Row],[SERIE2]]="-","NO CORRESPONDE",IF(W773="NO CORRESPONDE","NO CORRESPONDE",IF(Z773&gt;0,"FACTURADO","PENDIENTE")))</f>
        <v>FACTURADO</v>
      </c>
      <c r="AG773" s="133">
        <f>IFERROR(VLOOKUP(DATA[[#This Row],[COMBINADA]],#REF!,6,0),0)</f>
        <v>0</v>
      </c>
      <c r="AH773" s="125">
        <f>IFERROR(VLOOKUP(DATA[[#This Row],[COMBINADA]],#REF!,9,0),0)/COUNTIFS(DATA[COMBINADA],DATA[[#This Row],[COMBINADA]])</f>
        <v>0</v>
      </c>
      <c r="AI773" s="136">
        <f>IFERROR(VLOOKUP(DATA[[#This Row],[COMBINADA]],#REF!,6,0),0)</f>
        <v>0</v>
      </c>
      <c r="AJ773" s="132">
        <f>IFERROR(VLOOKUP(DATA[[#This Row],[COMBINADA]],#REF!,9,0),0)/COUNTIFS(DATA[COMBINADA],DATA[[#This Row],[COMBINADA]])</f>
        <v>0</v>
      </c>
      <c r="AK773" s="408">
        <f>IFERROR(VLOOKUP(DATA[[#This Row],[COMBINADA]],#REF!,6,0),0)</f>
        <v>0</v>
      </c>
      <c r="AL773" s="125">
        <f>IFERROR(VLOOKUP(DATA[[#This Row],[COMBINADA]],#REF!,9,0),0)/COUNTIFS(DATA[COMBINADA],DATA[[#This Row],[COMBINADA]])</f>
        <v>0</v>
      </c>
      <c r="AM773" s="147">
        <f>IFERROR(VLOOKUP(DATA[[#This Row],[COMBINADA]],#REF!,6,0),0)</f>
        <v>0</v>
      </c>
      <c r="AN773" s="125">
        <f>IFERROR(VLOOKUP(DATA[[#This Row],[COMBINADA]],#REF!,9,0),0)/COUNTIFS(DATA[COMBINADA],DATA[[#This Row],[COMBINADA]])</f>
        <v>0</v>
      </c>
      <c r="AO773" s="27">
        <f>IFERROR(VLOOKUP(DATA[[#This Row],[COMBINADA]],#REF!,6,0),0)</f>
        <v>0</v>
      </c>
      <c r="AP773" s="132">
        <f>IFERROR(VLOOKUP(DATA[[#This Row],[COMBINADA]],#REF!,9,0),0)/COUNTIFS(DATA[COMBINADA],DATA[[#This Row],[COMBINADA]])</f>
        <v>0</v>
      </c>
      <c r="AQ77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4041.26</v>
      </c>
      <c r="AR773" s="26" t="str">
        <f>IFERROR(IF(DATA[[#This Row],[estado_fact]]="FACTURADO",VLOOKUP(DATA[[#This Row],[SERIE2]]&amp;"-"&amp;DATA[[#This Row],[NUMERO]],#REF!,34,0),"NO CORRESPONDE"),"NO CORRESPONDE")</f>
        <v>NO CORRESPONDE</v>
      </c>
      <c r="AS773" s="22" t="str">
        <f>IF(DATA[[#This Row],[fecha_fs]]&gt;0,TEXT(DATA[[#This Row],[fecha_fs]],"Mmmm"),0)</f>
        <v>Junio</v>
      </c>
      <c r="AT773" s="22" t="str">
        <f>DATA[[#This Row],[SERIE2]]&amp;"-"&amp;DATA[[#This Row],[NUMERO]]</f>
        <v>FF01-227</v>
      </c>
      <c r="AU773" s="28">
        <f>DATA[[#This Row],[TOTAL]]*DATA[[#This Row],[T.C.]]</f>
        <v>4041.26</v>
      </c>
      <c r="AV773" s="6">
        <f>DATA[[#This Row],[FECHA DE VAL.]]</f>
        <v>45819</v>
      </c>
      <c r="AW773" s="6">
        <f>DATA[[#This Row],[FECHA DE EMISION]]</f>
        <v>45898</v>
      </c>
      <c r="AX773" s="6">
        <f>DATA[[#This Row],[F1]]</f>
        <v>0</v>
      </c>
      <c r="AY773" s="20">
        <f>IF(AV773-DATA[[#This Row],[fecha_fs]]&lt;0,0,AV773-DATA[[#This Row],[fecha_fs]])</f>
        <v>1</v>
      </c>
      <c r="AZ773" s="20">
        <f t="shared" si="82"/>
        <v>79</v>
      </c>
      <c r="BA773" s="20">
        <f t="shared" si="83"/>
        <v>0</v>
      </c>
      <c r="BB773" s="195">
        <f>IFERROR(SUM(DATA[[#This Row],[fs_val_ttf]:[fact_pago_ttf]]),0)</f>
        <v>80</v>
      </c>
      <c r="BC773" s="185">
        <v>45818</v>
      </c>
      <c r="BD773" s="185">
        <v>45828</v>
      </c>
      <c r="BE773" s="185">
        <v>45828</v>
      </c>
      <c r="BF773" s="233">
        <v>45848</v>
      </c>
      <c r="BG773" s="20">
        <f>IFERROR(IF(BC773-DATA[[#This Row],[fecha_fs]]&lt;0,0,BC773-DATA[[#This Row],[fecha_fs]]),0)</f>
        <v>0</v>
      </c>
      <c r="BH773" s="20">
        <f t="shared" si="78"/>
        <v>10</v>
      </c>
      <c r="BI773" s="20">
        <f t="shared" si="79"/>
        <v>0</v>
      </c>
      <c r="BJ773" s="20">
        <f t="shared" si="80"/>
        <v>20</v>
      </c>
      <c r="BK773" s="189">
        <f>IFERROR(SUM(DATA[[#This Row],[fs_fd_ttd]:[fend_fenf_ttd]]),0)</f>
        <v>30</v>
      </c>
      <c r="BL773" s="20" t="str">
        <f>IF(DATA[[#This Row],[fecha_fs]]&gt;0,TEXT(DATA[[#This Row],[fecha_fs]],"YYYY"),0)</f>
        <v>2025</v>
      </c>
      <c r="BM773" s="221" t="b">
        <v>1</v>
      </c>
      <c r="BN773" s="278">
        <f>COUNTIF(DATA[[#This Row],[tiempo_td]], "&lt;=15")</f>
        <v>0</v>
      </c>
      <c r="BO773" s="222"/>
    </row>
    <row r="774" spans="1:67" ht="30.6" customHeight="1" x14ac:dyDescent="0.25">
      <c r="A774" s="4">
        <v>20100192064</v>
      </c>
      <c r="B774" s="5" t="s">
        <v>60</v>
      </c>
      <c r="C774" s="52" t="s">
        <v>43</v>
      </c>
      <c r="D774" s="4" t="s">
        <v>112</v>
      </c>
      <c r="E774" s="5" t="s">
        <v>1</v>
      </c>
      <c r="F774" s="24">
        <v>45819</v>
      </c>
      <c r="G774" s="7" t="s">
        <v>113</v>
      </c>
      <c r="H774" s="25">
        <f t="shared" si="81"/>
        <v>1</v>
      </c>
      <c r="I774" s="67">
        <v>4614</v>
      </c>
      <c r="J774" s="8" t="s">
        <v>115</v>
      </c>
      <c r="K774" s="9" t="s">
        <v>116</v>
      </c>
      <c r="L774" s="10" t="s">
        <v>117</v>
      </c>
      <c r="M774" s="11">
        <v>1000</v>
      </c>
      <c r="N774" s="12" t="s">
        <v>132</v>
      </c>
      <c r="O774" s="6">
        <v>45834</v>
      </c>
      <c r="P774" s="71">
        <v>3506</v>
      </c>
      <c r="Q774" s="14" t="s">
        <v>123</v>
      </c>
      <c r="R774" s="15">
        <f>(DATA[[#This Row],[cantidad_fs]]/1000)*(143+175.34)</f>
        <v>318.34000000000003</v>
      </c>
      <c r="S774" s="56">
        <v>137</v>
      </c>
      <c r="T774" s="15">
        <f>DATA[[#This Row],[C. DF]]+DATA[[#This Row],[C.OPE.]]</f>
        <v>455.34000000000003</v>
      </c>
      <c r="U774" s="15">
        <f>DATA[[#This Row],[SUB TOTAL]]*0.18</f>
        <v>81.961200000000005</v>
      </c>
      <c r="V774" s="15">
        <f>IFERROR(ROUND(DATA[[#This Row],[SUB TOTAL]]+DATA[[#This Row],[IGV]],2),0)</f>
        <v>537.29999999999995</v>
      </c>
      <c r="W774" s="16" t="str">
        <f>IF(DATA[[#This Row],[VALORIZACIÓN ]]="-","NO CORRESPONDE",IF(OR(A774=20558226979,A774=10470707866,A774=20111157058,A774=20100226902),"NO CORRESPONDE",IF(J774="Emitida",IF(P774&gt;0,"EMITIDA","PENDIENTE"),"NO CORRESPONDE")))</f>
        <v>EMITIDA</v>
      </c>
      <c r="X774" s="29"/>
      <c r="Y774" s="17" t="s">
        <v>118</v>
      </c>
      <c r="Z774" s="30">
        <v>45835</v>
      </c>
      <c r="AA774" s="10" t="s">
        <v>150</v>
      </c>
      <c r="AB774" s="19">
        <v>134</v>
      </c>
      <c r="AC774" s="20">
        <v>30</v>
      </c>
      <c r="AD774" s="18">
        <f>DATA[[#This Row],[FECHA DE EMISION]]+DATA[[#This Row],[CONDICION DE PAGO]]</f>
        <v>45865</v>
      </c>
      <c r="AE774" s="23" t="e">
        <f>IF(DATA[[#This Row],[MONEDA]]="USD",VLOOKUP(DATA[[#This Row],[COMBINADA]],#REF!,11,0),1)</f>
        <v>#REF!</v>
      </c>
      <c r="AF774" s="129" t="str">
        <f>IF(DATA[[#This Row],[SERIE2]]="-","NO CORRESPONDE",IF(W774="NO CORRESPONDE","NO CORRESPONDE",IF(Z774&gt;0,"FACTURADO","PENDIENTE")))</f>
        <v>FACTURADO</v>
      </c>
      <c r="AG774" s="133">
        <f>IFERROR(VLOOKUP(DATA[[#This Row],[COMBINADA]],#REF!,6,0),0)</f>
        <v>0</v>
      </c>
      <c r="AH774" s="125">
        <f>IFERROR(VLOOKUP(DATA[[#This Row],[COMBINADA]],#REF!,9,0),0)/COUNTIFS(DATA[COMBINADA],DATA[[#This Row],[COMBINADA]])</f>
        <v>0</v>
      </c>
      <c r="AI774" s="136">
        <f>IFERROR(VLOOKUP(DATA[[#This Row],[COMBINADA]],#REF!,6,0),0)</f>
        <v>0</v>
      </c>
      <c r="AJ774" s="132">
        <f>IFERROR(VLOOKUP(DATA[[#This Row],[COMBINADA]],#REF!,9,0),0)/COUNTIFS(DATA[COMBINADA],DATA[[#This Row],[COMBINADA]])</f>
        <v>0</v>
      </c>
      <c r="AK774" s="408">
        <f>IFERROR(VLOOKUP(DATA[[#This Row],[COMBINADA]],#REF!,6,0),0)</f>
        <v>0</v>
      </c>
      <c r="AL774" s="125">
        <f>IFERROR(VLOOKUP(DATA[[#This Row],[COMBINADA]],#REF!,9,0),0)/COUNTIFS(DATA[COMBINADA],DATA[[#This Row],[COMBINADA]])</f>
        <v>0</v>
      </c>
      <c r="AM774" s="147">
        <f>IFERROR(VLOOKUP(DATA[[#This Row],[COMBINADA]],#REF!,6,0),0)</f>
        <v>0</v>
      </c>
      <c r="AN774" s="125">
        <f>IFERROR(VLOOKUP(DATA[[#This Row],[COMBINADA]],#REF!,9,0),0)/COUNTIFS(DATA[COMBINADA],DATA[[#This Row],[COMBINADA]])</f>
        <v>0</v>
      </c>
      <c r="AO774" s="27">
        <f>IFERROR(VLOOKUP(DATA[[#This Row],[COMBINADA]],#REF!,6,0),0)</f>
        <v>0</v>
      </c>
      <c r="AP774" s="132">
        <f>IFERROR(VLOOKUP(DATA[[#This Row],[COMBINADA]],#REF!,9,0),0)/COUNTIFS(DATA[COMBINADA],DATA[[#This Row],[COMBINADA]])</f>
        <v>0</v>
      </c>
      <c r="AQ77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574.13187500000015</v>
      </c>
      <c r="AR774" s="26" t="str">
        <f>IFERROR(IF(DATA[[#This Row],[estado_fact]]="FACTURADO",VLOOKUP(DATA[[#This Row],[SERIE2]]&amp;"-"&amp;DATA[[#This Row],[NUMERO]],#REF!,34,0),"NO CORRESPONDE"),"NO CORRESPONDE")</f>
        <v>NO CORRESPONDE</v>
      </c>
      <c r="AS774" s="22" t="str">
        <f>IF(DATA[[#This Row],[fecha_fs]]&gt;0,TEXT(DATA[[#This Row],[fecha_fs]],"Mmmm"),0)</f>
        <v>Junio</v>
      </c>
      <c r="AT774" s="22" t="str">
        <f>DATA[[#This Row],[SERIE2]]&amp;"-"&amp;DATA[[#This Row],[NUMERO]]</f>
        <v>FF01-134</v>
      </c>
      <c r="AU774" s="28" t="e">
        <f>DATA[[#This Row],[TOTAL]]*DATA[[#This Row],[T.C.]]</f>
        <v>#REF!</v>
      </c>
      <c r="AV774" s="6">
        <f>DATA[[#This Row],[FECHA DE VAL.]]</f>
        <v>45834</v>
      </c>
      <c r="AW774" s="6">
        <f>DATA[[#This Row],[FECHA DE EMISION]]</f>
        <v>45835</v>
      </c>
      <c r="AX774" s="6">
        <f>DATA[[#This Row],[F1]]</f>
        <v>0</v>
      </c>
      <c r="AY774" s="20">
        <f>IF(AV774-DATA[[#This Row],[fecha_fs]]&lt;0,0,AV774-DATA[[#This Row],[fecha_fs]])</f>
        <v>15</v>
      </c>
      <c r="AZ774" s="20">
        <f t="shared" si="82"/>
        <v>1</v>
      </c>
      <c r="BA774" s="20">
        <f t="shared" si="83"/>
        <v>0</v>
      </c>
      <c r="BB774" s="195">
        <f>IFERROR(SUM(DATA[[#This Row],[fs_val_ttf]:[fact_pago_ttf]]),0)</f>
        <v>16</v>
      </c>
      <c r="BC774" s="185">
        <v>45828</v>
      </c>
      <c r="BD774" s="233">
        <v>45841</v>
      </c>
      <c r="BE774" s="233">
        <v>45845</v>
      </c>
      <c r="BF774" s="185">
        <v>45863</v>
      </c>
      <c r="BG774" s="20">
        <f>IFERROR(IF(BC774-DATA[[#This Row],[fecha_fs]]&lt;0,0,BC774-DATA[[#This Row],[fecha_fs]]),0)</f>
        <v>9</v>
      </c>
      <c r="BH774" s="20">
        <f t="shared" ref="BH774:BH839" si="84">IFERROR(IF(BD774-BC774&lt;0,0,BD774-BC774),0)</f>
        <v>13</v>
      </c>
      <c r="BI774" s="229">
        <f t="shared" ref="BI774:BI839" si="85">IFERROR(IF(BE774-BD774&lt;0,0,BE774-BD774),0)</f>
        <v>4</v>
      </c>
      <c r="BJ774" s="229">
        <f t="shared" ref="BJ774:BJ839" si="86">IFERROR(IF(BF774-BE774&lt;0,0,BF774-BE774),0)</f>
        <v>18</v>
      </c>
      <c r="BK774" s="230">
        <f>IFERROR(SUM(DATA[[#This Row],[fs_fd_ttd]:[fend_fenf_ttd]]),0)</f>
        <v>44</v>
      </c>
      <c r="BL774" s="20" t="str">
        <f>IF(DATA[[#This Row],[fecha_fs]]&gt;0,TEXT(DATA[[#This Row],[fecha_fs]],"YYYY"),0)</f>
        <v>2025</v>
      </c>
      <c r="BM774" s="221" t="b">
        <v>1</v>
      </c>
      <c r="BN774" s="278">
        <f>COUNTIF(DATA[[#This Row],[tiempo_td]], "&lt;=15")</f>
        <v>0</v>
      </c>
      <c r="BO774" s="222"/>
    </row>
    <row r="775" spans="1:67" ht="30.6" customHeight="1" x14ac:dyDescent="0.25">
      <c r="A775" s="4">
        <v>20523573226</v>
      </c>
      <c r="B775" s="5" t="s">
        <v>31</v>
      </c>
      <c r="C775" s="52" t="s">
        <v>20</v>
      </c>
      <c r="D775" s="4" t="s">
        <v>112</v>
      </c>
      <c r="E775" s="5" t="s">
        <v>1</v>
      </c>
      <c r="F775" s="24">
        <v>45820</v>
      </c>
      <c r="G775" s="7" t="s">
        <v>113</v>
      </c>
      <c r="H775" s="25">
        <f t="shared" si="81"/>
        <v>1</v>
      </c>
      <c r="I775" s="67">
        <v>4615</v>
      </c>
      <c r="J775" s="8" t="s">
        <v>115</v>
      </c>
      <c r="K775" s="9" t="s">
        <v>116</v>
      </c>
      <c r="L775" s="10" t="s">
        <v>117</v>
      </c>
      <c r="M775" s="11">
        <v>2860</v>
      </c>
      <c r="N775" s="12" t="s">
        <v>164</v>
      </c>
      <c r="O775" s="6">
        <v>45821</v>
      </c>
      <c r="P775" s="13">
        <v>3494</v>
      </c>
      <c r="Q775" s="14" t="s">
        <v>85</v>
      </c>
      <c r="R775" s="15">
        <f>DATA[[#This Row],[cantidad_fs]]*0.97</f>
        <v>2774.2</v>
      </c>
      <c r="S775" s="15">
        <v>2100</v>
      </c>
      <c r="T775" s="15">
        <f>DATA[[#This Row],[C. DF]]+DATA[[#This Row],[C.OPE.]]</f>
        <v>4874.2</v>
      </c>
      <c r="U775" s="15">
        <f>DATA[[#This Row],[SUB TOTAL]]*0.18</f>
        <v>877.35599999999988</v>
      </c>
      <c r="V775" s="15">
        <f>IFERROR(ROUND(DATA[[#This Row],[SUB TOTAL]]+DATA[[#This Row],[IGV]],2),0)</f>
        <v>5751.56</v>
      </c>
      <c r="W775" s="16" t="str">
        <f>IF(DATA[[#This Row],[VALORIZACIÓN ]]="-","NO CORRESPONDE",IF(OR(A775=20558226979,A775=10470707866,A775=20111157058,A775=20100226902),"NO CORRESPONDE",IF(J775="Emitida",IF(P775&gt;0,"EMITIDA","PENDIENTE"),"NO CORRESPONDE")))</f>
        <v>EMITIDA</v>
      </c>
      <c r="X775" s="29"/>
      <c r="Y775" s="17" t="s">
        <v>118</v>
      </c>
      <c r="Z775" s="30">
        <v>45845</v>
      </c>
      <c r="AA775" s="10" t="s">
        <v>150</v>
      </c>
      <c r="AB775" s="19">
        <v>144</v>
      </c>
      <c r="AC775" s="20">
        <v>15</v>
      </c>
      <c r="AD775" s="18">
        <f>DATA[[#This Row],[FECHA DE EMISION]]+DATA[[#This Row],[CONDICION DE PAGO]]</f>
        <v>45860</v>
      </c>
      <c r="AE775" s="23">
        <f>IF(DATA[[#This Row],[MONEDA]]="USD",VLOOKUP(DATA[[#This Row],[COMBINADA]],#REF!,11,0),1)</f>
        <v>1</v>
      </c>
      <c r="AF775" s="129" t="str">
        <f>IF(DATA[[#This Row],[SERIE2]]="-","NO CORRESPONDE",IF(W775="NO CORRESPONDE","NO CORRESPONDE",IF(Z775&gt;0,"FACTURADO","PENDIENTE")))</f>
        <v>FACTURADO</v>
      </c>
      <c r="AG775" s="133">
        <f>IFERROR(VLOOKUP(DATA[[#This Row],[COMBINADA]],#REF!,6,0),0)</f>
        <v>0</v>
      </c>
      <c r="AH775" s="125">
        <f>IFERROR(VLOOKUP(DATA[[#This Row],[COMBINADA]],#REF!,9,0),0)/COUNTIFS(DATA[COMBINADA],DATA[[#This Row],[COMBINADA]])</f>
        <v>0</v>
      </c>
      <c r="AI775" s="136">
        <f>IFERROR(VLOOKUP(DATA[[#This Row],[COMBINADA]],#REF!,6,0),0)</f>
        <v>0</v>
      </c>
      <c r="AJ775" s="132">
        <f>IFERROR(VLOOKUP(DATA[[#This Row],[COMBINADA]],#REF!,9,0),0)/COUNTIFS(DATA[COMBINADA],DATA[[#This Row],[COMBINADA]])</f>
        <v>0</v>
      </c>
      <c r="AK775" s="408">
        <f>IFERROR(VLOOKUP(DATA[[#This Row],[COMBINADA]],#REF!,6,0),0)</f>
        <v>0</v>
      </c>
      <c r="AL775" s="125">
        <f>IFERROR(VLOOKUP(DATA[[#This Row],[COMBINADA]],#REF!,9,0),0)/COUNTIFS(DATA[COMBINADA],DATA[[#This Row],[COMBINADA]])</f>
        <v>0</v>
      </c>
      <c r="AM775" s="147">
        <f>IFERROR(VLOOKUP(DATA[[#This Row],[COMBINADA]],#REF!,6,0),0)</f>
        <v>0</v>
      </c>
      <c r="AN775" s="125">
        <f>IFERROR(VLOOKUP(DATA[[#This Row],[COMBINADA]],#REF!,9,0),0)/COUNTIFS(DATA[COMBINADA],DATA[[#This Row],[COMBINADA]])</f>
        <v>0</v>
      </c>
      <c r="AO775" s="27">
        <f>IFERROR(VLOOKUP(DATA[[#This Row],[COMBINADA]],#REF!,6,0),0)</f>
        <v>0</v>
      </c>
      <c r="AP775" s="132">
        <f>IFERROR(VLOOKUP(DATA[[#This Row],[COMBINADA]],#REF!,9,0),0)/COUNTIFS(DATA[COMBINADA],DATA[[#This Row],[COMBINADA]])</f>
        <v>0</v>
      </c>
      <c r="AQ77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5751.56</v>
      </c>
      <c r="AR775" s="26" t="str">
        <f>IFERROR(IF(DATA[[#This Row],[estado_fact]]="FACTURADO",VLOOKUP(DATA[[#This Row],[SERIE2]]&amp;"-"&amp;DATA[[#This Row],[NUMERO]],#REF!,34,0),"NO CORRESPONDE"),"NO CORRESPONDE")</f>
        <v>NO CORRESPONDE</v>
      </c>
      <c r="AS775" s="22" t="str">
        <f>IF(DATA[[#This Row],[fecha_fs]]&gt;0,TEXT(DATA[[#This Row],[fecha_fs]],"Mmmm"),0)</f>
        <v>Junio</v>
      </c>
      <c r="AT775" s="22" t="str">
        <f>DATA[[#This Row],[SERIE2]]&amp;"-"&amp;DATA[[#This Row],[NUMERO]]</f>
        <v>FF01-144</v>
      </c>
      <c r="AU775" s="28">
        <f>DATA[[#This Row],[TOTAL]]*DATA[[#This Row],[T.C.]]</f>
        <v>5751.56</v>
      </c>
      <c r="AV775" s="6">
        <f>DATA[[#This Row],[FECHA DE VAL.]]</f>
        <v>45821</v>
      </c>
      <c r="AW775" s="6">
        <f>DATA[[#This Row],[FECHA DE EMISION]]</f>
        <v>45845</v>
      </c>
      <c r="AX775" s="6">
        <f>DATA[[#This Row],[F1]]</f>
        <v>0</v>
      </c>
      <c r="AY775" s="20">
        <f>IF(AV775-DATA[[#This Row],[fecha_fs]]&lt;0,0,AV775-DATA[[#This Row],[fecha_fs]])</f>
        <v>1</v>
      </c>
      <c r="AZ775" s="20">
        <f t="shared" si="82"/>
        <v>24</v>
      </c>
      <c r="BA775" s="20">
        <f t="shared" si="83"/>
        <v>0</v>
      </c>
      <c r="BB775" s="195">
        <f>IFERROR(SUM(DATA[[#This Row],[fs_val_ttf]:[fact_pago_ttf]]),0)</f>
        <v>25</v>
      </c>
      <c r="BC775" s="185">
        <v>45820</v>
      </c>
      <c r="BD775" s="185">
        <v>45826</v>
      </c>
      <c r="BE775" s="185">
        <v>45827</v>
      </c>
      <c r="BF775" s="233">
        <v>45848</v>
      </c>
      <c r="BG775" s="20">
        <f>IFERROR(IF(BC775-DATA[[#This Row],[fecha_fs]]&lt;0,0,BC775-DATA[[#This Row],[fecha_fs]]),0)</f>
        <v>0</v>
      </c>
      <c r="BH775" s="20">
        <f t="shared" si="84"/>
        <v>6</v>
      </c>
      <c r="BI775" s="20">
        <f t="shared" si="85"/>
        <v>1</v>
      </c>
      <c r="BJ775" s="20">
        <f t="shared" si="86"/>
        <v>21</v>
      </c>
      <c r="BK775" s="189">
        <f>IFERROR(SUM(DATA[[#This Row],[fs_fd_ttd]:[fend_fenf_ttd]]),0)</f>
        <v>28</v>
      </c>
      <c r="BL775" s="20" t="str">
        <f>IF(DATA[[#This Row],[fecha_fs]]&gt;0,TEXT(DATA[[#This Row],[fecha_fs]],"YYYY"),0)</f>
        <v>2025</v>
      </c>
      <c r="BM775" s="221" t="b">
        <v>1</v>
      </c>
      <c r="BN775" s="278">
        <f>COUNTIF(DATA[[#This Row],[tiempo_td]], "&lt;=15")</f>
        <v>0</v>
      </c>
      <c r="BO775" s="222"/>
    </row>
    <row r="776" spans="1:67" ht="30.6" customHeight="1" x14ac:dyDescent="0.25">
      <c r="A776" s="4">
        <v>20505675836</v>
      </c>
      <c r="B776" s="5" t="s">
        <v>42</v>
      </c>
      <c r="C776" s="52" t="s">
        <v>43</v>
      </c>
      <c r="D776" s="4" t="s">
        <v>120</v>
      </c>
      <c r="E776" s="5" t="s">
        <v>3</v>
      </c>
      <c r="F776" s="24">
        <v>45819</v>
      </c>
      <c r="G776" s="7" t="s">
        <v>113</v>
      </c>
      <c r="H776" s="25">
        <f t="shared" si="81"/>
        <v>1</v>
      </c>
      <c r="I776" s="67">
        <v>4616</v>
      </c>
      <c r="J776" s="8" t="s">
        <v>115</v>
      </c>
      <c r="K776" s="9" t="s">
        <v>121</v>
      </c>
      <c r="L776" s="10" t="s">
        <v>117</v>
      </c>
      <c r="M776" s="11">
        <v>760</v>
      </c>
      <c r="N776" s="12" t="s">
        <v>125</v>
      </c>
      <c r="O776" s="6">
        <v>45835</v>
      </c>
      <c r="P776" s="71">
        <v>3522</v>
      </c>
      <c r="Q776" s="14" t="s">
        <v>85</v>
      </c>
      <c r="R776" s="15">
        <f>(DATA[[#This Row],[cantidad_fs]]-150)*0.67</f>
        <v>408.70000000000005</v>
      </c>
      <c r="S776" s="15">
        <v>817.68</v>
      </c>
      <c r="T776" s="15">
        <f>DATA[[#This Row],[C. DF]]+DATA[[#This Row],[C.OPE.]]</f>
        <v>1226.3800000000001</v>
      </c>
      <c r="U776" s="15">
        <f>DATA[[#This Row],[SUB TOTAL]]*0.18</f>
        <v>220.7484</v>
      </c>
      <c r="V776" s="15">
        <f>IFERROR(ROUND(DATA[[#This Row],[SUB TOTAL]]+DATA[[#This Row],[IGV]],2),0)</f>
        <v>1447.13</v>
      </c>
      <c r="W776" s="16" t="str">
        <f>IF(DATA[[#This Row],[VALORIZACIÓN ]]="-","NO CORRESPONDE",IF(OR(A776=20558226979,A776=10470707866,A776=20111157058,A776=20100226902),"NO CORRESPONDE",IF(J776="Emitida",IF(P776&gt;0,"EMITIDA","PENDIENTE"),"NO CORRESPONDE")))</f>
        <v>EMITIDA</v>
      </c>
      <c r="X776" s="29"/>
      <c r="Y776" s="17" t="s">
        <v>118</v>
      </c>
      <c r="Z776" s="30">
        <v>45846</v>
      </c>
      <c r="AA776" s="10" t="s">
        <v>150</v>
      </c>
      <c r="AB776" s="19">
        <v>164</v>
      </c>
      <c r="AC776" s="20">
        <v>30</v>
      </c>
      <c r="AD776" s="18">
        <f>DATA[[#This Row],[FECHA DE EMISION]]+DATA[[#This Row],[CONDICION DE PAGO]]</f>
        <v>45876</v>
      </c>
      <c r="AE776" s="23">
        <f>IF(DATA[[#This Row],[MONEDA]]="USD",VLOOKUP(DATA[[#This Row],[COMBINADA]],#REF!,11,0),1)</f>
        <v>1</v>
      </c>
      <c r="AF776" s="129" t="str">
        <f>IF(DATA[[#This Row],[SERIE2]]="-","NO CORRESPONDE",IF(W776="NO CORRESPONDE","NO CORRESPONDE",IF(Z776&gt;0,"FACTURADO","PENDIENTE")))</f>
        <v>FACTURADO</v>
      </c>
      <c r="AG776" s="133">
        <f>IFERROR(VLOOKUP(DATA[[#This Row],[COMBINADA]],#REF!,6,0),0)</f>
        <v>0</v>
      </c>
      <c r="AH776" s="125">
        <f>IFERROR(VLOOKUP(DATA[[#This Row],[COMBINADA]],#REF!,9,0),0)/COUNTIFS(DATA[COMBINADA],DATA[[#This Row],[COMBINADA]])</f>
        <v>0</v>
      </c>
      <c r="AI776" s="136">
        <f>IFERROR(VLOOKUP(DATA[[#This Row],[COMBINADA]],#REF!,6,0),0)</f>
        <v>0</v>
      </c>
      <c r="AJ776" s="132">
        <f>IFERROR(VLOOKUP(DATA[[#This Row],[COMBINADA]],#REF!,9,0),0)/COUNTIFS(DATA[COMBINADA],DATA[[#This Row],[COMBINADA]])</f>
        <v>0</v>
      </c>
      <c r="AK776" s="408">
        <f>IFERROR(VLOOKUP(DATA[[#This Row],[COMBINADA]],#REF!,6,0),0)</f>
        <v>0</v>
      </c>
      <c r="AL776" s="125">
        <f>IFERROR(VLOOKUP(DATA[[#This Row],[COMBINADA]],#REF!,9,0),0)/COUNTIFS(DATA[COMBINADA],DATA[[#This Row],[COMBINADA]])</f>
        <v>0</v>
      </c>
      <c r="AM776" s="147">
        <f>IFERROR(VLOOKUP(DATA[[#This Row],[COMBINADA]],#REF!,6,0),0)</f>
        <v>0</v>
      </c>
      <c r="AN776" s="125">
        <f>IFERROR(VLOOKUP(DATA[[#This Row],[COMBINADA]],#REF!,9,0),0)/COUNTIFS(DATA[COMBINADA],DATA[[#This Row],[COMBINADA]])</f>
        <v>0</v>
      </c>
      <c r="AO776" s="27">
        <f>IFERROR(VLOOKUP(DATA[[#This Row],[COMBINADA]],#REF!,6,0),0)</f>
        <v>0</v>
      </c>
      <c r="AP776" s="132">
        <f>IFERROR(VLOOKUP(DATA[[#This Row],[COMBINADA]],#REF!,9,0),0)/COUNTIFS(DATA[COMBINADA],DATA[[#This Row],[COMBINADA]])</f>
        <v>0</v>
      </c>
      <c r="AQ77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2151.0974999999999</v>
      </c>
      <c r="AR776" s="26" t="str">
        <f>IFERROR(IF(DATA[[#This Row],[estado_fact]]="FACTURADO",VLOOKUP(DATA[[#This Row],[SERIE2]]&amp;"-"&amp;DATA[[#This Row],[NUMERO]],#REF!,34,0),"NO CORRESPONDE"),"NO CORRESPONDE")</f>
        <v>NO CORRESPONDE</v>
      </c>
      <c r="AS776" s="22" t="str">
        <f>IF(DATA[[#This Row],[fecha_fs]]&gt;0,TEXT(DATA[[#This Row],[fecha_fs]],"Mmmm"),0)</f>
        <v>Junio</v>
      </c>
      <c r="AT776" s="22" t="str">
        <f>DATA[[#This Row],[SERIE2]]&amp;"-"&amp;DATA[[#This Row],[NUMERO]]</f>
        <v>FF01-164</v>
      </c>
      <c r="AU776" s="28">
        <f>DATA[[#This Row],[TOTAL]]*DATA[[#This Row],[T.C.]]</f>
        <v>1447.13</v>
      </c>
      <c r="AV776" s="6">
        <f>DATA[[#This Row],[FECHA DE VAL.]]</f>
        <v>45835</v>
      </c>
      <c r="AW776" s="6">
        <f>DATA[[#This Row],[FECHA DE EMISION]]</f>
        <v>45846</v>
      </c>
      <c r="AX776" s="6">
        <f>DATA[[#This Row],[F1]]</f>
        <v>0</v>
      </c>
      <c r="AY776" s="20">
        <f>IF(AV776-DATA[[#This Row],[fecha_fs]]&lt;0,0,AV776-DATA[[#This Row],[fecha_fs]])</f>
        <v>16</v>
      </c>
      <c r="AZ776" s="20">
        <f t="shared" si="82"/>
        <v>11</v>
      </c>
      <c r="BA776" s="20">
        <f t="shared" si="83"/>
        <v>0</v>
      </c>
      <c r="BB776" s="195">
        <f>IFERROR(SUM(DATA[[#This Row],[fs_val_ttf]:[fact_pago_ttf]]),0)</f>
        <v>27</v>
      </c>
      <c r="BC776" s="184">
        <v>45845</v>
      </c>
      <c r="BD776" s="184">
        <v>45852</v>
      </c>
      <c r="BE776" s="184">
        <v>45853</v>
      </c>
      <c r="BF776" s="233">
        <v>45868</v>
      </c>
      <c r="BG776" s="226">
        <f>IFERROR(IF(BC776-DATA[[#This Row],[fecha_fs]]&lt;0,0,BC776-DATA[[#This Row],[fecha_fs]]),0)</f>
        <v>26</v>
      </c>
      <c r="BH776" s="226">
        <f t="shared" si="84"/>
        <v>7</v>
      </c>
      <c r="BI776" s="226">
        <f t="shared" si="85"/>
        <v>1</v>
      </c>
      <c r="BJ776" s="226">
        <f t="shared" si="86"/>
        <v>15</v>
      </c>
      <c r="BK776" s="228">
        <f>IFERROR(SUM(DATA[[#This Row],[fs_fd_ttd]:[fend_fenf_ttd]]),0)</f>
        <v>49</v>
      </c>
      <c r="BL776" s="20" t="str">
        <f>IF(DATA[[#This Row],[fecha_fs]]&gt;0,TEXT(DATA[[#This Row],[fecha_fs]],"YYYY"),0)</f>
        <v>2025</v>
      </c>
      <c r="BM776" s="221" t="b">
        <v>1</v>
      </c>
      <c r="BN776" s="278">
        <f>COUNTIF(DATA[[#This Row],[tiempo_td]], "&lt;=15")</f>
        <v>0</v>
      </c>
      <c r="BO776" s="222"/>
    </row>
    <row r="777" spans="1:67" ht="30.6" customHeight="1" x14ac:dyDescent="0.25">
      <c r="A777" s="4">
        <v>20100211115</v>
      </c>
      <c r="B777" s="5" t="s">
        <v>41</v>
      </c>
      <c r="C777" s="52" t="s">
        <v>18</v>
      </c>
      <c r="D777" s="4" t="s">
        <v>120</v>
      </c>
      <c r="E777" s="5" t="s">
        <v>3</v>
      </c>
      <c r="F777" s="24">
        <v>45819</v>
      </c>
      <c r="G777" s="7" t="s">
        <v>113</v>
      </c>
      <c r="H777" s="25">
        <f t="shared" si="81"/>
        <v>1</v>
      </c>
      <c r="I777" s="67">
        <v>4617</v>
      </c>
      <c r="J777" s="8" t="s">
        <v>115</v>
      </c>
      <c r="K777" s="9" t="s">
        <v>121</v>
      </c>
      <c r="L777" s="10" t="s">
        <v>117</v>
      </c>
      <c r="M777" s="11">
        <v>90</v>
      </c>
      <c r="N777" s="12" t="s">
        <v>132</v>
      </c>
      <c r="O777" s="6">
        <v>45834</v>
      </c>
      <c r="P777" s="115">
        <v>3515</v>
      </c>
      <c r="Q777" s="14" t="s">
        <v>85</v>
      </c>
      <c r="R777" s="75"/>
      <c r="S777" s="15">
        <f>(DATA[[#This Row],[cantidad_fs]]*4.17)</f>
        <v>375.3</v>
      </c>
      <c r="T777" s="15">
        <f>DATA[[#This Row],[C. DF]]+DATA[[#This Row],[C.OPE.]]</f>
        <v>375.3</v>
      </c>
      <c r="U777" s="15">
        <f>DATA[[#This Row],[SUB TOTAL]]*0.18</f>
        <v>67.554000000000002</v>
      </c>
      <c r="V777" s="15">
        <f>IFERROR(ROUND(DATA[[#This Row],[SUB TOTAL]]+DATA[[#This Row],[IGV]],2),0)</f>
        <v>442.85</v>
      </c>
      <c r="W777" s="16" t="str">
        <f>IF(DATA[[#This Row],[VALORIZACIÓN ]]="-","NO CORRESPONDE",IF(OR(A777=20558226979,A777=10470707866,A777=20111157058,A777=20100226902),"NO CORRESPONDE",IF(J777="Emitida",IF(P777&gt;0,"EMITIDA","PENDIENTE"),"NO CORRESPONDE")))</f>
        <v>EMITIDA</v>
      </c>
      <c r="X777" s="29"/>
      <c r="Y777" s="17" t="s">
        <v>118</v>
      </c>
      <c r="Z777" s="30">
        <v>45835</v>
      </c>
      <c r="AA777" s="10" t="s">
        <v>150</v>
      </c>
      <c r="AB777" s="19">
        <v>137</v>
      </c>
      <c r="AC777" s="20">
        <v>30</v>
      </c>
      <c r="AD777" s="18">
        <f>DATA[[#This Row],[FECHA DE EMISION]]+DATA[[#This Row],[CONDICION DE PAGO]]</f>
        <v>45865</v>
      </c>
      <c r="AE777" s="23">
        <f>IF(DATA[[#This Row],[MONEDA]]="USD",VLOOKUP(DATA[[#This Row],[COMBINADA]],#REF!,11,0),1)</f>
        <v>1</v>
      </c>
      <c r="AF777" s="129" t="str">
        <f>IF(DATA[[#This Row],[SERIE2]]="-","NO CORRESPONDE",IF(W777="NO CORRESPONDE","NO CORRESPONDE",IF(Z777&gt;0,"FACTURADO","PENDIENTE")))</f>
        <v>FACTURADO</v>
      </c>
      <c r="AG777" s="133">
        <f>IFERROR(VLOOKUP(DATA[[#This Row],[COMBINADA]],#REF!,6,0),0)</f>
        <v>0</v>
      </c>
      <c r="AH777" s="125">
        <f>IFERROR(VLOOKUP(DATA[[#This Row],[COMBINADA]],#REF!,9,0),0)/COUNTIFS(DATA[COMBINADA],DATA[[#This Row],[COMBINADA]])</f>
        <v>0</v>
      </c>
      <c r="AI777" s="136">
        <f>IFERROR(VLOOKUP(DATA[[#This Row],[COMBINADA]],#REF!,6,0),0)</f>
        <v>0</v>
      </c>
      <c r="AJ777" s="132">
        <f>IFERROR(VLOOKUP(DATA[[#This Row],[COMBINADA]],#REF!,9,0),0)/COUNTIFS(DATA[COMBINADA],DATA[[#This Row],[COMBINADA]])</f>
        <v>0</v>
      </c>
      <c r="AK777" s="407">
        <f>IFERROR(VLOOKUP(DATA[[#This Row],[COMBINADA]],#REF!,6,0),0)</f>
        <v>0</v>
      </c>
      <c r="AL777" s="125">
        <f>IFERROR(VLOOKUP(DATA[[#This Row],[COMBINADA]],#REF!,9,0),0)/COUNTIFS(DATA[COMBINADA],DATA[[#This Row],[COMBINADA]])</f>
        <v>0</v>
      </c>
      <c r="AM777" s="27">
        <f>IFERROR(VLOOKUP(DATA[[#This Row],[COMBINADA]],#REF!,6,0),0)</f>
        <v>0</v>
      </c>
      <c r="AN777" s="125">
        <f>IFERROR(VLOOKUP(DATA[[#This Row],[COMBINADA]],#REF!,9,0),0)/COUNTIFS(DATA[COMBINADA],DATA[[#This Row],[COMBINADA]])</f>
        <v>0</v>
      </c>
      <c r="AO777" s="27">
        <f>IFERROR(VLOOKUP(DATA[[#This Row],[COMBINADA]],#REF!,6,0),0)</f>
        <v>0</v>
      </c>
      <c r="AP777" s="132">
        <f>IFERROR(VLOOKUP(DATA[[#This Row],[COMBINADA]],#REF!,9,0),0)/COUNTIFS(DATA[COMBINADA],DATA[[#This Row],[COMBINADA]])</f>
        <v>0</v>
      </c>
      <c r="AQ77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777" s="26" t="str">
        <f>IFERROR(IF(DATA[[#This Row],[estado_fact]]="FACTURADO",VLOOKUP(DATA[[#This Row],[SERIE2]]&amp;"-"&amp;DATA[[#This Row],[NUMERO]],#REF!,34,0),"NO CORRESPONDE"),"NO CORRESPONDE")</f>
        <v>NO CORRESPONDE</v>
      </c>
      <c r="AS777" s="22" t="str">
        <f>IF(DATA[[#This Row],[fecha_fs]]&gt;0,TEXT(DATA[[#This Row],[fecha_fs]],"Mmmm"),0)</f>
        <v>Junio</v>
      </c>
      <c r="AT777" s="22" t="str">
        <f>DATA[[#This Row],[SERIE2]]&amp;"-"&amp;DATA[[#This Row],[NUMERO]]</f>
        <v>FF01-137</v>
      </c>
      <c r="AU777" s="28">
        <f>DATA[[#This Row],[TOTAL]]*DATA[[#This Row],[T.C.]]</f>
        <v>442.85</v>
      </c>
      <c r="AV777" s="6">
        <f>DATA[[#This Row],[FECHA DE VAL.]]</f>
        <v>45834</v>
      </c>
      <c r="AW777" s="6">
        <f>DATA[[#This Row],[FECHA DE EMISION]]</f>
        <v>45835</v>
      </c>
      <c r="AX777" s="6">
        <f>DATA[[#This Row],[F1]]</f>
        <v>0</v>
      </c>
      <c r="AY777" s="20">
        <f>IF(AV777-DATA[[#This Row],[fecha_fs]]&lt;0,0,AV777-DATA[[#This Row],[fecha_fs]])</f>
        <v>15</v>
      </c>
      <c r="AZ777" s="20">
        <f t="shared" si="82"/>
        <v>1</v>
      </c>
      <c r="BA777" s="20">
        <f t="shared" si="83"/>
        <v>0</v>
      </c>
      <c r="BB777" s="195">
        <f>IFERROR(SUM(DATA[[#This Row],[fs_val_ttf]:[fact_pago_ttf]]),0)</f>
        <v>16</v>
      </c>
      <c r="BC777" s="185">
        <v>45838</v>
      </c>
      <c r="BD777" s="185">
        <v>45846</v>
      </c>
      <c r="BE777" s="185">
        <v>45848</v>
      </c>
      <c r="BF777" s="185">
        <v>45849</v>
      </c>
      <c r="BG777" s="20">
        <f>IFERROR(IF(BC777-DATA[[#This Row],[fecha_fs]]&lt;0,0,BC777-DATA[[#This Row],[fecha_fs]]),0)</f>
        <v>19</v>
      </c>
      <c r="BH777" s="20">
        <f t="shared" si="84"/>
        <v>8</v>
      </c>
      <c r="BI777" s="20">
        <f t="shared" si="85"/>
        <v>2</v>
      </c>
      <c r="BJ777" s="20">
        <f t="shared" si="86"/>
        <v>1</v>
      </c>
      <c r="BK777" s="218">
        <f>IFERROR(SUM(DATA[[#This Row],[fs_fd_ttd]:[fend_fenf_ttd]]),0)</f>
        <v>30</v>
      </c>
      <c r="BL777" s="20" t="str">
        <f>IF(DATA[[#This Row],[fecha_fs]]&gt;0,TEXT(DATA[[#This Row],[fecha_fs]],"YYYY"),0)</f>
        <v>2025</v>
      </c>
      <c r="BM777" s="221" t="b">
        <v>1</v>
      </c>
      <c r="BN777" s="278">
        <f>COUNTIF(DATA[[#This Row],[tiempo_td]], "&lt;=15")</f>
        <v>0</v>
      </c>
      <c r="BO777" s="222"/>
    </row>
    <row r="778" spans="1:67" ht="30.6" customHeight="1" x14ac:dyDescent="0.25">
      <c r="A778" s="4">
        <v>20419158462</v>
      </c>
      <c r="B778" s="5" t="s">
        <v>2</v>
      </c>
      <c r="C778" s="52" t="s">
        <v>210</v>
      </c>
      <c r="D778" s="4" t="s">
        <v>120</v>
      </c>
      <c r="E778" s="5" t="s">
        <v>3</v>
      </c>
      <c r="F778" s="24">
        <v>45820</v>
      </c>
      <c r="G778" s="7" t="s">
        <v>113</v>
      </c>
      <c r="H778" s="25">
        <f t="shared" si="81"/>
        <v>1</v>
      </c>
      <c r="I778" s="67">
        <v>4618</v>
      </c>
      <c r="J778" s="8" t="s">
        <v>115</v>
      </c>
      <c r="K778" s="9" t="s">
        <v>121</v>
      </c>
      <c r="L778" s="10" t="s">
        <v>117</v>
      </c>
      <c r="M778" s="11">
        <v>1300</v>
      </c>
      <c r="N778" s="12" t="s">
        <v>125</v>
      </c>
      <c r="O778" s="6">
        <v>45821</v>
      </c>
      <c r="P778" s="13">
        <v>3495</v>
      </c>
      <c r="Q778" s="14" t="s">
        <v>85</v>
      </c>
      <c r="R778" s="15">
        <f>DATA[[#This Row],[cantidad_fs]]*0.67</f>
        <v>871</v>
      </c>
      <c r="S778" s="56">
        <v>839.7</v>
      </c>
      <c r="T778" s="15">
        <f>DATA[[#This Row],[C. DF]]+DATA[[#This Row],[C.OPE.]]</f>
        <v>1710.7</v>
      </c>
      <c r="U778" s="15">
        <f>DATA[[#This Row],[SUB TOTAL]]*0.18</f>
        <v>307.92599999999999</v>
      </c>
      <c r="V778" s="15">
        <f>IFERROR(ROUND(DATA[[#This Row],[SUB TOTAL]]+DATA[[#This Row],[IGV]],2),0)</f>
        <v>2018.63</v>
      </c>
      <c r="W778" s="16" t="str">
        <f>IF(DATA[[#This Row],[VALORIZACIÓN ]]="-","NO CORRESPONDE",IF(OR(A778=20558226979,A778=10470707866,A778=20111157058,A778=20100226902),"NO CORRESPONDE",IF(J778="Emitida",IF(P778&gt;0,"EMITIDA","PENDIENTE"),"NO CORRESPONDE")))</f>
        <v>EMITIDA</v>
      </c>
      <c r="X778" s="29"/>
      <c r="Y778" s="17" t="s">
        <v>118</v>
      </c>
      <c r="Z778" s="30">
        <v>45845</v>
      </c>
      <c r="AA778" s="10" t="s">
        <v>150</v>
      </c>
      <c r="AB778" s="19">
        <v>147</v>
      </c>
      <c r="AC778" s="20">
        <v>15</v>
      </c>
      <c r="AD778" s="18">
        <f>DATA[[#This Row],[FECHA DE EMISION]]+DATA[[#This Row],[CONDICION DE PAGO]]</f>
        <v>45860</v>
      </c>
      <c r="AE778" s="23">
        <f>IF(DATA[[#This Row],[MONEDA]]="USD",VLOOKUP(DATA[[#This Row],[COMBINADA]],#REF!,11,0),1)</f>
        <v>1</v>
      </c>
      <c r="AF778" s="129" t="str">
        <f>IF(DATA[[#This Row],[SERIE2]]="-","NO CORRESPONDE",IF(W778="NO CORRESPONDE","NO CORRESPONDE",IF(Z778&gt;0,"FACTURADO","PENDIENTE")))</f>
        <v>FACTURADO</v>
      </c>
      <c r="AG778" s="133">
        <f>IFERROR(VLOOKUP(DATA[[#This Row],[COMBINADA]],#REF!,6,0),0)</f>
        <v>0</v>
      </c>
      <c r="AH778" s="125">
        <f>IFERROR(VLOOKUP(DATA[[#This Row],[COMBINADA]],#REF!,9,0),0)/COUNTIFS(DATA[COMBINADA],DATA[[#This Row],[COMBINADA]])</f>
        <v>0</v>
      </c>
      <c r="AI778" s="136">
        <f>IFERROR(VLOOKUP(DATA[[#This Row],[COMBINADA]],#REF!,6,0),0)</f>
        <v>0</v>
      </c>
      <c r="AJ778" s="132">
        <f>IFERROR(VLOOKUP(DATA[[#This Row],[COMBINADA]],#REF!,9,0),0)/COUNTIFS(DATA[COMBINADA],DATA[[#This Row],[COMBINADA]])</f>
        <v>0</v>
      </c>
      <c r="AK778" s="407">
        <f>IFERROR(VLOOKUP(DATA[[#This Row],[COMBINADA]],#REF!,6,0),0)</f>
        <v>0</v>
      </c>
      <c r="AL778" s="125">
        <f>IFERROR(VLOOKUP(DATA[[#This Row],[COMBINADA]],#REF!,9,0),0)/COUNTIFS(DATA[COMBINADA],DATA[[#This Row],[COMBINADA]])</f>
        <v>0</v>
      </c>
      <c r="AM778" s="27">
        <f>IFERROR(VLOOKUP(DATA[[#This Row],[COMBINADA]],#REF!,6,0),0)</f>
        <v>0</v>
      </c>
      <c r="AN778" s="125">
        <f>IFERROR(VLOOKUP(DATA[[#This Row],[COMBINADA]],#REF!,9,0),0)/COUNTIFS(DATA[COMBINADA],DATA[[#This Row],[COMBINADA]])</f>
        <v>0</v>
      </c>
      <c r="AO778" s="27">
        <f>IFERROR(VLOOKUP(DATA[[#This Row],[COMBINADA]],#REF!,6,0),0)</f>
        <v>0</v>
      </c>
      <c r="AP778" s="132">
        <f>IFERROR(VLOOKUP(DATA[[#This Row],[COMBINADA]],#REF!,9,0),0)/COUNTIFS(DATA[COMBINADA],DATA[[#This Row],[COMBINADA]])</f>
        <v>0</v>
      </c>
      <c r="AQ77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2018.63</v>
      </c>
      <c r="AR778" s="26" t="str">
        <f>IFERROR(IF(DATA[[#This Row],[estado_fact]]="FACTURADO",VLOOKUP(DATA[[#This Row],[SERIE2]]&amp;"-"&amp;DATA[[#This Row],[NUMERO]],#REF!,34,0),"NO CORRESPONDE"),"NO CORRESPONDE")</f>
        <v>NO CORRESPONDE</v>
      </c>
      <c r="AS778" s="22" t="str">
        <f>IF(DATA[[#This Row],[fecha_fs]]&gt;0,TEXT(DATA[[#This Row],[fecha_fs]],"Mmmm"),0)</f>
        <v>Junio</v>
      </c>
      <c r="AT778" s="22" t="str">
        <f>DATA[[#This Row],[SERIE2]]&amp;"-"&amp;DATA[[#This Row],[NUMERO]]</f>
        <v>FF01-147</v>
      </c>
      <c r="AU778" s="28">
        <f>DATA[[#This Row],[TOTAL]]*DATA[[#This Row],[T.C.]]</f>
        <v>2018.63</v>
      </c>
      <c r="AV778" s="6">
        <f>DATA[[#This Row],[FECHA DE VAL.]]</f>
        <v>45821</v>
      </c>
      <c r="AW778" s="6">
        <f>DATA[[#This Row],[FECHA DE EMISION]]</f>
        <v>45845</v>
      </c>
      <c r="AX778" s="6">
        <f>DATA[[#This Row],[F1]]</f>
        <v>0</v>
      </c>
      <c r="AY778" s="20">
        <f>IF(AV778-DATA[[#This Row],[fecha_fs]]&lt;0,0,AV778-DATA[[#This Row],[fecha_fs]])</f>
        <v>1</v>
      </c>
      <c r="AZ778" s="20">
        <f t="shared" si="82"/>
        <v>24</v>
      </c>
      <c r="BA778" s="20">
        <f t="shared" si="83"/>
        <v>0</v>
      </c>
      <c r="BB778" s="195">
        <f>IFERROR(SUM(DATA[[#This Row],[fs_val_ttf]:[fact_pago_ttf]]),0)</f>
        <v>25</v>
      </c>
      <c r="BC778" s="185">
        <v>45825</v>
      </c>
      <c r="BD778" s="185">
        <v>45834</v>
      </c>
      <c r="BE778" s="185">
        <v>45853</v>
      </c>
      <c r="BF778" s="233">
        <v>45862</v>
      </c>
      <c r="BG778" s="20">
        <f>IFERROR(IF(BC778-DATA[[#This Row],[fecha_fs]]&lt;0,0,BC778-DATA[[#This Row],[fecha_fs]]),0)</f>
        <v>5</v>
      </c>
      <c r="BH778" s="20">
        <f t="shared" si="84"/>
        <v>9</v>
      </c>
      <c r="BI778" s="20">
        <f t="shared" si="85"/>
        <v>19</v>
      </c>
      <c r="BJ778" s="20">
        <f t="shared" si="86"/>
        <v>9</v>
      </c>
      <c r="BK778" s="218">
        <f>IFERROR(SUM(DATA[[#This Row],[fs_fd_ttd]:[fend_fenf_ttd]]),0)</f>
        <v>42</v>
      </c>
      <c r="BL778" s="20" t="str">
        <f>IF(DATA[[#This Row],[fecha_fs]]&gt;0,TEXT(DATA[[#This Row],[fecha_fs]],"YYYY"),0)</f>
        <v>2025</v>
      </c>
      <c r="BM778" s="221" t="b">
        <v>1</v>
      </c>
      <c r="BN778" s="278">
        <f>COUNTIF(DATA[[#This Row],[tiempo_td]], "&lt;=15")</f>
        <v>0</v>
      </c>
      <c r="BO778" s="222"/>
    </row>
    <row r="779" spans="1:67" ht="30.6" customHeight="1" x14ac:dyDescent="0.25">
      <c r="A779" s="4">
        <v>20100226902</v>
      </c>
      <c r="B779" s="5" t="s">
        <v>24</v>
      </c>
      <c r="C779" s="52" t="s">
        <v>18</v>
      </c>
      <c r="D779" s="4" t="s">
        <v>120</v>
      </c>
      <c r="E779" s="5" t="s">
        <v>3</v>
      </c>
      <c r="F779" s="24">
        <v>45820</v>
      </c>
      <c r="G779" s="7" t="s">
        <v>113</v>
      </c>
      <c r="H779" s="25">
        <f t="shared" si="81"/>
        <v>1</v>
      </c>
      <c r="I779" s="67">
        <v>4619</v>
      </c>
      <c r="J779" s="8" t="s">
        <v>115</v>
      </c>
      <c r="K779" s="9" t="s">
        <v>121</v>
      </c>
      <c r="L779" s="10" t="s">
        <v>117</v>
      </c>
      <c r="M779" s="11">
        <v>140</v>
      </c>
      <c r="N779" s="12" t="s">
        <v>132</v>
      </c>
      <c r="O779" s="40"/>
      <c r="P779" s="41" t="s">
        <v>114</v>
      </c>
      <c r="Q779" s="42"/>
      <c r="R779" s="43"/>
      <c r="S779" s="43"/>
      <c r="T779" s="43">
        <f>DATA[[#This Row],[C. DF]]+DATA[[#This Row],[C.OPE.]]</f>
        <v>0</v>
      </c>
      <c r="U779" s="43">
        <f>DATA[[#This Row],[SUB TOTAL]]*0.18</f>
        <v>0</v>
      </c>
      <c r="V779" s="43">
        <f>IFERROR(ROUND(DATA[[#This Row],[SUB TOTAL]]+DATA[[#This Row],[IGV]],2),0)</f>
        <v>0</v>
      </c>
      <c r="W779" s="58" t="str">
        <f>IF(DATA[[#This Row],[VALORIZACIÓN ]]="-","NO CORRESPONDE",IF(OR(A779=20558226979,A779=10470707866,A779=20111157058,A779=20100226902),"NO CORRESPONDE",IF(J779="Emitida",IF(P779&gt;0,"EMITIDA","PENDIENTE"),"NO CORRESPONDE")))</f>
        <v>NO CORRESPONDE</v>
      </c>
      <c r="X779" s="45"/>
      <c r="Y779" s="17" t="s">
        <v>128</v>
      </c>
      <c r="Z779" s="46"/>
      <c r="AA779" s="47"/>
      <c r="AB779" s="48"/>
      <c r="AC779" s="49"/>
      <c r="AD779" s="50">
        <f>DATA[[#This Row],[FECHA DE EMISION]]+DATA[[#This Row],[CONDICION DE PAGO]]</f>
        <v>0</v>
      </c>
      <c r="AE779" s="23">
        <f>IF(DATA[[#This Row],[MONEDA]]="USD",VLOOKUP(DATA[[#This Row],[COMBINADA]],#REF!,11,0),1)</f>
        <v>1</v>
      </c>
      <c r="AF779" s="129" t="str">
        <f>IF(DATA[[#This Row],[SERIE2]]="-","NO CORRESPONDE",IF(W779="NO CORRESPONDE","NO CORRESPONDE",IF(Z779&gt;0,"FACTURADO","PENDIENTE")))</f>
        <v>NO CORRESPONDE</v>
      </c>
      <c r="AG779" s="140">
        <f>IFERROR(VLOOKUP(DATA[[#This Row],[COMBINADA]],#REF!,6,0),0)</f>
        <v>0</v>
      </c>
      <c r="AH779" s="126">
        <f>IFERROR(VLOOKUP(DATA[[#This Row],[COMBINADA]],#REF!,9,0),0)/COUNTIFS(DATA[COMBINADA],DATA[[#This Row],[COMBINADA]])</f>
        <v>0</v>
      </c>
      <c r="AI779" s="140">
        <f>IFERROR(VLOOKUP(DATA[[#This Row],[COMBINADA]],#REF!,6,0),0)</f>
        <v>0</v>
      </c>
      <c r="AJ779" s="126">
        <f>IFERROR(VLOOKUP(DATA[[#This Row],[COMBINADA]],#REF!,9,0),0)/COUNTIFS(DATA[COMBINADA],DATA[[#This Row],[COMBINADA]])</f>
        <v>0</v>
      </c>
      <c r="AK779" s="61">
        <f>IFERROR(VLOOKUP(DATA[[#This Row],[COMBINADA]],#REF!,6,0),0)</f>
        <v>0</v>
      </c>
      <c r="AL779" s="126">
        <f>IFERROR(VLOOKUP(DATA[[#This Row],[COMBINADA]],#REF!,9,0),0)/COUNTIFS(DATA[COMBINADA],DATA[[#This Row],[COMBINADA]])</f>
        <v>0</v>
      </c>
      <c r="AM779" s="140">
        <f>IFERROR(VLOOKUP(DATA[[#This Row],[COMBINADA]],#REF!,6,0),0)</f>
        <v>0</v>
      </c>
      <c r="AN779" s="126">
        <f>IFERROR(VLOOKUP(DATA[[#This Row],[COMBINADA]],#REF!,9,0),0)/COUNTIFS(DATA[COMBINADA],DATA[[#This Row],[COMBINADA]])</f>
        <v>0</v>
      </c>
      <c r="AO779" s="60">
        <f>IFERROR(VLOOKUP(DATA[[#This Row],[COMBINADA]],#REF!,6,0),0)</f>
        <v>0</v>
      </c>
      <c r="AP779" s="126">
        <f>IFERROR(VLOOKUP(DATA[[#This Row],[COMBINADA]],#REF!,9,0),0)/COUNTIFS(DATA[COMBINADA],DATA[[#This Row],[COMBINADA]])</f>
        <v>0</v>
      </c>
      <c r="AQ779"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779" s="22" t="str">
        <f>IFERROR(IF(DATA[[#This Row],[estado_fact]]="FACTURADO",VLOOKUP(DATA[[#This Row],[SERIE2]]&amp;"-"&amp;DATA[[#This Row],[NUMERO]],#REF!,34,0),"NO CORRESPONDE"),"NO CORRESPONDE")</f>
        <v>NO CORRESPONDE</v>
      </c>
      <c r="AS779" s="22" t="str">
        <f>IF(DATA[[#This Row],[fecha_fs]]&gt;0,TEXT(DATA[[#This Row],[fecha_fs]],"Mmmm"),0)</f>
        <v>Junio</v>
      </c>
      <c r="AT779" s="22" t="str">
        <f>DATA[[#This Row],[SERIE2]]&amp;"-"&amp;DATA[[#This Row],[NUMERO]]</f>
        <v>-</v>
      </c>
      <c r="AU779" s="28">
        <f>DATA[[#This Row],[TOTAL]]*DATA[[#This Row],[T.C.]]</f>
        <v>0</v>
      </c>
      <c r="AV779" s="6">
        <f>DATA[[#This Row],[FECHA DE VAL.]]</f>
        <v>0</v>
      </c>
      <c r="AW779" s="6">
        <f>DATA[[#This Row],[FECHA DE EMISION]]</f>
        <v>0</v>
      </c>
      <c r="AX779" s="6">
        <f>DATA[[#This Row],[F1]]</f>
        <v>0</v>
      </c>
      <c r="AY779" s="20">
        <f>IF(AV779-DATA[[#This Row],[fecha_fs]]&lt;0,0,AV779-DATA[[#This Row],[fecha_fs]])</f>
        <v>0</v>
      </c>
      <c r="AZ779" s="20">
        <f t="shared" si="82"/>
        <v>0</v>
      </c>
      <c r="BA779" s="20">
        <f t="shared" si="83"/>
        <v>0</v>
      </c>
      <c r="BB779" s="195">
        <f>IFERROR(SUM(DATA[[#This Row],[fs_val_ttf]:[fact_pago_ttf]]),0)</f>
        <v>0</v>
      </c>
      <c r="BC779" s="184">
        <v>45820</v>
      </c>
      <c r="BD779" s="184">
        <v>45820</v>
      </c>
      <c r="BE779" s="184">
        <v>45841</v>
      </c>
      <c r="BF779" s="233">
        <v>45841</v>
      </c>
      <c r="BG779" s="20">
        <f>IFERROR(IF(BC779-DATA[[#This Row],[fecha_fs]]&lt;0,0,BC779-DATA[[#This Row],[fecha_fs]]),0)</f>
        <v>0</v>
      </c>
      <c r="BH779" s="20">
        <f t="shared" si="84"/>
        <v>0</v>
      </c>
      <c r="BI779" s="20">
        <f t="shared" si="85"/>
        <v>21</v>
      </c>
      <c r="BJ779" s="20">
        <f t="shared" si="86"/>
        <v>0</v>
      </c>
      <c r="BK779" s="218">
        <f>IFERROR(SUM(DATA[[#This Row],[fs_fd_ttd]:[fend_fenf_ttd]]),0)</f>
        <v>21</v>
      </c>
      <c r="BL779" s="20" t="str">
        <f>IF(DATA[[#This Row],[fecha_fs]]&gt;0,TEXT(DATA[[#This Row],[fecha_fs]],"YYYY"),0)</f>
        <v>2025</v>
      </c>
      <c r="BM779" s="221" t="b">
        <v>1</v>
      </c>
      <c r="BN779" s="278">
        <f>COUNTIF(DATA[[#This Row],[tiempo_td]], "&lt;=15")</f>
        <v>0</v>
      </c>
      <c r="BO779" s="222"/>
    </row>
    <row r="780" spans="1:67" ht="30" customHeight="1" x14ac:dyDescent="0.25">
      <c r="A780" s="4"/>
      <c r="B780" s="5" t="s">
        <v>0</v>
      </c>
      <c r="C780" s="52"/>
      <c r="D780" s="4"/>
      <c r="E780" s="5" t="s">
        <v>0</v>
      </c>
      <c r="F780" s="24">
        <v>45820</v>
      </c>
      <c r="G780" s="7" t="s">
        <v>113</v>
      </c>
      <c r="H780" s="25">
        <f>IF(G780="","",IF(G780="LIM",2,1))</f>
        <v>1</v>
      </c>
      <c r="I780" s="67">
        <v>4620</v>
      </c>
      <c r="J780" s="8" t="s">
        <v>151</v>
      </c>
      <c r="K780" s="9"/>
      <c r="L780" s="10"/>
      <c r="M780" s="111"/>
      <c r="N780" s="112"/>
      <c r="O780" s="6"/>
      <c r="P780" s="13"/>
      <c r="Q780" s="14"/>
      <c r="R780" s="15"/>
      <c r="S780" s="56"/>
      <c r="T780" s="15">
        <f>DATA[[#This Row],[C. DF]]+DATA[[#This Row],[C.OPE.]]</f>
        <v>0</v>
      </c>
      <c r="U780" s="73">
        <f>DATA[[#This Row],[SUB TOTAL]]*0.18</f>
        <v>0</v>
      </c>
      <c r="V780" s="45">
        <f>IFERROR(ROUND(DATA[[#This Row],[SUB TOTAL]]+DATA[[#This Row],[IGV]],2),0)</f>
        <v>0</v>
      </c>
      <c r="W780" s="73" t="str">
        <f>IF(DATA[[#This Row],[VALORIZACIÓN ]]="-","NO CORRESPONDE",IF(OR(A780=20558226979,A780=10470707866,A780=20111157058,A780=20100226902),"NO CORRESPONDE",IF(J780="Emitida",IF(P780&gt;0,"EMITIDA","PENDIENTE"),"NO CORRESPONDE")))</f>
        <v>NO CORRESPONDE</v>
      </c>
      <c r="X780" s="46"/>
      <c r="Y780" s="17" t="s">
        <v>128</v>
      </c>
      <c r="Z780" s="48"/>
      <c r="AA780" s="49"/>
      <c r="AB780" s="50"/>
      <c r="AC780" s="51"/>
      <c r="AD780" s="59">
        <f>DATA[[#This Row],[FECHA DE EMISION]]+DATA[[#This Row],[CONDICION DE PAGO]]</f>
        <v>0</v>
      </c>
      <c r="AE780" s="23">
        <f>IF(DATA[[#This Row],[MONEDA]]="USD",VLOOKUP(DATA[[#This Row],[COMBINADA]],#REF!,11,0),1)</f>
        <v>1</v>
      </c>
      <c r="AF780" s="129" t="str">
        <f>IF(DATA[[#This Row],[SERIE2]]="-","NO CORRESPONDE",IF(W780="NO CORRESPONDE","NO CORRESPONDE",IF(Z780&gt;0,"FACTURADO","PENDIENTE")))</f>
        <v>NO CORRESPONDE</v>
      </c>
      <c r="AG780" s="140">
        <f>IFERROR(VLOOKUP(DATA[[#This Row],[COMBINADA]],#REF!,6,0),0)</f>
        <v>0</v>
      </c>
      <c r="AH780" s="126">
        <f>IFERROR(VLOOKUP(DATA[[#This Row],[COMBINADA]],#REF!,9,0),0)/COUNTIFS(DATA[COMBINADA],DATA[[#This Row],[COMBINADA]])</f>
        <v>0</v>
      </c>
      <c r="AI780" s="140">
        <f>IFERROR(VLOOKUP(DATA[[#This Row],[COMBINADA]],#REF!,6,0),0)</f>
        <v>0</v>
      </c>
      <c r="AJ780" s="126">
        <f>IFERROR(VLOOKUP(DATA[[#This Row],[COMBINADA]],#REF!,9,0),0)/COUNTIFS(DATA[COMBINADA],DATA[[#This Row],[COMBINADA]])</f>
        <v>0</v>
      </c>
      <c r="AK780" s="163">
        <f>IFERROR(VLOOKUP(DATA[[#This Row],[COMBINADA]],#REF!,6,0),0)</f>
        <v>0</v>
      </c>
      <c r="AL780" s="161">
        <f>IFERROR(VLOOKUP(DATA[[#This Row],[COMBINADA]],#REF!,9,0),0)/COUNTIFS(DATA[COMBINADA],DATA[[#This Row],[COMBINADA]])</f>
        <v>0</v>
      </c>
      <c r="AM780" s="160">
        <f>IFERROR(VLOOKUP(DATA[[#This Row],[COMBINADA]],#REF!,6,0),0)</f>
        <v>0</v>
      </c>
      <c r="AN780" s="162">
        <f>IFERROR(VLOOKUP(DATA[[#This Row],[COMBINADA]],#REF!,9,0),0)/COUNTIFS(DATA[COMBINADA],DATA[[#This Row],[COMBINADA]])</f>
        <v>0</v>
      </c>
      <c r="AO780" s="163">
        <f>IFERROR(VLOOKUP(DATA[[#This Row],[COMBINADA]],#REF!,6,0),0)</f>
        <v>0</v>
      </c>
      <c r="AP780" s="162">
        <f>IFERROR(VLOOKUP(DATA[[#This Row],[COMBINADA]],#REF!,9,0),0)/COUNTIFS(DATA[COMBINADA],DATA[[#This Row],[COMBINADA]])</f>
        <v>0</v>
      </c>
      <c r="AQ780" s="164">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780" s="22" t="str">
        <f>IFERROR(IF(DATA[[#This Row],[estado_fact]]="FACTURADO",VLOOKUP(DATA[[#This Row],[SERIE2]]&amp;"-"&amp;DATA[[#This Row],[NUMERO]],#REF!,34,0),"NO CORRESPONDE"),"NO CORRESPONDE")</f>
        <v>NO CORRESPONDE</v>
      </c>
      <c r="AS780" s="198" t="str">
        <f>IF(DATA[[#This Row],[fecha_fs]]&gt;0,TEXT(DATA[[#This Row],[fecha_fs]],"Mmmm"),0)</f>
        <v>Junio</v>
      </c>
      <c r="AT780" s="199" t="str">
        <f>DATA[[#This Row],[SERIE2]]&amp;"-"&amp;DATA[[#This Row],[NUMERO]]</f>
        <v>-</v>
      </c>
      <c r="AU780" s="198">
        <f>DATA[[#This Row],[TOTAL]]*DATA[[#This Row],[T.C.]]</f>
        <v>0</v>
      </c>
      <c r="AV780" s="40">
        <f>DATA[[#This Row],[FECHA DE VAL.]]</f>
        <v>0</v>
      </c>
      <c r="AW780" s="40">
        <f>DATA[[#This Row],[FECHA DE EMISION]]</f>
        <v>0</v>
      </c>
      <c r="AX780" s="40">
        <f>DATA[[#This Row],[F1]]</f>
        <v>0</v>
      </c>
      <c r="AY780" s="49">
        <f>IF(AV780-DATA[[#This Row],[fecha_fs]]&lt;0,0,AV780-DATA[[#This Row],[fecha_fs]])</f>
        <v>0</v>
      </c>
      <c r="AZ780" s="49">
        <f>IF(AW780-AV780&lt;0,0,AW780-AV780)</f>
        <v>0</v>
      </c>
      <c r="BA780" s="49">
        <f>IF(AX780-AW780&lt;0,0,AX780-AW780)</f>
        <v>0</v>
      </c>
      <c r="BB780" s="195">
        <f>IFERROR(SUM(DATA[[#This Row],[fs_val_ttf]:[fact_pago_ttf]]),0)</f>
        <v>0</v>
      </c>
      <c r="BC780" s="204"/>
      <c r="BD780" s="204"/>
      <c r="BE780" s="204"/>
      <c r="BF780" s="233"/>
      <c r="BG780" s="49">
        <f>IFERROR(IF(BC780-DATA[[#This Row],[fecha_fs]]&lt;0,0,BC780-DATA[[#This Row],[fecha_fs]]),0)</f>
        <v>0</v>
      </c>
      <c r="BH780" s="49">
        <f>IFERROR(IF(BD780-BC780&lt;0,0,BD780-BC780),0)</f>
        <v>0</v>
      </c>
      <c r="BI780" s="49">
        <f>IFERROR(IF(BE780-BD780&lt;0,0,BE780-BD780),0)</f>
        <v>0</v>
      </c>
      <c r="BJ780" s="49">
        <f>IFERROR(IF(BF780-BE780&lt;0,0,BF780-BE780),0)</f>
        <v>0</v>
      </c>
      <c r="BK780" s="218">
        <f>IFERROR(SUM(DATA[[#This Row],[fs_fd_ttd]:[fend_fenf_ttd]]),0)</f>
        <v>0</v>
      </c>
      <c r="BL780" s="20" t="str">
        <f>IF(DATA[[#This Row],[fecha_fs]]&gt;0,TEXT(DATA[[#This Row],[fecha_fs]],"YYYY"),0)</f>
        <v>2025</v>
      </c>
      <c r="BM780" s="221" t="b">
        <v>0</v>
      </c>
      <c r="BN780" s="278"/>
      <c r="BO780" s="222"/>
    </row>
    <row r="781" spans="1:67" ht="30.6" customHeight="1" x14ac:dyDescent="0.25">
      <c r="A781" s="4">
        <v>20505675836</v>
      </c>
      <c r="B781" s="5" t="s">
        <v>42</v>
      </c>
      <c r="C781" s="52" t="s">
        <v>43</v>
      </c>
      <c r="D781" s="4" t="s">
        <v>157</v>
      </c>
      <c r="E781" s="5" t="s">
        <v>44</v>
      </c>
      <c r="F781" s="24">
        <v>45820</v>
      </c>
      <c r="G781" s="7" t="s">
        <v>113</v>
      </c>
      <c r="H781" s="25">
        <f t="shared" si="81"/>
        <v>1</v>
      </c>
      <c r="I781" s="67">
        <v>4621</v>
      </c>
      <c r="J781" s="8" t="s">
        <v>115</v>
      </c>
      <c r="K781" s="9" t="s">
        <v>158</v>
      </c>
      <c r="L781" s="10" t="s">
        <v>137</v>
      </c>
      <c r="M781" s="11">
        <v>1</v>
      </c>
      <c r="N781" s="12" t="s">
        <v>132</v>
      </c>
      <c r="O781" s="6">
        <v>45835</v>
      </c>
      <c r="P781" s="71">
        <v>3524</v>
      </c>
      <c r="Q781" s="14" t="s">
        <v>85</v>
      </c>
      <c r="R781" s="15">
        <v>0</v>
      </c>
      <c r="S781" s="15">
        <v>396.7</v>
      </c>
      <c r="T781" s="15">
        <f>DATA[[#This Row],[C. DF]]+DATA[[#This Row],[C.OPE.]]</f>
        <v>396.7</v>
      </c>
      <c r="U781" s="15">
        <f>DATA[[#This Row],[SUB TOTAL]]*0.18</f>
        <v>71.405999999999992</v>
      </c>
      <c r="V781" s="15">
        <f>IFERROR(ROUND(DATA[[#This Row],[SUB TOTAL]]+DATA[[#This Row],[IGV]],2),0)</f>
        <v>468.11</v>
      </c>
      <c r="W781" s="16" t="str">
        <f>IF(DATA[[#This Row],[VALORIZACIÓN ]]="-","NO CORRESPONDE",IF(OR(A781=20558226979,A781=10470707866,A781=20111157058,A781=20100226902),"NO CORRESPONDE",IF(J781="Emitida",IF(P781&gt;0,"EMITIDA","PENDIENTE"),"NO CORRESPONDE")))</f>
        <v>EMITIDA</v>
      </c>
      <c r="X781" s="29"/>
      <c r="Y781" s="17" t="s">
        <v>118</v>
      </c>
      <c r="Z781" s="30">
        <v>45848</v>
      </c>
      <c r="AA781" s="10" t="s">
        <v>150</v>
      </c>
      <c r="AB781" s="19">
        <v>170</v>
      </c>
      <c r="AC781" s="20">
        <v>30</v>
      </c>
      <c r="AD781" s="18">
        <f>DATA[[#This Row],[FECHA DE EMISION]]+DATA[[#This Row],[CONDICION DE PAGO]]</f>
        <v>45878</v>
      </c>
      <c r="AE781" s="23">
        <f>IF(DATA[[#This Row],[MONEDA]]="USD",VLOOKUP(DATA[[#This Row],[COMBINADA]],#REF!,11,0),1)</f>
        <v>1</v>
      </c>
      <c r="AF781" s="129" t="str">
        <f>IF(DATA[[#This Row],[SERIE2]]="-","NO CORRESPONDE",IF(W781="NO CORRESPONDE","NO CORRESPONDE",IF(Z781&gt;0,"FACTURADO","PENDIENTE")))</f>
        <v>FACTURADO</v>
      </c>
      <c r="AG781" s="133">
        <f>IFERROR(VLOOKUP(DATA[[#This Row],[COMBINADA]],#REF!,6,0),0)</f>
        <v>0</v>
      </c>
      <c r="AH781" s="125">
        <f>IFERROR(VLOOKUP(DATA[[#This Row],[COMBINADA]],#REF!,9,0),0)/COUNTIFS(DATA[COMBINADA],DATA[[#This Row],[COMBINADA]])</f>
        <v>0</v>
      </c>
      <c r="AI781" s="136">
        <f>IFERROR(VLOOKUP(DATA[[#This Row],[COMBINADA]],#REF!,6,0),0)</f>
        <v>0</v>
      </c>
      <c r="AJ781" s="132">
        <f>IFERROR(VLOOKUP(DATA[[#This Row],[COMBINADA]],#REF!,9,0),0)/COUNTIFS(DATA[COMBINADA],DATA[[#This Row],[COMBINADA]])</f>
        <v>0</v>
      </c>
      <c r="AK781" s="408">
        <f>IFERROR(VLOOKUP(DATA[[#This Row],[COMBINADA]],#REF!,6,0),0)</f>
        <v>0</v>
      </c>
      <c r="AL781" s="125">
        <f>IFERROR(VLOOKUP(DATA[[#This Row],[COMBINADA]],#REF!,9,0),0)/COUNTIFS(DATA[COMBINADA],DATA[[#This Row],[COMBINADA]])</f>
        <v>0</v>
      </c>
      <c r="AM781" s="133">
        <f>IFERROR(VLOOKUP(DATA[[#This Row],[COMBINADA]],#REF!,6,0),0)</f>
        <v>0</v>
      </c>
      <c r="AN781" s="125">
        <f>IFERROR(VLOOKUP(DATA[[#This Row],[COMBINADA]],#REF!,9,0),0)/COUNTIFS(DATA[COMBINADA],DATA[[#This Row],[COMBINADA]])</f>
        <v>0</v>
      </c>
      <c r="AO781" s="27">
        <f>IFERROR(VLOOKUP(DATA[[#This Row],[COMBINADA]],#REF!,6,0),0)</f>
        <v>0</v>
      </c>
      <c r="AP781" s="132">
        <f>IFERROR(VLOOKUP(DATA[[#This Row],[COMBINADA]],#REF!,9,0),0)/COUNTIFS(DATA[COMBINADA],DATA[[#This Row],[COMBINADA]])</f>
        <v>0</v>
      </c>
      <c r="AQ78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468.11</v>
      </c>
      <c r="AR781" s="26" t="str">
        <f>IFERROR(IF(DATA[[#This Row],[estado_fact]]="FACTURADO",VLOOKUP(DATA[[#This Row],[SERIE2]]&amp;"-"&amp;DATA[[#This Row],[NUMERO]],#REF!,34,0),"NO CORRESPONDE"),"NO CORRESPONDE")</f>
        <v>NO CORRESPONDE</v>
      </c>
      <c r="AS781" s="22" t="str">
        <f>IF(DATA[[#This Row],[fecha_fs]]&gt;0,TEXT(DATA[[#This Row],[fecha_fs]],"Mmmm"),0)</f>
        <v>Junio</v>
      </c>
      <c r="AT781" s="22" t="str">
        <f>DATA[[#This Row],[SERIE2]]&amp;"-"&amp;DATA[[#This Row],[NUMERO]]</f>
        <v>FF01-170</v>
      </c>
      <c r="AU781" s="28">
        <f>DATA[[#This Row],[TOTAL]]*DATA[[#This Row],[T.C.]]</f>
        <v>468.11</v>
      </c>
      <c r="AV781" s="6">
        <f>DATA[[#This Row],[FECHA DE VAL.]]</f>
        <v>45835</v>
      </c>
      <c r="AW781" s="6">
        <f>DATA[[#This Row],[FECHA DE EMISION]]</f>
        <v>45848</v>
      </c>
      <c r="AX781" s="6">
        <f>DATA[[#This Row],[F1]]</f>
        <v>0</v>
      </c>
      <c r="AY781" s="20">
        <f>IF(AV781-DATA[[#This Row],[fecha_fs]]&lt;0,0,AV781-DATA[[#This Row],[fecha_fs]])</f>
        <v>15</v>
      </c>
      <c r="AZ781" s="20">
        <f t="shared" si="82"/>
        <v>13</v>
      </c>
      <c r="BA781" s="20">
        <f t="shared" si="83"/>
        <v>0</v>
      </c>
      <c r="BB781" s="195">
        <f>IFERROR(SUM(DATA[[#This Row],[fs_val_ttf]:[fact_pago_ttf]]),0)</f>
        <v>28</v>
      </c>
      <c r="BC781" s="184">
        <v>45820</v>
      </c>
      <c r="BD781" s="184">
        <v>45820</v>
      </c>
      <c r="BE781" s="184">
        <v>45839</v>
      </c>
      <c r="BF781" s="233">
        <v>45839</v>
      </c>
      <c r="BG781" s="20">
        <f>IFERROR(IF(BC781-DATA[[#This Row],[fecha_fs]]&lt;0,0,BC781-DATA[[#This Row],[fecha_fs]]),0)</f>
        <v>0</v>
      </c>
      <c r="BH781" s="20">
        <f t="shared" si="84"/>
        <v>0</v>
      </c>
      <c r="BI781" s="20">
        <f t="shared" si="85"/>
        <v>19</v>
      </c>
      <c r="BJ781" s="20">
        <f t="shared" si="86"/>
        <v>0</v>
      </c>
      <c r="BK781" s="218">
        <f>IFERROR(SUM(DATA[[#This Row],[fs_fd_ttd]:[fend_fenf_ttd]]),0)</f>
        <v>19</v>
      </c>
      <c r="BL781" s="20" t="str">
        <f>IF(DATA[[#This Row],[fecha_fs]]&gt;0,TEXT(DATA[[#This Row],[fecha_fs]],"YYYY"),0)</f>
        <v>2025</v>
      </c>
      <c r="BM781" s="221" t="b">
        <v>1</v>
      </c>
      <c r="BN781" s="278">
        <f>COUNTIF(DATA[[#This Row],[tiempo_td]], "&lt;=15")</f>
        <v>0</v>
      </c>
      <c r="BO781" s="222"/>
    </row>
    <row r="782" spans="1:67" ht="30.6" customHeight="1" x14ac:dyDescent="0.25">
      <c r="A782" s="4">
        <v>20505675836</v>
      </c>
      <c r="B782" s="5" t="s">
        <v>42</v>
      </c>
      <c r="C782" s="52" t="s">
        <v>43</v>
      </c>
      <c r="D782" s="4" t="s">
        <v>112</v>
      </c>
      <c r="E782" s="5" t="s">
        <v>1</v>
      </c>
      <c r="F782" s="24">
        <v>45820</v>
      </c>
      <c r="G782" s="7" t="s">
        <v>113</v>
      </c>
      <c r="H782" s="25">
        <f t="shared" si="81"/>
        <v>1</v>
      </c>
      <c r="I782" s="67">
        <v>4622</v>
      </c>
      <c r="J782" s="8" t="s">
        <v>115</v>
      </c>
      <c r="K782" s="9" t="s">
        <v>116</v>
      </c>
      <c r="L782" s="10" t="s">
        <v>117</v>
      </c>
      <c r="M782" s="11">
        <v>1790</v>
      </c>
      <c r="N782" s="12" t="s">
        <v>132</v>
      </c>
      <c r="O782" s="6">
        <v>45835</v>
      </c>
      <c r="P782" s="71">
        <v>3523</v>
      </c>
      <c r="Q782" s="14" t="s">
        <v>85</v>
      </c>
      <c r="R782" s="15">
        <f>(DATA[[#This Row],[cantidad_fs]]-600)*0.97</f>
        <v>1154.3</v>
      </c>
      <c r="S782" s="15">
        <v>1427.2</v>
      </c>
      <c r="T782" s="15">
        <f>DATA[[#This Row],[C. DF]]+DATA[[#This Row],[C.OPE.]]</f>
        <v>2581.5</v>
      </c>
      <c r="U782" s="15">
        <f>DATA[[#This Row],[SUB TOTAL]]*0.18</f>
        <v>464.66999999999996</v>
      </c>
      <c r="V782" s="15">
        <f>IFERROR(ROUND(DATA[[#This Row],[SUB TOTAL]]+DATA[[#This Row],[IGV]],2),0)</f>
        <v>3046.17</v>
      </c>
      <c r="W782" s="16" t="str">
        <f>IF(DATA[[#This Row],[VALORIZACIÓN ]]="-","NO CORRESPONDE",IF(OR(A782=20558226979,A782=10470707866,A782=20111157058,A782=20100226902),"NO CORRESPONDE",IF(J782="Emitida",IF(P782&gt;0,"EMITIDA","PENDIENTE"),"NO CORRESPONDE")))</f>
        <v>EMITIDA</v>
      </c>
      <c r="X782" s="29"/>
      <c r="Y782" s="17" t="s">
        <v>118</v>
      </c>
      <c r="Z782" s="30">
        <v>45846</v>
      </c>
      <c r="AA782" s="10" t="s">
        <v>150</v>
      </c>
      <c r="AB782" s="19">
        <v>164</v>
      </c>
      <c r="AC782" s="20">
        <v>30</v>
      </c>
      <c r="AD782" s="18">
        <f>DATA[[#This Row],[FECHA DE EMISION]]+DATA[[#This Row],[CONDICION DE PAGO]]</f>
        <v>45876</v>
      </c>
      <c r="AE782" s="23">
        <f>IF(DATA[[#This Row],[MONEDA]]="USD",VLOOKUP(DATA[[#This Row],[COMBINADA]],#REF!,11,0),1)</f>
        <v>1</v>
      </c>
      <c r="AF782" s="129" t="str">
        <f>IF(DATA[[#This Row],[SERIE2]]="-","NO CORRESPONDE",IF(W782="NO CORRESPONDE","NO CORRESPONDE",IF(Z782&gt;0,"FACTURADO","PENDIENTE")))</f>
        <v>FACTURADO</v>
      </c>
      <c r="AG782" s="133">
        <f>IFERROR(VLOOKUP(DATA[[#This Row],[COMBINADA]],#REF!,6,0),0)</f>
        <v>0</v>
      </c>
      <c r="AH782" s="125">
        <f>IFERROR(VLOOKUP(DATA[[#This Row],[COMBINADA]],#REF!,9,0),0)/COUNTIFS(DATA[COMBINADA],DATA[[#This Row],[COMBINADA]])</f>
        <v>0</v>
      </c>
      <c r="AI782" s="136">
        <f>IFERROR(VLOOKUP(DATA[[#This Row],[COMBINADA]],#REF!,6,0),0)</f>
        <v>0</v>
      </c>
      <c r="AJ782" s="132">
        <f>IFERROR(VLOOKUP(DATA[[#This Row],[COMBINADA]],#REF!,9,0),0)/COUNTIFS(DATA[COMBINADA],DATA[[#This Row],[COMBINADA]])</f>
        <v>0</v>
      </c>
      <c r="AK782" s="408">
        <f>IFERROR(VLOOKUP(DATA[[#This Row],[COMBINADA]],#REF!,6,0),0)</f>
        <v>0</v>
      </c>
      <c r="AL782" s="125">
        <f>IFERROR(VLOOKUP(DATA[[#This Row],[COMBINADA]],#REF!,9,0),0)/COUNTIFS(DATA[COMBINADA],DATA[[#This Row],[COMBINADA]])</f>
        <v>0</v>
      </c>
      <c r="AM782" s="133">
        <f>IFERROR(VLOOKUP(DATA[[#This Row],[COMBINADA]],#REF!,6,0),0)</f>
        <v>0</v>
      </c>
      <c r="AN782" s="125">
        <f>IFERROR(VLOOKUP(DATA[[#This Row],[COMBINADA]],#REF!,9,0),0)/COUNTIFS(DATA[COMBINADA],DATA[[#This Row],[COMBINADA]])</f>
        <v>0</v>
      </c>
      <c r="AO782" s="27">
        <f>IFERROR(VLOOKUP(DATA[[#This Row],[COMBINADA]],#REF!,6,0),0)</f>
        <v>0</v>
      </c>
      <c r="AP782" s="132">
        <f>IFERROR(VLOOKUP(DATA[[#This Row],[COMBINADA]],#REF!,9,0),0)/COUNTIFS(DATA[COMBINADA],DATA[[#This Row],[COMBINADA]])</f>
        <v>0</v>
      </c>
      <c r="AQ78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2151.0974999999999</v>
      </c>
      <c r="AR782" s="26" t="str">
        <f>IFERROR(IF(DATA[[#This Row],[estado_fact]]="FACTURADO",VLOOKUP(DATA[[#This Row],[SERIE2]]&amp;"-"&amp;DATA[[#This Row],[NUMERO]],#REF!,34,0),"NO CORRESPONDE"),"NO CORRESPONDE")</f>
        <v>NO CORRESPONDE</v>
      </c>
      <c r="AS782" s="22" t="str">
        <f>IF(DATA[[#This Row],[fecha_fs]]&gt;0,TEXT(DATA[[#This Row],[fecha_fs]],"Mmmm"),0)</f>
        <v>Junio</v>
      </c>
      <c r="AT782" s="22" t="str">
        <f>DATA[[#This Row],[SERIE2]]&amp;"-"&amp;DATA[[#This Row],[NUMERO]]</f>
        <v>FF01-164</v>
      </c>
      <c r="AU782" s="28">
        <f>DATA[[#This Row],[TOTAL]]*DATA[[#This Row],[T.C.]]</f>
        <v>3046.17</v>
      </c>
      <c r="AV782" s="6">
        <f>DATA[[#This Row],[FECHA DE VAL.]]</f>
        <v>45835</v>
      </c>
      <c r="AW782" s="6">
        <f>DATA[[#This Row],[FECHA DE EMISION]]</f>
        <v>45846</v>
      </c>
      <c r="AX782" s="6">
        <f>DATA[[#This Row],[F1]]</f>
        <v>0</v>
      </c>
      <c r="AY782" s="20">
        <f>IF(AV782-DATA[[#This Row],[fecha_fs]]&lt;0,0,AV782-DATA[[#This Row],[fecha_fs]])</f>
        <v>15</v>
      </c>
      <c r="AZ782" s="20">
        <f t="shared" si="82"/>
        <v>11</v>
      </c>
      <c r="BA782" s="20">
        <f t="shared" si="83"/>
        <v>0</v>
      </c>
      <c r="BB782" s="195">
        <f>IFERROR(SUM(DATA[[#This Row],[fs_val_ttf]:[fact_pago_ttf]]),0)</f>
        <v>26</v>
      </c>
      <c r="BC782" s="184">
        <v>45828</v>
      </c>
      <c r="BD782" s="184">
        <v>45841</v>
      </c>
      <c r="BE782" s="184">
        <v>45848</v>
      </c>
      <c r="BF782" s="233">
        <v>45868</v>
      </c>
      <c r="BG782" s="20">
        <f>IFERROR(IF(BC782-DATA[[#This Row],[fecha_fs]]&lt;0,0,BC782-DATA[[#This Row],[fecha_fs]]),0)</f>
        <v>8</v>
      </c>
      <c r="BH782" s="20">
        <f t="shared" si="84"/>
        <v>13</v>
      </c>
      <c r="BI782" s="20">
        <f t="shared" si="85"/>
        <v>7</v>
      </c>
      <c r="BJ782" s="20">
        <f t="shared" si="86"/>
        <v>20</v>
      </c>
      <c r="BK782" s="218">
        <f>IFERROR(SUM(DATA[[#This Row],[fs_fd_ttd]:[fend_fenf_ttd]]),0)</f>
        <v>48</v>
      </c>
      <c r="BL782" s="20" t="str">
        <f>IF(DATA[[#This Row],[fecha_fs]]&gt;0,TEXT(DATA[[#This Row],[fecha_fs]],"YYYY"),0)</f>
        <v>2025</v>
      </c>
      <c r="BM782" s="221" t="b">
        <v>1</v>
      </c>
      <c r="BN782" s="278">
        <f>COUNTIF(DATA[[#This Row],[tiempo_td]], "&lt;=15")</f>
        <v>0</v>
      </c>
      <c r="BO782" s="222"/>
    </row>
    <row r="783" spans="1:67" ht="30" customHeight="1" x14ac:dyDescent="0.25">
      <c r="A783" s="4">
        <v>20100192064</v>
      </c>
      <c r="B783" s="5" t="s">
        <v>60</v>
      </c>
      <c r="C783" s="52" t="s">
        <v>65</v>
      </c>
      <c r="D783" s="4" t="s">
        <v>120</v>
      </c>
      <c r="E783" s="5" t="s">
        <v>3</v>
      </c>
      <c r="F783" s="24">
        <v>45820</v>
      </c>
      <c r="G783" s="7" t="s">
        <v>142</v>
      </c>
      <c r="H783" s="25">
        <f>IF(G783="","",IF(G783="LIM",2,1))</f>
        <v>2</v>
      </c>
      <c r="I783" s="67">
        <v>1099</v>
      </c>
      <c r="J783" s="8" t="s">
        <v>115</v>
      </c>
      <c r="K783" s="9" t="s">
        <v>121</v>
      </c>
      <c r="L783" s="10" t="s">
        <v>117</v>
      </c>
      <c r="M783" s="11">
        <v>440</v>
      </c>
      <c r="N783" s="12" t="s">
        <v>180</v>
      </c>
      <c r="O783" s="6">
        <v>45834</v>
      </c>
      <c r="P783" s="71">
        <v>3511</v>
      </c>
      <c r="Q783" s="14" t="s">
        <v>123</v>
      </c>
      <c r="R783" s="15">
        <f>(DATA[[#This Row],[cantidad_fs]]/1000)*(37+81.01)</f>
        <v>51.924400000000006</v>
      </c>
      <c r="S783" s="56">
        <v>103.6</v>
      </c>
      <c r="T783" s="15">
        <f>DATA[[#This Row],[C. DF]]+DATA[[#This Row],[C.OPE.]]</f>
        <v>155.52440000000001</v>
      </c>
      <c r="U783" s="15">
        <f>DATA[[#This Row],[SUB TOTAL]]*0.18</f>
        <v>27.994392000000001</v>
      </c>
      <c r="V783" s="15">
        <f>IFERROR(ROUND(DATA[[#This Row],[SUB TOTAL]]+DATA[[#This Row],[IGV]],2),0)</f>
        <v>183.52</v>
      </c>
      <c r="W783" s="16" t="str">
        <f>IF(DATA[[#This Row],[VALORIZACIÓN ]]="-","NO CORRESPONDE",IF(OR(A783=20558226979,A783=10470707866,A783=20111157058,A783=20100226902),"NO CORRESPONDE",IF(J783="Emitida",IF(P783&gt;0,"EMITIDA","PENDIENTE"),"NO CORRESPONDE")))</f>
        <v>EMITIDA</v>
      </c>
      <c r="X783" s="29"/>
      <c r="Y783" s="17" t="s">
        <v>118</v>
      </c>
      <c r="Z783" s="30">
        <v>45838</v>
      </c>
      <c r="AA783" s="10" t="s">
        <v>150</v>
      </c>
      <c r="AB783" s="19">
        <v>140</v>
      </c>
      <c r="AC783" s="20">
        <v>30</v>
      </c>
      <c r="AD783" s="18">
        <f>DATA[[#This Row],[FECHA DE EMISION]]+DATA[[#This Row],[CONDICION DE PAGO]]</f>
        <v>45868</v>
      </c>
      <c r="AE783" s="23" t="e">
        <f>IF(DATA[[#This Row],[MONEDA]]="USD",VLOOKUP(DATA[[#This Row],[COMBINADA]],#REF!,11,0),1)</f>
        <v>#REF!</v>
      </c>
      <c r="AF783" s="129" t="str">
        <f>IF(DATA[[#This Row],[SERIE2]]="-","NO CORRESPONDE",IF(W783="NO CORRESPONDE","NO CORRESPONDE",IF(Z783&gt;0,"FACTURADO","PENDIENTE")))</f>
        <v>FACTURADO</v>
      </c>
      <c r="AG783" s="133">
        <f>IFERROR(VLOOKUP(DATA[[#This Row],[COMBINADA]],#REF!,6,0),0)</f>
        <v>0</v>
      </c>
      <c r="AH783" s="125">
        <f>IFERROR(VLOOKUP(DATA[[#This Row],[COMBINADA]],#REF!,9,0),0)/COUNTIFS(DATA[COMBINADA],DATA[[#This Row],[COMBINADA]])</f>
        <v>0</v>
      </c>
      <c r="AI783" s="146">
        <f>IFERROR(VLOOKUP(DATA[[#This Row],[COMBINADA]],#REF!,6,0),0)</f>
        <v>0</v>
      </c>
      <c r="AJ783" s="145">
        <f>IFERROR(VLOOKUP(DATA[[#This Row],[COMBINADA]],#REF!,9,0),0)/COUNTIFS(DATA[COMBINADA],DATA[[#This Row],[COMBINADA]])</f>
        <v>0</v>
      </c>
      <c r="AK783" s="411">
        <f>IFERROR(VLOOKUP(DATA[[#This Row],[COMBINADA]],#REF!,6,0),0)</f>
        <v>0</v>
      </c>
      <c r="AL783" s="125">
        <f>IFERROR(VLOOKUP(DATA[[#This Row],[COMBINADA]],#REF!,9,0),0)/COUNTIFS(DATA[COMBINADA],DATA[[#This Row],[COMBINADA]])</f>
        <v>0</v>
      </c>
      <c r="AM783" s="140">
        <f>IFERROR(VLOOKUP(DATA[[#This Row],[COMBINADA]],#REF!,6,0),0)</f>
        <v>0</v>
      </c>
      <c r="AN783" s="126">
        <f>IFERROR(VLOOKUP(DATA[[#This Row],[COMBINADA]],#REF!,9,0),0)/COUNTIFS(DATA[COMBINADA],DATA[[#This Row],[COMBINADA]])</f>
        <v>0</v>
      </c>
      <c r="AO783" s="133">
        <f>IFERROR(VLOOKUP(DATA[[#This Row],[COMBINADA]],#REF!,6,0),0)</f>
        <v>0</v>
      </c>
      <c r="AP783" s="145">
        <f>IFERROR(VLOOKUP(DATA[[#This Row],[COMBINADA]],#REF!,9,0),0)/COUNTIFS(DATA[COMBINADA],DATA[[#This Row],[COMBINADA]])</f>
        <v>0</v>
      </c>
      <c r="AQ783" s="117">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469.822</v>
      </c>
      <c r="AR783" s="154" t="str">
        <f>IFERROR(IF(DATA[[#This Row],[estado_fact]]="FACTURADO",VLOOKUP(DATA[[#This Row],[SERIE2]]&amp;"-"&amp;DATA[[#This Row],[NUMERO]],#REF!,34,0),"NO CORRESPONDE"),"NO CORRESPONDE")</f>
        <v>NO CORRESPONDE</v>
      </c>
      <c r="AS783" s="72" t="str">
        <f>IF(DATA[[#This Row],[fecha_fs]]&gt;0,TEXT(DATA[[#This Row],[fecha_fs]],"Mmmm"),0)</f>
        <v>Junio</v>
      </c>
      <c r="AT783" s="22" t="str">
        <f>DATA[[#This Row],[SERIE2]]&amp;"-"&amp;DATA[[#This Row],[NUMERO]]</f>
        <v>FF01-140</v>
      </c>
      <c r="AU783" s="28" t="e">
        <f>DATA[[#This Row],[TOTAL]]*DATA[[#This Row],[T.C.]]</f>
        <v>#REF!</v>
      </c>
      <c r="AV783" s="6">
        <f>DATA[[#This Row],[FECHA DE VAL.]]</f>
        <v>45834</v>
      </c>
      <c r="AW783" s="6">
        <f>DATA[[#This Row],[FECHA DE EMISION]]</f>
        <v>45838</v>
      </c>
      <c r="AX783" s="6">
        <f>DATA[[#This Row],[F1]]</f>
        <v>0</v>
      </c>
      <c r="AY783" s="20">
        <f>IF(AV783-DATA[[#This Row],[fecha_fs]]&lt;0,0,AV783-DATA[[#This Row],[fecha_fs]])</f>
        <v>14</v>
      </c>
      <c r="AZ783" s="20">
        <f>IF(AW783-AV783&lt;0,0,AW783-AV783)</f>
        <v>4</v>
      </c>
      <c r="BA783" s="20">
        <f>IF(AX783-AW783&lt;0,0,AX783-AW783)</f>
        <v>0</v>
      </c>
      <c r="BB783" s="195">
        <f>IFERROR(SUM(DATA[[#This Row],[fs_val_ttf]:[fact_pago_ttf]]),0)</f>
        <v>18</v>
      </c>
      <c r="BC783" s="185">
        <v>45825</v>
      </c>
      <c r="BD783" s="185">
        <v>45840</v>
      </c>
      <c r="BE783" s="185">
        <v>45852</v>
      </c>
      <c r="BF783" s="233">
        <v>45868</v>
      </c>
      <c r="BG783" s="20">
        <f>IFERROR(IF(BC783-DATA[[#This Row],[fecha_fs]]&lt;0,0,BC783-DATA[[#This Row],[fecha_fs]]),0)</f>
        <v>5</v>
      </c>
      <c r="BH783" s="20">
        <f>IFERROR(IF(BD783-BC783&lt;0,0,BD783-BC783),0)</f>
        <v>15</v>
      </c>
      <c r="BI783" s="20">
        <f>IFERROR(IF(BE783-BD783&lt;0,0,BE783-BD783),0)</f>
        <v>12</v>
      </c>
      <c r="BJ783" s="20">
        <f>IFERROR(IF(BF783-BE783&lt;0,0,BF783-BE783),0)</f>
        <v>16</v>
      </c>
      <c r="BK783" s="218">
        <f>IFERROR(SUM(DATA[[#This Row],[fs_fd_ttd]:[fend_fenf_ttd]]),0)</f>
        <v>48</v>
      </c>
      <c r="BL783" s="20" t="str">
        <f>IF(DATA[[#This Row],[fecha_fs]]&gt;0,TEXT(DATA[[#This Row],[fecha_fs]],"YYYY"),0)</f>
        <v>2025</v>
      </c>
      <c r="BM783" s="221" t="b">
        <v>1</v>
      </c>
      <c r="BN783" s="278">
        <f>COUNTIF(DATA[[#This Row],[tiempo_td]], "&lt;=15")</f>
        <v>0</v>
      </c>
      <c r="BO783" s="222"/>
    </row>
    <row r="784" spans="1:67" ht="30.6" customHeight="1" x14ac:dyDescent="0.25">
      <c r="A784" s="4">
        <v>20141637941</v>
      </c>
      <c r="B784" s="5" t="s">
        <v>79</v>
      </c>
      <c r="C784" s="52" t="s">
        <v>18</v>
      </c>
      <c r="D784" s="4" t="s">
        <v>120</v>
      </c>
      <c r="E784" s="5" t="s">
        <v>3</v>
      </c>
      <c r="F784" s="24">
        <v>45821</v>
      </c>
      <c r="G784" s="7" t="s">
        <v>113</v>
      </c>
      <c r="H784" s="25">
        <f t="shared" si="81"/>
        <v>1</v>
      </c>
      <c r="I784" s="67">
        <v>4623</v>
      </c>
      <c r="J784" s="8" t="s">
        <v>115</v>
      </c>
      <c r="K784" s="9" t="s">
        <v>121</v>
      </c>
      <c r="L784" s="10" t="s">
        <v>117</v>
      </c>
      <c r="M784" s="11">
        <v>1400</v>
      </c>
      <c r="N784" s="12" t="s">
        <v>127</v>
      </c>
      <c r="O784" s="6">
        <v>45821</v>
      </c>
      <c r="P784" s="110">
        <v>3493</v>
      </c>
      <c r="Q784" s="14" t="s">
        <v>85</v>
      </c>
      <c r="R784" s="15">
        <f>70+(DATA[[#This Row],[cantidad_fs]]-1000)*0.1</f>
        <v>110</v>
      </c>
      <c r="S784" s="56">
        <v>517</v>
      </c>
      <c r="T784" s="15">
        <f>DATA[[#This Row],[C. DF]]+DATA[[#This Row],[C.OPE.]]</f>
        <v>627</v>
      </c>
      <c r="U784" s="15">
        <f>DATA[[#This Row],[SUB TOTAL]]*0.18</f>
        <v>112.86</v>
      </c>
      <c r="V784" s="15">
        <f>IFERROR(ROUND(DATA[[#This Row],[SUB TOTAL]]+DATA[[#This Row],[IGV]],2),0)</f>
        <v>739.86</v>
      </c>
      <c r="W784" s="16" t="str">
        <f>IF(DATA[[#This Row],[VALORIZACIÓN ]]="-","NO CORRESPONDE",IF(OR(A784=20558226979,A784=10470707866,A784=20111157058,A784=20100226902),"NO CORRESPONDE",IF(J784="Emitida",IF(P784&gt;0,"EMITIDA","PENDIENTE"),"NO CORRESPONDE")))</f>
        <v>EMITIDA</v>
      </c>
      <c r="X784" s="29"/>
      <c r="Y784" s="17" t="s">
        <v>118</v>
      </c>
      <c r="Z784" s="30">
        <v>45825</v>
      </c>
      <c r="AA784" s="10" t="s">
        <v>150</v>
      </c>
      <c r="AB784" s="19">
        <v>124</v>
      </c>
      <c r="AC784" s="20">
        <v>30</v>
      </c>
      <c r="AD784" s="18">
        <f>DATA[[#This Row],[FECHA DE EMISION]]+DATA[[#This Row],[CONDICION DE PAGO]]</f>
        <v>45855</v>
      </c>
      <c r="AE784" s="23">
        <f>IF(DATA[[#This Row],[MONEDA]]="USD",VLOOKUP(DATA[[#This Row],[COMBINADA]],#REF!,11,0),1)</f>
        <v>1</v>
      </c>
      <c r="AF784" s="129" t="str">
        <f>IF(DATA[[#This Row],[SERIE2]]="-","NO CORRESPONDE",IF(W784="NO CORRESPONDE","NO CORRESPONDE",IF(Z784&gt;0,"FACTURADO","PENDIENTE")))</f>
        <v>FACTURADO</v>
      </c>
      <c r="AG784" s="133">
        <f>IFERROR(VLOOKUP(DATA[[#This Row],[COMBINADA]],#REF!,6,0),0)</f>
        <v>0</v>
      </c>
      <c r="AH784" s="125">
        <f>IFERROR(VLOOKUP(DATA[[#This Row],[COMBINADA]],#REF!,9,0),0)/COUNTIFS(DATA[COMBINADA],DATA[[#This Row],[COMBINADA]])</f>
        <v>0</v>
      </c>
      <c r="AI784" s="136">
        <f>IFERROR(VLOOKUP(DATA[[#This Row],[COMBINADA]],#REF!,6,0),0)</f>
        <v>0</v>
      </c>
      <c r="AJ784" s="132">
        <f>IFERROR(VLOOKUP(DATA[[#This Row],[COMBINADA]],#REF!,9,0),0)/COUNTIFS(DATA[COMBINADA],DATA[[#This Row],[COMBINADA]])</f>
        <v>0</v>
      </c>
      <c r="AK784" s="408">
        <f>IFERROR(VLOOKUP(DATA[[#This Row],[COMBINADA]],#REF!,6,0),0)</f>
        <v>0</v>
      </c>
      <c r="AL784" s="125">
        <f>IFERROR(VLOOKUP(DATA[[#This Row],[COMBINADA]],#REF!,9,0),0)/COUNTIFS(DATA[COMBINADA],DATA[[#This Row],[COMBINADA]])</f>
        <v>0</v>
      </c>
      <c r="AM784" s="133">
        <f>IFERROR(VLOOKUP(DATA[[#This Row],[COMBINADA]],#REF!,6,0),0)</f>
        <v>0</v>
      </c>
      <c r="AN784" s="125">
        <f>IFERROR(VLOOKUP(DATA[[#This Row],[COMBINADA]],#REF!,9,0),0)/COUNTIFS(DATA[COMBINADA],DATA[[#This Row],[COMBINADA]])</f>
        <v>0</v>
      </c>
      <c r="AO784" s="27">
        <f>IFERROR(VLOOKUP(DATA[[#This Row],[COMBINADA]],#REF!,6,0),0)</f>
        <v>0</v>
      </c>
      <c r="AP784" s="132">
        <f>IFERROR(VLOOKUP(DATA[[#This Row],[COMBINADA]],#REF!,9,0),0)/COUNTIFS(DATA[COMBINADA],DATA[[#This Row],[COMBINADA]])</f>
        <v>0</v>
      </c>
      <c r="AQ78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708.78666666666675</v>
      </c>
      <c r="AR784" s="26" t="str">
        <f>IFERROR(IF(DATA[[#This Row],[estado_fact]]="FACTURADO",VLOOKUP(DATA[[#This Row],[SERIE2]]&amp;"-"&amp;DATA[[#This Row],[NUMERO]],#REF!,34,0),"NO CORRESPONDE"),"NO CORRESPONDE")</f>
        <v>NO CORRESPONDE</v>
      </c>
      <c r="AS784" s="22" t="str">
        <f>IF(DATA[[#This Row],[fecha_fs]]&gt;0,TEXT(DATA[[#This Row],[fecha_fs]],"Mmmm"),0)</f>
        <v>Junio</v>
      </c>
      <c r="AT784" s="22" t="str">
        <f>DATA[[#This Row],[SERIE2]]&amp;"-"&amp;DATA[[#This Row],[NUMERO]]</f>
        <v>FF01-124</v>
      </c>
      <c r="AU784" s="28">
        <f>DATA[[#This Row],[TOTAL]]*DATA[[#This Row],[T.C.]]</f>
        <v>739.86</v>
      </c>
      <c r="AV784" s="6">
        <f>DATA[[#This Row],[FECHA DE VAL.]]</f>
        <v>45821</v>
      </c>
      <c r="AW784" s="6">
        <f>DATA[[#This Row],[FECHA DE EMISION]]</f>
        <v>45825</v>
      </c>
      <c r="AX784" s="6">
        <f>DATA[[#This Row],[F1]]</f>
        <v>0</v>
      </c>
      <c r="AY784" s="20">
        <f>IF(AV784-DATA[[#This Row],[fecha_fs]]&lt;0,0,AV784-DATA[[#This Row],[fecha_fs]])</f>
        <v>0</v>
      </c>
      <c r="AZ784" s="20">
        <f t="shared" si="82"/>
        <v>4</v>
      </c>
      <c r="BA784" s="20">
        <f t="shared" si="83"/>
        <v>0</v>
      </c>
      <c r="BB784" s="195">
        <f>IFERROR(SUM(DATA[[#This Row],[fs_val_ttf]:[fact_pago_ttf]]),0)</f>
        <v>4</v>
      </c>
      <c r="BC784" s="184">
        <v>45821</v>
      </c>
      <c r="BD784" s="184">
        <v>45821</v>
      </c>
      <c r="BE784" s="184">
        <v>45825</v>
      </c>
      <c r="BF784" s="235">
        <v>45825</v>
      </c>
      <c r="BG784" s="20">
        <f>IFERROR(IF(BC784-DATA[[#This Row],[fecha_fs]]&lt;0,0,BC784-DATA[[#This Row],[fecha_fs]]),0)</f>
        <v>0</v>
      </c>
      <c r="BH784" s="20">
        <f t="shared" si="84"/>
        <v>0</v>
      </c>
      <c r="BI784" s="20">
        <f t="shared" si="85"/>
        <v>4</v>
      </c>
      <c r="BJ784" s="20">
        <f t="shared" si="86"/>
        <v>0</v>
      </c>
      <c r="BK784" s="218">
        <f>IFERROR(SUM(DATA[[#This Row],[fs_fd_ttd]:[fend_fenf_ttd]]),0)</f>
        <v>4</v>
      </c>
      <c r="BL784" s="20" t="str">
        <f>IF(DATA[[#This Row],[fecha_fs]]&gt;0,TEXT(DATA[[#This Row],[fecha_fs]],"YYYY"),0)</f>
        <v>2025</v>
      </c>
      <c r="BM784" s="221" t="b">
        <v>1</v>
      </c>
      <c r="BN784" s="278">
        <f>COUNTIF(DATA[[#This Row],[tiempo_td]], "&lt;=15")</f>
        <v>1</v>
      </c>
      <c r="BO784" s="222"/>
    </row>
    <row r="785" spans="1:67" ht="30.6" customHeight="1" x14ac:dyDescent="0.25">
      <c r="A785" s="4">
        <v>20100211115</v>
      </c>
      <c r="B785" s="5" t="s">
        <v>41</v>
      </c>
      <c r="C785" s="52" t="s">
        <v>18</v>
      </c>
      <c r="D785" s="4" t="s">
        <v>120</v>
      </c>
      <c r="E785" s="5" t="s">
        <v>3</v>
      </c>
      <c r="F785" s="24">
        <v>45821</v>
      </c>
      <c r="G785" s="7" t="s">
        <v>113</v>
      </c>
      <c r="H785" s="25">
        <f t="shared" si="81"/>
        <v>1</v>
      </c>
      <c r="I785" s="67">
        <v>4624</v>
      </c>
      <c r="J785" s="8" t="s">
        <v>115</v>
      </c>
      <c r="K785" s="9" t="s">
        <v>121</v>
      </c>
      <c r="L785" s="10" t="s">
        <v>117</v>
      </c>
      <c r="M785" s="11">
        <v>90</v>
      </c>
      <c r="N785" s="12" t="s">
        <v>167</v>
      </c>
      <c r="O785" s="6">
        <v>45834</v>
      </c>
      <c r="P785" s="115">
        <v>3515</v>
      </c>
      <c r="Q785" s="14" t="s">
        <v>85</v>
      </c>
      <c r="R785" s="75"/>
      <c r="S785" s="15">
        <f>(DATA[[#This Row],[cantidad_fs]]*4.17)</f>
        <v>375.3</v>
      </c>
      <c r="T785" s="15">
        <f>DATA[[#This Row],[C. DF]]+DATA[[#This Row],[C.OPE.]]</f>
        <v>375.3</v>
      </c>
      <c r="U785" s="15">
        <f>DATA[[#This Row],[SUB TOTAL]]*0.18</f>
        <v>67.554000000000002</v>
      </c>
      <c r="V785" s="15">
        <f>IFERROR(ROUND(DATA[[#This Row],[SUB TOTAL]]+DATA[[#This Row],[IGV]],2),0)</f>
        <v>442.85</v>
      </c>
      <c r="W785" s="16" t="str">
        <f>IF(DATA[[#This Row],[VALORIZACIÓN ]]="-","NO CORRESPONDE",IF(OR(A785=20558226979,A785=10470707866,A785=20111157058,A785=20100226902),"NO CORRESPONDE",IF(J785="Emitida",IF(P785&gt;0,"EMITIDA","PENDIENTE"),"NO CORRESPONDE")))</f>
        <v>EMITIDA</v>
      </c>
      <c r="X785" s="29"/>
      <c r="Y785" s="17" t="s">
        <v>118</v>
      </c>
      <c r="Z785" s="30">
        <v>45835</v>
      </c>
      <c r="AA785" s="10" t="s">
        <v>150</v>
      </c>
      <c r="AB785" s="19">
        <v>137</v>
      </c>
      <c r="AC785" s="20">
        <v>30</v>
      </c>
      <c r="AD785" s="18">
        <f>DATA[[#This Row],[FECHA DE EMISION]]+DATA[[#This Row],[CONDICION DE PAGO]]</f>
        <v>45865</v>
      </c>
      <c r="AE785" s="23">
        <f>IF(DATA[[#This Row],[MONEDA]]="USD",VLOOKUP(DATA[[#This Row],[COMBINADA]],#REF!,11,0),1)</f>
        <v>1</v>
      </c>
      <c r="AF785" s="129" t="str">
        <f>IF(DATA[[#This Row],[SERIE2]]="-","NO CORRESPONDE",IF(W785="NO CORRESPONDE","NO CORRESPONDE",IF(Z785&gt;0,"FACTURADO","PENDIENTE")))</f>
        <v>FACTURADO</v>
      </c>
      <c r="AG785" s="133">
        <f>IFERROR(VLOOKUP(DATA[[#This Row],[COMBINADA]],#REF!,6,0),0)</f>
        <v>0</v>
      </c>
      <c r="AH785" s="125">
        <f>IFERROR(VLOOKUP(DATA[[#This Row],[COMBINADA]],#REF!,9,0),0)/COUNTIFS(DATA[COMBINADA],DATA[[#This Row],[COMBINADA]])</f>
        <v>0</v>
      </c>
      <c r="AI785" s="136">
        <f>IFERROR(VLOOKUP(DATA[[#This Row],[COMBINADA]],#REF!,6,0),0)</f>
        <v>0</v>
      </c>
      <c r="AJ785" s="132">
        <f>IFERROR(VLOOKUP(DATA[[#This Row],[COMBINADA]],#REF!,9,0),0)/COUNTIFS(DATA[COMBINADA],DATA[[#This Row],[COMBINADA]])</f>
        <v>0</v>
      </c>
      <c r="AK785" s="408">
        <f>IFERROR(VLOOKUP(DATA[[#This Row],[COMBINADA]],#REF!,6,0),0)</f>
        <v>0</v>
      </c>
      <c r="AL785" s="125">
        <f>IFERROR(VLOOKUP(DATA[[#This Row],[COMBINADA]],#REF!,9,0),0)/COUNTIFS(DATA[COMBINADA],DATA[[#This Row],[COMBINADA]])</f>
        <v>0</v>
      </c>
      <c r="AM785" s="133">
        <f>IFERROR(VLOOKUP(DATA[[#This Row],[COMBINADA]],#REF!,6,0),0)</f>
        <v>0</v>
      </c>
      <c r="AN785" s="125">
        <f>IFERROR(VLOOKUP(DATA[[#This Row],[COMBINADA]],#REF!,9,0),0)/COUNTIFS(DATA[COMBINADA],DATA[[#This Row],[COMBINADA]])</f>
        <v>0</v>
      </c>
      <c r="AO785" s="27">
        <f>IFERROR(VLOOKUP(DATA[[#This Row],[COMBINADA]],#REF!,6,0),0)</f>
        <v>0</v>
      </c>
      <c r="AP785" s="132">
        <f>IFERROR(VLOOKUP(DATA[[#This Row],[COMBINADA]],#REF!,9,0),0)/COUNTIFS(DATA[COMBINADA],DATA[[#This Row],[COMBINADA]])</f>
        <v>0</v>
      </c>
      <c r="AQ78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785" s="26" t="str">
        <f>IFERROR(IF(DATA[[#This Row],[estado_fact]]="FACTURADO",VLOOKUP(DATA[[#This Row],[SERIE2]]&amp;"-"&amp;DATA[[#This Row],[NUMERO]],#REF!,34,0),"NO CORRESPONDE"),"NO CORRESPONDE")</f>
        <v>NO CORRESPONDE</v>
      </c>
      <c r="AS785" s="22" t="str">
        <f>IF(DATA[[#This Row],[fecha_fs]]&gt;0,TEXT(DATA[[#This Row],[fecha_fs]],"Mmmm"),0)</f>
        <v>Junio</v>
      </c>
      <c r="AT785" s="22" t="str">
        <f>DATA[[#This Row],[SERIE2]]&amp;"-"&amp;DATA[[#This Row],[NUMERO]]</f>
        <v>FF01-137</v>
      </c>
      <c r="AU785" s="28">
        <f>DATA[[#This Row],[TOTAL]]*DATA[[#This Row],[T.C.]]</f>
        <v>442.85</v>
      </c>
      <c r="AV785" s="6">
        <f>DATA[[#This Row],[FECHA DE VAL.]]</f>
        <v>45834</v>
      </c>
      <c r="AW785" s="6">
        <f>DATA[[#This Row],[FECHA DE EMISION]]</f>
        <v>45835</v>
      </c>
      <c r="AX785" s="6">
        <f>DATA[[#This Row],[F1]]</f>
        <v>0</v>
      </c>
      <c r="AY785" s="20">
        <f>IF(AV785-DATA[[#This Row],[fecha_fs]]&lt;0,0,AV785-DATA[[#This Row],[fecha_fs]])</f>
        <v>13</v>
      </c>
      <c r="AZ785" s="20">
        <f t="shared" si="82"/>
        <v>1</v>
      </c>
      <c r="BA785" s="20">
        <f t="shared" si="83"/>
        <v>0</v>
      </c>
      <c r="BB785" s="195">
        <f>IFERROR(SUM(DATA[[#This Row],[fs_val_ttf]:[fact_pago_ttf]]),0)</f>
        <v>14</v>
      </c>
      <c r="BC785" s="185">
        <v>45838</v>
      </c>
      <c r="BD785" s="185">
        <v>45846</v>
      </c>
      <c r="BE785" s="185">
        <v>45848</v>
      </c>
      <c r="BF785" s="185">
        <v>45849</v>
      </c>
      <c r="BG785" s="20">
        <f>IFERROR(IF(BC785-DATA[[#This Row],[fecha_fs]]&lt;0,0,BC785-DATA[[#This Row],[fecha_fs]]),0)</f>
        <v>17</v>
      </c>
      <c r="BH785" s="20">
        <f t="shared" si="84"/>
        <v>8</v>
      </c>
      <c r="BI785" s="20">
        <f t="shared" si="85"/>
        <v>2</v>
      </c>
      <c r="BJ785" s="20">
        <f t="shared" si="86"/>
        <v>1</v>
      </c>
      <c r="BK785" s="218">
        <f>IFERROR(SUM(DATA[[#This Row],[fs_fd_ttd]:[fend_fenf_ttd]]),0)</f>
        <v>28</v>
      </c>
      <c r="BL785" s="20" t="str">
        <f>IF(DATA[[#This Row],[fecha_fs]]&gt;0,TEXT(DATA[[#This Row],[fecha_fs]],"YYYY"),0)</f>
        <v>2025</v>
      </c>
      <c r="BM785" s="221" t="b">
        <v>1</v>
      </c>
      <c r="BN785" s="278">
        <f>COUNTIF(DATA[[#This Row],[tiempo_td]], "&lt;=15")</f>
        <v>0</v>
      </c>
      <c r="BO785" s="222"/>
    </row>
    <row r="786" spans="1:67" ht="30.6" customHeight="1" x14ac:dyDescent="0.25">
      <c r="A786" s="4">
        <v>20100172543</v>
      </c>
      <c r="B786" s="5" t="s">
        <v>67</v>
      </c>
      <c r="C786" s="52" t="s">
        <v>18</v>
      </c>
      <c r="D786" s="4" t="s">
        <v>112</v>
      </c>
      <c r="E786" s="5" t="s">
        <v>1</v>
      </c>
      <c r="F786" s="24">
        <v>45821</v>
      </c>
      <c r="G786" s="7" t="s">
        <v>113</v>
      </c>
      <c r="H786" s="25">
        <f t="shared" si="81"/>
        <v>1</v>
      </c>
      <c r="I786" s="67">
        <v>4625</v>
      </c>
      <c r="J786" s="8" t="s">
        <v>115</v>
      </c>
      <c r="K786" s="9" t="s">
        <v>116</v>
      </c>
      <c r="L786" s="10" t="s">
        <v>117</v>
      </c>
      <c r="M786" s="11">
        <v>710</v>
      </c>
      <c r="N786" s="12" t="s">
        <v>132</v>
      </c>
      <c r="O786" s="6">
        <v>45824</v>
      </c>
      <c r="P786" s="13">
        <v>3496</v>
      </c>
      <c r="Q786" s="14" t="s">
        <v>85</v>
      </c>
      <c r="R786" s="15">
        <f>DATA[[#This Row],[cantidad_fs]]*0.42</f>
        <v>298.2</v>
      </c>
      <c r="S786" s="15">
        <v>912.42</v>
      </c>
      <c r="T786" s="15">
        <f>DATA[[#This Row],[C. DF]]+DATA[[#This Row],[C.OPE.]]</f>
        <v>1210.6199999999999</v>
      </c>
      <c r="U786" s="15">
        <f>DATA[[#This Row],[SUB TOTAL]]*0.18</f>
        <v>217.91159999999996</v>
      </c>
      <c r="V786" s="15">
        <f>IFERROR(ROUND(DATA[[#This Row],[SUB TOTAL]]+DATA[[#This Row],[IGV]],2),0)</f>
        <v>1428.53</v>
      </c>
      <c r="W786" s="16" t="str">
        <f>IF(DATA[[#This Row],[VALORIZACIÓN ]]="-","NO CORRESPONDE",IF(OR(A786=20558226979,A786=10470707866,A786=20111157058,A786=20100226902),"NO CORRESPONDE",IF(J786="Emitida",IF(P786&gt;0,"EMITIDA","PENDIENTE"),"NO CORRESPONDE")))</f>
        <v>EMITIDA</v>
      </c>
      <c r="X786" s="29"/>
      <c r="Y786" s="17" t="s">
        <v>118</v>
      </c>
      <c r="Z786" s="30">
        <v>45827</v>
      </c>
      <c r="AA786" s="10" t="s">
        <v>150</v>
      </c>
      <c r="AB786" s="19">
        <v>125</v>
      </c>
      <c r="AC786" s="20">
        <v>15</v>
      </c>
      <c r="AD786" s="18">
        <f>DATA[[#This Row],[FECHA DE EMISION]]+DATA[[#This Row],[CONDICION DE PAGO]]</f>
        <v>45842</v>
      </c>
      <c r="AE786" s="23">
        <f>IF(DATA[[#This Row],[MONEDA]]="USD",VLOOKUP(DATA[[#This Row],[COMBINADA]],#REF!,11,0),1)</f>
        <v>1</v>
      </c>
      <c r="AF786" s="129" t="str">
        <f>IF(DATA[[#This Row],[SERIE2]]="-","NO CORRESPONDE",IF(W786="NO CORRESPONDE","NO CORRESPONDE",IF(Z786&gt;0,"FACTURADO","PENDIENTE")))</f>
        <v>FACTURADO</v>
      </c>
      <c r="AG786" s="133">
        <f>IFERROR(VLOOKUP(DATA[[#This Row],[COMBINADA]],#REF!,6,0),0)</f>
        <v>0</v>
      </c>
      <c r="AH786" s="125">
        <f>IFERROR(VLOOKUP(DATA[[#This Row],[COMBINADA]],#REF!,9,0),0)/COUNTIFS(DATA[COMBINADA],DATA[[#This Row],[COMBINADA]])</f>
        <v>0</v>
      </c>
      <c r="AI786" s="136">
        <f>IFERROR(VLOOKUP(DATA[[#This Row],[COMBINADA]],#REF!,6,0),0)</f>
        <v>0</v>
      </c>
      <c r="AJ786" s="132">
        <f>IFERROR(VLOOKUP(DATA[[#This Row],[COMBINADA]],#REF!,9,0),0)/COUNTIFS(DATA[COMBINADA],DATA[[#This Row],[COMBINADA]])</f>
        <v>0</v>
      </c>
      <c r="AK786" s="408">
        <f>IFERROR(VLOOKUP(DATA[[#This Row],[COMBINADA]],#REF!,6,0),0)</f>
        <v>0</v>
      </c>
      <c r="AL786" s="125">
        <f>IFERROR(VLOOKUP(DATA[[#This Row],[COMBINADA]],#REF!,9,0),0)/COUNTIFS(DATA[COMBINADA],DATA[[#This Row],[COMBINADA]])</f>
        <v>0</v>
      </c>
      <c r="AM786" s="133">
        <f>IFERROR(VLOOKUP(DATA[[#This Row],[COMBINADA]],#REF!,6,0),0)</f>
        <v>0</v>
      </c>
      <c r="AN786" s="125">
        <f>IFERROR(VLOOKUP(DATA[[#This Row],[COMBINADA]],#REF!,9,0),0)/COUNTIFS(DATA[COMBINADA],DATA[[#This Row],[COMBINADA]])</f>
        <v>0</v>
      </c>
      <c r="AO786" s="27">
        <f>IFERROR(VLOOKUP(DATA[[#This Row],[COMBINADA]],#REF!,6,0),0)</f>
        <v>0</v>
      </c>
      <c r="AP786" s="132">
        <f>IFERROR(VLOOKUP(DATA[[#This Row],[COMBINADA]],#REF!,9,0),0)/COUNTIFS(DATA[COMBINADA],DATA[[#This Row],[COMBINADA]])</f>
        <v>0</v>
      </c>
      <c r="AQ78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1428.53</v>
      </c>
      <c r="AR786" s="26" t="str">
        <f>IFERROR(IF(DATA[[#This Row],[estado_fact]]="FACTURADO",VLOOKUP(DATA[[#This Row],[SERIE2]]&amp;"-"&amp;DATA[[#This Row],[NUMERO]],#REF!,34,0),"NO CORRESPONDE"),"NO CORRESPONDE")</f>
        <v>NO CORRESPONDE</v>
      </c>
      <c r="AS786" s="22" t="str">
        <f>IF(DATA[[#This Row],[fecha_fs]]&gt;0,TEXT(DATA[[#This Row],[fecha_fs]],"Mmmm"),0)</f>
        <v>Junio</v>
      </c>
      <c r="AT786" s="22" t="str">
        <f>DATA[[#This Row],[SERIE2]]&amp;"-"&amp;DATA[[#This Row],[NUMERO]]</f>
        <v>FF01-125</v>
      </c>
      <c r="AU786" s="28">
        <f>DATA[[#This Row],[TOTAL]]*DATA[[#This Row],[T.C.]]</f>
        <v>1428.53</v>
      </c>
      <c r="AV786" s="6">
        <f>DATA[[#This Row],[FECHA DE VAL.]]</f>
        <v>45824</v>
      </c>
      <c r="AW786" s="6">
        <f>DATA[[#This Row],[FECHA DE EMISION]]</f>
        <v>45827</v>
      </c>
      <c r="AX786" s="6">
        <f>DATA[[#This Row],[F1]]</f>
        <v>0</v>
      </c>
      <c r="AY786" s="20">
        <f>IF(AV786-DATA[[#This Row],[fecha_fs]]&lt;0,0,AV786-DATA[[#This Row],[fecha_fs]])</f>
        <v>3</v>
      </c>
      <c r="AZ786" s="20">
        <f t="shared" si="82"/>
        <v>3</v>
      </c>
      <c r="BA786" s="20">
        <f t="shared" si="83"/>
        <v>0</v>
      </c>
      <c r="BB786" s="195">
        <f>IFERROR(SUM(DATA[[#This Row],[fs_val_ttf]:[fact_pago_ttf]]),0)</f>
        <v>6</v>
      </c>
      <c r="BC786" s="184">
        <v>45828</v>
      </c>
      <c r="BD786" s="184">
        <v>45841</v>
      </c>
      <c r="BE786" s="184">
        <v>45838</v>
      </c>
      <c r="BF786" s="185">
        <v>45882</v>
      </c>
      <c r="BG786" s="20">
        <f>IFERROR(IF(BC786-DATA[[#This Row],[fecha_fs]]&lt;0,0,BC786-DATA[[#This Row],[fecha_fs]]),0)</f>
        <v>7</v>
      </c>
      <c r="BH786" s="20">
        <f t="shared" si="84"/>
        <v>13</v>
      </c>
      <c r="BI786" s="20">
        <f t="shared" si="85"/>
        <v>0</v>
      </c>
      <c r="BJ786" s="20">
        <f t="shared" si="86"/>
        <v>44</v>
      </c>
      <c r="BK786" s="218">
        <f>IFERROR(SUM(DATA[[#This Row],[fs_fd_ttd]:[fend_fenf_ttd]]),0)</f>
        <v>64</v>
      </c>
      <c r="BL786" s="20" t="str">
        <f>IF(DATA[[#This Row],[fecha_fs]]&gt;0,TEXT(DATA[[#This Row],[fecha_fs]],"YYYY"),0)</f>
        <v>2025</v>
      </c>
      <c r="BM786" s="221" t="b">
        <v>1</v>
      </c>
      <c r="BN786" s="278">
        <f>COUNTIF(DATA[[#This Row],[tiempo_td]], "&lt;=15")</f>
        <v>0</v>
      </c>
      <c r="BO786" s="222"/>
    </row>
    <row r="787" spans="1:67" ht="30.6" customHeight="1" x14ac:dyDescent="0.25">
      <c r="A787" s="4">
        <v>20100192064</v>
      </c>
      <c r="B787" s="5" t="s">
        <v>60</v>
      </c>
      <c r="C787" s="52" t="s">
        <v>43</v>
      </c>
      <c r="D787" s="4" t="s">
        <v>120</v>
      </c>
      <c r="E787" s="5" t="s">
        <v>3</v>
      </c>
      <c r="F787" s="24">
        <v>45821</v>
      </c>
      <c r="G787" s="7" t="s">
        <v>113</v>
      </c>
      <c r="H787" s="25">
        <f t="shared" si="81"/>
        <v>1</v>
      </c>
      <c r="I787" s="67">
        <v>4626</v>
      </c>
      <c r="J787" s="8" t="s">
        <v>115</v>
      </c>
      <c r="K787" s="9" t="s">
        <v>121</v>
      </c>
      <c r="L787" s="10" t="s">
        <v>117</v>
      </c>
      <c r="M787" s="11">
        <v>840</v>
      </c>
      <c r="N787" s="12" t="s">
        <v>132</v>
      </c>
      <c r="O787" s="6">
        <v>45834</v>
      </c>
      <c r="P787" s="71">
        <v>3505</v>
      </c>
      <c r="Q787" s="14" t="s">
        <v>123</v>
      </c>
      <c r="R787" s="15">
        <f>(DATA[[#This Row],[cantidad_fs]]/1000)*(47+174.34)</f>
        <v>185.9256</v>
      </c>
      <c r="S787" s="56">
        <v>137</v>
      </c>
      <c r="T787" s="15">
        <f>DATA[[#This Row],[C. DF]]+DATA[[#This Row],[C.OPE.]]</f>
        <v>322.92560000000003</v>
      </c>
      <c r="U787" s="15">
        <f>DATA[[#This Row],[SUB TOTAL]]*0.18</f>
        <v>58.126608000000004</v>
      </c>
      <c r="V787" s="15">
        <f>IFERROR(ROUND(DATA[[#This Row],[SUB TOTAL]]+DATA[[#This Row],[IGV]],2),0)</f>
        <v>381.05</v>
      </c>
      <c r="W787" s="16" t="str">
        <f>IF(DATA[[#This Row],[VALORIZACIÓN ]]="-","NO CORRESPONDE",IF(OR(A787=20558226979,A787=10470707866,A787=20111157058,A787=20100226902),"NO CORRESPONDE",IF(J787="Emitida",IF(P787&gt;0,"EMITIDA","PENDIENTE"),"NO CORRESPONDE")))</f>
        <v>EMITIDA</v>
      </c>
      <c r="X787" s="29"/>
      <c r="Y787" s="17" t="s">
        <v>118</v>
      </c>
      <c r="Z787" s="30">
        <v>45835</v>
      </c>
      <c r="AA787" s="10" t="s">
        <v>150</v>
      </c>
      <c r="AB787" s="19">
        <v>134</v>
      </c>
      <c r="AC787" s="20">
        <v>30</v>
      </c>
      <c r="AD787" s="18">
        <f>DATA[[#This Row],[FECHA DE EMISION]]+DATA[[#This Row],[CONDICION DE PAGO]]</f>
        <v>45865</v>
      </c>
      <c r="AE787" s="23" t="e">
        <f>IF(DATA[[#This Row],[MONEDA]]="USD",VLOOKUP(DATA[[#This Row],[COMBINADA]],#REF!,11,0),1)</f>
        <v>#REF!</v>
      </c>
      <c r="AF787" s="129" t="str">
        <f>IF(DATA[[#This Row],[SERIE2]]="-","NO CORRESPONDE",IF(W787="NO CORRESPONDE","NO CORRESPONDE",IF(Z787&gt;0,"FACTURADO","PENDIENTE")))</f>
        <v>FACTURADO</v>
      </c>
      <c r="AG787" s="133">
        <f>IFERROR(VLOOKUP(DATA[[#This Row],[COMBINADA]],#REF!,6,0),0)</f>
        <v>0</v>
      </c>
      <c r="AH787" s="125">
        <f>IFERROR(VLOOKUP(DATA[[#This Row],[COMBINADA]],#REF!,9,0),0)/COUNTIFS(DATA[COMBINADA],DATA[[#This Row],[COMBINADA]])</f>
        <v>0</v>
      </c>
      <c r="AI787" s="136">
        <f>IFERROR(VLOOKUP(DATA[[#This Row],[COMBINADA]],#REF!,6,0),0)</f>
        <v>0</v>
      </c>
      <c r="AJ787" s="132">
        <f>IFERROR(VLOOKUP(DATA[[#This Row],[COMBINADA]],#REF!,9,0),0)/COUNTIFS(DATA[COMBINADA],DATA[[#This Row],[COMBINADA]])</f>
        <v>0</v>
      </c>
      <c r="AK787" s="407">
        <f>IFERROR(VLOOKUP(DATA[[#This Row],[COMBINADA]],#REF!,6,0),0)</f>
        <v>0</v>
      </c>
      <c r="AL787" s="125">
        <f>IFERROR(VLOOKUP(DATA[[#This Row],[COMBINADA]],#REF!,9,0),0)/COUNTIFS(DATA[COMBINADA],DATA[[#This Row],[COMBINADA]])</f>
        <v>0</v>
      </c>
      <c r="AM787" s="27">
        <f>IFERROR(VLOOKUP(DATA[[#This Row],[COMBINADA]],#REF!,6,0),0)</f>
        <v>0</v>
      </c>
      <c r="AN787" s="125">
        <f>IFERROR(VLOOKUP(DATA[[#This Row],[COMBINADA]],#REF!,9,0),0)/COUNTIFS(DATA[COMBINADA],DATA[[#This Row],[COMBINADA]])</f>
        <v>0</v>
      </c>
      <c r="AO787" s="27">
        <f>IFERROR(VLOOKUP(DATA[[#This Row],[COMBINADA]],#REF!,6,0),0)</f>
        <v>0</v>
      </c>
      <c r="AP787" s="132">
        <f>IFERROR(VLOOKUP(DATA[[#This Row],[COMBINADA]],#REF!,9,0),0)/COUNTIFS(DATA[COMBINADA],DATA[[#This Row],[COMBINADA]])</f>
        <v>0</v>
      </c>
      <c r="AQ78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574.13187500000015</v>
      </c>
      <c r="AR787" s="26" t="str">
        <f>IFERROR(IF(DATA[[#This Row],[estado_fact]]="FACTURADO",VLOOKUP(DATA[[#This Row],[SERIE2]]&amp;"-"&amp;DATA[[#This Row],[NUMERO]],#REF!,34,0),"NO CORRESPONDE"),"NO CORRESPONDE")</f>
        <v>NO CORRESPONDE</v>
      </c>
      <c r="AS787" s="22" t="str">
        <f>IF(DATA[[#This Row],[fecha_fs]]&gt;0,TEXT(DATA[[#This Row],[fecha_fs]],"Mmmm"),0)</f>
        <v>Junio</v>
      </c>
      <c r="AT787" s="22" t="str">
        <f>DATA[[#This Row],[SERIE2]]&amp;"-"&amp;DATA[[#This Row],[NUMERO]]</f>
        <v>FF01-134</v>
      </c>
      <c r="AU787" s="28" t="e">
        <f>DATA[[#This Row],[TOTAL]]*DATA[[#This Row],[T.C.]]</f>
        <v>#REF!</v>
      </c>
      <c r="AV787" s="6">
        <f>DATA[[#This Row],[FECHA DE VAL.]]</f>
        <v>45834</v>
      </c>
      <c r="AW787" s="6">
        <f>DATA[[#This Row],[FECHA DE EMISION]]</f>
        <v>45835</v>
      </c>
      <c r="AX787" s="6">
        <f>DATA[[#This Row],[F1]]</f>
        <v>0</v>
      </c>
      <c r="AY787" s="20">
        <f>IF(AV787-DATA[[#This Row],[fecha_fs]]&lt;0,0,AV787-DATA[[#This Row],[fecha_fs]])</f>
        <v>13</v>
      </c>
      <c r="AZ787" s="20">
        <f t="shared" si="82"/>
        <v>1</v>
      </c>
      <c r="BA787" s="20">
        <f t="shared" si="83"/>
        <v>0</v>
      </c>
      <c r="BB787" s="195">
        <f>IFERROR(SUM(DATA[[#This Row],[fs_val_ttf]:[fact_pago_ttf]]),0)</f>
        <v>14</v>
      </c>
      <c r="BC787" s="185">
        <v>45845</v>
      </c>
      <c r="BD787" s="185">
        <v>45852</v>
      </c>
      <c r="BE787" s="185">
        <v>45852</v>
      </c>
      <c r="BF787" s="185">
        <v>45863</v>
      </c>
      <c r="BG787" s="20">
        <f>IFERROR(IF(BC787-DATA[[#This Row],[fecha_fs]]&lt;0,0,BC787-DATA[[#This Row],[fecha_fs]]),0)</f>
        <v>24</v>
      </c>
      <c r="BH787" s="20">
        <f t="shared" si="84"/>
        <v>7</v>
      </c>
      <c r="BI787" s="20">
        <f t="shared" si="85"/>
        <v>0</v>
      </c>
      <c r="BJ787" s="20">
        <f t="shared" si="86"/>
        <v>11</v>
      </c>
      <c r="BK787" s="218">
        <f>IFERROR(SUM(DATA[[#This Row],[fs_fd_ttd]:[fend_fenf_ttd]]),0)</f>
        <v>42</v>
      </c>
      <c r="BL787" s="20" t="str">
        <f>IF(DATA[[#This Row],[fecha_fs]]&gt;0,TEXT(DATA[[#This Row],[fecha_fs]],"YYYY"),0)</f>
        <v>2025</v>
      </c>
      <c r="BM787" s="221" t="b">
        <v>1</v>
      </c>
      <c r="BN787" s="278">
        <f>COUNTIF(DATA[[#This Row],[tiempo_td]], "&lt;=15")</f>
        <v>0</v>
      </c>
      <c r="BO787" s="222"/>
    </row>
    <row r="788" spans="1:67" ht="30.6" customHeight="1" x14ac:dyDescent="0.25">
      <c r="A788" s="4">
        <v>20419158462</v>
      </c>
      <c r="B788" s="5" t="s">
        <v>2</v>
      </c>
      <c r="C788" s="52" t="s">
        <v>14</v>
      </c>
      <c r="D788" s="4" t="s">
        <v>120</v>
      </c>
      <c r="E788" s="5" t="s">
        <v>3</v>
      </c>
      <c r="F788" s="24">
        <v>45821</v>
      </c>
      <c r="G788" s="7" t="s">
        <v>113</v>
      </c>
      <c r="H788" s="25">
        <f t="shared" si="81"/>
        <v>1</v>
      </c>
      <c r="I788" s="67">
        <v>4627</v>
      </c>
      <c r="J788" s="8" t="s">
        <v>115</v>
      </c>
      <c r="K788" s="9" t="s">
        <v>156</v>
      </c>
      <c r="L788" s="10" t="s">
        <v>117</v>
      </c>
      <c r="M788" s="11">
        <v>410</v>
      </c>
      <c r="N788" s="12" t="s">
        <v>125</v>
      </c>
      <c r="O788" s="6">
        <v>45824</v>
      </c>
      <c r="P788" s="13">
        <v>3497</v>
      </c>
      <c r="Q788" s="14" t="s">
        <v>85</v>
      </c>
      <c r="R788" s="75"/>
      <c r="S788" s="15">
        <f>1429.7/2</f>
        <v>714.85</v>
      </c>
      <c r="T788" s="15">
        <f>DATA[[#This Row],[C. DF]]+DATA[[#This Row],[C.OPE.]]</f>
        <v>714.85</v>
      </c>
      <c r="U788" s="15">
        <f>DATA[[#This Row],[SUB TOTAL]]*0.18</f>
        <v>128.673</v>
      </c>
      <c r="V788" s="15">
        <f>IFERROR(ROUND(DATA[[#This Row],[SUB TOTAL]]+DATA[[#This Row],[IGV]],2),0)</f>
        <v>843.52</v>
      </c>
      <c r="W788" s="16" t="str">
        <f>IF(DATA[[#This Row],[VALORIZACIÓN ]]="-","NO CORRESPONDE",IF(OR(A788=20558226979,A788=10470707866,A788=20111157058,A788=20100226902),"NO CORRESPONDE",IF(J788="Emitida",IF(P788&gt;0,"EMITIDA","PENDIENTE"),"NO CORRESPONDE")))</f>
        <v>EMITIDA</v>
      </c>
      <c r="X788" s="29"/>
      <c r="Y788" s="17" t="s">
        <v>118</v>
      </c>
      <c r="Z788" s="30">
        <v>45845</v>
      </c>
      <c r="AA788" s="10" t="s">
        <v>150</v>
      </c>
      <c r="AB788" s="19">
        <v>148</v>
      </c>
      <c r="AC788" s="20">
        <v>15</v>
      </c>
      <c r="AD788" s="18">
        <f>DATA[[#This Row],[FECHA DE EMISION]]+DATA[[#This Row],[CONDICION DE PAGO]]</f>
        <v>45860</v>
      </c>
      <c r="AE788" s="23">
        <f>IF(DATA[[#This Row],[MONEDA]]="USD",VLOOKUP(DATA[[#This Row],[COMBINADA]],#REF!,11,0),1)</f>
        <v>1</v>
      </c>
      <c r="AF788" s="129" t="str">
        <f>IF(DATA[[#This Row],[SERIE2]]="-","NO CORRESPONDE",IF(W788="NO CORRESPONDE","NO CORRESPONDE",IF(Z788&gt;0,"FACTURADO","PENDIENTE")))</f>
        <v>FACTURADO</v>
      </c>
      <c r="AG788" s="133">
        <f>IFERROR(VLOOKUP(DATA[[#This Row],[COMBINADA]],#REF!,6,0),0)</f>
        <v>0</v>
      </c>
      <c r="AH788" s="125">
        <f>IFERROR(VLOOKUP(DATA[[#This Row],[COMBINADA]],#REF!,9,0),0)/COUNTIFS(DATA[COMBINADA],DATA[[#This Row],[COMBINADA]])</f>
        <v>0</v>
      </c>
      <c r="AI788" s="136">
        <f>IFERROR(VLOOKUP(DATA[[#This Row],[COMBINADA]],#REF!,6,0),0)</f>
        <v>0</v>
      </c>
      <c r="AJ788" s="132">
        <f>IFERROR(VLOOKUP(DATA[[#This Row],[COMBINADA]],#REF!,9,0),0)/COUNTIFS(DATA[COMBINADA],DATA[[#This Row],[COMBINADA]])</f>
        <v>0</v>
      </c>
      <c r="AK788" s="407">
        <f>IFERROR(VLOOKUP(DATA[[#This Row],[COMBINADA]],#REF!,6,0),0)</f>
        <v>0</v>
      </c>
      <c r="AL788" s="125">
        <f>IFERROR(VLOOKUP(DATA[[#This Row],[COMBINADA]],#REF!,9,0),0)/COUNTIFS(DATA[COMBINADA],DATA[[#This Row],[COMBINADA]])</f>
        <v>0</v>
      </c>
      <c r="AM788" s="27">
        <f>IFERROR(VLOOKUP(DATA[[#This Row],[COMBINADA]],#REF!,6,0),0)</f>
        <v>0</v>
      </c>
      <c r="AN788" s="125">
        <f>IFERROR(VLOOKUP(DATA[[#This Row],[COMBINADA]],#REF!,9,0),0)/COUNTIFS(DATA[COMBINADA],DATA[[#This Row],[COMBINADA]])</f>
        <v>0</v>
      </c>
      <c r="AO788" s="27">
        <f>IFERROR(VLOOKUP(DATA[[#This Row],[COMBINADA]],#REF!,6,0),0)</f>
        <v>0</v>
      </c>
      <c r="AP788" s="132">
        <f>IFERROR(VLOOKUP(DATA[[#This Row],[COMBINADA]],#REF!,9,0),0)/COUNTIFS(DATA[COMBINADA],DATA[[#This Row],[COMBINADA]])</f>
        <v>0</v>
      </c>
      <c r="AQ78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788" s="26" t="str">
        <f>IFERROR(IF(DATA[[#This Row],[estado_fact]]="FACTURADO",VLOOKUP(DATA[[#This Row],[SERIE2]]&amp;"-"&amp;DATA[[#This Row],[NUMERO]],#REF!,34,0),"NO CORRESPONDE"),"NO CORRESPONDE")</f>
        <v>NO CORRESPONDE</v>
      </c>
      <c r="AS788" s="22" t="str">
        <f>IF(DATA[[#This Row],[fecha_fs]]&gt;0,TEXT(DATA[[#This Row],[fecha_fs]],"Mmmm"),0)</f>
        <v>Junio</v>
      </c>
      <c r="AT788" s="22" t="str">
        <f>DATA[[#This Row],[SERIE2]]&amp;"-"&amp;DATA[[#This Row],[NUMERO]]</f>
        <v>FF01-148</v>
      </c>
      <c r="AU788" s="28">
        <f>DATA[[#This Row],[TOTAL]]*DATA[[#This Row],[T.C.]]</f>
        <v>843.52</v>
      </c>
      <c r="AV788" s="6">
        <f>DATA[[#This Row],[FECHA DE VAL.]]</f>
        <v>45824</v>
      </c>
      <c r="AW788" s="6">
        <f>DATA[[#This Row],[FECHA DE EMISION]]</f>
        <v>45845</v>
      </c>
      <c r="AX788" s="6">
        <f>DATA[[#This Row],[F1]]</f>
        <v>0</v>
      </c>
      <c r="AY788" s="20">
        <f>IF(AV788-DATA[[#This Row],[fecha_fs]]&lt;0,0,AV788-DATA[[#This Row],[fecha_fs]])</f>
        <v>3</v>
      </c>
      <c r="AZ788" s="20">
        <f t="shared" si="82"/>
        <v>21</v>
      </c>
      <c r="BA788" s="20">
        <f t="shared" si="83"/>
        <v>0</v>
      </c>
      <c r="BB788" s="195">
        <f>IFERROR(SUM(DATA[[#This Row],[fs_val_ttf]:[fact_pago_ttf]]),0)</f>
        <v>24</v>
      </c>
      <c r="BC788" s="185">
        <v>45821</v>
      </c>
      <c r="BD788" s="185">
        <v>45821</v>
      </c>
      <c r="BE788" s="185">
        <v>45840</v>
      </c>
      <c r="BF788" s="235">
        <v>45840</v>
      </c>
      <c r="BG788" s="20">
        <f>IFERROR(IF(BC788-DATA[[#This Row],[fecha_fs]]&lt;0,0,BC788-DATA[[#This Row],[fecha_fs]]),0)</f>
        <v>0</v>
      </c>
      <c r="BH788" s="20">
        <f t="shared" si="84"/>
        <v>0</v>
      </c>
      <c r="BI788" s="20">
        <f t="shared" si="85"/>
        <v>19</v>
      </c>
      <c r="BJ788" s="20">
        <f t="shared" si="86"/>
        <v>0</v>
      </c>
      <c r="BK788" s="218">
        <f>IFERROR(SUM(DATA[[#This Row],[fs_fd_ttd]:[fend_fenf_ttd]]),0)</f>
        <v>19</v>
      </c>
      <c r="BL788" s="20" t="str">
        <f>IF(DATA[[#This Row],[fecha_fs]]&gt;0,TEXT(DATA[[#This Row],[fecha_fs]],"YYYY"),0)</f>
        <v>2025</v>
      </c>
      <c r="BM788" s="221" t="b">
        <v>1</v>
      </c>
      <c r="BN788" s="278">
        <f>COUNTIF(DATA[[#This Row],[tiempo_td]], "&lt;=15")</f>
        <v>0</v>
      </c>
      <c r="BO788" s="222"/>
    </row>
    <row r="789" spans="1:67" ht="30.6" customHeight="1" x14ac:dyDescent="0.25">
      <c r="A789" s="4">
        <v>20419158462</v>
      </c>
      <c r="B789" s="5" t="s">
        <v>2</v>
      </c>
      <c r="C789" s="52" t="s">
        <v>15</v>
      </c>
      <c r="D789" s="4" t="s">
        <v>120</v>
      </c>
      <c r="E789" s="5" t="s">
        <v>3</v>
      </c>
      <c r="F789" s="24">
        <v>45821</v>
      </c>
      <c r="G789" s="7" t="s">
        <v>113</v>
      </c>
      <c r="H789" s="25">
        <f t="shared" si="81"/>
        <v>1</v>
      </c>
      <c r="I789" s="67">
        <v>4628</v>
      </c>
      <c r="J789" s="8" t="s">
        <v>115</v>
      </c>
      <c r="K789" s="9" t="s">
        <v>156</v>
      </c>
      <c r="L789" s="10" t="s">
        <v>117</v>
      </c>
      <c r="M789" s="11">
        <v>520</v>
      </c>
      <c r="N789" s="12" t="s">
        <v>125</v>
      </c>
      <c r="O789" s="6">
        <v>45824</v>
      </c>
      <c r="P789" s="13">
        <v>3497</v>
      </c>
      <c r="Q789" s="14" t="s">
        <v>85</v>
      </c>
      <c r="R789" s="75"/>
      <c r="S789" s="15">
        <f>1429.7/2</f>
        <v>714.85</v>
      </c>
      <c r="T789" s="15">
        <f>DATA[[#This Row],[C. DF]]+DATA[[#This Row],[C.OPE.]]</f>
        <v>714.85</v>
      </c>
      <c r="U789" s="15">
        <f>DATA[[#This Row],[SUB TOTAL]]*0.18</f>
        <v>128.673</v>
      </c>
      <c r="V789" s="15">
        <f>IFERROR(ROUND(DATA[[#This Row],[SUB TOTAL]]+DATA[[#This Row],[IGV]],2),0)</f>
        <v>843.52</v>
      </c>
      <c r="W789" s="16" t="str">
        <f>IF(DATA[[#This Row],[VALORIZACIÓN ]]="-","NO CORRESPONDE",IF(OR(A789=20558226979,A789=10470707866,A789=20111157058,A789=20100226902),"NO CORRESPONDE",IF(J789="Emitida",IF(P789&gt;0,"EMITIDA","PENDIENTE"),"NO CORRESPONDE")))</f>
        <v>EMITIDA</v>
      </c>
      <c r="X789" s="29"/>
      <c r="Y789" s="17" t="s">
        <v>118</v>
      </c>
      <c r="Z789" s="30">
        <v>45845</v>
      </c>
      <c r="AA789" s="10" t="s">
        <v>150</v>
      </c>
      <c r="AB789" s="19">
        <v>148</v>
      </c>
      <c r="AC789" s="20">
        <v>15</v>
      </c>
      <c r="AD789" s="18">
        <f>DATA[[#This Row],[FECHA DE EMISION]]+DATA[[#This Row],[CONDICION DE PAGO]]</f>
        <v>45860</v>
      </c>
      <c r="AE789" s="23">
        <f>IF(DATA[[#This Row],[MONEDA]]="USD",VLOOKUP(DATA[[#This Row],[COMBINADA]],#REF!,11,0),1)</f>
        <v>1</v>
      </c>
      <c r="AF789" s="129" t="str">
        <f>IF(DATA[[#This Row],[SERIE2]]="-","NO CORRESPONDE",IF(W789="NO CORRESPONDE","NO CORRESPONDE",IF(Z789&gt;0,"FACTURADO","PENDIENTE")))</f>
        <v>FACTURADO</v>
      </c>
      <c r="AG789" s="133">
        <f>IFERROR(VLOOKUP(DATA[[#This Row],[COMBINADA]],#REF!,6,0),0)</f>
        <v>0</v>
      </c>
      <c r="AH789" s="125">
        <f>IFERROR(VLOOKUP(DATA[[#This Row],[COMBINADA]],#REF!,9,0),0)/COUNTIFS(DATA[COMBINADA],DATA[[#This Row],[COMBINADA]])</f>
        <v>0</v>
      </c>
      <c r="AI789" s="136">
        <f>IFERROR(VLOOKUP(DATA[[#This Row],[COMBINADA]],#REF!,6,0),0)</f>
        <v>0</v>
      </c>
      <c r="AJ789" s="132">
        <f>IFERROR(VLOOKUP(DATA[[#This Row],[COMBINADA]],#REF!,9,0),0)/COUNTIFS(DATA[COMBINADA],DATA[[#This Row],[COMBINADA]])</f>
        <v>0</v>
      </c>
      <c r="AK789" s="407">
        <f>IFERROR(VLOOKUP(DATA[[#This Row],[COMBINADA]],#REF!,6,0),0)</f>
        <v>0</v>
      </c>
      <c r="AL789" s="125">
        <f>IFERROR(VLOOKUP(DATA[[#This Row],[COMBINADA]],#REF!,9,0),0)/COUNTIFS(DATA[COMBINADA],DATA[[#This Row],[COMBINADA]])</f>
        <v>0</v>
      </c>
      <c r="AM789" s="27">
        <f>IFERROR(VLOOKUP(DATA[[#This Row],[COMBINADA]],#REF!,6,0),0)</f>
        <v>0</v>
      </c>
      <c r="AN789" s="125">
        <f>IFERROR(VLOOKUP(DATA[[#This Row],[COMBINADA]],#REF!,9,0),0)/COUNTIFS(DATA[COMBINADA],DATA[[#This Row],[COMBINADA]])</f>
        <v>0</v>
      </c>
      <c r="AO789" s="27">
        <f>IFERROR(VLOOKUP(DATA[[#This Row],[COMBINADA]],#REF!,6,0),0)</f>
        <v>0</v>
      </c>
      <c r="AP789" s="132">
        <f>IFERROR(VLOOKUP(DATA[[#This Row],[COMBINADA]],#REF!,9,0),0)/COUNTIFS(DATA[COMBINADA],DATA[[#This Row],[COMBINADA]])</f>
        <v>0</v>
      </c>
      <c r="AQ78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789" s="26" t="str">
        <f>IFERROR(IF(DATA[[#This Row],[estado_fact]]="FACTURADO",VLOOKUP(DATA[[#This Row],[SERIE2]]&amp;"-"&amp;DATA[[#This Row],[NUMERO]],#REF!,34,0),"NO CORRESPONDE"),"NO CORRESPONDE")</f>
        <v>NO CORRESPONDE</v>
      </c>
      <c r="AS789" s="22" t="str">
        <f>IF(DATA[[#This Row],[fecha_fs]]&gt;0,TEXT(DATA[[#This Row],[fecha_fs]],"Mmmm"),0)</f>
        <v>Junio</v>
      </c>
      <c r="AT789" s="22" t="str">
        <f>DATA[[#This Row],[SERIE2]]&amp;"-"&amp;DATA[[#This Row],[NUMERO]]</f>
        <v>FF01-148</v>
      </c>
      <c r="AU789" s="28">
        <f>DATA[[#This Row],[TOTAL]]*DATA[[#This Row],[T.C.]]</f>
        <v>843.52</v>
      </c>
      <c r="AV789" s="6">
        <f>DATA[[#This Row],[FECHA DE VAL.]]</f>
        <v>45824</v>
      </c>
      <c r="AW789" s="6">
        <f>DATA[[#This Row],[FECHA DE EMISION]]</f>
        <v>45845</v>
      </c>
      <c r="AX789" s="6">
        <f>DATA[[#This Row],[F1]]</f>
        <v>0</v>
      </c>
      <c r="AY789" s="20">
        <f>IF(AV789-DATA[[#This Row],[fecha_fs]]&lt;0,0,AV789-DATA[[#This Row],[fecha_fs]])</f>
        <v>3</v>
      </c>
      <c r="AZ789" s="20">
        <f t="shared" si="82"/>
        <v>21</v>
      </c>
      <c r="BA789" s="20">
        <f t="shared" si="83"/>
        <v>0</v>
      </c>
      <c r="BB789" s="195">
        <f>IFERROR(SUM(DATA[[#This Row],[fs_val_ttf]:[fact_pago_ttf]]),0)</f>
        <v>24</v>
      </c>
      <c r="BC789" s="185">
        <v>45821</v>
      </c>
      <c r="BD789" s="185">
        <v>45821</v>
      </c>
      <c r="BE789" s="185">
        <v>45840</v>
      </c>
      <c r="BF789" s="235">
        <v>45840</v>
      </c>
      <c r="BG789" s="20">
        <f>IFERROR(IF(BC789-DATA[[#This Row],[fecha_fs]]&lt;0,0,BC789-DATA[[#This Row],[fecha_fs]]),0)</f>
        <v>0</v>
      </c>
      <c r="BH789" s="20">
        <f t="shared" si="84"/>
        <v>0</v>
      </c>
      <c r="BI789" s="20">
        <f t="shared" si="85"/>
        <v>19</v>
      </c>
      <c r="BJ789" s="20">
        <f t="shared" si="86"/>
        <v>0</v>
      </c>
      <c r="BK789" s="218">
        <f>IFERROR(SUM(DATA[[#This Row],[fs_fd_ttd]:[fend_fenf_ttd]]),0)</f>
        <v>19</v>
      </c>
      <c r="BL789" s="20" t="str">
        <f>IF(DATA[[#This Row],[fecha_fs]]&gt;0,TEXT(DATA[[#This Row],[fecha_fs]],"YYYY"),0)</f>
        <v>2025</v>
      </c>
      <c r="BM789" s="221" t="b">
        <v>1</v>
      </c>
      <c r="BN789" s="278">
        <f>COUNTIF(DATA[[#This Row],[tiempo_td]], "&lt;=15")</f>
        <v>0</v>
      </c>
      <c r="BO789" s="222"/>
    </row>
    <row r="790" spans="1:67" ht="30.6" customHeight="1" x14ac:dyDescent="0.25">
      <c r="A790" s="4">
        <v>20141637941</v>
      </c>
      <c r="B790" s="5" t="s">
        <v>79</v>
      </c>
      <c r="C790" s="52" t="s">
        <v>18</v>
      </c>
      <c r="D790" s="4" t="s">
        <v>120</v>
      </c>
      <c r="E790" s="5" t="s">
        <v>3</v>
      </c>
      <c r="F790" s="24">
        <v>45824</v>
      </c>
      <c r="G790" s="7" t="s">
        <v>113</v>
      </c>
      <c r="H790" s="25">
        <f t="shared" si="81"/>
        <v>1</v>
      </c>
      <c r="I790" s="67">
        <v>4629</v>
      </c>
      <c r="J790" s="8" t="s">
        <v>115</v>
      </c>
      <c r="K790" s="9" t="s">
        <v>121</v>
      </c>
      <c r="L790" s="10" t="s">
        <v>117</v>
      </c>
      <c r="M790" s="11">
        <v>960</v>
      </c>
      <c r="N790" s="12" t="s">
        <v>125</v>
      </c>
      <c r="O790" s="6">
        <v>45826</v>
      </c>
      <c r="P790" s="110">
        <v>3498</v>
      </c>
      <c r="Q790" s="14" t="s">
        <v>85</v>
      </c>
      <c r="R790" s="15">
        <f>70</f>
        <v>70</v>
      </c>
      <c r="S790" s="56">
        <v>517</v>
      </c>
      <c r="T790" s="15">
        <f>DATA[[#This Row],[C. DF]]+DATA[[#This Row],[C.OPE.]]</f>
        <v>587</v>
      </c>
      <c r="U790" s="15">
        <f>DATA[[#This Row],[SUB TOTAL]]*0.18</f>
        <v>105.66</v>
      </c>
      <c r="V790" s="15">
        <f>IFERROR(ROUND(DATA[[#This Row],[SUB TOTAL]]+DATA[[#This Row],[IGV]],2),0)</f>
        <v>692.66</v>
      </c>
      <c r="W790" s="16" t="str">
        <f>IF(DATA[[#This Row],[VALORIZACIÓN ]]="-","NO CORRESPONDE",IF(OR(A790=20558226979,A790=10470707866,A790=20111157058,A790=20100226902),"NO CORRESPONDE",IF(J790="Emitida",IF(P790&gt;0,"EMITIDA","PENDIENTE"),"NO CORRESPONDE")))</f>
        <v>EMITIDA</v>
      </c>
      <c r="X790" s="29"/>
      <c r="Y790" s="17" t="s">
        <v>118</v>
      </c>
      <c r="Z790" s="30">
        <v>45827</v>
      </c>
      <c r="AA790" s="10" t="s">
        <v>150</v>
      </c>
      <c r="AB790" s="19">
        <v>126</v>
      </c>
      <c r="AC790" s="20">
        <v>30</v>
      </c>
      <c r="AD790" s="18">
        <f>DATA[[#This Row],[FECHA DE EMISION]]+DATA[[#This Row],[CONDICION DE PAGO]]</f>
        <v>45857</v>
      </c>
      <c r="AE790" s="23">
        <f>IF(DATA[[#This Row],[MONEDA]]="USD",VLOOKUP(DATA[[#This Row],[COMBINADA]],#REF!,11,0),1)</f>
        <v>1</v>
      </c>
      <c r="AF790" s="129" t="str">
        <f>IF(DATA[[#This Row],[SERIE2]]="-","NO CORRESPONDE",IF(W790="NO CORRESPONDE","NO CORRESPONDE",IF(Z790&gt;0,"FACTURADO","PENDIENTE")))</f>
        <v>FACTURADO</v>
      </c>
      <c r="AG790" s="133">
        <f>IFERROR(VLOOKUP(DATA[[#This Row],[COMBINADA]],#REF!,6,0),0)</f>
        <v>0</v>
      </c>
      <c r="AH790" s="125">
        <f>IFERROR(VLOOKUP(DATA[[#This Row],[COMBINADA]],#REF!,9,0),0)/COUNTIFS(DATA[COMBINADA],DATA[[#This Row],[COMBINADA]])</f>
        <v>0</v>
      </c>
      <c r="AI790" s="136">
        <f>IFERROR(VLOOKUP(DATA[[#This Row],[COMBINADA]],#REF!,6,0),0)</f>
        <v>0</v>
      </c>
      <c r="AJ790" s="132">
        <f>IFERROR(VLOOKUP(DATA[[#This Row],[COMBINADA]],#REF!,9,0),0)/COUNTIFS(DATA[COMBINADA],DATA[[#This Row],[COMBINADA]])</f>
        <v>0</v>
      </c>
      <c r="AK790" s="407">
        <f>IFERROR(VLOOKUP(DATA[[#This Row],[COMBINADA]],#REF!,6,0),0)</f>
        <v>0</v>
      </c>
      <c r="AL790" s="125">
        <f>IFERROR(VLOOKUP(DATA[[#This Row],[COMBINADA]],#REF!,9,0),0)/COUNTIFS(DATA[COMBINADA],DATA[[#This Row],[COMBINADA]])</f>
        <v>0</v>
      </c>
      <c r="AM790" s="27">
        <f>IFERROR(VLOOKUP(DATA[[#This Row],[COMBINADA]],#REF!,6,0),0)</f>
        <v>0</v>
      </c>
      <c r="AN790" s="125">
        <f>IFERROR(VLOOKUP(DATA[[#This Row],[COMBINADA]],#REF!,9,0),0)/COUNTIFS(DATA[COMBINADA],DATA[[#This Row],[COMBINADA]])</f>
        <v>0</v>
      </c>
      <c r="AO790" s="27">
        <f>IFERROR(VLOOKUP(DATA[[#This Row],[COMBINADA]],#REF!,6,0),0)</f>
        <v>0</v>
      </c>
      <c r="AP790" s="132">
        <f>IFERROR(VLOOKUP(DATA[[#This Row],[COMBINADA]],#REF!,9,0),0)/COUNTIFS(DATA[COMBINADA],DATA[[#This Row],[COMBINADA]])</f>
        <v>0</v>
      </c>
      <c r="AQ79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692.66</v>
      </c>
      <c r="AR790" s="26" t="str">
        <f>IFERROR(IF(DATA[[#This Row],[estado_fact]]="FACTURADO",VLOOKUP(DATA[[#This Row],[SERIE2]]&amp;"-"&amp;DATA[[#This Row],[NUMERO]],#REF!,34,0),"NO CORRESPONDE"),"NO CORRESPONDE")</f>
        <v>NO CORRESPONDE</v>
      </c>
      <c r="AS790" s="22" t="str">
        <f>IF(DATA[[#This Row],[fecha_fs]]&gt;0,TEXT(DATA[[#This Row],[fecha_fs]],"Mmmm"),0)</f>
        <v>Junio</v>
      </c>
      <c r="AT790" s="22" t="str">
        <f>DATA[[#This Row],[SERIE2]]&amp;"-"&amp;DATA[[#This Row],[NUMERO]]</f>
        <v>FF01-126</v>
      </c>
      <c r="AU790" s="28">
        <f>DATA[[#This Row],[TOTAL]]*DATA[[#This Row],[T.C.]]</f>
        <v>692.66</v>
      </c>
      <c r="AV790" s="6">
        <f>DATA[[#This Row],[FECHA DE VAL.]]</f>
        <v>45826</v>
      </c>
      <c r="AW790" s="6">
        <f>DATA[[#This Row],[FECHA DE EMISION]]</f>
        <v>45827</v>
      </c>
      <c r="AX790" s="6">
        <f>DATA[[#This Row],[F1]]</f>
        <v>0</v>
      </c>
      <c r="AY790" s="20">
        <f>IF(AV790-DATA[[#This Row],[fecha_fs]]&lt;0,0,AV790-DATA[[#This Row],[fecha_fs]])</f>
        <v>2</v>
      </c>
      <c r="AZ790" s="20">
        <f t="shared" si="82"/>
        <v>1</v>
      </c>
      <c r="BA790" s="20">
        <f t="shared" si="83"/>
        <v>0</v>
      </c>
      <c r="BB790" s="195">
        <f>IFERROR(SUM(DATA[[#This Row],[fs_val_ttf]:[fact_pago_ttf]]),0)</f>
        <v>3</v>
      </c>
      <c r="BC790" s="184">
        <v>45824</v>
      </c>
      <c r="BD790" s="184">
        <v>45824</v>
      </c>
      <c r="BE790" s="184">
        <v>45827</v>
      </c>
      <c r="BF790" s="235">
        <v>45827</v>
      </c>
      <c r="BG790" s="20">
        <f>IFERROR(IF(BC790-DATA[[#This Row],[fecha_fs]]&lt;0,0,BC790-DATA[[#This Row],[fecha_fs]]),0)</f>
        <v>0</v>
      </c>
      <c r="BH790" s="20">
        <f t="shared" si="84"/>
        <v>0</v>
      </c>
      <c r="BI790" s="20">
        <f t="shared" si="85"/>
        <v>3</v>
      </c>
      <c r="BJ790" s="20">
        <f t="shared" si="86"/>
        <v>0</v>
      </c>
      <c r="BK790" s="218">
        <f>IFERROR(SUM(DATA[[#This Row],[fs_fd_ttd]:[fend_fenf_ttd]]),0)</f>
        <v>3</v>
      </c>
      <c r="BL790" s="20" t="str">
        <f>IF(DATA[[#This Row],[fecha_fs]]&gt;0,TEXT(DATA[[#This Row],[fecha_fs]],"YYYY"),0)</f>
        <v>2025</v>
      </c>
      <c r="BM790" s="221" t="b">
        <v>1</v>
      </c>
      <c r="BN790" s="278">
        <f>COUNTIF(DATA[[#This Row],[tiempo_td]], "&lt;=15")</f>
        <v>1</v>
      </c>
      <c r="BO790" s="222"/>
    </row>
    <row r="791" spans="1:67" ht="30.6" customHeight="1" x14ac:dyDescent="0.25">
      <c r="A791" s="4">
        <v>20100211115</v>
      </c>
      <c r="B791" s="5" t="s">
        <v>41</v>
      </c>
      <c r="C791" s="52" t="s">
        <v>18</v>
      </c>
      <c r="D791" s="4" t="s">
        <v>112</v>
      </c>
      <c r="E791" s="5" t="s">
        <v>1</v>
      </c>
      <c r="F791" s="24">
        <v>45821</v>
      </c>
      <c r="G791" s="7" t="s">
        <v>113</v>
      </c>
      <c r="H791" s="25">
        <f t="shared" si="81"/>
        <v>1</v>
      </c>
      <c r="I791" s="67">
        <v>4630</v>
      </c>
      <c r="J791" s="8" t="s">
        <v>115</v>
      </c>
      <c r="K791" s="9" t="s">
        <v>116</v>
      </c>
      <c r="L791" s="10" t="s">
        <v>117</v>
      </c>
      <c r="M791" s="11">
        <v>28</v>
      </c>
      <c r="N791" s="12" t="s">
        <v>132</v>
      </c>
      <c r="O791" s="6">
        <v>45834</v>
      </c>
      <c r="P791" s="115">
        <v>3517</v>
      </c>
      <c r="Q791" s="14" t="s">
        <v>85</v>
      </c>
      <c r="R791" s="75"/>
      <c r="S791" s="15">
        <f>(DATA[[#This Row],[cantidad_fs]]*4.57)</f>
        <v>127.96000000000001</v>
      </c>
      <c r="T791" s="15">
        <f>DATA[[#This Row],[C. DF]]+DATA[[#This Row],[C.OPE.]]</f>
        <v>127.96000000000001</v>
      </c>
      <c r="U791" s="15">
        <f>DATA[[#This Row],[SUB TOTAL]]*0.18</f>
        <v>23.032800000000002</v>
      </c>
      <c r="V791" s="15">
        <f>IFERROR(ROUND(DATA[[#This Row],[SUB TOTAL]]+DATA[[#This Row],[IGV]],2),0)</f>
        <v>150.99</v>
      </c>
      <c r="W791" s="16" t="str">
        <f>IF(DATA[[#This Row],[VALORIZACIÓN ]]="-","NO CORRESPONDE",IF(OR(A791=20558226979,A791=10470707866,A791=20111157058,A791=20100226902),"NO CORRESPONDE",IF(J791="Emitida",IF(P791&gt;0,"EMITIDA","PENDIENTE"),"NO CORRESPONDE")))</f>
        <v>EMITIDA</v>
      </c>
      <c r="X791" s="29"/>
      <c r="Y791" s="17" t="s">
        <v>118</v>
      </c>
      <c r="Z791" s="30">
        <v>45835</v>
      </c>
      <c r="AA791" s="10" t="s">
        <v>150</v>
      </c>
      <c r="AB791" s="19">
        <v>139</v>
      </c>
      <c r="AC791" s="20">
        <v>30</v>
      </c>
      <c r="AD791" s="18">
        <f>DATA[[#This Row],[FECHA DE EMISION]]+DATA[[#This Row],[CONDICION DE PAGO]]</f>
        <v>45865</v>
      </c>
      <c r="AE791" s="23">
        <f>IF(DATA[[#This Row],[MONEDA]]="USD",VLOOKUP(DATA[[#This Row],[COMBINADA]],#REF!,11,0),1)</f>
        <v>1</v>
      </c>
      <c r="AF791" s="129" t="str">
        <f>IF(DATA[[#This Row],[SERIE2]]="-","NO CORRESPONDE",IF(W791="NO CORRESPONDE","NO CORRESPONDE",IF(Z791&gt;0,"FACTURADO","PENDIENTE")))</f>
        <v>FACTURADO</v>
      </c>
      <c r="AG791" s="133">
        <f>IFERROR(VLOOKUP(DATA[[#This Row],[COMBINADA]],#REF!,6,0),0)</f>
        <v>0</v>
      </c>
      <c r="AH791" s="125">
        <f>IFERROR(VLOOKUP(DATA[[#This Row],[COMBINADA]],#REF!,9,0),0)/COUNTIFS(DATA[COMBINADA],DATA[[#This Row],[COMBINADA]])</f>
        <v>0</v>
      </c>
      <c r="AI791" s="136">
        <f>IFERROR(VLOOKUP(DATA[[#This Row],[COMBINADA]],#REF!,6,0),0)</f>
        <v>0</v>
      </c>
      <c r="AJ791" s="132">
        <f>IFERROR(VLOOKUP(DATA[[#This Row],[COMBINADA]],#REF!,9,0),0)/COUNTIFS(DATA[COMBINADA],DATA[[#This Row],[COMBINADA]])</f>
        <v>0</v>
      </c>
      <c r="AK791" s="407">
        <f>IFERROR(VLOOKUP(DATA[[#This Row],[COMBINADA]],#REF!,6,0),0)</f>
        <v>0</v>
      </c>
      <c r="AL791" s="125">
        <f>IFERROR(VLOOKUP(DATA[[#This Row],[COMBINADA]],#REF!,9,0),0)/COUNTIFS(DATA[COMBINADA],DATA[[#This Row],[COMBINADA]])</f>
        <v>0</v>
      </c>
      <c r="AM791" s="27">
        <f>IFERROR(VLOOKUP(DATA[[#This Row],[COMBINADA]],#REF!,6,0),0)</f>
        <v>0</v>
      </c>
      <c r="AN791" s="125">
        <f>IFERROR(VLOOKUP(DATA[[#This Row],[COMBINADA]],#REF!,9,0),0)/COUNTIFS(DATA[COMBINADA],DATA[[#This Row],[COMBINADA]])</f>
        <v>0</v>
      </c>
      <c r="AO791" s="27">
        <f>IFERROR(VLOOKUP(DATA[[#This Row],[COMBINADA]],#REF!,6,0),0)</f>
        <v>0</v>
      </c>
      <c r="AP791" s="132">
        <f>IFERROR(VLOOKUP(DATA[[#This Row],[COMBINADA]],#REF!,9,0),0)/COUNTIFS(DATA[COMBINADA],DATA[[#This Row],[COMBINADA]])</f>
        <v>0</v>
      </c>
      <c r="AQ79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78.19250000000001</v>
      </c>
      <c r="AR791" s="26" t="str">
        <f>IFERROR(IF(DATA[[#This Row],[estado_fact]]="FACTURADO",VLOOKUP(DATA[[#This Row],[SERIE2]]&amp;"-"&amp;DATA[[#This Row],[NUMERO]],#REF!,34,0),"NO CORRESPONDE"),"NO CORRESPONDE")</f>
        <v>NO CORRESPONDE</v>
      </c>
      <c r="AS791" s="22" t="str">
        <f>IF(DATA[[#This Row],[fecha_fs]]&gt;0,TEXT(DATA[[#This Row],[fecha_fs]],"Mmmm"),0)</f>
        <v>Junio</v>
      </c>
      <c r="AT791" s="22" t="str">
        <f>DATA[[#This Row],[SERIE2]]&amp;"-"&amp;DATA[[#This Row],[NUMERO]]</f>
        <v>FF01-139</v>
      </c>
      <c r="AU791" s="28">
        <f>DATA[[#This Row],[TOTAL]]*DATA[[#This Row],[T.C.]]</f>
        <v>150.99</v>
      </c>
      <c r="AV791" s="6">
        <f>DATA[[#This Row],[FECHA DE VAL.]]</f>
        <v>45834</v>
      </c>
      <c r="AW791" s="6">
        <f>DATA[[#This Row],[FECHA DE EMISION]]</f>
        <v>45835</v>
      </c>
      <c r="AX791" s="6">
        <f>DATA[[#This Row],[F1]]</f>
        <v>0</v>
      </c>
      <c r="AY791" s="20">
        <f>IF(AV791-DATA[[#This Row],[fecha_fs]]&lt;0,0,AV791-DATA[[#This Row],[fecha_fs]])</f>
        <v>13</v>
      </c>
      <c r="AZ791" s="20">
        <f t="shared" si="82"/>
        <v>1</v>
      </c>
      <c r="BA791" s="20">
        <f t="shared" si="83"/>
        <v>0</v>
      </c>
      <c r="BB791" s="195">
        <f>IFERROR(SUM(DATA[[#This Row],[fs_val_ttf]:[fact_pago_ttf]]),0)</f>
        <v>14</v>
      </c>
      <c r="BC791" s="184">
        <v>45842</v>
      </c>
      <c r="BD791" s="184">
        <v>45846</v>
      </c>
      <c r="BE791" s="184">
        <v>45848</v>
      </c>
      <c r="BF791" s="185">
        <v>45849</v>
      </c>
      <c r="BG791" s="20">
        <f>IFERROR(IF(BC791-DATA[[#This Row],[fecha_fs]]&lt;0,0,BC791-DATA[[#This Row],[fecha_fs]]),0)</f>
        <v>21</v>
      </c>
      <c r="BH791" s="20">
        <f t="shared" si="84"/>
        <v>4</v>
      </c>
      <c r="BI791" s="20">
        <f t="shared" si="85"/>
        <v>2</v>
      </c>
      <c r="BJ791" s="20">
        <f t="shared" si="86"/>
        <v>1</v>
      </c>
      <c r="BK791" s="218">
        <f>IFERROR(SUM(DATA[[#This Row],[fs_fd_ttd]:[fend_fenf_ttd]]),0)</f>
        <v>28</v>
      </c>
      <c r="BL791" s="20" t="str">
        <f>IF(DATA[[#This Row],[fecha_fs]]&gt;0,TEXT(DATA[[#This Row],[fecha_fs]],"YYYY"),0)</f>
        <v>2025</v>
      </c>
      <c r="BM791" s="221" t="b">
        <v>1</v>
      </c>
      <c r="BN791" s="278">
        <f>COUNTIF(DATA[[#This Row],[tiempo_td]], "&lt;=15")</f>
        <v>0</v>
      </c>
      <c r="BO791" s="222"/>
    </row>
    <row r="792" spans="1:67" ht="30.6" customHeight="1" x14ac:dyDescent="0.25">
      <c r="A792" s="4">
        <v>20100226902</v>
      </c>
      <c r="B792" s="5" t="s">
        <v>24</v>
      </c>
      <c r="C792" s="52" t="s">
        <v>18</v>
      </c>
      <c r="D792" s="4" t="s">
        <v>120</v>
      </c>
      <c r="E792" s="5" t="s">
        <v>3</v>
      </c>
      <c r="F792" s="24">
        <v>45824</v>
      </c>
      <c r="G792" s="7" t="s">
        <v>113</v>
      </c>
      <c r="H792" s="25">
        <f t="shared" si="81"/>
        <v>1</v>
      </c>
      <c r="I792" s="67">
        <v>4631</v>
      </c>
      <c r="J792" s="8" t="s">
        <v>115</v>
      </c>
      <c r="K792" s="9" t="s">
        <v>121</v>
      </c>
      <c r="L792" s="10" t="s">
        <v>117</v>
      </c>
      <c r="M792" s="11">
        <v>490</v>
      </c>
      <c r="N792" s="12" t="s">
        <v>127</v>
      </c>
      <c r="O792" s="40"/>
      <c r="P792" s="41" t="s">
        <v>114</v>
      </c>
      <c r="Q792" s="42"/>
      <c r="R792" s="43"/>
      <c r="S792" s="43"/>
      <c r="T792" s="43">
        <f>DATA[[#This Row],[C. DF]]+DATA[[#This Row],[C.OPE.]]</f>
        <v>0</v>
      </c>
      <c r="U792" s="43">
        <f>DATA[[#This Row],[SUB TOTAL]]*0.18</f>
        <v>0</v>
      </c>
      <c r="V792" s="43">
        <f>IFERROR(ROUND(DATA[[#This Row],[SUB TOTAL]]+DATA[[#This Row],[IGV]],2),0)</f>
        <v>0</v>
      </c>
      <c r="W792" s="58" t="str">
        <f>IF(DATA[[#This Row],[VALORIZACIÓN ]]="-","NO CORRESPONDE",IF(OR(A792=20558226979,A792=10470707866,A792=20111157058,A792=20100226902),"NO CORRESPONDE",IF(J792="Emitida",IF(P792&gt;0,"EMITIDA","PENDIENTE"),"NO CORRESPONDE")))</f>
        <v>NO CORRESPONDE</v>
      </c>
      <c r="X792" s="45"/>
      <c r="Y792" s="17" t="s">
        <v>128</v>
      </c>
      <c r="Z792" s="46"/>
      <c r="AA792" s="47"/>
      <c r="AB792" s="48"/>
      <c r="AC792" s="49"/>
      <c r="AD792" s="50">
        <f>DATA[[#This Row],[FECHA DE EMISION]]+DATA[[#This Row],[CONDICION DE PAGO]]</f>
        <v>0</v>
      </c>
      <c r="AE792" s="23">
        <f>IF(DATA[[#This Row],[MONEDA]]="USD",VLOOKUP(DATA[[#This Row],[COMBINADA]],#REF!,11,0),1)</f>
        <v>1</v>
      </c>
      <c r="AF792" s="129" t="str">
        <f>IF(DATA[[#This Row],[SERIE2]]="-","NO CORRESPONDE",IF(W792="NO CORRESPONDE","NO CORRESPONDE",IF(Z792&gt;0,"FACTURADO","PENDIENTE")))</f>
        <v>NO CORRESPONDE</v>
      </c>
      <c r="AG792" s="140">
        <f>IFERROR(VLOOKUP(DATA[[#This Row],[COMBINADA]],#REF!,6,0),0)</f>
        <v>0</v>
      </c>
      <c r="AH792" s="126">
        <f>IFERROR(VLOOKUP(DATA[[#This Row],[COMBINADA]],#REF!,9,0),0)/COUNTIFS(DATA[COMBINADA],DATA[[#This Row],[COMBINADA]])</f>
        <v>0</v>
      </c>
      <c r="AI792" s="140">
        <f>IFERROR(VLOOKUP(DATA[[#This Row],[COMBINADA]],#REF!,6,0),0)</f>
        <v>0</v>
      </c>
      <c r="AJ792" s="126">
        <f>IFERROR(VLOOKUP(DATA[[#This Row],[COMBINADA]],#REF!,9,0),0)/COUNTIFS(DATA[COMBINADA],DATA[[#This Row],[COMBINADA]])</f>
        <v>0</v>
      </c>
      <c r="AK792" s="287">
        <f>IFERROR(VLOOKUP(DATA[[#This Row],[COMBINADA]],#REF!,6,0),0)</f>
        <v>0</v>
      </c>
      <c r="AL792" s="126">
        <f>IFERROR(VLOOKUP(DATA[[#This Row],[COMBINADA]],#REF!,9,0),0)/COUNTIFS(DATA[COMBINADA],DATA[[#This Row],[COMBINADA]])</f>
        <v>0</v>
      </c>
      <c r="AM792" s="60">
        <f>IFERROR(VLOOKUP(DATA[[#This Row],[COMBINADA]],#REF!,6,0),0)</f>
        <v>0</v>
      </c>
      <c r="AN792" s="126">
        <f>IFERROR(VLOOKUP(DATA[[#This Row],[COMBINADA]],#REF!,9,0),0)/COUNTIFS(DATA[COMBINADA],DATA[[#This Row],[COMBINADA]])</f>
        <v>0</v>
      </c>
      <c r="AO792" s="60">
        <f>IFERROR(VLOOKUP(DATA[[#This Row],[COMBINADA]],#REF!,6,0),0)</f>
        <v>0</v>
      </c>
      <c r="AP792" s="126">
        <f>IFERROR(VLOOKUP(DATA[[#This Row],[COMBINADA]],#REF!,9,0),0)/COUNTIFS(DATA[COMBINADA],DATA[[#This Row],[COMBINADA]])</f>
        <v>0</v>
      </c>
      <c r="AQ792"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792" s="22" t="str">
        <f>IFERROR(IF(DATA[[#This Row],[estado_fact]]="FACTURADO",VLOOKUP(DATA[[#This Row],[SERIE2]]&amp;"-"&amp;DATA[[#This Row],[NUMERO]],#REF!,34,0),"NO CORRESPONDE"),"NO CORRESPONDE")</f>
        <v>NO CORRESPONDE</v>
      </c>
      <c r="AS792" s="22" t="str">
        <f>IF(DATA[[#This Row],[fecha_fs]]&gt;0,TEXT(DATA[[#This Row],[fecha_fs]],"Mmmm"),0)</f>
        <v>Junio</v>
      </c>
      <c r="AT792" s="22" t="str">
        <f>DATA[[#This Row],[SERIE2]]&amp;"-"&amp;DATA[[#This Row],[NUMERO]]</f>
        <v>-</v>
      </c>
      <c r="AU792" s="28">
        <f>DATA[[#This Row],[TOTAL]]*DATA[[#This Row],[T.C.]]</f>
        <v>0</v>
      </c>
      <c r="AV792" s="6">
        <f>DATA[[#This Row],[FECHA DE VAL.]]</f>
        <v>0</v>
      </c>
      <c r="AW792" s="6">
        <f>DATA[[#This Row],[FECHA DE EMISION]]</f>
        <v>0</v>
      </c>
      <c r="AX792" s="6">
        <f>DATA[[#This Row],[F1]]</f>
        <v>0</v>
      </c>
      <c r="AY792" s="20">
        <f>IF(AV792-DATA[[#This Row],[fecha_fs]]&lt;0,0,AV792-DATA[[#This Row],[fecha_fs]])</f>
        <v>0</v>
      </c>
      <c r="AZ792" s="20">
        <f t="shared" si="82"/>
        <v>0</v>
      </c>
      <c r="BA792" s="20">
        <f t="shared" si="83"/>
        <v>0</v>
      </c>
      <c r="BB792" s="195">
        <f>IFERROR(SUM(DATA[[#This Row],[fs_val_ttf]:[fact_pago_ttf]]),0)</f>
        <v>0</v>
      </c>
      <c r="BC792" s="184">
        <v>45824</v>
      </c>
      <c r="BD792" s="184">
        <v>45824</v>
      </c>
      <c r="BE792" s="184">
        <v>45841</v>
      </c>
      <c r="BF792" s="235">
        <v>45841</v>
      </c>
      <c r="BG792" s="20">
        <f>IFERROR(IF(BC792-DATA[[#This Row],[fecha_fs]]&lt;0,0,BC792-DATA[[#This Row],[fecha_fs]]),0)</f>
        <v>0</v>
      </c>
      <c r="BH792" s="20">
        <f t="shared" si="84"/>
        <v>0</v>
      </c>
      <c r="BI792" s="20">
        <f t="shared" si="85"/>
        <v>17</v>
      </c>
      <c r="BJ792" s="20">
        <f t="shared" si="86"/>
        <v>0</v>
      </c>
      <c r="BK792" s="218">
        <f>IFERROR(SUM(DATA[[#This Row],[fs_fd_ttd]:[fend_fenf_ttd]]),0)</f>
        <v>17</v>
      </c>
      <c r="BL792" s="20" t="str">
        <f>IF(DATA[[#This Row],[fecha_fs]]&gt;0,TEXT(DATA[[#This Row],[fecha_fs]],"YYYY"),0)</f>
        <v>2025</v>
      </c>
      <c r="BM792" s="221" t="b">
        <v>1</v>
      </c>
      <c r="BN792" s="278">
        <f>COUNTIF(DATA[[#This Row],[tiempo_td]], "&lt;=15")</f>
        <v>0</v>
      </c>
      <c r="BO792" s="222"/>
    </row>
    <row r="793" spans="1:67" ht="30.6" customHeight="1" x14ac:dyDescent="0.25">
      <c r="A793" s="4">
        <v>20100211115</v>
      </c>
      <c r="B793" s="5" t="s">
        <v>41</v>
      </c>
      <c r="C793" s="52" t="s">
        <v>18</v>
      </c>
      <c r="D793" s="4" t="s">
        <v>120</v>
      </c>
      <c r="E793" s="5" t="s">
        <v>3</v>
      </c>
      <c r="F793" s="24">
        <v>45824</v>
      </c>
      <c r="G793" s="7" t="s">
        <v>113</v>
      </c>
      <c r="H793" s="25">
        <f t="shared" si="81"/>
        <v>1</v>
      </c>
      <c r="I793" s="67">
        <v>4632</v>
      </c>
      <c r="J793" s="8" t="s">
        <v>115</v>
      </c>
      <c r="K793" s="9" t="s">
        <v>121</v>
      </c>
      <c r="L793" s="10" t="s">
        <v>117</v>
      </c>
      <c r="M793" s="11">
        <v>90</v>
      </c>
      <c r="N793" s="12" t="s">
        <v>132</v>
      </c>
      <c r="O793" s="6">
        <v>45834</v>
      </c>
      <c r="P793" s="115">
        <v>3515</v>
      </c>
      <c r="Q793" s="14" t="s">
        <v>85</v>
      </c>
      <c r="R793" s="75"/>
      <c r="S793" s="15">
        <f>(DATA[[#This Row],[cantidad_fs]]*4.17)</f>
        <v>375.3</v>
      </c>
      <c r="T793" s="15">
        <f>DATA[[#This Row],[C. DF]]+DATA[[#This Row],[C.OPE.]]</f>
        <v>375.3</v>
      </c>
      <c r="U793" s="15">
        <f>DATA[[#This Row],[SUB TOTAL]]*0.18</f>
        <v>67.554000000000002</v>
      </c>
      <c r="V793" s="15">
        <f>IFERROR(ROUND(DATA[[#This Row],[SUB TOTAL]]+DATA[[#This Row],[IGV]],2),0)</f>
        <v>442.85</v>
      </c>
      <c r="W793" s="16" t="str">
        <f>IF(DATA[[#This Row],[VALORIZACIÓN ]]="-","NO CORRESPONDE",IF(OR(A793=20558226979,A793=10470707866,A793=20111157058,A793=20100226902),"NO CORRESPONDE",IF(J793="Emitida",IF(P793&gt;0,"EMITIDA","PENDIENTE"),"NO CORRESPONDE")))</f>
        <v>EMITIDA</v>
      </c>
      <c r="X793" s="29"/>
      <c r="Y793" s="17" t="s">
        <v>118</v>
      </c>
      <c r="Z793" s="30">
        <v>45835</v>
      </c>
      <c r="AA793" s="10" t="s">
        <v>150</v>
      </c>
      <c r="AB793" s="19">
        <v>137</v>
      </c>
      <c r="AC793" s="20">
        <v>30</v>
      </c>
      <c r="AD793" s="18">
        <f>DATA[[#This Row],[FECHA DE EMISION]]+DATA[[#This Row],[CONDICION DE PAGO]]</f>
        <v>45865</v>
      </c>
      <c r="AE793" s="23">
        <f>IF(DATA[[#This Row],[MONEDA]]="USD",VLOOKUP(DATA[[#This Row],[COMBINADA]],#REF!,11,0),1)</f>
        <v>1</v>
      </c>
      <c r="AF793" s="129" t="str">
        <f>IF(DATA[[#This Row],[SERIE2]]="-","NO CORRESPONDE",IF(W793="NO CORRESPONDE","NO CORRESPONDE",IF(Z793&gt;0,"FACTURADO","PENDIENTE")))</f>
        <v>FACTURADO</v>
      </c>
      <c r="AG793" s="133">
        <f>IFERROR(VLOOKUP(DATA[[#This Row],[COMBINADA]],#REF!,6,0),0)</f>
        <v>0</v>
      </c>
      <c r="AH793" s="125">
        <f>IFERROR(VLOOKUP(DATA[[#This Row],[COMBINADA]],#REF!,9,0),0)/COUNTIFS(DATA[COMBINADA],DATA[[#This Row],[COMBINADA]])</f>
        <v>0</v>
      </c>
      <c r="AI793" s="136">
        <f>IFERROR(VLOOKUP(DATA[[#This Row],[COMBINADA]],#REF!,6,0),0)</f>
        <v>0</v>
      </c>
      <c r="AJ793" s="132">
        <f>IFERROR(VLOOKUP(DATA[[#This Row],[COMBINADA]],#REF!,9,0),0)/COUNTIFS(DATA[COMBINADA],DATA[[#This Row],[COMBINADA]])</f>
        <v>0</v>
      </c>
      <c r="AK793" s="407">
        <f>IFERROR(VLOOKUP(DATA[[#This Row],[COMBINADA]],#REF!,6,0),0)</f>
        <v>0</v>
      </c>
      <c r="AL793" s="125">
        <f>IFERROR(VLOOKUP(DATA[[#This Row],[COMBINADA]],#REF!,9,0),0)/COUNTIFS(DATA[COMBINADA],DATA[[#This Row],[COMBINADA]])</f>
        <v>0</v>
      </c>
      <c r="AM793" s="27">
        <f>IFERROR(VLOOKUP(DATA[[#This Row],[COMBINADA]],#REF!,6,0),0)</f>
        <v>0</v>
      </c>
      <c r="AN793" s="125">
        <f>IFERROR(VLOOKUP(DATA[[#This Row],[COMBINADA]],#REF!,9,0),0)/COUNTIFS(DATA[COMBINADA],DATA[[#This Row],[COMBINADA]])</f>
        <v>0</v>
      </c>
      <c r="AO793" s="27">
        <f>IFERROR(VLOOKUP(DATA[[#This Row],[COMBINADA]],#REF!,6,0),0)</f>
        <v>0</v>
      </c>
      <c r="AP793" s="132">
        <f>IFERROR(VLOOKUP(DATA[[#This Row],[COMBINADA]],#REF!,9,0),0)/COUNTIFS(DATA[COMBINADA],DATA[[#This Row],[COMBINADA]])</f>
        <v>0</v>
      </c>
      <c r="AQ79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793" s="26" t="str">
        <f>IFERROR(IF(DATA[[#This Row],[estado_fact]]="FACTURADO",VLOOKUP(DATA[[#This Row],[SERIE2]]&amp;"-"&amp;DATA[[#This Row],[NUMERO]],#REF!,34,0),"NO CORRESPONDE"),"NO CORRESPONDE")</f>
        <v>NO CORRESPONDE</v>
      </c>
      <c r="AS793" s="22" t="str">
        <f>IF(DATA[[#This Row],[fecha_fs]]&gt;0,TEXT(DATA[[#This Row],[fecha_fs]],"Mmmm"),0)</f>
        <v>Junio</v>
      </c>
      <c r="AT793" s="22" t="str">
        <f>DATA[[#This Row],[SERIE2]]&amp;"-"&amp;DATA[[#This Row],[NUMERO]]</f>
        <v>FF01-137</v>
      </c>
      <c r="AU793" s="28">
        <f>DATA[[#This Row],[TOTAL]]*DATA[[#This Row],[T.C.]]</f>
        <v>442.85</v>
      </c>
      <c r="AV793" s="6">
        <f>DATA[[#This Row],[FECHA DE VAL.]]</f>
        <v>45834</v>
      </c>
      <c r="AW793" s="6">
        <f>DATA[[#This Row],[FECHA DE EMISION]]</f>
        <v>45835</v>
      </c>
      <c r="AX793" s="6">
        <f>DATA[[#This Row],[F1]]</f>
        <v>0</v>
      </c>
      <c r="AY793" s="20">
        <f>IF(AV793-DATA[[#This Row],[fecha_fs]]&lt;0,0,AV793-DATA[[#This Row],[fecha_fs]])</f>
        <v>10</v>
      </c>
      <c r="AZ793" s="20">
        <f t="shared" si="82"/>
        <v>1</v>
      </c>
      <c r="BA793" s="20">
        <f t="shared" si="83"/>
        <v>0</v>
      </c>
      <c r="BB793" s="195">
        <f>IFERROR(SUM(DATA[[#This Row],[fs_val_ttf]:[fact_pago_ttf]]),0)</f>
        <v>11</v>
      </c>
      <c r="BC793" s="185">
        <v>45838</v>
      </c>
      <c r="BD793" s="185">
        <v>45846</v>
      </c>
      <c r="BE793" s="185">
        <v>45848</v>
      </c>
      <c r="BF793" s="185">
        <v>45849</v>
      </c>
      <c r="BG793" s="20">
        <f>IFERROR(IF(BC793-DATA[[#This Row],[fecha_fs]]&lt;0,0,BC793-DATA[[#This Row],[fecha_fs]]),0)</f>
        <v>14</v>
      </c>
      <c r="BH793" s="20">
        <f t="shared" si="84"/>
        <v>8</v>
      </c>
      <c r="BI793" s="20">
        <f t="shared" si="85"/>
        <v>2</v>
      </c>
      <c r="BJ793" s="20">
        <f t="shared" si="86"/>
        <v>1</v>
      </c>
      <c r="BK793" s="218">
        <f>IFERROR(SUM(DATA[[#This Row],[fs_fd_ttd]:[fend_fenf_ttd]]),0)</f>
        <v>25</v>
      </c>
      <c r="BL793" s="20" t="str">
        <f>IF(DATA[[#This Row],[fecha_fs]]&gt;0,TEXT(DATA[[#This Row],[fecha_fs]],"YYYY"),0)</f>
        <v>2025</v>
      </c>
      <c r="BM793" s="221" t="b">
        <v>1</v>
      </c>
      <c r="BN793" s="278">
        <f>COUNTIF(DATA[[#This Row],[tiempo_td]], "&lt;=15")</f>
        <v>0</v>
      </c>
      <c r="BO793" s="222"/>
    </row>
    <row r="794" spans="1:67" ht="30.6" customHeight="1" x14ac:dyDescent="0.25">
      <c r="A794" s="4">
        <v>20100211115</v>
      </c>
      <c r="B794" s="5" t="s">
        <v>41</v>
      </c>
      <c r="C794" s="52" t="s">
        <v>18</v>
      </c>
      <c r="D794" s="4" t="s">
        <v>120</v>
      </c>
      <c r="E794" s="5" t="s">
        <v>3</v>
      </c>
      <c r="F794" s="24">
        <v>45824</v>
      </c>
      <c r="G794" s="7" t="s">
        <v>113</v>
      </c>
      <c r="H794" s="25">
        <f t="shared" si="81"/>
        <v>1</v>
      </c>
      <c r="I794" s="67">
        <v>4633</v>
      </c>
      <c r="J794" s="8" t="s">
        <v>115</v>
      </c>
      <c r="K794" s="9" t="s">
        <v>163</v>
      </c>
      <c r="L794" s="10" t="s">
        <v>117</v>
      </c>
      <c r="M794" s="11">
        <v>1189</v>
      </c>
      <c r="N794" s="12" t="s">
        <v>132</v>
      </c>
      <c r="O794" s="6">
        <v>45834</v>
      </c>
      <c r="P794" s="115">
        <v>3516</v>
      </c>
      <c r="Q794" s="14" t="s">
        <v>85</v>
      </c>
      <c r="R794" s="15"/>
      <c r="S794" s="56">
        <f>DATA[[#This Row],[cantidad_fs]]*0.72</f>
        <v>856.07999999999993</v>
      </c>
      <c r="T794" s="15">
        <f>DATA[[#This Row],[C. DF]]+DATA[[#This Row],[C.OPE.]]</f>
        <v>856.07999999999993</v>
      </c>
      <c r="U794" s="15">
        <f>DATA[[#This Row],[SUB TOTAL]]*0.18</f>
        <v>154.09439999999998</v>
      </c>
      <c r="V794" s="15">
        <f>IFERROR(ROUND(DATA[[#This Row],[SUB TOTAL]]+DATA[[#This Row],[IGV]],2),0)</f>
        <v>1010.17</v>
      </c>
      <c r="W794" s="16" t="str">
        <f>IF(DATA[[#This Row],[VALORIZACIÓN ]]="-","NO CORRESPONDE",IF(OR(A794=20558226979,A794=10470707866,A794=20111157058,A794=20100226902),"NO CORRESPONDE",IF(J794="Emitida",IF(P794&gt;0,"EMITIDA","PENDIENTE"),"NO CORRESPONDE")))</f>
        <v>EMITIDA</v>
      </c>
      <c r="X794" s="29"/>
      <c r="Y794" s="17" t="s">
        <v>118</v>
      </c>
      <c r="Z794" s="30">
        <v>45835</v>
      </c>
      <c r="AA794" s="10" t="s">
        <v>150</v>
      </c>
      <c r="AB794" s="19">
        <v>138</v>
      </c>
      <c r="AC794" s="20">
        <v>30</v>
      </c>
      <c r="AD794" s="18">
        <f>DATA[[#This Row],[FECHA DE EMISION]]+DATA[[#This Row],[CONDICION DE PAGO]]</f>
        <v>45865</v>
      </c>
      <c r="AE794" s="23">
        <f>IF(DATA[[#This Row],[MONEDA]]="USD",VLOOKUP(DATA[[#This Row],[COMBINADA]],#REF!,11,0),1)</f>
        <v>1</v>
      </c>
      <c r="AF794" s="129" t="str">
        <f>IF(DATA[[#This Row],[SERIE2]]="-","NO CORRESPONDE",IF(W794="NO CORRESPONDE","NO CORRESPONDE",IF(Z794&gt;0,"FACTURADO","PENDIENTE")))</f>
        <v>FACTURADO</v>
      </c>
      <c r="AG794" s="133">
        <f>IFERROR(VLOOKUP(DATA[[#This Row],[COMBINADA]],#REF!,6,0),0)</f>
        <v>0</v>
      </c>
      <c r="AH794" s="125">
        <f>IFERROR(VLOOKUP(DATA[[#This Row],[COMBINADA]],#REF!,9,0),0)/COUNTIFS(DATA[COMBINADA],DATA[[#This Row],[COMBINADA]])</f>
        <v>0</v>
      </c>
      <c r="AI794" s="136">
        <f>IFERROR(VLOOKUP(DATA[[#This Row],[COMBINADA]],#REF!,6,0),0)</f>
        <v>0</v>
      </c>
      <c r="AJ794" s="132">
        <f>IFERROR(VLOOKUP(DATA[[#This Row],[COMBINADA]],#REF!,9,0),0)/COUNTIFS(DATA[COMBINADA],DATA[[#This Row],[COMBINADA]])</f>
        <v>0</v>
      </c>
      <c r="AK794" s="407">
        <f>IFERROR(VLOOKUP(DATA[[#This Row],[COMBINADA]],#REF!,6,0),0)</f>
        <v>0</v>
      </c>
      <c r="AL794" s="125">
        <f>IFERROR(VLOOKUP(DATA[[#This Row],[COMBINADA]],#REF!,9,0),0)/COUNTIFS(DATA[COMBINADA],DATA[[#This Row],[COMBINADA]])</f>
        <v>0</v>
      </c>
      <c r="AM794" s="27">
        <f>IFERROR(VLOOKUP(DATA[[#This Row],[COMBINADA]],#REF!,6,0),0)</f>
        <v>0</v>
      </c>
      <c r="AN794" s="125">
        <f>IFERROR(VLOOKUP(DATA[[#This Row],[COMBINADA]],#REF!,9,0),0)/COUNTIFS(DATA[COMBINADA],DATA[[#This Row],[COMBINADA]])</f>
        <v>0</v>
      </c>
      <c r="AO794" s="27">
        <f>IFERROR(VLOOKUP(DATA[[#This Row],[COMBINADA]],#REF!,6,0),0)</f>
        <v>0</v>
      </c>
      <c r="AP794" s="132">
        <f>IFERROR(VLOOKUP(DATA[[#This Row],[COMBINADA]],#REF!,9,0),0)/COUNTIFS(DATA[COMBINADA],DATA[[#This Row],[COMBINADA]])</f>
        <v>0</v>
      </c>
      <c r="AQ79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926.91</v>
      </c>
      <c r="AR794" s="26" t="str">
        <f>IFERROR(IF(DATA[[#This Row],[estado_fact]]="FACTURADO",VLOOKUP(DATA[[#This Row],[SERIE2]]&amp;"-"&amp;DATA[[#This Row],[NUMERO]],#REF!,34,0),"NO CORRESPONDE"),"NO CORRESPONDE")</f>
        <v>NO CORRESPONDE</v>
      </c>
      <c r="AS794" s="22" t="str">
        <f>IF(DATA[[#This Row],[fecha_fs]]&gt;0,TEXT(DATA[[#This Row],[fecha_fs]],"Mmmm"),0)</f>
        <v>Junio</v>
      </c>
      <c r="AT794" s="22" t="str">
        <f>DATA[[#This Row],[SERIE2]]&amp;"-"&amp;DATA[[#This Row],[NUMERO]]</f>
        <v>FF01-138</v>
      </c>
      <c r="AU794" s="28">
        <f>DATA[[#This Row],[TOTAL]]*DATA[[#This Row],[T.C.]]</f>
        <v>1010.17</v>
      </c>
      <c r="AV794" s="6">
        <f>DATA[[#This Row],[FECHA DE VAL.]]</f>
        <v>45834</v>
      </c>
      <c r="AW794" s="6">
        <f>DATA[[#This Row],[FECHA DE EMISION]]</f>
        <v>45835</v>
      </c>
      <c r="AX794" s="6">
        <f>DATA[[#This Row],[F1]]</f>
        <v>0</v>
      </c>
      <c r="AY794" s="20">
        <f>IF(AV794-DATA[[#This Row],[fecha_fs]]&lt;0,0,AV794-DATA[[#This Row],[fecha_fs]])</f>
        <v>10</v>
      </c>
      <c r="AZ794" s="20">
        <f t="shared" si="82"/>
        <v>1</v>
      </c>
      <c r="BA794" s="20">
        <f t="shared" si="83"/>
        <v>0</v>
      </c>
      <c r="BB794" s="195">
        <f>IFERROR(SUM(DATA[[#This Row],[fs_val_ttf]:[fact_pago_ttf]]),0)</f>
        <v>11</v>
      </c>
      <c r="BC794" s="185">
        <v>45838</v>
      </c>
      <c r="BD794" s="185">
        <v>45846</v>
      </c>
      <c r="BE794" s="185">
        <v>45848</v>
      </c>
      <c r="BF794" s="185">
        <v>45849</v>
      </c>
      <c r="BG794" s="20">
        <f>IFERROR(IF(BC794-DATA[[#This Row],[fecha_fs]]&lt;0,0,BC794-DATA[[#This Row],[fecha_fs]]),0)</f>
        <v>14</v>
      </c>
      <c r="BH794" s="20">
        <f t="shared" si="84"/>
        <v>8</v>
      </c>
      <c r="BI794" s="20">
        <f t="shared" si="85"/>
        <v>2</v>
      </c>
      <c r="BJ794" s="20">
        <f t="shared" si="86"/>
        <v>1</v>
      </c>
      <c r="BK794" s="218">
        <f>IFERROR(SUM(DATA[[#This Row],[fs_fd_ttd]:[fend_fenf_ttd]]),0)</f>
        <v>25</v>
      </c>
      <c r="BL794" s="20" t="str">
        <f>IF(DATA[[#This Row],[fecha_fs]]&gt;0,TEXT(DATA[[#This Row],[fecha_fs]],"YYYY"),0)</f>
        <v>2025</v>
      </c>
      <c r="BM794" s="221" t="b">
        <v>1</v>
      </c>
      <c r="BN794" s="278">
        <f>COUNTIF(DATA[[#This Row],[tiempo_td]], "&lt;=15")</f>
        <v>0</v>
      </c>
      <c r="BO794" s="222"/>
    </row>
    <row r="795" spans="1:67" ht="30.6" customHeight="1" x14ac:dyDescent="0.25">
      <c r="A795" s="4">
        <v>20100055237</v>
      </c>
      <c r="B795" s="5" t="s">
        <v>21</v>
      </c>
      <c r="C795" s="52" t="s">
        <v>138</v>
      </c>
      <c r="D795" s="4" t="s">
        <v>139</v>
      </c>
      <c r="E795" s="5" t="s">
        <v>23</v>
      </c>
      <c r="F795" s="24">
        <v>45825</v>
      </c>
      <c r="G795" s="7" t="s">
        <v>113</v>
      </c>
      <c r="H795" s="25">
        <f t="shared" si="81"/>
        <v>1</v>
      </c>
      <c r="I795" s="67">
        <v>4634</v>
      </c>
      <c r="J795" s="8" t="s">
        <v>115</v>
      </c>
      <c r="K795" s="9" t="s">
        <v>121</v>
      </c>
      <c r="L795" s="10" t="s">
        <v>117</v>
      </c>
      <c r="M795" s="11">
        <v>140</v>
      </c>
      <c r="N795" s="12" t="s">
        <v>132</v>
      </c>
      <c r="O795" s="6">
        <v>45835</v>
      </c>
      <c r="P795" s="54">
        <v>3525</v>
      </c>
      <c r="Q795" s="14" t="s">
        <v>85</v>
      </c>
      <c r="R795" s="15"/>
      <c r="S795" s="56">
        <v>297.92</v>
      </c>
      <c r="T795" s="15">
        <f>DATA[[#This Row],[C. DF]]+DATA[[#This Row],[C.OPE.]]</f>
        <v>297.92</v>
      </c>
      <c r="U795" s="15">
        <f>DATA[[#This Row],[SUB TOTAL]]*0.18</f>
        <v>53.625599999999999</v>
      </c>
      <c r="V795" s="15">
        <f>IFERROR(ROUND(DATA[[#This Row],[SUB TOTAL]]+DATA[[#This Row],[IGV]],2),0)</f>
        <v>351.55</v>
      </c>
      <c r="W795" s="16" t="str">
        <f>IF(DATA[[#This Row],[VALORIZACIÓN ]]="-","NO CORRESPONDE",IF(OR(A795=20558226979,A795=10470707866,A795=20111157058,A795=20100226902),"NO CORRESPONDE",IF(J795="Emitida",IF(P795&gt;0,"EMITIDA","PENDIENTE"),"NO CORRESPONDE")))</f>
        <v>EMITIDA</v>
      </c>
      <c r="X795" s="29"/>
      <c r="Y795" s="17" t="s">
        <v>118</v>
      </c>
      <c r="Z795" s="30">
        <v>45848</v>
      </c>
      <c r="AA795" s="10" t="s">
        <v>150</v>
      </c>
      <c r="AB795" s="19">
        <v>169</v>
      </c>
      <c r="AC795" s="20">
        <v>30</v>
      </c>
      <c r="AD795" s="18">
        <f>DATA[[#This Row],[FECHA DE EMISION]]+DATA[[#This Row],[CONDICION DE PAGO]]</f>
        <v>45878</v>
      </c>
      <c r="AE795" s="23">
        <f>IF(DATA[[#This Row],[MONEDA]]="USD",VLOOKUP(DATA[[#This Row],[COMBINADA]],#REF!,11,0),1)</f>
        <v>1</v>
      </c>
      <c r="AF795" s="129" t="str">
        <f>IF(DATA[[#This Row],[SERIE2]]="-","NO CORRESPONDE",IF(W795="NO CORRESPONDE","NO CORRESPONDE",IF(Z795&gt;0,"FACTURADO","PENDIENTE")))</f>
        <v>FACTURADO</v>
      </c>
      <c r="AG795" s="133">
        <f>IFERROR(VLOOKUP(DATA[[#This Row],[COMBINADA]],#REF!,6,0),0)</f>
        <v>0</v>
      </c>
      <c r="AH795" s="125">
        <f>IFERROR(VLOOKUP(DATA[[#This Row],[COMBINADA]],#REF!,9,0),0)/COUNTIFS(DATA[COMBINADA],DATA[[#This Row],[COMBINADA]])</f>
        <v>0</v>
      </c>
      <c r="AI795" s="136">
        <f>IFERROR(VLOOKUP(DATA[[#This Row],[COMBINADA]],#REF!,6,0),0)</f>
        <v>0</v>
      </c>
      <c r="AJ795" s="132">
        <f>IFERROR(VLOOKUP(DATA[[#This Row],[COMBINADA]],#REF!,9,0),0)/COUNTIFS(DATA[COMBINADA],DATA[[#This Row],[COMBINADA]])</f>
        <v>0</v>
      </c>
      <c r="AK795" s="407">
        <f>IFERROR(VLOOKUP(DATA[[#This Row],[COMBINADA]],#REF!,6,0),0)</f>
        <v>0</v>
      </c>
      <c r="AL795" s="125">
        <f>IFERROR(VLOOKUP(DATA[[#This Row],[COMBINADA]],#REF!,9,0),0)/COUNTIFS(DATA[COMBINADA],DATA[[#This Row],[COMBINADA]])</f>
        <v>0</v>
      </c>
      <c r="AM795" s="27">
        <f>IFERROR(VLOOKUP(DATA[[#This Row],[COMBINADA]],#REF!,6,0),0)</f>
        <v>0</v>
      </c>
      <c r="AN795" s="125">
        <f>IFERROR(VLOOKUP(DATA[[#This Row],[COMBINADA]],#REF!,9,0),0)/COUNTIFS(DATA[COMBINADA],DATA[[#This Row],[COMBINADA]])</f>
        <v>0</v>
      </c>
      <c r="AO795" s="27">
        <f>IFERROR(VLOOKUP(DATA[[#This Row],[COMBINADA]],#REF!,6,0),0)</f>
        <v>0</v>
      </c>
      <c r="AP795" s="132">
        <f>IFERROR(VLOOKUP(DATA[[#This Row],[COMBINADA]],#REF!,9,0),0)/COUNTIFS(DATA[COMBINADA],DATA[[#This Row],[COMBINADA]])</f>
        <v>0</v>
      </c>
      <c r="AQ79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v>
      </c>
      <c r="AR795" s="26" t="str">
        <f>IFERROR(IF(DATA[[#This Row],[estado_fact]]="FACTURADO",VLOOKUP(DATA[[#This Row],[SERIE2]]&amp;"-"&amp;DATA[[#This Row],[NUMERO]],#REF!,34,0),"NO CORRESPONDE"),"NO CORRESPONDE")</f>
        <v>NO CORRESPONDE</v>
      </c>
      <c r="AS795" s="22" t="str">
        <f>IF(DATA[[#This Row],[fecha_fs]]&gt;0,TEXT(DATA[[#This Row],[fecha_fs]],"Mmmm"),0)</f>
        <v>Junio</v>
      </c>
      <c r="AT795" s="22" t="str">
        <f>DATA[[#This Row],[SERIE2]]&amp;"-"&amp;DATA[[#This Row],[NUMERO]]</f>
        <v>FF01-169</v>
      </c>
      <c r="AU795" s="28">
        <f>DATA[[#This Row],[TOTAL]]*DATA[[#This Row],[T.C.]]</f>
        <v>351.55</v>
      </c>
      <c r="AV795" s="6">
        <f>DATA[[#This Row],[FECHA DE VAL.]]</f>
        <v>45835</v>
      </c>
      <c r="AW795" s="6">
        <f>DATA[[#This Row],[FECHA DE EMISION]]</f>
        <v>45848</v>
      </c>
      <c r="AX795" s="6">
        <f>DATA[[#This Row],[F1]]</f>
        <v>0</v>
      </c>
      <c r="AY795" s="20">
        <f>IF(AV795-DATA[[#This Row],[fecha_fs]]&lt;0,0,AV795-DATA[[#This Row],[fecha_fs]])</f>
        <v>10</v>
      </c>
      <c r="AZ795" s="20">
        <f t="shared" si="82"/>
        <v>13</v>
      </c>
      <c r="BA795" s="20">
        <f t="shared" si="83"/>
        <v>0</v>
      </c>
      <c r="BB795" s="195">
        <f>IFERROR(SUM(DATA[[#This Row],[fs_val_ttf]:[fact_pago_ttf]]),0)</f>
        <v>23</v>
      </c>
      <c r="BC795" s="225">
        <v>45825</v>
      </c>
      <c r="BD795" s="225">
        <v>45825</v>
      </c>
      <c r="BE795" s="225">
        <v>45839</v>
      </c>
      <c r="BF795" s="235">
        <v>45839</v>
      </c>
      <c r="BG795" s="171">
        <f>IFERROR(IF(BC795-DATA[[#This Row],[fecha_fs]]&lt;0,0,BC795-DATA[[#This Row],[fecha_fs]]),0)</f>
        <v>0</v>
      </c>
      <c r="BH795" s="171">
        <f t="shared" si="84"/>
        <v>0</v>
      </c>
      <c r="BI795" s="171">
        <f t="shared" si="85"/>
        <v>14</v>
      </c>
      <c r="BJ795" s="171">
        <f t="shared" si="86"/>
        <v>0</v>
      </c>
      <c r="BK795" s="219">
        <f>IFERROR(SUM(DATA[[#This Row],[fs_fd_ttd]:[fend_fenf_ttd]]),0)</f>
        <v>14</v>
      </c>
      <c r="BL795" s="20" t="str">
        <f>IF(DATA[[#This Row],[fecha_fs]]&gt;0,TEXT(DATA[[#This Row],[fecha_fs]],"YYYY"),0)</f>
        <v>2025</v>
      </c>
      <c r="BM795" s="221" t="b">
        <v>1</v>
      </c>
      <c r="BN795" s="278">
        <f>COUNTIF(DATA[[#This Row],[tiempo_td]], "&lt;=15")</f>
        <v>1</v>
      </c>
      <c r="BO795" s="222"/>
    </row>
    <row r="796" spans="1:67" ht="30.6" customHeight="1" x14ac:dyDescent="0.25">
      <c r="A796" s="4">
        <v>20523573226</v>
      </c>
      <c r="B796" s="5" t="s">
        <v>31</v>
      </c>
      <c r="C796" s="52" t="s">
        <v>20</v>
      </c>
      <c r="D796" s="4" t="s">
        <v>120</v>
      </c>
      <c r="E796" s="5" t="s">
        <v>3</v>
      </c>
      <c r="F796" s="24">
        <v>45826</v>
      </c>
      <c r="G796" s="7" t="s">
        <v>113</v>
      </c>
      <c r="H796" s="25">
        <f t="shared" si="81"/>
        <v>1</v>
      </c>
      <c r="I796" s="67">
        <v>4635</v>
      </c>
      <c r="J796" s="8" t="s">
        <v>115</v>
      </c>
      <c r="K796" s="9" t="s">
        <v>121</v>
      </c>
      <c r="L796" s="10" t="s">
        <v>117</v>
      </c>
      <c r="M796" s="11">
        <v>830</v>
      </c>
      <c r="N796" s="12" t="s">
        <v>125</v>
      </c>
      <c r="O796" s="6">
        <v>45827</v>
      </c>
      <c r="P796" s="13">
        <v>3499</v>
      </c>
      <c r="Q796" s="14" t="s">
        <v>85</v>
      </c>
      <c r="R796" s="15">
        <f>256+((DATA[[#This Row],[cantidad_fs]]-400)*0.64)</f>
        <v>531.20000000000005</v>
      </c>
      <c r="S796" s="56">
        <v>552.07399999999996</v>
      </c>
      <c r="T796" s="15">
        <f>DATA[[#This Row],[C. DF]]+DATA[[#This Row],[C.OPE.]]</f>
        <v>1083.2739999999999</v>
      </c>
      <c r="U796" s="15">
        <f>DATA[[#This Row],[SUB TOTAL]]*0.18</f>
        <v>194.98931999999996</v>
      </c>
      <c r="V796" s="15">
        <f>IFERROR(ROUND(DATA[[#This Row],[SUB TOTAL]]+DATA[[#This Row],[IGV]],2),0)</f>
        <v>1278.26</v>
      </c>
      <c r="W796" s="16" t="str">
        <f>IF(DATA[[#This Row],[VALORIZACIÓN ]]="-","NO CORRESPONDE",IF(OR(A796=20558226979,A796=10470707866,A796=20111157058,A796=20100226902),"NO CORRESPONDE",IF(J796="Emitida",IF(P796&gt;0,"EMITIDA","PENDIENTE"),"NO CORRESPONDE")))</f>
        <v>EMITIDA</v>
      </c>
      <c r="X796" s="29"/>
      <c r="Y796" s="17" t="s">
        <v>118</v>
      </c>
      <c r="Z796" s="30">
        <v>45898</v>
      </c>
      <c r="AA796" s="10" t="s">
        <v>150</v>
      </c>
      <c r="AB796" s="19">
        <v>228</v>
      </c>
      <c r="AC796" s="20">
        <v>15</v>
      </c>
      <c r="AD796" s="18">
        <f>DATA[[#This Row],[FECHA DE EMISION]]+DATA[[#This Row],[CONDICION DE PAGO]]</f>
        <v>45913</v>
      </c>
      <c r="AE796" s="23">
        <f>IF(DATA[[#This Row],[MONEDA]]="USD",VLOOKUP(DATA[[#This Row],[COMBINADA]],#REF!,11,0),1)</f>
        <v>1</v>
      </c>
      <c r="AF796" s="129" t="str">
        <f>IF(DATA[[#This Row],[SERIE2]]="-","NO CORRESPONDE",IF(W796="NO CORRESPONDE","NO CORRESPONDE",IF(Z796&gt;0,"FACTURADO","PENDIENTE")))</f>
        <v>FACTURADO</v>
      </c>
      <c r="AG796" s="133">
        <f>IFERROR(VLOOKUP(DATA[[#This Row],[COMBINADA]],#REF!,6,0),0)</f>
        <v>0</v>
      </c>
      <c r="AH796" s="125">
        <f>IFERROR(VLOOKUP(DATA[[#This Row],[COMBINADA]],#REF!,9,0),0)/COUNTIFS(DATA[COMBINADA],DATA[[#This Row],[COMBINADA]])</f>
        <v>0</v>
      </c>
      <c r="AI796" s="136">
        <f>IFERROR(VLOOKUP(DATA[[#This Row],[COMBINADA]],#REF!,6,0),0)</f>
        <v>0</v>
      </c>
      <c r="AJ796" s="132">
        <f>IFERROR(VLOOKUP(DATA[[#This Row],[COMBINADA]],#REF!,9,0),0)/COUNTIFS(DATA[COMBINADA],DATA[[#This Row],[COMBINADA]])</f>
        <v>0</v>
      </c>
      <c r="AK796" s="407">
        <f>IFERROR(VLOOKUP(DATA[[#This Row],[COMBINADA]],#REF!,6,0),0)</f>
        <v>0</v>
      </c>
      <c r="AL796" s="125">
        <f>IFERROR(VLOOKUP(DATA[[#This Row],[COMBINADA]],#REF!,9,0),0)/COUNTIFS(DATA[COMBINADA],DATA[[#This Row],[COMBINADA]])</f>
        <v>0</v>
      </c>
      <c r="AM796" s="27">
        <f>IFERROR(VLOOKUP(DATA[[#This Row],[COMBINADA]],#REF!,6,0),0)</f>
        <v>0</v>
      </c>
      <c r="AN796" s="125">
        <f>IFERROR(VLOOKUP(DATA[[#This Row],[COMBINADA]],#REF!,9,0),0)/COUNTIFS(DATA[COMBINADA],DATA[[#This Row],[COMBINADA]])</f>
        <v>0</v>
      </c>
      <c r="AO796" s="27">
        <f>IFERROR(VLOOKUP(DATA[[#This Row],[COMBINADA]],#REF!,6,0),0)</f>
        <v>0</v>
      </c>
      <c r="AP796" s="132">
        <f>IFERROR(VLOOKUP(DATA[[#This Row],[COMBINADA]],#REF!,9,0),0)/COUNTIFS(DATA[COMBINADA],DATA[[#This Row],[COMBINADA]])</f>
        <v>0</v>
      </c>
      <c r="AQ79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1278.26</v>
      </c>
      <c r="AR796" s="26" t="str">
        <f>IFERROR(IF(DATA[[#This Row],[estado_fact]]="FACTURADO",VLOOKUP(DATA[[#This Row],[SERIE2]]&amp;"-"&amp;DATA[[#This Row],[NUMERO]],#REF!,34,0),"NO CORRESPONDE"),"NO CORRESPONDE")</f>
        <v>NO CORRESPONDE</v>
      </c>
      <c r="AS796" s="22" t="str">
        <f>IF(DATA[[#This Row],[fecha_fs]]&gt;0,TEXT(DATA[[#This Row],[fecha_fs]],"Mmmm"),0)</f>
        <v>Junio</v>
      </c>
      <c r="AT796" s="22" t="str">
        <f>DATA[[#This Row],[SERIE2]]&amp;"-"&amp;DATA[[#This Row],[NUMERO]]</f>
        <v>FF01-228</v>
      </c>
      <c r="AU796" s="28">
        <f>DATA[[#This Row],[TOTAL]]*DATA[[#This Row],[T.C.]]</f>
        <v>1278.26</v>
      </c>
      <c r="AV796" s="6">
        <f>DATA[[#This Row],[FECHA DE VAL.]]</f>
        <v>45827</v>
      </c>
      <c r="AW796" s="6">
        <f>DATA[[#This Row],[FECHA DE EMISION]]</f>
        <v>45898</v>
      </c>
      <c r="AX796" s="6">
        <f>DATA[[#This Row],[F1]]</f>
        <v>0</v>
      </c>
      <c r="AY796" s="20">
        <f>IF(AV796-DATA[[#This Row],[fecha_fs]]&lt;0,0,AV796-DATA[[#This Row],[fecha_fs]])</f>
        <v>1</v>
      </c>
      <c r="AZ796" s="20">
        <f t="shared" si="82"/>
        <v>71</v>
      </c>
      <c r="BA796" s="20">
        <f t="shared" si="83"/>
        <v>0</v>
      </c>
      <c r="BB796" s="195">
        <f>IFERROR(SUM(DATA[[#This Row],[fs_val_ttf]:[fact_pago_ttf]]),0)</f>
        <v>72</v>
      </c>
      <c r="BC796" s="185">
        <v>45825</v>
      </c>
      <c r="BD796" s="185">
        <v>45832</v>
      </c>
      <c r="BE796" s="185">
        <v>45873</v>
      </c>
      <c r="BF796" s="233">
        <v>45894</v>
      </c>
      <c r="BG796" s="20">
        <f>IFERROR(IF(BC796-DATA[[#This Row],[fecha_fs]]&lt;0,0,BC796-DATA[[#This Row],[fecha_fs]]),0)</f>
        <v>0</v>
      </c>
      <c r="BH796" s="20">
        <f t="shared" si="84"/>
        <v>7</v>
      </c>
      <c r="BI796" s="20">
        <f t="shared" si="85"/>
        <v>41</v>
      </c>
      <c r="BJ796" s="20">
        <f t="shared" si="86"/>
        <v>21</v>
      </c>
      <c r="BK796" s="189">
        <f>IFERROR(SUM(DATA[[#This Row],[fs_fd_ttd]:[fend_fenf_ttd]]),0)</f>
        <v>69</v>
      </c>
      <c r="BL796" s="20" t="str">
        <f>IF(DATA[[#This Row],[fecha_fs]]&gt;0,TEXT(DATA[[#This Row],[fecha_fs]],"YYYY"),0)</f>
        <v>2025</v>
      </c>
      <c r="BM796" s="221" t="b">
        <v>1</v>
      </c>
      <c r="BN796" s="278">
        <f>COUNTIF(DATA[[#This Row],[tiempo_td]], "&lt;=15")</f>
        <v>0</v>
      </c>
      <c r="BO796" s="222"/>
    </row>
    <row r="797" spans="1:67" ht="30.6" customHeight="1" x14ac:dyDescent="0.25">
      <c r="A797" s="4">
        <v>20141637941</v>
      </c>
      <c r="B797" s="5" t="s">
        <v>79</v>
      </c>
      <c r="C797" s="52" t="s">
        <v>18</v>
      </c>
      <c r="D797" s="4" t="s">
        <v>120</v>
      </c>
      <c r="E797" s="5" t="s">
        <v>3</v>
      </c>
      <c r="F797" s="24">
        <v>45826</v>
      </c>
      <c r="G797" s="7" t="s">
        <v>113</v>
      </c>
      <c r="H797" s="25">
        <f t="shared" si="81"/>
        <v>1</v>
      </c>
      <c r="I797" s="67">
        <v>4636</v>
      </c>
      <c r="J797" s="8" t="s">
        <v>115</v>
      </c>
      <c r="K797" s="9" t="s">
        <v>121</v>
      </c>
      <c r="L797" s="10" t="s">
        <v>117</v>
      </c>
      <c r="M797" s="11">
        <v>820</v>
      </c>
      <c r="N797" s="12" t="s">
        <v>125</v>
      </c>
      <c r="O797" s="6">
        <v>45826</v>
      </c>
      <c r="P797" s="110">
        <v>3498</v>
      </c>
      <c r="Q797" s="14" t="s">
        <v>85</v>
      </c>
      <c r="R797" s="15">
        <f>70</f>
        <v>70</v>
      </c>
      <c r="S797" s="56">
        <v>517</v>
      </c>
      <c r="T797" s="15">
        <f>DATA[[#This Row],[C. DF]]+DATA[[#This Row],[C.OPE.]]</f>
        <v>587</v>
      </c>
      <c r="U797" s="15">
        <f>DATA[[#This Row],[SUB TOTAL]]*0.18</f>
        <v>105.66</v>
      </c>
      <c r="V797" s="15">
        <f>IFERROR(ROUND(DATA[[#This Row],[SUB TOTAL]]+DATA[[#This Row],[IGV]],2),0)</f>
        <v>692.66</v>
      </c>
      <c r="W797" s="16" t="str">
        <f>IF(DATA[[#This Row],[VALORIZACIÓN ]]="-","NO CORRESPONDE",IF(OR(A797=20558226979,A797=10470707866,A797=20111157058,A797=20100226902),"NO CORRESPONDE",IF(J797="Emitida",IF(P797&gt;0,"EMITIDA","PENDIENTE"),"NO CORRESPONDE")))</f>
        <v>EMITIDA</v>
      </c>
      <c r="X797" s="29"/>
      <c r="Y797" s="17" t="s">
        <v>118</v>
      </c>
      <c r="Z797" s="30">
        <v>45827</v>
      </c>
      <c r="AA797" s="10" t="s">
        <v>150</v>
      </c>
      <c r="AB797" s="19">
        <v>126</v>
      </c>
      <c r="AC797" s="20">
        <v>30</v>
      </c>
      <c r="AD797" s="18">
        <f>DATA[[#This Row],[FECHA DE EMISION]]+DATA[[#This Row],[CONDICION DE PAGO]]</f>
        <v>45857</v>
      </c>
      <c r="AE797" s="23">
        <f>IF(DATA[[#This Row],[MONEDA]]="USD",VLOOKUP(DATA[[#This Row],[COMBINADA]],#REF!,11,0),1)</f>
        <v>1</v>
      </c>
      <c r="AF797" s="129" t="str">
        <f>IF(DATA[[#This Row],[SERIE2]]="-","NO CORRESPONDE",IF(W797="NO CORRESPONDE","NO CORRESPONDE",IF(Z797&gt;0,"FACTURADO","PENDIENTE")))</f>
        <v>FACTURADO</v>
      </c>
      <c r="AG797" s="133">
        <f>IFERROR(VLOOKUP(DATA[[#This Row],[COMBINADA]],#REF!,6,0),0)</f>
        <v>0</v>
      </c>
      <c r="AH797" s="125">
        <f>IFERROR(VLOOKUP(DATA[[#This Row],[COMBINADA]],#REF!,9,0),0)/COUNTIFS(DATA[COMBINADA],DATA[[#This Row],[COMBINADA]])</f>
        <v>0</v>
      </c>
      <c r="AI797" s="136">
        <f>IFERROR(VLOOKUP(DATA[[#This Row],[COMBINADA]],#REF!,6,0),0)</f>
        <v>0</v>
      </c>
      <c r="AJ797" s="132">
        <f>IFERROR(VLOOKUP(DATA[[#This Row],[COMBINADA]],#REF!,9,0),0)/COUNTIFS(DATA[COMBINADA],DATA[[#This Row],[COMBINADA]])</f>
        <v>0</v>
      </c>
      <c r="AK797" s="407">
        <f>IFERROR(VLOOKUP(DATA[[#This Row],[COMBINADA]],#REF!,6,0),0)</f>
        <v>0</v>
      </c>
      <c r="AL797" s="125">
        <f>IFERROR(VLOOKUP(DATA[[#This Row],[COMBINADA]],#REF!,9,0),0)/COUNTIFS(DATA[COMBINADA],DATA[[#This Row],[COMBINADA]])</f>
        <v>0</v>
      </c>
      <c r="AM797" s="27">
        <f>IFERROR(VLOOKUP(DATA[[#This Row],[COMBINADA]],#REF!,6,0),0)</f>
        <v>0</v>
      </c>
      <c r="AN797" s="125">
        <f>IFERROR(VLOOKUP(DATA[[#This Row],[COMBINADA]],#REF!,9,0),0)/COUNTIFS(DATA[COMBINADA],DATA[[#This Row],[COMBINADA]])</f>
        <v>0</v>
      </c>
      <c r="AO797" s="27">
        <f>IFERROR(VLOOKUP(DATA[[#This Row],[COMBINADA]],#REF!,6,0),0)</f>
        <v>0</v>
      </c>
      <c r="AP797" s="132">
        <f>IFERROR(VLOOKUP(DATA[[#This Row],[COMBINADA]],#REF!,9,0),0)/COUNTIFS(DATA[COMBINADA],DATA[[#This Row],[COMBINADA]])</f>
        <v>0</v>
      </c>
      <c r="AQ79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692.66</v>
      </c>
      <c r="AR797" s="26" t="str">
        <f>IFERROR(IF(DATA[[#This Row],[estado_fact]]="FACTURADO",VLOOKUP(DATA[[#This Row],[SERIE2]]&amp;"-"&amp;DATA[[#This Row],[NUMERO]],#REF!,34,0),"NO CORRESPONDE"),"NO CORRESPONDE")</f>
        <v>NO CORRESPONDE</v>
      </c>
      <c r="AS797" s="22" t="str">
        <f>IF(DATA[[#This Row],[fecha_fs]]&gt;0,TEXT(DATA[[#This Row],[fecha_fs]],"Mmmm"),0)</f>
        <v>Junio</v>
      </c>
      <c r="AT797" s="22" t="str">
        <f>DATA[[#This Row],[SERIE2]]&amp;"-"&amp;DATA[[#This Row],[NUMERO]]</f>
        <v>FF01-126</v>
      </c>
      <c r="AU797" s="28">
        <f>DATA[[#This Row],[TOTAL]]*DATA[[#This Row],[T.C.]]</f>
        <v>692.66</v>
      </c>
      <c r="AV797" s="6">
        <f>DATA[[#This Row],[FECHA DE VAL.]]</f>
        <v>45826</v>
      </c>
      <c r="AW797" s="6">
        <f>DATA[[#This Row],[FECHA DE EMISION]]</f>
        <v>45827</v>
      </c>
      <c r="AX797" s="6">
        <f>DATA[[#This Row],[F1]]</f>
        <v>0</v>
      </c>
      <c r="AY797" s="20">
        <f>IF(AV797-DATA[[#This Row],[fecha_fs]]&lt;0,0,AV797-DATA[[#This Row],[fecha_fs]])</f>
        <v>0</v>
      </c>
      <c r="AZ797" s="20">
        <f t="shared" si="82"/>
        <v>1</v>
      </c>
      <c r="BA797" s="20">
        <f t="shared" si="83"/>
        <v>0</v>
      </c>
      <c r="BB797" s="195">
        <f>IFERROR(SUM(DATA[[#This Row],[fs_val_ttf]:[fact_pago_ttf]]),0)</f>
        <v>1</v>
      </c>
      <c r="BC797" s="184">
        <v>45826</v>
      </c>
      <c r="BD797" s="184">
        <v>45826</v>
      </c>
      <c r="BE797" s="184">
        <v>45827</v>
      </c>
      <c r="BF797" s="235">
        <v>45827</v>
      </c>
      <c r="BG797" s="226">
        <f>IFERROR(IF(BC797-DATA[[#This Row],[fecha_fs]]&lt;0,0,BC797-DATA[[#This Row],[fecha_fs]]),0)</f>
        <v>0</v>
      </c>
      <c r="BH797" s="226">
        <f t="shared" si="84"/>
        <v>0</v>
      </c>
      <c r="BI797" s="226">
        <f t="shared" si="85"/>
        <v>1</v>
      </c>
      <c r="BJ797" s="226">
        <f t="shared" si="86"/>
        <v>0</v>
      </c>
      <c r="BK797" s="228">
        <f>IFERROR(SUM(DATA[[#This Row],[fs_fd_ttd]:[fend_fenf_ttd]]),0)</f>
        <v>1</v>
      </c>
      <c r="BL797" s="20" t="str">
        <f>IF(DATA[[#This Row],[fecha_fs]]&gt;0,TEXT(DATA[[#This Row],[fecha_fs]],"YYYY"),0)</f>
        <v>2025</v>
      </c>
      <c r="BM797" s="221" t="b">
        <v>1</v>
      </c>
      <c r="BN797" s="278">
        <f>COUNTIF(DATA[[#This Row],[tiempo_td]], "&lt;=15")</f>
        <v>1</v>
      </c>
      <c r="BO797" s="222"/>
    </row>
    <row r="798" spans="1:67" ht="30.6" customHeight="1" x14ac:dyDescent="0.25">
      <c r="A798" s="4">
        <v>20100226902</v>
      </c>
      <c r="B798" s="5" t="s">
        <v>24</v>
      </c>
      <c r="C798" s="52" t="s">
        <v>18</v>
      </c>
      <c r="D798" s="4" t="s">
        <v>120</v>
      </c>
      <c r="E798" s="5" t="s">
        <v>3</v>
      </c>
      <c r="F798" s="24">
        <v>45828</v>
      </c>
      <c r="G798" s="7" t="s">
        <v>113</v>
      </c>
      <c r="H798" s="25">
        <f t="shared" si="81"/>
        <v>1</v>
      </c>
      <c r="I798" s="67">
        <v>4637</v>
      </c>
      <c r="J798" s="8" t="s">
        <v>115</v>
      </c>
      <c r="K798" s="9" t="s">
        <v>121</v>
      </c>
      <c r="L798" s="10" t="s">
        <v>117</v>
      </c>
      <c r="M798" s="11">
        <v>990</v>
      </c>
      <c r="N798" s="12" t="s">
        <v>127</v>
      </c>
      <c r="O798" s="40"/>
      <c r="P798" s="41" t="s">
        <v>114</v>
      </c>
      <c r="Q798" s="42"/>
      <c r="R798" s="43"/>
      <c r="S798" s="43"/>
      <c r="T798" s="43">
        <f>DATA[[#This Row],[C. DF]]+DATA[[#This Row],[C.OPE.]]</f>
        <v>0</v>
      </c>
      <c r="U798" s="43">
        <f>DATA[[#This Row],[SUB TOTAL]]*0.18</f>
        <v>0</v>
      </c>
      <c r="V798" s="43">
        <f>IFERROR(ROUND(DATA[[#This Row],[SUB TOTAL]]+DATA[[#This Row],[IGV]],2),0)</f>
        <v>0</v>
      </c>
      <c r="W798" s="58" t="str">
        <f>IF(DATA[[#This Row],[VALORIZACIÓN ]]="-","NO CORRESPONDE",IF(OR(A798=20558226979,A798=10470707866,A798=20111157058,A798=20100226902),"NO CORRESPONDE",IF(J798="Emitida",IF(P798&gt;0,"EMITIDA","PENDIENTE"),"NO CORRESPONDE")))</f>
        <v>NO CORRESPONDE</v>
      </c>
      <c r="X798" s="45"/>
      <c r="Y798" s="17" t="s">
        <v>128</v>
      </c>
      <c r="Z798" s="46"/>
      <c r="AA798" s="47"/>
      <c r="AB798" s="48"/>
      <c r="AC798" s="49"/>
      <c r="AD798" s="50">
        <f>DATA[[#This Row],[FECHA DE EMISION]]+DATA[[#This Row],[CONDICION DE PAGO]]</f>
        <v>0</v>
      </c>
      <c r="AE798" s="23">
        <f>IF(DATA[[#This Row],[MONEDA]]="USD",VLOOKUP(DATA[[#This Row],[COMBINADA]],#REF!,11,0),1)</f>
        <v>1</v>
      </c>
      <c r="AF798" s="129" t="str">
        <f>IF(DATA[[#This Row],[SERIE2]]="-","NO CORRESPONDE",IF(W798="NO CORRESPONDE","NO CORRESPONDE",IF(Z798&gt;0,"FACTURADO","PENDIENTE")))</f>
        <v>NO CORRESPONDE</v>
      </c>
      <c r="AG798" s="140">
        <f>IFERROR(VLOOKUP(DATA[[#This Row],[COMBINADA]],#REF!,6,0),0)</f>
        <v>0</v>
      </c>
      <c r="AH798" s="126">
        <f>IFERROR(VLOOKUP(DATA[[#This Row],[COMBINADA]],#REF!,9,0),0)/COUNTIFS(DATA[COMBINADA],DATA[[#This Row],[COMBINADA]])</f>
        <v>0</v>
      </c>
      <c r="AI798" s="140">
        <f>IFERROR(VLOOKUP(DATA[[#This Row],[COMBINADA]],#REF!,6,0),0)</f>
        <v>0</v>
      </c>
      <c r="AJ798" s="126">
        <f>IFERROR(VLOOKUP(DATA[[#This Row],[COMBINADA]],#REF!,9,0),0)/COUNTIFS(DATA[COMBINADA],DATA[[#This Row],[COMBINADA]])</f>
        <v>0</v>
      </c>
      <c r="AK798" s="287">
        <f>IFERROR(VLOOKUP(DATA[[#This Row],[COMBINADA]],#REF!,6,0),0)</f>
        <v>0</v>
      </c>
      <c r="AL798" s="126">
        <f>IFERROR(VLOOKUP(DATA[[#This Row],[COMBINADA]],#REF!,9,0),0)/COUNTIFS(DATA[COMBINADA],DATA[[#This Row],[COMBINADA]])</f>
        <v>0</v>
      </c>
      <c r="AM798" s="60">
        <f>IFERROR(VLOOKUP(DATA[[#This Row],[COMBINADA]],#REF!,6,0),0)</f>
        <v>0</v>
      </c>
      <c r="AN798" s="126">
        <f>IFERROR(VLOOKUP(DATA[[#This Row],[COMBINADA]],#REF!,9,0),0)/COUNTIFS(DATA[COMBINADA],DATA[[#This Row],[COMBINADA]])</f>
        <v>0</v>
      </c>
      <c r="AO798" s="60">
        <f>IFERROR(VLOOKUP(DATA[[#This Row],[COMBINADA]],#REF!,6,0),0)</f>
        <v>0</v>
      </c>
      <c r="AP798" s="126">
        <f>IFERROR(VLOOKUP(DATA[[#This Row],[COMBINADA]],#REF!,9,0),0)/COUNTIFS(DATA[COMBINADA],DATA[[#This Row],[COMBINADA]])</f>
        <v>0</v>
      </c>
      <c r="AQ798"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798" s="22" t="str">
        <f>IFERROR(IF(DATA[[#This Row],[estado_fact]]="FACTURADO",VLOOKUP(DATA[[#This Row],[SERIE2]]&amp;"-"&amp;DATA[[#This Row],[NUMERO]],#REF!,34,0),"NO CORRESPONDE"),"NO CORRESPONDE")</f>
        <v>NO CORRESPONDE</v>
      </c>
      <c r="AS798" s="22" t="str">
        <f>IF(DATA[[#This Row],[fecha_fs]]&gt;0,TEXT(DATA[[#This Row],[fecha_fs]],"Mmmm"),0)</f>
        <v>Junio</v>
      </c>
      <c r="AT798" s="22" t="str">
        <f>DATA[[#This Row],[SERIE2]]&amp;"-"&amp;DATA[[#This Row],[NUMERO]]</f>
        <v>-</v>
      </c>
      <c r="AU798" s="28">
        <f>DATA[[#This Row],[TOTAL]]*DATA[[#This Row],[T.C.]]</f>
        <v>0</v>
      </c>
      <c r="AV798" s="6">
        <f>DATA[[#This Row],[FECHA DE VAL.]]</f>
        <v>0</v>
      </c>
      <c r="AW798" s="6">
        <f>DATA[[#This Row],[FECHA DE EMISION]]</f>
        <v>0</v>
      </c>
      <c r="AX798" s="6">
        <f>DATA[[#This Row],[F1]]</f>
        <v>0</v>
      </c>
      <c r="AY798" s="20">
        <f>IF(AV798-DATA[[#This Row],[fecha_fs]]&lt;0,0,AV798-DATA[[#This Row],[fecha_fs]])</f>
        <v>0</v>
      </c>
      <c r="AZ798" s="20">
        <f t="shared" si="82"/>
        <v>0</v>
      </c>
      <c r="BA798" s="20">
        <f t="shared" si="83"/>
        <v>0</v>
      </c>
      <c r="BB798" s="195">
        <f>IFERROR(SUM(DATA[[#This Row],[fs_val_ttf]:[fact_pago_ttf]]),0)</f>
        <v>0</v>
      </c>
      <c r="BC798" s="184">
        <v>45826</v>
      </c>
      <c r="BD798" s="184">
        <v>45826</v>
      </c>
      <c r="BE798" s="184">
        <v>45841</v>
      </c>
      <c r="BF798" s="233">
        <v>45841</v>
      </c>
      <c r="BG798" s="20">
        <f>IFERROR(IF(BC798-DATA[[#This Row],[fecha_fs]]&lt;0,0,BC798-DATA[[#This Row],[fecha_fs]]),0)</f>
        <v>0</v>
      </c>
      <c r="BH798" s="20">
        <f t="shared" si="84"/>
        <v>0</v>
      </c>
      <c r="BI798" s="20">
        <f t="shared" si="85"/>
        <v>15</v>
      </c>
      <c r="BJ798" s="20">
        <f t="shared" si="86"/>
        <v>0</v>
      </c>
      <c r="BK798" s="218">
        <f>IFERROR(SUM(DATA[[#This Row],[fs_fd_ttd]:[fend_fenf_ttd]]),0)</f>
        <v>15</v>
      </c>
      <c r="BL798" s="20" t="str">
        <f>IF(DATA[[#This Row],[fecha_fs]]&gt;0,TEXT(DATA[[#This Row],[fecha_fs]],"YYYY"),0)</f>
        <v>2025</v>
      </c>
      <c r="BM798" s="221" t="b">
        <v>1</v>
      </c>
      <c r="BN798" s="278">
        <f>COUNTIF(DATA[[#This Row],[tiempo_td]], "&lt;=15")</f>
        <v>1</v>
      </c>
      <c r="BO798" s="222"/>
    </row>
    <row r="799" spans="1:67" ht="30.6" customHeight="1" x14ac:dyDescent="0.25">
      <c r="A799" s="4">
        <v>20100192064</v>
      </c>
      <c r="B799" s="5" t="s">
        <v>60</v>
      </c>
      <c r="C799" s="52" t="s">
        <v>64</v>
      </c>
      <c r="D799" s="4" t="s">
        <v>112</v>
      </c>
      <c r="E799" s="5" t="s">
        <v>1</v>
      </c>
      <c r="F799" s="24">
        <v>45826</v>
      </c>
      <c r="G799" s="7" t="s">
        <v>113</v>
      </c>
      <c r="H799" s="25">
        <f t="shared" si="81"/>
        <v>1</v>
      </c>
      <c r="I799" s="67">
        <v>4638</v>
      </c>
      <c r="J799" s="8" t="s">
        <v>115</v>
      </c>
      <c r="K799" s="9" t="s">
        <v>116</v>
      </c>
      <c r="L799" s="10" t="s">
        <v>117</v>
      </c>
      <c r="M799" s="11">
        <v>240</v>
      </c>
      <c r="N799" s="12" t="s">
        <v>141</v>
      </c>
      <c r="O799" s="6">
        <v>45834</v>
      </c>
      <c r="P799" s="71">
        <v>3510</v>
      </c>
      <c r="Q799" s="14" t="s">
        <v>123</v>
      </c>
      <c r="R799" s="15">
        <f>(DATA[[#This Row],[cantidad_fs]]/1000)*(143+175.34)</f>
        <v>76.401600000000002</v>
      </c>
      <c r="S799" s="56">
        <v>137</v>
      </c>
      <c r="T799" s="15">
        <f>DATA[[#This Row],[C. DF]]+DATA[[#This Row],[C.OPE.]]</f>
        <v>213.4016</v>
      </c>
      <c r="U799" s="15">
        <f>DATA[[#This Row],[SUB TOTAL]]*0.18</f>
        <v>38.412287999999997</v>
      </c>
      <c r="V799" s="15">
        <f>IFERROR(ROUND(DATA[[#This Row],[SUB TOTAL]]+DATA[[#This Row],[IGV]],2),0)</f>
        <v>251.81</v>
      </c>
      <c r="W799" s="16" t="str">
        <f>IF(DATA[[#This Row],[VALORIZACIÓN ]]="-","NO CORRESPONDE",IF(OR(A799=20558226979,A799=10470707866,A799=20111157058,A799=20100226902),"NO CORRESPONDE",IF(J799="Emitida",IF(P799&gt;0,"EMITIDA","PENDIENTE"),"NO CORRESPONDE")))</f>
        <v>EMITIDA</v>
      </c>
      <c r="X799" s="29"/>
      <c r="Y799" s="17" t="s">
        <v>118</v>
      </c>
      <c r="Z799" s="30">
        <v>45835</v>
      </c>
      <c r="AA799" s="10" t="s">
        <v>150</v>
      </c>
      <c r="AB799" s="19">
        <v>134</v>
      </c>
      <c r="AC799" s="20">
        <v>30</v>
      </c>
      <c r="AD799" s="18">
        <f>DATA[[#This Row],[FECHA DE EMISION]]+DATA[[#This Row],[CONDICION DE PAGO]]</f>
        <v>45865</v>
      </c>
      <c r="AE799" s="23" t="e">
        <f>IF(DATA[[#This Row],[MONEDA]]="USD",VLOOKUP(DATA[[#This Row],[COMBINADA]],#REF!,11,0),1)</f>
        <v>#REF!</v>
      </c>
      <c r="AF799" s="129" t="str">
        <f>IF(DATA[[#This Row],[SERIE2]]="-","NO CORRESPONDE",IF(W799="NO CORRESPONDE","NO CORRESPONDE",IF(Z799&gt;0,"FACTURADO","PENDIENTE")))</f>
        <v>FACTURADO</v>
      </c>
      <c r="AG799" s="133">
        <f>IFERROR(VLOOKUP(DATA[[#This Row],[COMBINADA]],#REF!,6,0),0)</f>
        <v>0</v>
      </c>
      <c r="AH799" s="125">
        <f>IFERROR(VLOOKUP(DATA[[#This Row],[COMBINADA]],#REF!,9,0),0)/COUNTIFS(DATA[COMBINADA],DATA[[#This Row],[COMBINADA]])</f>
        <v>0</v>
      </c>
      <c r="AI799" s="136">
        <f>IFERROR(VLOOKUP(DATA[[#This Row],[COMBINADA]],#REF!,6,0),0)</f>
        <v>0</v>
      </c>
      <c r="AJ799" s="132">
        <f>IFERROR(VLOOKUP(DATA[[#This Row],[COMBINADA]],#REF!,9,0),0)/COUNTIFS(DATA[COMBINADA],DATA[[#This Row],[COMBINADA]])</f>
        <v>0</v>
      </c>
      <c r="AK799" s="407">
        <f>IFERROR(VLOOKUP(DATA[[#This Row],[COMBINADA]],#REF!,6,0),0)</f>
        <v>0</v>
      </c>
      <c r="AL799" s="125">
        <f>IFERROR(VLOOKUP(DATA[[#This Row],[COMBINADA]],#REF!,9,0),0)/COUNTIFS(DATA[COMBINADA],DATA[[#This Row],[COMBINADA]])</f>
        <v>0</v>
      </c>
      <c r="AM799" s="27">
        <f>IFERROR(VLOOKUP(DATA[[#This Row],[COMBINADA]],#REF!,6,0),0)</f>
        <v>0</v>
      </c>
      <c r="AN799" s="125">
        <f>IFERROR(VLOOKUP(DATA[[#This Row],[COMBINADA]],#REF!,9,0),0)/COUNTIFS(DATA[COMBINADA],DATA[[#This Row],[COMBINADA]])</f>
        <v>0</v>
      </c>
      <c r="AO799" s="27">
        <f>IFERROR(VLOOKUP(DATA[[#This Row],[COMBINADA]],#REF!,6,0),0)</f>
        <v>0</v>
      </c>
      <c r="AP799" s="132">
        <f>IFERROR(VLOOKUP(DATA[[#This Row],[COMBINADA]],#REF!,9,0),0)/COUNTIFS(DATA[COMBINADA],DATA[[#This Row],[COMBINADA]])</f>
        <v>0</v>
      </c>
      <c r="AQ79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574.13187500000015</v>
      </c>
      <c r="AR799" s="26" t="str">
        <f>IFERROR(IF(DATA[[#This Row],[estado_fact]]="FACTURADO",VLOOKUP(DATA[[#This Row],[SERIE2]]&amp;"-"&amp;DATA[[#This Row],[NUMERO]],#REF!,34,0),"NO CORRESPONDE"),"NO CORRESPONDE")</f>
        <v>NO CORRESPONDE</v>
      </c>
      <c r="AS799" s="22" t="str">
        <f>IF(DATA[[#This Row],[fecha_fs]]&gt;0,TEXT(DATA[[#This Row],[fecha_fs]],"Mmmm"),0)</f>
        <v>Junio</v>
      </c>
      <c r="AT799" s="22" t="str">
        <f>DATA[[#This Row],[SERIE2]]&amp;"-"&amp;DATA[[#This Row],[NUMERO]]</f>
        <v>FF01-134</v>
      </c>
      <c r="AU799" s="28" t="e">
        <f>DATA[[#This Row],[TOTAL]]*DATA[[#This Row],[T.C.]]</f>
        <v>#REF!</v>
      </c>
      <c r="AV799" s="6">
        <f>DATA[[#This Row],[FECHA DE VAL.]]</f>
        <v>45834</v>
      </c>
      <c r="AW799" s="6">
        <f>DATA[[#This Row],[FECHA DE EMISION]]</f>
        <v>45835</v>
      </c>
      <c r="AX799" s="6">
        <f>DATA[[#This Row],[F1]]</f>
        <v>0</v>
      </c>
      <c r="AY799" s="20">
        <f>IF(AV799-DATA[[#This Row],[fecha_fs]]&lt;0,0,AV799-DATA[[#This Row],[fecha_fs]])</f>
        <v>8</v>
      </c>
      <c r="AZ799" s="20">
        <f t="shared" si="82"/>
        <v>1</v>
      </c>
      <c r="BA799" s="20">
        <f t="shared" si="83"/>
        <v>0</v>
      </c>
      <c r="BB799" s="195">
        <f>IFERROR(SUM(DATA[[#This Row],[fs_val_ttf]:[fact_pago_ttf]]),0)</f>
        <v>9</v>
      </c>
      <c r="BC799" s="185">
        <v>45828</v>
      </c>
      <c r="BD799" s="233">
        <v>45845</v>
      </c>
      <c r="BE799" s="233">
        <v>45845</v>
      </c>
      <c r="BF799" s="185">
        <v>45863</v>
      </c>
      <c r="BG799" s="20">
        <f>IFERROR(IF(BC799-DATA[[#This Row],[fecha_fs]]&lt;0,0,BC799-DATA[[#This Row],[fecha_fs]]),0)</f>
        <v>2</v>
      </c>
      <c r="BH799" s="20">
        <f t="shared" si="84"/>
        <v>17</v>
      </c>
      <c r="BI799" s="20">
        <f t="shared" si="85"/>
        <v>0</v>
      </c>
      <c r="BJ799" s="20">
        <f t="shared" si="86"/>
        <v>18</v>
      </c>
      <c r="BK799" s="218">
        <f>IFERROR(SUM(DATA[[#This Row],[fs_fd_ttd]:[fend_fenf_ttd]]),0)</f>
        <v>37</v>
      </c>
      <c r="BL799" s="20" t="str">
        <f>IF(DATA[[#This Row],[fecha_fs]]&gt;0,TEXT(DATA[[#This Row],[fecha_fs]],"YYYY"),0)</f>
        <v>2025</v>
      </c>
      <c r="BM799" s="221" t="b">
        <v>1</v>
      </c>
      <c r="BN799" s="278">
        <f>COUNTIF(DATA[[#This Row],[tiempo_td]], "&lt;=15")</f>
        <v>0</v>
      </c>
      <c r="BO799" s="222"/>
    </row>
    <row r="800" spans="1:67" ht="30.6" customHeight="1" x14ac:dyDescent="0.25">
      <c r="A800" s="4">
        <v>20100211115</v>
      </c>
      <c r="B800" s="5" t="s">
        <v>41</v>
      </c>
      <c r="C800" s="52" t="s">
        <v>18</v>
      </c>
      <c r="D800" s="4" t="s">
        <v>120</v>
      </c>
      <c r="E800" s="5" t="s">
        <v>3</v>
      </c>
      <c r="F800" s="24">
        <v>45826</v>
      </c>
      <c r="G800" s="7" t="s">
        <v>113</v>
      </c>
      <c r="H800" s="25">
        <f t="shared" si="81"/>
        <v>1</v>
      </c>
      <c r="I800" s="67">
        <v>4639</v>
      </c>
      <c r="J800" s="8" t="s">
        <v>115</v>
      </c>
      <c r="K800" s="9" t="s">
        <v>121</v>
      </c>
      <c r="L800" s="10" t="s">
        <v>117</v>
      </c>
      <c r="M800" s="11">
        <v>90</v>
      </c>
      <c r="N800" s="12" t="s">
        <v>132</v>
      </c>
      <c r="O800" s="6">
        <v>45834</v>
      </c>
      <c r="P800" s="115">
        <v>3515</v>
      </c>
      <c r="Q800" s="14" t="s">
        <v>85</v>
      </c>
      <c r="R800" s="15"/>
      <c r="S800" s="15">
        <f>(DATA[[#This Row],[cantidad_fs]]*4.17)</f>
        <v>375.3</v>
      </c>
      <c r="T800" s="15">
        <f>DATA[[#This Row],[C. DF]]+DATA[[#This Row],[C.OPE.]]</f>
        <v>375.3</v>
      </c>
      <c r="U800" s="15">
        <f>DATA[[#This Row],[SUB TOTAL]]*0.18</f>
        <v>67.554000000000002</v>
      </c>
      <c r="V800" s="15">
        <f>IFERROR(ROUND(DATA[[#This Row],[SUB TOTAL]]+DATA[[#This Row],[IGV]],2),0)</f>
        <v>442.85</v>
      </c>
      <c r="W800" s="16" t="str">
        <f>IF(DATA[[#This Row],[VALORIZACIÓN ]]="-","NO CORRESPONDE",IF(OR(A800=20558226979,A800=10470707866,A800=20111157058,A800=20100226902),"NO CORRESPONDE",IF(J800="Emitida",IF(P800&gt;0,"EMITIDA","PENDIENTE"),"NO CORRESPONDE")))</f>
        <v>EMITIDA</v>
      </c>
      <c r="X800" s="29"/>
      <c r="Y800" s="17" t="s">
        <v>118</v>
      </c>
      <c r="Z800" s="30">
        <v>45835</v>
      </c>
      <c r="AA800" s="10" t="s">
        <v>150</v>
      </c>
      <c r="AB800" s="19">
        <v>137</v>
      </c>
      <c r="AC800" s="20">
        <v>30</v>
      </c>
      <c r="AD800" s="18">
        <f>DATA[[#This Row],[FECHA DE EMISION]]+DATA[[#This Row],[CONDICION DE PAGO]]</f>
        <v>45865</v>
      </c>
      <c r="AE800" s="23">
        <f>IF(DATA[[#This Row],[MONEDA]]="USD",VLOOKUP(DATA[[#This Row],[COMBINADA]],#REF!,11,0),1)</f>
        <v>1</v>
      </c>
      <c r="AF800" s="129" t="str">
        <f>IF(DATA[[#This Row],[SERIE2]]="-","NO CORRESPONDE",IF(W800="NO CORRESPONDE","NO CORRESPONDE",IF(Z800&gt;0,"FACTURADO","PENDIENTE")))</f>
        <v>FACTURADO</v>
      </c>
      <c r="AG800" s="133">
        <f>IFERROR(VLOOKUP(DATA[[#This Row],[COMBINADA]],#REF!,6,0),0)</f>
        <v>0</v>
      </c>
      <c r="AH800" s="125">
        <f>IFERROR(VLOOKUP(DATA[[#This Row],[COMBINADA]],#REF!,9,0),0)/COUNTIFS(DATA[COMBINADA],DATA[[#This Row],[COMBINADA]])</f>
        <v>0</v>
      </c>
      <c r="AI800" s="136">
        <f>IFERROR(VLOOKUP(DATA[[#This Row],[COMBINADA]],#REF!,6,0),0)</f>
        <v>0</v>
      </c>
      <c r="AJ800" s="132">
        <f>IFERROR(VLOOKUP(DATA[[#This Row],[COMBINADA]],#REF!,9,0),0)/COUNTIFS(DATA[COMBINADA],DATA[[#This Row],[COMBINADA]])</f>
        <v>0</v>
      </c>
      <c r="AK800" s="407">
        <f>IFERROR(VLOOKUP(DATA[[#This Row],[COMBINADA]],#REF!,6,0),0)</f>
        <v>0</v>
      </c>
      <c r="AL800" s="125">
        <f>IFERROR(VLOOKUP(DATA[[#This Row],[COMBINADA]],#REF!,9,0),0)/COUNTIFS(DATA[COMBINADA],DATA[[#This Row],[COMBINADA]])</f>
        <v>0</v>
      </c>
      <c r="AM800" s="27">
        <f>IFERROR(VLOOKUP(DATA[[#This Row],[COMBINADA]],#REF!,6,0),0)</f>
        <v>0</v>
      </c>
      <c r="AN800" s="125">
        <f>IFERROR(VLOOKUP(DATA[[#This Row],[COMBINADA]],#REF!,9,0),0)/COUNTIFS(DATA[COMBINADA],DATA[[#This Row],[COMBINADA]])</f>
        <v>0</v>
      </c>
      <c r="AO800" s="27">
        <f>IFERROR(VLOOKUP(DATA[[#This Row],[COMBINADA]],#REF!,6,0),0)</f>
        <v>0</v>
      </c>
      <c r="AP800" s="132">
        <f>IFERROR(VLOOKUP(DATA[[#This Row],[COMBINADA]],#REF!,9,0),0)/COUNTIFS(DATA[COMBINADA],DATA[[#This Row],[COMBINADA]])</f>
        <v>0</v>
      </c>
      <c r="AQ80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800" s="26" t="str">
        <f>IFERROR(IF(DATA[[#This Row],[estado_fact]]="FACTURADO",VLOOKUP(DATA[[#This Row],[SERIE2]]&amp;"-"&amp;DATA[[#This Row],[NUMERO]],#REF!,34,0),"NO CORRESPONDE"),"NO CORRESPONDE")</f>
        <v>NO CORRESPONDE</v>
      </c>
      <c r="AS800" s="22" t="str">
        <f>IF(DATA[[#This Row],[fecha_fs]]&gt;0,TEXT(DATA[[#This Row],[fecha_fs]],"Mmmm"),0)</f>
        <v>Junio</v>
      </c>
      <c r="AT800" s="22" t="str">
        <f>DATA[[#This Row],[SERIE2]]&amp;"-"&amp;DATA[[#This Row],[NUMERO]]</f>
        <v>FF01-137</v>
      </c>
      <c r="AU800" s="28">
        <f>DATA[[#This Row],[TOTAL]]*DATA[[#This Row],[T.C.]]</f>
        <v>442.85</v>
      </c>
      <c r="AV800" s="6">
        <f>DATA[[#This Row],[FECHA DE VAL.]]</f>
        <v>45834</v>
      </c>
      <c r="AW800" s="6">
        <f>DATA[[#This Row],[FECHA DE EMISION]]</f>
        <v>45835</v>
      </c>
      <c r="AX800" s="6">
        <f>DATA[[#This Row],[F1]]</f>
        <v>0</v>
      </c>
      <c r="AY800" s="20">
        <f>IF(AV800-DATA[[#This Row],[fecha_fs]]&lt;0,0,AV800-DATA[[#This Row],[fecha_fs]])</f>
        <v>8</v>
      </c>
      <c r="AZ800" s="20">
        <f t="shared" si="82"/>
        <v>1</v>
      </c>
      <c r="BA800" s="20">
        <f t="shared" si="83"/>
        <v>0</v>
      </c>
      <c r="BB800" s="195">
        <f>IFERROR(SUM(DATA[[#This Row],[fs_val_ttf]:[fact_pago_ttf]]),0)</f>
        <v>9</v>
      </c>
      <c r="BC800" s="185">
        <v>45838</v>
      </c>
      <c r="BD800" s="185">
        <v>45846</v>
      </c>
      <c r="BE800" s="185">
        <v>45848</v>
      </c>
      <c r="BF800" s="185">
        <v>45849</v>
      </c>
      <c r="BG800" s="20">
        <f>IFERROR(IF(BC800-DATA[[#This Row],[fecha_fs]]&lt;0,0,BC800-DATA[[#This Row],[fecha_fs]]),0)</f>
        <v>12</v>
      </c>
      <c r="BH800" s="20">
        <f t="shared" si="84"/>
        <v>8</v>
      </c>
      <c r="BI800" s="20">
        <f t="shared" si="85"/>
        <v>2</v>
      </c>
      <c r="BJ800" s="20">
        <f t="shared" si="86"/>
        <v>1</v>
      </c>
      <c r="BK800" s="218">
        <f>IFERROR(SUM(DATA[[#This Row],[fs_fd_ttd]:[fend_fenf_ttd]]),0)</f>
        <v>23</v>
      </c>
      <c r="BL800" s="20" t="str">
        <f>IF(DATA[[#This Row],[fecha_fs]]&gt;0,TEXT(DATA[[#This Row],[fecha_fs]],"YYYY"),0)</f>
        <v>2025</v>
      </c>
      <c r="BM800" s="221" t="b">
        <v>1</v>
      </c>
      <c r="BN800" s="278">
        <f>COUNTIF(DATA[[#This Row],[tiempo_td]], "&lt;=15")</f>
        <v>0</v>
      </c>
      <c r="BO800" s="222"/>
    </row>
    <row r="801" spans="1:67" ht="30.6" customHeight="1" x14ac:dyDescent="0.25">
      <c r="A801" s="4">
        <v>20100199743</v>
      </c>
      <c r="B801" s="5" t="s">
        <v>47</v>
      </c>
      <c r="C801" s="52" t="s">
        <v>48</v>
      </c>
      <c r="D801" s="4" t="s">
        <v>139</v>
      </c>
      <c r="E801" s="5" t="s">
        <v>23</v>
      </c>
      <c r="F801" s="24">
        <v>45826</v>
      </c>
      <c r="G801" s="7" t="s">
        <v>113</v>
      </c>
      <c r="H801" s="25">
        <f t="shared" si="81"/>
        <v>1</v>
      </c>
      <c r="I801" s="67">
        <v>4640</v>
      </c>
      <c r="J801" s="8" t="s">
        <v>115</v>
      </c>
      <c r="K801" s="9" t="s">
        <v>257</v>
      </c>
      <c r="L801" s="10" t="s">
        <v>117</v>
      </c>
      <c r="M801" s="11">
        <v>4217</v>
      </c>
      <c r="N801" s="12" t="s">
        <v>262</v>
      </c>
      <c r="O801" s="6">
        <v>45827</v>
      </c>
      <c r="P801" s="13">
        <v>3500</v>
      </c>
      <c r="Q801" s="14" t="s">
        <v>85</v>
      </c>
      <c r="R801" s="15"/>
      <c r="S801" s="56">
        <v>6099</v>
      </c>
      <c r="T801" s="15">
        <v>4990</v>
      </c>
      <c r="U801" s="15">
        <f>DATA[[#This Row],[SUB TOTAL]]*0.18</f>
        <v>898.19999999999993</v>
      </c>
      <c r="V801" s="15">
        <f>IFERROR(ROUND(DATA[[#This Row],[SUB TOTAL]]+DATA[[#This Row],[IGV]],2),0)</f>
        <v>5888.2</v>
      </c>
      <c r="W801" s="16" t="str">
        <f>IF(DATA[[#This Row],[VALORIZACIÓN ]]="-","NO CORRESPONDE",IF(OR(A801=20558226979,A801=10470707866,A801=20111157058,A801=20100226902),"NO CORRESPONDE",IF(J801="Emitida",IF(P801&gt;0,"EMITIDA","PENDIENTE"),"NO CORRESPONDE")))</f>
        <v>EMITIDA</v>
      </c>
      <c r="X801" s="29"/>
      <c r="Y801" s="17" t="s">
        <v>118</v>
      </c>
      <c r="Z801" s="30">
        <v>45831</v>
      </c>
      <c r="AA801" s="10" t="s">
        <v>150</v>
      </c>
      <c r="AB801" s="19">
        <v>127</v>
      </c>
      <c r="AC801" s="20">
        <v>15</v>
      </c>
      <c r="AD801" s="18">
        <f>DATA[[#This Row],[FECHA DE EMISION]]+DATA[[#This Row],[CONDICION DE PAGO]]</f>
        <v>45846</v>
      </c>
      <c r="AE801" s="23">
        <f>IF(DATA[[#This Row],[MONEDA]]="USD",VLOOKUP(DATA[[#This Row],[COMBINADA]],#REF!,11,0),1)</f>
        <v>1</v>
      </c>
      <c r="AF801" s="129" t="str">
        <f>IF(DATA[[#This Row],[SERIE2]]="-","NO CORRESPONDE",IF(W801="NO CORRESPONDE","NO CORRESPONDE",IF(Z801&gt;0,"FACTURADO","PENDIENTE")))</f>
        <v>FACTURADO</v>
      </c>
      <c r="AG801" s="133">
        <f>IFERROR(VLOOKUP(DATA[[#This Row],[COMBINADA]],#REF!,6,0),0)</f>
        <v>0</v>
      </c>
      <c r="AH801" s="125">
        <f>IFERROR(VLOOKUP(DATA[[#This Row],[COMBINADA]],#REF!,9,0),0)/COUNTIFS(DATA[COMBINADA],DATA[[#This Row],[COMBINADA]])</f>
        <v>0</v>
      </c>
      <c r="AI801" s="136">
        <f>IFERROR(VLOOKUP(DATA[[#This Row],[COMBINADA]],#REF!,6,0),0)</f>
        <v>0</v>
      </c>
      <c r="AJ801" s="132">
        <f>IFERROR(VLOOKUP(DATA[[#This Row],[COMBINADA]],#REF!,9,0),0)/COUNTIFS(DATA[COMBINADA],DATA[[#This Row],[COMBINADA]])</f>
        <v>0</v>
      </c>
      <c r="AK801" s="407">
        <f>IFERROR(VLOOKUP(DATA[[#This Row],[COMBINADA]],#REF!,6,0),0)</f>
        <v>0</v>
      </c>
      <c r="AL801" s="125">
        <f>IFERROR(VLOOKUP(DATA[[#This Row],[COMBINADA]],#REF!,9,0),0)/COUNTIFS(DATA[COMBINADA],DATA[[#This Row],[COMBINADA]])</f>
        <v>0</v>
      </c>
      <c r="AM801" s="27">
        <f>IFERROR(VLOOKUP(DATA[[#This Row],[COMBINADA]],#REF!,6,0),0)</f>
        <v>0</v>
      </c>
      <c r="AN801" s="125">
        <f>IFERROR(VLOOKUP(DATA[[#This Row],[COMBINADA]],#REF!,9,0),0)/COUNTIFS(DATA[COMBINADA],DATA[[#This Row],[COMBINADA]])</f>
        <v>0</v>
      </c>
      <c r="AO801" s="27">
        <f>IFERROR(VLOOKUP(DATA[[#This Row],[COMBINADA]],#REF!,6,0),0)</f>
        <v>0</v>
      </c>
      <c r="AP801" s="132">
        <f>IFERROR(VLOOKUP(DATA[[#This Row],[COMBINADA]],#REF!,9,0),0)/COUNTIFS(DATA[COMBINADA],DATA[[#This Row],[COMBINADA]])</f>
        <v>0</v>
      </c>
      <c r="AQ80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5888.2</v>
      </c>
      <c r="AR801" s="26" t="str">
        <f>IFERROR(IF(DATA[[#This Row],[estado_fact]]="FACTURADO",VLOOKUP(DATA[[#This Row],[SERIE2]]&amp;"-"&amp;DATA[[#This Row],[NUMERO]],#REF!,34,0),"NO CORRESPONDE"),"NO CORRESPONDE")</f>
        <v>NO CORRESPONDE</v>
      </c>
      <c r="AS801" s="22" t="str">
        <f>IF(DATA[[#This Row],[fecha_fs]]&gt;0,TEXT(DATA[[#This Row],[fecha_fs]],"Mmmm"),0)</f>
        <v>Junio</v>
      </c>
      <c r="AT801" s="22" t="str">
        <f>DATA[[#This Row],[SERIE2]]&amp;"-"&amp;DATA[[#This Row],[NUMERO]]</f>
        <v>FF01-127</v>
      </c>
      <c r="AU801" s="28">
        <f>DATA[[#This Row],[TOTAL]]*DATA[[#This Row],[T.C.]]</f>
        <v>5888.2</v>
      </c>
      <c r="AV801" s="6">
        <f>DATA[[#This Row],[FECHA DE VAL.]]</f>
        <v>45827</v>
      </c>
      <c r="AW801" s="6">
        <f>DATA[[#This Row],[FECHA DE EMISION]]</f>
        <v>45831</v>
      </c>
      <c r="AX801" s="6">
        <f>DATA[[#This Row],[F1]]</f>
        <v>0</v>
      </c>
      <c r="AY801" s="20">
        <f>IF(AV801-DATA[[#This Row],[fecha_fs]]&lt;0,0,AV801-DATA[[#This Row],[fecha_fs]])</f>
        <v>1</v>
      </c>
      <c r="AZ801" s="20">
        <f t="shared" si="82"/>
        <v>4</v>
      </c>
      <c r="BA801" s="20">
        <f t="shared" si="83"/>
        <v>0</v>
      </c>
      <c r="BB801" s="195">
        <f>IFERROR(SUM(DATA[[#This Row],[fs_val_ttf]:[fact_pago_ttf]]),0)</f>
        <v>5</v>
      </c>
      <c r="BC801" s="184">
        <v>45826</v>
      </c>
      <c r="BD801" s="184">
        <v>45826</v>
      </c>
      <c r="BE801" s="184">
        <v>45831</v>
      </c>
      <c r="BF801" s="233">
        <v>45832</v>
      </c>
      <c r="BG801" s="20">
        <f>IFERROR(IF(BC801-DATA[[#This Row],[fecha_fs]]&lt;0,0,BC801-DATA[[#This Row],[fecha_fs]]),0)</f>
        <v>0</v>
      </c>
      <c r="BH801" s="20">
        <f t="shared" si="84"/>
        <v>0</v>
      </c>
      <c r="BI801" s="20">
        <f t="shared" si="85"/>
        <v>5</v>
      </c>
      <c r="BJ801" s="20">
        <f t="shared" si="86"/>
        <v>1</v>
      </c>
      <c r="BK801" s="218">
        <f>IFERROR(SUM(DATA[[#This Row],[fs_fd_ttd]:[fend_fenf_ttd]]),0)</f>
        <v>6</v>
      </c>
      <c r="BL801" s="20" t="str">
        <f>IF(DATA[[#This Row],[fecha_fs]]&gt;0,TEXT(DATA[[#This Row],[fecha_fs]],"YYYY"),0)</f>
        <v>2025</v>
      </c>
      <c r="BM801" s="221" t="b">
        <v>1</v>
      </c>
      <c r="BN801" s="278">
        <f>COUNTIF(DATA[[#This Row],[tiempo_td]], "&lt;=15")</f>
        <v>1</v>
      </c>
      <c r="BO801" s="222"/>
    </row>
    <row r="802" spans="1:67" ht="30.6" customHeight="1" x14ac:dyDescent="0.25">
      <c r="A802" s="4">
        <v>20558226979</v>
      </c>
      <c r="B802" s="5" t="s">
        <v>45</v>
      </c>
      <c r="C802" s="52" t="s">
        <v>18</v>
      </c>
      <c r="D802" s="4" t="s">
        <v>120</v>
      </c>
      <c r="E802" s="5" t="s">
        <v>3</v>
      </c>
      <c r="F802" s="24">
        <v>45826</v>
      </c>
      <c r="G802" s="7" t="s">
        <v>113</v>
      </c>
      <c r="H802" s="25">
        <f t="shared" si="81"/>
        <v>1</v>
      </c>
      <c r="I802" s="67">
        <v>4641</v>
      </c>
      <c r="J802" s="8" t="s">
        <v>115</v>
      </c>
      <c r="K802" s="9" t="s">
        <v>148</v>
      </c>
      <c r="L802" s="10" t="s">
        <v>117</v>
      </c>
      <c r="M802" s="11">
        <v>3560</v>
      </c>
      <c r="N802" s="12" t="s">
        <v>122</v>
      </c>
      <c r="O802" s="40"/>
      <c r="P802" s="41" t="s">
        <v>114</v>
      </c>
      <c r="Q802" s="42"/>
      <c r="R802" s="43"/>
      <c r="S802" s="43"/>
      <c r="T802" s="43">
        <f>DATA[[#This Row],[C. DF]]+DATA[[#This Row],[C.OPE.]]</f>
        <v>0</v>
      </c>
      <c r="U802" s="43">
        <f>DATA[[#This Row],[SUB TOTAL]]*0.18</f>
        <v>0</v>
      </c>
      <c r="V802" s="43">
        <f>IFERROR(ROUND(DATA[[#This Row],[SUB TOTAL]]+DATA[[#This Row],[IGV]],2),0)</f>
        <v>0</v>
      </c>
      <c r="W802" s="16" t="str">
        <f>IF(DATA[[#This Row],[VALORIZACIÓN ]]="-","NO CORRESPONDE",IF(OR(A802=20558226979,A802=10470707866,A802=20111157058,A802=20100226902),"NO CORRESPONDE",IF(J802="Emitida",IF(P802&gt;0,"EMITIDA","PENDIENTE"),"NO CORRESPONDE")))</f>
        <v>NO CORRESPONDE</v>
      </c>
      <c r="X802" s="29"/>
      <c r="Y802" s="17" t="s">
        <v>128</v>
      </c>
      <c r="Z802" s="30"/>
      <c r="AA802" s="10"/>
      <c r="AB802" s="19"/>
      <c r="AC802" s="20"/>
      <c r="AD802" s="18">
        <f>DATA[[#This Row],[FECHA DE EMISION]]+DATA[[#This Row],[CONDICION DE PAGO]]</f>
        <v>0</v>
      </c>
      <c r="AE802" s="23">
        <f>IF(DATA[[#This Row],[MONEDA]]="USD",VLOOKUP(DATA[[#This Row],[COMBINADA]],#REF!,11,0),1)</f>
        <v>1</v>
      </c>
      <c r="AF802" s="129" t="str">
        <f>IF(DATA[[#This Row],[SERIE2]]="-","NO CORRESPONDE",IF(W802="NO CORRESPONDE","NO CORRESPONDE",IF(Z802&gt;0,"FACTURADO","PENDIENTE")))</f>
        <v>NO CORRESPONDE</v>
      </c>
      <c r="AG802" s="133">
        <f>IFERROR(VLOOKUP(DATA[[#This Row],[COMBINADA]],#REF!,6,0),0)</f>
        <v>0</v>
      </c>
      <c r="AH802" s="125">
        <f>IFERROR(VLOOKUP(DATA[[#This Row],[COMBINADA]],#REF!,9,0),0)/COUNTIFS(DATA[COMBINADA],DATA[[#This Row],[COMBINADA]])</f>
        <v>0</v>
      </c>
      <c r="AI802" s="136">
        <f>IFERROR(VLOOKUP(DATA[[#This Row],[COMBINADA]],#REF!,6,0),0)</f>
        <v>0</v>
      </c>
      <c r="AJ802" s="132">
        <f>IFERROR(VLOOKUP(DATA[[#This Row],[COMBINADA]],#REF!,9,0),0)/COUNTIFS(DATA[COMBINADA],DATA[[#This Row],[COMBINADA]])</f>
        <v>0</v>
      </c>
      <c r="AK802" s="409">
        <f>IFERROR(VLOOKUP(DATA[[#This Row],[COMBINADA]],#REF!,6,0),0)</f>
        <v>0</v>
      </c>
      <c r="AL802" s="155">
        <f>IFERROR(VLOOKUP(DATA[[#This Row],[COMBINADA]],#REF!,9,0),0)/COUNTIFS(DATA[COMBINADA],DATA[[#This Row],[COMBINADA]])</f>
        <v>0</v>
      </c>
      <c r="AM802" s="156">
        <f>IFERROR(VLOOKUP(DATA[[#This Row],[COMBINADA]],#REF!,6,0),0)</f>
        <v>0</v>
      </c>
      <c r="AN802" s="155">
        <f>IFERROR(VLOOKUP(DATA[[#This Row],[COMBINADA]],#REF!,9,0),0)/COUNTIFS(DATA[COMBINADA],DATA[[#This Row],[COMBINADA]])</f>
        <v>0</v>
      </c>
      <c r="AO802" s="156">
        <f>IFERROR(VLOOKUP(DATA[[#This Row],[COMBINADA]],#REF!,6,0),0)</f>
        <v>0</v>
      </c>
      <c r="AP802" s="157">
        <f>IFERROR(VLOOKUP(DATA[[#This Row],[COMBINADA]],#REF!,9,0),0)/COUNTIFS(DATA[COMBINADA],DATA[[#This Row],[COMBINADA]])</f>
        <v>0</v>
      </c>
      <c r="AQ802" s="15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802" s="26" t="str">
        <f>IFERROR(IF(DATA[[#This Row],[estado_fact]]="FACTURADO",VLOOKUP(DATA[[#This Row],[SERIE2]]&amp;"-"&amp;DATA[[#This Row],[NUMERO]],#REF!,34,0),"NO CORRESPONDE"),"NO CORRESPONDE")</f>
        <v>NO CORRESPONDE</v>
      </c>
      <c r="AS802" s="22" t="str">
        <f>IF(DATA[[#This Row],[fecha_fs]]&gt;0,TEXT(DATA[[#This Row],[fecha_fs]],"Mmmm"),0)</f>
        <v>Junio</v>
      </c>
      <c r="AT802" s="22" t="str">
        <f>DATA[[#This Row],[SERIE2]]&amp;"-"&amp;DATA[[#This Row],[NUMERO]]</f>
        <v>-</v>
      </c>
      <c r="AU802" s="28">
        <f>DATA[[#This Row],[TOTAL]]*DATA[[#This Row],[T.C.]]</f>
        <v>0</v>
      </c>
      <c r="AV802" s="6">
        <f>DATA[[#This Row],[FECHA DE VAL.]]</f>
        <v>0</v>
      </c>
      <c r="AW802" s="6">
        <f>DATA[[#This Row],[FECHA DE EMISION]]</f>
        <v>0</v>
      </c>
      <c r="AX802" s="6">
        <f>DATA[[#This Row],[F1]]</f>
        <v>0</v>
      </c>
      <c r="AY802" s="20">
        <f>IF(AV802-DATA[[#This Row],[fecha_fs]]&lt;0,0,AV802-DATA[[#This Row],[fecha_fs]])</f>
        <v>0</v>
      </c>
      <c r="AZ802" s="20">
        <f t="shared" si="82"/>
        <v>0</v>
      </c>
      <c r="BA802" s="20">
        <f t="shared" si="83"/>
        <v>0</v>
      </c>
      <c r="BB802" s="195">
        <f>IFERROR(SUM(DATA[[#This Row],[fs_val_ttf]:[fact_pago_ttf]]),0)</f>
        <v>0</v>
      </c>
      <c r="BC802" s="185">
        <v>45826</v>
      </c>
      <c r="BD802" s="185">
        <v>45852</v>
      </c>
      <c r="BE802" s="185">
        <v>45873</v>
      </c>
      <c r="BF802" s="185">
        <v>45873</v>
      </c>
      <c r="BG802" s="20">
        <f>IFERROR(IF(BC802-DATA[[#This Row],[fecha_fs]]&lt;0,0,BC802-DATA[[#This Row],[fecha_fs]]),0)</f>
        <v>0</v>
      </c>
      <c r="BH802" s="20">
        <f t="shared" si="84"/>
        <v>26</v>
      </c>
      <c r="BI802" s="20">
        <f t="shared" si="85"/>
        <v>21</v>
      </c>
      <c r="BJ802" s="20">
        <f t="shared" si="86"/>
        <v>0</v>
      </c>
      <c r="BK802" s="218">
        <f>IFERROR(SUM(DATA[[#This Row],[fs_fd_ttd]:[fend_fenf_ttd]]),0)</f>
        <v>47</v>
      </c>
      <c r="BL802" s="20" t="str">
        <f>IF(DATA[[#This Row],[fecha_fs]]&gt;0,TEXT(DATA[[#This Row],[fecha_fs]],"YYYY"),0)</f>
        <v>2025</v>
      </c>
      <c r="BM802" s="221" t="b">
        <v>1</v>
      </c>
      <c r="BN802" s="278">
        <f>COUNTIF(DATA[[#This Row],[tiempo_td]], "&lt;=15")</f>
        <v>0</v>
      </c>
      <c r="BO802" s="222"/>
    </row>
    <row r="803" spans="1:67" ht="30.6" customHeight="1" x14ac:dyDescent="0.25">
      <c r="A803" s="4">
        <v>20100192064</v>
      </c>
      <c r="B803" s="5" t="s">
        <v>60</v>
      </c>
      <c r="C803" s="52" t="s">
        <v>65</v>
      </c>
      <c r="D803" s="4" t="s">
        <v>120</v>
      </c>
      <c r="E803" s="5" t="s">
        <v>3</v>
      </c>
      <c r="F803" s="24">
        <v>45827</v>
      </c>
      <c r="G803" s="7" t="s">
        <v>142</v>
      </c>
      <c r="H803" s="25">
        <f t="shared" si="81"/>
        <v>2</v>
      </c>
      <c r="I803" s="67">
        <v>1100</v>
      </c>
      <c r="J803" s="8" t="s">
        <v>115</v>
      </c>
      <c r="K803" s="9" t="s">
        <v>121</v>
      </c>
      <c r="L803" s="10" t="s">
        <v>117</v>
      </c>
      <c r="M803" s="11">
        <v>5360</v>
      </c>
      <c r="N803" s="12" t="s">
        <v>180</v>
      </c>
      <c r="O803" s="6">
        <v>45834</v>
      </c>
      <c r="P803" s="71">
        <v>3511</v>
      </c>
      <c r="Q803" s="14" t="s">
        <v>123</v>
      </c>
      <c r="R803" s="15">
        <f>(DATA[[#This Row],[cantidad_fs]]/1000)*(37+81.01)</f>
        <v>632.53360000000009</v>
      </c>
      <c r="S803" s="56">
        <v>103.6</v>
      </c>
      <c r="T803" s="15">
        <f>DATA[[#This Row],[C. DF]]+DATA[[#This Row],[C.OPE.]]</f>
        <v>736.13360000000011</v>
      </c>
      <c r="U803" s="15">
        <f>DATA[[#This Row],[SUB TOTAL]]*0.18</f>
        <v>132.50404800000001</v>
      </c>
      <c r="V803" s="15">
        <f>IFERROR(ROUND(DATA[[#This Row],[SUB TOTAL]]+DATA[[#This Row],[IGV]],2),0)</f>
        <v>868.64</v>
      </c>
      <c r="W803" s="16" t="str">
        <f>IF(DATA[[#This Row],[VALORIZACIÓN ]]="-","NO CORRESPONDE",IF(OR(A803=20558226979,A803=10470707866,A803=20111157058,A803=20100226902),"NO CORRESPONDE",IF(J803="Emitida",IF(P803&gt;0,"EMITIDA","PENDIENTE"),"NO CORRESPONDE")))</f>
        <v>EMITIDA</v>
      </c>
      <c r="X803" s="29"/>
      <c r="Y803" s="17" t="s">
        <v>118</v>
      </c>
      <c r="Z803" s="30">
        <v>45838</v>
      </c>
      <c r="AA803" s="10" t="s">
        <v>150</v>
      </c>
      <c r="AB803" s="19">
        <v>140</v>
      </c>
      <c r="AC803" s="20">
        <v>30</v>
      </c>
      <c r="AD803" s="18">
        <f>DATA[[#This Row],[FECHA DE EMISION]]+DATA[[#This Row],[CONDICION DE PAGO]]</f>
        <v>45868</v>
      </c>
      <c r="AE803" s="23" t="e">
        <f>IF(DATA[[#This Row],[MONEDA]]="USD",VLOOKUP(DATA[[#This Row],[COMBINADA]],#REF!,11,0),1)</f>
        <v>#REF!</v>
      </c>
      <c r="AF803" s="129" t="str">
        <f>IF(DATA[[#This Row],[SERIE2]]="-","NO CORRESPONDE",IF(W803="NO CORRESPONDE","NO CORRESPONDE",IF(Z803&gt;0,"FACTURADO","PENDIENTE")))</f>
        <v>FACTURADO</v>
      </c>
      <c r="AG803" s="133">
        <f>IFERROR(VLOOKUP(DATA[[#This Row],[COMBINADA]],#REF!,6,0),0)</f>
        <v>0</v>
      </c>
      <c r="AH803" s="125">
        <f>IFERROR(VLOOKUP(DATA[[#This Row],[COMBINADA]],#REF!,9,0),0)/COUNTIFS(DATA[COMBINADA],DATA[[#This Row],[COMBINADA]])</f>
        <v>0</v>
      </c>
      <c r="AI803" s="136">
        <f>IFERROR(VLOOKUP(DATA[[#This Row],[COMBINADA]],#REF!,6,0),0)</f>
        <v>0</v>
      </c>
      <c r="AJ803" s="132">
        <f>IFERROR(VLOOKUP(DATA[[#This Row],[COMBINADA]],#REF!,9,0),0)/COUNTIFS(DATA[COMBINADA],DATA[[#This Row],[COMBINADA]])</f>
        <v>0</v>
      </c>
      <c r="AK803" s="408">
        <f>IFERROR(VLOOKUP(DATA[[#This Row],[COMBINADA]],#REF!,6,0),0)</f>
        <v>0</v>
      </c>
      <c r="AL803" s="125">
        <f>IFERROR(VLOOKUP(DATA[[#This Row],[COMBINADA]],#REF!,9,0),0)/COUNTIFS(DATA[COMBINADA],DATA[[#This Row],[COMBINADA]])</f>
        <v>0</v>
      </c>
      <c r="AM803" s="133">
        <f>IFERROR(VLOOKUP(DATA[[#This Row],[COMBINADA]],#REF!,6,0),0)</f>
        <v>0</v>
      </c>
      <c r="AN803" s="125">
        <f>IFERROR(VLOOKUP(DATA[[#This Row],[COMBINADA]],#REF!,9,0),0)/COUNTIFS(DATA[COMBINADA],DATA[[#This Row],[COMBINADA]])</f>
        <v>0</v>
      </c>
      <c r="AO803" s="133">
        <f>IFERROR(VLOOKUP(DATA[[#This Row],[COMBINADA]],#REF!,6,0),0)</f>
        <v>0</v>
      </c>
      <c r="AP803" s="132">
        <f>IFERROR(VLOOKUP(DATA[[#This Row],[COMBINADA]],#REF!,9,0),0)/COUNTIFS(DATA[COMBINADA],DATA[[#This Row],[COMBINADA]])</f>
        <v>0</v>
      </c>
      <c r="AQ80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469.822</v>
      </c>
      <c r="AR803" s="153" t="str">
        <f>IFERROR(IF(DATA[[#This Row],[estado_fact]]="FACTURADO",VLOOKUP(DATA[[#This Row],[SERIE2]]&amp;"-"&amp;DATA[[#This Row],[NUMERO]],#REF!,34,0),"NO CORRESPONDE"),"NO CORRESPONDE")</f>
        <v>NO CORRESPONDE</v>
      </c>
      <c r="AS803" s="22" t="str">
        <f>IF(DATA[[#This Row],[fecha_fs]]&gt;0,TEXT(DATA[[#This Row],[fecha_fs]],"Mmmm"),0)</f>
        <v>Junio</v>
      </c>
      <c r="AT803" s="22" t="str">
        <f>DATA[[#This Row],[SERIE2]]&amp;"-"&amp;DATA[[#This Row],[NUMERO]]</f>
        <v>FF01-140</v>
      </c>
      <c r="AU803" s="28" t="e">
        <f>DATA[[#This Row],[TOTAL]]*DATA[[#This Row],[T.C.]]</f>
        <v>#REF!</v>
      </c>
      <c r="AV803" s="6">
        <f>DATA[[#This Row],[FECHA DE VAL.]]</f>
        <v>45834</v>
      </c>
      <c r="AW803" s="6">
        <f>DATA[[#This Row],[FECHA DE EMISION]]</f>
        <v>45838</v>
      </c>
      <c r="AX803" s="6">
        <f>DATA[[#This Row],[F1]]</f>
        <v>0</v>
      </c>
      <c r="AY803" s="20">
        <f>IF(AV803-DATA[[#This Row],[fecha_fs]]&lt;0,0,AV803-DATA[[#This Row],[fecha_fs]])</f>
        <v>7</v>
      </c>
      <c r="AZ803" s="20">
        <f t="shared" si="82"/>
        <v>4</v>
      </c>
      <c r="BA803" s="20">
        <f t="shared" si="83"/>
        <v>0</v>
      </c>
      <c r="BB803" s="195">
        <f>IFERROR(SUM(DATA[[#This Row],[fs_val_ttf]:[fact_pago_ttf]]),0)</f>
        <v>11</v>
      </c>
      <c r="BC803" s="185">
        <v>45827</v>
      </c>
      <c r="BD803" s="185">
        <v>45840</v>
      </c>
      <c r="BE803" s="185">
        <v>45852</v>
      </c>
      <c r="BF803" s="233">
        <v>45868</v>
      </c>
      <c r="BG803" s="20">
        <f>IFERROR(IF(BC803-DATA[[#This Row],[fecha_fs]]&lt;0,0,BC803-DATA[[#This Row],[fecha_fs]]),0)</f>
        <v>0</v>
      </c>
      <c r="BH803" s="20">
        <f t="shared" si="84"/>
        <v>13</v>
      </c>
      <c r="BI803" s="20">
        <f t="shared" si="85"/>
        <v>12</v>
      </c>
      <c r="BJ803" s="20">
        <f t="shared" si="86"/>
        <v>16</v>
      </c>
      <c r="BK803" s="218">
        <f>IFERROR(SUM(DATA[[#This Row],[fs_fd_ttd]:[fend_fenf_ttd]]),0)</f>
        <v>41</v>
      </c>
      <c r="BL803" s="20" t="str">
        <f>IF(DATA[[#This Row],[fecha_fs]]&gt;0,TEXT(DATA[[#This Row],[fecha_fs]],"YYYY"),0)</f>
        <v>2025</v>
      </c>
      <c r="BM803" s="221" t="b">
        <v>1</v>
      </c>
      <c r="BN803" s="278">
        <f>COUNTIF(DATA[[#This Row],[tiempo_td]], "&lt;=15")</f>
        <v>0</v>
      </c>
      <c r="BO803" s="222"/>
    </row>
    <row r="804" spans="1:67" ht="30.6" customHeight="1" x14ac:dyDescent="0.25">
      <c r="A804" s="4">
        <v>20141637941</v>
      </c>
      <c r="B804" s="5" t="s">
        <v>79</v>
      </c>
      <c r="C804" s="52" t="s">
        <v>18</v>
      </c>
      <c r="D804" s="4" t="s">
        <v>120</v>
      </c>
      <c r="E804" s="5" t="s">
        <v>3</v>
      </c>
      <c r="F804" s="24">
        <v>45827</v>
      </c>
      <c r="G804" s="7" t="s">
        <v>113</v>
      </c>
      <c r="H804" s="25">
        <f t="shared" si="81"/>
        <v>1</v>
      </c>
      <c r="I804" s="67">
        <v>4642</v>
      </c>
      <c r="J804" s="8" t="s">
        <v>115</v>
      </c>
      <c r="K804" s="9" t="s">
        <v>121</v>
      </c>
      <c r="L804" s="10" t="s">
        <v>117</v>
      </c>
      <c r="M804" s="11">
        <v>950</v>
      </c>
      <c r="N804" s="12" t="s">
        <v>122</v>
      </c>
      <c r="O804" s="6">
        <v>45835</v>
      </c>
      <c r="P804" s="110">
        <v>3519</v>
      </c>
      <c r="Q804" s="14" t="s">
        <v>85</v>
      </c>
      <c r="R804" s="15">
        <v>80</v>
      </c>
      <c r="S804" s="56">
        <v>832</v>
      </c>
      <c r="T804" s="15">
        <f>DATA[[#This Row],[C. DF]]+DATA[[#This Row],[C.OPE.]]</f>
        <v>912</v>
      </c>
      <c r="U804" s="15">
        <f>DATA[[#This Row],[SUB TOTAL]]*0.18</f>
        <v>164.16</v>
      </c>
      <c r="V804" s="15">
        <f>IFERROR(ROUND(DATA[[#This Row],[SUB TOTAL]]+DATA[[#This Row],[IGV]],2),0)</f>
        <v>1076.1600000000001</v>
      </c>
      <c r="W804" s="16" t="str">
        <f>IF(DATA[[#This Row],[VALORIZACIÓN ]]="-","NO CORRESPONDE",IF(OR(A804=20558226979,A804=10470707866,A804=20111157058,A804=20100226902),"NO CORRESPONDE",IF(J804="Emitida",IF(P804&gt;0,"EMITIDA","PENDIENTE"),"NO CORRESPONDE")))</f>
        <v>EMITIDA</v>
      </c>
      <c r="X804" s="29"/>
      <c r="Y804" s="17" t="s">
        <v>118</v>
      </c>
      <c r="Z804" s="30">
        <v>45835</v>
      </c>
      <c r="AA804" s="10" t="s">
        <v>150</v>
      </c>
      <c r="AB804" s="19">
        <v>136</v>
      </c>
      <c r="AC804" s="20">
        <v>30</v>
      </c>
      <c r="AD804" s="18">
        <f>DATA[[#This Row],[FECHA DE EMISION]]+DATA[[#This Row],[CONDICION DE PAGO]]</f>
        <v>45865</v>
      </c>
      <c r="AE804" s="23">
        <f>IF(DATA[[#This Row],[MONEDA]]="USD",VLOOKUP(DATA[[#This Row],[COMBINADA]],#REF!,11,0),1)</f>
        <v>1</v>
      </c>
      <c r="AF804" s="129" t="str">
        <f>IF(DATA[[#This Row],[SERIE2]]="-","NO CORRESPONDE",IF(W804="NO CORRESPONDE","NO CORRESPONDE",IF(Z804&gt;0,"FACTURADO","PENDIENTE")))</f>
        <v>FACTURADO</v>
      </c>
      <c r="AG804" s="133">
        <f>IFERROR(VLOOKUP(DATA[[#This Row],[COMBINADA]],#REF!,6,0),0)</f>
        <v>0</v>
      </c>
      <c r="AH804" s="125">
        <f>IFERROR(VLOOKUP(DATA[[#This Row],[COMBINADA]],#REF!,9,0),0)/COUNTIFS(DATA[COMBINADA],DATA[[#This Row],[COMBINADA]])</f>
        <v>0</v>
      </c>
      <c r="AI804" s="136">
        <f>IFERROR(VLOOKUP(DATA[[#This Row],[COMBINADA]],#REF!,6,0),0)</f>
        <v>0</v>
      </c>
      <c r="AJ804" s="132">
        <f>IFERROR(VLOOKUP(DATA[[#This Row],[COMBINADA]],#REF!,9,0),0)/COUNTIFS(DATA[COMBINADA],DATA[[#This Row],[COMBINADA]])</f>
        <v>0</v>
      </c>
      <c r="AK804" s="407">
        <f>IFERROR(VLOOKUP(DATA[[#This Row],[COMBINADA]],#REF!,6,0),0)</f>
        <v>0</v>
      </c>
      <c r="AL804" s="125">
        <f>IFERROR(VLOOKUP(DATA[[#This Row],[COMBINADA]],#REF!,9,0),0)/COUNTIFS(DATA[COMBINADA],DATA[[#This Row],[COMBINADA]])</f>
        <v>0</v>
      </c>
      <c r="AM804" s="27">
        <f>IFERROR(VLOOKUP(DATA[[#This Row],[COMBINADA]],#REF!,6,0),0)</f>
        <v>0</v>
      </c>
      <c r="AN804" s="125">
        <f>IFERROR(VLOOKUP(DATA[[#This Row],[COMBINADA]],#REF!,9,0),0)/COUNTIFS(DATA[COMBINADA],DATA[[#This Row],[COMBINADA]])</f>
        <v>0</v>
      </c>
      <c r="AO804" s="27">
        <f>IFERROR(VLOOKUP(DATA[[#This Row],[COMBINADA]],#REF!,6,0),0)</f>
        <v>0</v>
      </c>
      <c r="AP804" s="132">
        <f>IFERROR(VLOOKUP(DATA[[#This Row],[COMBINADA]],#REF!,9,0),0)/COUNTIFS(DATA[COMBINADA],DATA[[#This Row],[COMBINADA]])</f>
        <v>0</v>
      </c>
      <c r="AQ80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1078.0480000000002</v>
      </c>
      <c r="AR804" s="26" t="str">
        <f>IFERROR(IF(DATA[[#This Row],[estado_fact]]="FACTURADO",VLOOKUP(DATA[[#This Row],[SERIE2]]&amp;"-"&amp;DATA[[#This Row],[NUMERO]],#REF!,34,0),"NO CORRESPONDE"),"NO CORRESPONDE")</f>
        <v>NO CORRESPONDE</v>
      </c>
      <c r="AS804" s="22" t="str">
        <f>IF(DATA[[#This Row],[fecha_fs]]&gt;0,TEXT(DATA[[#This Row],[fecha_fs]],"Mmmm"),0)</f>
        <v>Junio</v>
      </c>
      <c r="AT804" s="22" t="str">
        <f>DATA[[#This Row],[SERIE2]]&amp;"-"&amp;DATA[[#This Row],[NUMERO]]</f>
        <v>FF01-136</v>
      </c>
      <c r="AU804" s="28">
        <f>DATA[[#This Row],[TOTAL]]*DATA[[#This Row],[T.C.]]</f>
        <v>1076.1600000000001</v>
      </c>
      <c r="AV804" s="6">
        <f>DATA[[#This Row],[FECHA DE VAL.]]</f>
        <v>45835</v>
      </c>
      <c r="AW804" s="6">
        <f>DATA[[#This Row],[FECHA DE EMISION]]</f>
        <v>45835</v>
      </c>
      <c r="AX804" s="6">
        <f>DATA[[#This Row],[F1]]</f>
        <v>0</v>
      </c>
      <c r="AY804" s="20">
        <f>IF(AV804-DATA[[#This Row],[fecha_fs]]&lt;0,0,AV804-DATA[[#This Row],[fecha_fs]])</f>
        <v>8</v>
      </c>
      <c r="AZ804" s="20">
        <f t="shared" si="82"/>
        <v>0</v>
      </c>
      <c r="BA804" s="20">
        <f t="shared" si="83"/>
        <v>0</v>
      </c>
      <c r="BB804" s="195">
        <f>IFERROR(SUM(DATA[[#This Row],[fs_val_ttf]:[fact_pago_ttf]]),0)</f>
        <v>8</v>
      </c>
      <c r="BC804" s="185">
        <v>45827</v>
      </c>
      <c r="BD804" s="185">
        <v>45840</v>
      </c>
      <c r="BE804" s="185">
        <v>45853</v>
      </c>
      <c r="BF804" s="233">
        <v>45882</v>
      </c>
      <c r="BG804" s="20">
        <f>IFERROR(IF(BC804-DATA[[#This Row],[fecha_fs]]&lt;0,0,BC804-DATA[[#This Row],[fecha_fs]]),0)</f>
        <v>0</v>
      </c>
      <c r="BH804" s="20">
        <f t="shared" si="84"/>
        <v>13</v>
      </c>
      <c r="BI804" s="20">
        <f t="shared" si="85"/>
        <v>13</v>
      </c>
      <c r="BJ804" s="20">
        <f t="shared" si="86"/>
        <v>29</v>
      </c>
      <c r="BK804" s="218">
        <f>IFERROR(SUM(DATA[[#This Row],[fs_fd_ttd]:[fend_fenf_ttd]]),0)</f>
        <v>55</v>
      </c>
      <c r="BL804" s="20" t="str">
        <f>IF(DATA[[#This Row],[fecha_fs]]&gt;0,TEXT(DATA[[#This Row],[fecha_fs]],"YYYY"),0)</f>
        <v>2025</v>
      </c>
      <c r="BM804" s="221" t="b">
        <v>1</v>
      </c>
      <c r="BN804" s="278">
        <f>COUNTIF(DATA[[#This Row],[tiempo_td]], "&lt;=15")</f>
        <v>0</v>
      </c>
      <c r="BO804" s="222"/>
    </row>
    <row r="805" spans="1:67" ht="30.6" customHeight="1" x14ac:dyDescent="0.25">
      <c r="A805" s="4">
        <v>20100055237</v>
      </c>
      <c r="B805" s="5" t="s">
        <v>21</v>
      </c>
      <c r="C805" s="52" t="s">
        <v>138</v>
      </c>
      <c r="D805" s="4" t="s">
        <v>139</v>
      </c>
      <c r="E805" s="5" t="s">
        <v>23</v>
      </c>
      <c r="F805" s="24">
        <v>45827</v>
      </c>
      <c r="G805" s="7" t="s">
        <v>113</v>
      </c>
      <c r="H805" s="25">
        <f t="shared" si="81"/>
        <v>1</v>
      </c>
      <c r="I805" s="67">
        <v>4643</v>
      </c>
      <c r="J805" s="8" t="s">
        <v>115</v>
      </c>
      <c r="K805" s="9" t="s">
        <v>121</v>
      </c>
      <c r="L805" s="10" t="s">
        <v>117</v>
      </c>
      <c r="M805" s="11">
        <v>60</v>
      </c>
      <c r="N805" s="12" t="s">
        <v>167</v>
      </c>
      <c r="O805" s="6">
        <v>45835</v>
      </c>
      <c r="P805" s="54">
        <v>3525</v>
      </c>
      <c r="Q805" s="14" t="s">
        <v>85</v>
      </c>
      <c r="R805" s="15"/>
      <c r="S805" s="56">
        <v>297.92</v>
      </c>
      <c r="T805" s="15">
        <f>DATA[[#This Row],[C. DF]]+DATA[[#This Row],[C.OPE.]]</f>
        <v>297.92</v>
      </c>
      <c r="U805" s="15">
        <f>DATA[[#This Row],[SUB TOTAL]]*0.18</f>
        <v>53.625599999999999</v>
      </c>
      <c r="V805" s="15">
        <f>IFERROR(ROUND(DATA[[#This Row],[SUB TOTAL]]+DATA[[#This Row],[IGV]],2),0)</f>
        <v>351.55</v>
      </c>
      <c r="W805" s="16" t="str">
        <f>IF(DATA[[#This Row],[VALORIZACIÓN ]]="-","NO CORRESPONDE",IF(OR(A805=20558226979,A805=10470707866,A805=20111157058,A805=20100226902),"NO CORRESPONDE",IF(J805="Emitida",IF(P805&gt;0,"EMITIDA","PENDIENTE"),"NO CORRESPONDE")))</f>
        <v>EMITIDA</v>
      </c>
      <c r="X805" s="29"/>
      <c r="Y805" s="17" t="s">
        <v>118</v>
      </c>
      <c r="Z805" s="30">
        <v>45848</v>
      </c>
      <c r="AA805" s="10" t="s">
        <v>150</v>
      </c>
      <c r="AB805" s="19">
        <v>169</v>
      </c>
      <c r="AC805" s="20">
        <v>30</v>
      </c>
      <c r="AD805" s="18">
        <f>DATA[[#This Row],[FECHA DE EMISION]]+DATA[[#This Row],[CONDICION DE PAGO]]</f>
        <v>45878</v>
      </c>
      <c r="AE805" s="23">
        <f>IF(DATA[[#This Row],[MONEDA]]="USD",VLOOKUP(DATA[[#This Row],[COMBINADA]],#REF!,11,0),1)</f>
        <v>1</v>
      </c>
      <c r="AF805" s="129" t="str">
        <f>IF(DATA[[#This Row],[SERIE2]]="-","NO CORRESPONDE",IF(W805="NO CORRESPONDE","NO CORRESPONDE",IF(Z805&gt;0,"FACTURADO","PENDIENTE")))</f>
        <v>FACTURADO</v>
      </c>
      <c r="AG805" s="133">
        <f>IFERROR(VLOOKUP(DATA[[#This Row],[COMBINADA]],#REF!,6,0),0)</f>
        <v>0</v>
      </c>
      <c r="AH805" s="125">
        <f>IFERROR(VLOOKUP(DATA[[#This Row],[COMBINADA]],#REF!,9,0),0)/COUNTIFS(DATA[COMBINADA],DATA[[#This Row],[COMBINADA]])</f>
        <v>0</v>
      </c>
      <c r="AI805" s="136">
        <f>IFERROR(VLOOKUP(DATA[[#This Row],[COMBINADA]],#REF!,6,0),0)</f>
        <v>0</v>
      </c>
      <c r="AJ805" s="132">
        <f>IFERROR(VLOOKUP(DATA[[#This Row],[COMBINADA]],#REF!,9,0),0)/COUNTIFS(DATA[COMBINADA],DATA[[#This Row],[COMBINADA]])</f>
        <v>0</v>
      </c>
      <c r="AK805" s="407">
        <f>IFERROR(VLOOKUP(DATA[[#This Row],[COMBINADA]],#REF!,6,0),0)</f>
        <v>0</v>
      </c>
      <c r="AL805" s="125">
        <f>IFERROR(VLOOKUP(DATA[[#This Row],[COMBINADA]],#REF!,9,0),0)/COUNTIFS(DATA[COMBINADA],DATA[[#This Row],[COMBINADA]])</f>
        <v>0</v>
      </c>
      <c r="AM805" s="27">
        <f>IFERROR(VLOOKUP(DATA[[#This Row],[COMBINADA]],#REF!,6,0),0)</f>
        <v>0</v>
      </c>
      <c r="AN805" s="125">
        <f>IFERROR(VLOOKUP(DATA[[#This Row],[COMBINADA]],#REF!,9,0),0)/COUNTIFS(DATA[COMBINADA],DATA[[#This Row],[COMBINADA]])</f>
        <v>0</v>
      </c>
      <c r="AO805" s="27">
        <f>IFERROR(VLOOKUP(DATA[[#This Row],[COMBINADA]],#REF!,6,0),0)</f>
        <v>0</v>
      </c>
      <c r="AP805" s="132">
        <f>IFERROR(VLOOKUP(DATA[[#This Row],[COMBINADA]],#REF!,9,0),0)/COUNTIFS(DATA[COMBINADA],DATA[[#This Row],[COMBINADA]])</f>
        <v>0</v>
      </c>
      <c r="AQ80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v>
      </c>
      <c r="AR805" s="26" t="str">
        <f>IFERROR(IF(DATA[[#This Row],[estado_fact]]="FACTURADO",VLOOKUP(DATA[[#This Row],[SERIE2]]&amp;"-"&amp;DATA[[#This Row],[NUMERO]],#REF!,34,0),"NO CORRESPONDE"),"NO CORRESPONDE")</f>
        <v>NO CORRESPONDE</v>
      </c>
      <c r="AS805" s="22" t="str">
        <f>IF(DATA[[#This Row],[fecha_fs]]&gt;0,TEXT(DATA[[#This Row],[fecha_fs]],"Mmmm"),0)</f>
        <v>Junio</v>
      </c>
      <c r="AT805" s="22" t="str">
        <f>DATA[[#This Row],[SERIE2]]&amp;"-"&amp;DATA[[#This Row],[NUMERO]]</f>
        <v>FF01-169</v>
      </c>
      <c r="AU805" s="28">
        <f>DATA[[#This Row],[TOTAL]]*DATA[[#This Row],[T.C.]]</f>
        <v>351.55</v>
      </c>
      <c r="AV805" s="6">
        <f>DATA[[#This Row],[FECHA DE VAL.]]</f>
        <v>45835</v>
      </c>
      <c r="AW805" s="6">
        <f>DATA[[#This Row],[FECHA DE EMISION]]</f>
        <v>45848</v>
      </c>
      <c r="AX805" s="6">
        <f>DATA[[#This Row],[F1]]</f>
        <v>0</v>
      </c>
      <c r="AY805" s="20">
        <f>IF(AV805-DATA[[#This Row],[fecha_fs]]&lt;0,0,AV805-DATA[[#This Row],[fecha_fs]])</f>
        <v>8</v>
      </c>
      <c r="AZ805" s="20">
        <f t="shared" si="82"/>
        <v>13</v>
      </c>
      <c r="BA805" s="20">
        <f t="shared" si="83"/>
        <v>0</v>
      </c>
      <c r="BB805" s="195">
        <f>IFERROR(SUM(DATA[[#This Row],[fs_val_ttf]:[fact_pago_ttf]]),0)</f>
        <v>21</v>
      </c>
      <c r="BC805" s="185">
        <v>45827</v>
      </c>
      <c r="BD805" s="185">
        <v>45827</v>
      </c>
      <c r="BE805" s="185">
        <v>45839</v>
      </c>
      <c r="BF805" s="233">
        <v>45839</v>
      </c>
      <c r="BG805" s="20">
        <f>IFERROR(IF(BC805-DATA[[#This Row],[fecha_fs]]&lt;0,0,BC805-DATA[[#This Row],[fecha_fs]]),0)</f>
        <v>0</v>
      </c>
      <c r="BH805" s="20">
        <f t="shared" si="84"/>
        <v>0</v>
      </c>
      <c r="BI805" s="20">
        <f t="shared" si="85"/>
        <v>12</v>
      </c>
      <c r="BJ805" s="20">
        <f t="shared" si="86"/>
        <v>0</v>
      </c>
      <c r="BK805" s="218">
        <f>IFERROR(SUM(DATA[[#This Row],[fs_fd_ttd]:[fend_fenf_ttd]]),0)</f>
        <v>12</v>
      </c>
      <c r="BL805" s="20" t="str">
        <f>IF(DATA[[#This Row],[fecha_fs]]&gt;0,TEXT(DATA[[#This Row],[fecha_fs]],"YYYY"),0)</f>
        <v>2025</v>
      </c>
      <c r="BM805" s="221" t="b">
        <v>1</v>
      </c>
      <c r="BN805" s="278">
        <f>COUNTIF(DATA[[#This Row],[tiempo_td]], "&lt;=15")</f>
        <v>1</v>
      </c>
      <c r="BO805" s="222"/>
    </row>
    <row r="806" spans="1:67" ht="30.6" customHeight="1" x14ac:dyDescent="0.25">
      <c r="A806" s="4">
        <v>20455825742</v>
      </c>
      <c r="B806" s="5" t="s">
        <v>56</v>
      </c>
      <c r="C806" s="52" t="s">
        <v>18</v>
      </c>
      <c r="D806" s="4" t="s">
        <v>112</v>
      </c>
      <c r="E806" s="5" t="s">
        <v>1</v>
      </c>
      <c r="F806" s="24">
        <v>45827</v>
      </c>
      <c r="G806" s="7" t="s">
        <v>113</v>
      </c>
      <c r="H806" s="25">
        <f t="shared" si="81"/>
        <v>1</v>
      </c>
      <c r="I806" s="67">
        <v>4644</v>
      </c>
      <c r="J806" s="8" t="s">
        <v>115</v>
      </c>
      <c r="K806" s="9" t="s">
        <v>116</v>
      </c>
      <c r="L806" s="10" t="s">
        <v>117</v>
      </c>
      <c r="M806" s="11">
        <v>920</v>
      </c>
      <c r="N806" s="12" t="s">
        <v>125</v>
      </c>
      <c r="O806" s="6">
        <v>45828</v>
      </c>
      <c r="P806" s="13">
        <v>3501</v>
      </c>
      <c r="Q806" s="14" t="s">
        <v>85</v>
      </c>
      <c r="R806" s="15">
        <f>DATA[[#This Row],[cantidad_fs]]*0.97</f>
        <v>892.4</v>
      </c>
      <c r="S806" s="15">
        <v>990</v>
      </c>
      <c r="T806" s="15">
        <f>DATA[[#This Row],[C. DF]]+DATA[[#This Row],[C.OPE.]]</f>
        <v>1882.4</v>
      </c>
      <c r="U806" s="15">
        <f>DATA[[#This Row],[SUB TOTAL]]*0.18</f>
        <v>338.83199999999999</v>
      </c>
      <c r="V806" s="15">
        <f>IFERROR(ROUND(DATA[[#This Row],[SUB TOTAL]]+DATA[[#This Row],[IGV]],2),0)</f>
        <v>2221.23</v>
      </c>
      <c r="W806" s="16" t="str">
        <f>IF(DATA[[#This Row],[VALORIZACIÓN ]]="-","NO CORRESPONDE",IF(OR(A806=20558226979,A806=10470707866,A806=20111157058,A806=20100226902),"NO CORRESPONDE",IF(J806="Emitida",IF(P806&gt;0,"EMITIDA","PENDIENTE"),"NO CORRESPONDE")))</f>
        <v>EMITIDA</v>
      </c>
      <c r="X806" s="29"/>
      <c r="Y806" s="17" t="s">
        <v>118</v>
      </c>
      <c r="Z806" s="30">
        <v>45835</v>
      </c>
      <c r="AA806" s="10" t="s">
        <v>150</v>
      </c>
      <c r="AB806" s="19">
        <v>135</v>
      </c>
      <c r="AC806" s="20">
        <v>30</v>
      </c>
      <c r="AD806" s="18">
        <f>DATA[[#This Row],[FECHA DE EMISION]]+DATA[[#This Row],[CONDICION DE PAGO]]</f>
        <v>45865</v>
      </c>
      <c r="AE806" s="23">
        <f>IF(DATA[[#This Row],[MONEDA]]="USD",VLOOKUP(DATA[[#This Row],[COMBINADA]],#REF!,11,0),1)</f>
        <v>1</v>
      </c>
      <c r="AF806" s="129" t="str">
        <f>IF(DATA[[#This Row],[SERIE2]]="-","NO CORRESPONDE",IF(W806="NO CORRESPONDE","NO CORRESPONDE",IF(Z806&gt;0,"FACTURADO","PENDIENTE")))</f>
        <v>FACTURADO</v>
      </c>
      <c r="AG806" s="133">
        <f>IFERROR(VLOOKUP(DATA[[#This Row],[COMBINADA]],#REF!,6,0),0)</f>
        <v>0</v>
      </c>
      <c r="AH806" s="125">
        <f>IFERROR(VLOOKUP(DATA[[#This Row],[COMBINADA]],#REF!,9,0),0)/COUNTIFS(DATA[COMBINADA],DATA[[#This Row],[COMBINADA]])</f>
        <v>0</v>
      </c>
      <c r="AI806" s="136">
        <f>IFERROR(VLOOKUP(DATA[[#This Row],[COMBINADA]],#REF!,6,0),0)</f>
        <v>0</v>
      </c>
      <c r="AJ806" s="132">
        <f>IFERROR(VLOOKUP(DATA[[#This Row],[COMBINADA]],#REF!,9,0),0)/COUNTIFS(DATA[COMBINADA],DATA[[#This Row],[COMBINADA]])</f>
        <v>0</v>
      </c>
      <c r="AK806" s="407">
        <f>IFERROR(VLOOKUP(DATA[[#This Row],[COMBINADA]],#REF!,6,0),0)</f>
        <v>0</v>
      </c>
      <c r="AL806" s="125">
        <f>IFERROR(VLOOKUP(DATA[[#This Row],[COMBINADA]],#REF!,9,0),0)/COUNTIFS(DATA[COMBINADA],DATA[[#This Row],[COMBINADA]])</f>
        <v>0</v>
      </c>
      <c r="AM806" s="27">
        <f>IFERROR(VLOOKUP(DATA[[#This Row],[COMBINADA]],#REF!,6,0),0)</f>
        <v>0</v>
      </c>
      <c r="AN806" s="125">
        <f>IFERROR(VLOOKUP(DATA[[#This Row],[COMBINADA]],#REF!,9,0),0)/COUNTIFS(DATA[COMBINADA],DATA[[#This Row],[COMBINADA]])</f>
        <v>0</v>
      </c>
      <c r="AO806" s="27">
        <f>IFERROR(VLOOKUP(DATA[[#This Row],[COMBINADA]],#REF!,6,0),0)</f>
        <v>0</v>
      </c>
      <c r="AP806" s="132">
        <f>IFERROR(VLOOKUP(DATA[[#This Row],[COMBINADA]],#REF!,9,0),0)/COUNTIFS(DATA[COMBINADA],DATA[[#This Row],[COMBINADA]])</f>
        <v>0</v>
      </c>
      <c r="AQ80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1340.7149999999999</v>
      </c>
      <c r="AR806" s="26" t="str">
        <f>IFERROR(IF(DATA[[#This Row],[estado_fact]]="FACTURADO",VLOOKUP(DATA[[#This Row],[SERIE2]]&amp;"-"&amp;DATA[[#This Row],[NUMERO]],#REF!,34,0),"NO CORRESPONDE"),"NO CORRESPONDE")</f>
        <v>NO CORRESPONDE</v>
      </c>
      <c r="AS806" s="22" t="str">
        <f>IF(DATA[[#This Row],[fecha_fs]]&gt;0,TEXT(DATA[[#This Row],[fecha_fs]],"Mmmm"),0)</f>
        <v>Junio</v>
      </c>
      <c r="AT806" s="22" t="str">
        <f>DATA[[#This Row],[SERIE2]]&amp;"-"&amp;DATA[[#This Row],[NUMERO]]</f>
        <v>FF01-135</v>
      </c>
      <c r="AU806" s="28">
        <f>DATA[[#This Row],[TOTAL]]*DATA[[#This Row],[T.C.]]</f>
        <v>2221.23</v>
      </c>
      <c r="AV806" s="6">
        <f>DATA[[#This Row],[FECHA DE VAL.]]</f>
        <v>45828</v>
      </c>
      <c r="AW806" s="6">
        <f>DATA[[#This Row],[FECHA DE EMISION]]</f>
        <v>45835</v>
      </c>
      <c r="AX806" s="6">
        <f>DATA[[#This Row],[F1]]</f>
        <v>0</v>
      </c>
      <c r="AY806" s="20">
        <f>IF(AV806-DATA[[#This Row],[fecha_fs]]&lt;0,0,AV806-DATA[[#This Row],[fecha_fs]])</f>
        <v>1</v>
      </c>
      <c r="AZ806" s="20">
        <f t="shared" si="82"/>
        <v>7</v>
      </c>
      <c r="BA806" s="20">
        <f t="shared" si="83"/>
        <v>0</v>
      </c>
      <c r="BB806" s="195">
        <f>IFERROR(SUM(DATA[[#This Row],[fs_val_ttf]:[fact_pago_ttf]]),0)</f>
        <v>8</v>
      </c>
      <c r="BC806" s="185">
        <v>45827</v>
      </c>
      <c r="BD806" s="185">
        <v>45831</v>
      </c>
      <c r="BE806" s="185">
        <v>45832</v>
      </c>
      <c r="BF806" s="233">
        <v>45834</v>
      </c>
      <c r="BG806" s="20">
        <f>IFERROR(IF(BC806-DATA[[#This Row],[fecha_fs]]&lt;0,0,BC806-DATA[[#This Row],[fecha_fs]]),0)</f>
        <v>0</v>
      </c>
      <c r="BH806" s="20">
        <f t="shared" si="84"/>
        <v>4</v>
      </c>
      <c r="BI806" s="20">
        <f t="shared" si="85"/>
        <v>1</v>
      </c>
      <c r="BJ806" s="20">
        <f t="shared" si="86"/>
        <v>2</v>
      </c>
      <c r="BK806" s="218">
        <f>IFERROR(SUM(DATA[[#This Row],[fs_fd_ttd]:[fend_fenf_ttd]]),0)</f>
        <v>7</v>
      </c>
      <c r="BL806" s="20" t="str">
        <f>IF(DATA[[#This Row],[fecha_fs]]&gt;0,TEXT(DATA[[#This Row],[fecha_fs]],"YYYY"),0)</f>
        <v>2025</v>
      </c>
      <c r="BM806" s="221" t="b">
        <v>1</v>
      </c>
      <c r="BN806" s="278">
        <f>COUNTIF(DATA[[#This Row],[tiempo_td]], "&lt;=15")</f>
        <v>1</v>
      </c>
      <c r="BO806" s="222"/>
    </row>
    <row r="807" spans="1:67" ht="30.6" customHeight="1" x14ac:dyDescent="0.25">
      <c r="A807" s="4">
        <v>20455825742</v>
      </c>
      <c r="B807" s="5" t="s">
        <v>56</v>
      </c>
      <c r="C807" s="52" t="s">
        <v>18</v>
      </c>
      <c r="D807" s="4" t="s">
        <v>152</v>
      </c>
      <c r="E807" s="5" t="s">
        <v>10</v>
      </c>
      <c r="F807" s="24">
        <v>45827</v>
      </c>
      <c r="G807" s="7" t="s">
        <v>113</v>
      </c>
      <c r="H807" s="25">
        <f t="shared" si="81"/>
        <v>1</v>
      </c>
      <c r="I807" s="67">
        <v>4645</v>
      </c>
      <c r="J807" s="8" t="s">
        <v>115</v>
      </c>
      <c r="K807" s="9" t="s">
        <v>153</v>
      </c>
      <c r="L807" s="10" t="s">
        <v>117</v>
      </c>
      <c r="M807" s="11">
        <v>110</v>
      </c>
      <c r="N807" s="12" t="s">
        <v>125</v>
      </c>
      <c r="O807" s="6">
        <v>45828</v>
      </c>
      <c r="P807" s="13">
        <v>3501</v>
      </c>
      <c r="Q807" s="14" t="s">
        <v>85</v>
      </c>
      <c r="R807" s="15"/>
      <c r="S807" s="15">
        <v>390</v>
      </c>
      <c r="T807" s="15">
        <f>DATA[[#This Row],[C. DF]]+DATA[[#This Row],[C.OPE.]]</f>
        <v>390</v>
      </c>
      <c r="U807" s="15">
        <f>DATA[[#This Row],[SUB TOTAL]]*0.18</f>
        <v>70.2</v>
      </c>
      <c r="V807" s="15">
        <f>IFERROR(ROUND(DATA[[#This Row],[SUB TOTAL]]+DATA[[#This Row],[IGV]],2),0)</f>
        <v>460.2</v>
      </c>
      <c r="W807" s="16" t="str">
        <f>IF(DATA[[#This Row],[VALORIZACIÓN ]]="-","NO CORRESPONDE",IF(OR(A807=20558226979,A807=10470707866,A807=20111157058,A807=20100226902),"NO CORRESPONDE",IF(J807="Emitida",IF(P807&gt;0,"EMITIDA","PENDIENTE"),"NO CORRESPONDE")))</f>
        <v>EMITIDA</v>
      </c>
      <c r="X807" s="29"/>
      <c r="Y807" s="17" t="s">
        <v>118</v>
      </c>
      <c r="Z807" s="30">
        <v>45835</v>
      </c>
      <c r="AA807" s="10" t="s">
        <v>150</v>
      </c>
      <c r="AB807" s="19">
        <v>135</v>
      </c>
      <c r="AC807" s="20">
        <v>30</v>
      </c>
      <c r="AD807" s="18">
        <f>DATA[[#This Row],[FECHA DE EMISION]]+DATA[[#This Row],[CONDICION DE PAGO]]</f>
        <v>45865</v>
      </c>
      <c r="AE807" s="23">
        <f>IF(DATA[[#This Row],[MONEDA]]="USD",VLOOKUP(DATA[[#This Row],[COMBINADA]],#REF!,11,0),1)</f>
        <v>1</v>
      </c>
      <c r="AF807" s="129" t="str">
        <f>IF(DATA[[#This Row],[SERIE2]]="-","NO CORRESPONDE",IF(W807="NO CORRESPONDE","NO CORRESPONDE",IF(Z807&gt;0,"FACTURADO","PENDIENTE")))</f>
        <v>FACTURADO</v>
      </c>
      <c r="AG807" s="133">
        <f>IFERROR(VLOOKUP(DATA[[#This Row],[COMBINADA]],#REF!,6,0),0)</f>
        <v>0</v>
      </c>
      <c r="AH807" s="125">
        <f>IFERROR(VLOOKUP(DATA[[#This Row],[COMBINADA]],#REF!,9,0),0)/COUNTIFS(DATA[COMBINADA],DATA[[#This Row],[COMBINADA]])</f>
        <v>0</v>
      </c>
      <c r="AI807" s="136">
        <f>IFERROR(VLOOKUP(DATA[[#This Row],[COMBINADA]],#REF!,6,0),0)</f>
        <v>0</v>
      </c>
      <c r="AJ807" s="132">
        <f>IFERROR(VLOOKUP(DATA[[#This Row],[COMBINADA]],#REF!,9,0),0)/COUNTIFS(DATA[COMBINADA],DATA[[#This Row],[COMBINADA]])</f>
        <v>0</v>
      </c>
      <c r="AK807" s="407">
        <f>IFERROR(VLOOKUP(DATA[[#This Row],[COMBINADA]],#REF!,6,0),0)</f>
        <v>0</v>
      </c>
      <c r="AL807" s="125">
        <f>IFERROR(VLOOKUP(DATA[[#This Row],[COMBINADA]],#REF!,9,0),0)/COUNTIFS(DATA[COMBINADA],DATA[[#This Row],[COMBINADA]])</f>
        <v>0</v>
      </c>
      <c r="AM807" s="27">
        <f>IFERROR(VLOOKUP(DATA[[#This Row],[COMBINADA]],#REF!,6,0),0)</f>
        <v>0</v>
      </c>
      <c r="AN807" s="125">
        <f>IFERROR(VLOOKUP(DATA[[#This Row],[COMBINADA]],#REF!,9,0),0)/COUNTIFS(DATA[COMBINADA],DATA[[#This Row],[COMBINADA]])</f>
        <v>0</v>
      </c>
      <c r="AO807" s="27">
        <f>IFERROR(VLOOKUP(DATA[[#This Row],[COMBINADA]],#REF!,6,0),0)</f>
        <v>0</v>
      </c>
      <c r="AP807" s="132">
        <f>IFERROR(VLOOKUP(DATA[[#This Row],[COMBINADA]],#REF!,9,0),0)/COUNTIFS(DATA[COMBINADA],DATA[[#This Row],[COMBINADA]])</f>
        <v>0</v>
      </c>
      <c r="AQ80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1340.7149999999999</v>
      </c>
      <c r="AR807" s="26" t="str">
        <f>IFERROR(IF(DATA[[#This Row],[estado_fact]]="FACTURADO",VLOOKUP(DATA[[#This Row],[SERIE2]]&amp;"-"&amp;DATA[[#This Row],[NUMERO]],#REF!,34,0),"NO CORRESPONDE"),"NO CORRESPONDE")</f>
        <v>NO CORRESPONDE</v>
      </c>
      <c r="AS807" s="22" t="str">
        <f>IF(DATA[[#This Row],[fecha_fs]]&gt;0,TEXT(DATA[[#This Row],[fecha_fs]],"Mmmm"),0)</f>
        <v>Junio</v>
      </c>
      <c r="AT807" s="22" t="str">
        <f>DATA[[#This Row],[SERIE2]]&amp;"-"&amp;DATA[[#This Row],[NUMERO]]</f>
        <v>FF01-135</v>
      </c>
      <c r="AU807" s="28">
        <f>DATA[[#This Row],[TOTAL]]*DATA[[#This Row],[T.C.]]</f>
        <v>460.2</v>
      </c>
      <c r="AV807" s="6">
        <f>DATA[[#This Row],[FECHA DE VAL.]]</f>
        <v>45828</v>
      </c>
      <c r="AW807" s="6">
        <f>DATA[[#This Row],[FECHA DE EMISION]]</f>
        <v>45835</v>
      </c>
      <c r="AX807" s="6">
        <f>DATA[[#This Row],[F1]]</f>
        <v>0</v>
      </c>
      <c r="AY807" s="20">
        <f>IF(AV807-DATA[[#This Row],[fecha_fs]]&lt;0,0,AV807-DATA[[#This Row],[fecha_fs]])</f>
        <v>1</v>
      </c>
      <c r="AZ807" s="20">
        <f t="shared" si="82"/>
        <v>7</v>
      </c>
      <c r="BA807" s="20">
        <f t="shared" si="83"/>
        <v>0</v>
      </c>
      <c r="BB807" s="195">
        <f>IFERROR(SUM(DATA[[#This Row],[fs_val_ttf]:[fact_pago_ttf]]),0)</f>
        <v>8</v>
      </c>
      <c r="BC807" s="185">
        <v>45833</v>
      </c>
      <c r="BD807" s="185">
        <v>45835</v>
      </c>
      <c r="BE807" s="185">
        <v>45838</v>
      </c>
      <c r="BF807" s="233">
        <v>45834</v>
      </c>
      <c r="BG807" s="20">
        <f>IFERROR(IF(BC807-DATA[[#This Row],[fecha_fs]]&lt;0,0,BC807-DATA[[#This Row],[fecha_fs]]),0)</f>
        <v>6</v>
      </c>
      <c r="BH807" s="20">
        <f t="shared" si="84"/>
        <v>2</v>
      </c>
      <c r="BI807" s="20">
        <f t="shared" si="85"/>
        <v>3</v>
      </c>
      <c r="BJ807" s="20">
        <f t="shared" si="86"/>
        <v>0</v>
      </c>
      <c r="BK807" s="218">
        <f>IFERROR(SUM(DATA[[#This Row],[fs_fd_ttd]:[fend_fenf_ttd]]),0)</f>
        <v>11</v>
      </c>
      <c r="BL807" s="20" t="str">
        <f>IF(DATA[[#This Row],[fecha_fs]]&gt;0,TEXT(DATA[[#This Row],[fecha_fs]],"YYYY"),0)</f>
        <v>2025</v>
      </c>
      <c r="BM807" s="221" t="b">
        <v>1</v>
      </c>
      <c r="BN807" s="278">
        <f>COUNTIF(DATA[[#This Row],[tiempo_td]], "&lt;=15")</f>
        <v>1</v>
      </c>
      <c r="BO807" s="222"/>
    </row>
    <row r="808" spans="1:67" ht="30.6" customHeight="1" x14ac:dyDescent="0.25">
      <c r="A808" s="4">
        <v>20558226979</v>
      </c>
      <c r="B808" s="5" t="s">
        <v>45</v>
      </c>
      <c r="C808" s="52" t="s">
        <v>18</v>
      </c>
      <c r="D808" s="4" t="s">
        <v>120</v>
      </c>
      <c r="E808" s="5" t="s">
        <v>3</v>
      </c>
      <c r="F808" s="24">
        <v>45827</v>
      </c>
      <c r="G808" s="7" t="s">
        <v>113</v>
      </c>
      <c r="H808" s="25">
        <f t="shared" si="81"/>
        <v>1</v>
      </c>
      <c r="I808" s="67">
        <v>4646</v>
      </c>
      <c r="J808" s="8" t="s">
        <v>115</v>
      </c>
      <c r="K808" s="9" t="s">
        <v>148</v>
      </c>
      <c r="L808" s="10" t="s">
        <v>117</v>
      </c>
      <c r="M808" s="11">
        <v>1550</v>
      </c>
      <c r="N808" s="12" t="s">
        <v>129</v>
      </c>
      <c r="O808" s="40"/>
      <c r="P808" s="41" t="s">
        <v>114</v>
      </c>
      <c r="Q808" s="42"/>
      <c r="R808" s="43"/>
      <c r="S808" s="43"/>
      <c r="T808" s="43">
        <f>DATA[[#This Row],[C. DF]]+DATA[[#This Row],[C.OPE.]]</f>
        <v>0</v>
      </c>
      <c r="U808" s="43">
        <f>DATA[[#This Row],[SUB TOTAL]]*0.18</f>
        <v>0</v>
      </c>
      <c r="V808" s="43">
        <f>IFERROR(ROUND(DATA[[#This Row],[SUB TOTAL]]+DATA[[#This Row],[IGV]],2),0)</f>
        <v>0</v>
      </c>
      <c r="W808" s="16" t="str">
        <f>IF(DATA[[#This Row],[VALORIZACIÓN ]]="-","NO CORRESPONDE",IF(OR(A808=20558226979,A808=10470707866,A808=20111157058,A808=20100226902),"NO CORRESPONDE",IF(J808="Emitida",IF(P808&gt;0,"EMITIDA","PENDIENTE"),"NO CORRESPONDE")))</f>
        <v>NO CORRESPONDE</v>
      </c>
      <c r="X808" s="29"/>
      <c r="Y808" s="17" t="s">
        <v>128</v>
      </c>
      <c r="Z808" s="30"/>
      <c r="AA808" s="10"/>
      <c r="AB808" s="19"/>
      <c r="AC808" s="20"/>
      <c r="AD808" s="18">
        <f>DATA[[#This Row],[FECHA DE EMISION]]+DATA[[#This Row],[CONDICION DE PAGO]]</f>
        <v>0</v>
      </c>
      <c r="AE808" s="23">
        <f>IF(DATA[[#This Row],[MONEDA]]="USD",VLOOKUP(DATA[[#This Row],[COMBINADA]],#REF!,11,0),1)</f>
        <v>1</v>
      </c>
      <c r="AF808" s="129" t="str">
        <f>IF(DATA[[#This Row],[SERIE2]]="-","NO CORRESPONDE",IF(W808="NO CORRESPONDE","NO CORRESPONDE",IF(Z808&gt;0,"FACTURADO","PENDIENTE")))</f>
        <v>NO CORRESPONDE</v>
      </c>
      <c r="AG808" s="133">
        <f>IFERROR(VLOOKUP(DATA[[#This Row],[COMBINADA]],#REF!,6,0),0)</f>
        <v>0</v>
      </c>
      <c r="AH808" s="125">
        <f>IFERROR(VLOOKUP(DATA[[#This Row],[COMBINADA]],#REF!,9,0),0)/COUNTIFS(DATA[COMBINADA],DATA[[#This Row],[COMBINADA]])</f>
        <v>0</v>
      </c>
      <c r="AI808" s="136">
        <f>IFERROR(VLOOKUP(DATA[[#This Row],[COMBINADA]],#REF!,6,0),0)</f>
        <v>0</v>
      </c>
      <c r="AJ808" s="132">
        <f>IFERROR(VLOOKUP(DATA[[#This Row],[COMBINADA]],#REF!,9,0),0)/COUNTIFS(DATA[COMBINADA],DATA[[#This Row],[COMBINADA]])</f>
        <v>0</v>
      </c>
      <c r="AK808" s="407">
        <f>IFERROR(VLOOKUP(DATA[[#This Row],[COMBINADA]],#REF!,6,0),0)</f>
        <v>0</v>
      </c>
      <c r="AL808" s="125">
        <f>IFERROR(VLOOKUP(DATA[[#This Row],[COMBINADA]],#REF!,9,0),0)/COUNTIFS(DATA[COMBINADA],DATA[[#This Row],[COMBINADA]])</f>
        <v>0</v>
      </c>
      <c r="AM808" s="27">
        <f>IFERROR(VLOOKUP(DATA[[#This Row],[COMBINADA]],#REF!,6,0),0)</f>
        <v>0</v>
      </c>
      <c r="AN808" s="125">
        <f>IFERROR(VLOOKUP(DATA[[#This Row],[COMBINADA]],#REF!,9,0),0)/COUNTIFS(DATA[COMBINADA],DATA[[#This Row],[COMBINADA]])</f>
        <v>0</v>
      </c>
      <c r="AO808" s="27">
        <f>IFERROR(VLOOKUP(DATA[[#This Row],[COMBINADA]],#REF!,6,0),0)</f>
        <v>0</v>
      </c>
      <c r="AP808" s="132">
        <f>IFERROR(VLOOKUP(DATA[[#This Row],[COMBINADA]],#REF!,9,0),0)/COUNTIFS(DATA[COMBINADA],DATA[[#This Row],[COMBINADA]])</f>
        <v>0</v>
      </c>
      <c r="AQ80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808" s="26" t="str">
        <f>IFERROR(IF(DATA[[#This Row],[estado_fact]]="FACTURADO",VLOOKUP(DATA[[#This Row],[SERIE2]]&amp;"-"&amp;DATA[[#This Row],[NUMERO]],#REF!,34,0),"NO CORRESPONDE"),"NO CORRESPONDE")</f>
        <v>NO CORRESPONDE</v>
      </c>
      <c r="AS808" s="22" t="str">
        <f>IF(DATA[[#This Row],[fecha_fs]]&gt;0,TEXT(DATA[[#This Row],[fecha_fs]],"Mmmm"),0)</f>
        <v>Junio</v>
      </c>
      <c r="AT808" s="22" t="str">
        <f>DATA[[#This Row],[SERIE2]]&amp;"-"&amp;DATA[[#This Row],[NUMERO]]</f>
        <v>-</v>
      </c>
      <c r="AU808" s="28">
        <f>DATA[[#This Row],[TOTAL]]*DATA[[#This Row],[T.C.]]</f>
        <v>0</v>
      </c>
      <c r="AV808" s="6">
        <f>DATA[[#This Row],[FECHA DE VAL.]]</f>
        <v>0</v>
      </c>
      <c r="AW808" s="6">
        <f>DATA[[#This Row],[FECHA DE EMISION]]</f>
        <v>0</v>
      </c>
      <c r="AX808" s="6">
        <f>DATA[[#This Row],[F1]]</f>
        <v>0</v>
      </c>
      <c r="AY808" s="20">
        <f>IF(AV808-DATA[[#This Row],[fecha_fs]]&lt;0,0,AV808-DATA[[#This Row],[fecha_fs]])</f>
        <v>0</v>
      </c>
      <c r="AZ808" s="20">
        <f t="shared" si="82"/>
        <v>0</v>
      </c>
      <c r="BA808" s="20">
        <f t="shared" si="83"/>
        <v>0</v>
      </c>
      <c r="BB808" s="195">
        <f>IFERROR(SUM(DATA[[#This Row],[fs_val_ttf]:[fact_pago_ttf]]),0)</f>
        <v>0</v>
      </c>
      <c r="BC808" s="185">
        <v>45827</v>
      </c>
      <c r="BD808" s="185">
        <v>45852</v>
      </c>
      <c r="BE808" s="185">
        <v>45873</v>
      </c>
      <c r="BF808" s="185">
        <v>45873</v>
      </c>
      <c r="BG808" s="20">
        <f>IFERROR(IF(BC808-DATA[[#This Row],[fecha_fs]]&lt;0,0,BC808-DATA[[#This Row],[fecha_fs]]),0)</f>
        <v>0</v>
      </c>
      <c r="BH808" s="20">
        <f t="shared" si="84"/>
        <v>25</v>
      </c>
      <c r="BI808" s="20">
        <f t="shared" si="85"/>
        <v>21</v>
      </c>
      <c r="BJ808" s="20">
        <f t="shared" si="86"/>
        <v>0</v>
      </c>
      <c r="BK808" s="218">
        <f>IFERROR(SUM(DATA[[#This Row],[fs_fd_ttd]:[fend_fenf_ttd]]),0)</f>
        <v>46</v>
      </c>
      <c r="BL808" s="20" t="str">
        <f>IF(DATA[[#This Row],[fecha_fs]]&gt;0,TEXT(DATA[[#This Row],[fecha_fs]],"YYYY"),0)</f>
        <v>2025</v>
      </c>
      <c r="BM808" s="221" t="b">
        <v>1</v>
      </c>
      <c r="BN808" s="278">
        <f>COUNTIF(DATA[[#This Row],[tiempo_td]], "&lt;=15")</f>
        <v>0</v>
      </c>
      <c r="BO808" s="222"/>
    </row>
    <row r="809" spans="1:67" ht="30.6" customHeight="1" x14ac:dyDescent="0.25">
      <c r="A809" s="4">
        <v>20100226902</v>
      </c>
      <c r="B809" s="5" t="s">
        <v>24</v>
      </c>
      <c r="C809" s="52" t="s">
        <v>18</v>
      </c>
      <c r="D809" s="4" t="s">
        <v>120</v>
      </c>
      <c r="E809" s="5" t="s">
        <v>3</v>
      </c>
      <c r="F809" s="24">
        <v>45828</v>
      </c>
      <c r="G809" s="7" t="s">
        <v>113</v>
      </c>
      <c r="H809" s="25">
        <f t="shared" si="81"/>
        <v>1</v>
      </c>
      <c r="I809" s="67">
        <v>4647</v>
      </c>
      <c r="J809" s="8" t="s">
        <v>115</v>
      </c>
      <c r="K809" s="9" t="s">
        <v>121</v>
      </c>
      <c r="L809" s="10" t="s">
        <v>117</v>
      </c>
      <c r="M809" s="11">
        <v>2200</v>
      </c>
      <c r="N809" s="12" t="s">
        <v>127</v>
      </c>
      <c r="O809" s="40"/>
      <c r="P809" s="41" t="s">
        <v>114</v>
      </c>
      <c r="Q809" s="42"/>
      <c r="R809" s="43"/>
      <c r="S809" s="43"/>
      <c r="T809" s="43">
        <f>DATA[[#This Row],[C. DF]]+DATA[[#This Row],[C.OPE.]]</f>
        <v>0</v>
      </c>
      <c r="U809" s="43">
        <f>DATA[[#This Row],[SUB TOTAL]]*0.18</f>
        <v>0</v>
      </c>
      <c r="V809" s="43">
        <f>IFERROR(ROUND(DATA[[#This Row],[SUB TOTAL]]+DATA[[#This Row],[IGV]],2),0)</f>
        <v>0</v>
      </c>
      <c r="W809" s="58" t="str">
        <f>IF(DATA[[#This Row],[VALORIZACIÓN ]]="-","NO CORRESPONDE",IF(OR(A809=20558226979,A809=10470707866,A809=20111157058,A809=20100226902),"NO CORRESPONDE",IF(J809="Emitida",IF(P809&gt;0,"EMITIDA","PENDIENTE"),"NO CORRESPONDE")))</f>
        <v>NO CORRESPONDE</v>
      </c>
      <c r="X809" s="45"/>
      <c r="Y809" s="17" t="s">
        <v>128</v>
      </c>
      <c r="Z809" s="46"/>
      <c r="AA809" s="47"/>
      <c r="AB809" s="48"/>
      <c r="AC809" s="49"/>
      <c r="AD809" s="50">
        <f>DATA[[#This Row],[FECHA DE EMISION]]+DATA[[#This Row],[CONDICION DE PAGO]]</f>
        <v>0</v>
      </c>
      <c r="AE809" s="23">
        <f>IF(DATA[[#This Row],[MONEDA]]="USD",VLOOKUP(DATA[[#This Row],[COMBINADA]],#REF!,11,0),1)</f>
        <v>1</v>
      </c>
      <c r="AF809" s="129" t="str">
        <f>IF(DATA[[#This Row],[SERIE2]]="-","NO CORRESPONDE",IF(W809="NO CORRESPONDE","NO CORRESPONDE",IF(Z809&gt;0,"FACTURADO","PENDIENTE")))</f>
        <v>NO CORRESPONDE</v>
      </c>
      <c r="AG809" s="140">
        <f>IFERROR(VLOOKUP(DATA[[#This Row],[COMBINADA]],#REF!,6,0),0)</f>
        <v>0</v>
      </c>
      <c r="AH809" s="126">
        <f>IFERROR(VLOOKUP(DATA[[#This Row],[COMBINADA]],#REF!,9,0),0)/COUNTIFS(DATA[COMBINADA],DATA[[#This Row],[COMBINADA]])</f>
        <v>0</v>
      </c>
      <c r="AI809" s="140">
        <f>IFERROR(VLOOKUP(DATA[[#This Row],[COMBINADA]],#REF!,6,0),0)</f>
        <v>0</v>
      </c>
      <c r="AJ809" s="126">
        <f>IFERROR(VLOOKUP(DATA[[#This Row],[COMBINADA]],#REF!,9,0),0)/COUNTIFS(DATA[COMBINADA],DATA[[#This Row],[COMBINADA]])</f>
        <v>0</v>
      </c>
      <c r="AK809" s="287">
        <f>IFERROR(VLOOKUP(DATA[[#This Row],[COMBINADA]],#REF!,6,0),0)</f>
        <v>0</v>
      </c>
      <c r="AL809" s="126">
        <f>IFERROR(VLOOKUP(DATA[[#This Row],[COMBINADA]],#REF!,9,0),0)/COUNTIFS(DATA[COMBINADA],DATA[[#This Row],[COMBINADA]])</f>
        <v>0</v>
      </c>
      <c r="AM809" s="60">
        <f>IFERROR(VLOOKUP(DATA[[#This Row],[COMBINADA]],#REF!,6,0),0)</f>
        <v>0</v>
      </c>
      <c r="AN809" s="126">
        <f>IFERROR(VLOOKUP(DATA[[#This Row],[COMBINADA]],#REF!,9,0),0)/COUNTIFS(DATA[COMBINADA],DATA[[#This Row],[COMBINADA]])</f>
        <v>0</v>
      </c>
      <c r="AO809" s="60">
        <f>IFERROR(VLOOKUP(DATA[[#This Row],[COMBINADA]],#REF!,6,0),0)</f>
        <v>0</v>
      </c>
      <c r="AP809" s="126">
        <f>IFERROR(VLOOKUP(DATA[[#This Row],[COMBINADA]],#REF!,9,0),0)/COUNTIFS(DATA[COMBINADA],DATA[[#This Row],[COMBINADA]])</f>
        <v>0</v>
      </c>
      <c r="AQ809"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809" s="22" t="str">
        <f>IFERROR(IF(DATA[[#This Row],[estado_fact]]="FACTURADO",VLOOKUP(DATA[[#This Row],[SERIE2]]&amp;"-"&amp;DATA[[#This Row],[NUMERO]],#REF!,34,0),"NO CORRESPONDE"),"NO CORRESPONDE")</f>
        <v>NO CORRESPONDE</v>
      </c>
      <c r="AS809" s="22" t="str">
        <f>IF(DATA[[#This Row],[fecha_fs]]&gt;0,TEXT(DATA[[#This Row],[fecha_fs]],"Mmmm"),0)</f>
        <v>Junio</v>
      </c>
      <c r="AT809" s="22" t="str">
        <f>DATA[[#This Row],[SERIE2]]&amp;"-"&amp;DATA[[#This Row],[NUMERO]]</f>
        <v>-</v>
      </c>
      <c r="AU809" s="28">
        <f>DATA[[#This Row],[TOTAL]]*DATA[[#This Row],[T.C.]]</f>
        <v>0</v>
      </c>
      <c r="AV809" s="6">
        <f>DATA[[#This Row],[FECHA DE VAL.]]</f>
        <v>0</v>
      </c>
      <c r="AW809" s="6">
        <f>DATA[[#This Row],[FECHA DE EMISION]]</f>
        <v>0</v>
      </c>
      <c r="AX809" s="6">
        <f>DATA[[#This Row],[F1]]</f>
        <v>0</v>
      </c>
      <c r="AY809" s="20">
        <f>IF(AV809-DATA[[#This Row],[fecha_fs]]&lt;0,0,AV809-DATA[[#This Row],[fecha_fs]])</f>
        <v>0</v>
      </c>
      <c r="AZ809" s="20">
        <f t="shared" si="82"/>
        <v>0</v>
      </c>
      <c r="BA809" s="20">
        <f t="shared" si="83"/>
        <v>0</v>
      </c>
      <c r="BB809" s="195">
        <f>IFERROR(SUM(DATA[[#This Row],[fs_val_ttf]:[fact_pago_ttf]]),0)</f>
        <v>0</v>
      </c>
      <c r="BC809" s="185">
        <v>45828</v>
      </c>
      <c r="BD809" s="185">
        <v>45828</v>
      </c>
      <c r="BE809" s="185">
        <v>45841</v>
      </c>
      <c r="BF809" s="233">
        <v>45841</v>
      </c>
      <c r="BG809" s="20">
        <f>IFERROR(IF(BC809-DATA[[#This Row],[fecha_fs]]&lt;0,0,BC809-DATA[[#This Row],[fecha_fs]]),0)</f>
        <v>0</v>
      </c>
      <c r="BH809" s="20">
        <f t="shared" si="84"/>
        <v>0</v>
      </c>
      <c r="BI809" s="20">
        <f t="shared" si="85"/>
        <v>13</v>
      </c>
      <c r="BJ809" s="20">
        <f t="shared" si="86"/>
        <v>0</v>
      </c>
      <c r="BK809" s="218">
        <f>IFERROR(SUM(DATA[[#This Row],[fs_fd_ttd]:[fend_fenf_ttd]]),0)</f>
        <v>13</v>
      </c>
      <c r="BL809" s="20" t="str">
        <f>IF(DATA[[#This Row],[fecha_fs]]&gt;0,TEXT(DATA[[#This Row],[fecha_fs]],"YYYY"),0)</f>
        <v>2025</v>
      </c>
      <c r="BM809" s="221" t="b">
        <v>1</v>
      </c>
      <c r="BN809" s="278">
        <f>COUNTIF(DATA[[#This Row],[tiempo_td]], "&lt;=15")</f>
        <v>1</v>
      </c>
      <c r="BO809" s="222"/>
    </row>
    <row r="810" spans="1:67" ht="30.6" customHeight="1" x14ac:dyDescent="0.25">
      <c r="A810" s="4">
        <v>20141637941</v>
      </c>
      <c r="B810" s="5" t="s">
        <v>79</v>
      </c>
      <c r="C810" s="52" t="s">
        <v>18</v>
      </c>
      <c r="D810" s="4" t="s">
        <v>120</v>
      </c>
      <c r="E810" s="5" t="s">
        <v>3</v>
      </c>
      <c r="F810" s="24">
        <v>45828</v>
      </c>
      <c r="G810" s="7" t="s">
        <v>113</v>
      </c>
      <c r="H810" s="25">
        <f t="shared" si="81"/>
        <v>1</v>
      </c>
      <c r="I810" s="67">
        <v>4648</v>
      </c>
      <c r="J810" s="8" t="s">
        <v>115</v>
      </c>
      <c r="K810" s="9" t="s">
        <v>121</v>
      </c>
      <c r="L810" s="10" t="s">
        <v>117</v>
      </c>
      <c r="M810" s="11">
        <v>690</v>
      </c>
      <c r="N810" s="12" t="s">
        <v>122</v>
      </c>
      <c r="O810" s="6">
        <v>45835</v>
      </c>
      <c r="P810" s="110">
        <v>3519</v>
      </c>
      <c r="Q810" s="14" t="s">
        <v>85</v>
      </c>
      <c r="R810" s="15">
        <v>80</v>
      </c>
      <c r="S810" s="56">
        <v>832</v>
      </c>
      <c r="T810" s="15">
        <f>DATA[[#This Row],[C. DF]]+DATA[[#This Row],[C.OPE.]]</f>
        <v>912</v>
      </c>
      <c r="U810" s="15">
        <f>DATA[[#This Row],[SUB TOTAL]]*0.18</f>
        <v>164.16</v>
      </c>
      <c r="V810" s="15">
        <f>IFERROR(ROUND(DATA[[#This Row],[SUB TOTAL]]+DATA[[#This Row],[IGV]],2),0)</f>
        <v>1076.1600000000001</v>
      </c>
      <c r="W810" s="16" t="str">
        <f>IF(DATA[[#This Row],[VALORIZACIÓN ]]="-","NO CORRESPONDE",IF(OR(A810=20558226979,A810=10470707866,A810=20111157058,A810=20100226902),"NO CORRESPONDE",IF(J810="Emitida",IF(P810&gt;0,"EMITIDA","PENDIENTE"),"NO CORRESPONDE")))</f>
        <v>EMITIDA</v>
      </c>
      <c r="X810" s="29"/>
      <c r="Y810" s="17" t="s">
        <v>118</v>
      </c>
      <c r="Z810" s="30">
        <v>45835</v>
      </c>
      <c r="AA810" s="10" t="s">
        <v>150</v>
      </c>
      <c r="AB810" s="19">
        <v>136</v>
      </c>
      <c r="AC810" s="20">
        <v>30</v>
      </c>
      <c r="AD810" s="18">
        <f>DATA[[#This Row],[FECHA DE EMISION]]+DATA[[#This Row],[CONDICION DE PAGO]]</f>
        <v>45865</v>
      </c>
      <c r="AE810" s="23">
        <f>IF(DATA[[#This Row],[MONEDA]]="USD",VLOOKUP(DATA[[#This Row],[COMBINADA]],#REF!,11,0),1)</f>
        <v>1</v>
      </c>
      <c r="AF810" s="129" t="str">
        <f>IF(DATA[[#This Row],[SERIE2]]="-","NO CORRESPONDE",IF(W810="NO CORRESPONDE","NO CORRESPONDE",IF(Z810&gt;0,"FACTURADO","PENDIENTE")))</f>
        <v>FACTURADO</v>
      </c>
      <c r="AG810" s="133">
        <f>IFERROR(VLOOKUP(DATA[[#This Row],[COMBINADA]],#REF!,6,0),0)</f>
        <v>0</v>
      </c>
      <c r="AH810" s="125">
        <f>IFERROR(VLOOKUP(DATA[[#This Row],[COMBINADA]],#REF!,9,0),0)/COUNTIFS(DATA[COMBINADA],DATA[[#This Row],[COMBINADA]])</f>
        <v>0</v>
      </c>
      <c r="AI810" s="136">
        <f>IFERROR(VLOOKUP(DATA[[#This Row],[COMBINADA]],#REF!,6,0),0)</f>
        <v>0</v>
      </c>
      <c r="AJ810" s="132">
        <f>IFERROR(VLOOKUP(DATA[[#This Row],[COMBINADA]],#REF!,9,0),0)/COUNTIFS(DATA[COMBINADA],DATA[[#This Row],[COMBINADA]])</f>
        <v>0</v>
      </c>
      <c r="AK810" s="407">
        <f>IFERROR(VLOOKUP(DATA[[#This Row],[COMBINADA]],#REF!,6,0),0)</f>
        <v>0</v>
      </c>
      <c r="AL810" s="125">
        <f>IFERROR(VLOOKUP(DATA[[#This Row],[COMBINADA]],#REF!,9,0),0)/COUNTIFS(DATA[COMBINADA],DATA[[#This Row],[COMBINADA]])</f>
        <v>0</v>
      </c>
      <c r="AM810" s="27">
        <f>IFERROR(VLOOKUP(DATA[[#This Row],[COMBINADA]],#REF!,6,0),0)</f>
        <v>0</v>
      </c>
      <c r="AN810" s="125">
        <f>IFERROR(VLOOKUP(DATA[[#This Row],[COMBINADA]],#REF!,9,0),0)/COUNTIFS(DATA[COMBINADA],DATA[[#This Row],[COMBINADA]])</f>
        <v>0</v>
      </c>
      <c r="AO810" s="27">
        <f>IFERROR(VLOOKUP(DATA[[#This Row],[COMBINADA]],#REF!,6,0),0)</f>
        <v>0</v>
      </c>
      <c r="AP810" s="132">
        <f>IFERROR(VLOOKUP(DATA[[#This Row],[COMBINADA]],#REF!,9,0),0)/COUNTIFS(DATA[COMBINADA],DATA[[#This Row],[COMBINADA]])</f>
        <v>0</v>
      </c>
      <c r="AQ81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1078.0480000000002</v>
      </c>
      <c r="AR810" s="26" t="str">
        <f>IFERROR(IF(DATA[[#This Row],[estado_fact]]="FACTURADO",VLOOKUP(DATA[[#This Row],[SERIE2]]&amp;"-"&amp;DATA[[#This Row],[NUMERO]],#REF!,34,0),"NO CORRESPONDE"),"NO CORRESPONDE")</f>
        <v>NO CORRESPONDE</v>
      </c>
      <c r="AS810" s="22" t="str">
        <f>IF(DATA[[#This Row],[fecha_fs]]&gt;0,TEXT(DATA[[#This Row],[fecha_fs]],"Mmmm"),0)</f>
        <v>Junio</v>
      </c>
      <c r="AT810" s="22" t="str">
        <f>DATA[[#This Row],[SERIE2]]&amp;"-"&amp;DATA[[#This Row],[NUMERO]]</f>
        <v>FF01-136</v>
      </c>
      <c r="AU810" s="28">
        <f>DATA[[#This Row],[TOTAL]]*DATA[[#This Row],[T.C.]]</f>
        <v>1076.1600000000001</v>
      </c>
      <c r="AV810" s="6">
        <f>DATA[[#This Row],[FECHA DE VAL.]]</f>
        <v>45835</v>
      </c>
      <c r="AW810" s="6">
        <f>DATA[[#This Row],[FECHA DE EMISION]]</f>
        <v>45835</v>
      </c>
      <c r="AX810" s="6">
        <f>DATA[[#This Row],[F1]]</f>
        <v>0</v>
      </c>
      <c r="AY810" s="20">
        <f>IF(AV810-DATA[[#This Row],[fecha_fs]]&lt;0,0,AV810-DATA[[#This Row],[fecha_fs]])</f>
        <v>7</v>
      </c>
      <c r="AZ810" s="20">
        <f t="shared" si="82"/>
        <v>0</v>
      </c>
      <c r="BA810" s="20">
        <f t="shared" si="83"/>
        <v>0</v>
      </c>
      <c r="BB810" s="195">
        <f>IFERROR(SUM(DATA[[#This Row],[fs_val_ttf]:[fact_pago_ttf]]),0)</f>
        <v>7</v>
      </c>
      <c r="BC810" s="185">
        <v>45835</v>
      </c>
      <c r="BD810" s="185">
        <v>45840</v>
      </c>
      <c r="BE810" s="185">
        <v>45853</v>
      </c>
      <c r="BF810" s="233">
        <v>45882</v>
      </c>
      <c r="BG810" s="20">
        <f>IFERROR(IF(BC810-DATA[[#This Row],[fecha_fs]]&lt;0,0,BC810-DATA[[#This Row],[fecha_fs]]),0)</f>
        <v>7</v>
      </c>
      <c r="BH810" s="20">
        <f t="shared" si="84"/>
        <v>5</v>
      </c>
      <c r="BI810" s="20">
        <f t="shared" si="85"/>
        <v>13</v>
      </c>
      <c r="BJ810" s="20">
        <f t="shared" si="86"/>
        <v>29</v>
      </c>
      <c r="BK810" s="218">
        <f>IFERROR(SUM(DATA[[#This Row],[fs_fd_ttd]:[fend_fenf_ttd]]),0)</f>
        <v>54</v>
      </c>
      <c r="BL810" s="20" t="str">
        <f>IF(DATA[[#This Row],[fecha_fs]]&gt;0,TEXT(DATA[[#This Row],[fecha_fs]],"YYYY"),0)</f>
        <v>2025</v>
      </c>
      <c r="BM810" s="221" t="b">
        <v>1</v>
      </c>
      <c r="BN810" s="278">
        <f>COUNTIF(DATA[[#This Row],[tiempo_td]], "&lt;=15")</f>
        <v>0</v>
      </c>
      <c r="BO810" s="222"/>
    </row>
    <row r="811" spans="1:67" ht="30.6" customHeight="1" x14ac:dyDescent="0.25">
      <c r="A811" s="4">
        <v>20100192064</v>
      </c>
      <c r="B811" s="5" t="s">
        <v>60</v>
      </c>
      <c r="C811" s="52" t="s">
        <v>43</v>
      </c>
      <c r="D811" s="4" t="s">
        <v>120</v>
      </c>
      <c r="E811" s="5" t="s">
        <v>3</v>
      </c>
      <c r="F811" s="24">
        <v>45828</v>
      </c>
      <c r="G811" s="7" t="s">
        <v>113</v>
      </c>
      <c r="H811" s="25">
        <f t="shared" si="81"/>
        <v>1</v>
      </c>
      <c r="I811" s="67">
        <v>4649</v>
      </c>
      <c r="J811" s="8" t="s">
        <v>115</v>
      </c>
      <c r="K811" s="9" t="s">
        <v>121</v>
      </c>
      <c r="L811" s="10" t="s">
        <v>117</v>
      </c>
      <c r="M811" s="11">
        <v>650</v>
      </c>
      <c r="N811" s="12" t="s">
        <v>125</v>
      </c>
      <c r="O811" s="6">
        <v>45834</v>
      </c>
      <c r="P811" s="71">
        <v>3505</v>
      </c>
      <c r="Q811" s="14" t="s">
        <v>123</v>
      </c>
      <c r="R811" s="15">
        <f>(DATA[[#This Row],[cantidad_fs]]/1000)*(47+174.34)</f>
        <v>143.87100000000001</v>
      </c>
      <c r="S811" s="56">
        <v>137</v>
      </c>
      <c r="T811" s="15">
        <f>DATA[[#This Row],[C. DF]]+DATA[[#This Row],[C.OPE.]]</f>
        <v>280.87099999999998</v>
      </c>
      <c r="U811" s="15">
        <f>DATA[[#This Row],[SUB TOTAL]]*0.18</f>
        <v>50.556779999999996</v>
      </c>
      <c r="V811" s="15">
        <f>IFERROR(ROUND(DATA[[#This Row],[SUB TOTAL]]+DATA[[#This Row],[IGV]],2),0)</f>
        <v>331.43</v>
      </c>
      <c r="W811" s="16" t="str">
        <f>IF(DATA[[#This Row],[VALORIZACIÓN ]]="-","NO CORRESPONDE",IF(OR(A811=20558226979,A811=10470707866,A811=20111157058,A811=20100226902),"NO CORRESPONDE",IF(J811="Emitida",IF(P811&gt;0,"EMITIDA","PENDIENTE"),"NO CORRESPONDE")))</f>
        <v>EMITIDA</v>
      </c>
      <c r="X811" s="29"/>
      <c r="Y811" s="17" t="s">
        <v>118</v>
      </c>
      <c r="Z811" s="30">
        <v>45835</v>
      </c>
      <c r="AA811" s="10" t="s">
        <v>150</v>
      </c>
      <c r="AB811" s="19">
        <v>134</v>
      </c>
      <c r="AC811" s="20">
        <v>30</v>
      </c>
      <c r="AD811" s="18">
        <f>DATA[[#This Row],[FECHA DE EMISION]]+DATA[[#This Row],[CONDICION DE PAGO]]</f>
        <v>45865</v>
      </c>
      <c r="AE811" s="23" t="e">
        <f>IF(DATA[[#This Row],[MONEDA]]="USD",VLOOKUP(DATA[[#This Row],[COMBINADA]],#REF!,11,0),1)</f>
        <v>#REF!</v>
      </c>
      <c r="AF811" s="129" t="str">
        <f>IF(DATA[[#This Row],[SERIE2]]="-","NO CORRESPONDE",IF(W811="NO CORRESPONDE","NO CORRESPONDE",IF(Z811&gt;0,"FACTURADO","PENDIENTE")))</f>
        <v>FACTURADO</v>
      </c>
      <c r="AG811" s="133">
        <f>IFERROR(VLOOKUP(DATA[[#This Row],[COMBINADA]],#REF!,6,0),0)</f>
        <v>0</v>
      </c>
      <c r="AH811" s="125">
        <f>IFERROR(VLOOKUP(DATA[[#This Row],[COMBINADA]],#REF!,9,0),0)/COUNTIFS(DATA[COMBINADA],DATA[[#This Row],[COMBINADA]])</f>
        <v>0</v>
      </c>
      <c r="AI811" s="136">
        <f>IFERROR(VLOOKUP(DATA[[#This Row],[COMBINADA]],#REF!,6,0),0)</f>
        <v>0</v>
      </c>
      <c r="AJ811" s="132">
        <f>IFERROR(VLOOKUP(DATA[[#This Row],[COMBINADA]],#REF!,9,0),0)/COUNTIFS(DATA[COMBINADA],DATA[[#This Row],[COMBINADA]])</f>
        <v>0</v>
      </c>
      <c r="AK811" s="407">
        <f>IFERROR(VLOOKUP(DATA[[#This Row],[COMBINADA]],#REF!,6,0),0)</f>
        <v>0</v>
      </c>
      <c r="AL811" s="125">
        <f>IFERROR(VLOOKUP(DATA[[#This Row],[COMBINADA]],#REF!,9,0),0)/COUNTIFS(DATA[COMBINADA],DATA[[#This Row],[COMBINADA]])</f>
        <v>0</v>
      </c>
      <c r="AM811" s="27">
        <f>IFERROR(VLOOKUP(DATA[[#This Row],[COMBINADA]],#REF!,6,0),0)</f>
        <v>0</v>
      </c>
      <c r="AN811" s="125">
        <f>IFERROR(VLOOKUP(DATA[[#This Row],[COMBINADA]],#REF!,9,0),0)/COUNTIFS(DATA[COMBINADA],DATA[[#This Row],[COMBINADA]])</f>
        <v>0</v>
      </c>
      <c r="AO811" s="27">
        <f>IFERROR(VLOOKUP(DATA[[#This Row],[COMBINADA]],#REF!,6,0),0)</f>
        <v>0</v>
      </c>
      <c r="AP811" s="132">
        <f>IFERROR(VLOOKUP(DATA[[#This Row],[COMBINADA]],#REF!,9,0),0)/COUNTIFS(DATA[COMBINADA],DATA[[#This Row],[COMBINADA]])</f>
        <v>0</v>
      </c>
      <c r="AQ81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574.13187500000015</v>
      </c>
      <c r="AR811" s="26" t="str">
        <f>IFERROR(IF(DATA[[#This Row],[estado_fact]]="FACTURADO",VLOOKUP(DATA[[#This Row],[SERIE2]]&amp;"-"&amp;DATA[[#This Row],[NUMERO]],#REF!,34,0),"NO CORRESPONDE"),"NO CORRESPONDE")</f>
        <v>NO CORRESPONDE</v>
      </c>
      <c r="AS811" s="22" t="str">
        <f>IF(DATA[[#This Row],[fecha_fs]]&gt;0,TEXT(DATA[[#This Row],[fecha_fs]],"Mmmm"),0)</f>
        <v>Junio</v>
      </c>
      <c r="AT811" s="22" t="str">
        <f>DATA[[#This Row],[SERIE2]]&amp;"-"&amp;DATA[[#This Row],[NUMERO]]</f>
        <v>FF01-134</v>
      </c>
      <c r="AU811" s="28" t="e">
        <f>DATA[[#This Row],[TOTAL]]*DATA[[#This Row],[T.C.]]</f>
        <v>#REF!</v>
      </c>
      <c r="AV811" s="6">
        <f>DATA[[#This Row],[FECHA DE VAL.]]</f>
        <v>45834</v>
      </c>
      <c r="AW811" s="6">
        <f>DATA[[#This Row],[FECHA DE EMISION]]</f>
        <v>45835</v>
      </c>
      <c r="AX811" s="6">
        <f>DATA[[#This Row],[F1]]</f>
        <v>0</v>
      </c>
      <c r="AY811" s="20">
        <f>IF(AV811-DATA[[#This Row],[fecha_fs]]&lt;0,0,AV811-DATA[[#This Row],[fecha_fs]])</f>
        <v>6</v>
      </c>
      <c r="AZ811" s="20">
        <f t="shared" si="82"/>
        <v>1</v>
      </c>
      <c r="BA811" s="20">
        <f t="shared" si="83"/>
        <v>0</v>
      </c>
      <c r="BB811" s="195">
        <f>IFERROR(SUM(DATA[[#This Row],[fs_val_ttf]:[fact_pago_ttf]]),0)</f>
        <v>7</v>
      </c>
      <c r="BC811" s="185">
        <v>45845</v>
      </c>
      <c r="BD811" s="185">
        <v>45852</v>
      </c>
      <c r="BE811" s="185">
        <v>45852</v>
      </c>
      <c r="BF811" s="185">
        <v>45863</v>
      </c>
      <c r="BG811" s="20">
        <f>IFERROR(IF(BC811-DATA[[#This Row],[fecha_fs]]&lt;0,0,BC811-DATA[[#This Row],[fecha_fs]]),0)</f>
        <v>17</v>
      </c>
      <c r="BH811" s="20">
        <f t="shared" si="84"/>
        <v>7</v>
      </c>
      <c r="BI811" s="20">
        <f t="shared" si="85"/>
        <v>0</v>
      </c>
      <c r="BJ811" s="20">
        <f t="shared" si="86"/>
        <v>11</v>
      </c>
      <c r="BK811" s="218">
        <f>IFERROR(SUM(DATA[[#This Row],[fs_fd_ttd]:[fend_fenf_ttd]]),0)</f>
        <v>35</v>
      </c>
      <c r="BL811" s="20" t="str">
        <f>IF(DATA[[#This Row],[fecha_fs]]&gt;0,TEXT(DATA[[#This Row],[fecha_fs]],"YYYY"),0)</f>
        <v>2025</v>
      </c>
      <c r="BM811" s="221" t="b">
        <v>1</v>
      </c>
      <c r="BN811" s="278">
        <f>COUNTIF(DATA[[#This Row],[tiempo_td]], "&lt;=15")</f>
        <v>0</v>
      </c>
      <c r="BO811" s="222"/>
    </row>
    <row r="812" spans="1:67" ht="30" customHeight="1" x14ac:dyDescent="0.25">
      <c r="A812" s="4"/>
      <c r="B812" s="5" t="s">
        <v>0</v>
      </c>
      <c r="C812" s="52"/>
      <c r="D812" s="4"/>
      <c r="E812" s="5" t="s">
        <v>0</v>
      </c>
      <c r="F812" s="24">
        <v>45828</v>
      </c>
      <c r="G812" s="7" t="s">
        <v>113</v>
      </c>
      <c r="H812" s="25">
        <f t="shared" si="81"/>
        <v>1</v>
      </c>
      <c r="I812" s="67">
        <v>4650</v>
      </c>
      <c r="J812" s="8" t="s">
        <v>173</v>
      </c>
      <c r="K812" s="9"/>
      <c r="L812" s="10"/>
      <c r="M812" s="111"/>
      <c r="N812" s="112"/>
      <c r="O812" s="6"/>
      <c r="P812" s="13"/>
      <c r="Q812" s="14"/>
      <c r="R812" s="15"/>
      <c r="S812" s="56"/>
      <c r="T812" s="15">
        <f>DATA[[#This Row],[C. DF]]+DATA[[#This Row],[C.OPE.]]</f>
        <v>0</v>
      </c>
      <c r="U812" s="73">
        <f>DATA[[#This Row],[SUB TOTAL]]*0.18</f>
        <v>0</v>
      </c>
      <c r="V812" s="45">
        <f>IFERROR(ROUND(DATA[[#This Row],[SUB TOTAL]]+DATA[[#This Row],[IGV]],2),0)</f>
        <v>0</v>
      </c>
      <c r="W812" s="73" t="str">
        <f>IF(DATA[[#This Row],[VALORIZACIÓN ]]="-","NO CORRESPONDE",IF(OR(A812=20558226979,A812=10470707866,A812=20111157058,A812=20100226902),"NO CORRESPONDE",IF(J812="Emitida",IF(P812&gt;0,"EMITIDA","PENDIENTE"),"NO CORRESPONDE")))</f>
        <v>NO CORRESPONDE</v>
      </c>
      <c r="X812" s="46"/>
      <c r="Y812" s="17" t="s">
        <v>128</v>
      </c>
      <c r="Z812" s="48"/>
      <c r="AA812" s="49"/>
      <c r="AB812" s="50"/>
      <c r="AC812" s="51"/>
      <c r="AD812" s="59">
        <f>DATA[[#This Row],[FECHA DE EMISION]]+DATA[[#This Row],[CONDICION DE PAGO]]</f>
        <v>0</v>
      </c>
      <c r="AE812" s="23">
        <f>IF(DATA[[#This Row],[MONEDA]]="USD",VLOOKUP(DATA[[#This Row],[COMBINADA]],#REF!,11,0),1)</f>
        <v>1</v>
      </c>
      <c r="AF812" s="129" t="str">
        <f>IF(DATA[[#This Row],[SERIE2]]="-","NO CORRESPONDE",IF(W812="NO CORRESPONDE","NO CORRESPONDE",IF(Z812&gt;0,"FACTURADO","PENDIENTE")))</f>
        <v>NO CORRESPONDE</v>
      </c>
      <c r="AG812" s="140">
        <f>IFERROR(VLOOKUP(DATA[[#This Row],[COMBINADA]],#REF!,6,0),0)</f>
        <v>0</v>
      </c>
      <c r="AH812" s="126">
        <f>IFERROR(VLOOKUP(DATA[[#This Row],[COMBINADA]],#REF!,9,0),0)/COUNTIFS(DATA[COMBINADA],DATA[[#This Row],[COMBINADA]])</f>
        <v>0</v>
      </c>
      <c r="AI812" s="140">
        <f>IFERROR(VLOOKUP(DATA[[#This Row],[COMBINADA]],#REF!,6,0),0)</f>
        <v>0</v>
      </c>
      <c r="AJ812" s="126">
        <f>IFERROR(VLOOKUP(DATA[[#This Row],[COMBINADA]],#REF!,9,0),0)/COUNTIFS(DATA[COMBINADA],DATA[[#This Row],[COMBINADA]])</f>
        <v>0</v>
      </c>
      <c r="AK812" s="61">
        <f>IFERROR(VLOOKUP(DATA[[#This Row],[COMBINADA]],#REF!,6,0),0)</f>
        <v>0</v>
      </c>
      <c r="AL812" s="126">
        <f>IFERROR(VLOOKUP(DATA[[#This Row],[COMBINADA]],#REF!,9,0),0)/COUNTIFS(DATA[COMBINADA],DATA[[#This Row],[COMBINADA]])</f>
        <v>0</v>
      </c>
      <c r="AM812" s="140">
        <f>IFERROR(VLOOKUP(DATA[[#This Row],[COMBINADA]],#REF!,6,0),0)</f>
        <v>0</v>
      </c>
      <c r="AN812" s="62">
        <f>IFERROR(VLOOKUP(DATA[[#This Row],[COMBINADA]],#REF!,9,0),0)/COUNTIFS(DATA[COMBINADA],DATA[[#This Row],[COMBINADA]])</f>
        <v>0</v>
      </c>
      <c r="AO812" s="61">
        <f>IFERROR(VLOOKUP(DATA[[#This Row],[COMBINADA]],#REF!,6,0),0)</f>
        <v>0</v>
      </c>
      <c r="AP812" s="62">
        <f>IFERROR(VLOOKUP(DATA[[#This Row],[COMBINADA]],#REF!,9,0),0)/COUNTIFS(DATA[COMBINADA],DATA[[#This Row],[COMBINADA]])</f>
        <v>0</v>
      </c>
      <c r="AQ812"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812" s="22" t="str">
        <f>IFERROR(IF(DATA[[#This Row],[estado_fact]]="FACTURADO",VLOOKUP(DATA[[#This Row],[SERIE2]]&amp;"-"&amp;DATA[[#This Row],[NUMERO]],#REF!,34,0),"NO CORRESPONDE"),"NO CORRESPONDE")</f>
        <v>NO CORRESPONDE</v>
      </c>
      <c r="AS812" s="198" t="str">
        <f>IF(DATA[[#This Row],[fecha_fs]]&gt;0,TEXT(DATA[[#This Row],[fecha_fs]],"Mmmm"),0)</f>
        <v>Junio</v>
      </c>
      <c r="AT812" s="199" t="str">
        <f>DATA[[#This Row],[SERIE2]]&amp;"-"&amp;DATA[[#This Row],[NUMERO]]</f>
        <v>-</v>
      </c>
      <c r="AU812" s="198">
        <f>DATA[[#This Row],[TOTAL]]*DATA[[#This Row],[T.C.]]</f>
        <v>0</v>
      </c>
      <c r="AV812" s="40">
        <f>DATA[[#This Row],[FECHA DE VAL.]]</f>
        <v>0</v>
      </c>
      <c r="AW812" s="40">
        <f>DATA[[#This Row],[FECHA DE EMISION]]</f>
        <v>0</v>
      </c>
      <c r="AX812" s="40">
        <f>DATA[[#This Row],[F1]]</f>
        <v>0</v>
      </c>
      <c r="AY812" s="49">
        <f>IF(AV812-DATA[[#This Row],[fecha_fs]]&lt;0,0,AV812-DATA[[#This Row],[fecha_fs]])</f>
        <v>0</v>
      </c>
      <c r="AZ812" s="49">
        <f t="shared" si="82"/>
        <v>0</v>
      </c>
      <c r="BA812" s="49">
        <f t="shared" si="83"/>
        <v>0</v>
      </c>
      <c r="BB812" s="195">
        <f>IFERROR(SUM(DATA[[#This Row],[fs_val_ttf]:[fact_pago_ttf]]),0)</f>
        <v>0</v>
      </c>
      <c r="BC812" s="47"/>
      <c r="BD812" s="47"/>
      <c r="BE812" s="47"/>
      <c r="BF812" s="10"/>
      <c r="BG812" s="49">
        <f>IFERROR(IF(BC812-DATA[[#This Row],[fecha_fs]]&lt;0,0,BC812-DATA[[#This Row],[fecha_fs]]),0)</f>
        <v>0</v>
      </c>
      <c r="BH812" s="49">
        <f t="shared" si="84"/>
        <v>0</v>
      </c>
      <c r="BI812" s="49">
        <f t="shared" si="85"/>
        <v>0</v>
      </c>
      <c r="BJ812" s="49">
        <f t="shared" si="86"/>
        <v>0</v>
      </c>
      <c r="BK812" s="218">
        <f>IFERROR(SUM(DATA[[#This Row],[fs_fd_ttd]:[fend_fenf_ttd]]),0)</f>
        <v>0</v>
      </c>
      <c r="BL812" s="20" t="str">
        <f>IF(DATA[[#This Row],[fecha_fs]]&gt;0,TEXT(DATA[[#This Row],[fecha_fs]],"YYYY"),0)</f>
        <v>2025</v>
      </c>
      <c r="BM812" s="221" t="b">
        <v>0</v>
      </c>
      <c r="BN812" s="278"/>
      <c r="BO812" s="222"/>
    </row>
    <row r="813" spans="1:67" ht="30.6" customHeight="1" x14ac:dyDescent="0.25">
      <c r="A813" s="4">
        <v>20100211115</v>
      </c>
      <c r="B813" s="5" t="s">
        <v>41</v>
      </c>
      <c r="C813" s="52" t="s">
        <v>18</v>
      </c>
      <c r="D813" s="4" t="s">
        <v>120</v>
      </c>
      <c r="E813" s="5" t="s">
        <v>3</v>
      </c>
      <c r="F813" s="24">
        <v>45828</v>
      </c>
      <c r="G813" s="7" t="s">
        <v>113</v>
      </c>
      <c r="H813" s="25">
        <f t="shared" si="81"/>
        <v>1</v>
      </c>
      <c r="I813" s="67">
        <v>4651</v>
      </c>
      <c r="J813" s="8" t="s">
        <v>115</v>
      </c>
      <c r="K813" s="9" t="s">
        <v>121</v>
      </c>
      <c r="L813" s="10" t="s">
        <v>117</v>
      </c>
      <c r="M813" s="11">
        <v>90</v>
      </c>
      <c r="N813" s="12" t="s">
        <v>132</v>
      </c>
      <c r="O813" s="6">
        <v>45834</v>
      </c>
      <c r="P813" s="115">
        <v>3515</v>
      </c>
      <c r="Q813" s="14" t="s">
        <v>85</v>
      </c>
      <c r="R813" s="75"/>
      <c r="S813" s="15">
        <f>(DATA[[#This Row],[cantidad_fs]]*4.17)</f>
        <v>375.3</v>
      </c>
      <c r="T813" s="15">
        <f>DATA[[#This Row],[C. DF]]+DATA[[#This Row],[C.OPE.]]</f>
        <v>375.3</v>
      </c>
      <c r="U813" s="15">
        <f>DATA[[#This Row],[SUB TOTAL]]*0.18</f>
        <v>67.554000000000002</v>
      </c>
      <c r="V813" s="15">
        <f>IFERROR(ROUND(DATA[[#This Row],[SUB TOTAL]]+DATA[[#This Row],[IGV]],2),0)</f>
        <v>442.85</v>
      </c>
      <c r="W813" s="16" t="str">
        <f>IF(DATA[[#This Row],[VALORIZACIÓN ]]="-","NO CORRESPONDE",IF(OR(A813=20558226979,A813=10470707866,A813=20111157058,A813=20100226902),"NO CORRESPONDE",IF(J813="Emitida",IF(P813&gt;0,"EMITIDA","PENDIENTE"),"NO CORRESPONDE")))</f>
        <v>EMITIDA</v>
      </c>
      <c r="X813" s="29"/>
      <c r="Y813" s="17" t="s">
        <v>118</v>
      </c>
      <c r="Z813" s="30">
        <v>45835</v>
      </c>
      <c r="AA813" s="10" t="s">
        <v>150</v>
      </c>
      <c r="AB813" s="19">
        <v>137</v>
      </c>
      <c r="AC813" s="20">
        <v>30</v>
      </c>
      <c r="AD813" s="18">
        <f>DATA[[#This Row],[FECHA DE EMISION]]+DATA[[#This Row],[CONDICION DE PAGO]]</f>
        <v>45865</v>
      </c>
      <c r="AE813" s="23">
        <f>IF(DATA[[#This Row],[MONEDA]]="USD",VLOOKUP(DATA[[#This Row],[COMBINADA]],#REF!,11,0),1)</f>
        <v>1</v>
      </c>
      <c r="AF813" s="129" t="str">
        <f>IF(DATA[[#This Row],[SERIE2]]="-","NO CORRESPONDE",IF(W813="NO CORRESPONDE","NO CORRESPONDE",IF(Z813&gt;0,"FACTURADO","PENDIENTE")))</f>
        <v>FACTURADO</v>
      </c>
      <c r="AG813" s="133">
        <f>IFERROR(VLOOKUP(DATA[[#This Row],[COMBINADA]],#REF!,6,0),0)</f>
        <v>0</v>
      </c>
      <c r="AH813" s="125">
        <f>IFERROR(VLOOKUP(DATA[[#This Row],[COMBINADA]],#REF!,9,0),0)/COUNTIFS(DATA[COMBINADA],DATA[[#This Row],[COMBINADA]])</f>
        <v>0</v>
      </c>
      <c r="AI813" s="136">
        <f>IFERROR(VLOOKUP(DATA[[#This Row],[COMBINADA]],#REF!,6,0),0)</f>
        <v>0</v>
      </c>
      <c r="AJ813" s="132">
        <f>IFERROR(VLOOKUP(DATA[[#This Row],[COMBINADA]],#REF!,9,0),0)/COUNTIFS(DATA[COMBINADA],DATA[[#This Row],[COMBINADA]])</f>
        <v>0</v>
      </c>
      <c r="AK813" s="407">
        <f>IFERROR(VLOOKUP(DATA[[#This Row],[COMBINADA]],#REF!,6,0),0)</f>
        <v>0</v>
      </c>
      <c r="AL813" s="125">
        <f>IFERROR(VLOOKUP(DATA[[#This Row],[COMBINADA]],#REF!,9,0),0)/COUNTIFS(DATA[COMBINADA],DATA[[#This Row],[COMBINADA]])</f>
        <v>0</v>
      </c>
      <c r="AM813" s="27">
        <f>IFERROR(VLOOKUP(DATA[[#This Row],[COMBINADA]],#REF!,6,0),0)</f>
        <v>0</v>
      </c>
      <c r="AN813" s="125">
        <f>IFERROR(VLOOKUP(DATA[[#This Row],[COMBINADA]],#REF!,9,0),0)/COUNTIFS(DATA[COMBINADA],DATA[[#This Row],[COMBINADA]])</f>
        <v>0</v>
      </c>
      <c r="AO813" s="27">
        <f>IFERROR(VLOOKUP(DATA[[#This Row],[COMBINADA]],#REF!,6,0),0)</f>
        <v>0</v>
      </c>
      <c r="AP813" s="132">
        <f>IFERROR(VLOOKUP(DATA[[#This Row],[COMBINADA]],#REF!,9,0),0)/COUNTIFS(DATA[COMBINADA],DATA[[#This Row],[COMBINADA]])</f>
        <v>0</v>
      </c>
      <c r="AQ81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813" s="26" t="str">
        <f>IFERROR(IF(DATA[[#This Row],[estado_fact]]="FACTURADO",VLOOKUP(DATA[[#This Row],[SERIE2]]&amp;"-"&amp;DATA[[#This Row],[NUMERO]],#REF!,34,0),"NO CORRESPONDE"),"NO CORRESPONDE")</f>
        <v>NO CORRESPONDE</v>
      </c>
      <c r="AS813" s="22" t="str">
        <f>IF(DATA[[#This Row],[fecha_fs]]&gt;0,TEXT(DATA[[#This Row],[fecha_fs]],"Mmmm"),0)</f>
        <v>Junio</v>
      </c>
      <c r="AT813" s="22" t="str">
        <f>DATA[[#This Row],[SERIE2]]&amp;"-"&amp;DATA[[#This Row],[NUMERO]]</f>
        <v>FF01-137</v>
      </c>
      <c r="AU813" s="28">
        <f>DATA[[#This Row],[TOTAL]]*DATA[[#This Row],[T.C.]]</f>
        <v>442.85</v>
      </c>
      <c r="AV813" s="6">
        <f>DATA[[#This Row],[FECHA DE VAL.]]</f>
        <v>45834</v>
      </c>
      <c r="AW813" s="6">
        <f>DATA[[#This Row],[FECHA DE EMISION]]</f>
        <v>45835</v>
      </c>
      <c r="AX813" s="6">
        <f>DATA[[#This Row],[F1]]</f>
        <v>0</v>
      </c>
      <c r="AY813" s="20">
        <f>IF(AV813-DATA[[#This Row],[fecha_fs]]&lt;0,0,AV813-DATA[[#This Row],[fecha_fs]])</f>
        <v>6</v>
      </c>
      <c r="AZ813" s="20">
        <f t="shared" si="82"/>
        <v>1</v>
      </c>
      <c r="BA813" s="20">
        <f t="shared" si="83"/>
        <v>0</v>
      </c>
      <c r="BB813" s="195">
        <f>IFERROR(SUM(DATA[[#This Row],[fs_val_ttf]:[fact_pago_ttf]]),0)</f>
        <v>7</v>
      </c>
      <c r="BC813" s="185">
        <v>45838</v>
      </c>
      <c r="BD813" s="185">
        <v>45846</v>
      </c>
      <c r="BE813" s="185">
        <v>45848</v>
      </c>
      <c r="BF813" s="185">
        <v>45849</v>
      </c>
      <c r="BG813" s="20">
        <f>IFERROR(IF(BC813-DATA[[#This Row],[fecha_fs]]&lt;0,0,BC813-DATA[[#This Row],[fecha_fs]]),0)</f>
        <v>10</v>
      </c>
      <c r="BH813" s="20">
        <f t="shared" si="84"/>
        <v>8</v>
      </c>
      <c r="BI813" s="20">
        <f t="shared" si="85"/>
        <v>2</v>
      </c>
      <c r="BJ813" s="20">
        <f t="shared" si="86"/>
        <v>1</v>
      </c>
      <c r="BK813" s="218">
        <f>IFERROR(SUM(DATA[[#This Row],[fs_fd_ttd]:[fend_fenf_ttd]]),0)</f>
        <v>21</v>
      </c>
      <c r="BL813" s="20" t="str">
        <f>IF(DATA[[#This Row],[fecha_fs]]&gt;0,TEXT(DATA[[#This Row],[fecha_fs]],"YYYY"),0)</f>
        <v>2025</v>
      </c>
      <c r="BM813" s="221" t="b">
        <v>1</v>
      </c>
      <c r="BN813" s="278">
        <f>COUNTIF(DATA[[#This Row],[tiempo_td]], "&lt;=15")</f>
        <v>0</v>
      </c>
      <c r="BO813" s="222"/>
    </row>
    <row r="814" spans="1:67" ht="30.6" customHeight="1" x14ac:dyDescent="0.25">
      <c r="A814" s="4">
        <v>20100211115</v>
      </c>
      <c r="B814" s="5" t="s">
        <v>41</v>
      </c>
      <c r="C814" s="52" t="s">
        <v>18</v>
      </c>
      <c r="D814" s="4" t="s">
        <v>112</v>
      </c>
      <c r="E814" s="5" t="s">
        <v>1</v>
      </c>
      <c r="F814" s="24">
        <v>45828</v>
      </c>
      <c r="G814" s="7" t="s">
        <v>113</v>
      </c>
      <c r="H814" s="25">
        <f t="shared" si="81"/>
        <v>1</v>
      </c>
      <c r="I814" s="67">
        <v>4652</v>
      </c>
      <c r="J814" s="8" t="s">
        <v>115</v>
      </c>
      <c r="K814" s="9" t="s">
        <v>116</v>
      </c>
      <c r="L814" s="10" t="s">
        <v>117</v>
      </c>
      <c r="M814" s="11">
        <v>3</v>
      </c>
      <c r="N814" s="12" t="s">
        <v>132</v>
      </c>
      <c r="O814" s="6">
        <v>45834</v>
      </c>
      <c r="P814" s="115">
        <v>3517</v>
      </c>
      <c r="Q814" s="14" t="s">
        <v>85</v>
      </c>
      <c r="R814" s="75"/>
      <c r="S814" s="15">
        <f>(DATA[[#This Row],[cantidad_fs]]*4.57)</f>
        <v>13.71</v>
      </c>
      <c r="T814" s="15">
        <f>DATA[[#This Row],[C. DF]]+DATA[[#This Row],[C.OPE.]]</f>
        <v>13.71</v>
      </c>
      <c r="U814" s="15">
        <f>DATA[[#This Row],[SUB TOTAL]]*0.18</f>
        <v>2.4678</v>
      </c>
      <c r="V814" s="15">
        <f>IFERROR(ROUND(DATA[[#This Row],[SUB TOTAL]]+DATA[[#This Row],[IGV]],2),0)</f>
        <v>16.18</v>
      </c>
      <c r="W814" s="16" t="str">
        <f>IF(DATA[[#This Row],[VALORIZACIÓN ]]="-","NO CORRESPONDE",IF(OR(A814=20558226979,A814=10470707866,A814=20111157058,A814=20100226902),"NO CORRESPONDE",IF(J814="Emitida",IF(P814&gt;0,"EMITIDA","PENDIENTE"),"NO CORRESPONDE")))</f>
        <v>EMITIDA</v>
      </c>
      <c r="X814" s="29"/>
      <c r="Y814" s="17" t="s">
        <v>118</v>
      </c>
      <c r="Z814" s="30">
        <v>45835</v>
      </c>
      <c r="AA814" s="10" t="s">
        <v>150</v>
      </c>
      <c r="AB814" s="19">
        <v>139</v>
      </c>
      <c r="AC814" s="20">
        <v>30</v>
      </c>
      <c r="AD814" s="18">
        <f>DATA[[#This Row],[FECHA DE EMISION]]+DATA[[#This Row],[CONDICION DE PAGO]]</f>
        <v>45865</v>
      </c>
      <c r="AE814" s="23">
        <f>IF(DATA[[#This Row],[MONEDA]]="USD",VLOOKUP(DATA[[#This Row],[COMBINADA]],#REF!,11,0),1)</f>
        <v>1</v>
      </c>
      <c r="AF814" s="129" t="str">
        <f>IF(DATA[[#This Row],[SERIE2]]="-","NO CORRESPONDE",IF(W814="NO CORRESPONDE","NO CORRESPONDE",IF(Z814&gt;0,"FACTURADO","PENDIENTE")))</f>
        <v>FACTURADO</v>
      </c>
      <c r="AG814" s="133">
        <f>IFERROR(VLOOKUP(DATA[[#This Row],[COMBINADA]],#REF!,6,0),0)</f>
        <v>0</v>
      </c>
      <c r="AH814" s="125">
        <f>IFERROR(VLOOKUP(DATA[[#This Row],[COMBINADA]],#REF!,9,0),0)/COUNTIFS(DATA[COMBINADA],DATA[[#This Row],[COMBINADA]])</f>
        <v>0</v>
      </c>
      <c r="AI814" s="136">
        <f>IFERROR(VLOOKUP(DATA[[#This Row],[COMBINADA]],#REF!,6,0),0)</f>
        <v>0</v>
      </c>
      <c r="AJ814" s="132">
        <f>IFERROR(VLOOKUP(DATA[[#This Row],[COMBINADA]],#REF!,9,0),0)/COUNTIFS(DATA[COMBINADA],DATA[[#This Row],[COMBINADA]])</f>
        <v>0</v>
      </c>
      <c r="AK814" s="407">
        <f>IFERROR(VLOOKUP(DATA[[#This Row],[COMBINADA]],#REF!,6,0),0)</f>
        <v>0</v>
      </c>
      <c r="AL814" s="125">
        <f>IFERROR(VLOOKUP(DATA[[#This Row],[COMBINADA]],#REF!,9,0),0)/COUNTIFS(DATA[COMBINADA],DATA[[#This Row],[COMBINADA]])</f>
        <v>0</v>
      </c>
      <c r="AM814" s="27">
        <f>IFERROR(VLOOKUP(DATA[[#This Row],[COMBINADA]],#REF!,6,0),0)</f>
        <v>0</v>
      </c>
      <c r="AN814" s="125">
        <f>IFERROR(VLOOKUP(DATA[[#This Row],[COMBINADA]],#REF!,9,0),0)/COUNTIFS(DATA[COMBINADA],DATA[[#This Row],[COMBINADA]])</f>
        <v>0</v>
      </c>
      <c r="AO814" s="27">
        <f>IFERROR(VLOOKUP(DATA[[#This Row],[COMBINADA]],#REF!,6,0),0)</f>
        <v>0</v>
      </c>
      <c r="AP814" s="132">
        <f>IFERROR(VLOOKUP(DATA[[#This Row],[COMBINADA]],#REF!,9,0),0)/COUNTIFS(DATA[COMBINADA],DATA[[#This Row],[COMBINADA]])</f>
        <v>0</v>
      </c>
      <c r="AQ81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78.19250000000001</v>
      </c>
      <c r="AR814" s="26" t="str">
        <f>IFERROR(IF(DATA[[#This Row],[estado_fact]]="FACTURADO",VLOOKUP(DATA[[#This Row],[SERIE2]]&amp;"-"&amp;DATA[[#This Row],[NUMERO]],#REF!,34,0),"NO CORRESPONDE"),"NO CORRESPONDE")</f>
        <v>NO CORRESPONDE</v>
      </c>
      <c r="AS814" s="22" t="str">
        <f>IF(DATA[[#This Row],[fecha_fs]]&gt;0,TEXT(DATA[[#This Row],[fecha_fs]],"Mmmm"),0)</f>
        <v>Junio</v>
      </c>
      <c r="AT814" s="22" t="str">
        <f>DATA[[#This Row],[SERIE2]]&amp;"-"&amp;DATA[[#This Row],[NUMERO]]</f>
        <v>FF01-139</v>
      </c>
      <c r="AU814" s="28">
        <f>DATA[[#This Row],[TOTAL]]*DATA[[#This Row],[T.C.]]</f>
        <v>16.18</v>
      </c>
      <c r="AV814" s="6">
        <f>DATA[[#This Row],[FECHA DE VAL.]]</f>
        <v>45834</v>
      </c>
      <c r="AW814" s="6">
        <f>DATA[[#This Row],[FECHA DE EMISION]]</f>
        <v>45835</v>
      </c>
      <c r="AX814" s="6">
        <f>DATA[[#This Row],[F1]]</f>
        <v>0</v>
      </c>
      <c r="AY814" s="20">
        <f>IF(AV814-DATA[[#This Row],[fecha_fs]]&lt;0,0,AV814-DATA[[#This Row],[fecha_fs]])</f>
        <v>6</v>
      </c>
      <c r="AZ814" s="20">
        <f t="shared" si="82"/>
        <v>1</v>
      </c>
      <c r="BA814" s="20">
        <f t="shared" si="83"/>
        <v>0</v>
      </c>
      <c r="BB814" s="195">
        <f>IFERROR(SUM(DATA[[#This Row],[fs_val_ttf]:[fact_pago_ttf]]),0)</f>
        <v>7</v>
      </c>
      <c r="BC814" s="185">
        <v>45842</v>
      </c>
      <c r="BD814" s="185">
        <v>45846</v>
      </c>
      <c r="BE814" s="185">
        <v>45848</v>
      </c>
      <c r="BF814" s="185">
        <v>45849</v>
      </c>
      <c r="BG814" s="20">
        <f>IFERROR(IF(BC814-DATA[[#This Row],[fecha_fs]]&lt;0,0,BC814-DATA[[#This Row],[fecha_fs]]),0)</f>
        <v>14</v>
      </c>
      <c r="BH814" s="20">
        <f t="shared" si="84"/>
        <v>4</v>
      </c>
      <c r="BI814" s="20">
        <f t="shared" si="85"/>
        <v>2</v>
      </c>
      <c r="BJ814" s="20">
        <f t="shared" si="86"/>
        <v>1</v>
      </c>
      <c r="BK814" s="218">
        <f>IFERROR(SUM(DATA[[#This Row],[fs_fd_ttd]:[fend_fenf_ttd]]),0)</f>
        <v>21</v>
      </c>
      <c r="BL814" s="20" t="str">
        <f>IF(DATA[[#This Row],[fecha_fs]]&gt;0,TEXT(DATA[[#This Row],[fecha_fs]],"YYYY"),0)</f>
        <v>2025</v>
      </c>
      <c r="BM814" s="221" t="b">
        <v>1</v>
      </c>
      <c r="BN814" s="278">
        <f>COUNTIF(DATA[[#This Row],[tiempo_td]], "&lt;=15")</f>
        <v>0</v>
      </c>
      <c r="BO814" s="222"/>
    </row>
    <row r="815" spans="1:67" ht="30.6" customHeight="1" x14ac:dyDescent="0.25">
      <c r="A815" s="4">
        <v>20462509236</v>
      </c>
      <c r="B815" s="5" t="s">
        <v>81</v>
      </c>
      <c r="C815" s="52" t="s">
        <v>328</v>
      </c>
      <c r="D815" s="4" t="s">
        <v>290</v>
      </c>
      <c r="E815" s="5" t="s">
        <v>294</v>
      </c>
      <c r="F815" s="24">
        <v>45828</v>
      </c>
      <c r="G815" s="7" t="s">
        <v>113</v>
      </c>
      <c r="H815" s="25">
        <f t="shared" si="81"/>
        <v>1</v>
      </c>
      <c r="I815" s="67">
        <v>4653</v>
      </c>
      <c r="J815" s="8" t="s">
        <v>115</v>
      </c>
      <c r="K815" s="9" t="s">
        <v>195</v>
      </c>
      <c r="L815" s="10" t="s">
        <v>117</v>
      </c>
      <c r="M815" s="11">
        <v>3100</v>
      </c>
      <c r="N815" s="12" t="s">
        <v>200</v>
      </c>
      <c r="O815" s="6">
        <v>45831</v>
      </c>
      <c r="P815" s="82">
        <v>3531</v>
      </c>
      <c r="Q815" s="14" t="s">
        <v>85</v>
      </c>
      <c r="R815" s="15">
        <v>101.69</v>
      </c>
      <c r="S815" s="15">
        <v>1625.3</v>
      </c>
      <c r="T815" s="15">
        <f>DATA[[#This Row],[C. DF]]+DATA[[#This Row],[C.OPE.]]</f>
        <v>1726.99</v>
      </c>
      <c r="U815" s="15">
        <f>DATA[[#This Row],[SUB TOTAL]]*0.18</f>
        <v>310.85820000000001</v>
      </c>
      <c r="V815" s="15">
        <f>IFERROR(ROUND(DATA[[#This Row],[SUB TOTAL]]+DATA[[#This Row],[IGV]],2),0)</f>
        <v>2037.85</v>
      </c>
      <c r="W815" s="16" t="str">
        <f>IF(DATA[[#This Row],[VALORIZACIÓN ]]="-","NO CORRESPONDE",IF(OR(A815=20558226979,A815=10470707866,A815=20111157058,A815=20100226902),"NO CORRESPONDE",IF(J815="Emitida",IF(P815&gt;0,"EMITIDA","PENDIENTE"),"NO CORRESPONDE")))</f>
        <v>EMITIDA</v>
      </c>
      <c r="X815" s="29"/>
      <c r="Y815" s="17" t="s">
        <v>118</v>
      </c>
      <c r="Z815" s="30">
        <v>45903</v>
      </c>
      <c r="AA815" s="10" t="s">
        <v>150</v>
      </c>
      <c r="AB815" s="19">
        <v>237</v>
      </c>
      <c r="AC815" s="20">
        <v>60</v>
      </c>
      <c r="AD815" s="18">
        <f>DATA[[#This Row],[FECHA DE EMISION]]+DATA[[#This Row],[CONDICION DE PAGO]]</f>
        <v>45963</v>
      </c>
      <c r="AE815" s="23">
        <f>IF(DATA[[#This Row],[MONEDA]]="USD",VLOOKUP(DATA[[#This Row],[COMBINADA]],#REF!,11,0),1)</f>
        <v>1</v>
      </c>
      <c r="AF815" s="129" t="str">
        <f>IF(DATA[[#This Row],[SERIE2]]="-","NO CORRESPONDE",IF(W815="NO CORRESPONDE","NO CORRESPONDE",IF(Z815&gt;0,"FACTURADO","PENDIENTE")))</f>
        <v>FACTURADO</v>
      </c>
      <c r="AG815" s="133">
        <f>IFERROR(VLOOKUP(DATA[[#This Row],[COMBINADA]],#REF!,6,0),0)</f>
        <v>0</v>
      </c>
      <c r="AH815" s="125">
        <f>IFERROR(VLOOKUP(DATA[[#This Row],[COMBINADA]],#REF!,9,0),0)/COUNTIFS(DATA[COMBINADA],DATA[[#This Row],[COMBINADA]])</f>
        <v>0</v>
      </c>
      <c r="AI815" s="136">
        <f>IFERROR(VLOOKUP(DATA[[#This Row],[COMBINADA]],#REF!,6,0),0)</f>
        <v>0</v>
      </c>
      <c r="AJ815" s="132">
        <f>IFERROR(VLOOKUP(DATA[[#This Row],[COMBINADA]],#REF!,9,0),0)/COUNTIFS(DATA[COMBINADA],DATA[[#This Row],[COMBINADA]])</f>
        <v>0</v>
      </c>
      <c r="AK815" s="407">
        <f>IFERROR(VLOOKUP(DATA[[#This Row],[COMBINADA]],#REF!,6,0),0)</f>
        <v>0</v>
      </c>
      <c r="AL815" s="125">
        <f>IFERROR(VLOOKUP(DATA[[#This Row],[COMBINADA]],#REF!,9,0),0)/COUNTIFS(DATA[COMBINADA],DATA[[#This Row],[COMBINADA]])</f>
        <v>0</v>
      </c>
      <c r="AM815" s="27">
        <f>IFERROR(VLOOKUP(DATA[[#This Row],[COMBINADA]],#REF!,6,0),0)</f>
        <v>0</v>
      </c>
      <c r="AN815" s="125">
        <f>IFERROR(VLOOKUP(DATA[[#This Row],[COMBINADA]],#REF!,9,0),0)/COUNTIFS(DATA[COMBINADA],DATA[[#This Row],[COMBINADA]])</f>
        <v>0</v>
      </c>
      <c r="AO815" s="27">
        <f>IFERROR(VLOOKUP(DATA[[#This Row],[COMBINADA]],#REF!,6,0),0)</f>
        <v>0</v>
      </c>
      <c r="AP815" s="132">
        <f>IFERROR(VLOOKUP(DATA[[#This Row],[COMBINADA]],#REF!,9,0),0)/COUNTIFS(DATA[COMBINADA],DATA[[#This Row],[COMBINADA]])</f>
        <v>0</v>
      </c>
      <c r="AQ81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1532.7766666666666</v>
      </c>
      <c r="AR815" s="26" t="str">
        <f>IFERROR(IF(DATA[[#This Row],[estado_fact]]="FACTURADO",VLOOKUP(DATA[[#This Row],[SERIE2]]&amp;"-"&amp;DATA[[#This Row],[NUMERO]],#REF!,34,0),"NO CORRESPONDE"),"NO CORRESPONDE")</f>
        <v>NO CORRESPONDE</v>
      </c>
      <c r="AS815" s="22" t="str">
        <f>IF(DATA[[#This Row],[fecha_fs]]&gt;0,TEXT(DATA[[#This Row],[fecha_fs]],"Mmmm"),0)</f>
        <v>Junio</v>
      </c>
      <c r="AT815" s="22" t="str">
        <f>DATA[[#This Row],[SERIE2]]&amp;"-"&amp;DATA[[#This Row],[NUMERO]]</f>
        <v>FF01-237</v>
      </c>
      <c r="AU815" s="28">
        <f>DATA[[#This Row],[TOTAL]]*DATA[[#This Row],[T.C.]]</f>
        <v>2037.85</v>
      </c>
      <c r="AV815" s="6">
        <f>DATA[[#This Row],[FECHA DE VAL.]]</f>
        <v>45831</v>
      </c>
      <c r="AW815" s="6">
        <f>DATA[[#This Row],[FECHA DE EMISION]]</f>
        <v>45903</v>
      </c>
      <c r="AX815" s="6">
        <f>DATA[[#This Row],[F1]]</f>
        <v>0</v>
      </c>
      <c r="AY815" s="20">
        <f>IF(AV815-DATA[[#This Row],[fecha_fs]]&lt;0,0,AV815-DATA[[#This Row],[fecha_fs]])</f>
        <v>3</v>
      </c>
      <c r="AZ815" s="20">
        <f t="shared" si="82"/>
        <v>72</v>
      </c>
      <c r="BA815" s="20">
        <f t="shared" si="83"/>
        <v>0</v>
      </c>
      <c r="BB815" s="195">
        <f>IFERROR(SUM(DATA[[#This Row],[fs_val_ttf]:[fact_pago_ttf]]),0)</f>
        <v>75</v>
      </c>
      <c r="BC815" s="185">
        <v>45845</v>
      </c>
      <c r="BD815" s="185">
        <v>45852</v>
      </c>
      <c r="BE815" s="185">
        <v>45853</v>
      </c>
      <c r="BF815" s="185">
        <v>45862</v>
      </c>
      <c r="BG815" s="20">
        <f>IFERROR(IF(BC815-DATA[[#This Row],[fecha_fs]]&lt;0,0,BC815-DATA[[#This Row],[fecha_fs]]),0)</f>
        <v>17</v>
      </c>
      <c r="BH815" s="20">
        <f t="shared" si="84"/>
        <v>7</v>
      </c>
      <c r="BI815" s="20">
        <f t="shared" si="85"/>
        <v>1</v>
      </c>
      <c r="BJ815" s="20">
        <f t="shared" si="86"/>
        <v>9</v>
      </c>
      <c r="BK815" s="218">
        <f>IFERROR(SUM(DATA[[#This Row],[fs_fd_ttd]:[fend_fenf_ttd]]),0)</f>
        <v>34</v>
      </c>
      <c r="BL815" s="20" t="str">
        <f>IF(DATA[[#This Row],[fecha_fs]]&gt;0,TEXT(DATA[[#This Row],[fecha_fs]],"YYYY"),0)</f>
        <v>2025</v>
      </c>
      <c r="BM815" s="221" t="b">
        <v>1</v>
      </c>
      <c r="BN815" s="278">
        <f>COUNTIF(DATA[[#This Row],[tiempo_td]], "&lt;=15")</f>
        <v>0</v>
      </c>
      <c r="BO815" s="222"/>
    </row>
    <row r="816" spans="1:67" ht="30.6" customHeight="1" x14ac:dyDescent="0.25">
      <c r="A816" s="4">
        <v>20462509236</v>
      </c>
      <c r="B816" s="5" t="s">
        <v>81</v>
      </c>
      <c r="C816" s="52" t="s">
        <v>328</v>
      </c>
      <c r="D816" s="4" t="s">
        <v>133</v>
      </c>
      <c r="E816" s="5" t="s">
        <v>291</v>
      </c>
      <c r="F816" s="24">
        <v>45828</v>
      </c>
      <c r="G816" s="7" t="s">
        <v>113</v>
      </c>
      <c r="H816" s="25">
        <f t="shared" si="81"/>
        <v>1</v>
      </c>
      <c r="I816" s="67">
        <v>4654</v>
      </c>
      <c r="J816" s="8" t="s">
        <v>115</v>
      </c>
      <c r="K816" s="9" t="s">
        <v>134</v>
      </c>
      <c r="L816" s="10" t="s">
        <v>117</v>
      </c>
      <c r="M816" s="11">
        <v>10</v>
      </c>
      <c r="N816" s="12" t="s">
        <v>167</v>
      </c>
      <c r="O816" s="6">
        <v>45838</v>
      </c>
      <c r="P816" s="13">
        <v>3531</v>
      </c>
      <c r="Q816" s="14" t="s">
        <v>85</v>
      </c>
      <c r="R816" s="15">
        <f>970/2</f>
        <v>485</v>
      </c>
      <c r="S816" s="56">
        <f>1199.9/2</f>
        <v>599.95000000000005</v>
      </c>
      <c r="T816" s="15">
        <f>DATA[[#This Row],[C. DF]]+DATA[[#This Row],[C.OPE.]]</f>
        <v>1084.95</v>
      </c>
      <c r="U816" s="15">
        <f>DATA[[#This Row],[SUB TOTAL]]*0.18</f>
        <v>195.291</v>
      </c>
      <c r="V816" s="15">
        <f>IFERROR(ROUND(DATA[[#This Row],[SUB TOTAL]]+DATA[[#This Row],[IGV]],2),0)</f>
        <v>1280.24</v>
      </c>
      <c r="W816" s="16" t="str">
        <f>IF(DATA[[#This Row],[VALORIZACIÓN ]]="-","NO CORRESPONDE",IF(OR(A816=20558226979,A816=10470707866,A816=20111157058,A816=20100226902),"NO CORRESPONDE",IF(J816="Emitida",IF(P816&gt;0,"EMITIDA","PENDIENTE"),"NO CORRESPONDE")))</f>
        <v>EMITIDA</v>
      </c>
      <c r="X816" s="29"/>
      <c r="Y816" s="17" t="s">
        <v>118</v>
      </c>
      <c r="Z816" s="30">
        <v>45903</v>
      </c>
      <c r="AA816" s="10" t="s">
        <v>150</v>
      </c>
      <c r="AB816" s="19">
        <v>237</v>
      </c>
      <c r="AC816" s="20">
        <v>60</v>
      </c>
      <c r="AD816" s="18">
        <f>DATA[[#This Row],[FECHA DE EMISION]]+DATA[[#This Row],[CONDICION DE PAGO]]</f>
        <v>45963</v>
      </c>
      <c r="AE816" s="23">
        <f>IF(DATA[[#This Row],[MONEDA]]="USD",VLOOKUP(DATA[[#This Row],[COMBINADA]],#REF!,11,0),1)</f>
        <v>1</v>
      </c>
      <c r="AF816" s="129" t="str">
        <f>IF(DATA[[#This Row],[SERIE2]]="-","NO CORRESPONDE",IF(W816="NO CORRESPONDE","NO CORRESPONDE",IF(Z816&gt;0,"FACTURADO","PENDIENTE")))</f>
        <v>FACTURADO</v>
      </c>
      <c r="AG816" s="133">
        <f>IFERROR(VLOOKUP(DATA[[#This Row],[COMBINADA]],#REF!,6,0),0)</f>
        <v>0</v>
      </c>
      <c r="AH816" s="125">
        <f>IFERROR(VLOOKUP(DATA[[#This Row],[COMBINADA]],#REF!,9,0),0)/COUNTIFS(DATA[COMBINADA],DATA[[#This Row],[COMBINADA]])</f>
        <v>0</v>
      </c>
      <c r="AI816" s="136">
        <f>IFERROR(VLOOKUP(DATA[[#This Row],[COMBINADA]],#REF!,6,0),0)</f>
        <v>0</v>
      </c>
      <c r="AJ816" s="132">
        <f>IFERROR(VLOOKUP(DATA[[#This Row],[COMBINADA]],#REF!,9,0),0)/COUNTIFS(DATA[COMBINADA],DATA[[#This Row],[COMBINADA]])</f>
        <v>0</v>
      </c>
      <c r="AK816" s="407">
        <f>IFERROR(VLOOKUP(DATA[[#This Row],[COMBINADA]],#REF!,6,0),0)</f>
        <v>0</v>
      </c>
      <c r="AL816" s="125">
        <f>IFERROR(VLOOKUP(DATA[[#This Row],[COMBINADA]],#REF!,9,0),0)/COUNTIFS(DATA[COMBINADA],DATA[[#This Row],[COMBINADA]])</f>
        <v>0</v>
      </c>
      <c r="AM816" s="27">
        <f>IFERROR(VLOOKUP(DATA[[#This Row],[COMBINADA]],#REF!,6,0),0)</f>
        <v>0</v>
      </c>
      <c r="AN816" s="125">
        <f>IFERROR(VLOOKUP(DATA[[#This Row],[COMBINADA]],#REF!,9,0),0)/COUNTIFS(DATA[COMBINADA],DATA[[#This Row],[COMBINADA]])</f>
        <v>0</v>
      </c>
      <c r="AO816" s="27">
        <f>IFERROR(VLOOKUP(DATA[[#This Row],[COMBINADA]],#REF!,6,0),0)</f>
        <v>0</v>
      </c>
      <c r="AP816" s="132">
        <f>IFERROR(VLOOKUP(DATA[[#This Row],[COMBINADA]],#REF!,9,0),0)/COUNTIFS(DATA[COMBINADA],DATA[[#This Row],[COMBINADA]])</f>
        <v>0</v>
      </c>
      <c r="AQ81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1532.7766666666666</v>
      </c>
      <c r="AR816" s="26" t="str">
        <f>IFERROR(IF(DATA[[#This Row],[estado_fact]]="FACTURADO",VLOOKUP(DATA[[#This Row],[SERIE2]]&amp;"-"&amp;DATA[[#This Row],[NUMERO]],#REF!,34,0),"NO CORRESPONDE"),"NO CORRESPONDE")</f>
        <v>NO CORRESPONDE</v>
      </c>
      <c r="AS816" s="22" t="str">
        <f>IF(DATA[[#This Row],[fecha_fs]]&gt;0,TEXT(DATA[[#This Row],[fecha_fs]],"Mmmm"),0)</f>
        <v>Junio</v>
      </c>
      <c r="AT816" s="22" t="str">
        <f>DATA[[#This Row],[SERIE2]]&amp;"-"&amp;DATA[[#This Row],[NUMERO]]</f>
        <v>FF01-237</v>
      </c>
      <c r="AU816" s="28">
        <f>DATA[[#This Row],[TOTAL]]*DATA[[#This Row],[T.C.]]</f>
        <v>1280.24</v>
      </c>
      <c r="AV816" s="6">
        <f>DATA[[#This Row],[FECHA DE VAL.]]</f>
        <v>45838</v>
      </c>
      <c r="AW816" s="6">
        <f>DATA[[#This Row],[FECHA DE EMISION]]</f>
        <v>45903</v>
      </c>
      <c r="AX816" s="6">
        <f>DATA[[#This Row],[F1]]</f>
        <v>0</v>
      </c>
      <c r="AY816" s="20">
        <f>IF(AV816-DATA[[#This Row],[fecha_fs]]&lt;0,0,AV816-DATA[[#This Row],[fecha_fs]])</f>
        <v>10</v>
      </c>
      <c r="AZ816" s="20">
        <f t="shared" si="82"/>
        <v>65</v>
      </c>
      <c r="BA816" s="20">
        <f t="shared" si="83"/>
        <v>0</v>
      </c>
      <c r="BB816" s="195">
        <f>IFERROR(SUM(DATA[[#This Row],[fs_val_ttf]:[fact_pago_ttf]]),0)</f>
        <v>75</v>
      </c>
      <c r="BC816" s="185">
        <v>45839</v>
      </c>
      <c r="BD816" s="185">
        <v>45845</v>
      </c>
      <c r="BE816" s="185">
        <v>45849</v>
      </c>
      <c r="BF816" s="185">
        <v>45862</v>
      </c>
      <c r="BG816" s="20">
        <f>IFERROR(IF(BC816-DATA[[#This Row],[fecha_fs]]&lt;0,0,BC816-DATA[[#This Row],[fecha_fs]]),0)</f>
        <v>11</v>
      </c>
      <c r="BH816" s="20">
        <f t="shared" si="84"/>
        <v>6</v>
      </c>
      <c r="BI816" s="20">
        <f t="shared" si="85"/>
        <v>4</v>
      </c>
      <c r="BJ816" s="20">
        <f t="shared" si="86"/>
        <v>13</v>
      </c>
      <c r="BK816" s="218">
        <f>IFERROR(SUM(DATA[[#This Row],[fs_fd_ttd]:[fend_fenf_ttd]]),0)</f>
        <v>34</v>
      </c>
      <c r="BL816" s="20" t="str">
        <f>IF(DATA[[#This Row],[fecha_fs]]&gt;0,TEXT(DATA[[#This Row],[fecha_fs]],"YYYY"),0)</f>
        <v>2025</v>
      </c>
      <c r="BM816" s="221" t="b">
        <v>1</v>
      </c>
      <c r="BN816" s="278">
        <f>COUNTIF(DATA[[#This Row],[tiempo_td]], "&lt;=15")</f>
        <v>0</v>
      </c>
      <c r="BO816" s="222"/>
    </row>
    <row r="817" spans="1:67" ht="30.6" customHeight="1" x14ac:dyDescent="0.25">
      <c r="A817" s="4">
        <v>20462509236</v>
      </c>
      <c r="B817" s="5" t="s">
        <v>81</v>
      </c>
      <c r="C817" s="52" t="s">
        <v>328</v>
      </c>
      <c r="D817" s="4" t="s">
        <v>112</v>
      </c>
      <c r="E817" s="5" t="s">
        <v>1</v>
      </c>
      <c r="F817" s="24">
        <v>45828</v>
      </c>
      <c r="G817" s="7" t="s">
        <v>113</v>
      </c>
      <c r="H817" s="25">
        <f t="shared" si="81"/>
        <v>1</v>
      </c>
      <c r="I817" s="67">
        <v>4655</v>
      </c>
      <c r="J817" s="8" t="s">
        <v>115</v>
      </c>
      <c r="K817" s="9" t="s">
        <v>116</v>
      </c>
      <c r="L817" s="10" t="s">
        <v>117</v>
      </c>
      <c r="M817" s="11">
        <v>180</v>
      </c>
      <c r="N817" s="12" t="s">
        <v>167</v>
      </c>
      <c r="O817" s="6">
        <v>45838</v>
      </c>
      <c r="P817" s="13">
        <v>3531</v>
      </c>
      <c r="Q817" s="14" t="s">
        <v>85</v>
      </c>
      <c r="R817" s="15">
        <f>970/2</f>
        <v>485</v>
      </c>
      <c r="S817" s="56">
        <f>1199.9/2</f>
        <v>599.95000000000005</v>
      </c>
      <c r="T817" s="15">
        <f>DATA[[#This Row],[C. DF]]+DATA[[#This Row],[C.OPE.]]</f>
        <v>1084.95</v>
      </c>
      <c r="U817" s="15">
        <f>DATA[[#This Row],[SUB TOTAL]]*0.18</f>
        <v>195.291</v>
      </c>
      <c r="V817" s="15">
        <f>IFERROR(ROUND(DATA[[#This Row],[SUB TOTAL]]+DATA[[#This Row],[IGV]],2),0)</f>
        <v>1280.24</v>
      </c>
      <c r="W817" s="16" t="str">
        <f>IF(DATA[[#This Row],[VALORIZACIÓN ]]="-","NO CORRESPONDE",IF(OR(A817=20558226979,A817=10470707866,A817=20111157058,A817=20100226902),"NO CORRESPONDE",IF(J817="Emitida",IF(P817&gt;0,"EMITIDA","PENDIENTE"),"NO CORRESPONDE")))</f>
        <v>EMITIDA</v>
      </c>
      <c r="X817" s="29"/>
      <c r="Y817" s="17" t="s">
        <v>118</v>
      </c>
      <c r="Z817" s="30">
        <v>45903</v>
      </c>
      <c r="AA817" s="10" t="s">
        <v>150</v>
      </c>
      <c r="AB817" s="19">
        <v>237</v>
      </c>
      <c r="AC817" s="20">
        <v>60</v>
      </c>
      <c r="AD817" s="18">
        <f>DATA[[#This Row],[FECHA DE EMISION]]+DATA[[#This Row],[CONDICION DE PAGO]]</f>
        <v>45963</v>
      </c>
      <c r="AE817" s="23">
        <f>IF(DATA[[#This Row],[MONEDA]]="USD",VLOOKUP(DATA[[#This Row],[COMBINADA]],#REF!,11,0),1)</f>
        <v>1</v>
      </c>
      <c r="AF817" s="129" t="str">
        <f>IF(DATA[[#This Row],[SERIE2]]="-","NO CORRESPONDE",IF(W817="NO CORRESPONDE","NO CORRESPONDE",IF(Z817&gt;0,"FACTURADO","PENDIENTE")))</f>
        <v>FACTURADO</v>
      </c>
      <c r="AG817" s="133">
        <f>IFERROR(VLOOKUP(DATA[[#This Row],[COMBINADA]],#REF!,6,0),0)</f>
        <v>0</v>
      </c>
      <c r="AH817" s="125">
        <f>IFERROR(VLOOKUP(DATA[[#This Row],[COMBINADA]],#REF!,9,0),0)/COUNTIFS(DATA[COMBINADA],DATA[[#This Row],[COMBINADA]])</f>
        <v>0</v>
      </c>
      <c r="AI817" s="136">
        <f>IFERROR(VLOOKUP(DATA[[#This Row],[COMBINADA]],#REF!,6,0),0)</f>
        <v>0</v>
      </c>
      <c r="AJ817" s="132">
        <f>IFERROR(VLOOKUP(DATA[[#This Row],[COMBINADA]],#REF!,9,0),0)/COUNTIFS(DATA[COMBINADA],DATA[[#This Row],[COMBINADA]])</f>
        <v>0</v>
      </c>
      <c r="AK817" s="407">
        <f>IFERROR(VLOOKUP(DATA[[#This Row],[COMBINADA]],#REF!,6,0),0)</f>
        <v>0</v>
      </c>
      <c r="AL817" s="125">
        <f>IFERROR(VLOOKUP(DATA[[#This Row],[COMBINADA]],#REF!,9,0),0)/COUNTIFS(DATA[COMBINADA],DATA[[#This Row],[COMBINADA]])</f>
        <v>0</v>
      </c>
      <c r="AM817" s="27">
        <f>IFERROR(VLOOKUP(DATA[[#This Row],[COMBINADA]],#REF!,6,0),0)</f>
        <v>0</v>
      </c>
      <c r="AN817" s="125">
        <f>IFERROR(VLOOKUP(DATA[[#This Row],[COMBINADA]],#REF!,9,0),0)/COUNTIFS(DATA[COMBINADA],DATA[[#This Row],[COMBINADA]])</f>
        <v>0</v>
      </c>
      <c r="AO817" s="27">
        <f>IFERROR(VLOOKUP(DATA[[#This Row],[COMBINADA]],#REF!,6,0),0)</f>
        <v>0</v>
      </c>
      <c r="AP817" s="132">
        <f>IFERROR(VLOOKUP(DATA[[#This Row],[COMBINADA]],#REF!,9,0),0)/COUNTIFS(DATA[COMBINADA],DATA[[#This Row],[COMBINADA]])</f>
        <v>0</v>
      </c>
      <c r="AQ81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1532.7766666666666</v>
      </c>
      <c r="AR817" s="26" t="str">
        <f>IFERROR(IF(DATA[[#This Row],[estado_fact]]="FACTURADO",VLOOKUP(DATA[[#This Row],[SERIE2]]&amp;"-"&amp;DATA[[#This Row],[NUMERO]],#REF!,34,0),"NO CORRESPONDE"),"NO CORRESPONDE")</f>
        <v>NO CORRESPONDE</v>
      </c>
      <c r="AS817" s="22" t="str">
        <f>IF(DATA[[#This Row],[fecha_fs]]&gt;0,TEXT(DATA[[#This Row],[fecha_fs]],"Mmmm"),0)</f>
        <v>Junio</v>
      </c>
      <c r="AT817" s="22" t="str">
        <f>DATA[[#This Row],[SERIE2]]&amp;"-"&amp;DATA[[#This Row],[NUMERO]]</f>
        <v>FF01-237</v>
      </c>
      <c r="AU817" s="28">
        <f>DATA[[#This Row],[TOTAL]]*DATA[[#This Row],[T.C.]]</f>
        <v>1280.24</v>
      </c>
      <c r="AV817" s="6">
        <f>DATA[[#This Row],[FECHA DE VAL.]]</f>
        <v>45838</v>
      </c>
      <c r="AW817" s="6">
        <f>DATA[[#This Row],[FECHA DE EMISION]]</f>
        <v>45903</v>
      </c>
      <c r="AX817" s="6">
        <f>DATA[[#This Row],[F1]]</f>
        <v>0</v>
      </c>
      <c r="AY817" s="20">
        <f>IF(AV817-DATA[[#This Row],[fecha_fs]]&lt;0,0,AV817-DATA[[#This Row],[fecha_fs]])</f>
        <v>10</v>
      </c>
      <c r="AZ817" s="20">
        <f t="shared" si="82"/>
        <v>65</v>
      </c>
      <c r="BA817" s="20">
        <f t="shared" si="83"/>
        <v>0</v>
      </c>
      <c r="BB817" s="195">
        <f>IFERROR(SUM(DATA[[#This Row],[fs_val_ttf]:[fact_pago_ttf]]),0)</f>
        <v>75</v>
      </c>
      <c r="BC817" s="185">
        <v>45840</v>
      </c>
      <c r="BD817" s="185">
        <v>45849</v>
      </c>
      <c r="BE817" s="185">
        <v>45849</v>
      </c>
      <c r="BF817" s="185">
        <v>45862</v>
      </c>
      <c r="BG817" s="20">
        <f>IFERROR(IF(BC817-DATA[[#This Row],[fecha_fs]]&lt;0,0,BC817-DATA[[#This Row],[fecha_fs]]),0)</f>
        <v>12</v>
      </c>
      <c r="BH817" s="20">
        <f t="shared" si="84"/>
        <v>9</v>
      </c>
      <c r="BI817" s="20">
        <f t="shared" si="85"/>
        <v>0</v>
      </c>
      <c r="BJ817" s="20">
        <f t="shared" si="86"/>
        <v>13</v>
      </c>
      <c r="BK817" s="218">
        <f>IFERROR(SUM(DATA[[#This Row],[fs_fd_ttd]:[fend_fenf_ttd]]),0)</f>
        <v>34</v>
      </c>
      <c r="BL817" s="20" t="str">
        <f>IF(DATA[[#This Row],[fecha_fs]]&gt;0,TEXT(DATA[[#This Row],[fecha_fs]],"YYYY"),0)</f>
        <v>2025</v>
      </c>
      <c r="BM817" s="221" t="b">
        <v>1</v>
      </c>
      <c r="BN817" s="278">
        <f>COUNTIF(DATA[[#This Row],[tiempo_td]], "&lt;=15")</f>
        <v>0</v>
      </c>
      <c r="BO817" s="222"/>
    </row>
    <row r="818" spans="1:67" ht="30" customHeight="1" x14ac:dyDescent="0.25">
      <c r="A818" s="4"/>
      <c r="B818" s="5" t="s">
        <v>0</v>
      </c>
      <c r="C818" s="52"/>
      <c r="D818" s="4"/>
      <c r="E818" s="5" t="s">
        <v>0</v>
      </c>
      <c r="F818" s="24">
        <v>45828</v>
      </c>
      <c r="G818" s="7" t="s">
        <v>113</v>
      </c>
      <c r="H818" s="25">
        <f t="shared" si="81"/>
        <v>1</v>
      </c>
      <c r="I818" s="67">
        <v>4656</v>
      </c>
      <c r="J818" s="8" t="s">
        <v>151</v>
      </c>
      <c r="K818" s="9"/>
      <c r="L818" s="10"/>
      <c r="M818" s="111"/>
      <c r="N818" s="112"/>
      <c r="O818" s="6"/>
      <c r="P818" s="13"/>
      <c r="Q818" s="14"/>
      <c r="R818" s="15"/>
      <c r="S818" s="56"/>
      <c r="T818" s="15">
        <f>DATA[[#This Row],[C. DF]]+DATA[[#This Row],[C.OPE.]]</f>
        <v>0</v>
      </c>
      <c r="U818" s="73">
        <f>DATA[[#This Row],[SUB TOTAL]]*0.18</f>
        <v>0</v>
      </c>
      <c r="V818" s="45">
        <f>IFERROR(ROUND(DATA[[#This Row],[SUB TOTAL]]+DATA[[#This Row],[IGV]],2),0)</f>
        <v>0</v>
      </c>
      <c r="W818" s="73" t="str">
        <f>IF(DATA[[#This Row],[VALORIZACIÓN ]]="-","NO CORRESPONDE",IF(OR(A818=20558226979,A818=10470707866,A818=20111157058,A818=20100226902),"NO CORRESPONDE",IF(J818="Emitida",IF(P818&gt;0,"EMITIDA","PENDIENTE"),"NO CORRESPONDE")))</f>
        <v>NO CORRESPONDE</v>
      </c>
      <c r="X818" s="46"/>
      <c r="Y818" s="17" t="s">
        <v>128</v>
      </c>
      <c r="Z818" s="48"/>
      <c r="AA818" s="49"/>
      <c r="AB818" s="50"/>
      <c r="AC818" s="51"/>
      <c r="AD818" s="59">
        <f>DATA[[#This Row],[FECHA DE EMISION]]+DATA[[#This Row],[CONDICION DE PAGO]]</f>
        <v>0</v>
      </c>
      <c r="AE818" s="23">
        <f>IF(DATA[[#This Row],[MONEDA]]="USD",VLOOKUP(DATA[[#This Row],[COMBINADA]],#REF!,11,0),1)</f>
        <v>1</v>
      </c>
      <c r="AF818" s="129" t="str">
        <f>IF(DATA[[#This Row],[SERIE2]]="-","NO CORRESPONDE",IF(W818="NO CORRESPONDE","NO CORRESPONDE",IF(Z818&gt;0,"FACTURADO","PENDIENTE")))</f>
        <v>NO CORRESPONDE</v>
      </c>
      <c r="AG818" s="140">
        <f>IFERROR(VLOOKUP(DATA[[#This Row],[COMBINADA]],#REF!,6,0),0)</f>
        <v>0</v>
      </c>
      <c r="AH818" s="126">
        <f>IFERROR(VLOOKUP(DATA[[#This Row],[COMBINADA]],#REF!,9,0),0)/COUNTIFS(DATA[COMBINADA],DATA[[#This Row],[COMBINADA]])</f>
        <v>0</v>
      </c>
      <c r="AI818" s="140">
        <f>IFERROR(VLOOKUP(DATA[[#This Row],[COMBINADA]],#REF!,6,0),0)</f>
        <v>0</v>
      </c>
      <c r="AJ818" s="126">
        <f>IFERROR(VLOOKUP(DATA[[#This Row],[COMBINADA]],#REF!,9,0),0)/COUNTIFS(DATA[COMBINADA],DATA[[#This Row],[COMBINADA]])</f>
        <v>0</v>
      </c>
      <c r="AK818" s="61">
        <f>IFERROR(VLOOKUP(DATA[[#This Row],[COMBINADA]],#REF!,6,0),0)</f>
        <v>0</v>
      </c>
      <c r="AL818" s="126">
        <f>IFERROR(VLOOKUP(DATA[[#This Row],[COMBINADA]],#REF!,9,0),0)/COUNTIFS(DATA[COMBINADA],DATA[[#This Row],[COMBINADA]])</f>
        <v>0</v>
      </c>
      <c r="AM818" s="140">
        <f>IFERROR(VLOOKUP(DATA[[#This Row],[COMBINADA]],#REF!,6,0),0)</f>
        <v>0</v>
      </c>
      <c r="AN818" s="62">
        <f>IFERROR(VLOOKUP(DATA[[#This Row],[COMBINADA]],#REF!,9,0),0)/COUNTIFS(DATA[COMBINADA],DATA[[#This Row],[COMBINADA]])</f>
        <v>0</v>
      </c>
      <c r="AO818" s="61">
        <f>IFERROR(VLOOKUP(DATA[[#This Row],[COMBINADA]],#REF!,6,0),0)</f>
        <v>0</v>
      </c>
      <c r="AP818" s="62">
        <f>IFERROR(VLOOKUP(DATA[[#This Row],[COMBINADA]],#REF!,9,0),0)/COUNTIFS(DATA[COMBINADA],DATA[[#This Row],[COMBINADA]])</f>
        <v>0</v>
      </c>
      <c r="AQ818"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818" s="22" t="str">
        <f>IFERROR(IF(DATA[[#This Row],[estado_fact]]="FACTURADO",VLOOKUP(DATA[[#This Row],[SERIE2]]&amp;"-"&amp;DATA[[#This Row],[NUMERO]],#REF!,34,0),"NO CORRESPONDE"),"NO CORRESPONDE")</f>
        <v>NO CORRESPONDE</v>
      </c>
      <c r="AS818" s="198" t="str">
        <f>IF(DATA[[#This Row],[fecha_fs]]&gt;0,TEXT(DATA[[#This Row],[fecha_fs]],"Mmmm"),0)</f>
        <v>Junio</v>
      </c>
      <c r="AT818" s="199" t="str">
        <f>DATA[[#This Row],[SERIE2]]&amp;"-"&amp;DATA[[#This Row],[NUMERO]]</f>
        <v>-</v>
      </c>
      <c r="AU818" s="198">
        <f>DATA[[#This Row],[TOTAL]]*DATA[[#This Row],[T.C.]]</f>
        <v>0</v>
      </c>
      <c r="AV818" s="40">
        <f>DATA[[#This Row],[FECHA DE VAL.]]</f>
        <v>0</v>
      </c>
      <c r="AW818" s="40">
        <f>DATA[[#This Row],[FECHA DE EMISION]]</f>
        <v>0</v>
      </c>
      <c r="AX818" s="40">
        <f>DATA[[#This Row],[F1]]</f>
        <v>0</v>
      </c>
      <c r="AY818" s="49">
        <f>IF(AV818-DATA[[#This Row],[fecha_fs]]&lt;0,0,AV818-DATA[[#This Row],[fecha_fs]])</f>
        <v>0</v>
      </c>
      <c r="AZ818" s="49">
        <f t="shared" si="82"/>
        <v>0</v>
      </c>
      <c r="BA818" s="49">
        <f t="shared" si="83"/>
        <v>0</v>
      </c>
      <c r="BB818" s="195">
        <f>IFERROR(SUM(DATA[[#This Row],[fs_val_ttf]:[fact_pago_ttf]]),0)</f>
        <v>0</v>
      </c>
      <c r="BC818" s="47"/>
      <c r="BD818" s="47"/>
      <c r="BE818" s="47"/>
      <c r="BF818" s="10"/>
      <c r="BG818" s="49">
        <f>IFERROR(IF(BC818-DATA[[#This Row],[fecha_fs]]&lt;0,0,BC818-DATA[[#This Row],[fecha_fs]]),0)</f>
        <v>0</v>
      </c>
      <c r="BH818" s="49">
        <f t="shared" si="84"/>
        <v>0</v>
      </c>
      <c r="BI818" s="49">
        <f t="shared" si="85"/>
        <v>0</v>
      </c>
      <c r="BJ818" s="49">
        <f t="shared" si="86"/>
        <v>0</v>
      </c>
      <c r="BK818" s="218">
        <f>IFERROR(SUM(DATA[[#This Row],[fs_fd_ttd]:[fend_fenf_ttd]]),0)</f>
        <v>0</v>
      </c>
      <c r="BL818" s="20" t="str">
        <f>IF(DATA[[#This Row],[fecha_fs]]&gt;0,TEXT(DATA[[#This Row],[fecha_fs]],"YYYY"),0)</f>
        <v>2025</v>
      </c>
      <c r="BM818" s="221" t="b">
        <v>0</v>
      </c>
      <c r="BN818" s="278"/>
      <c r="BO818" s="222"/>
    </row>
    <row r="819" spans="1:67" ht="30.6" customHeight="1" x14ac:dyDescent="0.25">
      <c r="A819" s="4">
        <v>20462509236</v>
      </c>
      <c r="B819" s="5" t="s">
        <v>81</v>
      </c>
      <c r="C819" s="52" t="s">
        <v>263</v>
      </c>
      <c r="D819" s="4" t="s">
        <v>112</v>
      </c>
      <c r="E819" s="5" t="s">
        <v>1</v>
      </c>
      <c r="F819" s="24">
        <v>45828</v>
      </c>
      <c r="G819" s="7" t="s">
        <v>113</v>
      </c>
      <c r="H819" s="25">
        <f t="shared" si="81"/>
        <v>1</v>
      </c>
      <c r="I819" s="67">
        <v>4657</v>
      </c>
      <c r="J819" s="8" t="s">
        <v>115</v>
      </c>
      <c r="K819" s="9" t="s">
        <v>116</v>
      </c>
      <c r="L819" s="10" t="s">
        <v>117</v>
      </c>
      <c r="M819" s="11">
        <v>210</v>
      </c>
      <c r="N819" s="12" t="s">
        <v>132</v>
      </c>
      <c r="O819" s="6">
        <v>45838</v>
      </c>
      <c r="P819" s="13">
        <v>3532</v>
      </c>
      <c r="Q819" s="14" t="s">
        <v>85</v>
      </c>
      <c r="R819" s="56">
        <v>970</v>
      </c>
      <c r="S819" s="56">
        <v>1199.9000000000001</v>
      </c>
      <c r="T819" s="15">
        <f>DATA[[#This Row],[C. DF]]+DATA[[#This Row],[C.OPE.]]</f>
        <v>2169.9</v>
      </c>
      <c r="U819" s="15">
        <f>DATA[[#This Row],[SUB TOTAL]]*0.18</f>
        <v>390.58199999999999</v>
      </c>
      <c r="V819" s="15">
        <f>IFERROR(ROUND(DATA[[#This Row],[SUB TOTAL]]+DATA[[#This Row],[IGV]],2),0)</f>
        <v>2560.48</v>
      </c>
      <c r="W819" s="16" t="str">
        <f>IF(DATA[[#This Row],[VALORIZACIÓN ]]="-","NO CORRESPONDE",IF(OR(A819=20558226979,A819=10470707866,A819=20111157058,A819=20100226902),"NO CORRESPONDE",IF(J819="Emitida",IF(P819&gt;0,"EMITIDA","PENDIENTE"),"NO CORRESPONDE")))</f>
        <v>EMITIDA</v>
      </c>
      <c r="X819" s="29"/>
      <c r="Y819" s="17" t="s">
        <v>118</v>
      </c>
      <c r="Z819" s="30">
        <v>45903</v>
      </c>
      <c r="AA819" s="10" t="s">
        <v>150</v>
      </c>
      <c r="AB819" s="19">
        <v>236</v>
      </c>
      <c r="AC819" s="20">
        <v>60</v>
      </c>
      <c r="AD819" s="18">
        <f>DATA[[#This Row],[FECHA DE EMISION]]+DATA[[#This Row],[CONDICION DE PAGO]]</f>
        <v>45963</v>
      </c>
      <c r="AE819" s="23">
        <f>IF(DATA[[#This Row],[MONEDA]]="USD",VLOOKUP(DATA[[#This Row],[COMBINADA]],#REF!,11,0),1)</f>
        <v>1</v>
      </c>
      <c r="AF819" s="129" t="str">
        <f>IF(DATA[[#This Row],[SERIE2]]="-","NO CORRESPONDE",IF(W819="NO CORRESPONDE","NO CORRESPONDE",IF(Z819&gt;0,"FACTURADO","PENDIENTE")))</f>
        <v>FACTURADO</v>
      </c>
      <c r="AG819" s="133">
        <f>IFERROR(VLOOKUP(DATA[[#This Row],[COMBINADA]],#REF!,6,0),0)</f>
        <v>0</v>
      </c>
      <c r="AH819" s="125">
        <f>IFERROR(VLOOKUP(DATA[[#This Row],[COMBINADA]],#REF!,9,0),0)/COUNTIFS(DATA[COMBINADA],DATA[[#This Row],[COMBINADA]])</f>
        <v>0</v>
      </c>
      <c r="AI819" s="136">
        <f>IFERROR(VLOOKUP(DATA[[#This Row],[COMBINADA]],#REF!,6,0),0)</f>
        <v>0</v>
      </c>
      <c r="AJ819" s="132">
        <f>IFERROR(VLOOKUP(DATA[[#This Row],[COMBINADA]],#REF!,9,0),0)/COUNTIFS(DATA[COMBINADA],DATA[[#This Row],[COMBINADA]])</f>
        <v>0</v>
      </c>
      <c r="AK819" s="407">
        <f>IFERROR(VLOOKUP(DATA[[#This Row],[COMBINADA]],#REF!,6,0),0)</f>
        <v>0</v>
      </c>
      <c r="AL819" s="125">
        <f>IFERROR(VLOOKUP(DATA[[#This Row],[COMBINADA]],#REF!,9,0),0)/COUNTIFS(DATA[COMBINADA],DATA[[#This Row],[COMBINADA]])</f>
        <v>0</v>
      </c>
      <c r="AM819" s="27">
        <f>IFERROR(VLOOKUP(DATA[[#This Row],[COMBINADA]],#REF!,6,0),0)</f>
        <v>0</v>
      </c>
      <c r="AN819" s="125">
        <f>IFERROR(VLOOKUP(DATA[[#This Row],[COMBINADA]],#REF!,9,0),0)/COUNTIFS(DATA[COMBINADA],DATA[[#This Row],[COMBINADA]])</f>
        <v>0</v>
      </c>
      <c r="AO819" s="27">
        <f>IFERROR(VLOOKUP(DATA[[#This Row],[COMBINADA]],#REF!,6,0),0)</f>
        <v>0</v>
      </c>
      <c r="AP819" s="132">
        <f>IFERROR(VLOOKUP(DATA[[#This Row],[COMBINADA]],#REF!,9,0),0)/COUNTIFS(DATA[COMBINADA],DATA[[#This Row],[COMBINADA]])</f>
        <v>0</v>
      </c>
      <c r="AQ81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2299.165</v>
      </c>
      <c r="AR819" s="26" t="str">
        <f>IFERROR(IF(DATA[[#This Row],[estado_fact]]="FACTURADO",VLOOKUP(DATA[[#This Row],[SERIE2]]&amp;"-"&amp;DATA[[#This Row],[NUMERO]],#REF!,34,0),"NO CORRESPONDE"),"NO CORRESPONDE")</f>
        <v>NO CORRESPONDE</v>
      </c>
      <c r="AS819" s="22" t="str">
        <f>IF(DATA[[#This Row],[fecha_fs]]&gt;0,TEXT(DATA[[#This Row],[fecha_fs]],"Mmmm"),0)</f>
        <v>Junio</v>
      </c>
      <c r="AT819" s="22" t="str">
        <f>DATA[[#This Row],[SERIE2]]&amp;"-"&amp;DATA[[#This Row],[NUMERO]]</f>
        <v>FF01-236</v>
      </c>
      <c r="AU819" s="28">
        <f>DATA[[#This Row],[TOTAL]]*DATA[[#This Row],[T.C.]]</f>
        <v>2560.48</v>
      </c>
      <c r="AV819" s="6">
        <f>DATA[[#This Row],[FECHA DE VAL.]]</f>
        <v>45838</v>
      </c>
      <c r="AW819" s="6">
        <f>DATA[[#This Row],[FECHA DE EMISION]]</f>
        <v>45903</v>
      </c>
      <c r="AX819" s="6">
        <f>DATA[[#This Row],[F1]]</f>
        <v>0</v>
      </c>
      <c r="AY819" s="20">
        <f>IF(AV819-DATA[[#This Row],[fecha_fs]]&lt;0,0,AV819-DATA[[#This Row],[fecha_fs]])</f>
        <v>10</v>
      </c>
      <c r="AZ819" s="20">
        <f t="shared" si="82"/>
        <v>65</v>
      </c>
      <c r="BA819" s="20">
        <f t="shared" si="83"/>
        <v>0</v>
      </c>
      <c r="BB819" s="195">
        <f>IFERROR(SUM(DATA[[#This Row],[fs_val_ttf]:[fact_pago_ttf]]),0)</f>
        <v>75</v>
      </c>
      <c r="BC819" s="185">
        <v>45840</v>
      </c>
      <c r="BD819" s="185">
        <v>45849</v>
      </c>
      <c r="BE819" s="185">
        <v>45849</v>
      </c>
      <c r="BF819" s="185">
        <v>45862</v>
      </c>
      <c r="BG819" s="20">
        <f>IFERROR(IF(BC819-DATA[[#This Row],[fecha_fs]]&lt;0,0,BC819-DATA[[#This Row],[fecha_fs]]),0)</f>
        <v>12</v>
      </c>
      <c r="BH819" s="20">
        <f t="shared" si="84"/>
        <v>9</v>
      </c>
      <c r="BI819" s="20">
        <f t="shared" si="85"/>
        <v>0</v>
      </c>
      <c r="BJ819" s="20">
        <f t="shared" si="86"/>
        <v>13</v>
      </c>
      <c r="BK819" s="218">
        <f>IFERROR(SUM(DATA[[#This Row],[fs_fd_ttd]:[fend_fenf_ttd]]),0)</f>
        <v>34</v>
      </c>
      <c r="BL819" s="20" t="str">
        <f>IF(DATA[[#This Row],[fecha_fs]]&gt;0,TEXT(DATA[[#This Row],[fecha_fs]],"YYYY"),0)</f>
        <v>2025</v>
      </c>
      <c r="BM819" s="221" t="b">
        <v>1</v>
      </c>
      <c r="BN819" s="278">
        <f>COUNTIF(DATA[[#This Row],[tiempo_td]], "&lt;=15")</f>
        <v>0</v>
      </c>
      <c r="BO819" s="222"/>
    </row>
    <row r="820" spans="1:67" ht="30.6" customHeight="1" x14ac:dyDescent="0.25">
      <c r="A820" s="4">
        <v>20462509236</v>
      </c>
      <c r="B820" s="5" t="s">
        <v>81</v>
      </c>
      <c r="C820" s="52" t="s">
        <v>348</v>
      </c>
      <c r="D820" s="4" t="s">
        <v>112</v>
      </c>
      <c r="E820" s="5" t="s">
        <v>1</v>
      </c>
      <c r="F820" s="24">
        <v>45828</v>
      </c>
      <c r="G820" s="7" t="s">
        <v>113</v>
      </c>
      <c r="H820" s="25">
        <f t="shared" si="81"/>
        <v>1</v>
      </c>
      <c r="I820" s="67">
        <v>4658</v>
      </c>
      <c r="J820" s="8" t="s">
        <v>115</v>
      </c>
      <c r="K820" s="9" t="s">
        <v>116</v>
      </c>
      <c r="L820" s="10" t="s">
        <v>117</v>
      </c>
      <c r="M820" s="11">
        <v>60</v>
      </c>
      <c r="N820" s="12" t="s">
        <v>167</v>
      </c>
      <c r="O820" s="6">
        <v>45838</v>
      </c>
      <c r="P820" s="13">
        <v>3538</v>
      </c>
      <c r="Q820" s="14" t="s">
        <v>85</v>
      </c>
      <c r="R820" s="15">
        <v>970</v>
      </c>
      <c r="S820" s="56">
        <v>1199.9000000000001</v>
      </c>
      <c r="T820" s="15">
        <f>DATA[[#This Row],[C. DF]]+DATA[[#This Row],[C.OPE.]]</f>
        <v>2169.9</v>
      </c>
      <c r="U820" s="15">
        <f>DATA[[#This Row],[SUB TOTAL]]*0.18</f>
        <v>390.58199999999999</v>
      </c>
      <c r="V820" s="15">
        <f>IFERROR(ROUND(DATA[[#This Row],[SUB TOTAL]]+DATA[[#This Row],[IGV]],2),0)</f>
        <v>2560.48</v>
      </c>
      <c r="W820" s="16" t="str">
        <f>IF(DATA[[#This Row],[VALORIZACIÓN ]]="-","NO CORRESPONDE",IF(OR(A820=20558226979,A820=10470707866,A820=20111157058,A820=20100226902),"NO CORRESPONDE",IF(J820="Emitida",IF(P820&gt;0,"EMITIDA","PENDIENTE"),"NO CORRESPONDE")))</f>
        <v>EMITIDA</v>
      </c>
      <c r="X820" s="29"/>
      <c r="Y820" s="17" t="s">
        <v>118</v>
      </c>
      <c r="Z820" s="30">
        <v>45912</v>
      </c>
      <c r="AA820" s="10" t="s">
        <v>150</v>
      </c>
      <c r="AB820" s="19">
        <v>251</v>
      </c>
      <c r="AC820" s="20">
        <v>60</v>
      </c>
      <c r="AD820" s="18">
        <f>DATA[[#This Row],[FECHA DE EMISION]]+DATA[[#This Row],[CONDICION DE PAGO]]</f>
        <v>45972</v>
      </c>
      <c r="AE820" s="23">
        <f>IF(DATA[[#This Row],[MONEDA]]="USD",VLOOKUP(DATA[[#This Row],[COMBINADA]],#REF!,11,0),1)</f>
        <v>1</v>
      </c>
      <c r="AF820" s="129" t="str">
        <f>IF(DATA[[#This Row],[SERIE2]]="-","NO CORRESPONDE",IF(W820="NO CORRESPONDE","NO CORRESPONDE",IF(Z820&gt;0,"FACTURADO","PENDIENTE")))</f>
        <v>FACTURADO</v>
      </c>
      <c r="AG820" s="133">
        <f>IFERROR(VLOOKUP(DATA[[#This Row],[COMBINADA]],#REF!,6,0),0)</f>
        <v>0</v>
      </c>
      <c r="AH820" s="125">
        <f>IFERROR(VLOOKUP(DATA[[#This Row],[COMBINADA]],#REF!,9,0),0)/COUNTIFS(DATA[COMBINADA],DATA[[#This Row],[COMBINADA]])</f>
        <v>0</v>
      </c>
      <c r="AI820" s="136">
        <f>IFERROR(VLOOKUP(DATA[[#This Row],[COMBINADA]],#REF!,6,0),0)</f>
        <v>0</v>
      </c>
      <c r="AJ820" s="132">
        <f>IFERROR(VLOOKUP(DATA[[#This Row],[COMBINADA]],#REF!,9,0),0)/COUNTIFS(DATA[COMBINADA],DATA[[#This Row],[COMBINADA]])</f>
        <v>0</v>
      </c>
      <c r="AK820" s="407">
        <f>IFERROR(VLOOKUP(DATA[[#This Row],[COMBINADA]],#REF!,6,0),0)</f>
        <v>0</v>
      </c>
      <c r="AL820" s="125">
        <f>IFERROR(VLOOKUP(DATA[[#This Row],[COMBINADA]],#REF!,9,0),0)/COUNTIFS(DATA[COMBINADA],DATA[[#This Row],[COMBINADA]])</f>
        <v>0</v>
      </c>
      <c r="AM820" s="27">
        <f>IFERROR(VLOOKUP(DATA[[#This Row],[COMBINADA]],#REF!,6,0),0)</f>
        <v>0</v>
      </c>
      <c r="AN820" s="125">
        <f>IFERROR(VLOOKUP(DATA[[#This Row],[COMBINADA]],#REF!,9,0),0)/COUNTIFS(DATA[COMBINADA],DATA[[#This Row],[COMBINADA]])</f>
        <v>0</v>
      </c>
      <c r="AO820" s="27">
        <f>IFERROR(VLOOKUP(DATA[[#This Row],[COMBINADA]],#REF!,6,0),0)</f>
        <v>0</v>
      </c>
      <c r="AP820" s="132">
        <f>IFERROR(VLOOKUP(DATA[[#This Row],[COMBINADA]],#REF!,9,0),0)/COUNTIFS(DATA[COMBINADA],DATA[[#This Row],[COMBINADA]])</f>
        <v>0</v>
      </c>
      <c r="AQ82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2560.48</v>
      </c>
      <c r="AR820" s="26" t="str">
        <f>IFERROR(IF(DATA[[#This Row],[estado_fact]]="FACTURADO",VLOOKUP(DATA[[#This Row],[SERIE2]]&amp;"-"&amp;DATA[[#This Row],[NUMERO]],#REF!,34,0),"NO CORRESPONDE"),"NO CORRESPONDE")</f>
        <v>NO CORRESPONDE</v>
      </c>
      <c r="AS820" s="22" t="str">
        <f>IF(DATA[[#This Row],[fecha_fs]]&gt;0,TEXT(DATA[[#This Row],[fecha_fs]],"Mmmm"),0)</f>
        <v>Junio</v>
      </c>
      <c r="AT820" s="22" t="str">
        <f>DATA[[#This Row],[SERIE2]]&amp;"-"&amp;DATA[[#This Row],[NUMERO]]</f>
        <v>FF01-251</v>
      </c>
      <c r="AU820" s="28">
        <f>DATA[[#This Row],[TOTAL]]*DATA[[#This Row],[T.C.]]</f>
        <v>2560.48</v>
      </c>
      <c r="AV820" s="6">
        <f>DATA[[#This Row],[FECHA DE VAL.]]</f>
        <v>45838</v>
      </c>
      <c r="AW820" s="6">
        <f>DATA[[#This Row],[FECHA DE EMISION]]</f>
        <v>45912</v>
      </c>
      <c r="AX820" s="6">
        <f>DATA[[#This Row],[F1]]</f>
        <v>0</v>
      </c>
      <c r="AY820" s="20">
        <f>IF(AV820-DATA[[#This Row],[fecha_fs]]&lt;0,0,AV820-DATA[[#This Row],[fecha_fs]])</f>
        <v>10</v>
      </c>
      <c r="AZ820" s="20">
        <f t="shared" si="82"/>
        <v>74</v>
      </c>
      <c r="BA820" s="20">
        <f t="shared" si="83"/>
        <v>0</v>
      </c>
      <c r="BB820" s="195">
        <f>IFERROR(SUM(DATA[[#This Row],[fs_val_ttf]:[fact_pago_ttf]]),0)</f>
        <v>84</v>
      </c>
      <c r="BC820" s="185">
        <v>45840</v>
      </c>
      <c r="BD820" s="185">
        <v>45849</v>
      </c>
      <c r="BE820" s="185">
        <v>45849</v>
      </c>
      <c r="BF820" s="185">
        <v>45862</v>
      </c>
      <c r="BG820" s="20">
        <f>IFERROR(IF(BC820-DATA[[#This Row],[fecha_fs]]&lt;0,0,BC820-DATA[[#This Row],[fecha_fs]]),0)</f>
        <v>12</v>
      </c>
      <c r="BH820" s="20">
        <f t="shared" si="84"/>
        <v>9</v>
      </c>
      <c r="BI820" s="20">
        <f t="shared" si="85"/>
        <v>0</v>
      </c>
      <c r="BJ820" s="20">
        <f t="shared" si="86"/>
        <v>13</v>
      </c>
      <c r="BK820" s="218">
        <f>IFERROR(SUM(DATA[[#This Row],[fs_fd_ttd]:[fend_fenf_ttd]]),0)</f>
        <v>34</v>
      </c>
      <c r="BL820" s="20" t="str">
        <f>IF(DATA[[#This Row],[fecha_fs]]&gt;0,TEXT(DATA[[#This Row],[fecha_fs]],"YYYY"),0)</f>
        <v>2025</v>
      </c>
      <c r="BM820" s="221" t="b">
        <v>1</v>
      </c>
      <c r="BN820" s="278">
        <f>COUNTIF(DATA[[#This Row],[tiempo_td]], "&lt;=15")</f>
        <v>0</v>
      </c>
      <c r="BO820" s="222"/>
    </row>
    <row r="821" spans="1:67" ht="30" customHeight="1" x14ac:dyDescent="0.25">
      <c r="A821" s="4">
        <v>20552714378</v>
      </c>
      <c r="B821" s="5" t="s">
        <v>288</v>
      </c>
      <c r="C821" s="52" t="s">
        <v>264</v>
      </c>
      <c r="D821" s="4" t="s">
        <v>120</v>
      </c>
      <c r="E821" s="5" t="s">
        <v>3</v>
      </c>
      <c r="F821" s="24">
        <v>45832</v>
      </c>
      <c r="G821" s="7" t="s">
        <v>113</v>
      </c>
      <c r="H821" s="25">
        <f t="shared" si="81"/>
        <v>1</v>
      </c>
      <c r="I821" s="67">
        <v>4659</v>
      </c>
      <c r="J821" s="8" t="s">
        <v>115</v>
      </c>
      <c r="K821" s="9" t="s">
        <v>121</v>
      </c>
      <c r="L821" s="10" t="s">
        <v>117</v>
      </c>
      <c r="M821" s="111">
        <v>30</v>
      </c>
      <c r="N821" s="12" t="s">
        <v>125</v>
      </c>
      <c r="O821" s="6">
        <v>45838</v>
      </c>
      <c r="P821" s="109">
        <v>3580</v>
      </c>
      <c r="Q821" s="14" t="s">
        <v>85</v>
      </c>
      <c r="R821" s="15">
        <f>80/5</f>
        <v>16</v>
      </c>
      <c r="S821" s="15">
        <v>2112.33</v>
      </c>
      <c r="T821" s="15">
        <f>DATA[[#This Row],[C. DF]]+DATA[[#This Row],[C.OPE.]]</f>
        <v>2128.33</v>
      </c>
      <c r="U821" s="15">
        <f>DATA[[#This Row],[SUB TOTAL]]*0.18</f>
        <v>383.09939999999995</v>
      </c>
      <c r="V821" s="15">
        <f>IFERROR(ROUND(DATA[[#This Row],[SUB TOTAL]]+DATA[[#This Row],[IGV]],2),0)</f>
        <v>2511.4299999999998</v>
      </c>
      <c r="W821" s="73" t="str">
        <f>IF(DATA[[#This Row],[VALORIZACIÓN ]]="-","NO CORRESPONDE",IF(OR(A821=20558226979,A821=10470707866,A821=20111157058,A821=20100226902),"NO CORRESPONDE",IF(J821="Emitida",IF(P821&gt;0,"EMITIDA","PENDIENTE"),"NO CORRESPONDE")))</f>
        <v>EMITIDA</v>
      </c>
      <c r="X821" s="46"/>
      <c r="Y821" s="17" t="s">
        <v>118</v>
      </c>
      <c r="Z821" s="30">
        <v>45905</v>
      </c>
      <c r="AA821" s="10" t="s">
        <v>150</v>
      </c>
      <c r="AB821" s="19">
        <v>242</v>
      </c>
      <c r="AC821" s="20">
        <v>60</v>
      </c>
      <c r="AD821" s="18">
        <f>DATA[[#This Row],[FECHA DE EMISION]]+DATA[[#This Row],[CONDICION DE PAGO]]</f>
        <v>45965</v>
      </c>
      <c r="AE821" s="23">
        <f>IF(DATA[[#This Row],[MONEDA]]="USD",VLOOKUP(DATA[[#This Row],[COMBINADA]],#REF!,11,0),1)</f>
        <v>1</v>
      </c>
      <c r="AF821" s="129" t="str">
        <f>IF(DATA[[#This Row],[SERIE2]]="-","NO CORRESPONDE",IF(W821="NO CORRESPONDE","NO CORRESPONDE",IF(Z821&gt;0,"FACTURADO","PENDIENTE")))</f>
        <v>FACTURADO</v>
      </c>
      <c r="AG821" s="140">
        <f>IFERROR(VLOOKUP(DATA[[#This Row],[COMBINADA]],#REF!,6,0),0)</f>
        <v>0</v>
      </c>
      <c r="AH821" s="126">
        <f>IFERROR(VLOOKUP(DATA[[#This Row],[COMBINADA]],#REF!,9,0),0)/COUNTIFS(DATA[COMBINADA],DATA[[#This Row],[COMBINADA]])</f>
        <v>0</v>
      </c>
      <c r="AI821" s="140">
        <f>IFERROR(VLOOKUP(DATA[[#This Row],[COMBINADA]],#REF!,6,0),0)</f>
        <v>0</v>
      </c>
      <c r="AJ821" s="126">
        <f>IFERROR(VLOOKUP(DATA[[#This Row],[COMBINADA]],#REF!,9,0),0)/COUNTIFS(DATA[COMBINADA],DATA[[#This Row],[COMBINADA]])</f>
        <v>0</v>
      </c>
      <c r="AK821" s="61">
        <f>IFERROR(VLOOKUP(DATA[[#This Row],[COMBINADA]],#REF!,6,0),0)</f>
        <v>0</v>
      </c>
      <c r="AL821" s="126">
        <f>IFERROR(VLOOKUP(DATA[[#This Row],[COMBINADA]],#REF!,9,0),0)/COUNTIFS(DATA[COMBINADA],DATA[[#This Row],[COMBINADA]])</f>
        <v>0</v>
      </c>
      <c r="AM821" s="140">
        <f>IFERROR(VLOOKUP(DATA[[#This Row],[COMBINADA]],#REF!,6,0),0)</f>
        <v>0</v>
      </c>
      <c r="AN821" s="62">
        <f>IFERROR(VLOOKUP(DATA[[#This Row],[COMBINADA]],#REF!,9,0),0)/COUNTIFS(DATA[COMBINADA],DATA[[#This Row],[COMBINADA]])</f>
        <v>0</v>
      </c>
      <c r="AO821" s="61">
        <f>IFERROR(VLOOKUP(DATA[[#This Row],[COMBINADA]],#REF!,6,0),0)</f>
        <v>0</v>
      </c>
      <c r="AP821" s="62">
        <f>IFERROR(VLOOKUP(DATA[[#This Row],[COMBINADA]],#REF!,9,0),0)/COUNTIFS(DATA[COMBINADA],DATA[[#This Row],[COMBINADA]])</f>
        <v>0</v>
      </c>
      <c r="AQ82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2511.4299999999998</v>
      </c>
      <c r="AR821" s="26" t="str">
        <f>IFERROR(IF(DATA[[#This Row],[estado_fact]]="FACTURADO",VLOOKUP(DATA[[#This Row],[SERIE2]]&amp;"-"&amp;DATA[[#This Row],[NUMERO]],#REF!,34,0),"NO CORRESPONDE"),"NO CORRESPONDE")</f>
        <v>NO CORRESPONDE</v>
      </c>
      <c r="AS821" s="65" t="str">
        <f>IF(DATA[[#This Row],[fecha_fs]]&gt;0,TEXT(DATA[[#This Row],[fecha_fs]],"Mmmm"),0)</f>
        <v>Junio</v>
      </c>
      <c r="AT821" s="22" t="str">
        <f>DATA[[#This Row],[SERIE2]]&amp;"-"&amp;DATA[[#This Row],[NUMERO]]</f>
        <v>FF01-242</v>
      </c>
      <c r="AU821" s="65">
        <f>DATA[[#This Row],[TOTAL]]*DATA[[#This Row],[T.C.]]</f>
        <v>2511.4299999999998</v>
      </c>
      <c r="AV821" s="6">
        <f>DATA[[#This Row],[FECHA DE VAL.]]</f>
        <v>45838</v>
      </c>
      <c r="AW821" s="6">
        <f>DATA[[#This Row],[FECHA DE EMISION]]</f>
        <v>45905</v>
      </c>
      <c r="AX821" s="6">
        <f>DATA[[#This Row],[F1]]</f>
        <v>0</v>
      </c>
      <c r="AY821" s="20">
        <f>IF(AV821-DATA[[#This Row],[fecha_fs]]&lt;0,0,AV821-DATA[[#This Row],[fecha_fs]])</f>
        <v>6</v>
      </c>
      <c r="AZ821" s="20">
        <f t="shared" si="82"/>
        <v>67</v>
      </c>
      <c r="BA821" s="20">
        <f t="shared" si="83"/>
        <v>0</v>
      </c>
      <c r="BB821" s="195">
        <f>IFERROR(SUM(DATA[[#This Row],[fs_val_ttf]:[fact_pago_ttf]]),0)</f>
        <v>73</v>
      </c>
      <c r="BC821" s="185">
        <v>45856</v>
      </c>
      <c r="BD821" s="185">
        <v>45862</v>
      </c>
      <c r="BE821" s="185">
        <v>45863</v>
      </c>
      <c r="BF821" s="185">
        <v>45883</v>
      </c>
      <c r="BG821" s="20">
        <f>IFERROR(IF(BC821-DATA[[#This Row],[fecha_fs]]&lt;0,0,BC821-DATA[[#This Row],[fecha_fs]]),0)</f>
        <v>24</v>
      </c>
      <c r="BH821" s="20">
        <f t="shared" si="84"/>
        <v>6</v>
      </c>
      <c r="BI821" s="20">
        <f t="shared" si="85"/>
        <v>1</v>
      </c>
      <c r="BJ821" s="20">
        <f t="shared" si="86"/>
        <v>20</v>
      </c>
      <c r="BK821" s="218">
        <f>IFERROR(SUM(DATA[[#This Row],[fs_fd_ttd]:[fend_fenf_ttd]]),0)</f>
        <v>51</v>
      </c>
      <c r="BL821" s="20" t="str">
        <f>IF(DATA[[#This Row],[fecha_fs]]&gt;0,TEXT(DATA[[#This Row],[fecha_fs]],"YYYY"),0)</f>
        <v>2025</v>
      </c>
      <c r="BM821" s="221" t="b">
        <v>1</v>
      </c>
      <c r="BN821" s="278">
        <f>COUNTIF(DATA[[#This Row],[tiempo_td]], "&lt;=15")</f>
        <v>0</v>
      </c>
      <c r="BO821" s="222"/>
    </row>
    <row r="822" spans="1:67" ht="30.6" customHeight="1" x14ac:dyDescent="0.25">
      <c r="A822" s="4">
        <v>20552714378</v>
      </c>
      <c r="B822" s="5" t="s">
        <v>288</v>
      </c>
      <c r="C822" s="52" t="s">
        <v>264</v>
      </c>
      <c r="D822" s="4" t="s">
        <v>120</v>
      </c>
      <c r="E822" s="5" t="s">
        <v>3</v>
      </c>
      <c r="F822" s="24">
        <v>45828</v>
      </c>
      <c r="G822" s="7" t="s">
        <v>113</v>
      </c>
      <c r="H822" s="25">
        <f t="shared" si="81"/>
        <v>1</v>
      </c>
      <c r="I822" s="67">
        <v>4660</v>
      </c>
      <c r="J822" s="8" t="s">
        <v>115</v>
      </c>
      <c r="K822" s="9" t="s">
        <v>121</v>
      </c>
      <c r="L822" s="10" t="s">
        <v>117</v>
      </c>
      <c r="M822" s="11">
        <v>100</v>
      </c>
      <c r="N822" s="12" t="s">
        <v>125</v>
      </c>
      <c r="O822" s="6">
        <v>45838</v>
      </c>
      <c r="P822" s="109">
        <v>3580</v>
      </c>
      <c r="Q822" s="14" t="s">
        <v>85</v>
      </c>
      <c r="R822" s="15">
        <f>80/5</f>
        <v>16</v>
      </c>
      <c r="S822" s="15">
        <v>2112.33</v>
      </c>
      <c r="T822" s="15">
        <f>DATA[[#This Row],[C. DF]]+DATA[[#This Row],[C.OPE.]]</f>
        <v>2128.33</v>
      </c>
      <c r="U822" s="15">
        <f>DATA[[#This Row],[SUB TOTAL]]*0.18</f>
        <v>383.09939999999995</v>
      </c>
      <c r="V822" s="15">
        <f>IFERROR(ROUND(DATA[[#This Row],[SUB TOTAL]]+DATA[[#This Row],[IGV]],2),0)</f>
        <v>2511.4299999999998</v>
      </c>
      <c r="W822" s="16" t="str">
        <f>IF(DATA[[#This Row],[VALORIZACIÓN ]]="-","NO CORRESPONDE",IF(OR(A822=20558226979,A822=10470707866,A822=20111157058,A822=20100226902),"NO CORRESPONDE",IF(J822="Emitida",IF(P822&gt;0,"EMITIDA","PENDIENTE"),"NO CORRESPONDE")))</f>
        <v>EMITIDA</v>
      </c>
      <c r="X822" s="29"/>
      <c r="Y822" s="17" t="s">
        <v>118</v>
      </c>
      <c r="Z822" s="30">
        <v>45905</v>
      </c>
      <c r="AA822" s="10" t="s">
        <v>150</v>
      </c>
      <c r="AB822" s="19">
        <v>242</v>
      </c>
      <c r="AC822" s="20">
        <v>60</v>
      </c>
      <c r="AD822" s="18">
        <f>DATA[[#This Row],[FECHA DE EMISION]]+DATA[[#This Row],[CONDICION DE PAGO]]</f>
        <v>45965</v>
      </c>
      <c r="AE822" s="23">
        <f>IF(DATA[[#This Row],[MONEDA]]="USD",VLOOKUP(DATA[[#This Row],[COMBINADA]],#REF!,11,0),1)</f>
        <v>1</v>
      </c>
      <c r="AF822" s="129" t="str">
        <f>IF(DATA[[#This Row],[SERIE2]]="-","NO CORRESPONDE",IF(W822="NO CORRESPONDE","NO CORRESPONDE",IF(Z822&gt;0,"FACTURADO","PENDIENTE")))</f>
        <v>FACTURADO</v>
      </c>
      <c r="AG822" s="133">
        <f>IFERROR(VLOOKUP(DATA[[#This Row],[COMBINADA]],#REF!,6,0),0)</f>
        <v>0</v>
      </c>
      <c r="AH822" s="125">
        <f>IFERROR(VLOOKUP(DATA[[#This Row],[COMBINADA]],#REF!,9,0),0)/COUNTIFS(DATA[COMBINADA],DATA[[#This Row],[COMBINADA]])</f>
        <v>0</v>
      </c>
      <c r="AI822" s="136">
        <f>IFERROR(VLOOKUP(DATA[[#This Row],[COMBINADA]],#REF!,6,0),0)</f>
        <v>0</v>
      </c>
      <c r="AJ822" s="132">
        <f>IFERROR(VLOOKUP(DATA[[#This Row],[COMBINADA]],#REF!,9,0),0)/COUNTIFS(DATA[COMBINADA],DATA[[#This Row],[COMBINADA]])</f>
        <v>0</v>
      </c>
      <c r="AK822" s="407">
        <f>IFERROR(VLOOKUP(DATA[[#This Row],[COMBINADA]],#REF!,6,0),0)</f>
        <v>0</v>
      </c>
      <c r="AL822" s="125">
        <f>IFERROR(VLOOKUP(DATA[[#This Row],[COMBINADA]],#REF!,9,0),0)/COUNTIFS(DATA[COMBINADA],DATA[[#This Row],[COMBINADA]])</f>
        <v>0</v>
      </c>
      <c r="AM822" s="27">
        <f>IFERROR(VLOOKUP(DATA[[#This Row],[COMBINADA]],#REF!,6,0),0)</f>
        <v>0</v>
      </c>
      <c r="AN822" s="125">
        <f>IFERROR(VLOOKUP(DATA[[#This Row],[COMBINADA]],#REF!,9,0),0)/COUNTIFS(DATA[COMBINADA],DATA[[#This Row],[COMBINADA]])</f>
        <v>0</v>
      </c>
      <c r="AO822" s="27">
        <f>IFERROR(VLOOKUP(DATA[[#This Row],[COMBINADA]],#REF!,6,0),0)</f>
        <v>0</v>
      </c>
      <c r="AP822" s="132">
        <f>IFERROR(VLOOKUP(DATA[[#This Row],[COMBINADA]],#REF!,9,0),0)/COUNTIFS(DATA[COMBINADA],DATA[[#This Row],[COMBINADA]])</f>
        <v>0</v>
      </c>
      <c r="AQ82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2511.4299999999998</v>
      </c>
      <c r="AR822" s="26" t="str">
        <f>IFERROR(IF(DATA[[#This Row],[estado_fact]]="FACTURADO",VLOOKUP(DATA[[#This Row],[SERIE2]]&amp;"-"&amp;DATA[[#This Row],[NUMERO]],#REF!,34,0),"NO CORRESPONDE"),"NO CORRESPONDE")</f>
        <v>NO CORRESPONDE</v>
      </c>
      <c r="AS822" s="22" t="str">
        <f>IF(DATA[[#This Row],[fecha_fs]]&gt;0,TEXT(DATA[[#This Row],[fecha_fs]],"Mmmm"),0)</f>
        <v>Junio</v>
      </c>
      <c r="AT822" s="22" t="str">
        <f>DATA[[#This Row],[SERIE2]]&amp;"-"&amp;DATA[[#This Row],[NUMERO]]</f>
        <v>FF01-242</v>
      </c>
      <c r="AU822" s="28">
        <f>DATA[[#This Row],[TOTAL]]*DATA[[#This Row],[T.C.]]</f>
        <v>2511.4299999999998</v>
      </c>
      <c r="AV822" s="6">
        <f>DATA[[#This Row],[FECHA DE VAL.]]</f>
        <v>45838</v>
      </c>
      <c r="AW822" s="6">
        <f>DATA[[#This Row],[FECHA DE EMISION]]</f>
        <v>45905</v>
      </c>
      <c r="AX822" s="6">
        <f>DATA[[#This Row],[F1]]</f>
        <v>0</v>
      </c>
      <c r="AY822" s="20">
        <f>IF(AV822-DATA[[#This Row],[fecha_fs]]&lt;0,0,AV822-DATA[[#This Row],[fecha_fs]])</f>
        <v>10</v>
      </c>
      <c r="AZ822" s="20">
        <f t="shared" si="82"/>
        <v>67</v>
      </c>
      <c r="BA822" s="20">
        <f t="shared" si="83"/>
        <v>0</v>
      </c>
      <c r="BB822" s="195">
        <f>IFERROR(SUM(DATA[[#This Row],[fs_val_ttf]:[fact_pago_ttf]]),0)</f>
        <v>77</v>
      </c>
      <c r="BC822" s="185">
        <v>45856</v>
      </c>
      <c r="BD822" s="185">
        <v>45862</v>
      </c>
      <c r="BE822" s="185">
        <v>45863</v>
      </c>
      <c r="BF822" s="185">
        <v>45883</v>
      </c>
      <c r="BG822" s="20">
        <f>IFERROR(IF(BC822-DATA[[#This Row],[fecha_fs]]&lt;0,0,BC822-DATA[[#This Row],[fecha_fs]]),0)</f>
        <v>28</v>
      </c>
      <c r="BH822" s="20">
        <f t="shared" si="84"/>
        <v>6</v>
      </c>
      <c r="BI822" s="20">
        <f t="shared" si="85"/>
        <v>1</v>
      </c>
      <c r="BJ822" s="20">
        <f t="shared" si="86"/>
        <v>20</v>
      </c>
      <c r="BK822" s="218">
        <f>IFERROR(SUM(DATA[[#This Row],[fs_fd_ttd]:[fend_fenf_ttd]]),0)</f>
        <v>55</v>
      </c>
      <c r="BL822" s="20" t="str">
        <f>IF(DATA[[#This Row],[fecha_fs]]&gt;0,TEXT(DATA[[#This Row],[fecha_fs]],"YYYY"),0)</f>
        <v>2025</v>
      </c>
      <c r="BM822" s="221" t="b">
        <v>1</v>
      </c>
      <c r="BN822" s="278">
        <f>COUNTIF(DATA[[#This Row],[tiempo_td]], "&lt;=15")</f>
        <v>0</v>
      </c>
      <c r="BO822" s="222"/>
    </row>
    <row r="823" spans="1:67" ht="30" customHeight="1" x14ac:dyDescent="0.25">
      <c r="A823" s="4"/>
      <c r="B823" s="5" t="s">
        <v>0</v>
      </c>
      <c r="C823" s="52"/>
      <c r="D823" s="4"/>
      <c r="E823" s="5" t="s">
        <v>0</v>
      </c>
      <c r="F823" s="24">
        <v>45832</v>
      </c>
      <c r="G823" s="7" t="s">
        <v>113</v>
      </c>
      <c r="H823" s="25">
        <f t="shared" si="81"/>
        <v>1</v>
      </c>
      <c r="I823" s="67">
        <v>4661</v>
      </c>
      <c r="J823" s="8" t="s">
        <v>151</v>
      </c>
      <c r="K823" s="9"/>
      <c r="L823" s="10"/>
      <c r="M823" s="111"/>
      <c r="N823" s="112"/>
      <c r="O823" s="6"/>
      <c r="P823" s="13"/>
      <c r="Q823" s="14"/>
      <c r="R823" s="15"/>
      <c r="S823" s="15"/>
      <c r="T823" s="15">
        <f>DATA[[#This Row],[C. DF]]+DATA[[#This Row],[C.OPE.]]</f>
        <v>0</v>
      </c>
      <c r="U823" s="15">
        <f>DATA[[#This Row],[SUB TOTAL]]*0.18</f>
        <v>0</v>
      </c>
      <c r="V823" s="15">
        <f>IFERROR(ROUND(DATA[[#This Row],[SUB TOTAL]]+DATA[[#This Row],[IGV]],2),0)</f>
        <v>0</v>
      </c>
      <c r="W823" s="73" t="str">
        <f>IF(DATA[[#This Row],[VALORIZACIÓN ]]="-","NO CORRESPONDE",IF(OR(A823=20558226979,A823=10470707866,A823=20111157058,A823=20100226902),"NO CORRESPONDE",IF(J823="Emitida",IF(P823&gt;0,"EMITIDA","PENDIENTE"),"NO CORRESPONDE")))</f>
        <v>NO CORRESPONDE</v>
      </c>
      <c r="X823" s="46"/>
      <c r="Y823" s="17" t="s">
        <v>128</v>
      </c>
      <c r="Z823" s="48"/>
      <c r="AA823" s="49"/>
      <c r="AB823" s="50"/>
      <c r="AC823" s="51"/>
      <c r="AD823" s="59">
        <f>DATA[[#This Row],[FECHA DE EMISION]]+DATA[[#This Row],[CONDICION DE PAGO]]</f>
        <v>0</v>
      </c>
      <c r="AE823" s="23">
        <f>IF(DATA[[#This Row],[MONEDA]]="USD",VLOOKUP(DATA[[#This Row],[COMBINADA]],#REF!,11,0),1)</f>
        <v>1</v>
      </c>
      <c r="AF823" s="129" t="str">
        <f>IF(DATA[[#This Row],[SERIE2]]="-","NO CORRESPONDE",IF(W823="NO CORRESPONDE","NO CORRESPONDE",IF(Z823&gt;0,"FACTURADO","PENDIENTE")))</f>
        <v>NO CORRESPONDE</v>
      </c>
      <c r="AG823" s="140">
        <f>IFERROR(VLOOKUP(DATA[[#This Row],[COMBINADA]],#REF!,6,0),0)</f>
        <v>0</v>
      </c>
      <c r="AH823" s="126">
        <f>IFERROR(VLOOKUP(DATA[[#This Row],[COMBINADA]],#REF!,9,0),0)/COUNTIFS(DATA[COMBINADA],DATA[[#This Row],[COMBINADA]])</f>
        <v>0</v>
      </c>
      <c r="AI823" s="140">
        <f>IFERROR(VLOOKUP(DATA[[#This Row],[COMBINADA]],#REF!,6,0),0)</f>
        <v>0</v>
      </c>
      <c r="AJ823" s="126">
        <f>IFERROR(VLOOKUP(DATA[[#This Row],[COMBINADA]],#REF!,9,0),0)/COUNTIFS(DATA[COMBINADA],DATA[[#This Row],[COMBINADA]])</f>
        <v>0</v>
      </c>
      <c r="AK823" s="61">
        <f>IFERROR(VLOOKUP(DATA[[#This Row],[COMBINADA]],#REF!,6,0),0)</f>
        <v>0</v>
      </c>
      <c r="AL823" s="126">
        <f>IFERROR(VLOOKUP(DATA[[#This Row],[COMBINADA]],#REF!,9,0),0)/COUNTIFS(DATA[COMBINADA],DATA[[#This Row],[COMBINADA]])</f>
        <v>0</v>
      </c>
      <c r="AM823" s="140">
        <f>IFERROR(VLOOKUP(DATA[[#This Row],[COMBINADA]],#REF!,6,0),0)</f>
        <v>0</v>
      </c>
      <c r="AN823" s="62">
        <f>IFERROR(VLOOKUP(DATA[[#This Row],[COMBINADA]],#REF!,9,0),0)/COUNTIFS(DATA[COMBINADA],DATA[[#This Row],[COMBINADA]])</f>
        <v>0</v>
      </c>
      <c r="AO823" s="61">
        <f>IFERROR(VLOOKUP(DATA[[#This Row],[COMBINADA]],#REF!,6,0),0)</f>
        <v>0</v>
      </c>
      <c r="AP823" s="62">
        <f>IFERROR(VLOOKUP(DATA[[#This Row],[COMBINADA]],#REF!,9,0),0)/COUNTIFS(DATA[COMBINADA],DATA[[#This Row],[COMBINADA]])</f>
        <v>0</v>
      </c>
      <c r="AQ823"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823" s="22" t="str">
        <f>IFERROR(IF(DATA[[#This Row],[estado_fact]]="FACTURADO",VLOOKUP(DATA[[#This Row],[SERIE2]]&amp;"-"&amp;DATA[[#This Row],[NUMERO]],#REF!,34,0),"NO CORRESPONDE"),"NO CORRESPONDE")</f>
        <v>NO CORRESPONDE</v>
      </c>
      <c r="AS823" s="198" t="str">
        <f>IF(DATA[[#This Row],[fecha_fs]]&gt;0,TEXT(DATA[[#This Row],[fecha_fs]],"Mmmm"),0)</f>
        <v>Junio</v>
      </c>
      <c r="AT823" s="199" t="str">
        <f>DATA[[#This Row],[SERIE2]]&amp;"-"&amp;DATA[[#This Row],[NUMERO]]</f>
        <v>-</v>
      </c>
      <c r="AU823" s="198">
        <f>DATA[[#This Row],[TOTAL]]*DATA[[#This Row],[T.C.]]</f>
        <v>0</v>
      </c>
      <c r="AV823" s="40">
        <f>DATA[[#This Row],[FECHA DE VAL.]]</f>
        <v>0</v>
      </c>
      <c r="AW823" s="40">
        <f>DATA[[#This Row],[FECHA DE EMISION]]</f>
        <v>0</v>
      </c>
      <c r="AX823" s="40">
        <f>DATA[[#This Row],[F1]]</f>
        <v>0</v>
      </c>
      <c r="AY823" s="49">
        <f>IF(AV823-DATA[[#This Row],[fecha_fs]]&lt;0,0,AV823-DATA[[#This Row],[fecha_fs]])</f>
        <v>0</v>
      </c>
      <c r="AZ823" s="49">
        <f t="shared" si="82"/>
        <v>0</v>
      </c>
      <c r="BA823" s="49">
        <f t="shared" si="83"/>
        <v>0</v>
      </c>
      <c r="BB823" s="195">
        <f>IFERROR(SUM(DATA[[#This Row],[fs_val_ttf]:[fact_pago_ttf]]),0)</f>
        <v>0</v>
      </c>
      <c r="BC823" s="47"/>
      <c r="BD823" s="47"/>
      <c r="BE823" s="47"/>
      <c r="BF823" s="10"/>
      <c r="BG823" s="49">
        <f>IFERROR(IF(BC823-DATA[[#This Row],[fecha_fs]]&lt;0,0,BC823-DATA[[#This Row],[fecha_fs]]),0)</f>
        <v>0</v>
      </c>
      <c r="BH823" s="49">
        <f t="shared" si="84"/>
        <v>0</v>
      </c>
      <c r="BI823" s="49">
        <f t="shared" si="85"/>
        <v>0</v>
      </c>
      <c r="BJ823" s="49">
        <f t="shared" si="86"/>
        <v>0</v>
      </c>
      <c r="BK823" s="218">
        <f>IFERROR(SUM(DATA[[#This Row],[fs_fd_ttd]:[fend_fenf_ttd]]),0)</f>
        <v>0</v>
      </c>
      <c r="BL823" s="20" t="str">
        <f>IF(DATA[[#This Row],[fecha_fs]]&gt;0,TEXT(DATA[[#This Row],[fecha_fs]],"YYYY"),0)</f>
        <v>2025</v>
      </c>
      <c r="BM823" s="221" t="b">
        <v>0</v>
      </c>
      <c r="BN823" s="278"/>
      <c r="BO823" s="222"/>
    </row>
    <row r="824" spans="1:67" ht="30" customHeight="1" x14ac:dyDescent="0.25">
      <c r="A824" s="4">
        <v>20552714378</v>
      </c>
      <c r="B824" s="5" t="s">
        <v>288</v>
      </c>
      <c r="C824" s="52" t="s">
        <v>264</v>
      </c>
      <c r="D824" s="4" t="s">
        <v>112</v>
      </c>
      <c r="E824" s="5" t="s">
        <v>1</v>
      </c>
      <c r="F824" s="24">
        <v>45832</v>
      </c>
      <c r="G824" s="7" t="s">
        <v>113</v>
      </c>
      <c r="H824" s="25">
        <f t="shared" si="81"/>
        <v>1</v>
      </c>
      <c r="I824" s="67">
        <v>4662</v>
      </c>
      <c r="J824" s="8" t="s">
        <v>115</v>
      </c>
      <c r="K824" s="9" t="s">
        <v>116</v>
      </c>
      <c r="L824" s="10" t="s">
        <v>117</v>
      </c>
      <c r="M824" s="111">
        <v>30</v>
      </c>
      <c r="N824" s="12" t="s">
        <v>125</v>
      </c>
      <c r="O824" s="6">
        <v>45838</v>
      </c>
      <c r="P824" s="109">
        <v>3581</v>
      </c>
      <c r="Q824" s="14" t="s">
        <v>85</v>
      </c>
      <c r="R824" s="15">
        <v>225</v>
      </c>
      <c r="S824" s="15">
        <v>2319.6999999999998</v>
      </c>
      <c r="T824" s="15">
        <f>DATA[[#This Row],[C. DF]]+DATA[[#This Row],[C.OPE.]]</f>
        <v>2544.6999999999998</v>
      </c>
      <c r="U824" s="15">
        <f>DATA[[#This Row],[SUB TOTAL]]*0.18</f>
        <v>458.04599999999994</v>
      </c>
      <c r="V824" s="15">
        <f>IFERROR(ROUND(DATA[[#This Row],[SUB TOTAL]]+DATA[[#This Row],[IGV]],2),0)</f>
        <v>3002.75</v>
      </c>
      <c r="W824" s="73" t="str">
        <f>IF(DATA[[#This Row],[VALORIZACIÓN ]]="-","NO CORRESPONDE",IF(OR(A824=20558226979,A824=10470707866,A824=20111157058,A824=20100226902),"NO CORRESPONDE",IF(J824="Emitida",IF(P824&gt;0,"EMITIDA","PENDIENTE"),"NO CORRESPONDE")))</f>
        <v>EMITIDA</v>
      </c>
      <c r="X824" s="46"/>
      <c r="Y824" s="17" t="s">
        <v>118</v>
      </c>
      <c r="Z824" s="30">
        <v>45905</v>
      </c>
      <c r="AA824" s="10" t="s">
        <v>150</v>
      </c>
      <c r="AB824" s="19">
        <v>243</v>
      </c>
      <c r="AC824" s="20">
        <v>60</v>
      </c>
      <c r="AD824" s="18">
        <f>DATA[[#This Row],[FECHA DE EMISION]]+DATA[[#This Row],[CONDICION DE PAGO]]</f>
        <v>45965</v>
      </c>
      <c r="AE824" s="23">
        <f>IF(DATA[[#This Row],[MONEDA]]="USD",VLOOKUP(DATA[[#This Row],[COMBINADA]],#REF!,11,0),1)</f>
        <v>1</v>
      </c>
      <c r="AF824" s="129" t="str">
        <f>IF(DATA[[#This Row],[SERIE2]]="-","NO CORRESPONDE",IF(W824="NO CORRESPONDE","NO CORRESPONDE",IF(Z824&gt;0,"FACTURADO","PENDIENTE")))</f>
        <v>FACTURADO</v>
      </c>
      <c r="AG824" s="140">
        <f>IFERROR(VLOOKUP(DATA[[#This Row],[COMBINADA]],#REF!,6,0),0)</f>
        <v>0</v>
      </c>
      <c r="AH824" s="126">
        <f>IFERROR(VLOOKUP(DATA[[#This Row],[COMBINADA]],#REF!,9,0),0)/COUNTIFS(DATA[COMBINADA],DATA[[#This Row],[COMBINADA]])</f>
        <v>0</v>
      </c>
      <c r="AI824" s="140">
        <f>IFERROR(VLOOKUP(DATA[[#This Row],[COMBINADA]],#REF!,6,0),0)</f>
        <v>0</v>
      </c>
      <c r="AJ824" s="126">
        <f>IFERROR(VLOOKUP(DATA[[#This Row],[COMBINADA]],#REF!,9,0),0)/COUNTIFS(DATA[COMBINADA],DATA[[#This Row],[COMBINADA]])</f>
        <v>0</v>
      </c>
      <c r="AK824" s="61">
        <f>IFERROR(VLOOKUP(DATA[[#This Row],[COMBINADA]],#REF!,6,0),0)</f>
        <v>0</v>
      </c>
      <c r="AL824" s="126">
        <f>IFERROR(VLOOKUP(DATA[[#This Row],[COMBINADA]],#REF!,9,0),0)/COUNTIFS(DATA[COMBINADA],DATA[[#This Row],[COMBINADA]])</f>
        <v>0</v>
      </c>
      <c r="AM824" s="140">
        <f>IFERROR(VLOOKUP(DATA[[#This Row],[COMBINADA]],#REF!,6,0),0)</f>
        <v>0</v>
      </c>
      <c r="AN824" s="62">
        <f>IFERROR(VLOOKUP(DATA[[#This Row],[COMBINADA]],#REF!,9,0),0)/COUNTIFS(DATA[COMBINADA],DATA[[#This Row],[COMBINADA]])</f>
        <v>0</v>
      </c>
      <c r="AO824" s="61">
        <f>IFERROR(VLOOKUP(DATA[[#This Row],[COMBINADA]],#REF!,6,0),0)</f>
        <v>0</v>
      </c>
      <c r="AP824" s="62">
        <f>IFERROR(VLOOKUP(DATA[[#This Row],[COMBINADA]],#REF!,9,0),0)/COUNTIFS(DATA[COMBINADA],DATA[[#This Row],[COMBINADA]])</f>
        <v>0</v>
      </c>
      <c r="AQ824"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3002.75</v>
      </c>
      <c r="AR824" s="22" t="str">
        <f>IFERROR(IF(DATA[[#This Row],[estado_fact]]="FACTURADO",VLOOKUP(DATA[[#This Row],[SERIE2]]&amp;"-"&amp;DATA[[#This Row],[NUMERO]],#REF!,34,0),"NO CORRESPONDE"),"NO CORRESPONDE")</f>
        <v>NO CORRESPONDE</v>
      </c>
      <c r="AS824" s="65" t="str">
        <f>IF(DATA[[#This Row],[fecha_fs]]&gt;0,TEXT(DATA[[#This Row],[fecha_fs]],"Mmmm"),0)</f>
        <v>Junio</v>
      </c>
      <c r="AT824" s="22" t="str">
        <f>DATA[[#This Row],[SERIE2]]&amp;"-"&amp;DATA[[#This Row],[NUMERO]]</f>
        <v>FF01-243</v>
      </c>
      <c r="AU824" s="65">
        <f>DATA[[#This Row],[TOTAL]]*DATA[[#This Row],[T.C.]]</f>
        <v>3002.75</v>
      </c>
      <c r="AV824" s="6">
        <f>DATA[[#This Row],[FECHA DE VAL.]]</f>
        <v>45838</v>
      </c>
      <c r="AW824" s="6">
        <f>DATA[[#This Row],[FECHA DE EMISION]]</f>
        <v>45905</v>
      </c>
      <c r="AX824" s="6">
        <f>DATA[[#This Row],[F1]]</f>
        <v>0</v>
      </c>
      <c r="AY824" s="20">
        <f>IF(AV824-DATA[[#This Row],[fecha_fs]]&lt;0,0,AV824-DATA[[#This Row],[fecha_fs]])</f>
        <v>6</v>
      </c>
      <c r="AZ824" s="20">
        <f t="shared" si="82"/>
        <v>67</v>
      </c>
      <c r="BA824" s="20">
        <f t="shared" si="83"/>
        <v>0</v>
      </c>
      <c r="BB824" s="195">
        <f>IFERROR(SUM(DATA[[#This Row],[fs_val_ttf]:[fact_pago_ttf]]),0)</f>
        <v>73</v>
      </c>
      <c r="BC824" s="185">
        <v>45894</v>
      </c>
      <c r="BD824" s="185">
        <v>45903</v>
      </c>
      <c r="BE824" s="185">
        <v>45909</v>
      </c>
      <c r="BF824" s="185">
        <v>45903</v>
      </c>
      <c r="BG824" s="20">
        <f>IFERROR(IF(BC824-DATA[[#This Row],[fecha_fs]]&lt;0,0,BC824-DATA[[#This Row],[fecha_fs]]),0)</f>
        <v>62</v>
      </c>
      <c r="BH824" s="20">
        <f t="shared" si="84"/>
        <v>9</v>
      </c>
      <c r="BI824" s="20">
        <f t="shared" si="85"/>
        <v>6</v>
      </c>
      <c r="BJ824" s="20">
        <f t="shared" si="86"/>
        <v>0</v>
      </c>
      <c r="BK824" s="218">
        <f>IFERROR(SUM(DATA[[#This Row],[fs_fd_ttd]:[fend_fenf_ttd]]),0)</f>
        <v>77</v>
      </c>
      <c r="BL824" s="20" t="str">
        <f>IF(DATA[[#This Row],[fecha_fs]]&gt;0,TEXT(DATA[[#This Row],[fecha_fs]],"YYYY"),0)</f>
        <v>2025</v>
      </c>
      <c r="BM824" s="221" t="b">
        <v>1</v>
      </c>
      <c r="BN824" s="278">
        <f>COUNTIF(DATA[[#This Row],[tiempo_td]], "&lt;=15")</f>
        <v>0</v>
      </c>
      <c r="BO824" s="222"/>
    </row>
    <row r="825" spans="1:67" ht="30.6" customHeight="1" x14ac:dyDescent="0.25">
      <c r="A825" s="4">
        <v>20141637941</v>
      </c>
      <c r="B825" s="5" t="s">
        <v>79</v>
      </c>
      <c r="C825" s="52" t="s">
        <v>18</v>
      </c>
      <c r="D825" s="4" t="s">
        <v>120</v>
      </c>
      <c r="E825" s="5" t="s">
        <v>3</v>
      </c>
      <c r="F825" s="24">
        <v>45828</v>
      </c>
      <c r="G825" s="7" t="s">
        <v>113</v>
      </c>
      <c r="H825" s="25">
        <f t="shared" si="81"/>
        <v>1</v>
      </c>
      <c r="I825" s="67">
        <v>4663</v>
      </c>
      <c r="J825" s="8" t="s">
        <v>115</v>
      </c>
      <c r="K825" s="9" t="s">
        <v>121</v>
      </c>
      <c r="L825" s="10" t="s">
        <v>117</v>
      </c>
      <c r="M825" s="11">
        <v>1080</v>
      </c>
      <c r="N825" s="12" t="s">
        <v>129</v>
      </c>
      <c r="O825" s="6">
        <v>45835</v>
      </c>
      <c r="P825" s="110">
        <v>3519</v>
      </c>
      <c r="Q825" s="14" t="s">
        <v>85</v>
      </c>
      <c r="R825" s="15">
        <f>80+((DATA[[#This Row],[cantidad_fs]]-1000)*0.08)</f>
        <v>86.4</v>
      </c>
      <c r="S825" s="15">
        <v>832</v>
      </c>
      <c r="T825" s="15">
        <f>DATA[[#This Row],[C. DF]]+DATA[[#This Row],[C.OPE.]]</f>
        <v>918.4</v>
      </c>
      <c r="U825" s="15">
        <f>DATA[[#This Row],[SUB TOTAL]]*0.18</f>
        <v>165.31199999999998</v>
      </c>
      <c r="V825" s="15">
        <f>IFERROR(ROUND(DATA[[#This Row],[SUB TOTAL]]+DATA[[#This Row],[IGV]],2),0)</f>
        <v>1083.71</v>
      </c>
      <c r="W825" s="16" t="str">
        <f>IF(DATA[[#This Row],[VALORIZACIÓN ]]="-","NO CORRESPONDE",IF(OR(A825=20558226979,A825=10470707866,A825=20111157058,A825=20100226902),"NO CORRESPONDE",IF(J825="Emitida",IF(P825&gt;0,"EMITIDA","PENDIENTE"),"NO CORRESPONDE")))</f>
        <v>EMITIDA</v>
      </c>
      <c r="X825" s="29"/>
      <c r="Y825" s="17" t="s">
        <v>118</v>
      </c>
      <c r="Z825" s="30">
        <v>45835</v>
      </c>
      <c r="AA825" s="10" t="s">
        <v>150</v>
      </c>
      <c r="AB825" s="19">
        <v>136</v>
      </c>
      <c r="AC825" s="20">
        <v>30</v>
      </c>
      <c r="AD825" s="18">
        <f>DATA[[#This Row],[FECHA DE EMISION]]+DATA[[#This Row],[CONDICION DE PAGO]]</f>
        <v>45865</v>
      </c>
      <c r="AE825" s="23">
        <f>IF(DATA[[#This Row],[MONEDA]]="USD",VLOOKUP(DATA[[#This Row],[COMBINADA]],#REF!,11,0),1)</f>
        <v>1</v>
      </c>
      <c r="AF825" s="129" t="str">
        <f>IF(DATA[[#This Row],[SERIE2]]="-","NO CORRESPONDE",IF(W825="NO CORRESPONDE","NO CORRESPONDE",IF(Z825&gt;0,"FACTURADO","PENDIENTE")))</f>
        <v>FACTURADO</v>
      </c>
      <c r="AG825" s="133">
        <f>IFERROR(VLOOKUP(DATA[[#This Row],[COMBINADA]],#REF!,6,0),0)</f>
        <v>0</v>
      </c>
      <c r="AH825" s="125">
        <f>IFERROR(VLOOKUP(DATA[[#This Row],[COMBINADA]],#REF!,9,0),0)/COUNTIFS(DATA[COMBINADA],DATA[[#This Row],[COMBINADA]])</f>
        <v>0</v>
      </c>
      <c r="AI825" s="136">
        <f>IFERROR(VLOOKUP(DATA[[#This Row],[COMBINADA]],#REF!,6,0),0)</f>
        <v>0</v>
      </c>
      <c r="AJ825" s="132">
        <f>IFERROR(VLOOKUP(DATA[[#This Row],[COMBINADA]],#REF!,9,0),0)/COUNTIFS(DATA[COMBINADA],DATA[[#This Row],[COMBINADA]])</f>
        <v>0</v>
      </c>
      <c r="AK825" s="407">
        <f>IFERROR(VLOOKUP(DATA[[#This Row],[COMBINADA]],#REF!,6,0),0)</f>
        <v>0</v>
      </c>
      <c r="AL825" s="125">
        <f>IFERROR(VLOOKUP(DATA[[#This Row],[COMBINADA]],#REF!,9,0),0)/COUNTIFS(DATA[COMBINADA],DATA[[#This Row],[COMBINADA]])</f>
        <v>0</v>
      </c>
      <c r="AM825" s="27">
        <f>IFERROR(VLOOKUP(DATA[[#This Row],[COMBINADA]],#REF!,6,0),0)</f>
        <v>0</v>
      </c>
      <c r="AN825" s="125">
        <f>IFERROR(VLOOKUP(DATA[[#This Row],[COMBINADA]],#REF!,9,0),0)/COUNTIFS(DATA[COMBINADA],DATA[[#This Row],[COMBINADA]])</f>
        <v>0</v>
      </c>
      <c r="AO825" s="27">
        <f>IFERROR(VLOOKUP(DATA[[#This Row],[COMBINADA]],#REF!,6,0),0)</f>
        <v>0</v>
      </c>
      <c r="AP825" s="132">
        <f>IFERROR(VLOOKUP(DATA[[#This Row],[COMBINADA]],#REF!,9,0),0)/COUNTIFS(DATA[COMBINADA],DATA[[#This Row],[COMBINADA]])</f>
        <v>0</v>
      </c>
      <c r="AQ82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1078.0480000000002</v>
      </c>
      <c r="AR825" s="26" t="str">
        <f>IFERROR(IF(DATA[[#This Row],[estado_fact]]="FACTURADO",VLOOKUP(DATA[[#This Row],[SERIE2]]&amp;"-"&amp;DATA[[#This Row],[NUMERO]],#REF!,34,0),"NO CORRESPONDE"),"NO CORRESPONDE")</f>
        <v>NO CORRESPONDE</v>
      </c>
      <c r="AS825" s="22" t="str">
        <f>IF(DATA[[#This Row],[fecha_fs]]&gt;0,TEXT(DATA[[#This Row],[fecha_fs]],"Mmmm"),0)</f>
        <v>Junio</v>
      </c>
      <c r="AT825" s="22" t="str">
        <f>DATA[[#This Row],[SERIE2]]&amp;"-"&amp;DATA[[#This Row],[NUMERO]]</f>
        <v>FF01-136</v>
      </c>
      <c r="AU825" s="28">
        <f>DATA[[#This Row],[TOTAL]]*DATA[[#This Row],[T.C.]]</f>
        <v>1083.71</v>
      </c>
      <c r="AV825" s="6">
        <f>DATA[[#This Row],[FECHA DE VAL.]]</f>
        <v>45835</v>
      </c>
      <c r="AW825" s="6">
        <f>DATA[[#This Row],[FECHA DE EMISION]]</f>
        <v>45835</v>
      </c>
      <c r="AX825" s="6">
        <f>DATA[[#This Row],[F1]]</f>
        <v>0</v>
      </c>
      <c r="AY825" s="20">
        <f>IF(AV825-DATA[[#This Row],[fecha_fs]]&lt;0,0,AV825-DATA[[#This Row],[fecha_fs]])</f>
        <v>7</v>
      </c>
      <c r="AZ825" s="20">
        <f t="shared" si="82"/>
        <v>0</v>
      </c>
      <c r="BA825" s="20">
        <f t="shared" si="83"/>
        <v>0</v>
      </c>
      <c r="BB825" s="195">
        <f>IFERROR(SUM(DATA[[#This Row],[fs_val_ttf]:[fact_pago_ttf]]),0)</f>
        <v>7</v>
      </c>
      <c r="BC825" s="185">
        <v>45838</v>
      </c>
      <c r="BD825" s="185">
        <v>45852</v>
      </c>
      <c r="BE825" s="185">
        <v>45853</v>
      </c>
      <c r="BF825" s="233">
        <v>45882</v>
      </c>
      <c r="BG825" s="20">
        <f>IFERROR(IF(BC825-DATA[[#This Row],[fecha_fs]]&lt;0,0,BC825-DATA[[#This Row],[fecha_fs]]),0)</f>
        <v>10</v>
      </c>
      <c r="BH825" s="20">
        <f t="shared" si="84"/>
        <v>14</v>
      </c>
      <c r="BI825" s="20">
        <f t="shared" si="85"/>
        <v>1</v>
      </c>
      <c r="BJ825" s="20">
        <f t="shared" si="86"/>
        <v>29</v>
      </c>
      <c r="BK825" s="218">
        <f>IFERROR(SUM(DATA[[#This Row],[fs_fd_ttd]:[fend_fenf_ttd]]),0)</f>
        <v>54</v>
      </c>
      <c r="BL825" s="20" t="str">
        <f>IF(DATA[[#This Row],[fecha_fs]]&gt;0,TEXT(DATA[[#This Row],[fecha_fs]],"YYYY"),0)</f>
        <v>2025</v>
      </c>
      <c r="BM825" s="221" t="b">
        <v>1</v>
      </c>
      <c r="BN825" s="278">
        <f>COUNTIF(DATA[[#This Row],[tiempo_td]], "&lt;=15")</f>
        <v>0</v>
      </c>
      <c r="BO825" s="222"/>
    </row>
    <row r="826" spans="1:67" ht="30.6" customHeight="1" x14ac:dyDescent="0.25">
      <c r="A826" s="4">
        <v>20100192064</v>
      </c>
      <c r="B826" s="5" t="s">
        <v>60</v>
      </c>
      <c r="C826" s="52" t="s">
        <v>65</v>
      </c>
      <c r="D826" s="4" t="s">
        <v>120</v>
      </c>
      <c r="E826" s="5" t="s">
        <v>3</v>
      </c>
      <c r="F826" s="24">
        <v>45831</v>
      </c>
      <c r="G826" s="7" t="s">
        <v>142</v>
      </c>
      <c r="H826" s="25">
        <f>IF(G826="","",IF(G826="LIM",2,1))</f>
        <v>2</v>
      </c>
      <c r="I826" s="67">
        <v>1101</v>
      </c>
      <c r="J826" s="8" t="s">
        <v>115</v>
      </c>
      <c r="K826" s="9" t="s">
        <v>121</v>
      </c>
      <c r="L826" s="10" t="s">
        <v>117</v>
      </c>
      <c r="M826" s="11">
        <v>2520</v>
      </c>
      <c r="N826" s="12" t="s">
        <v>143</v>
      </c>
      <c r="O826" s="6">
        <v>45834</v>
      </c>
      <c r="P826" s="71">
        <v>3511</v>
      </c>
      <c r="Q826" s="14" t="s">
        <v>123</v>
      </c>
      <c r="R826" s="15">
        <f>(DATA[[#This Row],[cantidad_fs]]/1000)*(37+81.01)</f>
        <v>297.3852</v>
      </c>
      <c r="S826" s="15">
        <v>103.6</v>
      </c>
      <c r="T826" s="15">
        <f>DATA[[#This Row],[C. DF]]+DATA[[#This Row],[C.OPE.]]</f>
        <v>400.98519999999996</v>
      </c>
      <c r="U826" s="15">
        <f>DATA[[#This Row],[SUB TOTAL]]*0.18</f>
        <v>72.177335999999997</v>
      </c>
      <c r="V826" s="15">
        <f>IFERROR(ROUND(DATA[[#This Row],[SUB TOTAL]]+DATA[[#This Row],[IGV]],2),0)</f>
        <v>473.16</v>
      </c>
      <c r="W826" s="16" t="str">
        <f>IF(DATA[[#This Row],[VALORIZACIÓN ]]="-","NO CORRESPONDE",IF(OR(A826=20558226979,A826=10470707866,A826=20111157058,A826=20100226902),"NO CORRESPONDE",IF(J826="Emitida",IF(P826&gt;0,"EMITIDA","PENDIENTE"),"NO CORRESPONDE")))</f>
        <v>EMITIDA</v>
      </c>
      <c r="X826" s="29"/>
      <c r="Y826" s="17" t="s">
        <v>118</v>
      </c>
      <c r="Z826" s="30">
        <v>45838</v>
      </c>
      <c r="AA826" s="10" t="s">
        <v>150</v>
      </c>
      <c r="AB826" s="19">
        <v>140</v>
      </c>
      <c r="AC826" s="20">
        <v>30</v>
      </c>
      <c r="AD826" s="18">
        <f>DATA[[#This Row],[FECHA DE EMISION]]+DATA[[#This Row],[CONDICION DE PAGO]]</f>
        <v>45868</v>
      </c>
      <c r="AE826" s="23" t="e">
        <f>IF(DATA[[#This Row],[MONEDA]]="USD",VLOOKUP(DATA[[#This Row],[COMBINADA]],#REF!,11,0),1)</f>
        <v>#REF!</v>
      </c>
      <c r="AF826" s="129" t="str">
        <f>IF(DATA[[#This Row],[SERIE2]]="-","NO CORRESPONDE",IF(W826="NO CORRESPONDE","NO CORRESPONDE",IF(Z826&gt;0,"FACTURADO","PENDIENTE")))</f>
        <v>FACTURADO</v>
      </c>
      <c r="AG826" s="133">
        <f>IFERROR(VLOOKUP(DATA[[#This Row],[COMBINADA]],#REF!,6,0),0)</f>
        <v>0</v>
      </c>
      <c r="AH826" s="125">
        <f>IFERROR(VLOOKUP(DATA[[#This Row],[COMBINADA]],#REF!,9,0),0)/COUNTIFS(DATA[COMBINADA],DATA[[#This Row],[COMBINADA]])</f>
        <v>0</v>
      </c>
      <c r="AI826" s="136">
        <f>IFERROR(VLOOKUP(DATA[[#This Row],[COMBINADA]],#REF!,6,0),0)</f>
        <v>0</v>
      </c>
      <c r="AJ826" s="132">
        <f>IFERROR(VLOOKUP(DATA[[#This Row],[COMBINADA]],#REF!,9,0),0)/COUNTIFS(DATA[COMBINADA],DATA[[#This Row],[COMBINADA]])</f>
        <v>0</v>
      </c>
      <c r="AK826" s="408">
        <f>IFERROR(VLOOKUP(DATA[[#This Row],[COMBINADA]],#REF!,6,0),0)</f>
        <v>0</v>
      </c>
      <c r="AL826" s="125">
        <f>IFERROR(VLOOKUP(DATA[[#This Row],[COMBINADA]],#REF!,9,0),0)/COUNTIFS(DATA[COMBINADA],DATA[[#This Row],[COMBINADA]])</f>
        <v>0</v>
      </c>
      <c r="AM826" s="133">
        <f>IFERROR(VLOOKUP(DATA[[#This Row],[COMBINADA]],#REF!,6,0),0)</f>
        <v>0</v>
      </c>
      <c r="AN826" s="125">
        <f>IFERROR(VLOOKUP(DATA[[#This Row],[COMBINADA]],#REF!,9,0),0)/COUNTIFS(DATA[COMBINADA],DATA[[#This Row],[COMBINADA]])</f>
        <v>0</v>
      </c>
      <c r="AO826" s="133">
        <f>IFERROR(VLOOKUP(DATA[[#This Row],[COMBINADA]],#REF!,6,0),0)</f>
        <v>0</v>
      </c>
      <c r="AP826" s="132">
        <f>IFERROR(VLOOKUP(DATA[[#This Row],[COMBINADA]],#REF!,9,0),0)/COUNTIFS(DATA[COMBINADA],DATA[[#This Row],[COMBINADA]])</f>
        <v>0</v>
      </c>
      <c r="AQ82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469.822</v>
      </c>
      <c r="AR826" s="168" t="str">
        <f>IFERROR(IF(DATA[[#This Row],[estado_fact]]="FACTURADO",VLOOKUP(DATA[[#This Row],[SERIE2]]&amp;"-"&amp;DATA[[#This Row],[NUMERO]],#REF!,34,0),"NO CORRESPONDE"),"NO CORRESPONDE")</f>
        <v>NO CORRESPONDE</v>
      </c>
      <c r="AS826" s="169" t="str">
        <f>IF(DATA[[#This Row],[fecha_fs]]&gt;0,TEXT(DATA[[#This Row],[fecha_fs]],"Mmmm"),0)</f>
        <v>Junio</v>
      </c>
      <c r="AT826" s="169" t="str">
        <f>DATA[[#This Row],[SERIE2]]&amp;"-"&amp;DATA[[#This Row],[NUMERO]]</f>
        <v>FF01-140</v>
      </c>
      <c r="AU826" s="170" t="e">
        <f>DATA[[#This Row],[TOTAL]]*DATA[[#This Row],[T.C.]]</f>
        <v>#REF!</v>
      </c>
      <c r="AV826" s="6">
        <f>DATA[[#This Row],[FECHA DE VAL.]]</f>
        <v>45834</v>
      </c>
      <c r="AW826" s="6">
        <f>DATA[[#This Row],[FECHA DE EMISION]]</f>
        <v>45838</v>
      </c>
      <c r="AX826" s="6">
        <f>DATA[[#This Row],[F1]]</f>
        <v>0</v>
      </c>
      <c r="AY826" s="20">
        <f>IF(AV826-DATA[[#This Row],[fecha_fs]]&lt;0,0,AV826-DATA[[#This Row],[fecha_fs]])</f>
        <v>3</v>
      </c>
      <c r="AZ826" s="20">
        <f>IF(AW826-AV826&lt;0,0,AW826-AV826)</f>
        <v>4</v>
      </c>
      <c r="BA826" s="20">
        <f>IF(AX826-AW826&lt;0,0,AX826-AW826)</f>
        <v>0</v>
      </c>
      <c r="BB826" s="195">
        <f>IFERROR(SUM(DATA[[#This Row],[fs_val_ttf]:[fact_pago_ttf]]),0)</f>
        <v>7</v>
      </c>
      <c r="BC826" s="185">
        <v>45831</v>
      </c>
      <c r="BD826" s="185">
        <v>45840</v>
      </c>
      <c r="BE826" s="185">
        <v>45852</v>
      </c>
      <c r="BF826" s="233">
        <v>45868</v>
      </c>
      <c r="BG826" s="20">
        <f>IFERROR(IF(BC826-DATA[[#This Row],[fecha_fs]]&lt;0,0,BC826-DATA[[#This Row],[fecha_fs]]),0)</f>
        <v>0</v>
      </c>
      <c r="BH826" s="20">
        <f t="shared" ref="BH826:BJ827" si="87">IFERROR(IF(BD826-BC826&lt;0,0,BD826-BC826),0)</f>
        <v>9</v>
      </c>
      <c r="BI826" s="20">
        <f t="shared" si="87"/>
        <v>12</v>
      </c>
      <c r="BJ826" s="20">
        <f t="shared" si="87"/>
        <v>16</v>
      </c>
      <c r="BK826" s="218">
        <f>IFERROR(SUM(DATA[[#This Row],[fs_fd_ttd]:[fend_fenf_ttd]]),0)</f>
        <v>37</v>
      </c>
      <c r="BL826" s="20" t="str">
        <f>IF(DATA[[#This Row],[fecha_fs]]&gt;0,TEXT(DATA[[#This Row],[fecha_fs]],"YYYY"),0)</f>
        <v>2025</v>
      </c>
      <c r="BM826" s="221" t="b">
        <v>1</v>
      </c>
      <c r="BN826" s="278">
        <f>COUNTIF(DATA[[#This Row],[tiempo_td]], "&lt;=15")</f>
        <v>0</v>
      </c>
      <c r="BO826" s="222"/>
    </row>
    <row r="827" spans="1:67" ht="30.6" customHeight="1" x14ac:dyDescent="0.25">
      <c r="A827" s="4">
        <v>20100192064</v>
      </c>
      <c r="B827" s="5" t="s">
        <v>60</v>
      </c>
      <c r="C827" s="52" t="s">
        <v>65</v>
      </c>
      <c r="D827" s="4" t="s">
        <v>112</v>
      </c>
      <c r="E827" s="5" t="s">
        <v>1</v>
      </c>
      <c r="F827" s="24">
        <v>45832</v>
      </c>
      <c r="G827" s="7" t="s">
        <v>142</v>
      </c>
      <c r="H827" s="25">
        <f>IF(G827="","",IF(G827="LIM",2,1))</f>
        <v>2</v>
      </c>
      <c r="I827" s="67">
        <v>1102</v>
      </c>
      <c r="J827" s="8" t="s">
        <v>115</v>
      </c>
      <c r="K827" s="9" t="s">
        <v>116</v>
      </c>
      <c r="L827" s="10" t="s">
        <v>117</v>
      </c>
      <c r="M827" s="11">
        <v>2280</v>
      </c>
      <c r="N827" s="12" t="s">
        <v>143</v>
      </c>
      <c r="O827" s="6">
        <v>45834</v>
      </c>
      <c r="P827" s="71">
        <v>3512</v>
      </c>
      <c r="Q827" s="14" t="s">
        <v>123</v>
      </c>
      <c r="R827" s="15">
        <f>(DATA[[#This Row],[cantidad_fs]]/1000)*(147+81.01)</f>
        <v>519.86279999999988</v>
      </c>
      <c r="S827" s="15">
        <v>103.6</v>
      </c>
      <c r="T827" s="15">
        <f>DATA[[#This Row],[C. DF]]+DATA[[#This Row],[C.OPE.]]</f>
        <v>623.4627999999999</v>
      </c>
      <c r="U827" s="15">
        <f>DATA[[#This Row],[SUB TOTAL]]*0.18</f>
        <v>112.22330399999998</v>
      </c>
      <c r="V827" s="15">
        <f>IFERROR(ROUND(DATA[[#This Row],[SUB TOTAL]]+DATA[[#This Row],[IGV]],2),0)</f>
        <v>735.69</v>
      </c>
      <c r="W827" s="16" t="str">
        <f>IF(DATA[[#This Row],[VALORIZACIÓN ]]="-","NO CORRESPONDE",IF(OR(A827=20558226979,A827=10470707866,A827=20111157058,A827=20100226902),"NO CORRESPONDE",IF(J827="Emitida",IF(P827&gt;0,"EMITIDA","PENDIENTE"),"NO CORRESPONDE")))</f>
        <v>EMITIDA</v>
      </c>
      <c r="X827" s="29"/>
      <c r="Y827" s="17" t="s">
        <v>118</v>
      </c>
      <c r="Z827" s="30">
        <v>45838</v>
      </c>
      <c r="AA827" s="10" t="s">
        <v>150</v>
      </c>
      <c r="AB827" s="19">
        <v>140</v>
      </c>
      <c r="AC827" s="20">
        <v>30</v>
      </c>
      <c r="AD827" s="18">
        <f>DATA[[#This Row],[FECHA DE EMISION]]+DATA[[#This Row],[CONDICION DE PAGO]]</f>
        <v>45868</v>
      </c>
      <c r="AE827" s="23" t="e">
        <f>IF(DATA[[#This Row],[MONEDA]]="USD",VLOOKUP(DATA[[#This Row],[COMBINADA]],#REF!,11,0),1)</f>
        <v>#REF!</v>
      </c>
      <c r="AF827" s="129" t="str">
        <f>IF(DATA[[#This Row],[SERIE2]]="-","NO CORRESPONDE",IF(W827="NO CORRESPONDE","NO CORRESPONDE",IF(Z827&gt;0,"FACTURADO","PENDIENTE")))</f>
        <v>FACTURADO</v>
      </c>
      <c r="AG827" s="133">
        <f>IFERROR(VLOOKUP(DATA[[#This Row],[COMBINADA]],#REF!,6,0),0)</f>
        <v>0</v>
      </c>
      <c r="AH827" s="125">
        <f>IFERROR(VLOOKUP(DATA[[#This Row],[COMBINADA]],#REF!,9,0),0)/COUNTIFS(DATA[COMBINADA],DATA[[#This Row],[COMBINADA]])</f>
        <v>0</v>
      </c>
      <c r="AI827" s="136">
        <f>IFERROR(VLOOKUP(DATA[[#This Row],[COMBINADA]],#REF!,6,0),0)</f>
        <v>0</v>
      </c>
      <c r="AJ827" s="132">
        <f>IFERROR(VLOOKUP(DATA[[#This Row],[COMBINADA]],#REF!,9,0),0)/COUNTIFS(DATA[COMBINADA],DATA[[#This Row],[COMBINADA]])</f>
        <v>0</v>
      </c>
      <c r="AK827" s="408">
        <f>IFERROR(VLOOKUP(DATA[[#This Row],[COMBINADA]],#REF!,6,0),0)</f>
        <v>0</v>
      </c>
      <c r="AL827" s="125">
        <f>IFERROR(VLOOKUP(DATA[[#This Row],[COMBINADA]],#REF!,9,0),0)/COUNTIFS(DATA[COMBINADA],DATA[[#This Row],[COMBINADA]])</f>
        <v>0</v>
      </c>
      <c r="AM827" s="133">
        <f>IFERROR(VLOOKUP(DATA[[#This Row],[COMBINADA]],#REF!,6,0),0)</f>
        <v>0</v>
      </c>
      <c r="AN827" s="125">
        <f>IFERROR(VLOOKUP(DATA[[#This Row],[COMBINADA]],#REF!,9,0),0)/COUNTIFS(DATA[COMBINADA],DATA[[#This Row],[COMBINADA]])</f>
        <v>0</v>
      </c>
      <c r="AO827" s="133">
        <f>IFERROR(VLOOKUP(DATA[[#This Row],[COMBINADA]],#REF!,6,0),0)</f>
        <v>0</v>
      </c>
      <c r="AP827" s="132">
        <f>IFERROR(VLOOKUP(DATA[[#This Row],[COMBINADA]],#REF!,9,0),0)/COUNTIFS(DATA[COMBINADA],DATA[[#This Row],[COMBINADA]])</f>
        <v>0</v>
      </c>
      <c r="AQ827" s="166">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469.822</v>
      </c>
      <c r="AR827" s="176" t="str">
        <f>IFERROR(IF(DATA[[#This Row],[estado_fact]]="FACTURADO",VLOOKUP(DATA[[#This Row],[SERIE2]]&amp;"-"&amp;DATA[[#This Row],[NUMERO]],#REF!,34,0),"NO CORRESPONDE"),"NO CORRESPONDE")</f>
        <v>NO CORRESPONDE</v>
      </c>
      <c r="AS827" s="177" t="str">
        <f>IF(DATA[[#This Row],[fecha_fs]]&gt;0,TEXT(DATA[[#This Row],[fecha_fs]],"Mmmm"),0)</f>
        <v>Junio</v>
      </c>
      <c r="AT827" s="177" t="str">
        <f>DATA[[#This Row],[SERIE2]]&amp;"-"&amp;DATA[[#This Row],[NUMERO]]</f>
        <v>FF01-140</v>
      </c>
      <c r="AU827" s="141" t="e">
        <f>DATA[[#This Row],[TOTAL]]*DATA[[#This Row],[T.C.]]</f>
        <v>#REF!</v>
      </c>
      <c r="AV827" s="6">
        <f>DATA[[#This Row],[FECHA DE VAL.]]</f>
        <v>45834</v>
      </c>
      <c r="AW827" s="6">
        <f>DATA[[#This Row],[FECHA DE EMISION]]</f>
        <v>45838</v>
      </c>
      <c r="AX827" s="6">
        <f>DATA[[#This Row],[F1]]</f>
        <v>0</v>
      </c>
      <c r="AY827" s="20">
        <f>IF(AV827-DATA[[#This Row],[fecha_fs]]&lt;0,0,AV827-DATA[[#This Row],[fecha_fs]])</f>
        <v>2</v>
      </c>
      <c r="AZ827" s="20">
        <f>IF(AW827-AV827&lt;0,0,AW827-AV827)</f>
        <v>4</v>
      </c>
      <c r="BA827" s="20">
        <f>IF(AX827-AW827&lt;0,0,AX827-AW827)</f>
        <v>0</v>
      </c>
      <c r="BB827" s="195">
        <f>IFERROR(SUM(DATA[[#This Row],[fs_val_ttf]:[fact_pago_ttf]]),0)</f>
        <v>6</v>
      </c>
      <c r="BC827" s="185">
        <v>45832</v>
      </c>
      <c r="BD827" s="185">
        <v>45841</v>
      </c>
      <c r="BE827" s="185">
        <v>45845</v>
      </c>
      <c r="BF827" s="233">
        <v>45863</v>
      </c>
      <c r="BG827" s="20">
        <f>IFERROR(IF(BC827-DATA[[#This Row],[fecha_fs]]&lt;0,0,BC827-DATA[[#This Row],[fecha_fs]]),0)</f>
        <v>0</v>
      </c>
      <c r="BH827" s="20">
        <f t="shared" si="87"/>
        <v>9</v>
      </c>
      <c r="BI827" s="20">
        <f t="shared" si="87"/>
        <v>4</v>
      </c>
      <c r="BJ827" s="20">
        <f t="shared" si="87"/>
        <v>18</v>
      </c>
      <c r="BK827" s="218">
        <f>IFERROR(SUM(DATA[[#This Row],[fs_fd_ttd]:[fend_fenf_ttd]]),0)</f>
        <v>31</v>
      </c>
      <c r="BL827" s="20" t="str">
        <f>IF(DATA[[#This Row],[fecha_fs]]&gt;0,TEXT(DATA[[#This Row],[fecha_fs]],"YYYY"),0)</f>
        <v>2025</v>
      </c>
      <c r="BM827" s="221" t="b">
        <v>1</v>
      </c>
      <c r="BN827" s="278">
        <f>COUNTIF(DATA[[#This Row],[tiempo_td]], "&lt;=15")</f>
        <v>0</v>
      </c>
      <c r="BO827" s="222"/>
    </row>
    <row r="828" spans="1:67" ht="30.6" customHeight="1" x14ac:dyDescent="0.25">
      <c r="A828" s="4">
        <v>20100211115</v>
      </c>
      <c r="B828" s="5" t="s">
        <v>41</v>
      </c>
      <c r="C828" s="52" t="s">
        <v>18</v>
      </c>
      <c r="D828" s="4" t="s">
        <v>120</v>
      </c>
      <c r="E828" s="5" t="s">
        <v>3</v>
      </c>
      <c r="F828" s="24">
        <v>45831</v>
      </c>
      <c r="G828" s="7" t="s">
        <v>113</v>
      </c>
      <c r="H828" s="25">
        <f t="shared" si="81"/>
        <v>1</v>
      </c>
      <c r="I828" s="67">
        <v>4664</v>
      </c>
      <c r="J828" s="8" t="s">
        <v>115</v>
      </c>
      <c r="K828" s="9" t="s">
        <v>121</v>
      </c>
      <c r="L828" s="10" t="s">
        <v>117</v>
      </c>
      <c r="M828" s="11">
        <v>90</v>
      </c>
      <c r="N828" s="12" t="s">
        <v>125</v>
      </c>
      <c r="O828" s="6">
        <v>45834</v>
      </c>
      <c r="P828" s="115">
        <v>3515</v>
      </c>
      <c r="Q828" s="14" t="s">
        <v>85</v>
      </c>
      <c r="R828" s="15"/>
      <c r="S828" s="15">
        <f>(DATA[[#This Row],[cantidad_fs]]*4.17)</f>
        <v>375.3</v>
      </c>
      <c r="T828" s="15">
        <f>DATA[[#This Row],[C. DF]]+DATA[[#This Row],[C.OPE.]]</f>
        <v>375.3</v>
      </c>
      <c r="U828" s="15">
        <f>DATA[[#This Row],[SUB TOTAL]]*0.18</f>
        <v>67.554000000000002</v>
      </c>
      <c r="V828" s="15">
        <f>IFERROR(ROUND(DATA[[#This Row],[SUB TOTAL]]+DATA[[#This Row],[IGV]],2),0)</f>
        <v>442.85</v>
      </c>
      <c r="W828" s="16" t="str">
        <f>IF(DATA[[#This Row],[VALORIZACIÓN ]]="-","NO CORRESPONDE",IF(OR(A828=20558226979,A828=10470707866,A828=20111157058,A828=20100226902),"NO CORRESPONDE",IF(J828="Emitida",IF(P828&gt;0,"EMITIDA","PENDIENTE"),"NO CORRESPONDE")))</f>
        <v>EMITIDA</v>
      </c>
      <c r="X828" s="29"/>
      <c r="Y828" s="17" t="s">
        <v>118</v>
      </c>
      <c r="Z828" s="30">
        <v>45835</v>
      </c>
      <c r="AA828" s="10" t="s">
        <v>150</v>
      </c>
      <c r="AB828" s="19">
        <v>137</v>
      </c>
      <c r="AC828" s="20">
        <v>30</v>
      </c>
      <c r="AD828" s="18">
        <f>DATA[[#This Row],[FECHA DE EMISION]]+DATA[[#This Row],[CONDICION DE PAGO]]</f>
        <v>45865</v>
      </c>
      <c r="AE828" s="23">
        <f>IF(DATA[[#This Row],[MONEDA]]="USD",VLOOKUP(DATA[[#This Row],[COMBINADA]],#REF!,11,0),1)</f>
        <v>1</v>
      </c>
      <c r="AF828" s="129" t="str">
        <f>IF(DATA[[#This Row],[SERIE2]]="-","NO CORRESPONDE",IF(W828="NO CORRESPONDE","NO CORRESPONDE",IF(Z828&gt;0,"FACTURADO","PENDIENTE")))</f>
        <v>FACTURADO</v>
      </c>
      <c r="AG828" s="133">
        <f>IFERROR(VLOOKUP(DATA[[#This Row],[COMBINADA]],#REF!,6,0),0)</f>
        <v>0</v>
      </c>
      <c r="AH828" s="125">
        <f>IFERROR(VLOOKUP(DATA[[#This Row],[COMBINADA]],#REF!,9,0),0)/COUNTIFS(DATA[COMBINADA],DATA[[#This Row],[COMBINADA]])</f>
        <v>0</v>
      </c>
      <c r="AI828" s="136">
        <f>IFERROR(VLOOKUP(DATA[[#This Row],[COMBINADA]],#REF!,6,0),0)</f>
        <v>0</v>
      </c>
      <c r="AJ828" s="132">
        <f>IFERROR(VLOOKUP(DATA[[#This Row],[COMBINADA]],#REF!,9,0),0)/COUNTIFS(DATA[COMBINADA],DATA[[#This Row],[COMBINADA]])</f>
        <v>0</v>
      </c>
      <c r="AK828" s="407">
        <f>IFERROR(VLOOKUP(DATA[[#This Row],[COMBINADA]],#REF!,6,0),0)</f>
        <v>0</v>
      </c>
      <c r="AL828" s="125">
        <f>IFERROR(VLOOKUP(DATA[[#This Row],[COMBINADA]],#REF!,9,0),0)/COUNTIFS(DATA[COMBINADA],DATA[[#This Row],[COMBINADA]])</f>
        <v>0</v>
      </c>
      <c r="AM828" s="27">
        <f>IFERROR(VLOOKUP(DATA[[#This Row],[COMBINADA]],#REF!,6,0),0)</f>
        <v>0</v>
      </c>
      <c r="AN828" s="125">
        <f>IFERROR(VLOOKUP(DATA[[#This Row],[COMBINADA]],#REF!,9,0),0)/COUNTIFS(DATA[COMBINADA],DATA[[#This Row],[COMBINADA]])</f>
        <v>0</v>
      </c>
      <c r="AO828" s="27">
        <f>IFERROR(VLOOKUP(DATA[[#This Row],[COMBINADA]],#REF!,6,0),0)</f>
        <v>0</v>
      </c>
      <c r="AP828" s="132">
        <f>IFERROR(VLOOKUP(DATA[[#This Row],[COMBINADA]],#REF!,9,0),0)/COUNTIFS(DATA[COMBINADA],DATA[[#This Row],[COMBINADA]])</f>
        <v>0</v>
      </c>
      <c r="AQ82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828" s="26" t="str">
        <f>IFERROR(IF(DATA[[#This Row],[estado_fact]]="FACTURADO",VLOOKUP(DATA[[#This Row],[SERIE2]]&amp;"-"&amp;DATA[[#This Row],[NUMERO]],#REF!,34,0),"NO CORRESPONDE"),"NO CORRESPONDE")</f>
        <v>NO CORRESPONDE</v>
      </c>
      <c r="AS828" s="22" t="str">
        <f>IF(DATA[[#This Row],[fecha_fs]]&gt;0,TEXT(DATA[[#This Row],[fecha_fs]],"Mmmm"),0)</f>
        <v>Junio</v>
      </c>
      <c r="AT828" s="22" t="str">
        <f>DATA[[#This Row],[SERIE2]]&amp;"-"&amp;DATA[[#This Row],[NUMERO]]</f>
        <v>FF01-137</v>
      </c>
      <c r="AU828" s="28">
        <f>DATA[[#This Row],[TOTAL]]*DATA[[#This Row],[T.C.]]</f>
        <v>442.85</v>
      </c>
      <c r="AV828" s="6">
        <f>DATA[[#This Row],[FECHA DE VAL.]]</f>
        <v>45834</v>
      </c>
      <c r="AW828" s="6">
        <f>DATA[[#This Row],[FECHA DE EMISION]]</f>
        <v>45835</v>
      </c>
      <c r="AX828" s="6">
        <f>DATA[[#This Row],[F1]]</f>
        <v>0</v>
      </c>
      <c r="AY828" s="20">
        <f>IF(AV828-DATA[[#This Row],[fecha_fs]]&lt;0,0,AV828-DATA[[#This Row],[fecha_fs]])</f>
        <v>3</v>
      </c>
      <c r="AZ828" s="20">
        <f t="shared" si="82"/>
        <v>1</v>
      </c>
      <c r="BA828" s="20">
        <f t="shared" si="83"/>
        <v>0</v>
      </c>
      <c r="BB828" s="195">
        <f>IFERROR(SUM(DATA[[#This Row],[fs_val_ttf]:[fact_pago_ttf]]),0)</f>
        <v>4</v>
      </c>
      <c r="BC828" s="185">
        <v>45838</v>
      </c>
      <c r="BD828" s="185">
        <v>45846</v>
      </c>
      <c r="BE828" s="185">
        <v>45848</v>
      </c>
      <c r="BF828" s="185">
        <v>45849</v>
      </c>
      <c r="BG828" s="20">
        <f>IFERROR(IF(BC828-DATA[[#This Row],[fecha_fs]]&lt;0,0,BC828-DATA[[#This Row],[fecha_fs]]),0)</f>
        <v>7</v>
      </c>
      <c r="BH828" s="20">
        <f t="shared" si="84"/>
        <v>8</v>
      </c>
      <c r="BI828" s="20">
        <f t="shared" si="85"/>
        <v>2</v>
      </c>
      <c r="BJ828" s="20">
        <f t="shared" si="86"/>
        <v>1</v>
      </c>
      <c r="BK828" s="218">
        <f>IFERROR(SUM(DATA[[#This Row],[fs_fd_ttd]:[fend_fenf_ttd]]),0)</f>
        <v>18</v>
      </c>
      <c r="BL828" s="20" t="str">
        <f>IF(DATA[[#This Row],[fecha_fs]]&gt;0,TEXT(DATA[[#This Row],[fecha_fs]],"YYYY"),0)</f>
        <v>2025</v>
      </c>
      <c r="BM828" s="221" t="b">
        <v>1</v>
      </c>
      <c r="BN828" s="278">
        <f>COUNTIF(DATA[[#This Row],[tiempo_td]], "&lt;=15")</f>
        <v>0</v>
      </c>
      <c r="BO828" s="222"/>
    </row>
    <row r="829" spans="1:67" ht="30.6" customHeight="1" x14ac:dyDescent="0.25">
      <c r="A829" s="4">
        <v>20454186002</v>
      </c>
      <c r="B829" s="5" t="s">
        <v>25</v>
      </c>
      <c r="C829" s="52" t="s">
        <v>18</v>
      </c>
      <c r="D829" s="4" t="s">
        <v>120</v>
      </c>
      <c r="E829" s="5" t="s">
        <v>3</v>
      </c>
      <c r="F829" s="24">
        <v>45832</v>
      </c>
      <c r="G829" s="7" t="s">
        <v>113</v>
      </c>
      <c r="H829" s="25">
        <f t="shared" si="81"/>
        <v>1</v>
      </c>
      <c r="I829" s="67">
        <v>4665</v>
      </c>
      <c r="J829" s="8" t="s">
        <v>115</v>
      </c>
      <c r="K829" s="9" t="s">
        <v>121</v>
      </c>
      <c r="L829" s="10" t="s">
        <v>117</v>
      </c>
      <c r="M829" s="11">
        <v>4050</v>
      </c>
      <c r="N829" s="12" t="s">
        <v>261</v>
      </c>
      <c r="O829" s="6">
        <v>45833</v>
      </c>
      <c r="P829" s="13">
        <v>3503</v>
      </c>
      <c r="Q829" s="14" t="s">
        <v>85</v>
      </c>
      <c r="R829" s="15">
        <v>1485.02</v>
      </c>
      <c r="S829" s="15">
        <f>(DATA[[#This Row],[cantidad_fs]]-3000)*0.49</f>
        <v>514.5</v>
      </c>
      <c r="T829" s="15">
        <f>DATA[[#This Row],[C. DF]]+DATA[[#This Row],[C.OPE.]]</f>
        <v>1999.52</v>
      </c>
      <c r="U829" s="15">
        <f>DATA[[#This Row],[SUB TOTAL]]*0.18</f>
        <v>359.91359999999997</v>
      </c>
      <c r="V829" s="15">
        <f>IFERROR(ROUND(DATA[[#This Row],[SUB TOTAL]]+DATA[[#This Row],[IGV]],2),0)</f>
        <v>2359.4299999999998</v>
      </c>
      <c r="W829" s="16" t="str">
        <f>IF(DATA[[#This Row],[VALORIZACIÓN ]]="-","NO CORRESPONDE",IF(OR(A829=20558226979,A829=10470707866,A829=20111157058,A829=20100226902),"NO CORRESPONDE",IF(J829="Emitida",IF(P829&gt;0,"EMITIDA","PENDIENTE"),"NO CORRESPONDE")))</f>
        <v>EMITIDA</v>
      </c>
      <c r="X829" s="29"/>
      <c r="Y829" s="17" t="s">
        <v>118</v>
      </c>
      <c r="Z829" s="30">
        <v>45834</v>
      </c>
      <c r="AA829" s="10" t="s">
        <v>150</v>
      </c>
      <c r="AB829" s="19">
        <v>132</v>
      </c>
      <c r="AC829" s="20">
        <v>7</v>
      </c>
      <c r="AD829" s="18">
        <f>DATA[[#This Row],[FECHA DE EMISION]]+DATA[[#This Row],[CONDICION DE PAGO]]</f>
        <v>45841</v>
      </c>
      <c r="AE829" s="23">
        <f>IF(DATA[[#This Row],[MONEDA]]="USD",VLOOKUP(DATA[[#This Row],[COMBINADA]],#REF!,11,0),1)</f>
        <v>1</v>
      </c>
      <c r="AF829" s="129" t="str">
        <f>IF(DATA[[#This Row],[SERIE2]]="-","NO CORRESPONDE",IF(W829="NO CORRESPONDE","NO CORRESPONDE",IF(Z829&gt;0,"FACTURADO","PENDIENTE")))</f>
        <v>FACTURADO</v>
      </c>
      <c r="AG829" s="133">
        <f>IFERROR(VLOOKUP(DATA[[#This Row],[COMBINADA]],#REF!,6,0),0)</f>
        <v>0</v>
      </c>
      <c r="AH829" s="125">
        <f>IFERROR(VLOOKUP(DATA[[#This Row],[COMBINADA]],#REF!,9,0),0)/COUNTIFS(DATA[COMBINADA],DATA[[#This Row],[COMBINADA]])</f>
        <v>0</v>
      </c>
      <c r="AI829" s="136">
        <f>IFERROR(VLOOKUP(DATA[[#This Row],[COMBINADA]],#REF!,6,0),0)</f>
        <v>0</v>
      </c>
      <c r="AJ829" s="132">
        <f>IFERROR(VLOOKUP(DATA[[#This Row],[COMBINADA]],#REF!,9,0),0)/COUNTIFS(DATA[COMBINADA],DATA[[#This Row],[COMBINADA]])</f>
        <v>0</v>
      </c>
      <c r="AK829" s="407">
        <f>IFERROR(VLOOKUP(DATA[[#This Row],[COMBINADA]],#REF!,6,0),0)</f>
        <v>0</v>
      </c>
      <c r="AL829" s="125">
        <f>IFERROR(VLOOKUP(DATA[[#This Row],[COMBINADA]],#REF!,9,0),0)/COUNTIFS(DATA[COMBINADA],DATA[[#This Row],[COMBINADA]])</f>
        <v>0</v>
      </c>
      <c r="AM829" s="27">
        <f>IFERROR(VLOOKUP(DATA[[#This Row],[COMBINADA]],#REF!,6,0),0)</f>
        <v>0</v>
      </c>
      <c r="AN829" s="125">
        <f>IFERROR(VLOOKUP(DATA[[#This Row],[COMBINADA]],#REF!,9,0),0)/COUNTIFS(DATA[COMBINADA],DATA[[#This Row],[COMBINADA]])</f>
        <v>0</v>
      </c>
      <c r="AO829" s="27">
        <f>IFERROR(VLOOKUP(DATA[[#This Row],[COMBINADA]],#REF!,6,0),0)</f>
        <v>0</v>
      </c>
      <c r="AP829" s="132">
        <f>IFERROR(VLOOKUP(DATA[[#This Row],[COMBINADA]],#REF!,9,0),0)/COUNTIFS(DATA[COMBINADA],DATA[[#This Row],[COMBINADA]])</f>
        <v>0</v>
      </c>
      <c r="AQ82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2359.4299999999998</v>
      </c>
      <c r="AR829" s="26" t="str">
        <f>IFERROR(IF(DATA[[#This Row],[estado_fact]]="FACTURADO",VLOOKUP(DATA[[#This Row],[SERIE2]]&amp;"-"&amp;DATA[[#This Row],[NUMERO]],#REF!,34,0),"NO CORRESPONDE"),"NO CORRESPONDE")</f>
        <v>NO CORRESPONDE</v>
      </c>
      <c r="AS829" s="22" t="str">
        <f>IF(DATA[[#This Row],[fecha_fs]]&gt;0,TEXT(DATA[[#This Row],[fecha_fs]],"Mmmm"),0)</f>
        <v>Junio</v>
      </c>
      <c r="AT829" s="22" t="str">
        <f>DATA[[#This Row],[SERIE2]]&amp;"-"&amp;DATA[[#This Row],[NUMERO]]</f>
        <v>FF01-132</v>
      </c>
      <c r="AU829" s="28">
        <f>DATA[[#This Row],[TOTAL]]*DATA[[#This Row],[T.C.]]</f>
        <v>2359.4299999999998</v>
      </c>
      <c r="AV829" s="6">
        <f>DATA[[#This Row],[FECHA DE VAL.]]</f>
        <v>45833</v>
      </c>
      <c r="AW829" s="6">
        <f>DATA[[#This Row],[FECHA DE EMISION]]</f>
        <v>45834</v>
      </c>
      <c r="AX829" s="6">
        <f>DATA[[#This Row],[F1]]</f>
        <v>0</v>
      </c>
      <c r="AY829" s="20">
        <f>IF(AV829-DATA[[#This Row],[fecha_fs]]&lt;0,0,AV829-DATA[[#This Row],[fecha_fs]])</f>
        <v>1</v>
      </c>
      <c r="AZ829" s="20">
        <f t="shared" si="82"/>
        <v>1</v>
      </c>
      <c r="BA829" s="20">
        <f t="shared" si="83"/>
        <v>0</v>
      </c>
      <c r="BB829" s="195">
        <f>IFERROR(SUM(DATA[[#This Row],[fs_val_ttf]:[fact_pago_ttf]]),0)</f>
        <v>2</v>
      </c>
      <c r="BC829" s="185">
        <v>45832</v>
      </c>
      <c r="BD829" s="10"/>
      <c r="BE829" s="185">
        <v>45854</v>
      </c>
      <c r="BF829" s="185">
        <v>45889</v>
      </c>
      <c r="BG829" s="20">
        <f>IFERROR(IF(BC829-DATA[[#This Row],[fecha_fs]]&lt;0,0,BC829-DATA[[#This Row],[fecha_fs]]),0)</f>
        <v>0</v>
      </c>
      <c r="BH829" s="20">
        <f t="shared" si="84"/>
        <v>0</v>
      </c>
      <c r="BI829" s="20">
        <f>IFERROR(IF(BE829-BD829&lt;0,0,BE829-BD829),0)</f>
        <v>45854</v>
      </c>
      <c r="BJ829" s="20">
        <f t="shared" si="86"/>
        <v>35</v>
      </c>
      <c r="BK829" s="218">
        <f>IFERROR(SUM(DATA[[#This Row],[fs_fd_ttd]:[fend_fenf_ttd]]),0)</f>
        <v>45889</v>
      </c>
      <c r="BL829" s="20" t="str">
        <f>IF(DATA[[#This Row],[fecha_fs]]&gt;0,TEXT(DATA[[#This Row],[fecha_fs]],"YYYY"),0)</f>
        <v>2025</v>
      </c>
      <c r="BM829" s="221" t="b">
        <v>1</v>
      </c>
      <c r="BN829" s="278">
        <f>COUNTIF(DATA[[#This Row],[tiempo_td]], "&lt;=15")</f>
        <v>0</v>
      </c>
      <c r="BO829" s="222"/>
    </row>
    <row r="830" spans="1:67" ht="30.6" customHeight="1" x14ac:dyDescent="0.25">
      <c r="A830" s="4">
        <v>20505675836</v>
      </c>
      <c r="B830" s="5" t="s">
        <v>42</v>
      </c>
      <c r="C830" s="52" t="s">
        <v>20</v>
      </c>
      <c r="D830" s="4" t="s">
        <v>112</v>
      </c>
      <c r="E830" s="5" t="s">
        <v>1</v>
      </c>
      <c r="F830" s="24">
        <v>45831</v>
      </c>
      <c r="G830" s="7" t="s">
        <v>113</v>
      </c>
      <c r="H830" s="25">
        <f t="shared" si="81"/>
        <v>1</v>
      </c>
      <c r="I830" s="67">
        <v>4666</v>
      </c>
      <c r="J830" s="8" t="s">
        <v>115</v>
      </c>
      <c r="K830" s="9" t="s">
        <v>116</v>
      </c>
      <c r="L830" s="10" t="s">
        <v>117</v>
      </c>
      <c r="M830" s="11">
        <v>380</v>
      </c>
      <c r="N830" s="12" t="s">
        <v>125</v>
      </c>
      <c r="O830" s="6">
        <v>45835</v>
      </c>
      <c r="P830" s="71">
        <v>3521</v>
      </c>
      <c r="Q830" s="14" t="s">
        <v>85</v>
      </c>
      <c r="R830" s="15"/>
      <c r="S830" s="15">
        <v>1988.35</v>
      </c>
      <c r="T830" s="15">
        <f>DATA[[#This Row],[C. DF]]+DATA[[#This Row],[C.OPE.]]</f>
        <v>1988.35</v>
      </c>
      <c r="U830" s="15">
        <f>DATA[[#This Row],[SUB TOTAL]]*0.18</f>
        <v>357.90299999999996</v>
      </c>
      <c r="V830" s="15">
        <f>IFERROR(ROUND(DATA[[#This Row],[SUB TOTAL]]+DATA[[#This Row],[IGV]],2),0)</f>
        <v>2346.25</v>
      </c>
      <c r="W830" s="16" t="str">
        <f>IF(DATA[[#This Row],[VALORIZACIÓN ]]="-","NO CORRESPONDE",IF(OR(A830=20558226979,A830=10470707866,A830=20111157058,A830=20100226902),"NO CORRESPONDE",IF(J830="Emitida",IF(P830&gt;0,"EMITIDA","PENDIENTE"),"NO CORRESPONDE")))</f>
        <v>EMITIDA</v>
      </c>
      <c r="X830" s="29"/>
      <c r="Y830" s="17" t="s">
        <v>118</v>
      </c>
      <c r="Z830" s="30">
        <v>45846</v>
      </c>
      <c r="AA830" s="10" t="s">
        <v>150</v>
      </c>
      <c r="AB830" s="19">
        <v>165</v>
      </c>
      <c r="AC830" s="20">
        <v>30</v>
      </c>
      <c r="AD830" s="18">
        <f>DATA[[#This Row],[FECHA DE EMISION]]+DATA[[#This Row],[CONDICION DE PAGO]]</f>
        <v>45876</v>
      </c>
      <c r="AE830" s="23">
        <f>IF(DATA[[#This Row],[MONEDA]]="USD",VLOOKUP(DATA[[#This Row],[COMBINADA]],#REF!,11,0),1)</f>
        <v>1</v>
      </c>
      <c r="AF830" s="129" t="str">
        <f>IF(DATA[[#This Row],[SERIE2]]="-","NO CORRESPONDE",IF(W830="NO CORRESPONDE","NO CORRESPONDE",IF(Z830&gt;0,"FACTURADO","PENDIENTE")))</f>
        <v>FACTURADO</v>
      </c>
      <c r="AG830" s="133">
        <f>IFERROR(VLOOKUP(DATA[[#This Row],[COMBINADA]],#REF!,6,0),0)</f>
        <v>0</v>
      </c>
      <c r="AH830" s="125">
        <f>IFERROR(VLOOKUP(DATA[[#This Row],[COMBINADA]],#REF!,9,0),0)/COUNTIFS(DATA[COMBINADA],DATA[[#This Row],[COMBINADA]])</f>
        <v>0</v>
      </c>
      <c r="AI830" s="136">
        <f>IFERROR(VLOOKUP(DATA[[#This Row],[COMBINADA]],#REF!,6,0),0)</f>
        <v>0</v>
      </c>
      <c r="AJ830" s="132">
        <f>IFERROR(VLOOKUP(DATA[[#This Row],[COMBINADA]],#REF!,9,0),0)/COUNTIFS(DATA[COMBINADA],DATA[[#This Row],[COMBINADA]])</f>
        <v>0</v>
      </c>
      <c r="AK830" s="407">
        <f>IFERROR(VLOOKUP(DATA[[#This Row],[COMBINADA]],#REF!,6,0),0)</f>
        <v>0</v>
      </c>
      <c r="AL830" s="125">
        <f>IFERROR(VLOOKUP(DATA[[#This Row],[COMBINADA]],#REF!,9,0),0)/COUNTIFS(DATA[COMBINADA],DATA[[#This Row],[COMBINADA]])</f>
        <v>0</v>
      </c>
      <c r="AM830" s="27">
        <f>IFERROR(VLOOKUP(DATA[[#This Row],[COMBINADA]],#REF!,6,0),0)</f>
        <v>0</v>
      </c>
      <c r="AN830" s="125">
        <f>IFERROR(VLOOKUP(DATA[[#This Row],[COMBINADA]],#REF!,9,0),0)/COUNTIFS(DATA[COMBINADA],DATA[[#This Row],[COMBINADA]])</f>
        <v>0</v>
      </c>
      <c r="AO830" s="27">
        <f>IFERROR(VLOOKUP(DATA[[#This Row],[COMBINADA]],#REF!,6,0),0)</f>
        <v>0</v>
      </c>
      <c r="AP830" s="132">
        <f>IFERROR(VLOOKUP(DATA[[#This Row],[COMBINADA]],#REF!,9,0),0)/COUNTIFS(DATA[COMBINADA],DATA[[#This Row],[COMBINADA]])</f>
        <v>0</v>
      </c>
      <c r="AQ83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2163.4633333333336</v>
      </c>
      <c r="AR830" s="26" t="str">
        <f>IFERROR(IF(DATA[[#This Row],[estado_fact]]="FACTURADO",VLOOKUP(DATA[[#This Row],[SERIE2]]&amp;"-"&amp;DATA[[#This Row],[NUMERO]],#REF!,34,0),"NO CORRESPONDE"),"NO CORRESPONDE")</f>
        <v>NO CORRESPONDE</v>
      </c>
      <c r="AS830" s="22" t="str">
        <f>IF(DATA[[#This Row],[fecha_fs]]&gt;0,TEXT(DATA[[#This Row],[fecha_fs]],"Mmmm"),0)</f>
        <v>Junio</v>
      </c>
      <c r="AT830" s="22" t="str">
        <f>DATA[[#This Row],[SERIE2]]&amp;"-"&amp;DATA[[#This Row],[NUMERO]]</f>
        <v>FF01-165</v>
      </c>
      <c r="AU830" s="28">
        <f>DATA[[#This Row],[TOTAL]]*DATA[[#This Row],[T.C.]]</f>
        <v>2346.25</v>
      </c>
      <c r="AV830" s="6">
        <f>DATA[[#This Row],[FECHA DE VAL.]]</f>
        <v>45835</v>
      </c>
      <c r="AW830" s="6">
        <f>DATA[[#This Row],[FECHA DE EMISION]]</f>
        <v>45846</v>
      </c>
      <c r="AX830" s="6">
        <f>DATA[[#This Row],[F1]]</f>
        <v>0</v>
      </c>
      <c r="AY830" s="20">
        <f>IF(AV830-DATA[[#This Row],[fecha_fs]]&lt;0,0,AV830-DATA[[#This Row],[fecha_fs]])</f>
        <v>4</v>
      </c>
      <c r="AZ830" s="20">
        <f t="shared" si="82"/>
        <v>11</v>
      </c>
      <c r="BA830" s="20">
        <f t="shared" si="83"/>
        <v>0</v>
      </c>
      <c r="BB830" s="195">
        <f>IFERROR(SUM(DATA[[#This Row],[fs_val_ttf]:[fact_pago_ttf]]),0)</f>
        <v>15</v>
      </c>
      <c r="BC830" s="185">
        <v>45842</v>
      </c>
      <c r="BD830" s="185">
        <v>45846</v>
      </c>
      <c r="BE830" s="185">
        <v>45848</v>
      </c>
      <c r="BF830" s="185">
        <v>45873</v>
      </c>
      <c r="BG830" s="20">
        <f>IFERROR(IF(BC830-DATA[[#This Row],[fecha_fs]]&lt;0,0,BC830-DATA[[#This Row],[fecha_fs]]),0)</f>
        <v>11</v>
      </c>
      <c r="BH830" s="20">
        <f t="shared" si="84"/>
        <v>4</v>
      </c>
      <c r="BI830" s="20">
        <f t="shared" si="85"/>
        <v>2</v>
      </c>
      <c r="BJ830" s="20">
        <f t="shared" si="86"/>
        <v>25</v>
      </c>
      <c r="BK830" s="218">
        <f>IFERROR(SUM(DATA[[#This Row],[fs_fd_ttd]:[fend_fenf_ttd]]),0)</f>
        <v>42</v>
      </c>
      <c r="BL830" s="20" t="str">
        <f>IF(DATA[[#This Row],[fecha_fs]]&gt;0,TEXT(DATA[[#This Row],[fecha_fs]],"YYYY"),0)</f>
        <v>2025</v>
      </c>
      <c r="BM830" s="221" t="b">
        <v>1</v>
      </c>
      <c r="BN830" s="278">
        <f>COUNTIF(DATA[[#This Row],[tiempo_td]], "&lt;=15")</f>
        <v>0</v>
      </c>
      <c r="BO830" s="222"/>
    </row>
    <row r="831" spans="1:67" ht="30.6" customHeight="1" x14ac:dyDescent="0.25">
      <c r="A831" s="4">
        <v>20141637941</v>
      </c>
      <c r="B831" s="5" t="s">
        <v>79</v>
      </c>
      <c r="C831" s="52" t="s">
        <v>18</v>
      </c>
      <c r="D831" s="4" t="s">
        <v>120</v>
      </c>
      <c r="E831" s="5" t="s">
        <v>3</v>
      </c>
      <c r="F831" s="24">
        <v>45833</v>
      </c>
      <c r="G831" s="7" t="s">
        <v>113</v>
      </c>
      <c r="H831" s="25">
        <f t="shared" ref="H831:H892" si="88">IF(G831="","",IF(G831="LIM",2,1))</f>
        <v>1</v>
      </c>
      <c r="I831" s="67">
        <v>4667</v>
      </c>
      <c r="J831" s="8" t="s">
        <v>115</v>
      </c>
      <c r="K831" s="9" t="s">
        <v>121</v>
      </c>
      <c r="L831" s="10" t="s">
        <v>117</v>
      </c>
      <c r="M831" s="11">
        <v>840</v>
      </c>
      <c r="N831" s="12" t="s">
        <v>125</v>
      </c>
      <c r="O831" s="6">
        <v>45835</v>
      </c>
      <c r="P831" s="110">
        <v>3519</v>
      </c>
      <c r="Q831" s="14" t="s">
        <v>85</v>
      </c>
      <c r="R831" s="15">
        <v>80</v>
      </c>
      <c r="S831" s="15">
        <v>832</v>
      </c>
      <c r="T831" s="15">
        <f>DATA[[#This Row],[C. DF]]+DATA[[#This Row],[C.OPE.]]</f>
        <v>912</v>
      </c>
      <c r="U831" s="15">
        <f>DATA[[#This Row],[SUB TOTAL]]*0.18</f>
        <v>164.16</v>
      </c>
      <c r="V831" s="15">
        <f>IFERROR(ROUND(DATA[[#This Row],[SUB TOTAL]]+DATA[[#This Row],[IGV]],2),0)</f>
        <v>1076.1600000000001</v>
      </c>
      <c r="W831" s="16" t="str">
        <f>IF(DATA[[#This Row],[VALORIZACIÓN ]]="-","NO CORRESPONDE",IF(OR(A831=20558226979,A831=10470707866,A831=20111157058,A831=20100226902),"NO CORRESPONDE",IF(J831="Emitida",IF(P831&gt;0,"EMITIDA","PENDIENTE"),"NO CORRESPONDE")))</f>
        <v>EMITIDA</v>
      </c>
      <c r="X831" s="29"/>
      <c r="Y831" s="17" t="s">
        <v>118</v>
      </c>
      <c r="Z831" s="30">
        <v>45835</v>
      </c>
      <c r="AA831" s="10" t="s">
        <v>150</v>
      </c>
      <c r="AB831" s="19">
        <v>136</v>
      </c>
      <c r="AC831" s="20">
        <v>30</v>
      </c>
      <c r="AD831" s="18">
        <f>DATA[[#This Row],[FECHA DE EMISION]]+DATA[[#This Row],[CONDICION DE PAGO]]</f>
        <v>45865</v>
      </c>
      <c r="AE831" s="23">
        <f>IF(DATA[[#This Row],[MONEDA]]="USD",VLOOKUP(DATA[[#This Row],[COMBINADA]],#REF!,11,0),1)</f>
        <v>1</v>
      </c>
      <c r="AF831" s="129" t="str">
        <f>IF(DATA[[#This Row],[SERIE2]]="-","NO CORRESPONDE",IF(W831="NO CORRESPONDE","NO CORRESPONDE",IF(Z831&gt;0,"FACTURADO","PENDIENTE")))</f>
        <v>FACTURADO</v>
      </c>
      <c r="AG831" s="133">
        <f>IFERROR(VLOOKUP(DATA[[#This Row],[COMBINADA]],#REF!,6,0),0)</f>
        <v>0</v>
      </c>
      <c r="AH831" s="125">
        <f>IFERROR(VLOOKUP(DATA[[#This Row],[COMBINADA]],#REF!,9,0),0)/COUNTIFS(DATA[COMBINADA],DATA[[#This Row],[COMBINADA]])</f>
        <v>0</v>
      </c>
      <c r="AI831" s="136">
        <f>IFERROR(VLOOKUP(DATA[[#This Row],[COMBINADA]],#REF!,6,0),0)</f>
        <v>0</v>
      </c>
      <c r="AJ831" s="132">
        <f>IFERROR(VLOOKUP(DATA[[#This Row],[COMBINADA]],#REF!,9,0),0)/COUNTIFS(DATA[COMBINADA],DATA[[#This Row],[COMBINADA]])</f>
        <v>0</v>
      </c>
      <c r="AK831" s="407">
        <f>IFERROR(VLOOKUP(DATA[[#This Row],[COMBINADA]],#REF!,6,0),0)</f>
        <v>0</v>
      </c>
      <c r="AL831" s="125">
        <f>IFERROR(VLOOKUP(DATA[[#This Row],[COMBINADA]],#REF!,9,0),0)/COUNTIFS(DATA[COMBINADA],DATA[[#This Row],[COMBINADA]])</f>
        <v>0</v>
      </c>
      <c r="AM831" s="27">
        <f>IFERROR(VLOOKUP(DATA[[#This Row],[COMBINADA]],#REF!,6,0),0)</f>
        <v>0</v>
      </c>
      <c r="AN831" s="125">
        <f>IFERROR(VLOOKUP(DATA[[#This Row],[COMBINADA]],#REF!,9,0),0)/COUNTIFS(DATA[COMBINADA],DATA[[#This Row],[COMBINADA]])</f>
        <v>0</v>
      </c>
      <c r="AO831" s="27">
        <f>IFERROR(VLOOKUP(DATA[[#This Row],[COMBINADA]],#REF!,6,0),0)</f>
        <v>0</v>
      </c>
      <c r="AP831" s="132">
        <f>IFERROR(VLOOKUP(DATA[[#This Row],[COMBINADA]],#REF!,9,0),0)/COUNTIFS(DATA[COMBINADA],DATA[[#This Row],[COMBINADA]])</f>
        <v>0</v>
      </c>
      <c r="AQ83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1078.0480000000002</v>
      </c>
      <c r="AR831" s="26" t="str">
        <f>IFERROR(IF(DATA[[#This Row],[estado_fact]]="FACTURADO",VLOOKUP(DATA[[#This Row],[SERIE2]]&amp;"-"&amp;DATA[[#This Row],[NUMERO]],#REF!,34,0),"NO CORRESPONDE"),"NO CORRESPONDE")</f>
        <v>NO CORRESPONDE</v>
      </c>
      <c r="AS831" s="22" t="str">
        <f>IF(DATA[[#This Row],[fecha_fs]]&gt;0,TEXT(DATA[[#This Row],[fecha_fs]],"Mmmm"),0)</f>
        <v>Junio</v>
      </c>
      <c r="AT831" s="22" t="str">
        <f>DATA[[#This Row],[SERIE2]]&amp;"-"&amp;DATA[[#This Row],[NUMERO]]</f>
        <v>FF01-136</v>
      </c>
      <c r="AU831" s="28">
        <f>DATA[[#This Row],[TOTAL]]*DATA[[#This Row],[T.C.]]</f>
        <v>1076.1600000000001</v>
      </c>
      <c r="AV831" s="6">
        <f>DATA[[#This Row],[FECHA DE VAL.]]</f>
        <v>45835</v>
      </c>
      <c r="AW831" s="6">
        <f>DATA[[#This Row],[FECHA DE EMISION]]</f>
        <v>45835</v>
      </c>
      <c r="AX831" s="6">
        <f>DATA[[#This Row],[F1]]</f>
        <v>0</v>
      </c>
      <c r="AY831" s="20">
        <f>IF(AV831-DATA[[#This Row],[fecha_fs]]&lt;0,0,AV831-DATA[[#This Row],[fecha_fs]])</f>
        <v>2</v>
      </c>
      <c r="AZ831" s="20">
        <f t="shared" si="82"/>
        <v>0</v>
      </c>
      <c r="BA831" s="20">
        <f t="shared" si="83"/>
        <v>0</v>
      </c>
      <c r="BB831" s="195">
        <f>IFERROR(SUM(DATA[[#This Row],[fs_val_ttf]:[fact_pago_ttf]]),0)</f>
        <v>2</v>
      </c>
      <c r="BC831" s="185">
        <v>45853</v>
      </c>
      <c r="BD831" s="185">
        <v>45862</v>
      </c>
      <c r="BE831" s="185">
        <v>45873</v>
      </c>
      <c r="BF831" s="233">
        <v>45882</v>
      </c>
      <c r="BG831" s="20">
        <f>IFERROR(IF(BC831-DATA[[#This Row],[fecha_fs]]&lt;0,0,BC831-DATA[[#This Row],[fecha_fs]]),0)</f>
        <v>20</v>
      </c>
      <c r="BH831" s="20">
        <f t="shared" si="84"/>
        <v>9</v>
      </c>
      <c r="BI831" s="20">
        <f t="shared" si="85"/>
        <v>11</v>
      </c>
      <c r="BJ831" s="20">
        <f t="shared" si="86"/>
        <v>9</v>
      </c>
      <c r="BK831" s="218">
        <f>IFERROR(SUM(DATA[[#This Row],[fs_fd_ttd]:[fend_fenf_ttd]]),0)</f>
        <v>49</v>
      </c>
      <c r="BL831" s="20" t="str">
        <f>IF(DATA[[#This Row],[fecha_fs]]&gt;0,TEXT(DATA[[#This Row],[fecha_fs]],"YYYY"),0)</f>
        <v>2025</v>
      </c>
      <c r="BM831" s="221" t="b">
        <v>1</v>
      </c>
      <c r="BN831" s="278">
        <f>COUNTIF(DATA[[#This Row],[tiempo_td]], "&lt;=15")</f>
        <v>0</v>
      </c>
      <c r="BO831" s="222"/>
    </row>
    <row r="832" spans="1:67" ht="30.6" customHeight="1" x14ac:dyDescent="0.25">
      <c r="A832" s="4">
        <v>20100192064</v>
      </c>
      <c r="B832" s="5" t="s">
        <v>60</v>
      </c>
      <c r="C832" s="52" t="s">
        <v>64</v>
      </c>
      <c r="D832" s="4" t="s">
        <v>112</v>
      </c>
      <c r="E832" s="5" t="s">
        <v>1</v>
      </c>
      <c r="F832" s="24">
        <v>45832</v>
      </c>
      <c r="G832" s="7" t="s">
        <v>113</v>
      </c>
      <c r="H832" s="25">
        <f t="shared" si="88"/>
        <v>1</v>
      </c>
      <c r="I832" s="67">
        <v>4668</v>
      </c>
      <c r="J832" s="8" t="s">
        <v>115</v>
      </c>
      <c r="K832" s="9" t="s">
        <v>136</v>
      </c>
      <c r="L832" s="10" t="s">
        <v>137</v>
      </c>
      <c r="M832" s="11">
        <v>22</v>
      </c>
      <c r="N832" s="12" t="s">
        <v>122</v>
      </c>
      <c r="O832" s="6">
        <v>45834</v>
      </c>
      <c r="P832" s="71">
        <v>3509</v>
      </c>
      <c r="Q832" s="14" t="s">
        <v>123</v>
      </c>
      <c r="R832" s="15">
        <f>DATA[[#This Row],[cantidad_fs]]*33.34</f>
        <v>733.48</v>
      </c>
      <c r="S832" s="15"/>
      <c r="T832" s="15">
        <f>DATA[[#This Row],[C. DF]]+DATA[[#This Row],[C.OPE.]]</f>
        <v>733.48</v>
      </c>
      <c r="U832" s="15">
        <f>DATA[[#This Row],[SUB TOTAL]]*0.18</f>
        <v>132.0264</v>
      </c>
      <c r="V832" s="15">
        <f>IFERROR(ROUND(DATA[[#This Row],[SUB TOTAL]]+DATA[[#This Row],[IGV]],2),0)</f>
        <v>865.51</v>
      </c>
      <c r="W832" s="16" t="str">
        <f>IF(DATA[[#This Row],[VALORIZACIÓN ]]="-","NO CORRESPONDE",IF(OR(A832=20558226979,A832=10470707866,A832=20111157058,A832=20100226902),"NO CORRESPONDE",IF(J832="Emitida",IF(P832&gt;0,"EMITIDA","PENDIENTE"),"NO CORRESPONDE")))</f>
        <v>EMITIDA</v>
      </c>
      <c r="X832" s="29"/>
      <c r="Y832" s="17" t="s">
        <v>118</v>
      </c>
      <c r="Z832" s="30">
        <v>45835</v>
      </c>
      <c r="AA832" s="10" t="s">
        <v>150</v>
      </c>
      <c r="AB832" s="19">
        <v>134</v>
      </c>
      <c r="AC832" s="20">
        <v>30</v>
      </c>
      <c r="AD832" s="18">
        <f>DATA[[#This Row],[FECHA DE EMISION]]+DATA[[#This Row],[CONDICION DE PAGO]]</f>
        <v>45865</v>
      </c>
      <c r="AE832" s="23" t="e">
        <f>IF(DATA[[#This Row],[MONEDA]]="USD",VLOOKUP(DATA[[#This Row],[COMBINADA]],#REF!,11,0),1)</f>
        <v>#REF!</v>
      </c>
      <c r="AF832" s="129" t="str">
        <f>IF(DATA[[#This Row],[SERIE2]]="-","NO CORRESPONDE",IF(W832="NO CORRESPONDE","NO CORRESPONDE",IF(Z832&gt;0,"FACTURADO","PENDIENTE")))</f>
        <v>FACTURADO</v>
      </c>
      <c r="AG832" s="133">
        <f>IFERROR(VLOOKUP(DATA[[#This Row],[COMBINADA]],#REF!,6,0),0)</f>
        <v>0</v>
      </c>
      <c r="AH832" s="125">
        <f>IFERROR(VLOOKUP(DATA[[#This Row],[COMBINADA]],#REF!,9,0),0)/COUNTIFS(DATA[COMBINADA],DATA[[#This Row],[COMBINADA]])</f>
        <v>0</v>
      </c>
      <c r="AI832" s="136">
        <f>IFERROR(VLOOKUP(DATA[[#This Row],[COMBINADA]],#REF!,6,0),0)</f>
        <v>0</v>
      </c>
      <c r="AJ832" s="132">
        <f>IFERROR(VLOOKUP(DATA[[#This Row],[COMBINADA]],#REF!,9,0),0)/COUNTIFS(DATA[COMBINADA],DATA[[#This Row],[COMBINADA]])</f>
        <v>0</v>
      </c>
      <c r="AK832" s="407">
        <f>IFERROR(VLOOKUP(DATA[[#This Row],[COMBINADA]],#REF!,6,0),0)</f>
        <v>0</v>
      </c>
      <c r="AL832" s="125">
        <f>IFERROR(VLOOKUP(DATA[[#This Row],[COMBINADA]],#REF!,9,0),0)/COUNTIFS(DATA[COMBINADA],DATA[[#This Row],[COMBINADA]])</f>
        <v>0</v>
      </c>
      <c r="AM832" s="27">
        <f>IFERROR(VLOOKUP(DATA[[#This Row],[COMBINADA]],#REF!,6,0),0)</f>
        <v>0</v>
      </c>
      <c r="AN832" s="125">
        <f>IFERROR(VLOOKUP(DATA[[#This Row],[COMBINADA]],#REF!,9,0),0)/COUNTIFS(DATA[COMBINADA],DATA[[#This Row],[COMBINADA]])</f>
        <v>0</v>
      </c>
      <c r="AO832" s="27">
        <f>IFERROR(VLOOKUP(DATA[[#This Row],[COMBINADA]],#REF!,6,0),0)</f>
        <v>0</v>
      </c>
      <c r="AP832" s="132">
        <f>IFERROR(VLOOKUP(DATA[[#This Row],[COMBINADA]],#REF!,9,0),0)/COUNTIFS(DATA[COMBINADA],DATA[[#This Row],[COMBINADA]])</f>
        <v>0</v>
      </c>
      <c r="AQ83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574.13187500000015</v>
      </c>
      <c r="AR832" s="26" t="str">
        <f>IFERROR(IF(DATA[[#This Row],[estado_fact]]="FACTURADO",VLOOKUP(DATA[[#This Row],[SERIE2]]&amp;"-"&amp;DATA[[#This Row],[NUMERO]],#REF!,34,0),"NO CORRESPONDE"),"NO CORRESPONDE")</f>
        <v>NO CORRESPONDE</v>
      </c>
      <c r="AS832" s="22" t="str">
        <f>IF(DATA[[#This Row],[fecha_fs]]&gt;0,TEXT(DATA[[#This Row],[fecha_fs]],"Mmmm"),0)</f>
        <v>Junio</v>
      </c>
      <c r="AT832" s="22" t="str">
        <f>DATA[[#This Row],[SERIE2]]&amp;"-"&amp;DATA[[#This Row],[NUMERO]]</f>
        <v>FF01-134</v>
      </c>
      <c r="AU832" s="28" t="e">
        <f>DATA[[#This Row],[TOTAL]]*DATA[[#This Row],[T.C.]]</f>
        <v>#REF!</v>
      </c>
      <c r="AV832" s="6">
        <f>DATA[[#This Row],[FECHA DE VAL.]]</f>
        <v>45834</v>
      </c>
      <c r="AW832" s="6">
        <f>DATA[[#This Row],[FECHA DE EMISION]]</f>
        <v>45835</v>
      </c>
      <c r="AX832" s="6">
        <f>DATA[[#This Row],[F1]]</f>
        <v>0</v>
      </c>
      <c r="AY832" s="20">
        <f>IF(AV832-DATA[[#This Row],[fecha_fs]]&lt;0,0,AV832-DATA[[#This Row],[fecha_fs]])</f>
        <v>2</v>
      </c>
      <c r="AZ832" s="20">
        <f t="shared" ref="AZ832:AZ893" si="89">IF(AW832-AV832&lt;0,0,AW832-AV832)</f>
        <v>1</v>
      </c>
      <c r="BA832" s="20">
        <f t="shared" ref="BA832:BA893" si="90">IF(AX832-AW832&lt;0,0,AX832-AW832)</f>
        <v>0</v>
      </c>
      <c r="BB832" s="195">
        <f>IFERROR(SUM(DATA[[#This Row],[fs_val_ttf]:[fact_pago_ttf]]),0)</f>
        <v>3</v>
      </c>
      <c r="BC832" s="185">
        <v>45832</v>
      </c>
      <c r="BD832" s="233">
        <v>45845</v>
      </c>
      <c r="BE832" s="233">
        <v>45849</v>
      </c>
      <c r="BF832" s="185">
        <v>45863</v>
      </c>
      <c r="BG832" s="20">
        <f>IFERROR(IF(BC832-DATA[[#This Row],[fecha_fs]]&lt;0,0,BC832-DATA[[#This Row],[fecha_fs]]),0)</f>
        <v>0</v>
      </c>
      <c r="BH832" s="20">
        <f t="shared" si="84"/>
        <v>13</v>
      </c>
      <c r="BI832" s="20">
        <f t="shared" si="85"/>
        <v>4</v>
      </c>
      <c r="BJ832" s="20">
        <f t="shared" si="86"/>
        <v>14</v>
      </c>
      <c r="BK832" s="218">
        <f>IFERROR(SUM(DATA[[#This Row],[fs_fd_ttd]:[fend_fenf_ttd]]),0)</f>
        <v>31</v>
      </c>
      <c r="BL832" s="20" t="str">
        <f>IF(DATA[[#This Row],[fecha_fs]]&gt;0,TEXT(DATA[[#This Row],[fecha_fs]],"YYYY"),0)</f>
        <v>2025</v>
      </c>
      <c r="BM832" s="221" t="b">
        <v>1</v>
      </c>
      <c r="BN832" s="278">
        <f>COUNTIF(DATA[[#This Row],[tiempo_td]], "&lt;=15")</f>
        <v>0</v>
      </c>
      <c r="BO832" s="222"/>
    </row>
    <row r="833" spans="1:67" ht="30.6" customHeight="1" x14ac:dyDescent="0.25">
      <c r="A833" s="4">
        <v>20603536569</v>
      </c>
      <c r="B833" s="5" t="s">
        <v>27</v>
      </c>
      <c r="C833" s="52" t="s">
        <v>295</v>
      </c>
      <c r="D833" s="4" t="s">
        <v>120</v>
      </c>
      <c r="E833" s="5" t="s">
        <v>3</v>
      </c>
      <c r="F833" s="24">
        <v>45832</v>
      </c>
      <c r="G833" s="7" t="s">
        <v>113</v>
      </c>
      <c r="H833" s="25">
        <f t="shared" si="88"/>
        <v>1</v>
      </c>
      <c r="I833" s="67">
        <v>4669</v>
      </c>
      <c r="J833" s="8" t="s">
        <v>115</v>
      </c>
      <c r="K833" s="9" t="s">
        <v>121</v>
      </c>
      <c r="L833" s="10" t="s">
        <v>117</v>
      </c>
      <c r="M833" s="11">
        <v>408</v>
      </c>
      <c r="N833" s="12" t="s">
        <v>132</v>
      </c>
      <c r="O833" s="6">
        <v>45835</v>
      </c>
      <c r="P833" s="13">
        <v>3526</v>
      </c>
      <c r="Q833" s="14" t="s">
        <v>85</v>
      </c>
      <c r="R833" s="15">
        <f>192+((DATA[[#This Row],[cantidad_fs]]-300)*1.7)</f>
        <v>375.6</v>
      </c>
      <c r="S833" s="15">
        <v>3688.35</v>
      </c>
      <c r="T833" s="15">
        <f>DATA[[#This Row],[C. DF]]+DATA[[#This Row],[C.OPE.]]</f>
        <v>4063.95</v>
      </c>
      <c r="U833" s="15">
        <f>DATA[[#This Row],[SUB TOTAL]]*0.18</f>
        <v>731.51099999999997</v>
      </c>
      <c r="V833" s="15">
        <f>IFERROR(ROUND(DATA[[#This Row],[SUB TOTAL]]+DATA[[#This Row],[IGV]],2),0)</f>
        <v>4795.46</v>
      </c>
      <c r="W833" s="16" t="str">
        <f>IF(DATA[[#This Row],[VALORIZACIÓN ]]="-","NO CORRESPONDE",IF(OR(A833=20558226979,A833=10470707866,A833=20111157058,A833=20100226902),"NO CORRESPONDE",IF(J833="Emitida",IF(P833&gt;0,"EMITIDA","PENDIENTE"),"NO CORRESPONDE")))</f>
        <v>EMITIDA</v>
      </c>
      <c r="X833" s="29"/>
      <c r="Y833" s="17" t="s">
        <v>118</v>
      </c>
      <c r="Z833" s="30">
        <v>45849</v>
      </c>
      <c r="AA833" s="10" t="s">
        <v>150</v>
      </c>
      <c r="AB833" s="19">
        <v>175</v>
      </c>
      <c r="AC833" s="20">
        <v>15</v>
      </c>
      <c r="AD833" s="18">
        <f>DATA[[#This Row],[FECHA DE EMISION]]+DATA[[#This Row],[CONDICION DE PAGO]]</f>
        <v>45864</v>
      </c>
      <c r="AE833" s="23">
        <f>IF(DATA[[#This Row],[MONEDA]]="USD",VLOOKUP(DATA[[#This Row],[COMBINADA]],#REF!,11,0),1)</f>
        <v>1</v>
      </c>
      <c r="AF833" s="129" t="str">
        <f>IF(DATA[[#This Row],[SERIE2]]="-","NO CORRESPONDE",IF(W833="NO CORRESPONDE","NO CORRESPONDE",IF(Z833&gt;0,"FACTURADO","PENDIENTE")))</f>
        <v>FACTURADO</v>
      </c>
      <c r="AG833" s="133">
        <f>IFERROR(VLOOKUP(DATA[[#This Row],[COMBINADA]],#REF!,6,0),0)</f>
        <v>0</v>
      </c>
      <c r="AH833" s="125">
        <f>IFERROR(VLOOKUP(DATA[[#This Row],[COMBINADA]],#REF!,9,0),0)/COUNTIFS(DATA[COMBINADA],DATA[[#This Row],[COMBINADA]])</f>
        <v>0</v>
      </c>
      <c r="AI833" s="136">
        <f>IFERROR(VLOOKUP(DATA[[#This Row],[COMBINADA]],#REF!,6,0),0)</f>
        <v>0</v>
      </c>
      <c r="AJ833" s="132">
        <f>IFERROR(VLOOKUP(DATA[[#This Row],[COMBINADA]],#REF!,9,0),0)/COUNTIFS(DATA[COMBINADA],DATA[[#This Row],[COMBINADA]])</f>
        <v>0</v>
      </c>
      <c r="AK833" s="409">
        <f>IFERROR(VLOOKUP(DATA[[#This Row],[COMBINADA]],#REF!,6,0),0)</f>
        <v>0</v>
      </c>
      <c r="AL833" s="155">
        <f>IFERROR(VLOOKUP(DATA[[#This Row],[COMBINADA]],#REF!,9,0),0)/COUNTIFS(DATA[COMBINADA],DATA[[#This Row],[COMBINADA]])</f>
        <v>0</v>
      </c>
      <c r="AM833" s="156">
        <f>IFERROR(VLOOKUP(DATA[[#This Row],[COMBINADA]],#REF!,6,0),0)</f>
        <v>0</v>
      </c>
      <c r="AN833" s="155">
        <f>IFERROR(VLOOKUP(DATA[[#This Row],[COMBINADA]],#REF!,9,0),0)/COUNTIFS(DATA[COMBINADA],DATA[[#This Row],[COMBINADA]])</f>
        <v>0</v>
      </c>
      <c r="AO833" s="156">
        <f>IFERROR(VLOOKUP(DATA[[#This Row],[COMBINADA]],#REF!,6,0),0)</f>
        <v>0</v>
      </c>
      <c r="AP833" s="157">
        <f>IFERROR(VLOOKUP(DATA[[#This Row],[COMBINADA]],#REF!,9,0),0)/COUNTIFS(DATA[COMBINADA],DATA[[#This Row],[COMBINADA]])</f>
        <v>0</v>
      </c>
      <c r="AQ833" s="15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4795.46</v>
      </c>
      <c r="AR833" s="26" t="str">
        <f>IFERROR(IF(DATA[[#This Row],[estado_fact]]="FACTURADO",VLOOKUP(DATA[[#This Row],[SERIE2]]&amp;"-"&amp;DATA[[#This Row],[NUMERO]],#REF!,34,0),"NO CORRESPONDE"),"NO CORRESPONDE")</f>
        <v>NO CORRESPONDE</v>
      </c>
      <c r="AS833" s="22" t="str">
        <f>IF(DATA[[#This Row],[fecha_fs]]&gt;0,TEXT(DATA[[#This Row],[fecha_fs]],"Mmmm"),0)</f>
        <v>Junio</v>
      </c>
      <c r="AT833" s="22" t="str">
        <f>DATA[[#This Row],[SERIE2]]&amp;"-"&amp;DATA[[#This Row],[NUMERO]]</f>
        <v>FF01-175</v>
      </c>
      <c r="AU833" s="28">
        <f>DATA[[#This Row],[TOTAL]]*DATA[[#This Row],[T.C.]]</f>
        <v>4795.46</v>
      </c>
      <c r="AV833" s="6">
        <f>DATA[[#This Row],[FECHA DE VAL.]]</f>
        <v>45835</v>
      </c>
      <c r="AW833" s="6">
        <f>DATA[[#This Row],[FECHA DE EMISION]]</f>
        <v>45849</v>
      </c>
      <c r="AX833" s="6">
        <f>DATA[[#This Row],[F1]]</f>
        <v>0</v>
      </c>
      <c r="AY833" s="20">
        <f>IF(AV833-DATA[[#This Row],[fecha_fs]]&lt;0,0,AV833-DATA[[#This Row],[fecha_fs]])</f>
        <v>3</v>
      </c>
      <c r="AZ833" s="20">
        <f t="shared" si="89"/>
        <v>14</v>
      </c>
      <c r="BA833" s="20">
        <f t="shared" si="90"/>
        <v>0</v>
      </c>
      <c r="BB833" s="195">
        <f>IFERROR(SUM(DATA[[#This Row],[fs_val_ttf]:[fact_pago_ttf]]),0)</f>
        <v>17</v>
      </c>
      <c r="BC833" s="185">
        <v>45838</v>
      </c>
      <c r="BD833" s="185">
        <v>45846</v>
      </c>
      <c r="BE833" s="185">
        <v>45848</v>
      </c>
      <c r="BF833" s="185">
        <v>45862</v>
      </c>
      <c r="BG833" s="20">
        <f>IFERROR(IF(BC833-DATA[[#This Row],[fecha_fs]]&lt;0,0,BC833-DATA[[#This Row],[fecha_fs]]),0)</f>
        <v>6</v>
      </c>
      <c r="BH833" s="20">
        <f t="shared" si="84"/>
        <v>8</v>
      </c>
      <c r="BI833" s="20">
        <f t="shared" si="85"/>
        <v>2</v>
      </c>
      <c r="BJ833" s="20">
        <f t="shared" si="86"/>
        <v>14</v>
      </c>
      <c r="BK833" s="218">
        <f>IFERROR(SUM(DATA[[#This Row],[fs_fd_ttd]:[fend_fenf_ttd]]),0)</f>
        <v>30</v>
      </c>
      <c r="BL833" s="20" t="str">
        <f>IF(DATA[[#This Row],[fecha_fs]]&gt;0,TEXT(DATA[[#This Row],[fecha_fs]],"YYYY"),0)</f>
        <v>2025</v>
      </c>
      <c r="BM833" s="221" t="b">
        <v>1</v>
      </c>
      <c r="BN833" s="278">
        <f>COUNTIF(DATA[[#This Row],[tiempo_td]], "&lt;=15")</f>
        <v>0</v>
      </c>
      <c r="BO833" s="222"/>
    </row>
    <row r="834" spans="1:67" ht="30.6" customHeight="1" x14ac:dyDescent="0.25">
      <c r="A834" s="4">
        <v>20100055237</v>
      </c>
      <c r="B834" s="5" t="s">
        <v>21</v>
      </c>
      <c r="C834" s="52" t="s">
        <v>138</v>
      </c>
      <c r="D834" s="4" t="s">
        <v>139</v>
      </c>
      <c r="E834" s="5" t="s">
        <v>23</v>
      </c>
      <c r="F834" s="24">
        <v>45832</v>
      </c>
      <c r="G834" s="7" t="s">
        <v>113</v>
      </c>
      <c r="H834" s="25">
        <f t="shared" si="88"/>
        <v>1</v>
      </c>
      <c r="I834" s="67">
        <v>4670</v>
      </c>
      <c r="J834" s="8" t="s">
        <v>115</v>
      </c>
      <c r="K834" s="9" t="s">
        <v>121</v>
      </c>
      <c r="L834" s="10" t="s">
        <v>117</v>
      </c>
      <c r="M834" s="11">
        <v>200</v>
      </c>
      <c r="N834" s="12" t="s">
        <v>200</v>
      </c>
      <c r="O834" s="6">
        <v>45835</v>
      </c>
      <c r="P834" s="54">
        <v>3525</v>
      </c>
      <c r="Q834" s="14" t="s">
        <v>85</v>
      </c>
      <c r="R834" s="15"/>
      <c r="S834" s="15">
        <v>297.92</v>
      </c>
      <c r="T834" s="15">
        <f>DATA[[#This Row],[C. DF]]+DATA[[#This Row],[C.OPE.]]</f>
        <v>297.92</v>
      </c>
      <c r="U834" s="15">
        <f>DATA[[#This Row],[SUB TOTAL]]*0.18</f>
        <v>53.625599999999999</v>
      </c>
      <c r="V834" s="15">
        <f>IFERROR(ROUND(DATA[[#This Row],[SUB TOTAL]]+DATA[[#This Row],[IGV]],2),0)</f>
        <v>351.55</v>
      </c>
      <c r="W834" s="16" t="str">
        <f>IF(DATA[[#This Row],[VALORIZACIÓN ]]="-","NO CORRESPONDE",IF(OR(A834=20558226979,A834=10470707866,A834=20111157058,A834=20100226902),"NO CORRESPONDE",IF(J834="Emitida",IF(P834&gt;0,"EMITIDA","PENDIENTE"),"NO CORRESPONDE")))</f>
        <v>EMITIDA</v>
      </c>
      <c r="X834" s="29"/>
      <c r="Y834" s="17" t="s">
        <v>118</v>
      </c>
      <c r="Z834" s="30">
        <v>45848</v>
      </c>
      <c r="AA834" s="10" t="s">
        <v>150</v>
      </c>
      <c r="AB834" s="19">
        <v>169</v>
      </c>
      <c r="AC834" s="20">
        <v>30</v>
      </c>
      <c r="AD834" s="18">
        <f>DATA[[#This Row],[FECHA DE EMISION]]+DATA[[#This Row],[CONDICION DE PAGO]]</f>
        <v>45878</v>
      </c>
      <c r="AE834" s="23">
        <f>IF(DATA[[#This Row],[MONEDA]]="USD",VLOOKUP(DATA[[#This Row],[COMBINADA]],#REF!,11,0),1)</f>
        <v>1</v>
      </c>
      <c r="AF834" s="129" t="str">
        <f>IF(DATA[[#This Row],[SERIE2]]="-","NO CORRESPONDE",IF(W834="NO CORRESPONDE","NO CORRESPONDE",IF(Z834&gt;0,"FACTURADO","PENDIENTE")))</f>
        <v>FACTURADO</v>
      </c>
      <c r="AG834" s="133">
        <f>IFERROR(VLOOKUP(DATA[[#This Row],[COMBINADA]],#REF!,6,0),0)</f>
        <v>0</v>
      </c>
      <c r="AH834" s="125">
        <f>IFERROR(VLOOKUP(DATA[[#This Row],[COMBINADA]],#REF!,9,0),0)/COUNTIFS(DATA[COMBINADA],DATA[[#This Row],[COMBINADA]])</f>
        <v>0</v>
      </c>
      <c r="AI834" s="136">
        <f>IFERROR(VLOOKUP(DATA[[#This Row],[COMBINADA]],#REF!,6,0),0)</f>
        <v>0</v>
      </c>
      <c r="AJ834" s="132">
        <f>IFERROR(VLOOKUP(DATA[[#This Row],[COMBINADA]],#REF!,9,0),0)/COUNTIFS(DATA[COMBINADA],DATA[[#This Row],[COMBINADA]])</f>
        <v>0</v>
      </c>
      <c r="AK834" s="407">
        <f>IFERROR(VLOOKUP(DATA[[#This Row],[COMBINADA]],#REF!,6,0),0)</f>
        <v>0</v>
      </c>
      <c r="AL834" s="125">
        <f>IFERROR(VLOOKUP(DATA[[#This Row],[COMBINADA]],#REF!,9,0),0)/COUNTIFS(DATA[COMBINADA],DATA[[#This Row],[COMBINADA]])</f>
        <v>0</v>
      </c>
      <c r="AM834" s="27">
        <f>IFERROR(VLOOKUP(DATA[[#This Row],[COMBINADA]],#REF!,6,0),0)</f>
        <v>0</v>
      </c>
      <c r="AN834" s="125">
        <f>IFERROR(VLOOKUP(DATA[[#This Row],[COMBINADA]],#REF!,9,0),0)/COUNTIFS(DATA[COMBINADA],DATA[[#This Row],[COMBINADA]])</f>
        <v>0</v>
      </c>
      <c r="AO834" s="27">
        <f>IFERROR(VLOOKUP(DATA[[#This Row],[COMBINADA]],#REF!,6,0),0)</f>
        <v>0</v>
      </c>
      <c r="AP834" s="132">
        <f>IFERROR(VLOOKUP(DATA[[#This Row],[COMBINADA]],#REF!,9,0),0)/COUNTIFS(DATA[COMBINADA],DATA[[#This Row],[COMBINADA]])</f>
        <v>0</v>
      </c>
      <c r="AQ83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v>
      </c>
      <c r="AR834" s="173" t="str">
        <f>IFERROR(IF(DATA[[#This Row],[estado_fact]]="FACTURADO",VLOOKUP(DATA[[#This Row],[SERIE2]]&amp;"-"&amp;DATA[[#This Row],[NUMERO]],#REF!,34,0),"NO CORRESPONDE"),"NO CORRESPONDE")</f>
        <v>NO CORRESPONDE</v>
      </c>
      <c r="AS834" s="174" t="str">
        <f>IF(DATA[[#This Row],[fecha_fs]]&gt;0,TEXT(DATA[[#This Row],[fecha_fs]],"Mmmm"),0)</f>
        <v>Junio</v>
      </c>
      <c r="AT834" s="174" t="str">
        <f>DATA[[#This Row],[SERIE2]]&amp;"-"&amp;DATA[[#This Row],[NUMERO]]</f>
        <v>FF01-169</v>
      </c>
      <c r="AU834" s="175">
        <f>DATA[[#This Row],[TOTAL]]*DATA[[#This Row],[T.C.]]</f>
        <v>351.55</v>
      </c>
      <c r="AV834" s="6">
        <f>DATA[[#This Row],[FECHA DE VAL.]]</f>
        <v>45835</v>
      </c>
      <c r="AW834" s="6">
        <f>DATA[[#This Row],[FECHA DE EMISION]]</f>
        <v>45848</v>
      </c>
      <c r="AX834" s="6">
        <f>DATA[[#This Row],[F1]]</f>
        <v>0</v>
      </c>
      <c r="AY834" s="20">
        <f>IF(AV834-DATA[[#This Row],[fecha_fs]]&lt;0,0,AV834-DATA[[#This Row],[fecha_fs]])</f>
        <v>3</v>
      </c>
      <c r="AZ834" s="20">
        <f t="shared" si="89"/>
        <v>13</v>
      </c>
      <c r="BA834" s="20">
        <f t="shared" si="90"/>
        <v>0</v>
      </c>
      <c r="BB834" s="195">
        <f>IFERROR(SUM(DATA[[#This Row],[fs_val_ttf]:[fact_pago_ttf]]),0)</f>
        <v>16</v>
      </c>
      <c r="BC834" s="185">
        <v>45832</v>
      </c>
      <c r="BD834" s="185">
        <v>45832</v>
      </c>
      <c r="BE834" s="185">
        <v>45839</v>
      </c>
      <c r="BF834" s="233">
        <v>45839</v>
      </c>
      <c r="BG834" s="20">
        <f>IFERROR(IF(BC834-DATA[[#This Row],[fecha_fs]]&lt;0,0,BC834-DATA[[#This Row],[fecha_fs]]),0)</f>
        <v>0</v>
      </c>
      <c r="BH834" s="20">
        <f t="shared" si="84"/>
        <v>0</v>
      </c>
      <c r="BI834" s="20">
        <f t="shared" si="85"/>
        <v>7</v>
      </c>
      <c r="BJ834" s="20">
        <f t="shared" si="86"/>
        <v>0</v>
      </c>
      <c r="BK834" s="218">
        <f>IFERROR(SUM(DATA[[#This Row],[fs_fd_ttd]:[fend_fenf_ttd]]),0)</f>
        <v>7</v>
      </c>
      <c r="BL834" s="20" t="str">
        <f>IF(DATA[[#This Row],[fecha_fs]]&gt;0,TEXT(DATA[[#This Row],[fecha_fs]],"YYYY"),0)</f>
        <v>2025</v>
      </c>
      <c r="BM834" s="221" t="b">
        <v>1</v>
      </c>
      <c r="BN834" s="278">
        <f>COUNTIF(DATA[[#This Row],[tiempo_td]], "&lt;=15")</f>
        <v>1</v>
      </c>
      <c r="BO834" s="222"/>
    </row>
    <row r="835" spans="1:67" ht="30" customHeight="1" x14ac:dyDescent="0.25">
      <c r="A835" s="4"/>
      <c r="B835" s="5" t="s">
        <v>0</v>
      </c>
      <c r="C835" s="52"/>
      <c r="D835" s="4"/>
      <c r="E835" s="5" t="s">
        <v>0</v>
      </c>
      <c r="F835" s="24">
        <v>45832</v>
      </c>
      <c r="G835" s="7" t="s">
        <v>113</v>
      </c>
      <c r="H835" s="25">
        <f t="shared" si="88"/>
        <v>1</v>
      </c>
      <c r="I835" s="67">
        <v>4671</v>
      </c>
      <c r="J835" s="8" t="s">
        <v>151</v>
      </c>
      <c r="K835" s="9"/>
      <c r="L835" s="10"/>
      <c r="M835" s="111"/>
      <c r="N835" s="112"/>
      <c r="O835" s="6"/>
      <c r="P835" s="13"/>
      <c r="Q835" s="14"/>
      <c r="R835" s="15"/>
      <c r="S835" s="15"/>
      <c r="T835" s="15">
        <f>DATA[[#This Row],[C. DF]]+DATA[[#This Row],[C.OPE.]]</f>
        <v>0</v>
      </c>
      <c r="U835" s="15">
        <f>DATA[[#This Row],[SUB TOTAL]]*0.18</f>
        <v>0</v>
      </c>
      <c r="V835" s="15">
        <f>IFERROR(ROUND(DATA[[#This Row],[SUB TOTAL]]+DATA[[#This Row],[IGV]],2),0)</f>
        <v>0</v>
      </c>
      <c r="W835" s="73" t="str">
        <f>IF(DATA[[#This Row],[VALORIZACIÓN ]]="-","NO CORRESPONDE",IF(OR(A835=20558226979,A835=10470707866,A835=20111157058,A835=20100226902),"NO CORRESPONDE",IF(J835="Emitida",IF(P835&gt;0,"EMITIDA","PENDIENTE"),"NO CORRESPONDE")))</f>
        <v>NO CORRESPONDE</v>
      </c>
      <c r="X835" s="46"/>
      <c r="Y835" s="17" t="s">
        <v>128</v>
      </c>
      <c r="Z835" s="48"/>
      <c r="AA835" s="49"/>
      <c r="AB835" s="50"/>
      <c r="AC835" s="51"/>
      <c r="AD835" s="59">
        <f>DATA[[#This Row],[FECHA DE EMISION]]+DATA[[#This Row],[CONDICION DE PAGO]]</f>
        <v>0</v>
      </c>
      <c r="AE835" s="23">
        <f>IF(DATA[[#This Row],[MONEDA]]="USD",VLOOKUP(DATA[[#This Row],[COMBINADA]],#REF!,11,0),1)</f>
        <v>1</v>
      </c>
      <c r="AF835" s="129" t="str">
        <f>IF(DATA[[#This Row],[SERIE2]]="-","NO CORRESPONDE",IF(W835="NO CORRESPONDE","NO CORRESPONDE",IF(Z835&gt;0,"FACTURADO","PENDIENTE")))</f>
        <v>NO CORRESPONDE</v>
      </c>
      <c r="AG835" s="140">
        <f>IFERROR(VLOOKUP(DATA[[#This Row],[COMBINADA]],#REF!,6,0),0)</f>
        <v>0</v>
      </c>
      <c r="AH835" s="126">
        <f>IFERROR(VLOOKUP(DATA[[#This Row],[COMBINADA]],#REF!,9,0),0)/COUNTIFS(DATA[COMBINADA],DATA[[#This Row],[COMBINADA]])</f>
        <v>0</v>
      </c>
      <c r="AI835" s="140">
        <f>IFERROR(VLOOKUP(DATA[[#This Row],[COMBINADA]],#REF!,6,0),0)</f>
        <v>0</v>
      </c>
      <c r="AJ835" s="126">
        <f>IFERROR(VLOOKUP(DATA[[#This Row],[COMBINADA]],#REF!,9,0),0)/COUNTIFS(DATA[COMBINADA],DATA[[#This Row],[COMBINADA]])</f>
        <v>0</v>
      </c>
      <c r="AK835" s="61">
        <f>IFERROR(VLOOKUP(DATA[[#This Row],[COMBINADA]],#REF!,6,0),0)</f>
        <v>0</v>
      </c>
      <c r="AL835" s="126">
        <f>IFERROR(VLOOKUP(DATA[[#This Row],[COMBINADA]],#REF!,9,0),0)/COUNTIFS(DATA[COMBINADA],DATA[[#This Row],[COMBINADA]])</f>
        <v>0</v>
      </c>
      <c r="AM835" s="140">
        <f>IFERROR(VLOOKUP(DATA[[#This Row],[COMBINADA]],#REF!,6,0),0)</f>
        <v>0</v>
      </c>
      <c r="AN835" s="62">
        <f>IFERROR(VLOOKUP(DATA[[#This Row],[COMBINADA]],#REF!,9,0),0)/COUNTIFS(DATA[COMBINADA],DATA[[#This Row],[COMBINADA]])</f>
        <v>0</v>
      </c>
      <c r="AO835" s="61">
        <f>IFERROR(VLOOKUP(DATA[[#This Row],[COMBINADA]],#REF!,6,0),0)</f>
        <v>0</v>
      </c>
      <c r="AP835" s="62">
        <f>IFERROR(VLOOKUP(DATA[[#This Row],[COMBINADA]],#REF!,9,0),0)/COUNTIFS(DATA[COMBINADA],DATA[[#This Row],[COMBINADA]])</f>
        <v>0</v>
      </c>
      <c r="AQ835"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835" s="22" t="str">
        <f>IFERROR(IF(DATA[[#This Row],[estado_fact]]="FACTURADO",VLOOKUP(DATA[[#This Row],[SERIE2]]&amp;"-"&amp;DATA[[#This Row],[NUMERO]],#REF!,34,0),"NO CORRESPONDE"),"NO CORRESPONDE")</f>
        <v>NO CORRESPONDE</v>
      </c>
      <c r="AS835" s="198" t="str">
        <f>IF(DATA[[#This Row],[fecha_fs]]&gt;0,TEXT(DATA[[#This Row],[fecha_fs]],"Mmmm"),0)</f>
        <v>Junio</v>
      </c>
      <c r="AT835" s="199" t="str">
        <f>DATA[[#This Row],[SERIE2]]&amp;"-"&amp;DATA[[#This Row],[NUMERO]]</f>
        <v>-</v>
      </c>
      <c r="AU835" s="198">
        <f>DATA[[#This Row],[TOTAL]]*DATA[[#This Row],[T.C.]]</f>
        <v>0</v>
      </c>
      <c r="AV835" s="40">
        <f>DATA[[#This Row],[FECHA DE VAL.]]</f>
        <v>0</v>
      </c>
      <c r="AW835" s="40">
        <f>DATA[[#This Row],[FECHA DE EMISION]]</f>
        <v>0</v>
      </c>
      <c r="AX835" s="40">
        <f>DATA[[#This Row],[F1]]</f>
        <v>0</v>
      </c>
      <c r="AY835" s="49">
        <f>IF(AV835-DATA[[#This Row],[fecha_fs]]&lt;0,0,AV835-DATA[[#This Row],[fecha_fs]])</f>
        <v>0</v>
      </c>
      <c r="AZ835" s="49">
        <f t="shared" si="89"/>
        <v>0</v>
      </c>
      <c r="BA835" s="49">
        <f t="shared" si="90"/>
        <v>0</v>
      </c>
      <c r="BB835" s="195">
        <f>IFERROR(SUM(DATA[[#This Row],[fs_val_ttf]:[fact_pago_ttf]]),0)</f>
        <v>0</v>
      </c>
      <c r="BC835" s="47"/>
      <c r="BD835" s="47"/>
      <c r="BE835" s="47"/>
      <c r="BF835" s="10"/>
      <c r="BG835" s="49">
        <f>IFERROR(IF(BC835-DATA[[#This Row],[fecha_fs]]&lt;0,0,BC835-DATA[[#This Row],[fecha_fs]]),0)</f>
        <v>0</v>
      </c>
      <c r="BH835" s="49">
        <f t="shared" si="84"/>
        <v>0</v>
      </c>
      <c r="BI835" s="49">
        <f t="shared" si="85"/>
        <v>0</v>
      </c>
      <c r="BJ835" s="49">
        <f t="shared" si="86"/>
        <v>0</v>
      </c>
      <c r="BK835" s="218">
        <f>IFERROR(SUM(DATA[[#This Row],[fs_fd_ttd]:[fend_fenf_ttd]]),0)</f>
        <v>0</v>
      </c>
      <c r="BL835" s="20" t="str">
        <f>IF(DATA[[#This Row],[fecha_fs]]&gt;0,TEXT(DATA[[#This Row],[fecha_fs]],"YYYY"),0)</f>
        <v>2025</v>
      </c>
      <c r="BM835" s="221" t="b">
        <v>0</v>
      </c>
      <c r="BN835" s="278"/>
      <c r="BO835" s="222"/>
    </row>
    <row r="836" spans="1:67" ht="30.6" customHeight="1" x14ac:dyDescent="0.25">
      <c r="A836" s="4">
        <v>20100192064</v>
      </c>
      <c r="B836" s="5" t="s">
        <v>60</v>
      </c>
      <c r="C836" s="52" t="s">
        <v>65</v>
      </c>
      <c r="D836" s="4" t="s">
        <v>290</v>
      </c>
      <c r="E836" s="5" t="s">
        <v>294</v>
      </c>
      <c r="F836" s="24">
        <v>45834</v>
      </c>
      <c r="G836" s="7" t="s">
        <v>142</v>
      </c>
      <c r="H836" s="25">
        <f>IF(G836="","",IF(G836="LIM",2,1))</f>
        <v>2</v>
      </c>
      <c r="I836" s="67">
        <v>1103</v>
      </c>
      <c r="J836" s="8" t="s">
        <v>115</v>
      </c>
      <c r="K836" s="9" t="s">
        <v>195</v>
      </c>
      <c r="L836" s="10" t="s">
        <v>117</v>
      </c>
      <c r="M836" s="11">
        <v>6160</v>
      </c>
      <c r="N836" s="12" t="s">
        <v>143</v>
      </c>
      <c r="O836" s="6">
        <v>45834</v>
      </c>
      <c r="P836" s="71">
        <v>3511</v>
      </c>
      <c r="Q836" s="14" t="s">
        <v>123</v>
      </c>
      <c r="R836" s="15">
        <f>(DATA[[#This Row],[cantidad_fs]]/1000)*(81.01)</f>
        <v>499.02160000000003</v>
      </c>
      <c r="S836" s="15">
        <v>103.6</v>
      </c>
      <c r="T836" s="15">
        <f>DATA[[#This Row],[C. DF]]+DATA[[#This Row],[C.OPE.]]</f>
        <v>602.62160000000006</v>
      </c>
      <c r="U836" s="15">
        <f>DATA[[#This Row],[SUB TOTAL]]*0.18</f>
        <v>108.47188800000001</v>
      </c>
      <c r="V836" s="15">
        <f>IFERROR(ROUND(DATA[[#This Row],[SUB TOTAL]]+DATA[[#This Row],[IGV]],2),0)</f>
        <v>711.09</v>
      </c>
      <c r="W836" s="16" t="str">
        <f>IF(DATA[[#This Row],[VALORIZACIÓN ]]="-","NO CORRESPONDE",IF(OR(A836=20558226979,A836=10470707866,A836=20111157058,A836=20100226902),"NO CORRESPONDE",IF(J836="Emitida",IF(P836&gt;0,"EMITIDA","PENDIENTE"),"NO CORRESPONDE")))</f>
        <v>EMITIDA</v>
      </c>
      <c r="X836" s="29"/>
      <c r="Y836" s="17" t="s">
        <v>118</v>
      </c>
      <c r="Z836" s="30">
        <v>45838</v>
      </c>
      <c r="AA836" s="10" t="s">
        <v>150</v>
      </c>
      <c r="AB836" s="19">
        <v>140</v>
      </c>
      <c r="AC836" s="20">
        <v>30</v>
      </c>
      <c r="AD836" s="18">
        <f>DATA[[#This Row],[FECHA DE EMISION]]+DATA[[#This Row],[CONDICION DE PAGO]]</f>
        <v>45868</v>
      </c>
      <c r="AE836" s="23" t="e">
        <f>IF(DATA[[#This Row],[MONEDA]]="USD",VLOOKUP(DATA[[#This Row],[COMBINADA]],#REF!,11,0),1)</f>
        <v>#REF!</v>
      </c>
      <c r="AF836" s="129" t="str">
        <f>IF(DATA[[#This Row],[SERIE2]]="-","NO CORRESPONDE",IF(W836="NO CORRESPONDE","NO CORRESPONDE",IF(Z836&gt;0,"FACTURADO","PENDIENTE")))</f>
        <v>FACTURADO</v>
      </c>
      <c r="AG836" s="133">
        <f>IFERROR(VLOOKUP(DATA[[#This Row],[COMBINADA]],#REF!,6,0),0)</f>
        <v>0</v>
      </c>
      <c r="AH836" s="125">
        <f>IFERROR(VLOOKUP(DATA[[#This Row],[COMBINADA]],#REF!,9,0),0)/COUNTIFS(DATA[COMBINADA],DATA[[#This Row],[COMBINADA]])</f>
        <v>0</v>
      </c>
      <c r="AI836" s="136">
        <f>IFERROR(VLOOKUP(DATA[[#This Row],[COMBINADA]],#REF!,6,0),0)</f>
        <v>0</v>
      </c>
      <c r="AJ836" s="132">
        <f>IFERROR(VLOOKUP(DATA[[#This Row],[COMBINADA]],#REF!,9,0),0)/COUNTIFS(DATA[COMBINADA],DATA[[#This Row],[COMBINADA]])</f>
        <v>0</v>
      </c>
      <c r="AK836" s="408">
        <f>IFERROR(VLOOKUP(DATA[[#This Row],[COMBINADA]],#REF!,6,0),0)</f>
        <v>0</v>
      </c>
      <c r="AL836" s="125">
        <f>IFERROR(VLOOKUP(DATA[[#This Row],[COMBINADA]],#REF!,9,0),0)/COUNTIFS(DATA[COMBINADA],DATA[[#This Row],[COMBINADA]])</f>
        <v>0</v>
      </c>
      <c r="AM836" s="133">
        <f>IFERROR(VLOOKUP(DATA[[#This Row],[COMBINADA]],#REF!,6,0),0)</f>
        <v>0</v>
      </c>
      <c r="AN836" s="125">
        <f>IFERROR(VLOOKUP(DATA[[#This Row],[COMBINADA]],#REF!,9,0),0)/COUNTIFS(DATA[COMBINADA],DATA[[#This Row],[COMBINADA]])</f>
        <v>0</v>
      </c>
      <c r="AO836" s="133">
        <f>IFERROR(VLOOKUP(DATA[[#This Row],[COMBINADA]],#REF!,6,0),0)</f>
        <v>0</v>
      </c>
      <c r="AP836" s="132">
        <f>IFERROR(VLOOKUP(DATA[[#This Row],[COMBINADA]],#REF!,9,0),0)/COUNTIFS(DATA[COMBINADA],DATA[[#This Row],[COMBINADA]])</f>
        <v>0</v>
      </c>
      <c r="AQ836" s="166">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469.822</v>
      </c>
      <c r="AR836" s="176" t="str">
        <f>IFERROR(IF(DATA[[#This Row],[estado_fact]]="FACTURADO",VLOOKUP(DATA[[#This Row],[SERIE2]]&amp;"-"&amp;DATA[[#This Row],[NUMERO]],#REF!,34,0),"NO CORRESPONDE"),"NO CORRESPONDE")</f>
        <v>NO CORRESPONDE</v>
      </c>
      <c r="AS836" s="177" t="str">
        <f>IF(DATA[[#This Row],[fecha_fs]]&gt;0,TEXT(DATA[[#This Row],[fecha_fs]],"Mmmm"),0)</f>
        <v>Junio</v>
      </c>
      <c r="AT836" s="177" t="str">
        <f>DATA[[#This Row],[SERIE2]]&amp;"-"&amp;DATA[[#This Row],[NUMERO]]</f>
        <v>FF01-140</v>
      </c>
      <c r="AU836" s="141" t="e">
        <f>DATA[[#This Row],[TOTAL]]*DATA[[#This Row],[T.C.]]</f>
        <v>#REF!</v>
      </c>
      <c r="AV836" s="6">
        <f>DATA[[#This Row],[FECHA DE VAL.]]</f>
        <v>45834</v>
      </c>
      <c r="AW836" s="6">
        <f>DATA[[#This Row],[FECHA DE EMISION]]</f>
        <v>45838</v>
      </c>
      <c r="AX836" s="6">
        <f>DATA[[#This Row],[F1]]</f>
        <v>0</v>
      </c>
      <c r="AY836" s="20">
        <f>IF(AV836-DATA[[#This Row],[fecha_fs]]&lt;0,0,AV836-DATA[[#This Row],[fecha_fs]])</f>
        <v>0</v>
      </c>
      <c r="AZ836" s="20">
        <f>IF(AW836-AV836&lt;0,0,AW836-AV836)</f>
        <v>4</v>
      </c>
      <c r="BA836" s="20">
        <f>IF(AX836-AW836&lt;0,0,AX836-AW836)</f>
        <v>0</v>
      </c>
      <c r="BB836" s="195">
        <f>IFERROR(SUM(DATA[[#This Row],[fs_val_ttf]:[fact_pago_ttf]]),0)</f>
        <v>4</v>
      </c>
      <c r="BC836" s="185">
        <v>45834</v>
      </c>
      <c r="BD836" s="185">
        <v>45840</v>
      </c>
      <c r="BE836" s="185">
        <v>45852</v>
      </c>
      <c r="BF836" s="185">
        <v>45868</v>
      </c>
      <c r="BG836" s="20">
        <f>IFERROR(IF(BC836-DATA[[#This Row],[fecha_fs]]&lt;0,0,BC836-DATA[[#This Row],[fecha_fs]]),0)</f>
        <v>0</v>
      </c>
      <c r="BH836" s="20">
        <f t="shared" ref="BH836:BJ837" si="91">IFERROR(IF(BD836-BC836&lt;0,0,BD836-BC836),0)</f>
        <v>6</v>
      </c>
      <c r="BI836" s="20">
        <f t="shared" si="91"/>
        <v>12</v>
      </c>
      <c r="BJ836" s="20">
        <f t="shared" si="91"/>
        <v>16</v>
      </c>
      <c r="BK836" s="218">
        <f>IFERROR(SUM(DATA[[#This Row],[fs_fd_ttd]:[fend_fenf_ttd]]),0)</f>
        <v>34</v>
      </c>
      <c r="BL836" s="20" t="str">
        <f>IF(DATA[[#This Row],[fecha_fs]]&gt;0,TEXT(DATA[[#This Row],[fecha_fs]],"YYYY"),0)</f>
        <v>2025</v>
      </c>
      <c r="BM836" s="221" t="b">
        <v>1</v>
      </c>
      <c r="BN836" s="278">
        <f>COUNTIF(DATA[[#This Row],[tiempo_td]], "&lt;=15")</f>
        <v>0</v>
      </c>
      <c r="BO836" s="222"/>
    </row>
    <row r="837" spans="1:67" ht="30.6" customHeight="1" x14ac:dyDescent="0.25">
      <c r="A837" s="4">
        <v>20100192064</v>
      </c>
      <c r="B837" s="5" t="s">
        <v>60</v>
      </c>
      <c r="C837" s="52" t="s">
        <v>65</v>
      </c>
      <c r="D837" s="4" t="s">
        <v>183</v>
      </c>
      <c r="E837" s="5" t="s">
        <v>61</v>
      </c>
      <c r="F837" s="24">
        <v>45834</v>
      </c>
      <c r="G837" s="7" t="s">
        <v>142</v>
      </c>
      <c r="H837" s="25">
        <f>IF(G837="","",IF(G837="LIM",2,1))</f>
        <v>2</v>
      </c>
      <c r="I837" s="67">
        <v>1104</v>
      </c>
      <c r="J837" s="8" t="s">
        <v>115</v>
      </c>
      <c r="K837" s="9" t="s">
        <v>184</v>
      </c>
      <c r="L837" s="10" t="s">
        <v>117</v>
      </c>
      <c r="M837" s="11">
        <v>71680</v>
      </c>
      <c r="N837" s="12" t="s">
        <v>114</v>
      </c>
      <c r="O837" s="6">
        <v>45834</v>
      </c>
      <c r="P837" s="71">
        <v>3518</v>
      </c>
      <c r="Q837" s="14" t="s">
        <v>123</v>
      </c>
      <c r="R837" s="15"/>
      <c r="S837" s="15">
        <f>(DATA[[#This Row],[cantidad_fs]]/1000)*19</f>
        <v>1361.92</v>
      </c>
      <c r="T837" s="15">
        <f>DATA[[#This Row],[C. DF]]+DATA[[#This Row],[C.OPE.]]</f>
        <v>1361.92</v>
      </c>
      <c r="U837" s="15">
        <f>DATA[[#This Row],[SUB TOTAL]]*0.18</f>
        <v>245.1456</v>
      </c>
      <c r="V837" s="15">
        <f>IFERROR(ROUND(DATA[[#This Row],[SUB TOTAL]]+DATA[[#This Row],[IGV]],2),0)</f>
        <v>1607.07</v>
      </c>
      <c r="W837" s="16" t="str">
        <f>IF(DATA[[#This Row],[VALORIZACIÓN ]]="-","NO CORRESPONDE",IF(OR(A837=20558226979,A837=10470707866,A837=20111157058,A837=20100226902),"NO CORRESPONDE",IF(J837="Emitida",IF(P837&gt;0,"EMITIDA","PENDIENTE"),"NO CORRESPONDE")))</f>
        <v>EMITIDA</v>
      </c>
      <c r="X837" s="152" t="s">
        <v>265</v>
      </c>
      <c r="Y837" s="17" t="s">
        <v>118</v>
      </c>
      <c r="Z837" s="30">
        <v>45838</v>
      </c>
      <c r="AA837" s="10" t="s">
        <v>150</v>
      </c>
      <c r="AB837" s="19">
        <v>141</v>
      </c>
      <c r="AC837" s="20">
        <v>30</v>
      </c>
      <c r="AD837" s="18">
        <f>DATA[[#This Row],[FECHA DE EMISION]]+DATA[[#This Row],[CONDICION DE PAGO]]</f>
        <v>45868</v>
      </c>
      <c r="AE837" s="23" t="e">
        <f>IF(DATA[[#This Row],[MONEDA]]="USD",VLOOKUP(DATA[[#This Row],[COMBINADA]],#REF!,11,0),1)</f>
        <v>#REF!</v>
      </c>
      <c r="AF837" s="129" t="str">
        <f>IF(DATA[[#This Row],[SERIE2]]="-","NO CORRESPONDE",IF(W837="NO CORRESPONDE","NO CORRESPONDE",IF(Z837&gt;0,"FACTURADO","PENDIENTE")))</f>
        <v>FACTURADO</v>
      </c>
      <c r="AG837" s="133">
        <f>IFERROR(VLOOKUP(DATA[[#This Row],[COMBINADA]],#REF!,6,0),0)</f>
        <v>0</v>
      </c>
      <c r="AH837" s="125">
        <f>IFERROR(VLOOKUP(DATA[[#This Row],[COMBINADA]],#REF!,9,0),0)/COUNTIFS(DATA[COMBINADA],DATA[[#This Row],[COMBINADA]])</f>
        <v>0</v>
      </c>
      <c r="AI837" s="136">
        <f>IFERROR(VLOOKUP(DATA[[#This Row],[COMBINADA]],#REF!,6,0),0)</f>
        <v>0</v>
      </c>
      <c r="AJ837" s="132">
        <f>IFERROR(VLOOKUP(DATA[[#This Row],[COMBINADA]],#REF!,9,0),0)/COUNTIFS(DATA[COMBINADA],DATA[[#This Row],[COMBINADA]])</f>
        <v>0</v>
      </c>
      <c r="AK837" s="408">
        <f>IFERROR(VLOOKUP(DATA[[#This Row],[COMBINADA]],#REF!,6,0),0)</f>
        <v>0</v>
      </c>
      <c r="AL837" s="125">
        <f>IFERROR(VLOOKUP(DATA[[#This Row],[COMBINADA]],#REF!,9,0),0)/COUNTIFS(DATA[COMBINADA],DATA[[#This Row],[COMBINADA]])</f>
        <v>0</v>
      </c>
      <c r="AM837" s="133">
        <f>IFERROR(VLOOKUP(DATA[[#This Row],[COMBINADA]],#REF!,6,0),0)</f>
        <v>0</v>
      </c>
      <c r="AN837" s="125">
        <f>IFERROR(VLOOKUP(DATA[[#This Row],[COMBINADA]],#REF!,9,0),0)/COUNTIFS(DATA[COMBINADA],DATA[[#This Row],[COMBINADA]])</f>
        <v>0</v>
      </c>
      <c r="AO837" s="133">
        <f>IFERROR(VLOOKUP(DATA[[#This Row],[COMBINADA]],#REF!,6,0),0)</f>
        <v>0</v>
      </c>
      <c r="AP837" s="132">
        <f>IFERROR(VLOOKUP(DATA[[#This Row],[COMBINADA]],#REF!,9,0),0)/COUNTIFS(DATA[COMBINADA],DATA[[#This Row],[COMBINADA]])</f>
        <v>0</v>
      </c>
      <c r="AQ837" s="166">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1607.07</v>
      </c>
      <c r="AR837" s="176" t="str">
        <f>IFERROR(IF(DATA[[#This Row],[estado_fact]]="FACTURADO",VLOOKUP(DATA[[#This Row],[SERIE2]]&amp;"-"&amp;DATA[[#This Row],[NUMERO]],#REF!,34,0),"NO CORRESPONDE"),"NO CORRESPONDE")</f>
        <v>NO CORRESPONDE</v>
      </c>
      <c r="AS837" s="177" t="str">
        <f>IF(DATA[[#This Row],[fecha_fs]]&gt;0,TEXT(DATA[[#This Row],[fecha_fs]],"Mmmm"),0)</f>
        <v>Junio</v>
      </c>
      <c r="AT837" s="177" t="str">
        <f>DATA[[#This Row],[SERIE2]]&amp;"-"&amp;DATA[[#This Row],[NUMERO]]</f>
        <v>FF01-141</v>
      </c>
      <c r="AU837" s="141" t="e">
        <f>DATA[[#This Row],[TOTAL]]*DATA[[#This Row],[T.C.]]</f>
        <v>#REF!</v>
      </c>
      <c r="AV837" s="6">
        <f>DATA[[#This Row],[FECHA DE VAL.]]</f>
        <v>45834</v>
      </c>
      <c r="AW837" s="6">
        <f>DATA[[#This Row],[FECHA DE EMISION]]</f>
        <v>45838</v>
      </c>
      <c r="AX837" s="6">
        <f>DATA[[#This Row],[F1]]</f>
        <v>0</v>
      </c>
      <c r="AY837" s="20">
        <f>IF(AV837-DATA[[#This Row],[fecha_fs]]&lt;0,0,AV837-DATA[[#This Row],[fecha_fs]])</f>
        <v>0</v>
      </c>
      <c r="AZ837" s="20">
        <f>IF(AW837-AV837&lt;0,0,AW837-AV837)</f>
        <v>4</v>
      </c>
      <c r="BA837" s="20">
        <f>IF(AX837-AW837&lt;0,0,AX837-AW837)</f>
        <v>0</v>
      </c>
      <c r="BB837" s="195">
        <f>IFERROR(SUM(DATA[[#This Row],[fs_val_ttf]:[fact_pago_ttf]]),0)</f>
        <v>4</v>
      </c>
      <c r="BC837" s="10" t="s">
        <v>292</v>
      </c>
      <c r="BD837" s="10" t="s">
        <v>292</v>
      </c>
      <c r="BE837" s="10" t="s">
        <v>292</v>
      </c>
      <c r="BF837" s="10" t="s">
        <v>292</v>
      </c>
      <c r="BG837" s="20">
        <f>IFERROR(IF(BC837-DATA[[#This Row],[fecha_fs]]&lt;0,0,BC837-DATA[[#This Row],[fecha_fs]]),0)</f>
        <v>0</v>
      </c>
      <c r="BH837" s="20">
        <f t="shared" si="91"/>
        <v>0</v>
      </c>
      <c r="BI837" s="20">
        <f t="shared" si="91"/>
        <v>0</v>
      </c>
      <c r="BJ837" s="20">
        <f t="shared" si="91"/>
        <v>0</v>
      </c>
      <c r="BK837" s="218">
        <f>IFERROR(SUM(DATA[[#This Row],[fs_fd_ttd]:[fend_fenf_ttd]]),0)</f>
        <v>0</v>
      </c>
      <c r="BL837" s="20" t="str">
        <f>IF(DATA[[#This Row],[fecha_fs]]&gt;0,TEXT(DATA[[#This Row],[fecha_fs]],"YYYY"),0)</f>
        <v>2025</v>
      </c>
      <c r="BM837" s="221" t="b">
        <v>1</v>
      </c>
      <c r="BN837" s="278">
        <f>COUNTIF(DATA[[#This Row],[tiempo_td]], "&lt;=15")</f>
        <v>1</v>
      </c>
      <c r="BO837" s="222"/>
    </row>
    <row r="838" spans="1:67" ht="30.6" customHeight="1" x14ac:dyDescent="0.25">
      <c r="A838" s="4">
        <v>20100055237</v>
      </c>
      <c r="B838" s="5" t="s">
        <v>21</v>
      </c>
      <c r="C838" s="52" t="s">
        <v>138</v>
      </c>
      <c r="D838" s="4" t="s">
        <v>139</v>
      </c>
      <c r="E838" s="5" t="s">
        <v>23</v>
      </c>
      <c r="F838" s="24">
        <v>45834</v>
      </c>
      <c r="G838" s="7" t="s">
        <v>113</v>
      </c>
      <c r="H838" s="25">
        <f t="shared" si="88"/>
        <v>1</v>
      </c>
      <c r="I838" s="67">
        <v>4672</v>
      </c>
      <c r="J838" s="8" t="s">
        <v>115</v>
      </c>
      <c r="K838" s="9" t="s">
        <v>121</v>
      </c>
      <c r="L838" s="10" t="s">
        <v>117</v>
      </c>
      <c r="M838" s="11">
        <v>220</v>
      </c>
      <c r="N838" s="12" t="s">
        <v>125</v>
      </c>
      <c r="O838" s="6">
        <v>45835</v>
      </c>
      <c r="P838" s="54">
        <v>3525</v>
      </c>
      <c r="Q838" s="14" t="s">
        <v>85</v>
      </c>
      <c r="R838" s="15"/>
      <c r="S838" s="15">
        <v>297.92</v>
      </c>
      <c r="T838" s="15">
        <f>DATA[[#This Row],[C. DF]]+DATA[[#This Row],[C.OPE.]]</f>
        <v>297.92</v>
      </c>
      <c r="U838" s="15">
        <f>DATA[[#This Row],[SUB TOTAL]]*0.18</f>
        <v>53.625599999999999</v>
      </c>
      <c r="V838" s="15">
        <f>IFERROR(ROUND(DATA[[#This Row],[SUB TOTAL]]+DATA[[#This Row],[IGV]],2),0)</f>
        <v>351.55</v>
      </c>
      <c r="W838" s="16" t="str">
        <f>IF(DATA[[#This Row],[VALORIZACIÓN ]]="-","NO CORRESPONDE",IF(OR(A838=20558226979,A838=10470707866,A838=20111157058,A838=20100226902),"NO CORRESPONDE",IF(J838="Emitida",IF(P838&gt;0,"EMITIDA","PENDIENTE"),"NO CORRESPONDE")))</f>
        <v>EMITIDA</v>
      </c>
      <c r="X838" s="29"/>
      <c r="Y838" s="17" t="s">
        <v>118</v>
      </c>
      <c r="Z838" s="30">
        <v>45848</v>
      </c>
      <c r="AA838" s="10" t="s">
        <v>150</v>
      </c>
      <c r="AB838" s="19">
        <v>169</v>
      </c>
      <c r="AC838" s="20">
        <v>30</v>
      </c>
      <c r="AD838" s="18">
        <f>DATA[[#This Row],[FECHA DE EMISION]]+DATA[[#This Row],[CONDICION DE PAGO]]</f>
        <v>45878</v>
      </c>
      <c r="AE838" s="23">
        <f>IF(DATA[[#This Row],[MONEDA]]="USD",VLOOKUP(DATA[[#This Row],[COMBINADA]],#REF!,11,0),1)</f>
        <v>1</v>
      </c>
      <c r="AF838" s="129" t="str">
        <f>IF(DATA[[#This Row],[SERIE2]]="-","NO CORRESPONDE",IF(W838="NO CORRESPONDE","NO CORRESPONDE",IF(Z838&gt;0,"FACTURADO","PENDIENTE")))</f>
        <v>FACTURADO</v>
      </c>
      <c r="AG838" s="133">
        <f>IFERROR(VLOOKUP(DATA[[#This Row],[COMBINADA]],#REF!,6,0),0)</f>
        <v>0</v>
      </c>
      <c r="AH838" s="125">
        <f>IFERROR(VLOOKUP(DATA[[#This Row],[COMBINADA]],#REF!,9,0),0)/COUNTIFS(DATA[COMBINADA],DATA[[#This Row],[COMBINADA]])</f>
        <v>0</v>
      </c>
      <c r="AI838" s="136">
        <f>IFERROR(VLOOKUP(DATA[[#This Row],[COMBINADA]],#REF!,6,0),0)</f>
        <v>0</v>
      </c>
      <c r="AJ838" s="132">
        <f>IFERROR(VLOOKUP(DATA[[#This Row],[COMBINADA]],#REF!,9,0),0)/COUNTIFS(DATA[COMBINADA],DATA[[#This Row],[COMBINADA]])</f>
        <v>0</v>
      </c>
      <c r="AK838" s="407">
        <f>IFERROR(VLOOKUP(DATA[[#This Row],[COMBINADA]],#REF!,6,0),0)</f>
        <v>0</v>
      </c>
      <c r="AL838" s="125">
        <f>IFERROR(VLOOKUP(DATA[[#This Row],[COMBINADA]],#REF!,9,0),0)/COUNTIFS(DATA[COMBINADA],DATA[[#This Row],[COMBINADA]])</f>
        <v>0</v>
      </c>
      <c r="AM838" s="27">
        <f>IFERROR(VLOOKUP(DATA[[#This Row],[COMBINADA]],#REF!,6,0),0)</f>
        <v>0</v>
      </c>
      <c r="AN838" s="125">
        <f>IFERROR(VLOOKUP(DATA[[#This Row],[COMBINADA]],#REF!,9,0),0)/COUNTIFS(DATA[COMBINADA],DATA[[#This Row],[COMBINADA]])</f>
        <v>0</v>
      </c>
      <c r="AO838" s="27">
        <f>IFERROR(VLOOKUP(DATA[[#This Row],[COMBINADA]],#REF!,6,0),0)</f>
        <v>0</v>
      </c>
      <c r="AP838" s="132">
        <f>IFERROR(VLOOKUP(DATA[[#This Row],[COMBINADA]],#REF!,9,0),0)/COUNTIFS(DATA[COMBINADA],DATA[[#This Row],[COMBINADA]])</f>
        <v>0</v>
      </c>
      <c r="AQ83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v>
      </c>
      <c r="AR838" s="26" t="str">
        <f>IFERROR(IF(DATA[[#This Row],[estado_fact]]="FACTURADO",VLOOKUP(DATA[[#This Row],[SERIE2]]&amp;"-"&amp;DATA[[#This Row],[NUMERO]],#REF!,34,0),"NO CORRESPONDE"),"NO CORRESPONDE")</f>
        <v>NO CORRESPONDE</v>
      </c>
      <c r="AS838" s="22" t="str">
        <f>IF(DATA[[#This Row],[fecha_fs]]&gt;0,TEXT(DATA[[#This Row],[fecha_fs]],"Mmmm"),0)</f>
        <v>Junio</v>
      </c>
      <c r="AT838" s="22" t="str">
        <f>DATA[[#This Row],[SERIE2]]&amp;"-"&amp;DATA[[#This Row],[NUMERO]]</f>
        <v>FF01-169</v>
      </c>
      <c r="AU838" s="28">
        <f>DATA[[#This Row],[TOTAL]]*DATA[[#This Row],[T.C.]]</f>
        <v>351.55</v>
      </c>
      <c r="AV838" s="6">
        <f>DATA[[#This Row],[FECHA DE VAL.]]</f>
        <v>45835</v>
      </c>
      <c r="AW838" s="6">
        <f>DATA[[#This Row],[FECHA DE EMISION]]</f>
        <v>45848</v>
      </c>
      <c r="AX838" s="6">
        <f>DATA[[#This Row],[F1]]</f>
        <v>0</v>
      </c>
      <c r="AY838" s="20">
        <f>IF(AV838-DATA[[#This Row],[fecha_fs]]&lt;0,0,AV838-DATA[[#This Row],[fecha_fs]])</f>
        <v>1</v>
      </c>
      <c r="AZ838" s="20">
        <f t="shared" si="89"/>
        <v>13</v>
      </c>
      <c r="BA838" s="20">
        <f t="shared" si="90"/>
        <v>0</v>
      </c>
      <c r="BB838" s="195">
        <f>IFERROR(SUM(DATA[[#This Row],[fs_val_ttf]:[fact_pago_ttf]]),0)</f>
        <v>14</v>
      </c>
      <c r="BC838" s="185">
        <v>45834</v>
      </c>
      <c r="BD838" s="185">
        <v>45834</v>
      </c>
      <c r="BE838" s="185">
        <v>45839</v>
      </c>
      <c r="BF838" s="233">
        <v>45839</v>
      </c>
      <c r="BG838" s="20">
        <f>IFERROR(IF(BC838-DATA[[#This Row],[fecha_fs]]&lt;0,0,BC838-DATA[[#This Row],[fecha_fs]]),0)</f>
        <v>0</v>
      </c>
      <c r="BH838" s="20">
        <f t="shared" si="84"/>
        <v>0</v>
      </c>
      <c r="BI838" s="20">
        <f t="shared" si="85"/>
        <v>5</v>
      </c>
      <c r="BJ838" s="20">
        <f t="shared" si="86"/>
        <v>0</v>
      </c>
      <c r="BK838" s="218">
        <f>IFERROR(SUM(DATA[[#This Row],[fs_fd_ttd]:[fend_fenf_ttd]]),0)</f>
        <v>5</v>
      </c>
      <c r="BL838" s="20" t="str">
        <f>IF(DATA[[#This Row],[fecha_fs]]&gt;0,TEXT(DATA[[#This Row],[fecha_fs]],"YYYY"),0)</f>
        <v>2025</v>
      </c>
      <c r="BM838" s="221" t="b">
        <v>1</v>
      </c>
      <c r="BN838" s="278">
        <f>COUNTIF(DATA[[#This Row],[tiempo_td]], "&lt;=15")</f>
        <v>1</v>
      </c>
      <c r="BO838" s="222"/>
    </row>
    <row r="839" spans="1:67" ht="30.6" customHeight="1" x14ac:dyDescent="0.25">
      <c r="A839" s="4">
        <v>20505675836</v>
      </c>
      <c r="B839" s="5" t="s">
        <v>42</v>
      </c>
      <c r="C839" s="52" t="s">
        <v>43</v>
      </c>
      <c r="D839" s="4" t="s">
        <v>120</v>
      </c>
      <c r="E839" s="5" t="s">
        <v>3</v>
      </c>
      <c r="F839" s="24">
        <v>45833</v>
      </c>
      <c r="G839" s="7" t="s">
        <v>113</v>
      </c>
      <c r="H839" s="25">
        <f t="shared" si="88"/>
        <v>1</v>
      </c>
      <c r="I839" s="67">
        <v>4673</v>
      </c>
      <c r="J839" s="8" t="s">
        <v>115</v>
      </c>
      <c r="K839" s="9" t="s">
        <v>121</v>
      </c>
      <c r="L839" s="10" t="s">
        <v>117</v>
      </c>
      <c r="M839" s="11">
        <v>320</v>
      </c>
      <c r="N839" s="12" t="s">
        <v>125</v>
      </c>
      <c r="O839" s="6">
        <v>45835</v>
      </c>
      <c r="P839" s="71">
        <v>3522</v>
      </c>
      <c r="Q839" s="14" t="s">
        <v>85</v>
      </c>
      <c r="R839" s="15">
        <f>(DATA[[#This Row],[cantidad_fs]]-150)*0.67</f>
        <v>113.9</v>
      </c>
      <c r="S839" s="15">
        <v>817.68</v>
      </c>
      <c r="T839" s="15">
        <f>DATA[[#This Row],[C. DF]]+DATA[[#This Row],[C.OPE.]]</f>
        <v>931.57999999999993</v>
      </c>
      <c r="U839" s="15">
        <f>DATA[[#This Row],[SUB TOTAL]]*0.18</f>
        <v>167.68439999999998</v>
      </c>
      <c r="V839" s="15">
        <f>IFERROR(ROUND(DATA[[#This Row],[SUB TOTAL]]+DATA[[#This Row],[IGV]],2),0)</f>
        <v>1099.26</v>
      </c>
      <c r="W839" s="16" t="str">
        <f>IF(DATA[[#This Row],[VALORIZACIÓN ]]="-","NO CORRESPONDE",IF(OR(A839=20558226979,A839=10470707866,A839=20111157058,A839=20100226902),"NO CORRESPONDE",IF(J839="Emitida",IF(P839&gt;0,"EMITIDA","PENDIENTE"),"NO CORRESPONDE")))</f>
        <v>EMITIDA</v>
      </c>
      <c r="X839" s="29"/>
      <c r="Y839" s="17" t="s">
        <v>118</v>
      </c>
      <c r="Z839" s="30">
        <v>45846</v>
      </c>
      <c r="AA839" s="10" t="s">
        <v>150</v>
      </c>
      <c r="AB839" s="19">
        <v>164</v>
      </c>
      <c r="AC839" s="20">
        <v>30</v>
      </c>
      <c r="AD839" s="18">
        <f>DATA[[#This Row],[FECHA DE EMISION]]+DATA[[#This Row],[CONDICION DE PAGO]]</f>
        <v>45876</v>
      </c>
      <c r="AE839" s="23">
        <f>IF(DATA[[#This Row],[MONEDA]]="USD",VLOOKUP(DATA[[#This Row],[COMBINADA]],#REF!,11,0),1)</f>
        <v>1</v>
      </c>
      <c r="AF839" s="129" t="str">
        <f>IF(DATA[[#This Row],[SERIE2]]="-","NO CORRESPONDE",IF(W839="NO CORRESPONDE","NO CORRESPONDE",IF(Z839&gt;0,"FACTURADO","PENDIENTE")))</f>
        <v>FACTURADO</v>
      </c>
      <c r="AG839" s="133">
        <f>IFERROR(VLOOKUP(DATA[[#This Row],[COMBINADA]],#REF!,6,0),0)</f>
        <v>0</v>
      </c>
      <c r="AH839" s="125">
        <f>IFERROR(VLOOKUP(DATA[[#This Row],[COMBINADA]],#REF!,9,0),0)/COUNTIFS(DATA[COMBINADA],DATA[[#This Row],[COMBINADA]])</f>
        <v>0</v>
      </c>
      <c r="AI839" s="136">
        <f>IFERROR(VLOOKUP(DATA[[#This Row],[COMBINADA]],#REF!,6,0),0)</f>
        <v>0</v>
      </c>
      <c r="AJ839" s="132">
        <f>IFERROR(VLOOKUP(DATA[[#This Row],[COMBINADA]],#REF!,9,0),0)/COUNTIFS(DATA[COMBINADA],DATA[[#This Row],[COMBINADA]])</f>
        <v>0</v>
      </c>
      <c r="AK839" s="407">
        <f>IFERROR(VLOOKUP(DATA[[#This Row],[COMBINADA]],#REF!,6,0),0)</f>
        <v>0</v>
      </c>
      <c r="AL839" s="125">
        <f>IFERROR(VLOOKUP(DATA[[#This Row],[COMBINADA]],#REF!,9,0),0)/COUNTIFS(DATA[COMBINADA],DATA[[#This Row],[COMBINADA]])</f>
        <v>0</v>
      </c>
      <c r="AM839" s="27">
        <f>IFERROR(VLOOKUP(DATA[[#This Row],[COMBINADA]],#REF!,6,0),0)</f>
        <v>0</v>
      </c>
      <c r="AN839" s="125">
        <f>IFERROR(VLOOKUP(DATA[[#This Row],[COMBINADA]],#REF!,9,0),0)/COUNTIFS(DATA[COMBINADA],DATA[[#This Row],[COMBINADA]])</f>
        <v>0</v>
      </c>
      <c r="AO839" s="27">
        <f>IFERROR(VLOOKUP(DATA[[#This Row],[COMBINADA]],#REF!,6,0),0)</f>
        <v>0</v>
      </c>
      <c r="AP839" s="132">
        <f>IFERROR(VLOOKUP(DATA[[#This Row],[COMBINADA]],#REF!,9,0),0)/COUNTIFS(DATA[COMBINADA],DATA[[#This Row],[COMBINADA]])</f>
        <v>0</v>
      </c>
      <c r="AQ83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2151.0974999999999</v>
      </c>
      <c r="AR839" s="26" t="str">
        <f>IFERROR(IF(DATA[[#This Row],[estado_fact]]="FACTURADO",VLOOKUP(DATA[[#This Row],[SERIE2]]&amp;"-"&amp;DATA[[#This Row],[NUMERO]],#REF!,34,0),"NO CORRESPONDE"),"NO CORRESPONDE")</f>
        <v>NO CORRESPONDE</v>
      </c>
      <c r="AS839" s="22" t="str">
        <f>IF(DATA[[#This Row],[fecha_fs]]&gt;0,TEXT(DATA[[#This Row],[fecha_fs]],"Mmmm"),0)</f>
        <v>Junio</v>
      </c>
      <c r="AT839" s="22" t="str">
        <f>DATA[[#This Row],[SERIE2]]&amp;"-"&amp;DATA[[#This Row],[NUMERO]]</f>
        <v>FF01-164</v>
      </c>
      <c r="AU839" s="28">
        <f>DATA[[#This Row],[TOTAL]]*DATA[[#This Row],[T.C.]]</f>
        <v>1099.26</v>
      </c>
      <c r="AV839" s="6">
        <f>DATA[[#This Row],[FECHA DE VAL.]]</f>
        <v>45835</v>
      </c>
      <c r="AW839" s="6">
        <f>DATA[[#This Row],[FECHA DE EMISION]]</f>
        <v>45846</v>
      </c>
      <c r="AX839" s="6">
        <f>DATA[[#This Row],[F1]]</f>
        <v>0</v>
      </c>
      <c r="AY839" s="20">
        <f>IF(AV839-DATA[[#This Row],[fecha_fs]]&lt;0,0,AV839-DATA[[#This Row],[fecha_fs]])</f>
        <v>2</v>
      </c>
      <c r="AZ839" s="20">
        <f t="shared" si="89"/>
        <v>11</v>
      </c>
      <c r="BA839" s="20">
        <f t="shared" si="90"/>
        <v>0</v>
      </c>
      <c r="BB839" s="195">
        <f>IFERROR(SUM(DATA[[#This Row],[fs_val_ttf]:[fact_pago_ttf]]),0)</f>
        <v>13</v>
      </c>
      <c r="BC839" s="185">
        <v>45845</v>
      </c>
      <c r="BD839" s="185">
        <v>45852</v>
      </c>
      <c r="BE839" s="185">
        <v>45853</v>
      </c>
      <c r="BF839" s="185">
        <v>45868</v>
      </c>
      <c r="BG839" s="20">
        <f>IFERROR(IF(BC839-DATA[[#This Row],[fecha_fs]]&lt;0,0,BC839-DATA[[#This Row],[fecha_fs]]),0)</f>
        <v>12</v>
      </c>
      <c r="BH839" s="20">
        <f t="shared" si="84"/>
        <v>7</v>
      </c>
      <c r="BI839" s="20">
        <f t="shared" si="85"/>
        <v>1</v>
      </c>
      <c r="BJ839" s="20">
        <f t="shared" si="86"/>
        <v>15</v>
      </c>
      <c r="BK839" s="218">
        <f>IFERROR(SUM(DATA[[#This Row],[fs_fd_ttd]:[fend_fenf_ttd]]),0)</f>
        <v>35</v>
      </c>
      <c r="BL839" s="20" t="str">
        <f>IF(DATA[[#This Row],[fecha_fs]]&gt;0,TEXT(DATA[[#This Row],[fecha_fs]],"YYYY"),0)</f>
        <v>2025</v>
      </c>
      <c r="BM839" s="221" t="b">
        <v>1</v>
      </c>
      <c r="BN839" s="278">
        <f>COUNTIF(DATA[[#This Row],[tiempo_td]], "&lt;=15")</f>
        <v>0</v>
      </c>
      <c r="BO839" s="222"/>
    </row>
    <row r="840" spans="1:67" ht="30.6" customHeight="1" x14ac:dyDescent="0.25">
      <c r="A840" s="4">
        <v>20100192064</v>
      </c>
      <c r="B840" s="5" t="s">
        <v>60</v>
      </c>
      <c r="C840" s="52" t="s">
        <v>64</v>
      </c>
      <c r="D840" s="4" t="s">
        <v>112</v>
      </c>
      <c r="E840" s="5" t="s">
        <v>1</v>
      </c>
      <c r="F840" s="24">
        <v>45834</v>
      </c>
      <c r="G840" s="7" t="s">
        <v>113</v>
      </c>
      <c r="H840" s="25">
        <f t="shared" si="88"/>
        <v>1</v>
      </c>
      <c r="I840" s="67">
        <v>4674</v>
      </c>
      <c r="J840" s="8" t="s">
        <v>115</v>
      </c>
      <c r="K840" s="9" t="s">
        <v>116</v>
      </c>
      <c r="L840" s="10" t="s">
        <v>117</v>
      </c>
      <c r="M840" s="11">
        <v>5280</v>
      </c>
      <c r="N840" s="12" t="s">
        <v>135</v>
      </c>
      <c r="O840" s="6">
        <v>45838</v>
      </c>
      <c r="P840" s="13">
        <v>3529</v>
      </c>
      <c r="Q840" s="14" t="s">
        <v>85</v>
      </c>
      <c r="R840" s="15">
        <f>DATA[[#This Row],[cantidad_fs]]*0.57</f>
        <v>3009.6</v>
      </c>
      <c r="S840" s="15">
        <f>8999.3/2</f>
        <v>4499.6499999999996</v>
      </c>
      <c r="T840" s="15">
        <f>DATA[[#This Row],[C. DF]]+DATA[[#This Row],[C.OPE.]]</f>
        <v>7509.25</v>
      </c>
      <c r="U840" s="15">
        <f>DATA[[#This Row],[SUB TOTAL]]*0.18</f>
        <v>1351.665</v>
      </c>
      <c r="V840" s="15">
        <f>IFERROR(ROUND(DATA[[#This Row],[SUB TOTAL]]+DATA[[#This Row],[IGV]],2),0)</f>
        <v>8860.92</v>
      </c>
      <c r="W840" s="16" t="str">
        <f>IF(DATA[[#This Row],[VALORIZACIÓN ]]="-","NO CORRESPONDE",IF(OR(A840=20558226979,A840=10470707866,A840=20111157058,A840=20100226902),"NO CORRESPONDE",IF(J840="Emitida",IF(P840&gt;0,"EMITIDA","PENDIENTE"),"NO CORRESPONDE")))</f>
        <v>EMITIDA</v>
      </c>
      <c r="X840" s="29"/>
      <c r="Y840" s="17" t="s">
        <v>118</v>
      </c>
      <c r="Z840" s="30">
        <v>45845</v>
      </c>
      <c r="AA840" s="10" t="s">
        <v>150</v>
      </c>
      <c r="AB840" s="19">
        <v>145</v>
      </c>
      <c r="AC840" s="20">
        <v>30</v>
      </c>
      <c r="AD840" s="18">
        <f>DATA[[#This Row],[FECHA DE EMISION]]+DATA[[#This Row],[CONDICION DE PAGO]]</f>
        <v>45875</v>
      </c>
      <c r="AE840" s="23">
        <f>IF(DATA[[#This Row],[MONEDA]]="USD",VLOOKUP(DATA[[#This Row],[COMBINADA]],#REF!,11,0),1)</f>
        <v>1</v>
      </c>
      <c r="AF840" s="129" t="str">
        <f>IF(DATA[[#This Row],[SERIE2]]="-","NO CORRESPONDE",IF(W840="NO CORRESPONDE","NO CORRESPONDE",IF(Z840&gt;0,"FACTURADO","PENDIENTE")))</f>
        <v>FACTURADO</v>
      </c>
      <c r="AG840" s="133">
        <f>IFERROR(VLOOKUP(DATA[[#This Row],[COMBINADA]],#REF!,6,0),0)</f>
        <v>0</v>
      </c>
      <c r="AH840" s="125">
        <f>IFERROR(VLOOKUP(DATA[[#This Row],[COMBINADA]],#REF!,9,0),0)/COUNTIFS(DATA[COMBINADA],DATA[[#This Row],[COMBINADA]])</f>
        <v>0</v>
      </c>
      <c r="AI840" s="136">
        <f>IFERROR(VLOOKUP(DATA[[#This Row],[COMBINADA]],#REF!,6,0),0)</f>
        <v>0</v>
      </c>
      <c r="AJ840" s="132">
        <f>IFERROR(VLOOKUP(DATA[[#This Row],[COMBINADA]],#REF!,9,0),0)/COUNTIFS(DATA[COMBINADA],DATA[[#This Row],[COMBINADA]])</f>
        <v>0</v>
      </c>
      <c r="AK840" s="407">
        <f>IFERROR(VLOOKUP(DATA[[#This Row],[COMBINADA]],#REF!,6,0),0)</f>
        <v>0</v>
      </c>
      <c r="AL840" s="125">
        <f>IFERROR(VLOOKUP(DATA[[#This Row],[COMBINADA]],#REF!,9,0),0)/COUNTIFS(DATA[COMBINADA],DATA[[#This Row],[COMBINADA]])</f>
        <v>0</v>
      </c>
      <c r="AM840" s="27">
        <f>IFERROR(VLOOKUP(DATA[[#This Row],[COMBINADA]],#REF!,6,0),0)</f>
        <v>0</v>
      </c>
      <c r="AN840" s="125">
        <f>IFERROR(VLOOKUP(DATA[[#This Row],[COMBINADA]],#REF!,9,0),0)/COUNTIFS(DATA[COMBINADA],DATA[[#This Row],[COMBINADA]])</f>
        <v>0</v>
      </c>
      <c r="AO840" s="27">
        <f>IFERROR(VLOOKUP(DATA[[#This Row],[COMBINADA]],#REF!,6,0),0)</f>
        <v>0</v>
      </c>
      <c r="AP840" s="132">
        <f>IFERROR(VLOOKUP(DATA[[#This Row],[COMBINADA]],#REF!,9,0),0)/COUNTIFS(DATA[COMBINADA],DATA[[#This Row],[COMBINADA]])</f>
        <v>0</v>
      </c>
      <c r="AQ84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7858.7449999999999</v>
      </c>
      <c r="AR840" s="26" t="str">
        <f>IFERROR(IF(DATA[[#This Row],[estado_fact]]="FACTURADO",VLOOKUP(DATA[[#This Row],[SERIE2]]&amp;"-"&amp;DATA[[#This Row],[NUMERO]],#REF!,34,0),"NO CORRESPONDE"),"NO CORRESPONDE")</f>
        <v>NO CORRESPONDE</v>
      </c>
      <c r="AS840" s="22" t="str">
        <f>IF(DATA[[#This Row],[fecha_fs]]&gt;0,TEXT(DATA[[#This Row],[fecha_fs]],"Mmmm"),0)</f>
        <v>Junio</v>
      </c>
      <c r="AT840" s="22" t="str">
        <f>DATA[[#This Row],[SERIE2]]&amp;"-"&amp;DATA[[#This Row],[NUMERO]]</f>
        <v>FF01-145</v>
      </c>
      <c r="AU840" s="28">
        <f>DATA[[#This Row],[TOTAL]]*DATA[[#This Row],[T.C.]]</f>
        <v>8860.92</v>
      </c>
      <c r="AV840" s="6">
        <f>DATA[[#This Row],[FECHA DE VAL.]]</f>
        <v>45838</v>
      </c>
      <c r="AW840" s="6">
        <f>DATA[[#This Row],[FECHA DE EMISION]]</f>
        <v>45845</v>
      </c>
      <c r="AX840" s="6">
        <f>DATA[[#This Row],[F1]]</f>
        <v>0</v>
      </c>
      <c r="AY840" s="20">
        <f>IF(AV840-DATA[[#This Row],[fecha_fs]]&lt;0,0,AV840-DATA[[#This Row],[fecha_fs]])</f>
        <v>4</v>
      </c>
      <c r="AZ840" s="20">
        <f t="shared" si="89"/>
        <v>7</v>
      </c>
      <c r="BA840" s="20">
        <f t="shared" si="90"/>
        <v>0</v>
      </c>
      <c r="BB840" s="195">
        <f>IFERROR(SUM(DATA[[#This Row],[fs_val_ttf]:[fact_pago_ttf]]),0)</f>
        <v>11</v>
      </c>
      <c r="BC840" s="185">
        <v>45838</v>
      </c>
      <c r="BD840" s="233">
        <v>45845</v>
      </c>
      <c r="BE840" s="233">
        <v>45841</v>
      </c>
      <c r="BF840" s="233">
        <v>45863</v>
      </c>
      <c r="BG840" s="20">
        <f>IFERROR(IF(BC840-DATA[[#This Row],[fecha_fs]]&lt;0,0,BC840-DATA[[#This Row],[fecha_fs]]),0)</f>
        <v>4</v>
      </c>
      <c r="BH840" s="20">
        <f t="shared" ref="BH840:BH901" si="92">IFERROR(IF(BD840-BC840&lt;0,0,BD840-BC840),0)</f>
        <v>7</v>
      </c>
      <c r="BI840" s="20">
        <f t="shared" ref="BI840:BI901" si="93">IFERROR(IF(BE840-BD840&lt;0,0,BE840-BD840),0)</f>
        <v>0</v>
      </c>
      <c r="BJ840" s="20">
        <f t="shared" ref="BJ840:BJ901" si="94">IFERROR(IF(BF840-BE840&lt;0,0,BF840-BE840),0)</f>
        <v>22</v>
      </c>
      <c r="BK840" s="218">
        <f>IFERROR(SUM(DATA[[#This Row],[fs_fd_ttd]:[fend_fenf_ttd]]),0)</f>
        <v>33</v>
      </c>
      <c r="BL840" s="20" t="str">
        <f>IF(DATA[[#This Row],[fecha_fs]]&gt;0,TEXT(DATA[[#This Row],[fecha_fs]],"YYYY"),0)</f>
        <v>2025</v>
      </c>
      <c r="BM840" s="221" t="b">
        <v>1</v>
      </c>
      <c r="BN840" s="278">
        <f>COUNTIF(DATA[[#This Row],[tiempo_td]], "&lt;=15")</f>
        <v>0</v>
      </c>
      <c r="BO840" s="222"/>
    </row>
    <row r="841" spans="1:67" ht="30.6" customHeight="1" x14ac:dyDescent="0.25">
      <c r="A841" s="4">
        <v>20419158462</v>
      </c>
      <c r="B841" s="5" t="s">
        <v>2</v>
      </c>
      <c r="C841" s="52" t="s">
        <v>4</v>
      </c>
      <c r="D841" s="4" t="s">
        <v>120</v>
      </c>
      <c r="E841" s="5" t="s">
        <v>3</v>
      </c>
      <c r="F841" s="87">
        <v>45835</v>
      </c>
      <c r="G841" s="88" t="s">
        <v>113</v>
      </c>
      <c r="H841" s="89">
        <f t="shared" si="88"/>
        <v>1</v>
      </c>
      <c r="I841" s="67">
        <v>4675</v>
      </c>
      <c r="J841" s="90" t="s">
        <v>115</v>
      </c>
      <c r="K841" s="91" t="s">
        <v>156</v>
      </c>
      <c r="L841" s="92" t="s">
        <v>117</v>
      </c>
      <c r="M841" s="93">
        <v>480</v>
      </c>
      <c r="N841" s="12" t="s">
        <v>125</v>
      </c>
      <c r="O841" s="6">
        <v>45838</v>
      </c>
      <c r="P841" s="13">
        <v>3533</v>
      </c>
      <c r="Q841" s="14" t="s">
        <v>85</v>
      </c>
      <c r="R841" s="15"/>
      <c r="S841" s="15">
        <f>1429.7/2</f>
        <v>714.85</v>
      </c>
      <c r="T841" s="15">
        <f>DATA[[#This Row],[C. DF]]+DATA[[#This Row],[C.OPE.]]</f>
        <v>714.85</v>
      </c>
      <c r="U841" s="15">
        <f>DATA[[#This Row],[SUB TOTAL]]*0.18</f>
        <v>128.673</v>
      </c>
      <c r="V841" s="292">
        <f>IFERROR(ROUND(DATA[[#This Row],[SUB TOTAL]]+DATA[[#This Row],[IGV]],2),0)</f>
        <v>843.52</v>
      </c>
      <c r="W841" s="16" t="str">
        <f>IF(DATA[[#This Row],[VALORIZACIÓN ]]="-","NO CORRESPONDE",IF(OR(A841=20558226979,A841=10470707866,A841=20111157058,A841=20100226902),"NO CORRESPONDE",IF(J841="Emitida",IF(P841&gt;0,"EMITIDA","PENDIENTE"),"NO CORRESPONDE")))</f>
        <v>EMITIDA</v>
      </c>
      <c r="X841" s="29"/>
      <c r="Y841" s="17" t="s">
        <v>118</v>
      </c>
      <c r="Z841" s="30">
        <v>45894</v>
      </c>
      <c r="AA841" s="10" t="s">
        <v>150</v>
      </c>
      <c r="AB841" s="19">
        <v>219</v>
      </c>
      <c r="AC841" s="20">
        <v>15</v>
      </c>
      <c r="AD841" s="18">
        <f>DATA[[#This Row],[FECHA DE EMISION]]+DATA[[#This Row],[CONDICION DE PAGO]]</f>
        <v>45909</v>
      </c>
      <c r="AE841" s="23">
        <f>IF(DATA[[#This Row],[MONEDA]]="USD",VLOOKUP(DATA[[#This Row],[COMBINADA]],#REF!,11,0),1)</f>
        <v>1</v>
      </c>
      <c r="AF841" s="129" t="str">
        <f>IF(DATA[[#This Row],[SERIE2]]="-","NO CORRESPONDE",IF(W841="NO CORRESPONDE","NO CORRESPONDE",IF(Z841&gt;0,"FACTURADO","PENDIENTE")))</f>
        <v>FACTURADO</v>
      </c>
      <c r="AG841" s="133">
        <f>IFERROR(VLOOKUP(DATA[[#This Row],[COMBINADA]],#REF!,6,0),0)</f>
        <v>0</v>
      </c>
      <c r="AH841" s="125">
        <f>IFERROR(VLOOKUP(DATA[[#This Row],[COMBINADA]],#REF!,9,0),0)/COUNTIFS(DATA[COMBINADA],DATA[[#This Row],[COMBINADA]])</f>
        <v>0</v>
      </c>
      <c r="AI841" s="136">
        <f>IFERROR(VLOOKUP(DATA[[#This Row],[COMBINADA]],#REF!,6,0),0)</f>
        <v>0</v>
      </c>
      <c r="AJ841" s="132">
        <f>IFERROR(VLOOKUP(DATA[[#This Row],[COMBINADA]],#REF!,9,0),0)/COUNTIFS(DATA[COMBINADA],DATA[[#This Row],[COMBINADA]])</f>
        <v>0</v>
      </c>
      <c r="AK841" s="407">
        <f>IFERROR(VLOOKUP(DATA[[#This Row],[COMBINADA]],#REF!,6,0),0)</f>
        <v>0</v>
      </c>
      <c r="AL841" s="125">
        <f>IFERROR(VLOOKUP(DATA[[#This Row],[COMBINADA]],#REF!,9,0),0)/COUNTIFS(DATA[COMBINADA],DATA[[#This Row],[COMBINADA]])</f>
        <v>0</v>
      </c>
      <c r="AM841" s="27">
        <f>IFERROR(VLOOKUP(DATA[[#This Row],[COMBINADA]],#REF!,6,0),0)</f>
        <v>0</v>
      </c>
      <c r="AN841" s="125">
        <f>IFERROR(VLOOKUP(DATA[[#This Row],[COMBINADA]],#REF!,9,0),0)/COUNTIFS(DATA[COMBINADA],DATA[[#This Row],[COMBINADA]])</f>
        <v>0</v>
      </c>
      <c r="AO841" s="27">
        <f>IFERROR(VLOOKUP(DATA[[#This Row],[COMBINADA]],#REF!,6,0),0)</f>
        <v>0</v>
      </c>
      <c r="AP841" s="132">
        <f>IFERROR(VLOOKUP(DATA[[#This Row],[COMBINADA]],#REF!,9,0),0)/COUNTIFS(DATA[COMBINADA],DATA[[#This Row],[COMBINADA]])</f>
        <v>0</v>
      </c>
      <c r="AQ84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841" s="26" t="str">
        <f>IFERROR(IF(DATA[[#This Row],[estado_fact]]="FACTURADO",VLOOKUP(DATA[[#This Row],[SERIE2]]&amp;"-"&amp;DATA[[#This Row],[NUMERO]],#REF!,34,0),"NO CORRESPONDE"),"NO CORRESPONDE")</f>
        <v>NO CORRESPONDE</v>
      </c>
      <c r="AS841" s="22" t="str">
        <f>IF(DATA[[#This Row],[fecha_fs]]&gt;0,TEXT(DATA[[#This Row],[fecha_fs]],"Mmmm"),0)</f>
        <v>Junio</v>
      </c>
      <c r="AT841" s="22" t="str">
        <f>DATA[[#This Row],[SERIE2]]&amp;"-"&amp;DATA[[#This Row],[NUMERO]]</f>
        <v>FF01-219</v>
      </c>
      <c r="AU841" s="28">
        <f>DATA[[#This Row],[TOTAL]]*DATA[[#This Row],[T.C.]]</f>
        <v>843.52</v>
      </c>
      <c r="AV841" s="6">
        <f>DATA[[#This Row],[FECHA DE VAL.]]</f>
        <v>45838</v>
      </c>
      <c r="AW841" s="6">
        <f>DATA[[#This Row],[FECHA DE EMISION]]</f>
        <v>45894</v>
      </c>
      <c r="AX841" s="6">
        <f>DATA[[#This Row],[F1]]</f>
        <v>0</v>
      </c>
      <c r="AY841" s="20">
        <f>IF(AV841-DATA[[#This Row],[fecha_fs]]&lt;0,0,AV841-DATA[[#This Row],[fecha_fs]])</f>
        <v>3</v>
      </c>
      <c r="AZ841" s="20">
        <f t="shared" si="89"/>
        <v>56</v>
      </c>
      <c r="BA841" s="20">
        <f t="shared" si="90"/>
        <v>0</v>
      </c>
      <c r="BB841" s="195">
        <f>IFERROR(SUM(DATA[[#This Row],[fs_val_ttf]:[fact_pago_ttf]]),0)</f>
        <v>59</v>
      </c>
      <c r="BC841" s="185">
        <v>45835</v>
      </c>
      <c r="BD841" s="185">
        <v>45835</v>
      </c>
      <c r="BE841" s="185">
        <v>45853</v>
      </c>
      <c r="BF841" s="185">
        <v>45853</v>
      </c>
      <c r="BG841" s="20">
        <f>IFERROR(IF(BC841-DATA[[#This Row],[fecha_fs]]&lt;0,0,BC841-DATA[[#This Row],[fecha_fs]]),0)</f>
        <v>0</v>
      </c>
      <c r="BH841" s="20">
        <f t="shared" si="92"/>
        <v>0</v>
      </c>
      <c r="BI841" s="20">
        <f t="shared" si="93"/>
        <v>18</v>
      </c>
      <c r="BJ841" s="20">
        <f t="shared" si="94"/>
        <v>0</v>
      </c>
      <c r="BK841" s="218">
        <f>IFERROR(SUM(DATA[[#This Row],[fs_fd_ttd]:[fend_fenf_ttd]]),0)</f>
        <v>18</v>
      </c>
      <c r="BL841" s="20" t="str">
        <f>IF(DATA[[#This Row],[fecha_fs]]&gt;0,TEXT(DATA[[#This Row],[fecha_fs]],"YYYY"),0)</f>
        <v>2025</v>
      </c>
      <c r="BM841" s="221" t="b">
        <v>1</v>
      </c>
      <c r="BN841" s="278">
        <f>COUNTIF(DATA[[#This Row],[tiempo_td]], "&lt;=15")</f>
        <v>0</v>
      </c>
      <c r="BO841" s="222"/>
    </row>
    <row r="842" spans="1:67" ht="30.6" customHeight="1" x14ac:dyDescent="0.25">
      <c r="A842" s="4">
        <v>20100211115</v>
      </c>
      <c r="B842" s="5" t="s">
        <v>41</v>
      </c>
      <c r="C842" s="52" t="s">
        <v>18</v>
      </c>
      <c r="D842" s="4" t="s">
        <v>120</v>
      </c>
      <c r="E842" s="5" t="s">
        <v>3</v>
      </c>
      <c r="F842" s="24">
        <v>45833</v>
      </c>
      <c r="G842" s="7" t="s">
        <v>113</v>
      </c>
      <c r="H842" s="25">
        <f t="shared" si="88"/>
        <v>1</v>
      </c>
      <c r="I842" s="67">
        <v>4676</v>
      </c>
      <c r="J842" s="8" t="s">
        <v>115</v>
      </c>
      <c r="K842" s="9" t="s">
        <v>121</v>
      </c>
      <c r="L842" s="10" t="s">
        <v>117</v>
      </c>
      <c r="M842" s="11">
        <v>90</v>
      </c>
      <c r="N842" s="12" t="s">
        <v>200</v>
      </c>
      <c r="O842" s="6">
        <v>45834</v>
      </c>
      <c r="P842" s="115">
        <v>3515</v>
      </c>
      <c r="Q842" s="14" t="s">
        <v>85</v>
      </c>
      <c r="R842" s="15"/>
      <c r="S842" s="15">
        <f>(DATA[[#This Row],[cantidad_fs]]*4.17)</f>
        <v>375.3</v>
      </c>
      <c r="T842" s="15">
        <f>DATA[[#This Row],[C. DF]]+DATA[[#This Row],[C.OPE.]]</f>
        <v>375.3</v>
      </c>
      <c r="U842" s="15">
        <f>DATA[[#This Row],[SUB TOTAL]]*0.18</f>
        <v>67.554000000000002</v>
      </c>
      <c r="V842" s="15">
        <f>IFERROR(ROUND(DATA[[#This Row],[SUB TOTAL]]+DATA[[#This Row],[IGV]],2),0)</f>
        <v>442.85</v>
      </c>
      <c r="W842" s="16" t="str">
        <f>IF(DATA[[#This Row],[VALORIZACIÓN ]]="-","NO CORRESPONDE",IF(OR(A842=20558226979,A842=10470707866,A842=20111157058,A842=20100226902),"NO CORRESPONDE",IF(J842="Emitida",IF(P842&gt;0,"EMITIDA","PENDIENTE"),"NO CORRESPONDE")))</f>
        <v>EMITIDA</v>
      </c>
      <c r="X842" s="29"/>
      <c r="Y842" s="17" t="s">
        <v>118</v>
      </c>
      <c r="Z842" s="30">
        <v>45835</v>
      </c>
      <c r="AA842" s="10" t="s">
        <v>150</v>
      </c>
      <c r="AB842" s="19">
        <v>137</v>
      </c>
      <c r="AC842" s="20">
        <v>30</v>
      </c>
      <c r="AD842" s="18">
        <f>DATA[[#This Row],[FECHA DE EMISION]]+DATA[[#This Row],[CONDICION DE PAGO]]</f>
        <v>45865</v>
      </c>
      <c r="AE842" s="23">
        <f>IF(DATA[[#This Row],[MONEDA]]="USD",VLOOKUP(DATA[[#This Row],[COMBINADA]],#REF!,11,0),1)</f>
        <v>1</v>
      </c>
      <c r="AF842" s="129" t="str">
        <f>IF(DATA[[#This Row],[SERIE2]]="-","NO CORRESPONDE",IF(W842="NO CORRESPONDE","NO CORRESPONDE",IF(Z842&gt;0,"FACTURADO","PENDIENTE")))</f>
        <v>FACTURADO</v>
      </c>
      <c r="AG842" s="133">
        <f>IFERROR(VLOOKUP(DATA[[#This Row],[COMBINADA]],#REF!,6,0),0)</f>
        <v>0</v>
      </c>
      <c r="AH842" s="125">
        <f>IFERROR(VLOOKUP(DATA[[#This Row],[COMBINADA]],#REF!,9,0),0)/COUNTIFS(DATA[COMBINADA],DATA[[#This Row],[COMBINADA]])</f>
        <v>0</v>
      </c>
      <c r="AI842" s="136">
        <f>IFERROR(VLOOKUP(DATA[[#This Row],[COMBINADA]],#REF!,6,0),0)</f>
        <v>0</v>
      </c>
      <c r="AJ842" s="132">
        <f>IFERROR(VLOOKUP(DATA[[#This Row],[COMBINADA]],#REF!,9,0),0)/COUNTIFS(DATA[COMBINADA],DATA[[#This Row],[COMBINADA]])</f>
        <v>0</v>
      </c>
      <c r="AK842" s="407">
        <f>IFERROR(VLOOKUP(DATA[[#This Row],[COMBINADA]],#REF!,6,0),0)</f>
        <v>0</v>
      </c>
      <c r="AL842" s="125">
        <f>IFERROR(VLOOKUP(DATA[[#This Row],[COMBINADA]],#REF!,9,0),0)/COUNTIFS(DATA[COMBINADA],DATA[[#This Row],[COMBINADA]])</f>
        <v>0</v>
      </c>
      <c r="AM842" s="27">
        <f>IFERROR(VLOOKUP(DATA[[#This Row],[COMBINADA]],#REF!,6,0),0)</f>
        <v>0</v>
      </c>
      <c r="AN842" s="125">
        <f>IFERROR(VLOOKUP(DATA[[#This Row],[COMBINADA]],#REF!,9,0),0)/COUNTIFS(DATA[COMBINADA],DATA[[#This Row],[COMBINADA]])</f>
        <v>0</v>
      </c>
      <c r="AO842" s="27">
        <f>IFERROR(VLOOKUP(DATA[[#This Row],[COMBINADA]],#REF!,6,0),0)</f>
        <v>0</v>
      </c>
      <c r="AP842" s="132">
        <f>IFERROR(VLOOKUP(DATA[[#This Row],[COMBINADA]],#REF!,9,0),0)/COUNTIFS(DATA[COMBINADA],DATA[[#This Row],[COMBINADA]])</f>
        <v>0</v>
      </c>
      <c r="AQ84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842" s="26" t="str">
        <f>IFERROR(IF(DATA[[#This Row],[estado_fact]]="FACTURADO",VLOOKUP(DATA[[#This Row],[SERIE2]]&amp;"-"&amp;DATA[[#This Row],[NUMERO]],#REF!,34,0),"NO CORRESPONDE"),"NO CORRESPONDE")</f>
        <v>NO CORRESPONDE</v>
      </c>
      <c r="AS842" s="22" t="str">
        <f>IF(DATA[[#This Row],[fecha_fs]]&gt;0,TEXT(DATA[[#This Row],[fecha_fs]],"Mmmm"),0)</f>
        <v>Junio</v>
      </c>
      <c r="AT842" s="22" t="str">
        <f>DATA[[#This Row],[SERIE2]]&amp;"-"&amp;DATA[[#This Row],[NUMERO]]</f>
        <v>FF01-137</v>
      </c>
      <c r="AU842" s="28">
        <f>DATA[[#This Row],[TOTAL]]*DATA[[#This Row],[T.C.]]</f>
        <v>442.85</v>
      </c>
      <c r="AV842" s="6">
        <f>DATA[[#This Row],[FECHA DE VAL.]]</f>
        <v>45834</v>
      </c>
      <c r="AW842" s="6">
        <f>DATA[[#This Row],[FECHA DE EMISION]]</f>
        <v>45835</v>
      </c>
      <c r="AX842" s="6">
        <f>DATA[[#This Row],[F1]]</f>
        <v>0</v>
      </c>
      <c r="AY842" s="20">
        <f>IF(AV842-DATA[[#This Row],[fecha_fs]]&lt;0,0,AV842-DATA[[#This Row],[fecha_fs]])</f>
        <v>1</v>
      </c>
      <c r="AZ842" s="20">
        <f t="shared" si="89"/>
        <v>1</v>
      </c>
      <c r="BA842" s="20">
        <f t="shared" si="90"/>
        <v>0</v>
      </c>
      <c r="BB842" s="195">
        <f>IFERROR(SUM(DATA[[#This Row],[fs_val_ttf]:[fact_pago_ttf]]),0)</f>
        <v>2</v>
      </c>
      <c r="BC842" s="185">
        <v>45838</v>
      </c>
      <c r="BD842" s="185">
        <v>45846</v>
      </c>
      <c r="BE842" s="185">
        <v>45848</v>
      </c>
      <c r="BF842" s="185">
        <v>45849</v>
      </c>
      <c r="BG842" s="20">
        <f>IFERROR(IF(BC842-DATA[[#This Row],[fecha_fs]]&lt;0,0,BC842-DATA[[#This Row],[fecha_fs]]),0)</f>
        <v>5</v>
      </c>
      <c r="BH842" s="20">
        <f t="shared" si="92"/>
        <v>8</v>
      </c>
      <c r="BI842" s="20">
        <f t="shared" si="93"/>
        <v>2</v>
      </c>
      <c r="BJ842" s="20">
        <f t="shared" si="94"/>
        <v>1</v>
      </c>
      <c r="BK842" s="218">
        <f>IFERROR(SUM(DATA[[#This Row],[fs_fd_ttd]:[fend_fenf_ttd]]),0)</f>
        <v>16</v>
      </c>
      <c r="BL842" s="20" t="str">
        <f>IF(DATA[[#This Row],[fecha_fs]]&gt;0,TEXT(DATA[[#This Row],[fecha_fs]],"YYYY"),0)</f>
        <v>2025</v>
      </c>
      <c r="BM842" s="221" t="b">
        <v>1</v>
      </c>
      <c r="BN842" s="278">
        <f>COUNTIF(DATA[[#This Row],[tiempo_td]], "&lt;=15")</f>
        <v>0</v>
      </c>
      <c r="BO842" s="222"/>
    </row>
    <row r="843" spans="1:67" ht="30" customHeight="1" x14ac:dyDescent="0.25">
      <c r="A843" s="4"/>
      <c r="B843" s="5" t="s">
        <v>0</v>
      </c>
      <c r="C843" s="52"/>
      <c r="D843" s="4"/>
      <c r="E843" s="5" t="s">
        <v>0</v>
      </c>
      <c r="F843" s="24">
        <v>45834</v>
      </c>
      <c r="G843" s="7" t="s">
        <v>113</v>
      </c>
      <c r="H843" s="25">
        <f t="shared" si="88"/>
        <v>1</v>
      </c>
      <c r="I843" s="67">
        <v>4677</v>
      </c>
      <c r="J843" s="8" t="s">
        <v>151</v>
      </c>
      <c r="K843" s="9"/>
      <c r="L843" s="10"/>
      <c r="M843" s="111"/>
      <c r="N843" s="112"/>
      <c r="O843" s="6"/>
      <c r="P843" s="13"/>
      <c r="Q843" s="14"/>
      <c r="R843" s="15"/>
      <c r="S843" s="15"/>
      <c r="T843" s="15">
        <f>DATA[[#This Row],[C. DF]]+DATA[[#This Row],[C.OPE.]]</f>
        <v>0</v>
      </c>
      <c r="U843" s="15">
        <f>DATA[[#This Row],[SUB TOTAL]]*0.18</f>
        <v>0</v>
      </c>
      <c r="V843" s="15">
        <f>IFERROR(ROUND(DATA[[#This Row],[SUB TOTAL]]+DATA[[#This Row],[IGV]],2),0)</f>
        <v>0</v>
      </c>
      <c r="W843" s="73" t="str">
        <f>IF(DATA[[#This Row],[VALORIZACIÓN ]]="-","NO CORRESPONDE",IF(OR(A843=20558226979,A843=10470707866,A843=20111157058,A843=20100226902),"NO CORRESPONDE",IF(J843="Emitida",IF(P843&gt;0,"EMITIDA","PENDIENTE"),"NO CORRESPONDE")))</f>
        <v>NO CORRESPONDE</v>
      </c>
      <c r="X843" s="46"/>
      <c r="Y843" s="17" t="s">
        <v>128</v>
      </c>
      <c r="Z843" s="48"/>
      <c r="AA843" s="49"/>
      <c r="AB843" s="50"/>
      <c r="AC843" s="51"/>
      <c r="AD843" s="59">
        <f>DATA[[#This Row],[FECHA DE EMISION]]+DATA[[#This Row],[CONDICION DE PAGO]]</f>
        <v>0</v>
      </c>
      <c r="AE843" s="23">
        <f>IF(DATA[[#This Row],[MONEDA]]="USD",VLOOKUP(DATA[[#This Row],[COMBINADA]],#REF!,11,0),1)</f>
        <v>1</v>
      </c>
      <c r="AF843" s="129" t="str">
        <f>IF(DATA[[#This Row],[SERIE2]]="-","NO CORRESPONDE",IF(W843="NO CORRESPONDE","NO CORRESPONDE",IF(Z843&gt;0,"FACTURADO","PENDIENTE")))</f>
        <v>NO CORRESPONDE</v>
      </c>
      <c r="AG843" s="140">
        <f>IFERROR(VLOOKUP(DATA[[#This Row],[COMBINADA]],#REF!,6,0),0)</f>
        <v>0</v>
      </c>
      <c r="AH843" s="126">
        <f>IFERROR(VLOOKUP(DATA[[#This Row],[COMBINADA]],#REF!,9,0),0)/COUNTIFS(DATA[COMBINADA],DATA[[#This Row],[COMBINADA]])</f>
        <v>0</v>
      </c>
      <c r="AI843" s="140">
        <f>IFERROR(VLOOKUP(DATA[[#This Row],[COMBINADA]],#REF!,6,0),0)</f>
        <v>0</v>
      </c>
      <c r="AJ843" s="126">
        <f>IFERROR(VLOOKUP(DATA[[#This Row],[COMBINADA]],#REF!,9,0),0)/COUNTIFS(DATA[COMBINADA],DATA[[#This Row],[COMBINADA]])</f>
        <v>0</v>
      </c>
      <c r="AK843" s="61">
        <f>IFERROR(VLOOKUP(DATA[[#This Row],[COMBINADA]],#REF!,6,0),0)</f>
        <v>0</v>
      </c>
      <c r="AL843" s="126">
        <f>IFERROR(VLOOKUP(DATA[[#This Row],[COMBINADA]],#REF!,9,0),0)/COUNTIFS(DATA[COMBINADA],DATA[[#This Row],[COMBINADA]])</f>
        <v>0</v>
      </c>
      <c r="AM843" s="140">
        <f>IFERROR(VLOOKUP(DATA[[#This Row],[COMBINADA]],#REF!,6,0),0)</f>
        <v>0</v>
      </c>
      <c r="AN843" s="62">
        <f>IFERROR(VLOOKUP(DATA[[#This Row],[COMBINADA]],#REF!,9,0),0)/COUNTIFS(DATA[COMBINADA],DATA[[#This Row],[COMBINADA]])</f>
        <v>0</v>
      </c>
      <c r="AO843" s="61">
        <f>IFERROR(VLOOKUP(DATA[[#This Row],[COMBINADA]],#REF!,6,0),0)</f>
        <v>0</v>
      </c>
      <c r="AP843" s="62">
        <f>IFERROR(VLOOKUP(DATA[[#This Row],[COMBINADA]],#REF!,9,0),0)/COUNTIFS(DATA[COMBINADA],DATA[[#This Row],[COMBINADA]])</f>
        <v>0</v>
      </c>
      <c r="AQ843"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843" s="22" t="str">
        <f>IFERROR(IF(DATA[[#This Row],[estado_fact]]="FACTURADO",VLOOKUP(DATA[[#This Row],[SERIE2]]&amp;"-"&amp;DATA[[#This Row],[NUMERO]],#REF!,34,0),"NO CORRESPONDE"),"NO CORRESPONDE")</f>
        <v>NO CORRESPONDE</v>
      </c>
      <c r="AS843" s="198" t="str">
        <f>IF(DATA[[#This Row],[fecha_fs]]&gt;0,TEXT(DATA[[#This Row],[fecha_fs]],"Mmmm"),0)</f>
        <v>Junio</v>
      </c>
      <c r="AT843" s="199" t="str">
        <f>DATA[[#This Row],[SERIE2]]&amp;"-"&amp;DATA[[#This Row],[NUMERO]]</f>
        <v>-</v>
      </c>
      <c r="AU843" s="198">
        <f>DATA[[#This Row],[TOTAL]]*DATA[[#This Row],[T.C.]]</f>
        <v>0</v>
      </c>
      <c r="AV843" s="40">
        <f>DATA[[#This Row],[FECHA DE VAL.]]</f>
        <v>0</v>
      </c>
      <c r="AW843" s="40">
        <f>DATA[[#This Row],[FECHA DE EMISION]]</f>
        <v>0</v>
      </c>
      <c r="AX843" s="40">
        <f>DATA[[#This Row],[F1]]</f>
        <v>0</v>
      </c>
      <c r="AY843" s="49">
        <f>IF(AV843-DATA[[#This Row],[fecha_fs]]&lt;0,0,AV843-DATA[[#This Row],[fecha_fs]])</f>
        <v>0</v>
      </c>
      <c r="AZ843" s="49">
        <f t="shared" si="89"/>
        <v>0</v>
      </c>
      <c r="BA843" s="49">
        <f t="shared" si="90"/>
        <v>0</v>
      </c>
      <c r="BB843" s="195">
        <f>IFERROR(SUM(DATA[[#This Row],[fs_val_ttf]:[fact_pago_ttf]]),0)</f>
        <v>0</v>
      </c>
      <c r="BC843" s="47"/>
      <c r="BD843" s="47"/>
      <c r="BE843" s="47"/>
      <c r="BF843" s="10"/>
      <c r="BG843" s="49">
        <f>IFERROR(IF(BC843-DATA[[#This Row],[fecha_fs]]&lt;0,0,BC843-DATA[[#This Row],[fecha_fs]]),0)</f>
        <v>0</v>
      </c>
      <c r="BH843" s="49">
        <f t="shared" si="92"/>
        <v>0</v>
      </c>
      <c r="BI843" s="49">
        <f t="shared" si="93"/>
        <v>0</v>
      </c>
      <c r="BJ843" s="49">
        <f t="shared" si="94"/>
        <v>0</v>
      </c>
      <c r="BK843" s="218">
        <f>IFERROR(SUM(DATA[[#This Row],[fs_fd_ttd]:[fend_fenf_ttd]]),0)</f>
        <v>0</v>
      </c>
      <c r="BL843" s="20" t="str">
        <f>IF(DATA[[#This Row],[fecha_fs]]&gt;0,TEXT(DATA[[#This Row],[fecha_fs]],"YYYY"),0)</f>
        <v>2025</v>
      </c>
      <c r="BM843" s="221" t="b">
        <v>0</v>
      </c>
      <c r="BN843" s="278"/>
      <c r="BO843" s="222"/>
    </row>
    <row r="844" spans="1:67" ht="30" customHeight="1" x14ac:dyDescent="0.25">
      <c r="A844" s="4"/>
      <c r="B844" s="5" t="s">
        <v>0</v>
      </c>
      <c r="C844" s="52"/>
      <c r="D844" s="4"/>
      <c r="E844" s="5" t="s">
        <v>0</v>
      </c>
      <c r="F844" s="24">
        <v>45833</v>
      </c>
      <c r="G844" s="7" t="s">
        <v>113</v>
      </c>
      <c r="H844" s="25">
        <f t="shared" si="88"/>
        <v>1</v>
      </c>
      <c r="I844" s="67">
        <v>4678</v>
      </c>
      <c r="J844" s="8" t="s">
        <v>151</v>
      </c>
      <c r="K844" s="9"/>
      <c r="L844" s="10"/>
      <c r="M844" s="111"/>
      <c r="N844" s="112"/>
      <c r="O844" s="6"/>
      <c r="P844" s="13"/>
      <c r="Q844" s="14"/>
      <c r="R844" s="15"/>
      <c r="S844" s="15"/>
      <c r="T844" s="15">
        <f>DATA[[#This Row],[C. DF]]+DATA[[#This Row],[C.OPE.]]</f>
        <v>0</v>
      </c>
      <c r="U844" s="15">
        <f>DATA[[#This Row],[SUB TOTAL]]*0.18</f>
        <v>0</v>
      </c>
      <c r="V844" s="15">
        <f>IFERROR(ROUND(DATA[[#This Row],[SUB TOTAL]]+DATA[[#This Row],[IGV]],2),0)</f>
        <v>0</v>
      </c>
      <c r="W844" s="73" t="str">
        <f>IF(DATA[[#This Row],[VALORIZACIÓN ]]="-","NO CORRESPONDE",IF(OR(A844=20558226979,A844=10470707866,A844=20111157058,A844=20100226902),"NO CORRESPONDE",IF(J844="Emitida",IF(P844&gt;0,"EMITIDA","PENDIENTE"),"NO CORRESPONDE")))</f>
        <v>NO CORRESPONDE</v>
      </c>
      <c r="X844" s="46"/>
      <c r="Y844" s="17" t="s">
        <v>128</v>
      </c>
      <c r="Z844" s="48"/>
      <c r="AA844" s="49"/>
      <c r="AB844" s="50"/>
      <c r="AC844" s="51"/>
      <c r="AD844" s="59">
        <f>DATA[[#This Row],[FECHA DE EMISION]]+DATA[[#This Row],[CONDICION DE PAGO]]</f>
        <v>0</v>
      </c>
      <c r="AE844" s="23">
        <f>IF(DATA[[#This Row],[MONEDA]]="USD",VLOOKUP(DATA[[#This Row],[COMBINADA]],#REF!,11,0),1)</f>
        <v>1</v>
      </c>
      <c r="AF844" s="129" t="str">
        <f>IF(DATA[[#This Row],[SERIE2]]="-","NO CORRESPONDE",IF(W844="NO CORRESPONDE","NO CORRESPONDE",IF(Z844&gt;0,"FACTURADO","PENDIENTE")))</f>
        <v>NO CORRESPONDE</v>
      </c>
      <c r="AG844" s="140">
        <f>IFERROR(VLOOKUP(DATA[[#This Row],[COMBINADA]],#REF!,6,0),0)</f>
        <v>0</v>
      </c>
      <c r="AH844" s="126">
        <f>IFERROR(VLOOKUP(DATA[[#This Row],[COMBINADA]],#REF!,9,0),0)/COUNTIFS(DATA[COMBINADA],DATA[[#This Row],[COMBINADA]])</f>
        <v>0</v>
      </c>
      <c r="AI844" s="140">
        <f>IFERROR(VLOOKUP(DATA[[#This Row],[COMBINADA]],#REF!,6,0),0)</f>
        <v>0</v>
      </c>
      <c r="AJ844" s="126">
        <f>IFERROR(VLOOKUP(DATA[[#This Row],[COMBINADA]],#REF!,9,0),0)/COUNTIFS(DATA[COMBINADA],DATA[[#This Row],[COMBINADA]])</f>
        <v>0</v>
      </c>
      <c r="AK844" s="61">
        <f>IFERROR(VLOOKUP(DATA[[#This Row],[COMBINADA]],#REF!,6,0),0)</f>
        <v>0</v>
      </c>
      <c r="AL844" s="126">
        <f>IFERROR(VLOOKUP(DATA[[#This Row],[COMBINADA]],#REF!,9,0),0)/COUNTIFS(DATA[COMBINADA],DATA[[#This Row],[COMBINADA]])</f>
        <v>0</v>
      </c>
      <c r="AM844" s="140">
        <f>IFERROR(VLOOKUP(DATA[[#This Row],[COMBINADA]],#REF!,6,0),0)</f>
        <v>0</v>
      </c>
      <c r="AN844" s="62">
        <f>IFERROR(VLOOKUP(DATA[[#This Row],[COMBINADA]],#REF!,9,0),0)/COUNTIFS(DATA[COMBINADA],DATA[[#This Row],[COMBINADA]])</f>
        <v>0</v>
      </c>
      <c r="AO844" s="61">
        <f>IFERROR(VLOOKUP(DATA[[#This Row],[COMBINADA]],#REF!,6,0),0)</f>
        <v>0</v>
      </c>
      <c r="AP844" s="62">
        <f>IFERROR(VLOOKUP(DATA[[#This Row],[COMBINADA]],#REF!,9,0),0)/COUNTIFS(DATA[COMBINADA],DATA[[#This Row],[COMBINADA]])</f>
        <v>0</v>
      </c>
      <c r="AQ844"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844" s="22" t="str">
        <f>IFERROR(IF(DATA[[#This Row],[estado_fact]]="FACTURADO",VLOOKUP(DATA[[#This Row],[SERIE2]]&amp;"-"&amp;DATA[[#This Row],[NUMERO]],#REF!,34,0),"NO CORRESPONDE"),"NO CORRESPONDE")</f>
        <v>NO CORRESPONDE</v>
      </c>
      <c r="AS844" s="198" t="str">
        <f>IF(DATA[[#This Row],[fecha_fs]]&gt;0,TEXT(DATA[[#This Row],[fecha_fs]],"Mmmm"),0)</f>
        <v>Junio</v>
      </c>
      <c r="AT844" s="199" t="str">
        <f>DATA[[#This Row],[SERIE2]]&amp;"-"&amp;DATA[[#This Row],[NUMERO]]</f>
        <v>-</v>
      </c>
      <c r="AU844" s="198">
        <f>DATA[[#This Row],[TOTAL]]*DATA[[#This Row],[T.C.]]</f>
        <v>0</v>
      </c>
      <c r="AV844" s="40">
        <f>DATA[[#This Row],[FECHA DE VAL.]]</f>
        <v>0</v>
      </c>
      <c r="AW844" s="40">
        <f>DATA[[#This Row],[FECHA DE EMISION]]</f>
        <v>0</v>
      </c>
      <c r="AX844" s="40">
        <f>DATA[[#This Row],[F1]]</f>
        <v>0</v>
      </c>
      <c r="AY844" s="49">
        <f>IF(AV844-DATA[[#This Row],[fecha_fs]]&lt;0,0,AV844-DATA[[#This Row],[fecha_fs]])</f>
        <v>0</v>
      </c>
      <c r="AZ844" s="49">
        <f t="shared" si="89"/>
        <v>0</v>
      </c>
      <c r="BA844" s="49">
        <f t="shared" si="90"/>
        <v>0</v>
      </c>
      <c r="BB844" s="195">
        <f>IFERROR(SUM(DATA[[#This Row],[fs_val_ttf]:[fact_pago_ttf]]),0)</f>
        <v>0</v>
      </c>
      <c r="BC844" s="47"/>
      <c r="BD844" s="47"/>
      <c r="BE844" s="47"/>
      <c r="BF844" s="10"/>
      <c r="BG844" s="49">
        <f>IFERROR(IF(BC844-DATA[[#This Row],[fecha_fs]]&lt;0,0,BC844-DATA[[#This Row],[fecha_fs]]),0)</f>
        <v>0</v>
      </c>
      <c r="BH844" s="49">
        <f t="shared" si="92"/>
        <v>0</v>
      </c>
      <c r="BI844" s="49">
        <f t="shared" si="93"/>
        <v>0</v>
      </c>
      <c r="BJ844" s="49">
        <f t="shared" si="94"/>
        <v>0</v>
      </c>
      <c r="BK844" s="218">
        <f>IFERROR(SUM(DATA[[#This Row],[fs_fd_ttd]:[fend_fenf_ttd]]),0)</f>
        <v>0</v>
      </c>
      <c r="BL844" s="20" t="str">
        <f>IF(DATA[[#This Row],[fecha_fs]]&gt;0,TEXT(DATA[[#This Row],[fecha_fs]],"YYYY"),0)</f>
        <v>2025</v>
      </c>
      <c r="BM844" s="221" t="b">
        <v>0</v>
      </c>
      <c r="BN844" s="278"/>
      <c r="BO844" s="222"/>
    </row>
    <row r="845" spans="1:67" ht="30.6" customHeight="1" x14ac:dyDescent="0.25">
      <c r="A845" s="4">
        <v>20419158462</v>
      </c>
      <c r="B845" s="5" t="s">
        <v>2</v>
      </c>
      <c r="C845" s="52" t="s">
        <v>210</v>
      </c>
      <c r="D845" s="4" t="s">
        <v>120</v>
      </c>
      <c r="E845" s="5" t="s">
        <v>3</v>
      </c>
      <c r="F845" s="87">
        <v>45834</v>
      </c>
      <c r="G845" s="88" t="s">
        <v>113</v>
      </c>
      <c r="H845" s="89">
        <f t="shared" si="88"/>
        <v>1</v>
      </c>
      <c r="I845" s="67">
        <v>4679</v>
      </c>
      <c r="J845" s="90" t="s">
        <v>115</v>
      </c>
      <c r="K845" s="91" t="s">
        <v>121</v>
      </c>
      <c r="L845" s="92" t="s">
        <v>117</v>
      </c>
      <c r="M845" s="93">
        <v>570</v>
      </c>
      <c r="N845" s="12" t="s">
        <v>122</v>
      </c>
      <c r="O845" s="6">
        <v>45835</v>
      </c>
      <c r="P845" s="13">
        <v>3527</v>
      </c>
      <c r="Q845" s="14" t="s">
        <v>85</v>
      </c>
      <c r="R845" s="15">
        <f>DATA[[#This Row],[cantidad_fs]]*0.67</f>
        <v>381.90000000000003</v>
      </c>
      <c r="S845" s="15">
        <v>839.7</v>
      </c>
      <c r="T845" s="15">
        <f>DATA[[#This Row],[C. DF]]+DATA[[#This Row],[C.OPE.]]</f>
        <v>1221.6000000000001</v>
      </c>
      <c r="U845" s="15">
        <f>DATA[[#This Row],[SUB TOTAL]]*0.18</f>
        <v>219.88800000000001</v>
      </c>
      <c r="V845" s="292">
        <f>IFERROR(ROUND(DATA[[#This Row],[SUB TOTAL]]+DATA[[#This Row],[IGV]],2),0)</f>
        <v>1441.49</v>
      </c>
      <c r="W845" s="16" t="str">
        <f>IF(DATA[[#This Row],[VALORIZACIÓN ]]="-","NO CORRESPONDE",IF(OR(A845=20558226979,A845=10470707866,A845=20111157058,A845=20100226902),"NO CORRESPONDE",IF(J845="Emitida",IF(P845&gt;0,"EMITIDA","PENDIENTE"),"NO CORRESPONDE")))</f>
        <v>EMITIDA</v>
      </c>
      <c r="X845" s="29"/>
      <c r="Y845" s="17" t="s">
        <v>118</v>
      </c>
      <c r="Z845" s="30">
        <v>45894</v>
      </c>
      <c r="AA845" s="10" t="s">
        <v>150</v>
      </c>
      <c r="AB845" s="19">
        <v>218</v>
      </c>
      <c r="AC845" s="20">
        <v>15</v>
      </c>
      <c r="AD845" s="18">
        <f>DATA[[#This Row],[FECHA DE EMISION]]+DATA[[#This Row],[CONDICION DE PAGO]]</f>
        <v>45909</v>
      </c>
      <c r="AE845" s="23">
        <f>IF(DATA[[#This Row],[MONEDA]]="USD",VLOOKUP(DATA[[#This Row],[COMBINADA]],#REF!,11,0),1)</f>
        <v>1</v>
      </c>
      <c r="AF845" s="129" t="str">
        <f>IF(DATA[[#This Row],[SERIE2]]="-","NO CORRESPONDE",IF(W845="NO CORRESPONDE","NO CORRESPONDE",IF(Z845&gt;0,"FACTURADO","PENDIENTE")))</f>
        <v>FACTURADO</v>
      </c>
      <c r="AG845" s="133">
        <f>IFERROR(VLOOKUP(DATA[[#This Row],[COMBINADA]],#REF!,6,0),0)</f>
        <v>0</v>
      </c>
      <c r="AH845" s="125">
        <f>IFERROR(VLOOKUP(DATA[[#This Row],[COMBINADA]],#REF!,9,0),0)/COUNTIFS(DATA[COMBINADA],DATA[[#This Row],[COMBINADA]])</f>
        <v>0</v>
      </c>
      <c r="AI845" s="136">
        <f>IFERROR(VLOOKUP(DATA[[#This Row],[COMBINADA]],#REF!,6,0),0)</f>
        <v>0</v>
      </c>
      <c r="AJ845" s="132">
        <f>IFERROR(VLOOKUP(DATA[[#This Row],[COMBINADA]],#REF!,9,0),0)/COUNTIFS(DATA[COMBINADA],DATA[[#This Row],[COMBINADA]])</f>
        <v>0</v>
      </c>
      <c r="AK845" s="410">
        <f>IFERROR(VLOOKUP(DATA[[#This Row],[COMBINADA]],#REF!,6,0),0)</f>
        <v>0</v>
      </c>
      <c r="AL845" s="155">
        <f>IFERROR(VLOOKUP(DATA[[#This Row],[COMBINADA]],#REF!,9,0),0)/COUNTIFS(DATA[COMBINADA],DATA[[#This Row],[COMBINADA]])</f>
        <v>0</v>
      </c>
      <c r="AM845" s="156">
        <f>IFERROR(VLOOKUP(DATA[[#This Row],[COMBINADA]],#REF!,6,0),0)</f>
        <v>0</v>
      </c>
      <c r="AN845" s="155">
        <f>IFERROR(VLOOKUP(DATA[[#This Row],[COMBINADA]],#REF!,9,0),0)/COUNTIFS(DATA[COMBINADA],DATA[[#This Row],[COMBINADA]])</f>
        <v>0</v>
      </c>
      <c r="AO845" s="156">
        <f>IFERROR(VLOOKUP(DATA[[#This Row],[COMBINADA]],#REF!,6,0),0)</f>
        <v>0</v>
      </c>
      <c r="AP845" s="157">
        <f>IFERROR(VLOOKUP(DATA[[#This Row],[COMBINADA]],#REF!,9,0),0)/COUNTIFS(DATA[COMBINADA],DATA[[#This Row],[COMBINADA]])</f>
        <v>0</v>
      </c>
      <c r="AQ845" s="15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1441.49</v>
      </c>
      <c r="AR845" s="172" t="str">
        <f>IFERROR(IF(DATA[[#This Row],[estado_fact]]="FACTURADO",VLOOKUP(DATA[[#This Row],[SERIE2]]&amp;"-"&amp;DATA[[#This Row],[NUMERO]],#REF!,34,0),"NO CORRESPONDE"),"NO CORRESPONDE")</f>
        <v>NO CORRESPONDE</v>
      </c>
      <c r="AS845" s="169" t="str">
        <f>IF(DATA[[#This Row],[fecha_fs]]&gt;0,TEXT(DATA[[#This Row],[fecha_fs]],"Mmmm"),0)</f>
        <v>Junio</v>
      </c>
      <c r="AT845" s="169" t="str">
        <f>DATA[[#This Row],[SERIE2]]&amp;"-"&amp;DATA[[#This Row],[NUMERO]]</f>
        <v>FF01-218</v>
      </c>
      <c r="AU845" s="170">
        <f>DATA[[#This Row],[TOTAL]]*DATA[[#This Row],[T.C.]]</f>
        <v>1441.49</v>
      </c>
      <c r="AV845" s="6">
        <f>DATA[[#This Row],[FECHA DE VAL.]]</f>
        <v>45835</v>
      </c>
      <c r="AW845" s="6">
        <f>DATA[[#This Row],[FECHA DE EMISION]]</f>
        <v>45894</v>
      </c>
      <c r="AX845" s="6">
        <f>DATA[[#This Row],[F1]]</f>
        <v>0</v>
      </c>
      <c r="AY845" s="20">
        <f>IF(AV845-DATA[[#This Row],[fecha_fs]]&lt;0,0,AV845-DATA[[#This Row],[fecha_fs]])</f>
        <v>1</v>
      </c>
      <c r="AZ845" s="20">
        <f t="shared" si="89"/>
        <v>59</v>
      </c>
      <c r="BA845" s="20">
        <f t="shared" si="90"/>
        <v>0</v>
      </c>
      <c r="BB845" s="195">
        <f>IFERROR(SUM(DATA[[#This Row],[fs_val_ttf]:[fact_pago_ttf]]),0)</f>
        <v>60</v>
      </c>
      <c r="BC845" s="185">
        <v>45841</v>
      </c>
      <c r="BD845" s="185">
        <v>45852</v>
      </c>
      <c r="BE845" s="185">
        <v>45853</v>
      </c>
      <c r="BF845" s="233">
        <v>45862</v>
      </c>
      <c r="BG845" s="20">
        <f>IFERROR(IF(BC845-DATA[[#This Row],[fecha_fs]]&lt;0,0,BC845-DATA[[#This Row],[fecha_fs]]),0)</f>
        <v>7</v>
      </c>
      <c r="BH845" s="20">
        <f t="shared" si="92"/>
        <v>11</v>
      </c>
      <c r="BI845" s="20">
        <f t="shared" si="93"/>
        <v>1</v>
      </c>
      <c r="BJ845" s="20">
        <f t="shared" si="94"/>
        <v>9</v>
      </c>
      <c r="BK845" s="218">
        <f>IFERROR(SUM(DATA[[#This Row],[fs_fd_ttd]:[fend_fenf_ttd]]),0)</f>
        <v>28</v>
      </c>
      <c r="BL845" s="20" t="str">
        <f>IF(DATA[[#This Row],[fecha_fs]]&gt;0,TEXT(DATA[[#This Row],[fecha_fs]],"YYYY"),0)</f>
        <v>2025</v>
      </c>
      <c r="BM845" s="221" t="b">
        <v>1</v>
      </c>
      <c r="BN845" s="278">
        <f>COUNTIF(DATA[[#This Row],[tiempo_td]], "&lt;=15")</f>
        <v>0</v>
      </c>
      <c r="BO845" s="222"/>
    </row>
    <row r="846" spans="1:67" ht="30.6" customHeight="1" x14ac:dyDescent="0.25">
      <c r="A846" s="4">
        <v>10740730628</v>
      </c>
      <c r="B846" s="5" t="s">
        <v>289</v>
      </c>
      <c r="C846" s="52" t="s">
        <v>18</v>
      </c>
      <c r="D846" s="4" t="s">
        <v>133</v>
      </c>
      <c r="E846" s="5" t="s">
        <v>291</v>
      </c>
      <c r="F846" s="24">
        <v>45834</v>
      </c>
      <c r="G846" s="7" t="s">
        <v>113</v>
      </c>
      <c r="H846" s="25">
        <f t="shared" si="88"/>
        <v>1</v>
      </c>
      <c r="I846" s="67">
        <v>4680</v>
      </c>
      <c r="J846" s="8" t="s">
        <v>115</v>
      </c>
      <c r="K846" s="9" t="s">
        <v>134</v>
      </c>
      <c r="L846" s="10" t="s">
        <v>117</v>
      </c>
      <c r="M846" s="11">
        <v>10</v>
      </c>
      <c r="N846" s="12" t="s">
        <v>167</v>
      </c>
      <c r="O846" s="6">
        <v>45835</v>
      </c>
      <c r="P846" s="13">
        <v>3528</v>
      </c>
      <c r="Q846" s="14" t="s">
        <v>85</v>
      </c>
      <c r="R846" s="15"/>
      <c r="S846" s="15">
        <v>560</v>
      </c>
      <c r="T846" s="15">
        <f>DATA[[#This Row],[C. DF]]+DATA[[#This Row],[C.OPE.]]</f>
        <v>560</v>
      </c>
      <c r="U846" s="15"/>
      <c r="V846" s="15">
        <f>IFERROR(ROUND(DATA[[#This Row],[SUB TOTAL]]+DATA[[#This Row],[IGV]],2),0)</f>
        <v>560</v>
      </c>
      <c r="W846" s="16" t="str">
        <f>IF(DATA[[#This Row],[VALORIZACIÓN ]]="-","NO CORRESPONDE",IF(OR(A846=20558226979,A846=10470707866,A846=20111157058,A846=20100226902),"NO CORRESPONDE",IF(J846="Emitida",IF(P846&gt;0,"EMITIDA","PENDIENTE"),"NO CORRESPONDE")))</f>
        <v>EMITIDA</v>
      </c>
      <c r="X846" s="29"/>
      <c r="Y846" s="17" t="s">
        <v>118</v>
      </c>
      <c r="Z846" s="30"/>
      <c r="AA846" s="10" t="s">
        <v>359</v>
      </c>
      <c r="AB846" s="19" t="s">
        <v>114</v>
      </c>
      <c r="AC846" s="20"/>
      <c r="AD846" s="18">
        <f>DATA[[#This Row],[FECHA DE EMISION]]+DATA[[#This Row],[CONDICION DE PAGO]]</f>
        <v>0</v>
      </c>
      <c r="AE846" s="23">
        <f>IF(DATA[[#This Row],[MONEDA]]="USD",VLOOKUP(DATA[[#This Row],[COMBINADA]],#REF!,11,0),1)</f>
        <v>1</v>
      </c>
      <c r="AF846" s="129" t="str">
        <f>IF(DATA[[#This Row],[SERIE2]]="-","NO CORRESPONDE",IF(W846="NO CORRESPONDE","NO CORRESPONDE",IF(Z846&gt;0,"FACTURADO","PENDIENTE")))</f>
        <v>PENDIENTE</v>
      </c>
      <c r="AG846" s="133">
        <f>IFERROR(VLOOKUP(DATA[[#This Row],[COMBINADA]],#REF!,6,0),0)</f>
        <v>0</v>
      </c>
      <c r="AH846" s="125">
        <f>IFERROR(VLOOKUP(DATA[[#This Row],[COMBINADA]],#REF!,9,0),0)/COUNTIFS(DATA[COMBINADA],DATA[[#This Row],[COMBINADA]])</f>
        <v>0</v>
      </c>
      <c r="AI846" s="136">
        <f>IFERROR(VLOOKUP(DATA[[#This Row],[COMBINADA]],#REF!,6,0),0)</f>
        <v>0</v>
      </c>
      <c r="AJ846" s="132">
        <f>IFERROR(VLOOKUP(DATA[[#This Row],[COMBINADA]],#REF!,9,0),0)/COUNTIFS(DATA[COMBINADA],DATA[[#This Row],[COMBINADA]])</f>
        <v>0</v>
      </c>
      <c r="AK846" s="408">
        <f>IFERROR(VLOOKUP(DATA[[#This Row],[COMBINADA]],#REF!,6,0),0)</f>
        <v>0</v>
      </c>
      <c r="AL846" s="125">
        <f>IFERROR(VLOOKUP(DATA[[#This Row],[COMBINADA]],#REF!,9,0),0)/COUNTIFS(DATA[COMBINADA],DATA[[#This Row],[COMBINADA]])</f>
        <v>0</v>
      </c>
      <c r="AM846" s="27">
        <f>IFERROR(VLOOKUP(DATA[[#This Row],[COMBINADA]],#REF!,6,0),0)</f>
        <v>0</v>
      </c>
      <c r="AN846" s="125">
        <f>IFERROR(VLOOKUP(DATA[[#This Row],[COMBINADA]],#REF!,9,0),0)/COUNTIFS(DATA[COMBINADA],DATA[[#This Row],[COMBINADA]])</f>
        <v>0</v>
      </c>
      <c r="AO846" s="27">
        <f>IFERROR(VLOOKUP(DATA[[#This Row],[COMBINADA]],#REF!,6,0),0)</f>
        <v>0</v>
      </c>
      <c r="AP846" s="132">
        <f>IFERROR(VLOOKUP(DATA[[#This Row],[COMBINADA]],#REF!,9,0),0)/COUNTIFS(DATA[COMBINADA],DATA[[#This Row],[COMBINADA]])</f>
        <v>0</v>
      </c>
      <c r="AQ84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560</v>
      </c>
      <c r="AR846" s="173" t="str">
        <f>IFERROR(IF(DATA[[#This Row],[estado_fact]]="FACTURADO",VLOOKUP(DATA[[#This Row],[SERIE2]]&amp;"-"&amp;DATA[[#This Row],[NUMERO]],#REF!,34,0),"NO CORRESPONDE"),"NO CORRESPONDE")</f>
        <v>NO CORRESPONDE</v>
      </c>
      <c r="AS846" s="174" t="str">
        <f>IF(DATA[[#This Row],[fecha_fs]]&gt;0,TEXT(DATA[[#This Row],[fecha_fs]],"Mmmm"),0)</f>
        <v>Junio</v>
      </c>
      <c r="AT846" s="174" t="str">
        <f>DATA[[#This Row],[SERIE2]]&amp;"-"&amp;DATA[[#This Row],[NUMERO]]</f>
        <v>SF--</v>
      </c>
      <c r="AU846" s="175">
        <f>DATA[[#This Row],[TOTAL]]*DATA[[#This Row],[T.C.]]</f>
        <v>560</v>
      </c>
      <c r="AV846" s="6">
        <f>DATA[[#This Row],[FECHA DE VAL.]]</f>
        <v>45835</v>
      </c>
      <c r="AW846" s="6">
        <f>DATA[[#This Row],[FECHA DE EMISION]]</f>
        <v>0</v>
      </c>
      <c r="AX846" s="6">
        <f>DATA[[#This Row],[F1]]</f>
        <v>0</v>
      </c>
      <c r="AY846" s="20">
        <f>IF(AV846-DATA[[#This Row],[fecha_fs]]&lt;0,0,AV846-DATA[[#This Row],[fecha_fs]])</f>
        <v>1</v>
      </c>
      <c r="AZ846" s="20">
        <f t="shared" si="89"/>
        <v>0</v>
      </c>
      <c r="BA846" s="20">
        <f t="shared" si="90"/>
        <v>0</v>
      </c>
      <c r="BB846" s="195">
        <f>IFERROR(SUM(DATA[[#This Row],[fs_val_ttf]:[fact_pago_ttf]]),0)</f>
        <v>1</v>
      </c>
      <c r="BC846" s="185">
        <v>45834</v>
      </c>
      <c r="BD846" s="185">
        <v>45845</v>
      </c>
      <c r="BE846" s="185">
        <v>45849</v>
      </c>
      <c r="BF846" s="185">
        <v>45878</v>
      </c>
      <c r="BG846" s="20">
        <f>IFERROR(IF(BC846-DATA[[#This Row],[fecha_fs]]&lt;0,0,BC846-DATA[[#This Row],[fecha_fs]]),0)</f>
        <v>0</v>
      </c>
      <c r="BH846" s="20">
        <f t="shared" si="92"/>
        <v>11</v>
      </c>
      <c r="BI846" s="20">
        <f t="shared" si="93"/>
        <v>4</v>
      </c>
      <c r="BJ846" s="20">
        <f t="shared" si="94"/>
        <v>29</v>
      </c>
      <c r="BK846" s="218">
        <f>IFERROR(SUM(DATA[[#This Row],[fs_fd_ttd]:[fend_fenf_ttd]]),0)</f>
        <v>44</v>
      </c>
      <c r="BL846" s="20" t="str">
        <f>IF(DATA[[#This Row],[fecha_fs]]&gt;0,TEXT(DATA[[#This Row],[fecha_fs]],"YYYY"),0)</f>
        <v>2025</v>
      </c>
      <c r="BM846" s="221" t="b">
        <v>1</v>
      </c>
      <c r="BN846" s="278">
        <f>COUNTIF(DATA[[#This Row],[tiempo_td]], "&lt;=15")</f>
        <v>0</v>
      </c>
      <c r="BO846" s="222"/>
    </row>
    <row r="847" spans="1:67" ht="30.6" customHeight="1" x14ac:dyDescent="0.25">
      <c r="A847" s="4">
        <v>20100192064</v>
      </c>
      <c r="B847" s="5" t="s">
        <v>60</v>
      </c>
      <c r="C847" s="52" t="s">
        <v>64</v>
      </c>
      <c r="D847" s="4" t="s">
        <v>112</v>
      </c>
      <c r="E847" s="5" t="s">
        <v>1</v>
      </c>
      <c r="F847" s="24">
        <v>45834</v>
      </c>
      <c r="G847" s="7" t="s">
        <v>113</v>
      </c>
      <c r="H847" s="25">
        <f t="shared" si="88"/>
        <v>1</v>
      </c>
      <c r="I847" s="67">
        <v>4681</v>
      </c>
      <c r="J847" s="8" t="s">
        <v>115</v>
      </c>
      <c r="K847" s="9" t="s">
        <v>116</v>
      </c>
      <c r="L847" s="10" t="s">
        <v>117</v>
      </c>
      <c r="M847" s="11">
        <v>2300</v>
      </c>
      <c r="N847" s="12" t="s">
        <v>135</v>
      </c>
      <c r="O847" s="6">
        <v>45838</v>
      </c>
      <c r="P847" s="13">
        <v>3529</v>
      </c>
      <c r="Q847" s="14" t="s">
        <v>85</v>
      </c>
      <c r="R847" s="15">
        <f>DATA[[#This Row],[cantidad_fs]]*0.57</f>
        <v>1311</v>
      </c>
      <c r="S847" s="15">
        <f>8999.3/2</f>
        <v>4499.6499999999996</v>
      </c>
      <c r="T847" s="15">
        <f>DATA[[#This Row],[C. DF]]+DATA[[#This Row],[C.OPE.]]</f>
        <v>5810.65</v>
      </c>
      <c r="U847" s="15">
        <f>DATA[[#This Row],[SUB TOTAL]]*0.18</f>
        <v>1045.9169999999999</v>
      </c>
      <c r="V847" s="15">
        <f>IFERROR(ROUND(DATA[[#This Row],[SUB TOTAL]]+DATA[[#This Row],[IGV]],2),0)</f>
        <v>6856.57</v>
      </c>
      <c r="W847" s="16" t="str">
        <f>IF(DATA[[#This Row],[VALORIZACIÓN ]]="-","NO CORRESPONDE",IF(OR(A847=20558226979,A847=10470707866,A847=20111157058,A847=20100226902),"NO CORRESPONDE",IF(J847="Emitida",IF(P847&gt;0,"EMITIDA","PENDIENTE"),"NO CORRESPONDE")))</f>
        <v>EMITIDA</v>
      </c>
      <c r="X847" s="29"/>
      <c r="Y847" s="17" t="s">
        <v>118</v>
      </c>
      <c r="Z847" s="30">
        <v>45845</v>
      </c>
      <c r="AA847" s="10" t="s">
        <v>150</v>
      </c>
      <c r="AB847" s="19">
        <v>145</v>
      </c>
      <c r="AC847" s="20">
        <v>30</v>
      </c>
      <c r="AD847" s="18">
        <f>DATA[[#This Row],[FECHA DE EMISION]]+DATA[[#This Row],[CONDICION DE PAGO]]</f>
        <v>45875</v>
      </c>
      <c r="AE847" s="23">
        <f>IF(DATA[[#This Row],[MONEDA]]="USD",VLOOKUP(DATA[[#This Row],[COMBINADA]],#REF!,11,0),1)</f>
        <v>1</v>
      </c>
      <c r="AF847" s="129" t="str">
        <f>IF(DATA[[#This Row],[SERIE2]]="-","NO CORRESPONDE",IF(W847="NO CORRESPONDE","NO CORRESPONDE",IF(Z847&gt;0,"FACTURADO","PENDIENTE")))</f>
        <v>FACTURADO</v>
      </c>
      <c r="AG847" s="133">
        <f>IFERROR(VLOOKUP(DATA[[#This Row],[COMBINADA]],#REF!,6,0),0)</f>
        <v>0</v>
      </c>
      <c r="AH847" s="125">
        <f>IFERROR(VLOOKUP(DATA[[#This Row],[COMBINADA]],#REF!,9,0),0)/COUNTIFS(DATA[COMBINADA],DATA[[#This Row],[COMBINADA]])</f>
        <v>0</v>
      </c>
      <c r="AI847" s="136">
        <f>IFERROR(VLOOKUP(DATA[[#This Row],[COMBINADA]],#REF!,6,0),0)</f>
        <v>0</v>
      </c>
      <c r="AJ847" s="132">
        <f>IFERROR(VLOOKUP(DATA[[#This Row],[COMBINADA]],#REF!,9,0),0)/COUNTIFS(DATA[COMBINADA],DATA[[#This Row],[COMBINADA]])</f>
        <v>0</v>
      </c>
      <c r="AK847" s="408">
        <f>IFERROR(VLOOKUP(DATA[[#This Row],[COMBINADA]],#REF!,6,0),0)</f>
        <v>0</v>
      </c>
      <c r="AL847" s="125">
        <f>IFERROR(VLOOKUP(DATA[[#This Row],[COMBINADA]],#REF!,9,0),0)/COUNTIFS(DATA[COMBINADA],DATA[[#This Row],[COMBINADA]])</f>
        <v>0</v>
      </c>
      <c r="AM847" s="27">
        <f>IFERROR(VLOOKUP(DATA[[#This Row],[COMBINADA]],#REF!,6,0),0)</f>
        <v>0</v>
      </c>
      <c r="AN847" s="125">
        <f>IFERROR(VLOOKUP(DATA[[#This Row],[COMBINADA]],#REF!,9,0),0)/COUNTIFS(DATA[COMBINADA],DATA[[#This Row],[COMBINADA]])</f>
        <v>0</v>
      </c>
      <c r="AO847" s="27">
        <f>IFERROR(VLOOKUP(DATA[[#This Row],[COMBINADA]],#REF!,6,0),0)</f>
        <v>0</v>
      </c>
      <c r="AP847" s="132">
        <f>IFERROR(VLOOKUP(DATA[[#This Row],[COMBINADA]],#REF!,9,0),0)/COUNTIFS(DATA[COMBINADA],DATA[[#This Row],[COMBINADA]])</f>
        <v>0</v>
      </c>
      <c r="AQ84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7858.7449999999999</v>
      </c>
      <c r="AR847" s="26" t="str">
        <f>IFERROR(IF(DATA[[#This Row],[estado_fact]]="FACTURADO",VLOOKUP(DATA[[#This Row],[SERIE2]]&amp;"-"&amp;DATA[[#This Row],[NUMERO]],#REF!,34,0),"NO CORRESPONDE"),"NO CORRESPONDE")</f>
        <v>NO CORRESPONDE</v>
      </c>
      <c r="AS847" s="22" t="str">
        <f>IF(DATA[[#This Row],[fecha_fs]]&gt;0,TEXT(DATA[[#This Row],[fecha_fs]],"Mmmm"),0)</f>
        <v>Junio</v>
      </c>
      <c r="AT847" s="22" t="str">
        <f>DATA[[#This Row],[SERIE2]]&amp;"-"&amp;DATA[[#This Row],[NUMERO]]</f>
        <v>FF01-145</v>
      </c>
      <c r="AU847" s="28">
        <f>DATA[[#This Row],[TOTAL]]*DATA[[#This Row],[T.C.]]</f>
        <v>6856.57</v>
      </c>
      <c r="AV847" s="6">
        <f>DATA[[#This Row],[FECHA DE VAL.]]</f>
        <v>45838</v>
      </c>
      <c r="AW847" s="6">
        <f>DATA[[#This Row],[FECHA DE EMISION]]</f>
        <v>45845</v>
      </c>
      <c r="AX847" s="6">
        <f>DATA[[#This Row],[F1]]</f>
        <v>0</v>
      </c>
      <c r="AY847" s="20">
        <f>IF(AV847-DATA[[#This Row],[fecha_fs]]&lt;0,0,AV847-DATA[[#This Row],[fecha_fs]])</f>
        <v>4</v>
      </c>
      <c r="AZ847" s="20">
        <f t="shared" si="89"/>
        <v>7</v>
      </c>
      <c r="BA847" s="20">
        <f t="shared" si="90"/>
        <v>0</v>
      </c>
      <c r="BB847" s="195">
        <f>IFERROR(SUM(DATA[[#This Row],[fs_val_ttf]:[fact_pago_ttf]]),0)</f>
        <v>11</v>
      </c>
      <c r="BC847" s="185">
        <v>45838</v>
      </c>
      <c r="BD847" s="233">
        <v>45845</v>
      </c>
      <c r="BE847" s="233">
        <v>45841</v>
      </c>
      <c r="BF847" s="233">
        <v>45863</v>
      </c>
      <c r="BG847" s="20">
        <f>IFERROR(IF(BC847-DATA[[#This Row],[fecha_fs]]&lt;0,0,BC847-DATA[[#This Row],[fecha_fs]]),0)</f>
        <v>4</v>
      </c>
      <c r="BH847" s="20">
        <f t="shared" si="92"/>
        <v>7</v>
      </c>
      <c r="BI847" s="20">
        <f t="shared" si="93"/>
        <v>0</v>
      </c>
      <c r="BJ847" s="20">
        <f t="shared" si="94"/>
        <v>22</v>
      </c>
      <c r="BK847" s="218">
        <f>IFERROR(SUM(DATA[[#This Row],[fs_fd_ttd]:[fend_fenf_ttd]]),0)</f>
        <v>33</v>
      </c>
      <c r="BL847" s="20" t="str">
        <f>IF(DATA[[#This Row],[fecha_fs]]&gt;0,TEXT(DATA[[#This Row],[fecha_fs]],"YYYY"),0)</f>
        <v>2025</v>
      </c>
      <c r="BM847" s="221" t="b">
        <v>1</v>
      </c>
      <c r="BN847" s="278">
        <f>COUNTIF(DATA[[#This Row],[tiempo_td]], "&lt;=15")</f>
        <v>0</v>
      </c>
      <c r="BO847" s="222"/>
    </row>
    <row r="848" spans="1:67" ht="30.6" customHeight="1" x14ac:dyDescent="0.25">
      <c r="A848" s="4">
        <v>20505675836</v>
      </c>
      <c r="B848" s="5" t="s">
        <v>42</v>
      </c>
      <c r="C848" s="52" t="s">
        <v>43</v>
      </c>
      <c r="D848" s="4" t="s">
        <v>112</v>
      </c>
      <c r="E848" s="5" t="s">
        <v>1</v>
      </c>
      <c r="F848" s="24">
        <v>45834</v>
      </c>
      <c r="G848" s="7" t="s">
        <v>113</v>
      </c>
      <c r="H848" s="25">
        <f t="shared" si="88"/>
        <v>1</v>
      </c>
      <c r="I848" s="67">
        <v>4682</v>
      </c>
      <c r="J848" s="8" t="s">
        <v>115</v>
      </c>
      <c r="K848" s="9" t="s">
        <v>116</v>
      </c>
      <c r="L848" s="10" t="s">
        <v>117</v>
      </c>
      <c r="M848" s="11">
        <v>1760</v>
      </c>
      <c r="N848" s="12" t="s">
        <v>129</v>
      </c>
      <c r="O848" s="6">
        <v>45835</v>
      </c>
      <c r="P848" s="71">
        <v>3523</v>
      </c>
      <c r="Q848" s="14" t="s">
        <v>85</v>
      </c>
      <c r="R848" s="15">
        <f>(DATA[[#This Row],[cantidad_fs]]-600)*0.97</f>
        <v>1125.2</v>
      </c>
      <c r="S848" s="15">
        <v>1427.2</v>
      </c>
      <c r="T848" s="15">
        <f>DATA[[#This Row],[C. DF]]+DATA[[#This Row],[C.OPE.]]</f>
        <v>2552.4</v>
      </c>
      <c r="U848" s="15">
        <f>DATA[[#This Row],[SUB TOTAL]]*0.18</f>
        <v>459.43200000000002</v>
      </c>
      <c r="V848" s="15">
        <f>IFERROR(ROUND(DATA[[#This Row],[SUB TOTAL]]+DATA[[#This Row],[IGV]],2),0)</f>
        <v>3011.83</v>
      </c>
      <c r="W848" s="16" t="str">
        <f>IF(DATA[[#This Row],[VALORIZACIÓN ]]="-","NO CORRESPONDE",IF(OR(A848=20558226979,A848=10470707866,A848=20111157058,A848=20100226902),"NO CORRESPONDE",IF(J848="Emitida",IF(P848&gt;0,"EMITIDA","PENDIENTE"),"NO CORRESPONDE")))</f>
        <v>EMITIDA</v>
      </c>
      <c r="X848" s="29"/>
      <c r="Y848" s="17" t="s">
        <v>118</v>
      </c>
      <c r="Z848" s="30">
        <v>45846</v>
      </c>
      <c r="AA848" s="10" t="s">
        <v>150</v>
      </c>
      <c r="AB848" s="19">
        <v>164</v>
      </c>
      <c r="AC848" s="20">
        <v>30</v>
      </c>
      <c r="AD848" s="18">
        <f>DATA[[#This Row],[FECHA DE EMISION]]+DATA[[#This Row],[CONDICION DE PAGO]]</f>
        <v>45876</v>
      </c>
      <c r="AE848" s="23">
        <f>IF(DATA[[#This Row],[MONEDA]]="USD",VLOOKUP(DATA[[#This Row],[COMBINADA]],#REF!,11,0),1)</f>
        <v>1</v>
      </c>
      <c r="AF848" s="129" t="str">
        <f>IF(DATA[[#This Row],[SERIE2]]="-","NO CORRESPONDE",IF(W848="NO CORRESPONDE","NO CORRESPONDE",IF(Z848&gt;0,"FACTURADO","PENDIENTE")))</f>
        <v>FACTURADO</v>
      </c>
      <c r="AG848" s="133">
        <f>IFERROR(VLOOKUP(DATA[[#This Row],[COMBINADA]],#REF!,6,0),0)</f>
        <v>0</v>
      </c>
      <c r="AH848" s="125">
        <f>IFERROR(VLOOKUP(DATA[[#This Row],[COMBINADA]],#REF!,9,0),0)/COUNTIFS(DATA[COMBINADA],DATA[[#This Row],[COMBINADA]])</f>
        <v>0</v>
      </c>
      <c r="AI848" s="136">
        <f>IFERROR(VLOOKUP(DATA[[#This Row],[COMBINADA]],#REF!,6,0),0)</f>
        <v>0</v>
      </c>
      <c r="AJ848" s="132">
        <f>IFERROR(VLOOKUP(DATA[[#This Row],[COMBINADA]],#REF!,9,0),0)/COUNTIFS(DATA[COMBINADA],DATA[[#This Row],[COMBINADA]])</f>
        <v>0</v>
      </c>
      <c r="AK848" s="408">
        <f>IFERROR(VLOOKUP(DATA[[#This Row],[COMBINADA]],#REF!,6,0),0)</f>
        <v>0</v>
      </c>
      <c r="AL848" s="125">
        <f>IFERROR(VLOOKUP(DATA[[#This Row],[COMBINADA]],#REF!,9,0),0)/COUNTIFS(DATA[COMBINADA],DATA[[#This Row],[COMBINADA]])</f>
        <v>0</v>
      </c>
      <c r="AM848" s="27">
        <f>IFERROR(VLOOKUP(DATA[[#This Row],[COMBINADA]],#REF!,6,0),0)</f>
        <v>0</v>
      </c>
      <c r="AN848" s="125">
        <f>IFERROR(VLOOKUP(DATA[[#This Row],[COMBINADA]],#REF!,9,0),0)/COUNTIFS(DATA[COMBINADA],DATA[[#This Row],[COMBINADA]])</f>
        <v>0</v>
      </c>
      <c r="AO848" s="27">
        <f>IFERROR(VLOOKUP(DATA[[#This Row],[COMBINADA]],#REF!,6,0),0)</f>
        <v>0</v>
      </c>
      <c r="AP848" s="132">
        <f>IFERROR(VLOOKUP(DATA[[#This Row],[COMBINADA]],#REF!,9,0),0)/COUNTIFS(DATA[COMBINADA],DATA[[#This Row],[COMBINADA]])</f>
        <v>0</v>
      </c>
      <c r="AQ84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2151.0974999999999</v>
      </c>
      <c r="AR848" s="26" t="str">
        <f>IFERROR(IF(DATA[[#This Row],[estado_fact]]="FACTURADO",VLOOKUP(DATA[[#This Row],[SERIE2]]&amp;"-"&amp;DATA[[#This Row],[NUMERO]],#REF!,34,0),"NO CORRESPONDE"),"NO CORRESPONDE")</f>
        <v>NO CORRESPONDE</v>
      </c>
      <c r="AS848" s="22" t="str">
        <f>IF(DATA[[#This Row],[fecha_fs]]&gt;0,TEXT(DATA[[#This Row],[fecha_fs]],"Mmmm"),0)</f>
        <v>Junio</v>
      </c>
      <c r="AT848" s="22" t="str">
        <f>DATA[[#This Row],[SERIE2]]&amp;"-"&amp;DATA[[#This Row],[NUMERO]]</f>
        <v>FF01-164</v>
      </c>
      <c r="AU848" s="28">
        <f>DATA[[#This Row],[TOTAL]]*DATA[[#This Row],[T.C.]]</f>
        <v>3011.83</v>
      </c>
      <c r="AV848" s="6">
        <f>DATA[[#This Row],[FECHA DE VAL.]]</f>
        <v>45835</v>
      </c>
      <c r="AW848" s="6">
        <f>DATA[[#This Row],[FECHA DE EMISION]]</f>
        <v>45846</v>
      </c>
      <c r="AX848" s="6">
        <f>DATA[[#This Row],[F1]]</f>
        <v>0</v>
      </c>
      <c r="AY848" s="20">
        <f>IF(AV848-DATA[[#This Row],[fecha_fs]]&lt;0,0,AV848-DATA[[#This Row],[fecha_fs]])</f>
        <v>1</v>
      </c>
      <c r="AZ848" s="20">
        <f t="shared" si="89"/>
        <v>11</v>
      </c>
      <c r="BA848" s="20">
        <f t="shared" si="90"/>
        <v>0</v>
      </c>
      <c r="BB848" s="195">
        <f>IFERROR(SUM(DATA[[#This Row],[fs_val_ttf]:[fact_pago_ttf]]),0)</f>
        <v>12</v>
      </c>
      <c r="BC848" s="185">
        <v>45842</v>
      </c>
      <c r="BD848" s="185">
        <v>45846</v>
      </c>
      <c r="BE848" s="185">
        <v>45848</v>
      </c>
      <c r="BF848" s="185">
        <v>45868</v>
      </c>
      <c r="BG848" s="20">
        <f>IFERROR(IF(BC848-DATA[[#This Row],[fecha_fs]]&lt;0,0,BC848-DATA[[#This Row],[fecha_fs]]),0)</f>
        <v>8</v>
      </c>
      <c r="BH848" s="20">
        <f t="shared" si="92"/>
        <v>4</v>
      </c>
      <c r="BI848" s="20">
        <f t="shared" si="93"/>
        <v>2</v>
      </c>
      <c r="BJ848" s="20">
        <f t="shared" si="94"/>
        <v>20</v>
      </c>
      <c r="BK848" s="218">
        <f>IFERROR(SUM(DATA[[#This Row],[fs_fd_ttd]:[fend_fenf_ttd]]),0)</f>
        <v>34</v>
      </c>
      <c r="BL848" s="20" t="str">
        <f>IF(DATA[[#This Row],[fecha_fs]]&gt;0,TEXT(DATA[[#This Row],[fecha_fs]],"YYYY"),0)</f>
        <v>2025</v>
      </c>
      <c r="BM848" s="221" t="b">
        <v>1</v>
      </c>
      <c r="BN848" s="278">
        <f>COUNTIF(DATA[[#This Row],[tiempo_td]], "&lt;=15")</f>
        <v>0</v>
      </c>
      <c r="BO848" s="222"/>
    </row>
    <row r="849" spans="1:67" ht="30.6" customHeight="1" x14ac:dyDescent="0.25">
      <c r="A849" s="4">
        <v>20100192064</v>
      </c>
      <c r="B849" s="5" t="s">
        <v>60</v>
      </c>
      <c r="C849" s="52" t="s">
        <v>64</v>
      </c>
      <c r="D849" s="4" t="s">
        <v>112</v>
      </c>
      <c r="E849" s="5" t="s">
        <v>1</v>
      </c>
      <c r="F849" s="24">
        <v>45834</v>
      </c>
      <c r="G849" s="7" t="s">
        <v>113</v>
      </c>
      <c r="H849" s="25">
        <f t="shared" si="88"/>
        <v>1</v>
      </c>
      <c r="I849" s="67">
        <v>4683</v>
      </c>
      <c r="J849" s="8" t="s">
        <v>115</v>
      </c>
      <c r="K849" s="9" t="s">
        <v>136</v>
      </c>
      <c r="L849" s="10" t="s">
        <v>137</v>
      </c>
      <c r="M849" s="11">
        <v>18</v>
      </c>
      <c r="N849" s="12" t="s">
        <v>135</v>
      </c>
      <c r="O849" s="6">
        <v>45834</v>
      </c>
      <c r="P849" s="71">
        <v>3509</v>
      </c>
      <c r="Q849" s="14" t="s">
        <v>123</v>
      </c>
      <c r="R849" s="15">
        <f>DATA[[#This Row],[cantidad_fs]]*33.34</f>
        <v>600.12000000000012</v>
      </c>
      <c r="S849" s="15"/>
      <c r="T849" s="15">
        <f>DATA[[#This Row],[C. DF]]+DATA[[#This Row],[C.OPE.]]</f>
        <v>600.12000000000012</v>
      </c>
      <c r="U849" s="15">
        <f>DATA[[#This Row],[SUB TOTAL]]*0.18</f>
        <v>108.02160000000002</v>
      </c>
      <c r="V849" s="15">
        <f>IFERROR(ROUND(DATA[[#This Row],[SUB TOTAL]]+DATA[[#This Row],[IGV]],2),0)</f>
        <v>708.14</v>
      </c>
      <c r="W849" s="16" t="str">
        <f>IF(DATA[[#This Row],[VALORIZACIÓN ]]="-","NO CORRESPONDE",IF(OR(A849=20558226979,A849=10470707866,A849=20111157058,A849=20100226902),"NO CORRESPONDE",IF(J849="Emitida",IF(P849&gt;0,"EMITIDA","PENDIENTE"),"NO CORRESPONDE")))</f>
        <v>EMITIDA</v>
      </c>
      <c r="X849" s="29"/>
      <c r="Y849" s="17" t="s">
        <v>118</v>
      </c>
      <c r="Z849" s="30">
        <v>45835</v>
      </c>
      <c r="AA849" s="10" t="s">
        <v>150</v>
      </c>
      <c r="AB849" s="19">
        <v>134</v>
      </c>
      <c r="AC849" s="20">
        <v>30</v>
      </c>
      <c r="AD849" s="18">
        <f>DATA[[#This Row],[FECHA DE EMISION]]+DATA[[#This Row],[CONDICION DE PAGO]]</f>
        <v>45865</v>
      </c>
      <c r="AE849" s="23" t="e">
        <f>IF(DATA[[#This Row],[MONEDA]]="USD",VLOOKUP(DATA[[#This Row],[COMBINADA]],#REF!,11,0),1)</f>
        <v>#REF!</v>
      </c>
      <c r="AF849" s="129" t="str">
        <f>IF(DATA[[#This Row],[SERIE2]]="-","NO CORRESPONDE",IF(W849="NO CORRESPONDE","NO CORRESPONDE",IF(Z849&gt;0,"FACTURADO","PENDIENTE")))</f>
        <v>FACTURADO</v>
      </c>
      <c r="AG849" s="133">
        <f>IFERROR(VLOOKUP(DATA[[#This Row],[COMBINADA]],#REF!,6,0),0)</f>
        <v>0</v>
      </c>
      <c r="AH849" s="125">
        <f>IFERROR(VLOOKUP(DATA[[#This Row],[COMBINADA]],#REF!,9,0),0)/COUNTIFS(DATA[COMBINADA],DATA[[#This Row],[COMBINADA]])</f>
        <v>0</v>
      </c>
      <c r="AI849" s="136">
        <f>IFERROR(VLOOKUP(DATA[[#This Row],[COMBINADA]],#REF!,6,0),0)</f>
        <v>0</v>
      </c>
      <c r="AJ849" s="132">
        <f>IFERROR(VLOOKUP(DATA[[#This Row],[COMBINADA]],#REF!,9,0),0)/COUNTIFS(DATA[COMBINADA],DATA[[#This Row],[COMBINADA]])</f>
        <v>0</v>
      </c>
      <c r="AK849" s="408">
        <f>IFERROR(VLOOKUP(DATA[[#This Row],[COMBINADA]],#REF!,6,0),0)</f>
        <v>0</v>
      </c>
      <c r="AL849" s="125">
        <f>IFERROR(VLOOKUP(DATA[[#This Row],[COMBINADA]],#REF!,9,0),0)/COUNTIFS(DATA[COMBINADA],DATA[[#This Row],[COMBINADA]])</f>
        <v>0</v>
      </c>
      <c r="AM849" s="27">
        <f>IFERROR(VLOOKUP(DATA[[#This Row],[COMBINADA]],#REF!,6,0),0)</f>
        <v>0</v>
      </c>
      <c r="AN849" s="125">
        <f>IFERROR(VLOOKUP(DATA[[#This Row],[COMBINADA]],#REF!,9,0),0)/COUNTIFS(DATA[COMBINADA],DATA[[#This Row],[COMBINADA]])</f>
        <v>0</v>
      </c>
      <c r="AO849" s="27">
        <f>IFERROR(VLOOKUP(DATA[[#This Row],[COMBINADA]],#REF!,6,0),0)</f>
        <v>0</v>
      </c>
      <c r="AP849" s="132">
        <f>IFERROR(VLOOKUP(DATA[[#This Row],[COMBINADA]],#REF!,9,0),0)/COUNTIFS(DATA[COMBINADA],DATA[[#This Row],[COMBINADA]])</f>
        <v>0</v>
      </c>
      <c r="AQ84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574.13187500000015</v>
      </c>
      <c r="AR849" s="26" t="str">
        <f>IFERROR(IF(DATA[[#This Row],[estado_fact]]="FACTURADO",VLOOKUP(DATA[[#This Row],[SERIE2]]&amp;"-"&amp;DATA[[#This Row],[NUMERO]],#REF!,34,0),"NO CORRESPONDE"),"NO CORRESPONDE")</f>
        <v>NO CORRESPONDE</v>
      </c>
      <c r="AS849" s="22" t="str">
        <f>IF(DATA[[#This Row],[fecha_fs]]&gt;0,TEXT(DATA[[#This Row],[fecha_fs]],"Mmmm"),0)</f>
        <v>Junio</v>
      </c>
      <c r="AT849" s="22" t="str">
        <f>DATA[[#This Row],[SERIE2]]&amp;"-"&amp;DATA[[#This Row],[NUMERO]]</f>
        <v>FF01-134</v>
      </c>
      <c r="AU849" s="28" t="e">
        <f>DATA[[#This Row],[TOTAL]]*DATA[[#This Row],[T.C.]]</f>
        <v>#REF!</v>
      </c>
      <c r="AV849" s="6">
        <f>DATA[[#This Row],[FECHA DE VAL.]]</f>
        <v>45834</v>
      </c>
      <c r="AW849" s="6">
        <f>DATA[[#This Row],[FECHA DE EMISION]]</f>
        <v>45835</v>
      </c>
      <c r="AX849" s="6">
        <f>DATA[[#This Row],[F1]]</f>
        <v>0</v>
      </c>
      <c r="AY849" s="20">
        <f>IF(AV849-DATA[[#This Row],[fecha_fs]]&lt;0,0,AV849-DATA[[#This Row],[fecha_fs]])</f>
        <v>0</v>
      </c>
      <c r="AZ849" s="20">
        <f t="shared" si="89"/>
        <v>1</v>
      </c>
      <c r="BA849" s="20">
        <f t="shared" si="90"/>
        <v>0</v>
      </c>
      <c r="BB849" s="195">
        <f>IFERROR(SUM(DATA[[#This Row],[fs_val_ttf]:[fact_pago_ttf]]),0)</f>
        <v>1</v>
      </c>
      <c r="BC849" s="185">
        <v>45834</v>
      </c>
      <c r="BD849" s="185">
        <v>45845</v>
      </c>
      <c r="BE849" s="185">
        <v>45849</v>
      </c>
      <c r="BF849" s="233">
        <v>45863</v>
      </c>
      <c r="BG849" s="20">
        <f>IFERROR(IF(BC849-DATA[[#This Row],[fecha_fs]]&lt;0,0,BC849-DATA[[#This Row],[fecha_fs]]),0)</f>
        <v>0</v>
      </c>
      <c r="BH849" s="20">
        <f t="shared" si="92"/>
        <v>11</v>
      </c>
      <c r="BI849" s="20">
        <f t="shared" si="93"/>
        <v>4</v>
      </c>
      <c r="BJ849" s="20">
        <f t="shared" si="94"/>
        <v>14</v>
      </c>
      <c r="BK849" s="218">
        <f>IFERROR(SUM(DATA[[#This Row],[fs_fd_ttd]:[fend_fenf_ttd]]),0)</f>
        <v>29</v>
      </c>
      <c r="BL849" s="20" t="str">
        <f>IF(DATA[[#This Row],[fecha_fs]]&gt;0,TEXT(DATA[[#This Row],[fecha_fs]],"YYYY"),0)</f>
        <v>2025</v>
      </c>
      <c r="BM849" s="221" t="b">
        <v>1</v>
      </c>
      <c r="BN849" s="278">
        <f>COUNTIF(DATA[[#This Row],[tiempo_td]], "&lt;=15")</f>
        <v>0</v>
      </c>
      <c r="BO849" s="222"/>
    </row>
    <row r="850" spans="1:67" ht="30.6" customHeight="1" x14ac:dyDescent="0.25">
      <c r="A850" s="4">
        <v>20141637941</v>
      </c>
      <c r="B850" s="5" t="s">
        <v>79</v>
      </c>
      <c r="C850" s="52" t="s">
        <v>18</v>
      </c>
      <c r="D850" s="4" t="s">
        <v>120</v>
      </c>
      <c r="E850" s="5" t="s">
        <v>3</v>
      </c>
      <c r="F850" s="24">
        <v>45835</v>
      </c>
      <c r="G850" s="7" t="s">
        <v>113</v>
      </c>
      <c r="H850" s="25">
        <f t="shared" si="88"/>
        <v>1</v>
      </c>
      <c r="I850" s="67">
        <v>4684</v>
      </c>
      <c r="J850" s="8" t="s">
        <v>115</v>
      </c>
      <c r="K850" s="9" t="s">
        <v>121</v>
      </c>
      <c r="L850" s="10" t="s">
        <v>117</v>
      </c>
      <c r="M850" s="11">
        <v>1240</v>
      </c>
      <c r="N850" s="12" t="s">
        <v>266</v>
      </c>
      <c r="O850" s="6">
        <v>45838</v>
      </c>
      <c r="P850" s="110">
        <v>3530</v>
      </c>
      <c r="Q850" s="14" t="s">
        <v>85</v>
      </c>
      <c r="R850" s="15">
        <f>80+((DATA[[#This Row],[cantidad_fs]]-1000)*0.08)</f>
        <v>99.2</v>
      </c>
      <c r="S850" s="15">
        <v>832</v>
      </c>
      <c r="T850" s="15">
        <f>DATA[[#This Row],[C. DF]]+DATA[[#This Row],[C.OPE.]]</f>
        <v>931.2</v>
      </c>
      <c r="U850" s="15">
        <f>DATA[[#This Row],[SUB TOTAL]]*0.18</f>
        <v>167.61600000000001</v>
      </c>
      <c r="V850" s="15">
        <f>IFERROR(ROUND(DATA[[#This Row],[SUB TOTAL]]+DATA[[#This Row],[IGV]],2),0)</f>
        <v>1098.82</v>
      </c>
      <c r="W850" s="16" t="str">
        <f>IF(DATA[[#This Row],[VALORIZACIÓN ]]="-","NO CORRESPONDE",IF(OR(A850=20558226979,A850=10470707866,A850=20111157058,A850=20100226902),"NO CORRESPONDE",IF(J850="Emitida",IF(P850&gt;0,"EMITIDA","PENDIENTE"),"NO CORRESPONDE")))</f>
        <v>EMITIDA</v>
      </c>
      <c r="X850" s="29"/>
      <c r="Y850" s="17" t="s">
        <v>118</v>
      </c>
      <c r="Z850" s="30">
        <v>45847</v>
      </c>
      <c r="AA850" s="10" t="s">
        <v>150</v>
      </c>
      <c r="AB850" s="19">
        <v>168</v>
      </c>
      <c r="AC850" s="20">
        <v>30</v>
      </c>
      <c r="AD850" s="18">
        <f>DATA[[#This Row],[FECHA DE EMISION]]+DATA[[#This Row],[CONDICION DE PAGO]]</f>
        <v>45877</v>
      </c>
      <c r="AE850" s="23">
        <f>IF(DATA[[#This Row],[MONEDA]]="USD",VLOOKUP(DATA[[#This Row],[COMBINADA]],#REF!,11,0),1)</f>
        <v>1</v>
      </c>
      <c r="AF850" s="129" t="str">
        <f>IF(DATA[[#This Row],[SERIE2]]="-","NO CORRESPONDE",IF(W850="NO CORRESPONDE","NO CORRESPONDE",IF(Z850&gt;0,"FACTURADO","PENDIENTE")))</f>
        <v>FACTURADO</v>
      </c>
      <c r="AG850" s="133">
        <f>IFERROR(VLOOKUP(DATA[[#This Row],[COMBINADA]],#REF!,6,0),0)</f>
        <v>0</v>
      </c>
      <c r="AH850" s="125">
        <f>IFERROR(VLOOKUP(DATA[[#This Row],[COMBINADA]],#REF!,9,0),0)/COUNTIFS(DATA[COMBINADA],DATA[[#This Row],[COMBINADA]])</f>
        <v>0</v>
      </c>
      <c r="AI850" s="136">
        <f>IFERROR(VLOOKUP(DATA[[#This Row],[COMBINADA]],#REF!,6,0),0)</f>
        <v>0</v>
      </c>
      <c r="AJ850" s="132">
        <f>IFERROR(VLOOKUP(DATA[[#This Row],[COMBINADA]],#REF!,9,0),0)/COUNTIFS(DATA[COMBINADA],DATA[[#This Row],[COMBINADA]])</f>
        <v>0</v>
      </c>
      <c r="AK850" s="408">
        <f>IFERROR(VLOOKUP(DATA[[#This Row],[COMBINADA]],#REF!,6,0),0)</f>
        <v>0</v>
      </c>
      <c r="AL850" s="125">
        <f>IFERROR(VLOOKUP(DATA[[#This Row],[COMBINADA]],#REF!,9,0),0)/COUNTIFS(DATA[COMBINADA],DATA[[#This Row],[COMBINADA]])</f>
        <v>0</v>
      </c>
      <c r="AM850" s="27">
        <f>IFERROR(VLOOKUP(DATA[[#This Row],[COMBINADA]],#REF!,6,0),0)</f>
        <v>0</v>
      </c>
      <c r="AN850" s="125">
        <f>IFERROR(VLOOKUP(DATA[[#This Row],[COMBINADA]],#REF!,9,0),0)/COUNTIFS(DATA[COMBINADA],DATA[[#This Row],[COMBINADA]])</f>
        <v>0</v>
      </c>
      <c r="AO850" s="27">
        <f>IFERROR(VLOOKUP(DATA[[#This Row],[COMBINADA]],#REF!,6,0),0)</f>
        <v>0</v>
      </c>
      <c r="AP850" s="132">
        <f>IFERROR(VLOOKUP(DATA[[#This Row],[COMBINADA]],#REF!,9,0),0)/COUNTIFS(DATA[COMBINADA],DATA[[#This Row],[COMBINADA]])</f>
        <v>0</v>
      </c>
      <c r="AQ85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1087.49</v>
      </c>
      <c r="AR850" s="26" t="str">
        <f>IFERROR(IF(DATA[[#This Row],[estado_fact]]="FACTURADO",VLOOKUP(DATA[[#This Row],[SERIE2]]&amp;"-"&amp;DATA[[#This Row],[NUMERO]],#REF!,34,0),"NO CORRESPONDE"),"NO CORRESPONDE")</f>
        <v>NO CORRESPONDE</v>
      </c>
      <c r="AS850" s="22" t="str">
        <f>IF(DATA[[#This Row],[fecha_fs]]&gt;0,TEXT(DATA[[#This Row],[fecha_fs]],"Mmmm"),0)</f>
        <v>Junio</v>
      </c>
      <c r="AT850" s="22" t="str">
        <f>DATA[[#This Row],[SERIE2]]&amp;"-"&amp;DATA[[#This Row],[NUMERO]]</f>
        <v>FF01-168</v>
      </c>
      <c r="AU850" s="28">
        <f>DATA[[#This Row],[TOTAL]]*DATA[[#This Row],[T.C.]]</f>
        <v>1098.82</v>
      </c>
      <c r="AV850" s="6">
        <f>DATA[[#This Row],[FECHA DE VAL.]]</f>
        <v>45838</v>
      </c>
      <c r="AW850" s="6">
        <f>DATA[[#This Row],[FECHA DE EMISION]]</f>
        <v>45847</v>
      </c>
      <c r="AX850" s="6">
        <f>DATA[[#This Row],[F1]]</f>
        <v>0</v>
      </c>
      <c r="AY850" s="20">
        <f>IF(AV850-DATA[[#This Row],[fecha_fs]]&lt;0,0,AV850-DATA[[#This Row],[fecha_fs]])</f>
        <v>3</v>
      </c>
      <c r="AZ850" s="20">
        <f t="shared" si="89"/>
        <v>9</v>
      </c>
      <c r="BA850" s="20">
        <f t="shared" si="90"/>
        <v>0</v>
      </c>
      <c r="BB850" s="195">
        <f>IFERROR(SUM(DATA[[#This Row],[fs_val_ttf]:[fact_pago_ttf]]),0)</f>
        <v>12</v>
      </c>
      <c r="BC850" s="185">
        <v>45841</v>
      </c>
      <c r="BD850" s="185">
        <v>45852</v>
      </c>
      <c r="BE850" s="185">
        <v>45853</v>
      </c>
      <c r="BF850" s="233">
        <v>45882</v>
      </c>
      <c r="BG850" s="20">
        <f>IFERROR(IF(BC850-DATA[[#This Row],[fecha_fs]]&lt;0,0,BC850-DATA[[#This Row],[fecha_fs]]),0)</f>
        <v>6</v>
      </c>
      <c r="BH850" s="20">
        <f t="shared" si="92"/>
        <v>11</v>
      </c>
      <c r="BI850" s="20">
        <f t="shared" si="93"/>
        <v>1</v>
      </c>
      <c r="BJ850" s="20">
        <f t="shared" si="94"/>
        <v>29</v>
      </c>
      <c r="BK850" s="218">
        <f>IFERROR(SUM(DATA[[#This Row],[fs_fd_ttd]:[fend_fenf_ttd]]),0)</f>
        <v>47</v>
      </c>
      <c r="BL850" s="20" t="str">
        <f>IF(DATA[[#This Row],[fecha_fs]]&gt;0,TEXT(DATA[[#This Row],[fecha_fs]],"YYYY"),0)</f>
        <v>2025</v>
      </c>
      <c r="BM850" s="221" t="b">
        <v>1</v>
      </c>
      <c r="BN850" s="278">
        <f>COUNTIF(DATA[[#This Row],[tiempo_td]], "&lt;=15")</f>
        <v>0</v>
      </c>
      <c r="BO850" s="222"/>
    </row>
    <row r="851" spans="1:67" ht="30.6" customHeight="1" x14ac:dyDescent="0.25">
      <c r="A851" s="4">
        <v>20100192064</v>
      </c>
      <c r="B851" s="5" t="s">
        <v>60</v>
      </c>
      <c r="C851" s="52" t="s">
        <v>43</v>
      </c>
      <c r="D851" s="4" t="s">
        <v>189</v>
      </c>
      <c r="E851" s="5" t="s">
        <v>62</v>
      </c>
      <c r="F851" s="24">
        <v>45834</v>
      </c>
      <c r="G851" s="7" t="s">
        <v>113</v>
      </c>
      <c r="H851" s="25">
        <f t="shared" si="88"/>
        <v>1</v>
      </c>
      <c r="I851" s="67">
        <v>4685</v>
      </c>
      <c r="J851" s="8" t="s">
        <v>115</v>
      </c>
      <c r="K851" s="9" t="s">
        <v>190</v>
      </c>
      <c r="L851" s="10" t="s">
        <v>117</v>
      </c>
      <c r="M851" s="11">
        <v>32400</v>
      </c>
      <c r="N851" s="12" t="s">
        <v>114</v>
      </c>
      <c r="O851" s="6">
        <v>45834</v>
      </c>
      <c r="P851" s="71">
        <v>3508</v>
      </c>
      <c r="Q851" s="14" t="s">
        <v>123</v>
      </c>
      <c r="R851" s="15"/>
      <c r="S851" s="15">
        <f>(DATA[[#This Row],[cantidad_fs]]/1000)*17</f>
        <v>550.79999999999995</v>
      </c>
      <c r="T851" s="15">
        <f>DATA[[#This Row],[C. DF]]+DATA[[#This Row],[C.OPE.]]</f>
        <v>550.79999999999995</v>
      </c>
      <c r="U851" s="15">
        <f>DATA[[#This Row],[SUB TOTAL]]*0.18</f>
        <v>99.143999999999991</v>
      </c>
      <c r="V851" s="15">
        <f>IFERROR(ROUND(DATA[[#This Row],[SUB TOTAL]]+DATA[[#This Row],[IGV]],2),0)</f>
        <v>649.94000000000005</v>
      </c>
      <c r="W851" s="16" t="str">
        <f>IF(DATA[[#This Row],[VALORIZACIÓN ]]="-","NO CORRESPONDE",IF(OR(A851=20558226979,A851=10470707866,A851=20111157058,A851=20100226902),"NO CORRESPONDE",IF(J851="Emitida",IF(P851&gt;0,"EMITIDA","PENDIENTE"),"NO CORRESPONDE")))</f>
        <v>EMITIDA</v>
      </c>
      <c r="X851" s="29"/>
      <c r="Y851" s="17" t="s">
        <v>118</v>
      </c>
      <c r="Z851" s="30">
        <v>45835</v>
      </c>
      <c r="AA851" s="10" t="s">
        <v>150</v>
      </c>
      <c r="AB851" s="19">
        <v>134</v>
      </c>
      <c r="AC851" s="20">
        <v>30</v>
      </c>
      <c r="AD851" s="18">
        <f>DATA[[#This Row],[FECHA DE EMISION]]+DATA[[#This Row],[CONDICION DE PAGO]]</f>
        <v>45865</v>
      </c>
      <c r="AE851" s="23" t="e">
        <f>IF(DATA[[#This Row],[MONEDA]]="USD",VLOOKUP(DATA[[#This Row],[COMBINADA]],#REF!,11,0),1)</f>
        <v>#REF!</v>
      </c>
      <c r="AF851" s="39" t="str">
        <f>IF(DATA[[#This Row],[SERIE2]]="-","NO CORRESPONDE",IF(W851="NO CORRESPONDE","NO CORRESPONDE",IF(Z851&gt;0,"FACTURADO","PENDIENTE")))</f>
        <v>FACTURADO</v>
      </c>
      <c r="AG851" s="133">
        <f>IFERROR(VLOOKUP(DATA[[#This Row],[COMBINADA]],#REF!,6,0),0)</f>
        <v>0</v>
      </c>
      <c r="AH851" s="125">
        <f>IFERROR(VLOOKUP(DATA[[#This Row],[COMBINADA]],#REF!,9,0),0)/COUNTIFS(DATA[COMBINADA],DATA[[#This Row],[COMBINADA]])</f>
        <v>0</v>
      </c>
      <c r="AI851" s="136">
        <f>IFERROR(VLOOKUP(DATA[[#This Row],[COMBINADA]],#REF!,6,0),0)</f>
        <v>0</v>
      </c>
      <c r="AJ851" s="132">
        <f>IFERROR(VLOOKUP(DATA[[#This Row],[COMBINADA]],#REF!,9,0),0)/COUNTIFS(DATA[COMBINADA],DATA[[#This Row],[COMBINADA]])</f>
        <v>0</v>
      </c>
      <c r="AK851" s="408">
        <f>IFERROR(VLOOKUP(DATA[[#This Row],[COMBINADA]],#REF!,6,0),0)</f>
        <v>0</v>
      </c>
      <c r="AL851" s="125">
        <f>IFERROR(VLOOKUP(DATA[[#This Row],[COMBINADA]],#REF!,9,0),0)/COUNTIFS(DATA[COMBINADA],DATA[[#This Row],[COMBINADA]])</f>
        <v>0</v>
      </c>
      <c r="AM851" s="27">
        <f>IFERROR(VLOOKUP(DATA[[#This Row],[COMBINADA]],#REF!,6,0),0)</f>
        <v>0</v>
      </c>
      <c r="AN851" s="125">
        <f>IFERROR(VLOOKUP(DATA[[#This Row],[COMBINADA]],#REF!,9,0),0)/COUNTIFS(DATA[COMBINADA],DATA[[#This Row],[COMBINADA]])</f>
        <v>0</v>
      </c>
      <c r="AO851" s="27">
        <f>IFERROR(VLOOKUP(DATA[[#This Row],[COMBINADA]],#REF!,6,0),0)</f>
        <v>0</v>
      </c>
      <c r="AP851" s="132">
        <f>IFERROR(VLOOKUP(DATA[[#This Row],[COMBINADA]],#REF!,9,0),0)/COUNTIFS(DATA[COMBINADA],DATA[[#This Row],[COMBINADA]])</f>
        <v>0</v>
      </c>
      <c r="AQ85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574.13187500000015</v>
      </c>
      <c r="AR851" s="26" t="str">
        <f>IFERROR(IF(DATA[[#This Row],[estado_fact]]="FACTURADO",VLOOKUP(DATA[[#This Row],[SERIE2]]&amp;"-"&amp;DATA[[#This Row],[NUMERO]],#REF!,34,0),"NO CORRESPONDE"),"NO CORRESPONDE")</f>
        <v>NO CORRESPONDE</v>
      </c>
      <c r="AS851" s="22" t="str">
        <f>IF(DATA[[#This Row],[fecha_fs]]&gt;0,TEXT(DATA[[#This Row],[fecha_fs]],"Mmmm"),0)</f>
        <v>Junio</v>
      </c>
      <c r="AT851" s="22" t="str">
        <f>DATA[[#This Row],[SERIE2]]&amp;"-"&amp;DATA[[#This Row],[NUMERO]]</f>
        <v>FF01-134</v>
      </c>
      <c r="AU851" s="28" t="e">
        <f>DATA[[#This Row],[TOTAL]]*DATA[[#This Row],[T.C.]]</f>
        <v>#REF!</v>
      </c>
      <c r="AV851" s="6">
        <f>DATA[[#This Row],[FECHA DE VAL.]]</f>
        <v>45834</v>
      </c>
      <c r="AW851" s="6">
        <f>DATA[[#This Row],[FECHA DE EMISION]]</f>
        <v>45835</v>
      </c>
      <c r="AX851" s="6">
        <f>DATA[[#This Row],[F1]]</f>
        <v>0</v>
      </c>
      <c r="AY851" s="20">
        <f>IF(AV851-DATA[[#This Row],[fecha_fs]]&lt;0,0,AV851-DATA[[#This Row],[fecha_fs]])</f>
        <v>0</v>
      </c>
      <c r="AZ851" s="20">
        <f t="shared" si="89"/>
        <v>1</v>
      </c>
      <c r="BA851" s="20">
        <f t="shared" si="90"/>
        <v>0</v>
      </c>
      <c r="BB851" s="195">
        <f>IFERROR(SUM(DATA[[#This Row],[fs_val_ttf]:[fact_pago_ttf]]),0)</f>
        <v>1</v>
      </c>
      <c r="BC851" s="185" t="s">
        <v>292</v>
      </c>
      <c r="BD851" s="185" t="s">
        <v>292</v>
      </c>
      <c r="BE851" s="185" t="s">
        <v>292</v>
      </c>
      <c r="BF851" s="185" t="s">
        <v>292</v>
      </c>
      <c r="BG851" s="20">
        <f>IFERROR(IF(BC851-DATA[[#This Row],[fecha_fs]]&lt;0,0,BC851-DATA[[#This Row],[fecha_fs]]),0)</f>
        <v>0</v>
      </c>
      <c r="BH851" s="20">
        <f t="shared" si="92"/>
        <v>0</v>
      </c>
      <c r="BI851" s="20">
        <f t="shared" si="93"/>
        <v>0</v>
      </c>
      <c r="BJ851" s="20">
        <f t="shared" si="94"/>
        <v>0</v>
      </c>
      <c r="BK851" s="218">
        <f>IFERROR(SUM(DATA[[#This Row],[fs_fd_ttd]:[fend_fenf_ttd]]),0)</f>
        <v>0</v>
      </c>
      <c r="BL851" s="20" t="str">
        <f>IF(DATA[[#This Row],[fecha_fs]]&gt;0,TEXT(DATA[[#This Row],[fecha_fs]],"YYYY"),0)</f>
        <v>2025</v>
      </c>
      <c r="BM851" s="221" t="b">
        <v>1</v>
      </c>
      <c r="BN851" s="278">
        <f>COUNTIF(DATA[[#This Row],[tiempo_td]], "&lt;=15")</f>
        <v>1</v>
      </c>
      <c r="BO851" s="222"/>
    </row>
    <row r="852" spans="1:67" ht="30.6" customHeight="1" x14ac:dyDescent="0.25">
      <c r="A852" s="4">
        <v>20100192064</v>
      </c>
      <c r="B852" s="5" t="s">
        <v>60</v>
      </c>
      <c r="C852" s="52" t="s">
        <v>43</v>
      </c>
      <c r="D852" s="4" t="s">
        <v>183</v>
      </c>
      <c r="E852" s="5" t="s">
        <v>61</v>
      </c>
      <c r="F852" s="24">
        <v>45834</v>
      </c>
      <c r="G852" s="7" t="s">
        <v>113</v>
      </c>
      <c r="H852" s="25">
        <f t="shared" si="88"/>
        <v>1</v>
      </c>
      <c r="I852" s="67">
        <v>4686</v>
      </c>
      <c r="J852" s="8" t="s">
        <v>115</v>
      </c>
      <c r="K852" s="9" t="s">
        <v>184</v>
      </c>
      <c r="L852" s="10" t="s">
        <v>117</v>
      </c>
      <c r="M852" s="11">
        <v>32400</v>
      </c>
      <c r="N852" s="12" t="s">
        <v>114</v>
      </c>
      <c r="O852" s="6">
        <v>45834</v>
      </c>
      <c r="P852" s="71">
        <v>3507</v>
      </c>
      <c r="Q852" s="14" t="s">
        <v>123</v>
      </c>
      <c r="R852" s="14"/>
      <c r="S852" s="15">
        <f>(DATA[[#This Row],[cantidad_fs]]/1000)*22</f>
        <v>712.8</v>
      </c>
      <c r="T852" s="15">
        <f>DATA[[#This Row],[C. DF]]+DATA[[#This Row],[C.OPE.]]</f>
        <v>712.8</v>
      </c>
      <c r="U852" s="15">
        <f>DATA[[#This Row],[SUB TOTAL]]*0.18</f>
        <v>128.30399999999997</v>
      </c>
      <c r="V852" s="15">
        <f>IFERROR(ROUND(DATA[[#This Row],[SUB TOTAL]]+DATA[[#This Row],[IGV]],2),0)</f>
        <v>841.1</v>
      </c>
      <c r="W852" s="16" t="str">
        <f>IF(DATA[[#This Row],[VALORIZACIÓN ]]="-","NO CORRESPONDE",IF(OR(A852=20558226979,A852=10470707866,A852=20111157058,A852=20100226902),"NO CORRESPONDE",IF(J852="Emitida",IF(P852&gt;0,"EMITIDA","PENDIENTE"),"NO CORRESPONDE")))</f>
        <v>EMITIDA</v>
      </c>
      <c r="X852" s="29"/>
      <c r="Y852" s="17" t="s">
        <v>118</v>
      </c>
      <c r="Z852" s="30">
        <v>45835</v>
      </c>
      <c r="AA852" s="10" t="s">
        <v>150</v>
      </c>
      <c r="AB852" s="19">
        <v>134</v>
      </c>
      <c r="AC852" s="20">
        <v>30</v>
      </c>
      <c r="AD852" s="18">
        <f>DATA[[#This Row],[FECHA DE EMISION]]+DATA[[#This Row],[CONDICION DE PAGO]]</f>
        <v>45865</v>
      </c>
      <c r="AE852" s="23" t="e">
        <f>IF(DATA[[#This Row],[MONEDA]]="USD",VLOOKUP(DATA[[#This Row],[COMBINADA]],#REF!,11,0),1)</f>
        <v>#REF!</v>
      </c>
      <c r="AF852" s="39" t="str">
        <f>IF(DATA[[#This Row],[SERIE2]]="-","NO CORRESPONDE",IF(W852="NO CORRESPONDE","NO CORRESPONDE",IF(Z852&gt;0,"FACTURADO","PENDIENTE")))</f>
        <v>FACTURADO</v>
      </c>
      <c r="AG852" s="133">
        <f>IFERROR(VLOOKUP(DATA[[#This Row],[COMBINADA]],#REF!,6,0),0)</f>
        <v>0</v>
      </c>
      <c r="AH852" s="125">
        <f>IFERROR(VLOOKUP(DATA[[#This Row],[COMBINADA]],#REF!,9,0),0)/COUNTIFS(DATA[COMBINADA],DATA[[#This Row],[COMBINADA]])</f>
        <v>0</v>
      </c>
      <c r="AI852" s="136">
        <f>IFERROR(VLOOKUP(DATA[[#This Row],[COMBINADA]],#REF!,6,0),0)</f>
        <v>0</v>
      </c>
      <c r="AJ852" s="132">
        <f>IFERROR(VLOOKUP(DATA[[#This Row],[COMBINADA]],#REF!,9,0),0)/COUNTIFS(DATA[COMBINADA],DATA[[#This Row],[COMBINADA]])</f>
        <v>0</v>
      </c>
      <c r="AK852" s="408">
        <f>IFERROR(VLOOKUP(DATA[[#This Row],[COMBINADA]],#REF!,6,0),0)</f>
        <v>0</v>
      </c>
      <c r="AL852" s="125">
        <f>IFERROR(VLOOKUP(DATA[[#This Row],[COMBINADA]],#REF!,9,0),0)/COUNTIFS(DATA[COMBINADA],DATA[[#This Row],[COMBINADA]])</f>
        <v>0</v>
      </c>
      <c r="AM852" s="27">
        <f>IFERROR(VLOOKUP(DATA[[#This Row],[COMBINADA]],#REF!,6,0),0)</f>
        <v>0</v>
      </c>
      <c r="AN852" s="125">
        <f>IFERROR(VLOOKUP(DATA[[#This Row],[COMBINADA]],#REF!,9,0),0)/COUNTIFS(DATA[COMBINADA],DATA[[#This Row],[COMBINADA]])</f>
        <v>0</v>
      </c>
      <c r="AO852" s="27">
        <f>IFERROR(VLOOKUP(DATA[[#This Row],[COMBINADA]],#REF!,6,0),0)</f>
        <v>0</v>
      </c>
      <c r="AP852" s="132">
        <f>IFERROR(VLOOKUP(DATA[[#This Row],[COMBINADA]],#REF!,9,0),0)/COUNTIFS(DATA[COMBINADA],DATA[[#This Row],[COMBINADA]])</f>
        <v>0</v>
      </c>
      <c r="AQ85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574.13187500000015</v>
      </c>
      <c r="AR852" s="26" t="str">
        <f>IFERROR(IF(DATA[[#This Row],[estado_fact]]="FACTURADO",VLOOKUP(DATA[[#This Row],[SERIE2]]&amp;"-"&amp;DATA[[#This Row],[NUMERO]],#REF!,34,0),"NO CORRESPONDE"),"NO CORRESPONDE")</f>
        <v>NO CORRESPONDE</v>
      </c>
      <c r="AS852" s="22" t="str">
        <f>IF(DATA[[#This Row],[fecha_fs]]&gt;0,TEXT(DATA[[#This Row],[fecha_fs]],"Mmmm"),0)</f>
        <v>Junio</v>
      </c>
      <c r="AT852" s="22" t="str">
        <f>DATA[[#This Row],[SERIE2]]&amp;"-"&amp;DATA[[#This Row],[NUMERO]]</f>
        <v>FF01-134</v>
      </c>
      <c r="AU852" s="28" t="e">
        <f>DATA[[#This Row],[TOTAL]]*DATA[[#This Row],[T.C.]]</f>
        <v>#REF!</v>
      </c>
      <c r="AV852" s="6">
        <f>DATA[[#This Row],[FECHA DE VAL.]]</f>
        <v>45834</v>
      </c>
      <c r="AW852" s="6">
        <f>DATA[[#This Row],[FECHA DE EMISION]]</f>
        <v>45835</v>
      </c>
      <c r="AX852" s="6">
        <f>DATA[[#This Row],[F1]]</f>
        <v>0</v>
      </c>
      <c r="AY852" s="20">
        <f>IF(AV852-DATA[[#This Row],[fecha_fs]]&lt;0,0,AV852-DATA[[#This Row],[fecha_fs]])</f>
        <v>0</v>
      </c>
      <c r="AZ852" s="20">
        <f t="shared" si="89"/>
        <v>1</v>
      </c>
      <c r="BA852" s="20">
        <f t="shared" si="90"/>
        <v>0</v>
      </c>
      <c r="BB852" s="195">
        <f>IFERROR(SUM(DATA[[#This Row],[fs_val_ttf]:[fact_pago_ttf]]),0)</f>
        <v>1</v>
      </c>
      <c r="BC852" s="185" t="s">
        <v>292</v>
      </c>
      <c r="BD852" s="185" t="s">
        <v>292</v>
      </c>
      <c r="BE852" s="185" t="s">
        <v>292</v>
      </c>
      <c r="BF852" s="185" t="s">
        <v>292</v>
      </c>
      <c r="BG852" s="20">
        <f>IFERROR(IF(BC852-DATA[[#This Row],[fecha_fs]]&lt;0,0,BC852-DATA[[#This Row],[fecha_fs]]),0)</f>
        <v>0</v>
      </c>
      <c r="BH852" s="20">
        <f t="shared" si="92"/>
        <v>0</v>
      </c>
      <c r="BI852" s="20">
        <f t="shared" si="93"/>
        <v>0</v>
      </c>
      <c r="BJ852" s="20">
        <f t="shared" si="94"/>
        <v>0</v>
      </c>
      <c r="BK852" s="218">
        <f>IFERROR(SUM(DATA[[#This Row],[fs_fd_ttd]:[fend_fenf_ttd]]),0)</f>
        <v>0</v>
      </c>
      <c r="BL852" s="20" t="str">
        <f>IF(DATA[[#This Row],[fecha_fs]]&gt;0,TEXT(DATA[[#This Row],[fecha_fs]],"YYYY"),0)</f>
        <v>2025</v>
      </c>
      <c r="BM852" s="221" t="b">
        <v>1</v>
      </c>
      <c r="BN852" s="278">
        <f>COUNTIF(DATA[[#This Row],[tiempo_td]], "&lt;=15")</f>
        <v>1</v>
      </c>
      <c r="BO852" s="222"/>
    </row>
    <row r="853" spans="1:67" ht="30.6" customHeight="1" x14ac:dyDescent="0.25">
      <c r="A853" s="4">
        <v>20100211115</v>
      </c>
      <c r="B853" s="5" t="s">
        <v>41</v>
      </c>
      <c r="C853" s="52" t="s">
        <v>18</v>
      </c>
      <c r="D853" s="4" t="s">
        <v>120</v>
      </c>
      <c r="E853" s="5" t="s">
        <v>3</v>
      </c>
      <c r="F853" s="24">
        <v>45835</v>
      </c>
      <c r="G853" s="7" t="s">
        <v>113</v>
      </c>
      <c r="H853" s="25">
        <f t="shared" si="88"/>
        <v>1</v>
      </c>
      <c r="I853" s="67">
        <v>4687</v>
      </c>
      <c r="J853" s="8" t="s">
        <v>115</v>
      </c>
      <c r="K853" s="9" t="s">
        <v>121</v>
      </c>
      <c r="L853" s="10" t="s">
        <v>117</v>
      </c>
      <c r="M853" s="11">
        <v>90</v>
      </c>
      <c r="N853" s="12" t="s">
        <v>132</v>
      </c>
      <c r="O853" s="6">
        <v>45838</v>
      </c>
      <c r="P853" s="115">
        <v>3536</v>
      </c>
      <c r="Q853" s="14" t="s">
        <v>85</v>
      </c>
      <c r="R853" s="15"/>
      <c r="S853" s="15">
        <f>(DATA[[#This Row],[cantidad_fs]]*4.17)</f>
        <v>375.3</v>
      </c>
      <c r="T853" s="15">
        <f>DATA[[#This Row],[C. DF]]+DATA[[#This Row],[C.OPE.]]</f>
        <v>375.3</v>
      </c>
      <c r="U853" s="15">
        <f>DATA[[#This Row],[SUB TOTAL]]*0.18</f>
        <v>67.554000000000002</v>
      </c>
      <c r="V853" s="15">
        <f>IFERROR(ROUND(DATA[[#This Row],[SUB TOTAL]]+DATA[[#This Row],[IGV]],2),0)</f>
        <v>442.85</v>
      </c>
      <c r="W853" s="16" t="str">
        <f>IF(DATA[[#This Row],[VALORIZACIÓN ]]="-","NO CORRESPONDE",IF(OR(A853=20558226979,A853=10470707866,A853=20111157058,A853=20100226902),"NO CORRESPONDE",IF(J853="Emitida",IF(P853&gt;0,"EMITIDA","PENDIENTE"),"NO CORRESPONDE")))</f>
        <v>EMITIDA</v>
      </c>
      <c r="X853" s="29"/>
      <c r="Y853" s="17" t="s">
        <v>118</v>
      </c>
      <c r="Z853" s="30">
        <v>45869</v>
      </c>
      <c r="AA853" s="10" t="s">
        <v>150</v>
      </c>
      <c r="AB853" s="19">
        <v>191</v>
      </c>
      <c r="AC853" s="20">
        <v>30</v>
      </c>
      <c r="AD853" s="18">
        <f>DATA[[#This Row],[FECHA DE EMISION]]+DATA[[#This Row],[CONDICION DE PAGO]]</f>
        <v>45899</v>
      </c>
      <c r="AE853" s="23">
        <f>IF(DATA[[#This Row],[MONEDA]]="USD",VLOOKUP(DATA[[#This Row],[COMBINADA]],#REF!,11,0),1)</f>
        <v>1</v>
      </c>
      <c r="AF853" s="129" t="str">
        <f>IF(DATA[[#This Row],[SERIE2]]="-","NO CORRESPONDE",IF(W853="NO CORRESPONDE","NO CORRESPONDE",IF(Z853&gt;0,"FACTURADO","PENDIENTE")))</f>
        <v>FACTURADO</v>
      </c>
      <c r="AG853" s="133">
        <f>IFERROR(VLOOKUP(DATA[[#This Row],[COMBINADA]],#REF!,6,0),0)</f>
        <v>0</v>
      </c>
      <c r="AH853" s="125">
        <f>IFERROR(VLOOKUP(DATA[[#This Row],[COMBINADA]],#REF!,9,0),0)/COUNTIFS(DATA[COMBINADA],DATA[[#This Row],[COMBINADA]])</f>
        <v>0</v>
      </c>
      <c r="AI853" s="136">
        <f>IFERROR(VLOOKUP(DATA[[#This Row],[COMBINADA]],#REF!,6,0),0)</f>
        <v>0</v>
      </c>
      <c r="AJ853" s="132">
        <f>IFERROR(VLOOKUP(DATA[[#This Row],[COMBINADA]],#REF!,9,0),0)/COUNTIFS(DATA[COMBINADA],DATA[[#This Row],[COMBINADA]])</f>
        <v>0</v>
      </c>
      <c r="AK853" s="408">
        <f>IFERROR(VLOOKUP(DATA[[#This Row],[COMBINADA]],#REF!,6,0),0)</f>
        <v>0</v>
      </c>
      <c r="AL853" s="125">
        <f>IFERROR(VLOOKUP(DATA[[#This Row],[COMBINADA]],#REF!,9,0),0)/COUNTIFS(DATA[COMBINADA],DATA[[#This Row],[COMBINADA]])</f>
        <v>0</v>
      </c>
      <c r="AM853" s="27">
        <f>IFERROR(VLOOKUP(DATA[[#This Row],[COMBINADA]],#REF!,6,0),0)</f>
        <v>0</v>
      </c>
      <c r="AN853" s="125">
        <f>IFERROR(VLOOKUP(DATA[[#This Row],[COMBINADA]],#REF!,9,0),0)/COUNTIFS(DATA[COMBINADA],DATA[[#This Row],[COMBINADA]])</f>
        <v>0</v>
      </c>
      <c r="AO853" s="27">
        <f>IFERROR(VLOOKUP(DATA[[#This Row],[COMBINADA]],#REF!,6,0),0)</f>
        <v>0</v>
      </c>
      <c r="AP853" s="132">
        <f>IFERROR(VLOOKUP(DATA[[#This Row],[COMBINADA]],#REF!,9,0),0)/COUNTIFS(DATA[COMBINADA],DATA[[#This Row],[COMBINADA]])</f>
        <v>0</v>
      </c>
      <c r="AQ85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853" s="26" t="str">
        <f>IFERROR(IF(DATA[[#This Row],[estado_fact]]="FACTURADO",VLOOKUP(DATA[[#This Row],[SERIE2]]&amp;"-"&amp;DATA[[#This Row],[NUMERO]],#REF!,34,0),"NO CORRESPONDE"),"NO CORRESPONDE")</f>
        <v>NO CORRESPONDE</v>
      </c>
      <c r="AS853" s="22" t="str">
        <f>IF(DATA[[#This Row],[fecha_fs]]&gt;0,TEXT(DATA[[#This Row],[fecha_fs]],"Mmmm"),0)</f>
        <v>Junio</v>
      </c>
      <c r="AT853" s="22" t="str">
        <f>DATA[[#This Row],[SERIE2]]&amp;"-"&amp;DATA[[#This Row],[NUMERO]]</f>
        <v>FF01-191</v>
      </c>
      <c r="AU853" s="28">
        <f>DATA[[#This Row],[TOTAL]]*DATA[[#This Row],[T.C.]]</f>
        <v>442.85</v>
      </c>
      <c r="AV853" s="6">
        <f>DATA[[#This Row],[FECHA DE VAL.]]</f>
        <v>45838</v>
      </c>
      <c r="AW853" s="6">
        <f>DATA[[#This Row],[FECHA DE EMISION]]</f>
        <v>45869</v>
      </c>
      <c r="AX853" s="6">
        <f>DATA[[#This Row],[F1]]</f>
        <v>0</v>
      </c>
      <c r="AY853" s="20">
        <f>IF(AV853-DATA[[#This Row],[fecha_fs]]&lt;0,0,AV853-DATA[[#This Row],[fecha_fs]])</f>
        <v>3</v>
      </c>
      <c r="AZ853" s="20">
        <f t="shared" si="89"/>
        <v>31</v>
      </c>
      <c r="BA853" s="20">
        <f t="shared" si="90"/>
        <v>0</v>
      </c>
      <c r="BB853" s="195">
        <f>IFERROR(SUM(DATA[[#This Row],[fs_val_ttf]:[fact_pago_ttf]]),0)</f>
        <v>34</v>
      </c>
      <c r="BC853" s="185">
        <v>45870</v>
      </c>
      <c r="BD853" s="185">
        <v>45876</v>
      </c>
      <c r="BE853" s="185">
        <v>45882</v>
      </c>
      <c r="BF853" s="185">
        <v>45887</v>
      </c>
      <c r="BG853" s="20">
        <f>IFERROR(IF(BC853-DATA[[#This Row],[fecha_fs]]&lt;0,0,BC853-DATA[[#This Row],[fecha_fs]]),0)</f>
        <v>35</v>
      </c>
      <c r="BH853" s="20">
        <f t="shared" si="92"/>
        <v>6</v>
      </c>
      <c r="BI853" s="20">
        <f t="shared" si="93"/>
        <v>6</v>
      </c>
      <c r="BJ853" s="20">
        <f t="shared" si="94"/>
        <v>5</v>
      </c>
      <c r="BK853" s="218">
        <f>IFERROR(SUM(DATA[[#This Row],[fs_fd_ttd]:[fend_fenf_ttd]]),0)</f>
        <v>52</v>
      </c>
      <c r="BL853" s="20" t="str">
        <f>IF(DATA[[#This Row],[fecha_fs]]&gt;0,TEXT(DATA[[#This Row],[fecha_fs]],"YYYY"),0)</f>
        <v>2025</v>
      </c>
      <c r="BM853" s="221" t="b">
        <v>1</v>
      </c>
      <c r="BN853" s="278">
        <f>COUNTIF(DATA[[#This Row],[tiempo_td]], "&lt;=15")</f>
        <v>0</v>
      </c>
      <c r="BO853" s="222"/>
    </row>
    <row r="854" spans="1:67" ht="30.6" customHeight="1" x14ac:dyDescent="0.25">
      <c r="A854" s="4">
        <v>20141637941</v>
      </c>
      <c r="B854" s="5" t="s">
        <v>79</v>
      </c>
      <c r="C854" s="52" t="s">
        <v>18</v>
      </c>
      <c r="D854" s="4" t="s">
        <v>120</v>
      </c>
      <c r="E854" s="5" t="s">
        <v>3</v>
      </c>
      <c r="F854" s="24">
        <v>45835</v>
      </c>
      <c r="G854" s="7" t="s">
        <v>113</v>
      </c>
      <c r="H854" s="25">
        <f t="shared" si="88"/>
        <v>1</v>
      </c>
      <c r="I854" s="67">
        <v>4688</v>
      </c>
      <c r="J854" s="8" t="s">
        <v>115</v>
      </c>
      <c r="K854" s="9" t="s">
        <v>121</v>
      </c>
      <c r="L854" s="10" t="s">
        <v>117</v>
      </c>
      <c r="M854" s="11">
        <v>1020</v>
      </c>
      <c r="N854" s="12" t="s">
        <v>125</v>
      </c>
      <c r="O854" s="6">
        <v>45835</v>
      </c>
      <c r="P854" s="110">
        <v>3519</v>
      </c>
      <c r="Q854" s="14" t="s">
        <v>85</v>
      </c>
      <c r="R854" s="15">
        <f>80+((DATA[[#This Row],[cantidad_fs]]-1000)*0.08)</f>
        <v>81.599999999999994</v>
      </c>
      <c r="S854" s="15">
        <v>832</v>
      </c>
      <c r="T854" s="15">
        <f>DATA[[#This Row],[C. DF]]+DATA[[#This Row],[C.OPE.]]</f>
        <v>913.6</v>
      </c>
      <c r="U854" s="15">
        <f>DATA[[#This Row],[SUB TOTAL]]*0.18</f>
        <v>164.44800000000001</v>
      </c>
      <c r="V854" s="15">
        <f>IFERROR(ROUND(DATA[[#This Row],[SUB TOTAL]]+DATA[[#This Row],[IGV]],2),0)</f>
        <v>1078.05</v>
      </c>
      <c r="W854" s="16" t="str">
        <f>IF(DATA[[#This Row],[VALORIZACIÓN ]]="-","NO CORRESPONDE",IF(OR(A854=20558226979,A854=10470707866,A854=20111157058,A854=20100226902),"NO CORRESPONDE",IF(J854="Emitida",IF(P854&gt;0,"EMITIDA","PENDIENTE"),"NO CORRESPONDE")))</f>
        <v>EMITIDA</v>
      </c>
      <c r="X854" s="29"/>
      <c r="Y854" s="17" t="s">
        <v>118</v>
      </c>
      <c r="Z854" s="30">
        <v>45835</v>
      </c>
      <c r="AA854" s="10" t="s">
        <v>150</v>
      </c>
      <c r="AB854" s="19">
        <v>136</v>
      </c>
      <c r="AC854" s="20">
        <v>30</v>
      </c>
      <c r="AD854" s="18">
        <f>DATA[[#This Row],[FECHA DE EMISION]]+DATA[[#This Row],[CONDICION DE PAGO]]</f>
        <v>45865</v>
      </c>
      <c r="AE854" s="23">
        <f>IF(DATA[[#This Row],[MONEDA]]="USD",VLOOKUP(DATA[[#This Row],[COMBINADA]],#REF!,11,0),1)</f>
        <v>1</v>
      </c>
      <c r="AF854" s="129" t="str">
        <f>IF(DATA[[#This Row],[SERIE2]]="-","NO CORRESPONDE",IF(W854="NO CORRESPONDE","NO CORRESPONDE",IF(Z854&gt;0,"FACTURADO","PENDIENTE")))</f>
        <v>FACTURADO</v>
      </c>
      <c r="AG854" s="133">
        <f>IFERROR(VLOOKUP(DATA[[#This Row],[COMBINADA]],#REF!,6,0),0)</f>
        <v>0</v>
      </c>
      <c r="AH854" s="125">
        <f>IFERROR(VLOOKUP(DATA[[#This Row],[COMBINADA]],#REF!,9,0),0)/COUNTIFS(DATA[COMBINADA],DATA[[#This Row],[COMBINADA]])</f>
        <v>0</v>
      </c>
      <c r="AI854" s="136">
        <f>IFERROR(VLOOKUP(DATA[[#This Row],[COMBINADA]],#REF!,6,0),0)</f>
        <v>0</v>
      </c>
      <c r="AJ854" s="132">
        <f>IFERROR(VLOOKUP(DATA[[#This Row],[COMBINADA]],#REF!,9,0),0)/COUNTIFS(DATA[COMBINADA],DATA[[#This Row],[COMBINADA]])</f>
        <v>0</v>
      </c>
      <c r="AK854" s="408">
        <f>IFERROR(VLOOKUP(DATA[[#This Row],[COMBINADA]],#REF!,6,0),0)</f>
        <v>0</v>
      </c>
      <c r="AL854" s="125">
        <f>IFERROR(VLOOKUP(DATA[[#This Row],[COMBINADA]],#REF!,9,0),0)/COUNTIFS(DATA[COMBINADA],DATA[[#This Row],[COMBINADA]])</f>
        <v>0</v>
      </c>
      <c r="AM854" s="27">
        <f>IFERROR(VLOOKUP(DATA[[#This Row],[COMBINADA]],#REF!,6,0),0)</f>
        <v>0</v>
      </c>
      <c r="AN854" s="125">
        <f>IFERROR(VLOOKUP(DATA[[#This Row],[COMBINADA]],#REF!,9,0),0)/COUNTIFS(DATA[COMBINADA],DATA[[#This Row],[COMBINADA]])</f>
        <v>0</v>
      </c>
      <c r="AO854" s="27">
        <f>IFERROR(VLOOKUP(DATA[[#This Row],[COMBINADA]],#REF!,6,0),0)</f>
        <v>0</v>
      </c>
      <c r="AP854" s="132">
        <f>IFERROR(VLOOKUP(DATA[[#This Row],[COMBINADA]],#REF!,9,0),0)/COUNTIFS(DATA[COMBINADA],DATA[[#This Row],[COMBINADA]])</f>
        <v>0</v>
      </c>
      <c r="AQ85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1078.0480000000002</v>
      </c>
      <c r="AR854" s="26" t="str">
        <f>IFERROR(IF(DATA[[#This Row],[estado_fact]]="FACTURADO",VLOOKUP(DATA[[#This Row],[SERIE2]]&amp;"-"&amp;DATA[[#This Row],[NUMERO]],#REF!,34,0),"NO CORRESPONDE"),"NO CORRESPONDE")</f>
        <v>NO CORRESPONDE</v>
      </c>
      <c r="AS854" s="22" t="str">
        <f>IF(DATA[[#This Row],[fecha_fs]]&gt;0,TEXT(DATA[[#This Row],[fecha_fs]],"Mmmm"),0)</f>
        <v>Junio</v>
      </c>
      <c r="AT854" s="22" t="str">
        <f>DATA[[#This Row],[SERIE2]]&amp;"-"&amp;DATA[[#This Row],[NUMERO]]</f>
        <v>FF01-136</v>
      </c>
      <c r="AU854" s="28">
        <f>DATA[[#This Row],[TOTAL]]*DATA[[#This Row],[T.C.]]</f>
        <v>1078.05</v>
      </c>
      <c r="AV854" s="6">
        <f>DATA[[#This Row],[FECHA DE VAL.]]</f>
        <v>45835</v>
      </c>
      <c r="AW854" s="6">
        <f>DATA[[#This Row],[FECHA DE EMISION]]</f>
        <v>45835</v>
      </c>
      <c r="AX854" s="6">
        <f>DATA[[#This Row],[F1]]</f>
        <v>0</v>
      </c>
      <c r="AY854" s="20">
        <f>IF(AV854-DATA[[#This Row],[fecha_fs]]&lt;0,0,AV854-DATA[[#This Row],[fecha_fs]])</f>
        <v>0</v>
      </c>
      <c r="AZ854" s="20">
        <f t="shared" si="89"/>
        <v>0</v>
      </c>
      <c r="BA854" s="20">
        <f t="shared" si="90"/>
        <v>0</v>
      </c>
      <c r="BB854" s="195">
        <f>IFERROR(SUM(DATA[[#This Row],[fs_val_ttf]:[fact_pago_ttf]]),0)</f>
        <v>0</v>
      </c>
      <c r="BC854" s="185">
        <v>45846</v>
      </c>
      <c r="BD854" s="185">
        <v>45852</v>
      </c>
      <c r="BE854" s="185">
        <v>45853</v>
      </c>
      <c r="BF854" s="233">
        <v>45882</v>
      </c>
      <c r="BG854" s="20">
        <f>IFERROR(IF(BC854-DATA[[#This Row],[fecha_fs]]&lt;0,0,BC854-DATA[[#This Row],[fecha_fs]]),0)</f>
        <v>11</v>
      </c>
      <c r="BH854" s="20">
        <f t="shared" si="92"/>
        <v>6</v>
      </c>
      <c r="BI854" s="20">
        <f t="shared" si="93"/>
        <v>1</v>
      </c>
      <c r="BJ854" s="20">
        <f t="shared" si="94"/>
        <v>29</v>
      </c>
      <c r="BK854" s="218">
        <f>IFERROR(SUM(DATA[[#This Row],[fs_fd_ttd]:[fend_fenf_ttd]]),0)</f>
        <v>47</v>
      </c>
      <c r="BL854" s="20" t="str">
        <f>IF(DATA[[#This Row],[fecha_fs]]&gt;0,TEXT(DATA[[#This Row],[fecha_fs]],"YYYY"),0)</f>
        <v>2025</v>
      </c>
      <c r="BM854" s="221" t="b">
        <v>1</v>
      </c>
      <c r="BN854" s="278">
        <f>COUNTIF(DATA[[#This Row],[tiempo_td]], "&lt;=15")</f>
        <v>0</v>
      </c>
      <c r="BO854" s="222"/>
    </row>
    <row r="855" spans="1:67" ht="30.6" customHeight="1" x14ac:dyDescent="0.25">
      <c r="A855" s="4">
        <v>20419158462</v>
      </c>
      <c r="B855" s="5" t="s">
        <v>2</v>
      </c>
      <c r="C855" s="52" t="s">
        <v>5</v>
      </c>
      <c r="D855" s="4" t="s">
        <v>120</v>
      </c>
      <c r="E855" s="5" t="s">
        <v>3</v>
      </c>
      <c r="F855" s="87">
        <v>45835</v>
      </c>
      <c r="G855" s="88" t="s">
        <v>113</v>
      </c>
      <c r="H855" s="89">
        <f t="shared" si="88"/>
        <v>1</v>
      </c>
      <c r="I855" s="67">
        <v>4689</v>
      </c>
      <c r="J855" s="90" t="s">
        <v>115</v>
      </c>
      <c r="K855" s="91" t="s">
        <v>156</v>
      </c>
      <c r="L855" s="92" t="s">
        <v>117</v>
      </c>
      <c r="M855" s="93">
        <v>650</v>
      </c>
      <c r="N855" s="12" t="s">
        <v>125</v>
      </c>
      <c r="O855" s="6">
        <v>45838</v>
      </c>
      <c r="P855" s="13">
        <v>3533</v>
      </c>
      <c r="Q855" s="14" t="s">
        <v>85</v>
      </c>
      <c r="R855" s="15"/>
      <c r="S855" s="15">
        <f>1429.7/2</f>
        <v>714.85</v>
      </c>
      <c r="T855" s="15">
        <f>DATA[[#This Row],[C. DF]]+DATA[[#This Row],[C.OPE.]]</f>
        <v>714.85</v>
      </c>
      <c r="U855" s="15">
        <f>DATA[[#This Row],[SUB TOTAL]]*0.18</f>
        <v>128.673</v>
      </c>
      <c r="V855" s="292">
        <f>IFERROR(ROUND(DATA[[#This Row],[SUB TOTAL]]+DATA[[#This Row],[IGV]],2),0)</f>
        <v>843.52</v>
      </c>
      <c r="W855" s="16" t="str">
        <f>IF(DATA[[#This Row],[VALORIZACIÓN ]]="-","NO CORRESPONDE",IF(OR(A855=20558226979,A855=10470707866,A855=20111157058,A855=20100226902),"NO CORRESPONDE",IF(J855="Emitida",IF(P855&gt;0,"EMITIDA","PENDIENTE"),"NO CORRESPONDE")))</f>
        <v>EMITIDA</v>
      </c>
      <c r="X855" s="29"/>
      <c r="Y855" s="17" t="s">
        <v>118</v>
      </c>
      <c r="Z855" s="30">
        <v>45894</v>
      </c>
      <c r="AA855" s="10" t="s">
        <v>150</v>
      </c>
      <c r="AB855" s="19">
        <v>219</v>
      </c>
      <c r="AC855" s="20">
        <v>15</v>
      </c>
      <c r="AD855" s="18">
        <f>DATA[[#This Row],[FECHA DE EMISION]]+DATA[[#This Row],[CONDICION DE PAGO]]</f>
        <v>45909</v>
      </c>
      <c r="AE855" s="23">
        <f>IF(DATA[[#This Row],[MONEDA]]="USD",VLOOKUP(DATA[[#This Row],[COMBINADA]],#REF!,11,0),1)</f>
        <v>1</v>
      </c>
      <c r="AF855" s="129" t="str">
        <f>IF(DATA[[#This Row],[SERIE2]]="-","NO CORRESPONDE",IF(W855="NO CORRESPONDE","NO CORRESPONDE",IF(Z855&gt;0,"FACTURADO","PENDIENTE")))</f>
        <v>FACTURADO</v>
      </c>
      <c r="AG855" s="133">
        <f>IFERROR(VLOOKUP(DATA[[#This Row],[COMBINADA]],#REF!,6,0),0)</f>
        <v>0</v>
      </c>
      <c r="AH855" s="125">
        <f>IFERROR(VLOOKUP(DATA[[#This Row],[COMBINADA]],#REF!,9,0),0)/COUNTIFS(DATA[COMBINADA],DATA[[#This Row],[COMBINADA]])</f>
        <v>0</v>
      </c>
      <c r="AI855" s="136">
        <f>IFERROR(VLOOKUP(DATA[[#This Row],[COMBINADA]],#REF!,6,0),0)</f>
        <v>0</v>
      </c>
      <c r="AJ855" s="132">
        <f>IFERROR(VLOOKUP(DATA[[#This Row],[COMBINADA]],#REF!,9,0),0)/COUNTIFS(DATA[COMBINADA],DATA[[#This Row],[COMBINADA]])</f>
        <v>0</v>
      </c>
      <c r="AK855" s="408">
        <f>IFERROR(VLOOKUP(DATA[[#This Row],[COMBINADA]],#REF!,6,0),0)</f>
        <v>0</v>
      </c>
      <c r="AL855" s="125">
        <f>IFERROR(VLOOKUP(DATA[[#This Row],[COMBINADA]],#REF!,9,0),0)/COUNTIFS(DATA[COMBINADA],DATA[[#This Row],[COMBINADA]])</f>
        <v>0</v>
      </c>
      <c r="AM855" s="27">
        <f>IFERROR(VLOOKUP(DATA[[#This Row],[COMBINADA]],#REF!,6,0),0)</f>
        <v>0</v>
      </c>
      <c r="AN855" s="125">
        <f>IFERROR(VLOOKUP(DATA[[#This Row],[COMBINADA]],#REF!,9,0),0)/COUNTIFS(DATA[COMBINADA],DATA[[#This Row],[COMBINADA]])</f>
        <v>0</v>
      </c>
      <c r="AO855" s="27">
        <f>IFERROR(VLOOKUP(DATA[[#This Row],[COMBINADA]],#REF!,6,0),0)</f>
        <v>0</v>
      </c>
      <c r="AP855" s="132">
        <f>IFERROR(VLOOKUP(DATA[[#This Row],[COMBINADA]],#REF!,9,0),0)/COUNTIFS(DATA[COMBINADA],DATA[[#This Row],[COMBINADA]])</f>
        <v>0</v>
      </c>
      <c r="AQ85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855" s="26" t="str">
        <f>IFERROR(IF(DATA[[#This Row],[estado_fact]]="FACTURADO",VLOOKUP(DATA[[#This Row],[SERIE2]]&amp;"-"&amp;DATA[[#This Row],[NUMERO]],#REF!,34,0),"NO CORRESPONDE"),"NO CORRESPONDE")</f>
        <v>NO CORRESPONDE</v>
      </c>
      <c r="AS855" s="22" t="str">
        <f>IF(DATA[[#This Row],[fecha_fs]]&gt;0,TEXT(DATA[[#This Row],[fecha_fs]],"Mmmm"),0)</f>
        <v>Junio</v>
      </c>
      <c r="AT855" s="22" t="str">
        <f>DATA[[#This Row],[SERIE2]]&amp;"-"&amp;DATA[[#This Row],[NUMERO]]</f>
        <v>FF01-219</v>
      </c>
      <c r="AU855" s="28">
        <f>DATA[[#This Row],[TOTAL]]*DATA[[#This Row],[T.C.]]</f>
        <v>843.52</v>
      </c>
      <c r="AV855" s="6">
        <f>DATA[[#This Row],[FECHA DE VAL.]]</f>
        <v>45838</v>
      </c>
      <c r="AW855" s="6">
        <f>DATA[[#This Row],[FECHA DE EMISION]]</f>
        <v>45894</v>
      </c>
      <c r="AX855" s="6">
        <f>DATA[[#This Row],[F1]]</f>
        <v>0</v>
      </c>
      <c r="AY855" s="20">
        <f>IF(AV855-DATA[[#This Row],[fecha_fs]]&lt;0,0,AV855-DATA[[#This Row],[fecha_fs]])</f>
        <v>3</v>
      </c>
      <c r="AZ855" s="20">
        <f t="shared" si="89"/>
        <v>56</v>
      </c>
      <c r="BA855" s="20">
        <f t="shared" si="90"/>
        <v>0</v>
      </c>
      <c r="BB855" s="195">
        <f>IFERROR(SUM(DATA[[#This Row],[fs_val_ttf]:[fact_pago_ttf]]),0)</f>
        <v>59</v>
      </c>
      <c r="BC855" s="185">
        <v>45835</v>
      </c>
      <c r="BD855" s="185">
        <v>45835</v>
      </c>
      <c r="BE855" s="185">
        <v>45840</v>
      </c>
      <c r="BF855" s="185">
        <v>45840</v>
      </c>
      <c r="BG855" s="20">
        <f>IFERROR(IF(BC855-DATA[[#This Row],[fecha_fs]]&lt;0,0,BC855-DATA[[#This Row],[fecha_fs]]),0)</f>
        <v>0</v>
      </c>
      <c r="BH855" s="20">
        <f t="shared" si="92"/>
        <v>0</v>
      </c>
      <c r="BI855" s="20">
        <f t="shared" si="93"/>
        <v>5</v>
      </c>
      <c r="BJ855" s="20">
        <f t="shared" si="94"/>
        <v>0</v>
      </c>
      <c r="BK855" s="218">
        <f>IFERROR(SUM(DATA[[#This Row],[fs_fd_ttd]:[fend_fenf_ttd]]),0)</f>
        <v>5</v>
      </c>
      <c r="BL855" s="20" t="str">
        <f>IF(DATA[[#This Row],[fecha_fs]]&gt;0,TEXT(DATA[[#This Row],[fecha_fs]],"YYYY"),0)</f>
        <v>2025</v>
      </c>
      <c r="BM855" s="221" t="b">
        <v>1</v>
      </c>
      <c r="BN855" s="278">
        <f>COUNTIF(DATA[[#This Row],[tiempo_td]], "&lt;=15")</f>
        <v>1</v>
      </c>
      <c r="BO855" s="222"/>
    </row>
    <row r="856" spans="1:67" ht="30.6" customHeight="1" x14ac:dyDescent="0.25">
      <c r="A856" s="4">
        <v>20100192064</v>
      </c>
      <c r="B856" s="5" t="s">
        <v>60</v>
      </c>
      <c r="C856" s="52" t="s">
        <v>43</v>
      </c>
      <c r="D856" s="4" t="s">
        <v>120</v>
      </c>
      <c r="E856" s="5" t="s">
        <v>3</v>
      </c>
      <c r="F856" s="24">
        <v>45839</v>
      </c>
      <c r="G856" s="7" t="s">
        <v>113</v>
      </c>
      <c r="H856" s="25">
        <f t="shared" si="88"/>
        <v>1</v>
      </c>
      <c r="I856" s="67">
        <v>4690</v>
      </c>
      <c r="J856" s="8" t="s">
        <v>115</v>
      </c>
      <c r="K856" s="9" t="s">
        <v>121</v>
      </c>
      <c r="L856" s="10" t="s">
        <v>117</v>
      </c>
      <c r="M856" s="11">
        <v>560</v>
      </c>
      <c r="N856" s="12" t="s">
        <v>122</v>
      </c>
      <c r="O856" s="6">
        <v>45863</v>
      </c>
      <c r="P856" s="71">
        <v>3558</v>
      </c>
      <c r="Q856" s="14" t="s">
        <v>123</v>
      </c>
      <c r="R856" s="15">
        <f>(DATA[[#This Row],[cantidad_fs]]/1000)*(47+174.34)</f>
        <v>123.95040000000002</v>
      </c>
      <c r="S856" s="15">
        <v>137</v>
      </c>
      <c r="T856" s="15">
        <f>DATA[[#This Row],[C. DF]]+DATA[[#This Row],[C.OPE.]]</f>
        <v>260.9504</v>
      </c>
      <c r="U856" s="15">
        <f>DATA[[#This Row],[SUB TOTAL]]*0.18</f>
        <v>46.971071999999999</v>
      </c>
      <c r="V856" s="15">
        <f>IFERROR(ROUND(DATA[[#This Row],[SUB TOTAL]]+DATA[[#This Row],[IGV]],2),0)</f>
        <v>307.92</v>
      </c>
      <c r="W856" s="16" t="str">
        <f>IF(DATA[[#This Row],[VALORIZACIÓN ]]="-","NO CORRESPONDE",IF(OR(A856=20558226979,A856=10470707866,A856=20111157058,A856=20100226902),"NO CORRESPONDE",IF(J856="Emitida",IF(P856&gt;0,"EMITIDA","PENDIENTE"),"NO CORRESPONDE")))</f>
        <v>EMITIDA</v>
      </c>
      <c r="X856" s="29"/>
      <c r="Y856" s="17" t="s">
        <v>118</v>
      </c>
      <c r="Z856" s="30">
        <v>45869</v>
      </c>
      <c r="AA856" s="10" t="s">
        <v>150</v>
      </c>
      <c r="AB856" s="19">
        <v>189</v>
      </c>
      <c r="AC856" s="20">
        <v>30</v>
      </c>
      <c r="AD856" s="18">
        <f>DATA[[#This Row],[FECHA DE EMISION]]+DATA[[#This Row],[CONDICION DE PAGO]]</f>
        <v>45899</v>
      </c>
      <c r="AE856" s="23" t="e">
        <f>IF(DATA[[#This Row],[MONEDA]]="USD",VLOOKUP(DATA[[#This Row],[COMBINADA]],#REF!,11,0),1)</f>
        <v>#REF!</v>
      </c>
      <c r="AF856" s="39" t="str">
        <f>IF(DATA[[#This Row],[SERIE2]]="-","NO CORRESPONDE",IF(W856="NO CORRESPONDE","NO CORRESPONDE",IF(Z856&gt;0,"FACTURADO","PENDIENTE")))</f>
        <v>FACTURADO</v>
      </c>
      <c r="AG856" s="133">
        <f>IFERROR(VLOOKUP(DATA[[#This Row],[COMBINADA]],#REF!,6,0),0)</f>
        <v>0</v>
      </c>
      <c r="AH856" s="125">
        <f>IFERROR(VLOOKUP(DATA[[#This Row],[COMBINADA]],#REF!,9,0),0)/COUNTIFS(DATA[COMBINADA],DATA[[#This Row],[COMBINADA]])</f>
        <v>0</v>
      </c>
      <c r="AI856" s="136">
        <f>IFERROR(VLOOKUP(DATA[[#This Row],[COMBINADA]],#REF!,6,0),0)</f>
        <v>0</v>
      </c>
      <c r="AJ856" s="132">
        <f>IFERROR(VLOOKUP(DATA[[#This Row],[COMBINADA]],#REF!,9,0),0)/COUNTIFS(DATA[COMBINADA],DATA[[#This Row],[COMBINADA]])</f>
        <v>0</v>
      </c>
      <c r="AK856" s="408">
        <f>IFERROR(VLOOKUP(DATA[[#This Row],[COMBINADA]],#REF!,6,0),0)</f>
        <v>0</v>
      </c>
      <c r="AL856" s="125">
        <f>IFERROR(VLOOKUP(DATA[[#This Row],[COMBINADA]],#REF!,9,0),0)/COUNTIFS(DATA[COMBINADA],DATA[[#This Row],[COMBINADA]])</f>
        <v>0</v>
      </c>
      <c r="AM856" s="27">
        <f>IFERROR(VLOOKUP(DATA[[#This Row],[COMBINADA]],#REF!,6,0),0)</f>
        <v>0</v>
      </c>
      <c r="AN856" s="125">
        <f>IFERROR(VLOOKUP(DATA[[#This Row],[COMBINADA]],#REF!,9,0),0)/COUNTIFS(DATA[COMBINADA],DATA[[#This Row],[COMBINADA]])</f>
        <v>0</v>
      </c>
      <c r="AO856" s="27">
        <f>IFERROR(VLOOKUP(DATA[[#This Row],[COMBINADA]],#REF!,6,0),0)</f>
        <v>0</v>
      </c>
      <c r="AP856" s="132">
        <f>IFERROR(VLOOKUP(DATA[[#This Row],[COMBINADA]],#REF!,9,0),0)/COUNTIFS(DATA[COMBINADA],DATA[[#This Row],[COMBINADA]])</f>
        <v>0</v>
      </c>
      <c r="AQ85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799.26461538461524</v>
      </c>
      <c r="AR856" s="26" t="str">
        <f>IFERROR(IF(DATA[[#This Row],[estado_fact]]="FACTURADO",VLOOKUP(DATA[[#This Row],[SERIE2]]&amp;"-"&amp;DATA[[#This Row],[NUMERO]],#REF!,34,0),"NO CORRESPONDE"),"NO CORRESPONDE")</f>
        <v>NO CORRESPONDE</v>
      </c>
      <c r="AS856" s="22" t="str">
        <f>IF(DATA[[#This Row],[fecha_fs]]&gt;0,TEXT(DATA[[#This Row],[fecha_fs]],"Mmmm"),0)</f>
        <v>Julio</v>
      </c>
      <c r="AT856" s="22" t="str">
        <f>DATA[[#This Row],[SERIE2]]&amp;"-"&amp;DATA[[#This Row],[NUMERO]]</f>
        <v>FF01-189</v>
      </c>
      <c r="AU856" s="28" t="e">
        <f>DATA[[#This Row],[TOTAL]]*DATA[[#This Row],[T.C.]]</f>
        <v>#REF!</v>
      </c>
      <c r="AV856" s="6">
        <f>DATA[[#This Row],[FECHA DE VAL.]]</f>
        <v>45863</v>
      </c>
      <c r="AW856" s="6">
        <f>DATA[[#This Row],[FECHA DE EMISION]]</f>
        <v>45869</v>
      </c>
      <c r="AX856" s="6">
        <f>DATA[[#This Row],[F1]]</f>
        <v>0</v>
      </c>
      <c r="AY856" s="20">
        <f>IF(AV856-DATA[[#This Row],[fecha_fs]]&lt;0,0,AV856-DATA[[#This Row],[fecha_fs]])</f>
        <v>24</v>
      </c>
      <c r="AZ856" s="20">
        <f t="shared" si="89"/>
        <v>6</v>
      </c>
      <c r="BA856" s="20">
        <f t="shared" si="90"/>
        <v>0</v>
      </c>
      <c r="BB856" s="195">
        <f>IFERROR(SUM(DATA[[#This Row],[fs_val_ttf]:[fact_pago_ttf]]),0)</f>
        <v>30</v>
      </c>
      <c r="BC856" s="185">
        <v>45874</v>
      </c>
      <c r="BD856" s="185">
        <v>45887</v>
      </c>
      <c r="BE856" s="185">
        <v>45888</v>
      </c>
      <c r="BF856" s="185">
        <v>45909</v>
      </c>
      <c r="BG856" s="20">
        <f>IFERROR(IF(BC856-DATA[[#This Row],[fecha_fs]]&lt;0,0,BC856-DATA[[#This Row],[fecha_fs]]),0)</f>
        <v>35</v>
      </c>
      <c r="BH856" s="20">
        <f t="shared" si="92"/>
        <v>13</v>
      </c>
      <c r="BI856" s="20">
        <f t="shared" si="93"/>
        <v>1</v>
      </c>
      <c r="BJ856" s="20">
        <f t="shared" si="94"/>
        <v>21</v>
      </c>
      <c r="BK856" s="218">
        <f>IFERROR(SUM(DATA[[#This Row],[fs_fd_ttd]:[fend_fenf_ttd]]),0)</f>
        <v>70</v>
      </c>
      <c r="BL856" s="20" t="str">
        <f>IF(DATA[[#This Row],[fecha_fs]]&gt;0,TEXT(DATA[[#This Row],[fecha_fs]],"YYYY"),0)</f>
        <v>2025</v>
      </c>
      <c r="BM856" s="221" t="b">
        <v>1</v>
      </c>
      <c r="BN856" s="278">
        <f>COUNTIF(DATA[[#This Row],[tiempo_td]], "&lt;=15")</f>
        <v>0</v>
      </c>
      <c r="BO856" s="222"/>
    </row>
    <row r="857" spans="1:67" ht="30.6" customHeight="1" x14ac:dyDescent="0.25">
      <c r="A857" s="4">
        <v>20141637941</v>
      </c>
      <c r="B857" s="5" t="s">
        <v>79</v>
      </c>
      <c r="C857" s="52" t="s">
        <v>18</v>
      </c>
      <c r="D857" s="4" t="s">
        <v>120</v>
      </c>
      <c r="E857" s="5" t="s">
        <v>3</v>
      </c>
      <c r="F857" s="24">
        <v>45838</v>
      </c>
      <c r="G857" s="7" t="s">
        <v>113</v>
      </c>
      <c r="H857" s="25">
        <f t="shared" si="88"/>
        <v>1</v>
      </c>
      <c r="I857" s="67">
        <v>4691</v>
      </c>
      <c r="J857" s="8" t="s">
        <v>115</v>
      </c>
      <c r="K857" s="9" t="s">
        <v>121</v>
      </c>
      <c r="L857" s="10" t="s">
        <v>117</v>
      </c>
      <c r="M857" s="11">
        <v>910</v>
      </c>
      <c r="N857" s="12" t="s">
        <v>129</v>
      </c>
      <c r="O857" s="6">
        <v>45838</v>
      </c>
      <c r="P857" s="110">
        <v>3530</v>
      </c>
      <c r="Q857" s="14" t="s">
        <v>85</v>
      </c>
      <c r="R857" s="15">
        <v>80</v>
      </c>
      <c r="S857" s="15">
        <v>832</v>
      </c>
      <c r="T857" s="15">
        <f>DATA[[#This Row],[C. DF]]+DATA[[#This Row],[C.OPE.]]</f>
        <v>912</v>
      </c>
      <c r="U857" s="15">
        <f>DATA[[#This Row],[SUB TOTAL]]*0.18</f>
        <v>164.16</v>
      </c>
      <c r="V857" s="15">
        <f>IFERROR(ROUND(DATA[[#This Row],[SUB TOTAL]]+DATA[[#This Row],[IGV]],2),0)</f>
        <v>1076.1600000000001</v>
      </c>
      <c r="W857" s="16" t="str">
        <f>IF(DATA[[#This Row],[VALORIZACIÓN ]]="-","NO CORRESPONDE",IF(OR(A857=20558226979,A857=10470707866,A857=20111157058,A857=20100226902),"NO CORRESPONDE",IF(J857="Emitida",IF(P857&gt;0,"EMITIDA","PENDIENTE"),"NO CORRESPONDE")))</f>
        <v>EMITIDA</v>
      </c>
      <c r="X857" s="29"/>
      <c r="Y857" s="17" t="s">
        <v>118</v>
      </c>
      <c r="Z857" s="30">
        <v>45847</v>
      </c>
      <c r="AA857" s="10" t="s">
        <v>150</v>
      </c>
      <c r="AB857" s="19">
        <v>168</v>
      </c>
      <c r="AC857" s="20">
        <v>30</v>
      </c>
      <c r="AD857" s="18">
        <f>DATA[[#This Row],[FECHA DE EMISION]]+DATA[[#This Row],[CONDICION DE PAGO]]</f>
        <v>45877</v>
      </c>
      <c r="AE857" s="23">
        <f>IF(DATA[[#This Row],[MONEDA]]="USD",VLOOKUP(DATA[[#This Row],[COMBINADA]],#REF!,11,0),1)</f>
        <v>1</v>
      </c>
      <c r="AF857" s="129" t="str">
        <f>IF(DATA[[#This Row],[SERIE2]]="-","NO CORRESPONDE",IF(W857="NO CORRESPONDE","NO CORRESPONDE",IF(Z857&gt;0,"FACTURADO","PENDIENTE")))</f>
        <v>FACTURADO</v>
      </c>
      <c r="AG857" s="133">
        <f>IFERROR(VLOOKUP(DATA[[#This Row],[COMBINADA]],#REF!,6,0),0)</f>
        <v>0</v>
      </c>
      <c r="AH857" s="125">
        <f>IFERROR(VLOOKUP(DATA[[#This Row],[COMBINADA]],#REF!,9,0),0)/COUNTIFS(DATA[COMBINADA],DATA[[#This Row],[COMBINADA]])</f>
        <v>0</v>
      </c>
      <c r="AI857" s="136">
        <f>IFERROR(VLOOKUP(DATA[[#This Row],[COMBINADA]],#REF!,6,0),0)</f>
        <v>0</v>
      </c>
      <c r="AJ857" s="132">
        <f>IFERROR(VLOOKUP(DATA[[#This Row],[COMBINADA]],#REF!,9,0),0)/COUNTIFS(DATA[COMBINADA],DATA[[#This Row],[COMBINADA]])</f>
        <v>0</v>
      </c>
      <c r="AK857" s="408">
        <f>IFERROR(VLOOKUP(DATA[[#This Row],[COMBINADA]],#REF!,6,0),0)</f>
        <v>0</v>
      </c>
      <c r="AL857" s="125">
        <f>IFERROR(VLOOKUP(DATA[[#This Row],[COMBINADA]],#REF!,9,0),0)/COUNTIFS(DATA[COMBINADA],DATA[[#This Row],[COMBINADA]])</f>
        <v>0</v>
      </c>
      <c r="AM857" s="27">
        <f>IFERROR(VLOOKUP(DATA[[#This Row],[COMBINADA]],#REF!,6,0),0)</f>
        <v>0</v>
      </c>
      <c r="AN857" s="125">
        <f>IFERROR(VLOOKUP(DATA[[#This Row],[COMBINADA]],#REF!,9,0),0)/COUNTIFS(DATA[COMBINADA],DATA[[#This Row],[COMBINADA]])</f>
        <v>0</v>
      </c>
      <c r="AO857" s="27">
        <f>IFERROR(VLOOKUP(DATA[[#This Row],[COMBINADA]],#REF!,6,0),0)</f>
        <v>0</v>
      </c>
      <c r="AP857" s="132">
        <f>IFERROR(VLOOKUP(DATA[[#This Row],[COMBINADA]],#REF!,9,0),0)/COUNTIFS(DATA[COMBINADA],DATA[[#This Row],[COMBINADA]])</f>
        <v>0</v>
      </c>
      <c r="AQ85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1087.49</v>
      </c>
      <c r="AR857" s="26" t="str">
        <f>IFERROR(IF(DATA[[#This Row],[estado_fact]]="FACTURADO",VLOOKUP(DATA[[#This Row],[SERIE2]]&amp;"-"&amp;DATA[[#This Row],[NUMERO]],#REF!,34,0),"NO CORRESPONDE"),"NO CORRESPONDE")</f>
        <v>NO CORRESPONDE</v>
      </c>
      <c r="AS857" s="22" t="str">
        <f>IF(DATA[[#This Row],[fecha_fs]]&gt;0,TEXT(DATA[[#This Row],[fecha_fs]],"Mmmm"),0)</f>
        <v>Junio</v>
      </c>
      <c r="AT857" s="22" t="str">
        <f>DATA[[#This Row],[SERIE2]]&amp;"-"&amp;DATA[[#This Row],[NUMERO]]</f>
        <v>FF01-168</v>
      </c>
      <c r="AU857" s="28">
        <f>DATA[[#This Row],[TOTAL]]*DATA[[#This Row],[T.C.]]</f>
        <v>1076.1600000000001</v>
      </c>
      <c r="AV857" s="6">
        <f>DATA[[#This Row],[FECHA DE VAL.]]</f>
        <v>45838</v>
      </c>
      <c r="AW857" s="6">
        <f>DATA[[#This Row],[FECHA DE EMISION]]</f>
        <v>45847</v>
      </c>
      <c r="AX857" s="6">
        <f>DATA[[#This Row],[F1]]</f>
        <v>0</v>
      </c>
      <c r="AY857" s="20">
        <f>IF(AV857-DATA[[#This Row],[fecha_fs]]&lt;0,0,AV857-DATA[[#This Row],[fecha_fs]])</f>
        <v>0</v>
      </c>
      <c r="AZ857" s="20">
        <f t="shared" si="89"/>
        <v>9</v>
      </c>
      <c r="BA857" s="20">
        <f t="shared" si="90"/>
        <v>0</v>
      </c>
      <c r="BB857" s="195">
        <f>IFERROR(SUM(DATA[[#This Row],[fs_val_ttf]:[fact_pago_ttf]]),0)</f>
        <v>9</v>
      </c>
      <c r="BC857" s="185">
        <v>45838</v>
      </c>
      <c r="BD857" s="185">
        <v>45852</v>
      </c>
      <c r="BE857" s="185">
        <v>45853</v>
      </c>
      <c r="BF857" s="233">
        <v>45882</v>
      </c>
      <c r="BG857" s="20">
        <f>IFERROR(IF(BC857-DATA[[#This Row],[fecha_fs]]&lt;0,0,BC857-DATA[[#This Row],[fecha_fs]]),0)</f>
        <v>0</v>
      </c>
      <c r="BH857" s="20">
        <f t="shared" si="92"/>
        <v>14</v>
      </c>
      <c r="BI857" s="20">
        <f t="shared" si="93"/>
        <v>1</v>
      </c>
      <c r="BJ857" s="20">
        <f t="shared" si="94"/>
        <v>29</v>
      </c>
      <c r="BK857" s="218">
        <f>IFERROR(SUM(DATA[[#This Row],[fs_fd_ttd]:[fend_fenf_ttd]]),0)</f>
        <v>44</v>
      </c>
      <c r="BL857" s="20" t="str">
        <f>IF(DATA[[#This Row],[fecha_fs]]&gt;0,TEXT(DATA[[#This Row],[fecha_fs]],"YYYY"),0)</f>
        <v>2025</v>
      </c>
      <c r="BM857" s="221" t="b">
        <v>1</v>
      </c>
      <c r="BN857" s="278">
        <f>COUNTIF(DATA[[#This Row],[tiempo_td]], "&lt;=15")</f>
        <v>0</v>
      </c>
      <c r="BO857" s="222"/>
    </row>
    <row r="858" spans="1:67" ht="30.6" customHeight="1" x14ac:dyDescent="0.25">
      <c r="A858" s="4">
        <v>20100226902</v>
      </c>
      <c r="B858" s="5" t="s">
        <v>24</v>
      </c>
      <c r="C858" s="52" t="s">
        <v>18</v>
      </c>
      <c r="D858" s="4" t="s">
        <v>120</v>
      </c>
      <c r="E858" s="5" t="s">
        <v>3</v>
      </c>
      <c r="F858" s="24">
        <v>45838</v>
      </c>
      <c r="G858" s="7" t="s">
        <v>113</v>
      </c>
      <c r="H858" s="25">
        <f t="shared" si="88"/>
        <v>1</v>
      </c>
      <c r="I858" s="67">
        <v>4692</v>
      </c>
      <c r="J858" s="8" t="s">
        <v>115</v>
      </c>
      <c r="K858" s="9" t="s">
        <v>121</v>
      </c>
      <c r="L858" s="10" t="s">
        <v>117</v>
      </c>
      <c r="M858" s="11">
        <v>1240</v>
      </c>
      <c r="N858" s="12" t="s">
        <v>127</v>
      </c>
      <c r="O858" s="40"/>
      <c r="P858" s="41" t="s">
        <v>114</v>
      </c>
      <c r="Q858" s="42"/>
      <c r="R858" s="15"/>
      <c r="S858" s="15"/>
      <c r="T858" s="43">
        <f>DATA[[#This Row],[C. DF]]+DATA[[#This Row],[C.OPE.]]</f>
        <v>0</v>
      </c>
      <c r="U858" s="15">
        <f>DATA[[#This Row],[SUB TOTAL]]*0.18</f>
        <v>0</v>
      </c>
      <c r="V858" s="15">
        <f>IFERROR(ROUND(DATA[[#This Row],[SUB TOTAL]]+DATA[[#This Row],[IGV]],2),0)</f>
        <v>0</v>
      </c>
      <c r="W858" s="58" t="str">
        <f>IF(DATA[[#This Row],[VALORIZACIÓN ]]="-","NO CORRESPONDE",IF(OR(A858=20558226979,A858=10470707866,A858=20111157058,A858=20100226902),"NO CORRESPONDE",IF(J858="Emitida",IF(P858&gt;0,"EMITIDA","PENDIENTE"),"NO CORRESPONDE")))</f>
        <v>NO CORRESPONDE</v>
      </c>
      <c r="X858" s="45"/>
      <c r="Y858" s="17" t="s">
        <v>128</v>
      </c>
      <c r="Z858" s="46"/>
      <c r="AA858" s="47"/>
      <c r="AB858" s="48"/>
      <c r="AC858" s="49"/>
      <c r="AD858" s="50">
        <f>DATA[[#This Row],[FECHA DE EMISION]]+DATA[[#This Row],[CONDICION DE PAGO]]</f>
        <v>0</v>
      </c>
      <c r="AE858" s="23">
        <f>IF(DATA[[#This Row],[MONEDA]]="USD",VLOOKUP(DATA[[#This Row],[COMBINADA]],#REF!,11,0),1)</f>
        <v>1</v>
      </c>
      <c r="AF858" s="129" t="str">
        <f>IF(DATA[[#This Row],[SERIE2]]="-","NO CORRESPONDE",IF(W858="NO CORRESPONDE","NO CORRESPONDE",IF(Z858&gt;0,"FACTURADO","PENDIENTE")))</f>
        <v>NO CORRESPONDE</v>
      </c>
      <c r="AG858" s="140">
        <f>IFERROR(VLOOKUP(DATA[[#This Row],[COMBINADA]],#REF!,6,0),0)</f>
        <v>0</v>
      </c>
      <c r="AH858" s="126">
        <f>IFERROR(VLOOKUP(DATA[[#This Row],[COMBINADA]],#REF!,9,0),0)/COUNTIFS(DATA[COMBINADA],DATA[[#This Row],[COMBINADA]])</f>
        <v>0</v>
      </c>
      <c r="AI858" s="140">
        <f>IFERROR(VLOOKUP(DATA[[#This Row],[COMBINADA]],#REF!,6,0),0)</f>
        <v>0</v>
      </c>
      <c r="AJ858" s="126">
        <f>IFERROR(VLOOKUP(DATA[[#This Row],[COMBINADA]],#REF!,9,0),0)/COUNTIFS(DATA[COMBINADA],DATA[[#This Row],[COMBINADA]])</f>
        <v>0</v>
      </c>
      <c r="AK858" s="287">
        <f>IFERROR(VLOOKUP(DATA[[#This Row],[COMBINADA]],#REF!,6,0),0)</f>
        <v>0</v>
      </c>
      <c r="AL858" s="126">
        <f>IFERROR(VLOOKUP(DATA[[#This Row],[COMBINADA]],#REF!,9,0),0)/COUNTIFS(DATA[COMBINADA],DATA[[#This Row],[COMBINADA]])</f>
        <v>0</v>
      </c>
      <c r="AM858" s="60">
        <f>IFERROR(VLOOKUP(DATA[[#This Row],[COMBINADA]],#REF!,6,0),0)</f>
        <v>0</v>
      </c>
      <c r="AN858" s="126">
        <f>IFERROR(VLOOKUP(DATA[[#This Row],[COMBINADA]],#REF!,9,0),0)/COUNTIFS(DATA[COMBINADA],DATA[[#This Row],[COMBINADA]])</f>
        <v>0</v>
      </c>
      <c r="AO858" s="60">
        <f>IFERROR(VLOOKUP(DATA[[#This Row],[COMBINADA]],#REF!,6,0),0)</f>
        <v>0</v>
      </c>
      <c r="AP858" s="126">
        <f>IFERROR(VLOOKUP(DATA[[#This Row],[COMBINADA]],#REF!,9,0),0)/COUNTIFS(DATA[COMBINADA],DATA[[#This Row],[COMBINADA]])</f>
        <v>0</v>
      </c>
      <c r="AQ858"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858" s="22" t="str">
        <f>IFERROR(IF(DATA[[#This Row],[estado_fact]]="FACTURADO",VLOOKUP(DATA[[#This Row],[SERIE2]]&amp;"-"&amp;DATA[[#This Row],[NUMERO]],#REF!,34,0),"NO CORRESPONDE"),"NO CORRESPONDE")</f>
        <v>NO CORRESPONDE</v>
      </c>
      <c r="AS858" s="22" t="str">
        <f>IF(DATA[[#This Row],[fecha_fs]]&gt;0,TEXT(DATA[[#This Row],[fecha_fs]],"Mmmm"),0)</f>
        <v>Junio</v>
      </c>
      <c r="AT858" s="22" t="str">
        <f>DATA[[#This Row],[SERIE2]]&amp;"-"&amp;DATA[[#This Row],[NUMERO]]</f>
        <v>-</v>
      </c>
      <c r="AU858" s="28">
        <f>DATA[[#This Row],[TOTAL]]*DATA[[#This Row],[T.C.]]</f>
        <v>0</v>
      </c>
      <c r="AV858" s="6">
        <f>DATA[[#This Row],[FECHA DE VAL.]]</f>
        <v>0</v>
      </c>
      <c r="AW858" s="6">
        <f>DATA[[#This Row],[FECHA DE EMISION]]</f>
        <v>0</v>
      </c>
      <c r="AX858" s="6">
        <f>DATA[[#This Row],[F1]]</f>
        <v>0</v>
      </c>
      <c r="AY858" s="20">
        <f>IF(AV858-DATA[[#This Row],[fecha_fs]]&lt;0,0,AV858-DATA[[#This Row],[fecha_fs]])</f>
        <v>0</v>
      </c>
      <c r="AZ858" s="20">
        <f t="shared" si="89"/>
        <v>0</v>
      </c>
      <c r="BA858" s="20">
        <f t="shared" si="90"/>
        <v>0</v>
      </c>
      <c r="BB858" s="195">
        <f>IFERROR(SUM(DATA[[#This Row],[fs_val_ttf]:[fact_pago_ttf]]),0)</f>
        <v>0</v>
      </c>
      <c r="BC858" s="185">
        <v>45838</v>
      </c>
      <c r="BD858" s="185">
        <v>45838</v>
      </c>
      <c r="BE858" s="185">
        <v>45841</v>
      </c>
      <c r="BF858" s="185">
        <v>45841</v>
      </c>
      <c r="BG858" s="20">
        <f>IFERROR(IF(BC858-DATA[[#This Row],[fecha_fs]]&lt;0,0,BC858-DATA[[#This Row],[fecha_fs]]),0)</f>
        <v>0</v>
      </c>
      <c r="BH858" s="20">
        <f t="shared" si="92"/>
        <v>0</v>
      </c>
      <c r="BI858" s="20">
        <f t="shared" si="93"/>
        <v>3</v>
      </c>
      <c r="BJ858" s="20">
        <f t="shared" si="94"/>
        <v>0</v>
      </c>
      <c r="BK858" s="218">
        <f>IFERROR(SUM(DATA[[#This Row],[fs_fd_ttd]:[fend_fenf_ttd]]),0)</f>
        <v>3</v>
      </c>
      <c r="BL858" s="20" t="str">
        <f>IF(DATA[[#This Row],[fecha_fs]]&gt;0,TEXT(DATA[[#This Row],[fecha_fs]],"YYYY"),0)</f>
        <v>2025</v>
      </c>
      <c r="BM858" s="221" t="b">
        <v>1</v>
      </c>
      <c r="BN858" s="278">
        <f>COUNTIF(DATA[[#This Row],[tiempo_td]], "&lt;=15")</f>
        <v>1</v>
      </c>
      <c r="BO858" s="222"/>
    </row>
    <row r="859" spans="1:67" ht="30.6" customHeight="1" x14ac:dyDescent="0.25">
      <c r="A859" s="4">
        <v>20100211115</v>
      </c>
      <c r="B859" s="5" t="s">
        <v>41</v>
      </c>
      <c r="C859" s="52" t="s">
        <v>18</v>
      </c>
      <c r="D859" s="4" t="s">
        <v>112</v>
      </c>
      <c r="E859" s="5" t="s">
        <v>1</v>
      </c>
      <c r="F859" s="24">
        <v>45835</v>
      </c>
      <c r="G859" s="7" t="s">
        <v>113</v>
      </c>
      <c r="H859" s="25">
        <f t="shared" si="88"/>
        <v>1</v>
      </c>
      <c r="I859" s="67">
        <v>4693</v>
      </c>
      <c r="J859" s="8" t="s">
        <v>115</v>
      </c>
      <c r="K859" s="9" t="s">
        <v>116</v>
      </c>
      <c r="L859" s="10" t="s">
        <v>117</v>
      </c>
      <c r="M859" s="11">
        <v>18</v>
      </c>
      <c r="N859" s="12" t="s">
        <v>167</v>
      </c>
      <c r="O859" s="6">
        <v>45838</v>
      </c>
      <c r="P859" s="115">
        <v>3536</v>
      </c>
      <c r="Q859" s="14" t="s">
        <v>85</v>
      </c>
      <c r="R859" s="15"/>
      <c r="S859" s="15">
        <f>(DATA[[#This Row],[cantidad_fs]]*4.57)</f>
        <v>82.26</v>
      </c>
      <c r="T859" s="15">
        <f>DATA[[#This Row],[C. DF]]+DATA[[#This Row],[C.OPE.]]</f>
        <v>82.26</v>
      </c>
      <c r="U859" s="15">
        <f>DATA[[#This Row],[SUB TOTAL]]*0.18</f>
        <v>14.806800000000001</v>
      </c>
      <c r="V859" s="15">
        <f>IFERROR(ROUND(DATA[[#This Row],[SUB TOTAL]]+DATA[[#This Row],[IGV]],2),0)</f>
        <v>97.07</v>
      </c>
      <c r="W859" s="16" t="str">
        <f>IF(DATA[[#This Row],[VALORIZACIÓN ]]="-","NO CORRESPONDE",IF(OR(A859=20558226979,A859=10470707866,A859=20111157058,A859=20100226902),"NO CORRESPONDE",IF(J859="Emitida",IF(P859&gt;0,"EMITIDA","PENDIENTE"),"NO CORRESPONDE")))</f>
        <v>EMITIDA</v>
      </c>
      <c r="X859" s="29"/>
      <c r="Y859" s="17" t="s">
        <v>118</v>
      </c>
      <c r="Z859" s="30">
        <v>45869</v>
      </c>
      <c r="AA859" s="10" t="s">
        <v>150</v>
      </c>
      <c r="AB859" s="19">
        <v>194</v>
      </c>
      <c r="AC859" s="20">
        <v>30</v>
      </c>
      <c r="AD859" s="18">
        <f>DATA[[#This Row],[FECHA DE EMISION]]+DATA[[#This Row],[CONDICION DE PAGO]]</f>
        <v>45899</v>
      </c>
      <c r="AE859" s="23">
        <f>IF(DATA[[#This Row],[MONEDA]]="USD",VLOOKUP(DATA[[#This Row],[COMBINADA]],#REF!,11,0),1)</f>
        <v>1</v>
      </c>
      <c r="AF859" s="129" t="str">
        <f>IF(DATA[[#This Row],[SERIE2]]="-","NO CORRESPONDE",IF(W859="NO CORRESPONDE","NO CORRESPONDE",IF(Z859&gt;0,"FACTURADO","PENDIENTE")))</f>
        <v>FACTURADO</v>
      </c>
      <c r="AG859" s="133">
        <f>IFERROR(VLOOKUP(DATA[[#This Row],[COMBINADA]],#REF!,6,0),0)</f>
        <v>0</v>
      </c>
      <c r="AH859" s="125">
        <f>IFERROR(VLOOKUP(DATA[[#This Row],[COMBINADA]],#REF!,9,0),0)/COUNTIFS(DATA[COMBINADA],DATA[[#This Row],[COMBINADA]])</f>
        <v>0</v>
      </c>
      <c r="AI859" s="136">
        <f>IFERROR(VLOOKUP(DATA[[#This Row],[COMBINADA]],#REF!,6,0),0)</f>
        <v>0</v>
      </c>
      <c r="AJ859" s="132">
        <f>IFERROR(VLOOKUP(DATA[[#This Row],[COMBINADA]],#REF!,9,0),0)/COUNTIFS(DATA[COMBINADA],DATA[[#This Row],[COMBINADA]])</f>
        <v>0</v>
      </c>
      <c r="AK859" s="408">
        <f>IFERROR(VLOOKUP(DATA[[#This Row],[COMBINADA]],#REF!,6,0),0)</f>
        <v>0</v>
      </c>
      <c r="AL859" s="125">
        <f>IFERROR(VLOOKUP(DATA[[#This Row],[COMBINADA]],#REF!,9,0),0)/COUNTIFS(DATA[COMBINADA],DATA[[#This Row],[COMBINADA]])</f>
        <v>0</v>
      </c>
      <c r="AM859" s="27">
        <f>IFERROR(VLOOKUP(DATA[[#This Row],[COMBINADA]],#REF!,6,0),0)</f>
        <v>0</v>
      </c>
      <c r="AN859" s="125">
        <f>IFERROR(VLOOKUP(DATA[[#This Row],[COMBINADA]],#REF!,9,0),0)/COUNTIFS(DATA[COMBINADA],DATA[[#This Row],[COMBINADA]])</f>
        <v>0</v>
      </c>
      <c r="AO859" s="27">
        <f>IFERROR(VLOOKUP(DATA[[#This Row],[COMBINADA]],#REF!,6,0),0)</f>
        <v>0</v>
      </c>
      <c r="AP859" s="132">
        <f>IFERROR(VLOOKUP(DATA[[#This Row],[COMBINADA]],#REF!,9,0),0)/COUNTIFS(DATA[COMBINADA],DATA[[#This Row],[COMBINADA]])</f>
        <v>0</v>
      </c>
      <c r="AQ85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98.146000000000001</v>
      </c>
      <c r="AR859" s="26" t="str">
        <f>IFERROR(IF(DATA[[#This Row],[estado_fact]]="FACTURADO",VLOOKUP(DATA[[#This Row],[SERIE2]]&amp;"-"&amp;DATA[[#This Row],[NUMERO]],#REF!,34,0),"NO CORRESPONDE"),"NO CORRESPONDE")</f>
        <v>NO CORRESPONDE</v>
      </c>
      <c r="AS859" s="22" t="str">
        <f>IF(DATA[[#This Row],[fecha_fs]]&gt;0,TEXT(DATA[[#This Row],[fecha_fs]],"Mmmm"),0)</f>
        <v>Junio</v>
      </c>
      <c r="AT859" s="22" t="str">
        <f>DATA[[#This Row],[SERIE2]]&amp;"-"&amp;DATA[[#This Row],[NUMERO]]</f>
        <v>FF01-194</v>
      </c>
      <c r="AU859" s="28">
        <f>DATA[[#This Row],[TOTAL]]*DATA[[#This Row],[T.C.]]</f>
        <v>97.07</v>
      </c>
      <c r="AV859" s="6">
        <f>DATA[[#This Row],[FECHA DE VAL.]]</f>
        <v>45838</v>
      </c>
      <c r="AW859" s="6">
        <f>DATA[[#This Row],[FECHA DE EMISION]]</f>
        <v>45869</v>
      </c>
      <c r="AX859" s="6">
        <f>DATA[[#This Row],[F1]]</f>
        <v>0</v>
      </c>
      <c r="AY859" s="20">
        <f>IF(AV859-DATA[[#This Row],[fecha_fs]]&lt;0,0,AV859-DATA[[#This Row],[fecha_fs]])</f>
        <v>3</v>
      </c>
      <c r="AZ859" s="20">
        <f t="shared" si="89"/>
        <v>31</v>
      </c>
      <c r="BA859" s="20">
        <f t="shared" si="90"/>
        <v>0</v>
      </c>
      <c r="BB859" s="195">
        <f>IFERROR(SUM(DATA[[#This Row],[fs_val_ttf]:[fact_pago_ttf]]),0)</f>
        <v>34</v>
      </c>
      <c r="BC859" s="185">
        <v>45874</v>
      </c>
      <c r="BD859" s="185">
        <v>45882</v>
      </c>
      <c r="BE859" s="185">
        <v>45882</v>
      </c>
      <c r="BF859" s="185">
        <v>45882</v>
      </c>
      <c r="BG859" s="20">
        <f>IFERROR(IF(BC859-DATA[[#This Row],[fecha_fs]]&lt;0,0,BC859-DATA[[#This Row],[fecha_fs]]),0)</f>
        <v>39</v>
      </c>
      <c r="BH859" s="20">
        <f t="shared" si="92"/>
        <v>8</v>
      </c>
      <c r="BI859" s="20">
        <f t="shared" si="93"/>
        <v>0</v>
      </c>
      <c r="BJ859" s="20">
        <f t="shared" si="94"/>
        <v>0</v>
      </c>
      <c r="BK859" s="218">
        <f>IFERROR(SUM(DATA[[#This Row],[fs_fd_ttd]:[fend_fenf_ttd]]),0)</f>
        <v>47</v>
      </c>
      <c r="BL859" s="20" t="str">
        <f>IF(DATA[[#This Row],[fecha_fs]]&gt;0,TEXT(DATA[[#This Row],[fecha_fs]],"YYYY"),0)</f>
        <v>2025</v>
      </c>
      <c r="BM859" s="221" t="b">
        <v>1</v>
      </c>
      <c r="BN859" s="278">
        <f>COUNTIF(DATA[[#This Row],[tiempo_td]], "&lt;=15")</f>
        <v>0</v>
      </c>
      <c r="BO859" s="222"/>
    </row>
    <row r="860" spans="1:67" ht="30.6" customHeight="1" x14ac:dyDescent="0.25">
      <c r="A860" s="4">
        <v>20100211115</v>
      </c>
      <c r="B860" s="5" t="s">
        <v>41</v>
      </c>
      <c r="C860" s="52" t="s">
        <v>18</v>
      </c>
      <c r="D860" s="4" t="s">
        <v>120</v>
      </c>
      <c r="E860" s="5" t="s">
        <v>3</v>
      </c>
      <c r="F860" s="24">
        <v>45838</v>
      </c>
      <c r="G860" s="7" t="s">
        <v>113</v>
      </c>
      <c r="H860" s="25">
        <f t="shared" si="88"/>
        <v>1</v>
      </c>
      <c r="I860" s="67">
        <v>4694</v>
      </c>
      <c r="J860" s="8" t="s">
        <v>115</v>
      </c>
      <c r="K860" s="9" t="s">
        <v>121</v>
      </c>
      <c r="L860" s="10" t="s">
        <v>117</v>
      </c>
      <c r="M860" s="11">
        <v>90</v>
      </c>
      <c r="N860" s="12" t="s">
        <v>267</v>
      </c>
      <c r="O860" s="6">
        <v>45838</v>
      </c>
      <c r="P860" s="115">
        <v>3536</v>
      </c>
      <c r="Q860" s="14" t="s">
        <v>85</v>
      </c>
      <c r="R860" s="15"/>
      <c r="S860" s="15">
        <f>(DATA[[#This Row],[cantidad_fs]]*4.17)</f>
        <v>375.3</v>
      </c>
      <c r="T860" s="15">
        <f>DATA[[#This Row],[C. DF]]+DATA[[#This Row],[C.OPE.]]</f>
        <v>375.3</v>
      </c>
      <c r="U860" s="15">
        <f>DATA[[#This Row],[SUB TOTAL]]*0.18</f>
        <v>67.554000000000002</v>
      </c>
      <c r="V860" s="15">
        <f>IFERROR(ROUND(DATA[[#This Row],[SUB TOTAL]]+DATA[[#This Row],[IGV]],2),0)</f>
        <v>442.85</v>
      </c>
      <c r="W860" s="16" t="str">
        <f>IF(DATA[[#This Row],[VALORIZACIÓN ]]="-","NO CORRESPONDE",IF(OR(A860=20558226979,A860=10470707866,A860=20111157058,A860=20100226902),"NO CORRESPONDE",IF(J860="Emitida",IF(P860&gt;0,"EMITIDA","PENDIENTE"),"NO CORRESPONDE")))</f>
        <v>EMITIDA</v>
      </c>
      <c r="X860" s="29"/>
      <c r="Y860" s="17" t="s">
        <v>118</v>
      </c>
      <c r="Z860" s="30">
        <v>45869</v>
      </c>
      <c r="AA860" s="10" t="s">
        <v>150</v>
      </c>
      <c r="AB860" s="19">
        <v>191</v>
      </c>
      <c r="AC860" s="20">
        <v>30</v>
      </c>
      <c r="AD860" s="18">
        <f>DATA[[#This Row],[FECHA DE EMISION]]+DATA[[#This Row],[CONDICION DE PAGO]]</f>
        <v>45899</v>
      </c>
      <c r="AE860" s="23">
        <f>IF(DATA[[#This Row],[MONEDA]]="USD",VLOOKUP(DATA[[#This Row],[COMBINADA]],#REF!,11,0),1)</f>
        <v>1</v>
      </c>
      <c r="AF860" s="129" t="str">
        <f>IF(DATA[[#This Row],[SERIE2]]="-","NO CORRESPONDE",IF(W860="NO CORRESPONDE","NO CORRESPONDE",IF(Z860&gt;0,"FACTURADO","PENDIENTE")))</f>
        <v>FACTURADO</v>
      </c>
      <c r="AG860" s="133">
        <f>IFERROR(VLOOKUP(DATA[[#This Row],[COMBINADA]],#REF!,6,0),0)</f>
        <v>0</v>
      </c>
      <c r="AH860" s="125">
        <f>IFERROR(VLOOKUP(DATA[[#This Row],[COMBINADA]],#REF!,9,0),0)/COUNTIFS(DATA[COMBINADA],DATA[[#This Row],[COMBINADA]])</f>
        <v>0</v>
      </c>
      <c r="AI860" s="136">
        <f>IFERROR(VLOOKUP(DATA[[#This Row],[COMBINADA]],#REF!,6,0),0)</f>
        <v>0</v>
      </c>
      <c r="AJ860" s="132">
        <f>IFERROR(VLOOKUP(DATA[[#This Row],[COMBINADA]],#REF!,9,0),0)/COUNTIFS(DATA[COMBINADA],DATA[[#This Row],[COMBINADA]])</f>
        <v>0</v>
      </c>
      <c r="AK860" s="408">
        <f>IFERROR(VLOOKUP(DATA[[#This Row],[COMBINADA]],#REF!,6,0),0)</f>
        <v>0</v>
      </c>
      <c r="AL860" s="125">
        <f>IFERROR(VLOOKUP(DATA[[#This Row],[COMBINADA]],#REF!,9,0),0)/COUNTIFS(DATA[COMBINADA],DATA[[#This Row],[COMBINADA]])</f>
        <v>0</v>
      </c>
      <c r="AM860" s="27">
        <f>IFERROR(VLOOKUP(DATA[[#This Row],[COMBINADA]],#REF!,6,0),0)</f>
        <v>0</v>
      </c>
      <c r="AN860" s="125">
        <f>IFERROR(VLOOKUP(DATA[[#This Row],[COMBINADA]],#REF!,9,0),0)/COUNTIFS(DATA[COMBINADA],DATA[[#This Row],[COMBINADA]])</f>
        <v>0</v>
      </c>
      <c r="AO860" s="27">
        <f>IFERROR(VLOOKUP(DATA[[#This Row],[COMBINADA]],#REF!,6,0),0)</f>
        <v>0</v>
      </c>
      <c r="AP860" s="132">
        <f>IFERROR(VLOOKUP(DATA[[#This Row],[COMBINADA]],#REF!,9,0),0)/COUNTIFS(DATA[COMBINADA],DATA[[#This Row],[COMBINADA]])</f>
        <v>0</v>
      </c>
      <c r="AQ86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860" s="26" t="str">
        <f>IFERROR(IF(DATA[[#This Row],[estado_fact]]="FACTURADO",VLOOKUP(DATA[[#This Row],[SERIE2]]&amp;"-"&amp;DATA[[#This Row],[NUMERO]],#REF!,34,0),"NO CORRESPONDE"),"NO CORRESPONDE")</f>
        <v>NO CORRESPONDE</v>
      </c>
      <c r="AS860" s="22" t="str">
        <f>IF(DATA[[#This Row],[fecha_fs]]&gt;0,TEXT(DATA[[#This Row],[fecha_fs]],"Mmmm"),0)</f>
        <v>Junio</v>
      </c>
      <c r="AT860" s="22" t="str">
        <f>DATA[[#This Row],[SERIE2]]&amp;"-"&amp;DATA[[#This Row],[NUMERO]]</f>
        <v>FF01-191</v>
      </c>
      <c r="AU860" s="28">
        <f>DATA[[#This Row],[TOTAL]]*DATA[[#This Row],[T.C.]]</f>
        <v>442.85</v>
      </c>
      <c r="AV860" s="6">
        <f>DATA[[#This Row],[FECHA DE VAL.]]</f>
        <v>45838</v>
      </c>
      <c r="AW860" s="6">
        <f>DATA[[#This Row],[FECHA DE EMISION]]</f>
        <v>45869</v>
      </c>
      <c r="AX860" s="6">
        <f>DATA[[#This Row],[F1]]</f>
        <v>0</v>
      </c>
      <c r="AY860" s="20">
        <f>IF(AV860-DATA[[#This Row],[fecha_fs]]&lt;0,0,AV860-DATA[[#This Row],[fecha_fs]])</f>
        <v>0</v>
      </c>
      <c r="AZ860" s="20">
        <f t="shared" si="89"/>
        <v>31</v>
      </c>
      <c r="BA860" s="20">
        <f t="shared" si="90"/>
        <v>0</v>
      </c>
      <c r="BB860" s="195">
        <f>IFERROR(SUM(DATA[[#This Row],[fs_val_ttf]:[fact_pago_ttf]]),0)</f>
        <v>31</v>
      </c>
      <c r="BC860" s="185">
        <v>45870</v>
      </c>
      <c r="BD860" s="185">
        <v>45876</v>
      </c>
      <c r="BE860" s="185">
        <v>45882</v>
      </c>
      <c r="BF860" s="185">
        <v>45887</v>
      </c>
      <c r="BG860" s="20">
        <f>IFERROR(IF(BC860-DATA[[#This Row],[fecha_fs]]&lt;0,0,BC860-DATA[[#This Row],[fecha_fs]]),0)</f>
        <v>32</v>
      </c>
      <c r="BH860" s="20">
        <f t="shared" si="92"/>
        <v>6</v>
      </c>
      <c r="BI860" s="20">
        <f t="shared" si="93"/>
        <v>6</v>
      </c>
      <c r="BJ860" s="20">
        <f t="shared" si="94"/>
        <v>5</v>
      </c>
      <c r="BK860" s="218">
        <f>IFERROR(SUM(DATA[[#This Row],[fs_fd_ttd]:[fend_fenf_ttd]]),0)</f>
        <v>49</v>
      </c>
      <c r="BL860" s="20" t="str">
        <f>IF(DATA[[#This Row],[fecha_fs]]&gt;0,TEXT(DATA[[#This Row],[fecha_fs]],"YYYY"),0)</f>
        <v>2025</v>
      </c>
      <c r="BM860" s="221" t="b">
        <v>1</v>
      </c>
      <c r="BN860" s="278">
        <f>COUNTIF(DATA[[#This Row],[tiempo_td]], "&lt;=15")</f>
        <v>0</v>
      </c>
      <c r="BO860" s="222"/>
    </row>
    <row r="861" spans="1:67" ht="30" customHeight="1" x14ac:dyDescent="0.25">
      <c r="A861" s="4"/>
      <c r="B861" s="5" t="s">
        <v>0</v>
      </c>
      <c r="C861" s="52"/>
      <c r="D861" s="4"/>
      <c r="E861" s="5" t="s">
        <v>0</v>
      </c>
      <c r="F861" s="24">
        <v>45838</v>
      </c>
      <c r="G861" s="7" t="s">
        <v>113</v>
      </c>
      <c r="H861" s="25">
        <f t="shared" si="88"/>
        <v>1</v>
      </c>
      <c r="I861" s="67">
        <v>4695</v>
      </c>
      <c r="J861" s="8" t="s">
        <v>151</v>
      </c>
      <c r="K861" s="9"/>
      <c r="L861" s="10"/>
      <c r="M861" s="111"/>
      <c r="N861" s="112"/>
      <c r="O861" s="6"/>
      <c r="P861" s="13"/>
      <c r="Q861" s="14"/>
      <c r="R861" s="15"/>
      <c r="S861" s="15"/>
      <c r="T861" s="15">
        <f>DATA[[#This Row],[C. DF]]+DATA[[#This Row],[C.OPE.]]</f>
        <v>0</v>
      </c>
      <c r="U861" s="15">
        <f>DATA[[#This Row],[SUB TOTAL]]*0.18</f>
        <v>0</v>
      </c>
      <c r="V861" s="15">
        <f>IFERROR(ROUND(DATA[[#This Row],[SUB TOTAL]]+DATA[[#This Row],[IGV]],2),0)</f>
        <v>0</v>
      </c>
      <c r="W861" s="73" t="str">
        <f>IF(DATA[[#This Row],[VALORIZACIÓN ]]="-","NO CORRESPONDE",IF(OR(A861=20558226979,A861=10470707866,A861=20111157058,A861=20100226902),"NO CORRESPONDE",IF(J861="Emitida",IF(P861&gt;0,"EMITIDA","PENDIENTE"),"NO CORRESPONDE")))</f>
        <v>NO CORRESPONDE</v>
      </c>
      <c r="X861" s="46"/>
      <c r="Y861" s="17" t="s">
        <v>128</v>
      </c>
      <c r="Z861" s="48"/>
      <c r="AA861" s="49"/>
      <c r="AB861" s="50"/>
      <c r="AC861" s="51"/>
      <c r="AD861" s="59">
        <f>DATA[[#This Row],[FECHA DE EMISION]]+DATA[[#This Row],[CONDICION DE PAGO]]</f>
        <v>0</v>
      </c>
      <c r="AE861" s="23">
        <f>IF(DATA[[#This Row],[MONEDA]]="USD",VLOOKUP(DATA[[#This Row],[COMBINADA]],#REF!,11,0),1)</f>
        <v>1</v>
      </c>
      <c r="AF861" s="129" t="str">
        <f>IF(DATA[[#This Row],[SERIE2]]="-","NO CORRESPONDE",IF(W861="NO CORRESPONDE","NO CORRESPONDE",IF(Z861&gt;0,"FACTURADO","PENDIENTE")))</f>
        <v>NO CORRESPONDE</v>
      </c>
      <c r="AG861" s="140">
        <f>IFERROR(VLOOKUP(DATA[[#This Row],[COMBINADA]],#REF!,6,0),0)</f>
        <v>0</v>
      </c>
      <c r="AH861" s="126">
        <f>IFERROR(VLOOKUP(DATA[[#This Row],[COMBINADA]],#REF!,9,0),0)/COUNTIFS(DATA[COMBINADA],DATA[[#This Row],[COMBINADA]])</f>
        <v>0</v>
      </c>
      <c r="AI861" s="140">
        <f>IFERROR(VLOOKUP(DATA[[#This Row],[COMBINADA]],#REF!,6,0),0)</f>
        <v>0</v>
      </c>
      <c r="AJ861" s="126">
        <f>IFERROR(VLOOKUP(DATA[[#This Row],[COMBINADA]],#REF!,9,0),0)/COUNTIFS(DATA[COMBINADA],DATA[[#This Row],[COMBINADA]])</f>
        <v>0</v>
      </c>
      <c r="AK861" s="61">
        <f>IFERROR(VLOOKUP(DATA[[#This Row],[COMBINADA]],#REF!,6,0),0)</f>
        <v>0</v>
      </c>
      <c r="AL861" s="126">
        <f>IFERROR(VLOOKUP(DATA[[#This Row],[COMBINADA]],#REF!,9,0),0)/COUNTIFS(DATA[COMBINADA],DATA[[#This Row],[COMBINADA]])</f>
        <v>0</v>
      </c>
      <c r="AM861" s="140">
        <f>IFERROR(VLOOKUP(DATA[[#This Row],[COMBINADA]],#REF!,6,0),0)</f>
        <v>0</v>
      </c>
      <c r="AN861" s="62">
        <f>IFERROR(VLOOKUP(DATA[[#This Row],[COMBINADA]],#REF!,9,0),0)/COUNTIFS(DATA[COMBINADA],DATA[[#This Row],[COMBINADA]])</f>
        <v>0</v>
      </c>
      <c r="AO861" s="61">
        <f>IFERROR(VLOOKUP(DATA[[#This Row],[COMBINADA]],#REF!,6,0),0)</f>
        <v>0</v>
      </c>
      <c r="AP861" s="62">
        <f>IFERROR(VLOOKUP(DATA[[#This Row],[COMBINADA]],#REF!,9,0),0)/COUNTIFS(DATA[COMBINADA],DATA[[#This Row],[COMBINADA]])</f>
        <v>0</v>
      </c>
      <c r="AQ861"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861" s="22" t="str">
        <f>IFERROR(IF(DATA[[#This Row],[estado_fact]]="FACTURADO",VLOOKUP(DATA[[#This Row],[SERIE2]]&amp;"-"&amp;DATA[[#This Row],[NUMERO]],#REF!,34,0),"NO CORRESPONDE"),"NO CORRESPONDE")</f>
        <v>NO CORRESPONDE</v>
      </c>
      <c r="AS861" s="198" t="str">
        <f>IF(DATA[[#This Row],[fecha_fs]]&gt;0,TEXT(DATA[[#This Row],[fecha_fs]],"Mmmm"),0)</f>
        <v>Junio</v>
      </c>
      <c r="AT861" s="199" t="str">
        <f>DATA[[#This Row],[SERIE2]]&amp;"-"&amp;DATA[[#This Row],[NUMERO]]</f>
        <v>-</v>
      </c>
      <c r="AU861" s="198">
        <f>DATA[[#This Row],[TOTAL]]*DATA[[#This Row],[T.C.]]</f>
        <v>0</v>
      </c>
      <c r="AV861" s="40">
        <f>DATA[[#This Row],[FECHA DE VAL.]]</f>
        <v>0</v>
      </c>
      <c r="AW861" s="40">
        <f>DATA[[#This Row],[FECHA DE EMISION]]</f>
        <v>0</v>
      </c>
      <c r="AX861" s="40">
        <f>DATA[[#This Row],[F1]]</f>
        <v>0</v>
      </c>
      <c r="AY861" s="49">
        <f>IF(AV861-DATA[[#This Row],[fecha_fs]]&lt;0,0,AV861-DATA[[#This Row],[fecha_fs]])</f>
        <v>0</v>
      </c>
      <c r="AZ861" s="49">
        <f t="shared" si="89"/>
        <v>0</v>
      </c>
      <c r="BA861" s="49">
        <f t="shared" si="90"/>
        <v>0</v>
      </c>
      <c r="BB861" s="195">
        <f>IFERROR(SUM(DATA[[#This Row],[fs_val_ttf]:[fact_pago_ttf]]),0)</f>
        <v>0</v>
      </c>
      <c r="BC861" s="10"/>
      <c r="BD861" s="10"/>
      <c r="BE861" s="10"/>
      <c r="BF861" s="10"/>
      <c r="BG861" s="49">
        <f>IFERROR(IF(BC861-DATA[[#This Row],[fecha_fs]]&lt;0,0,BC861-DATA[[#This Row],[fecha_fs]]),0)</f>
        <v>0</v>
      </c>
      <c r="BH861" s="49">
        <f t="shared" si="92"/>
        <v>0</v>
      </c>
      <c r="BI861" s="49">
        <f t="shared" si="93"/>
        <v>0</v>
      </c>
      <c r="BJ861" s="49">
        <f t="shared" si="94"/>
        <v>0</v>
      </c>
      <c r="BK861" s="218">
        <f>IFERROR(SUM(DATA[[#This Row],[fs_fd_ttd]:[fend_fenf_ttd]]),0)</f>
        <v>0</v>
      </c>
      <c r="BL861" s="20" t="str">
        <f>IF(DATA[[#This Row],[fecha_fs]]&gt;0,TEXT(DATA[[#This Row],[fecha_fs]],"YYYY"),0)</f>
        <v>2025</v>
      </c>
      <c r="BM861" s="221" t="b">
        <v>0</v>
      </c>
      <c r="BN861" s="278"/>
      <c r="BO861" s="222"/>
    </row>
    <row r="862" spans="1:67" ht="30.6" customHeight="1" x14ac:dyDescent="0.25">
      <c r="A862" s="4">
        <v>20100211115</v>
      </c>
      <c r="B862" s="5" t="s">
        <v>41</v>
      </c>
      <c r="C862" s="52" t="s">
        <v>18</v>
      </c>
      <c r="D862" s="4" t="s">
        <v>120</v>
      </c>
      <c r="E862" s="5" t="s">
        <v>3</v>
      </c>
      <c r="F862" s="24">
        <v>45838</v>
      </c>
      <c r="G862" s="7" t="s">
        <v>113</v>
      </c>
      <c r="H862" s="25">
        <f t="shared" si="88"/>
        <v>1</v>
      </c>
      <c r="I862" s="67">
        <v>4696</v>
      </c>
      <c r="J862" s="8" t="s">
        <v>115</v>
      </c>
      <c r="K862" s="9" t="s">
        <v>163</v>
      </c>
      <c r="L862" s="10" t="s">
        <v>117</v>
      </c>
      <c r="M862" s="11">
        <v>997</v>
      </c>
      <c r="N862" s="12" t="s">
        <v>132</v>
      </c>
      <c r="O862" s="6">
        <v>45838</v>
      </c>
      <c r="P862" s="115">
        <v>3536</v>
      </c>
      <c r="Q862" s="14" t="s">
        <v>85</v>
      </c>
      <c r="R862" s="15"/>
      <c r="S862" s="15">
        <f>DATA[[#This Row],[cantidad_fs]]*0.72</f>
        <v>717.83999999999992</v>
      </c>
      <c r="T862" s="15">
        <f>DATA[[#This Row],[C. DF]]+DATA[[#This Row],[C.OPE.]]</f>
        <v>717.83999999999992</v>
      </c>
      <c r="U862" s="15">
        <f>DATA[[#This Row],[SUB TOTAL]]*0.18</f>
        <v>129.21119999999999</v>
      </c>
      <c r="V862" s="15">
        <f>IFERROR(ROUND(DATA[[#This Row],[SUB TOTAL]]+DATA[[#This Row],[IGV]],2),0)</f>
        <v>847.05</v>
      </c>
      <c r="W862" s="16" t="str">
        <f>IF(DATA[[#This Row],[VALORIZACIÓN ]]="-","NO CORRESPONDE",IF(OR(A862=20558226979,A862=10470707866,A862=20111157058,A862=20100226902),"NO CORRESPONDE",IF(J862="Emitida",IF(P862&gt;0,"EMITIDA","PENDIENTE"),"NO CORRESPONDE")))</f>
        <v>EMITIDA</v>
      </c>
      <c r="X862" s="29"/>
      <c r="Y862" s="17" t="s">
        <v>118</v>
      </c>
      <c r="Z862" s="30">
        <v>45869</v>
      </c>
      <c r="AA862" s="10" t="s">
        <v>150</v>
      </c>
      <c r="AB862" s="19">
        <v>192</v>
      </c>
      <c r="AC862" s="20">
        <v>30</v>
      </c>
      <c r="AD862" s="18">
        <f>DATA[[#This Row],[FECHA DE EMISION]]+DATA[[#This Row],[CONDICION DE PAGO]]</f>
        <v>45899</v>
      </c>
      <c r="AE862" s="23">
        <f>IF(DATA[[#This Row],[MONEDA]]="USD",VLOOKUP(DATA[[#This Row],[COMBINADA]],#REF!,11,0),1)</f>
        <v>1</v>
      </c>
      <c r="AF862" s="129" t="str">
        <f>IF(DATA[[#This Row],[SERIE2]]="-","NO CORRESPONDE",IF(W862="NO CORRESPONDE","NO CORRESPONDE",IF(Z862&gt;0,"FACTURADO","PENDIENTE")))</f>
        <v>FACTURADO</v>
      </c>
      <c r="AG862" s="133">
        <f>IFERROR(VLOOKUP(DATA[[#This Row],[COMBINADA]],#REF!,6,0),0)</f>
        <v>0</v>
      </c>
      <c r="AH862" s="125">
        <f>IFERROR(VLOOKUP(DATA[[#This Row],[COMBINADA]],#REF!,9,0),0)/COUNTIFS(DATA[COMBINADA],DATA[[#This Row],[COMBINADA]])</f>
        <v>0</v>
      </c>
      <c r="AI862" s="136">
        <f>IFERROR(VLOOKUP(DATA[[#This Row],[COMBINADA]],#REF!,6,0),0)</f>
        <v>0</v>
      </c>
      <c r="AJ862" s="132">
        <f>IFERROR(VLOOKUP(DATA[[#This Row],[COMBINADA]],#REF!,9,0),0)/COUNTIFS(DATA[COMBINADA],DATA[[#This Row],[COMBINADA]])</f>
        <v>0</v>
      </c>
      <c r="AK862" s="408">
        <f>IFERROR(VLOOKUP(DATA[[#This Row],[COMBINADA]],#REF!,6,0),0)</f>
        <v>0</v>
      </c>
      <c r="AL862" s="125">
        <f>IFERROR(VLOOKUP(DATA[[#This Row],[COMBINADA]],#REF!,9,0),0)/COUNTIFS(DATA[COMBINADA],DATA[[#This Row],[COMBINADA]])</f>
        <v>0</v>
      </c>
      <c r="AM862" s="27">
        <f>IFERROR(VLOOKUP(DATA[[#This Row],[COMBINADA]],#REF!,6,0),0)</f>
        <v>0</v>
      </c>
      <c r="AN862" s="125">
        <f>IFERROR(VLOOKUP(DATA[[#This Row],[COMBINADA]],#REF!,9,0),0)/COUNTIFS(DATA[COMBINADA],DATA[[#This Row],[COMBINADA]])</f>
        <v>0</v>
      </c>
      <c r="AO862" s="27">
        <f>IFERROR(VLOOKUP(DATA[[#This Row],[COMBINADA]],#REF!,6,0),0)</f>
        <v>0</v>
      </c>
      <c r="AP862" s="132">
        <f>IFERROR(VLOOKUP(DATA[[#This Row],[COMBINADA]],#REF!,9,0),0)/COUNTIFS(DATA[COMBINADA],DATA[[#This Row],[COMBINADA]])</f>
        <v>0</v>
      </c>
      <c r="AQ86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786.73</v>
      </c>
      <c r="AR862" s="26" t="str">
        <f>IFERROR(IF(DATA[[#This Row],[estado_fact]]="FACTURADO",VLOOKUP(DATA[[#This Row],[SERIE2]]&amp;"-"&amp;DATA[[#This Row],[NUMERO]],#REF!,34,0),"NO CORRESPONDE"),"NO CORRESPONDE")</f>
        <v>NO CORRESPONDE</v>
      </c>
      <c r="AS862" s="22" t="str">
        <f>IF(DATA[[#This Row],[fecha_fs]]&gt;0,TEXT(DATA[[#This Row],[fecha_fs]],"Mmmm"),0)</f>
        <v>Junio</v>
      </c>
      <c r="AT862" s="22" t="str">
        <f>DATA[[#This Row],[SERIE2]]&amp;"-"&amp;DATA[[#This Row],[NUMERO]]</f>
        <v>FF01-192</v>
      </c>
      <c r="AU862" s="28">
        <f>DATA[[#This Row],[TOTAL]]*DATA[[#This Row],[T.C.]]</f>
        <v>847.05</v>
      </c>
      <c r="AV862" s="6">
        <f>DATA[[#This Row],[FECHA DE VAL.]]</f>
        <v>45838</v>
      </c>
      <c r="AW862" s="6">
        <f>DATA[[#This Row],[FECHA DE EMISION]]</f>
        <v>45869</v>
      </c>
      <c r="AX862" s="6">
        <f>DATA[[#This Row],[F1]]</f>
        <v>0</v>
      </c>
      <c r="AY862" s="20">
        <f>IF(AV862-DATA[[#This Row],[fecha_fs]]&lt;0,0,AV862-DATA[[#This Row],[fecha_fs]])</f>
        <v>0</v>
      </c>
      <c r="AZ862" s="20">
        <f t="shared" si="89"/>
        <v>31</v>
      </c>
      <c r="BA862" s="20">
        <f t="shared" si="90"/>
        <v>0</v>
      </c>
      <c r="BB862" s="195">
        <f>IFERROR(SUM(DATA[[#This Row],[fs_val_ttf]:[fact_pago_ttf]]),0)</f>
        <v>31</v>
      </c>
      <c r="BC862" s="185">
        <v>45870</v>
      </c>
      <c r="BD862" s="185">
        <v>45876</v>
      </c>
      <c r="BE862" s="185">
        <v>45880</v>
      </c>
      <c r="BF862" s="185">
        <v>45882</v>
      </c>
      <c r="BG862" s="20">
        <f>IFERROR(IF(BC862-DATA[[#This Row],[fecha_fs]]&lt;0,0,BC862-DATA[[#This Row],[fecha_fs]]),0)</f>
        <v>32</v>
      </c>
      <c r="BH862" s="20">
        <f t="shared" si="92"/>
        <v>6</v>
      </c>
      <c r="BI862" s="20">
        <f t="shared" si="93"/>
        <v>4</v>
      </c>
      <c r="BJ862" s="20">
        <f t="shared" si="94"/>
        <v>2</v>
      </c>
      <c r="BK862" s="218">
        <f>IFERROR(SUM(DATA[[#This Row],[fs_fd_ttd]:[fend_fenf_ttd]]),0)</f>
        <v>44</v>
      </c>
      <c r="BL862" s="20" t="str">
        <f>IF(DATA[[#This Row],[fecha_fs]]&gt;0,TEXT(DATA[[#This Row],[fecha_fs]],"YYYY"),0)</f>
        <v>2025</v>
      </c>
      <c r="BM862" s="221" t="b">
        <v>1</v>
      </c>
      <c r="BN862" s="278">
        <f>COUNTIF(DATA[[#This Row],[tiempo_td]], "&lt;=15")</f>
        <v>0</v>
      </c>
      <c r="BO862" s="222"/>
    </row>
    <row r="863" spans="1:67" ht="30.6" customHeight="1" x14ac:dyDescent="0.25">
      <c r="A863" s="4">
        <v>20462509236</v>
      </c>
      <c r="B863" s="5" t="s">
        <v>81</v>
      </c>
      <c r="C863" s="52" t="s">
        <v>263</v>
      </c>
      <c r="D863" s="4" t="s">
        <v>290</v>
      </c>
      <c r="E863" s="5" t="s">
        <v>294</v>
      </c>
      <c r="F863" s="24">
        <v>45838</v>
      </c>
      <c r="G863" s="7" t="s">
        <v>113</v>
      </c>
      <c r="H863" s="25">
        <f t="shared" si="88"/>
        <v>1</v>
      </c>
      <c r="I863" s="67">
        <v>4697</v>
      </c>
      <c r="J863" s="8" t="s">
        <v>115</v>
      </c>
      <c r="K863" s="9" t="s">
        <v>195</v>
      </c>
      <c r="L863" s="10" t="s">
        <v>117</v>
      </c>
      <c r="M863" s="11">
        <v>470</v>
      </c>
      <c r="N863" s="12" t="s">
        <v>200</v>
      </c>
      <c r="O863" s="6">
        <v>45838</v>
      </c>
      <c r="P863" s="13">
        <v>3532</v>
      </c>
      <c r="Q863" s="14" t="s">
        <v>85</v>
      </c>
      <c r="R863" s="15">
        <v>101.69</v>
      </c>
      <c r="S863" s="15">
        <v>1625.3</v>
      </c>
      <c r="T863" s="15">
        <f>DATA[[#This Row],[C. DF]]+DATA[[#This Row],[C.OPE.]]</f>
        <v>1726.99</v>
      </c>
      <c r="U863" s="15">
        <f>DATA[[#This Row],[SUB TOTAL]]*0.18</f>
        <v>310.85820000000001</v>
      </c>
      <c r="V863" s="15">
        <f>IFERROR(ROUND(DATA[[#This Row],[SUB TOTAL]]+DATA[[#This Row],[IGV]],2),0)</f>
        <v>2037.85</v>
      </c>
      <c r="W863" s="16" t="str">
        <f>IF(DATA[[#This Row],[VALORIZACIÓN ]]="-","NO CORRESPONDE",IF(OR(A863=20558226979,A863=10470707866,A863=20111157058,A863=20100226902),"NO CORRESPONDE",IF(J863="Emitida",IF(P863&gt;0,"EMITIDA","PENDIENTE"),"NO CORRESPONDE")))</f>
        <v>EMITIDA</v>
      </c>
      <c r="X863" s="29"/>
      <c r="Y863" s="17" t="s">
        <v>118</v>
      </c>
      <c r="Z863" s="30">
        <v>45903</v>
      </c>
      <c r="AA863" s="10" t="s">
        <v>150</v>
      </c>
      <c r="AB863" s="19">
        <v>236</v>
      </c>
      <c r="AC863" s="20">
        <v>60</v>
      </c>
      <c r="AD863" s="18">
        <f>DATA[[#This Row],[FECHA DE EMISION]]+DATA[[#This Row],[CONDICION DE PAGO]]</f>
        <v>45963</v>
      </c>
      <c r="AE863" s="23">
        <f>IF(DATA[[#This Row],[MONEDA]]="USD",VLOOKUP(DATA[[#This Row],[COMBINADA]],#REF!,11,0),1)</f>
        <v>1</v>
      </c>
      <c r="AF863" s="129" t="str">
        <f>IF(DATA[[#This Row],[SERIE2]]="-","NO CORRESPONDE",IF(W863="NO CORRESPONDE","NO CORRESPONDE",IF(Z863&gt;0,"FACTURADO","PENDIENTE")))</f>
        <v>FACTURADO</v>
      </c>
      <c r="AG863" s="133">
        <f>IFERROR(VLOOKUP(DATA[[#This Row],[COMBINADA]],#REF!,6,0),0)</f>
        <v>0</v>
      </c>
      <c r="AH863" s="125">
        <f>IFERROR(VLOOKUP(DATA[[#This Row],[COMBINADA]],#REF!,9,0),0)/COUNTIFS(DATA[COMBINADA],DATA[[#This Row],[COMBINADA]])</f>
        <v>0</v>
      </c>
      <c r="AI863" s="136">
        <f>IFERROR(VLOOKUP(DATA[[#This Row],[COMBINADA]],#REF!,6,0),0)</f>
        <v>0</v>
      </c>
      <c r="AJ863" s="132">
        <f>IFERROR(VLOOKUP(DATA[[#This Row],[COMBINADA]],#REF!,9,0),0)/COUNTIFS(DATA[COMBINADA],DATA[[#This Row],[COMBINADA]])</f>
        <v>0</v>
      </c>
      <c r="AK863" s="408">
        <f>IFERROR(VLOOKUP(DATA[[#This Row],[COMBINADA]],#REF!,6,0),0)</f>
        <v>0</v>
      </c>
      <c r="AL863" s="125">
        <f>IFERROR(VLOOKUP(DATA[[#This Row],[COMBINADA]],#REF!,9,0),0)/COUNTIFS(DATA[COMBINADA],DATA[[#This Row],[COMBINADA]])</f>
        <v>0</v>
      </c>
      <c r="AM863" s="27">
        <f>IFERROR(VLOOKUP(DATA[[#This Row],[COMBINADA]],#REF!,6,0),0)</f>
        <v>0</v>
      </c>
      <c r="AN863" s="125">
        <f>IFERROR(VLOOKUP(DATA[[#This Row],[COMBINADA]],#REF!,9,0),0)/COUNTIFS(DATA[COMBINADA],DATA[[#This Row],[COMBINADA]])</f>
        <v>0</v>
      </c>
      <c r="AO863" s="27">
        <f>IFERROR(VLOOKUP(DATA[[#This Row],[COMBINADA]],#REF!,6,0),0)</f>
        <v>0</v>
      </c>
      <c r="AP863" s="132">
        <f>IFERROR(VLOOKUP(DATA[[#This Row],[COMBINADA]],#REF!,9,0),0)/COUNTIFS(DATA[COMBINADA],DATA[[#This Row],[COMBINADA]])</f>
        <v>0</v>
      </c>
      <c r="AQ86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2299.165</v>
      </c>
      <c r="AR863" s="26" t="str">
        <f>IFERROR(IF(DATA[[#This Row],[estado_fact]]="FACTURADO",VLOOKUP(DATA[[#This Row],[SERIE2]]&amp;"-"&amp;DATA[[#This Row],[NUMERO]],#REF!,34,0),"NO CORRESPONDE"),"NO CORRESPONDE")</f>
        <v>NO CORRESPONDE</v>
      </c>
      <c r="AS863" s="22" t="str">
        <f>IF(DATA[[#This Row],[fecha_fs]]&gt;0,TEXT(DATA[[#This Row],[fecha_fs]],"Mmmm"),0)</f>
        <v>Junio</v>
      </c>
      <c r="AT863" s="22" t="str">
        <f>DATA[[#This Row],[SERIE2]]&amp;"-"&amp;DATA[[#This Row],[NUMERO]]</f>
        <v>FF01-236</v>
      </c>
      <c r="AU863" s="28">
        <f>DATA[[#This Row],[TOTAL]]*DATA[[#This Row],[T.C.]]</f>
        <v>2037.85</v>
      </c>
      <c r="AV863" s="6">
        <f>DATA[[#This Row],[FECHA DE VAL.]]</f>
        <v>45838</v>
      </c>
      <c r="AW863" s="6">
        <f>DATA[[#This Row],[FECHA DE EMISION]]</f>
        <v>45903</v>
      </c>
      <c r="AX863" s="6">
        <f>DATA[[#This Row],[F1]]</f>
        <v>0</v>
      </c>
      <c r="AY863" s="20">
        <f>IF(AV863-DATA[[#This Row],[fecha_fs]]&lt;0,0,AV863-DATA[[#This Row],[fecha_fs]])</f>
        <v>0</v>
      </c>
      <c r="AZ863" s="20">
        <f t="shared" si="89"/>
        <v>65</v>
      </c>
      <c r="BA863" s="20">
        <f t="shared" si="90"/>
        <v>0</v>
      </c>
      <c r="BB863" s="195">
        <f>IFERROR(SUM(DATA[[#This Row],[fs_val_ttf]:[fact_pago_ttf]]),0)</f>
        <v>65</v>
      </c>
      <c r="BC863" s="185">
        <v>45845</v>
      </c>
      <c r="BD863" s="185">
        <v>45852</v>
      </c>
      <c r="BE863" s="185">
        <v>45853</v>
      </c>
      <c r="BF863" s="185">
        <v>45862</v>
      </c>
      <c r="BG863" s="20">
        <f>IFERROR(IF(BC863-DATA[[#This Row],[fecha_fs]]&lt;0,0,BC863-DATA[[#This Row],[fecha_fs]]),0)</f>
        <v>7</v>
      </c>
      <c r="BH863" s="20">
        <f t="shared" si="92"/>
        <v>7</v>
      </c>
      <c r="BI863" s="20">
        <f t="shared" si="93"/>
        <v>1</v>
      </c>
      <c r="BJ863" s="20">
        <f t="shared" si="94"/>
        <v>9</v>
      </c>
      <c r="BK863" s="218">
        <f>IFERROR(SUM(DATA[[#This Row],[fs_fd_ttd]:[fend_fenf_ttd]]),0)</f>
        <v>24</v>
      </c>
      <c r="BL863" s="20" t="str">
        <f>IF(DATA[[#This Row],[fecha_fs]]&gt;0,TEXT(DATA[[#This Row],[fecha_fs]],"YYYY"),0)</f>
        <v>2025</v>
      </c>
      <c r="BM863" s="221" t="b">
        <v>1</v>
      </c>
      <c r="BN863" s="278">
        <f>COUNTIF(DATA[[#This Row],[tiempo_td]], "&lt;=15")</f>
        <v>0</v>
      </c>
      <c r="BO863" s="222"/>
    </row>
    <row r="864" spans="1:67" ht="30.6" customHeight="1" x14ac:dyDescent="0.25">
      <c r="A864" s="4">
        <v>20120788389</v>
      </c>
      <c r="B864" s="5" t="s">
        <v>283</v>
      </c>
      <c r="C864" s="52" t="s">
        <v>268</v>
      </c>
      <c r="D864" s="4" t="s">
        <v>120</v>
      </c>
      <c r="E864" s="5" t="s">
        <v>3</v>
      </c>
      <c r="F864" s="24">
        <v>45838</v>
      </c>
      <c r="G864" s="7" t="s">
        <v>113</v>
      </c>
      <c r="H864" s="25">
        <f t="shared" si="88"/>
        <v>1</v>
      </c>
      <c r="I864" s="67">
        <v>4698</v>
      </c>
      <c r="J864" s="8" t="s">
        <v>115</v>
      </c>
      <c r="K864" s="9" t="s">
        <v>121</v>
      </c>
      <c r="L864" s="10" t="s">
        <v>117</v>
      </c>
      <c r="M864" s="11">
        <v>55</v>
      </c>
      <c r="N864" s="12" t="s">
        <v>200</v>
      </c>
      <c r="O864" s="6">
        <v>45838</v>
      </c>
      <c r="P864" s="13">
        <v>3534</v>
      </c>
      <c r="Q864" s="14" t="s">
        <v>85</v>
      </c>
      <c r="R864" s="15"/>
      <c r="S864" s="15">
        <v>670.43</v>
      </c>
      <c r="T864" s="15">
        <f>DATA[[#This Row],[C. DF]]+DATA[[#This Row],[C.OPE.]]</f>
        <v>670.43</v>
      </c>
      <c r="U864" s="15">
        <f>DATA[[#This Row],[SUB TOTAL]]*0.18</f>
        <v>120.67739999999999</v>
      </c>
      <c r="V864" s="15">
        <f>IFERROR(ROUND(DATA[[#This Row],[SUB TOTAL]]+DATA[[#This Row],[IGV]],2),0)</f>
        <v>791.11</v>
      </c>
      <c r="W864" s="16" t="str">
        <f>IF(DATA[[#This Row],[VALORIZACIÓN ]]="-","NO CORRESPONDE",IF(OR(A864=20558226979,A864=10470707866,A864=20111157058,A864=20100226902),"NO CORRESPONDE",IF(J864="Emitida",IF(P864&gt;0,"EMITIDA","PENDIENTE"),"NO CORRESPONDE")))</f>
        <v>EMITIDA</v>
      </c>
      <c r="X864" s="29"/>
      <c r="Y864" s="17" t="s">
        <v>118</v>
      </c>
      <c r="Z864" s="30">
        <v>45849</v>
      </c>
      <c r="AA864" s="10" t="s">
        <v>150</v>
      </c>
      <c r="AB864" s="19">
        <v>176</v>
      </c>
      <c r="AC864" s="20">
        <v>15</v>
      </c>
      <c r="AD864" s="18">
        <f>DATA[[#This Row],[FECHA DE EMISION]]+DATA[[#This Row],[CONDICION DE PAGO]]</f>
        <v>45864</v>
      </c>
      <c r="AE864" s="23">
        <f>IF(DATA[[#This Row],[MONEDA]]="USD",VLOOKUP(DATA[[#This Row],[COMBINADA]],#REF!,11,0),1)</f>
        <v>1</v>
      </c>
      <c r="AF864" s="129" t="str">
        <f>IF(DATA[[#This Row],[SERIE2]]="-","NO CORRESPONDE",IF(W864="NO CORRESPONDE","NO CORRESPONDE",IF(Z864&gt;0,"FACTURADO","PENDIENTE")))</f>
        <v>FACTURADO</v>
      </c>
      <c r="AG864" s="133">
        <f>IFERROR(VLOOKUP(DATA[[#This Row],[COMBINADA]],#REF!,6,0),0)</f>
        <v>0</v>
      </c>
      <c r="AH864" s="125">
        <f>IFERROR(VLOOKUP(DATA[[#This Row],[COMBINADA]],#REF!,9,0),0)/COUNTIFS(DATA[COMBINADA],DATA[[#This Row],[COMBINADA]])</f>
        <v>0</v>
      </c>
      <c r="AI864" s="136">
        <f>IFERROR(VLOOKUP(DATA[[#This Row],[COMBINADA]],#REF!,6,0),0)</f>
        <v>0</v>
      </c>
      <c r="AJ864" s="132">
        <f>IFERROR(VLOOKUP(DATA[[#This Row],[COMBINADA]],#REF!,9,0),0)/COUNTIFS(DATA[COMBINADA],DATA[[#This Row],[COMBINADA]])</f>
        <v>0</v>
      </c>
      <c r="AK864" s="408">
        <f>IFERROR(VLOOKUP(DATA[[#This Row],[COMBINADA]],#REF!,6,0),0)</f>
        <v>0</v>
      </c>
      <c r="AL864" s="125">
        <f>IFERROR(VLOOKUP(DATA[[#This Row],[COMBINADA]],#REF!,9,0),0)/COUNTIFS(DATA[COMBINADA],DATA[[#This Row],[COMBINADA]])</f>
        <v>0</v>
      </c>
      <c r="AM864" s="27">
        <f>IFERROR(VLOOKUP(DATA[[#This Row],[COMBINADA]],#REF!,6,0),0)</f>
        <v>0</v>
      </c>
      <c r="AN864" s="125">
        <f>IFERROR(VLOOKUP(DATA[[#This Row],[COMBINADA]],#REF!,9,0),0)/COUNTIFS(DATA[COMBINADA],DATA[[#This Row],[COMBINADA]])</f>
        <v>0</v>
      </c>
      <c r="AO864" s="27">
        <f>IFERROR(VLOOKUP(DATA[[#This Row],[COMBINADA]],#REF!,6,0),0)</f>
        <v>0</v>
      </c>
      <c r="AP864" s="132">
        <f>IFERROR(VLOOKUP(DATA[[#This Row],[COMBINADA]],#REF!,9,0),0)/COUNTIFS(DATA[COMBINADA],DATA[[#This Row],[COMBINADA]])</f>
        <v>0</v>
      </c>
      <c r="AQ86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791.11</v>
      </c>
      <c r="AR864" s="26" t="str">
        <f>IFERROR(IF(DATA[[#This Row],[estado_fact]]="FACTURADO",VLOOKUP(DATA[[#This Row],[SERIE2]]&amp;"-"&amp;DATA[[#This Row],[NUMERO]],#REF!,34,0),"NO CORRESPONDE"),"NO CORRESPONDE")</f>
        <v>NO CORRESPONDE</v>
      </c>
      <c r="AS864" s="22" t="str">
        <f>IF(DATA[[#This Row],[fecha_fs]]&gt;0,TEXT(DATA[[#This Row],[fecha_fs]],"Mmmm"),0)</f>
        <v>Junio</v>
      </c>
      <c r="AT864" s="22" t="str">
        <f>DATA[[#This Row],[SERIE2]]&amp;"-"&amp;DATA[[#This Row],[NUMERO]]</f>
        <v>FF01-176</v>
      </c>
      <c r="AU864" s="28">
        <f>DATA[[#This Row],[TOTAL]]*DATA[[#This Row],[T.C.]]</f>
        <v>791.11</v>
      </c>
      <c r="AV864" s="6">
        <f>DATA[[#This Row],[FECHA DE VAL.]]</f>
        <v>45838</v>
      </c>
      <c r="AW864" s="6">
        <f>DATA[[#This Row],[FECHA DE EMISION]]</f>
        <v>45849</v>
      </c>
      <c r="AX864" s="6">
        <f>DATA[[#This Row],[F1]]</f>
        <v>0</v>
      </c>
      <c r="AY864" s="20">
        <f>IF(AV864-DATA[[#This Row],[fecha_fs]]&lt;0,0,AV864-DATA[[#This Row],[fecha_fs]])</f>
        <v>0</v>
      </c>
      <c r="AZ864" s="20">
        <f t="shared" si="89"/>
        <v>11</v>
      </c>
      <c r="BA864" s="20">
        <f t="shared" si="90"/>
        <v>0</v>
      </c>
      <c r="BB864" s="195">
        <f>IFERROR(SUM(DATA[[#This Row],[fs_val_ttf]:[fact_pago_ttf]]),0)</f>
        <v>11</v>
      </c>
      <c r="BC864" s="185">
        <v>45841</v>
      </c>
      <c r="BD864" s="185">
        <v>45852</v>
      </c>
      <c r="BE864" s="185">
        <v>45852</v>
      </c>
      <c r="BF864" s="185">
        <v>45862</v>
      </c>
      <c r="BG864" s="20">
        <f>IFERROR(IF(BC864-DATA[[#This Row],[fecha_fs]]&lt;0,0,BC864-DATA[[#This Row],[fecha_fs]]),0)</f>
        <v>3</v>
      </c>
      <c r="BH864" s="20">
        <f t="shared" si="92"/>
        <v>11</v>
      </c>
      <c r="BI864" s="20">
        <f t="shared" si="93"/>
        <v>0</v>
      </c>
      <c r="BJ864" s="20">
        <f t="shared" si="94"/>
        <v>10</v>
      </c>
      <c r="BK864" s="218">
        <f>IFERROR(SUM(DATA[[#This Row],[fs_fd_ttd]:[fend_fenf_ttd]]),0)</f>
        <v>24</v>
      </c>
      <c r="BL864" s="20" t="str">
        <f>IF(DATA[[#This Row],[fecha_fs]]&gt;0,TEXT(DATA[[#This Row],[fecha_fs]],"YYYY"),0)</f>
        <v>2025</v>
      </c>
      <c r="BM864" s="221" t="b">
        <v>0</v>
      </c>
      <c r="BN864" s="278">
        <f>COUNTIF(DATA[[#This Row],[tiempo_td]], "&lt;=15")</f>
        <v>0</v>
      </c>
      <c r="BO864" s="222"/>
    </row>
    <row r="865" spans="1:67" ht="30.6" customHeight="1" x14ac:dyDescent="0.25">
      <c r="A865" s="4">
        <v>20100192064</v>
      </c>
      <c r="B865" s="5" t="s">
        <v>60</v>
      </c>
      <c r="C865" s="52" t="s">
        <v>43</v>
      </c>
      <c r="D865" s="4" t="s">
        <v>112</v>
      </c>
      <c r="E865" s="5" t="s">
        <v>1</v>
      </c>
      <c r="F865" s="24">
        <v>45839</v>
      </c>
      <c r="G865" s="7" t="s">
        <v>113</v>
      </c>
      <c r="H865" s="25">
        <f t="shared" si="88"/>
        <v>1</v>
      </c>
      <c r="I865" s="67">
        <v>4699</v>
      </c>
      <c r="J865" s="8" t="s">
        <v>115</v>
      </c>
      <c r="K865" s="9" t="s">
        <v>116</v>
      </c>
      <c r="L865" s="10" t="s">
        <v>117</v>
      </c>
      <c r="M865" s="11">
        <v>1540</v>
      </c>
      <c r="N865" s="12" t="s">
        <v>167</v>
      </c>
      <c r="O865" s="6">
        <v>45863</v>
      </c>
      <c r="P865" s="71">
        <v>3559</v>
      </c>
      <c r="Q865" s="14" t="s">
        <v>123</v>
      </c>
      <c r="R865" s="15">
        <f>(DATA[[#This Row],[cantidad_fs]]/1000)*(143+175.34)</f>
        <v>490.24360000000007</v>
      </c>
      <c r="S865" s="15">
        <v>137</v>
      </c>
      <c r="T865" s="15">
        <f>DATA[[#This Row],[C. DF]]+DATA[[#This Row],[C.OPE.]]</f>
        <v>627.24360000000001</v>
      </c>
      <c r="U865" s="15">
        <f>DATA[[#This Row],[SUB TOTAL]]*0.18</f>
        <v>112.903848</v>
      </c>
      <c r="V865" s="15">
        <f>IFERROR(ROUND(DATA[[#This Row],[SUB TOTAL]]+DATA[[#This Row],[IGV]],2),0)</f>
        <v>740.15</v>
      </c>
      <c r="W865" s="16" t="str">
        <f>IF(DATA[[#This Row],[VALORIZACIÓN ]]="-","NO CORRESPONDE",IF(OR(A865=20558226979,A865=10470707866,A865=20111157058,A865=20100226902),"NO CORRESPONDE",IF(J865="Emitida",IF(P865&gt;0,"EMITIDA","PENDIENTE"),"NO CORRESPONDE")))</f>
        <v>EMITIDA</v>
      </c>
      <c r="X865" s="29"/>
      <c r="Y865" s="17" t="s">
        <v>118</v>
      </c>
      <c r="Z865" s="30">
        <v>45869</v>
      </c>
      <c r="AA865" s="10" t="s">
        <v>150</v>
      </c>
      <c r="AB865" s="19">
        <v>189</v>
      </c>
      <c r="AC865" s="20">
        <v>30</v>
      </c>
      <c r="AD865" s="18">
        <f>DATA[[#This Row],[FECHA DE EMISION]]+DATA[[#This Row],[CONDICION DE PAGO]]</f>
        <v>45899</v>
      </c>
      <c r="AE865" s="23" t="e">
        <f>IF(DATA[[#This Row],[MONEDA]]="USD",VLOOKUP(DATA[[#This Row],[COMBINADA]],#REF!,11,0),1)</f>
        <v>#REF!</v>
      </c>
      <c r="AF865" s="39" t="str">
        <f>IF(DATA[[#This Row],[SERIE2]]="-","NO CORRESPONDE",IF(W865="NO CORRESPONDE","NO CORRESPONDE",IF(Z865&gt;0,"FACTURADO","PENDIENTE")))</f>
        <v>FACTURADO</v>
      </c>
      <c r="AG865" s="133">
        <f>IFERROR(VLOOKUP(DATA[[#This Row],[COMBINADA]],#REF!,6,0),0)</f>
        <v>0</v>
      </c>
      <c r="AH865" s="125">
        <f>IFERROR(VLOOKUP(DATA[[#This Row],[COMBINADA]],#REF!,9,0),0)/COUNTIFS(DATA[COMBINADA],DATA[[#This Row],[COMBINADA]])</f>
        <v>0</v>
      </c>
      <c r="AI865" s="136">
        <f>IFERROR(VLOOKUP(DATA[[#This Row],[COMBINADA]],#REF!,6,0),0)</f>
        <v>0</v>
      </c>
      <c r="AJ865" s="132">
        <f>IFERROR(VLOOKUP(DATA[[#This Row],[COMBINADA]],#REF!,9,0),0)/COUNTIFS(DATA[COMBINADA],DATA[[#This Row],[COMBINADA]])</f>
        <v>0</v>
      </c>
      <c r="AK865" s="408">
        <f>IFERROR(VLOOKUP(DATA[[#This Row],[COMBINADA]],#REF!,6,0),0)</f>
        <v>0</v>
      </c>
      <c r="AL865" s="125">
        <f>IFERROR(VLOOKUP(DATA[[#This Row],[COMBINADA]],#REF!,9,0),0)/COUNTIFS(DATA[COMBINADA],DATA[[#This Row],[COMBINADA]])</f>
        <v>0</v>
      </c>
      <c r="AM865" s="27">
        <f>IFERROR(VLOOKUP(DATA[[#This Row],[COMBINADA]],#REF!,6,0),0)</f>
        <v>0</v>
      </c>
      <c r="AN865" s="125">
        <f>IFERROR(VLOOKUP(DATA[[#This Row],[COMBINADA]],#REF!,9,0),0)/COUNTIFS(DATA[COMBINADA],DATA[[#This Row],[COMBINADA]])</f>
        <v>0</v>
      </c>
      <c r="AO865" s="27">
        <f>IFERROR(VLOOKUP(DATA[[#This Row],[COMBINADA]],#REF!,6,0),0)</f>
        <v>0</v>
      </c>
      <c r="AP865" s="132">
        <f>IFERROR(VLOOKUP(DATA[[#This Row],[COMBINADA]],#REF!,9,0),0)/COUNTIFS(DATA[COMBINADA],DATA[[#This Row],[COMBINADA]])</f>
        <v>0</v>
      </c>
      <c r="AQ86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799.26461538461524</v>
      </c>
      <c r="AR865" s="26" t="str">
        <f>IFERROR(IF(DATA[[#This Row],[estado_fact]]="FACTURADO",VLOOKUP(DATA[[#This Row],[SERIE2]]&amp;"-"&amp;DATA[[#This Row],[NUMERO]],#REF!,34,0),"NO CORRESPONDE"),"NO CORRESPONDE")</f>
        <v>NO CORRESPONDE</v>
      </c>
      <c r="AS865" s="22" t="str">
        <f>IF(DATA[[#This Row],[fecha_fs]]&gt;0,TEXT(DATA[[#This Row],[fecha_fs]],"Mmmm"),0)</f>
        <v>Julio</v>
      </c>
      <c r="AT865" s="22" t="str">
        <f>DATA[[#This Row],[SERIE2]]&amp;"-"&amp;DATA[[#This Row],[NUMERO]]</f>
        <v>FF01-189</v>
      </c>
      <c r="AU865" s="28" t="e">
        <f>DATA[[#This Row],[TOTAL]]*DATA[[#This Row],[T.C.]]</f>
        <v>#REF!</v>
      </c>
      <c r="AV865" s="6">
        <f>DATA[[#This Row],[FECHA DE VAL.]]</f>
        <v>45863</v>
      </c>
      <c r="AW865" s="6">
        <f>DATA[[#This Row],[FECHA DE EMISION]]</f>
        <v>45869</v>
      </c>
      <c r="AX865" s="6">
        <f>DATA[[#This Row],[F1]]</f>
        <v>0</v>
      </c>
      <c r="AY865" s="20">
        <f>IF(AV865-DATA[[#This Row],[fecha_fs]]&lt;0,0,AV865-DATA[[#This Row],[fecha_fs]])</f>
        <v>24</v>
      </c>
      <c r="AZ865" s="20">
        <f t="shared" si="89"/>
        <v>6</v>
      </c>
      <c r="BA865" s="20">
        <f t="shared" si="90"/>
        <v>0</v>
      </c>
      <c r="BB865" s="195">
        <f>IFERROR(SUM(DATA[[#This Row],[fs_val_ttf]:[fact_pago_ttf]]),0)</f>
        <v>30</v>
      </c>
      <c r="BC865" s="185">
        <v>45852</v>
      </c>
      <c r="BD865" s="185">
        <v>45869</v>
      </c>
      <c r="BE865" s="185">
        <v>45870</v>
      </c>
      <c r="BF865" s="185">
        <v>45909</v>
      </c>
      <c r="BG865" s="20">
        <f>IFERROR(IF(BC865-DATA[[#This Row],[fecha_fs]]&lt;0,0,BC865-DATA[[#This Row],[fecha_fs]]),0)</f>
        <v>13</v>
      </c>
      <c r="BH865" s="20">
        <f t="shared" si="92"/>
        <v>17</v>
      </c>
      <c r="BI865" s="20">
        <f t="shared" si="93"/>
        <v>1</v>
      </c>
      <c r="BJ865" s="20">
        <f t="shared" si="94"/>
        <v>39</v>
      </c>
      <c r="BK865" s="218">
        <f>IFERROR(SUM(DATA[[#This Row],[fs_fd_ttd]:[fend_fenf_ttd]]),0)</f>
        <v>70</v>
      </c>
      <c r="BL865" s="20" t="str">
        <f>IF(DATA[[#This Row],[fecha_fs]]&gt;0,TEXT(DATA[[#This Row],[fecha_fs]],"YYYY"),0)</f>
        <v>2025</v>
      </c>
      <c r="BM865" s="221" t="b">
        <v>1</v>
      </c>
      <c r="BN865" s="278">
        <f>COUNTIF(DATA[[#This Row],[tiempo_td]], "&lt;=15")</f>
        <v>0</v>
      </c>
      <c r="BO865" s="222"/>
    </row>
    <row r="866" spans="1:67" ht="36.75" customHeight="1" x14ac:dyDescent="0.25">
      <c r="A866" s="4">
        <v>20548863571</v>
      </c>
      <c r="B866" s="5" t="s">
        <v>276</v>
      </c>
      <c r="C866" s="52" t="s">
        <v>269</v>
      </c>
      <c r="D866" s="4" t="s">
        <v>112</v>
      </c>
      <c r="E866" s="5" t="s">
        <v>1</v>
      </c>
      <c r="F866" s="24">
        <v>45838</v>
      </c>
      <c r="G866" s="7" t="s">
        <v>113</v>
      </c>
      <c r="H866" s="25">
        <f t="shared" si="88"/>
        <v>1</v>
      </c>
      <c r="I866" s="67">
        <v>4700</v>
      </c>
      <c r="J866" s="8" t="s">
        <v>115</v>
      </c>
      <c r="K866" s="9" t="s">
        <v>116</v>
      </c>
      <c r="L866" s="10" t="s">
        <v>117</v>
      </c>
      <c r="M866" s="11">
        <v>1182</v>
      </c>
      <c r="N866" s="12" t="s">
        <v>125</v>
      </c>
      <c r="O866" s="6">
        <v>45838</v>
      </c>
      <c r="P866" s="13">
        <v>3535</v>
      </c>
      <c r="Q866" s="14" t="s">
        <v>85</v>
      </c>
      <c r="R866" s="15">
        <f>DATA[[#This Row],[cantidad_fs]]*0.45</f>
        <v>531.9</v>
      </c>
      <c r="S866" s="15">
        <v>2415.88</v>
      </c>
      <c r="T866" s="15">
        <f>DATA[[#This Row],[C. DF]]+DATA[[#This Row],[C.OPE.]]</f>
        <v>2947.78</v>
      </c>
      <c r="U866" s="15">
        <f>DATA[[#This Row],[SUB TOTAL]]*0.18</f>
        <v>530.60040000000004</v>
      </c>
      <c r="V866" s="15">
        <f>IFERROR(ROUND(DATA[[#This Row],[SUB TOTAL]]+DATA[[#This Row],[IGV]],2),0)</f>
        <v>3478.38</v>
      </c>
      <c r="W866" s="16" t="str">
        <f>IF(DATA[[#This Row],[VALORIZACIÓN ]]="-","NO CORRESPONDE",IF(OR(A866=20558226979,A866=10470707866,A866=20111157058,A866=20100226902),"NO CORRESPONDE",IF(J866="Emitida",IF(P866&gt;0,"EMITIDA","PENDIENTE"),"NO CORRESPONDE")))</f>
        <v>EMITIDA</v>
      </c>
      <c r="X866" s="29"/>
      <c r="Y866" s="17" t="s">
        <v>118</v>
      </c>
      <c r="Z866" s="30">
        <v>45849</v>
      </c>
      <c r="AA866" s="10" t="s">
        <v>150</v>
      </c>
      <c r="AB866" s="19">
        <v>174</v>
      </c>
      <c r="AC866" s="20">
        <v>0</v>
      </c>
      <c r="AD866" s="18">
        <f>DATA[[#This Row],[FECHA DE EMISION]]+DATA[[#This Row],[CONDICION DE PAGO]]</f>
        <v>45849</v>
      </c>
      <c r="AE866" s="23">
        <f>IF(DATA[[#This Row],[MONEDA]]="USD",VLOOKUP(DATA[[#This Row],[COMBINADA]],#REF!,11,0),1)</f>
        <v>1</v>
      </c>
      <c r="AF866" s="129" t="str">
        <f>IF(DATA[[#This Row],[SERIE2]]="-","NO CORRESPONDE",IF(W866="NO CORRESPONDE","NO CORRESPONDE",IF(Z866&gt;0,"FACTURADO","PENDIENTE")))</f>
        <v>FACTURADO</v>
      </c>
      <c r="AG866" s="133">
        <f>IFERROR(VLOOKUP(DATA[[#This Row],[COMBINADA]],#REF!,6,0),0)</f>
        <v>0</v>
      </c>
      <c r="AH866" s="125">
        <f>IFERROR(VLOOKUP(DATA[[#This Row],[COMBINADA]],#REF!,9,0),0)/COUNTIFS(DATA[COMBINADA],DATA[[#This Row],[COMBINADA]])</f>
        <v>0</v>
      </c>
      <c r="AI866" s="136">
        <f>IFERROR(VLOOKUP(DATA[[#This Row],[COMBINADA]],#REF!,6,0),0)</f>
        <v>0</v>
      </c>
      <c r="AJ866" s="132">
        <f>IFERROR(VLOOKUP(DATA[[#This Row],[COMBINADA]],#REF!,9,0),0)/COUNTIFS(DATA[COMBINADA],DATA[[#This Row],[COMBINADA]])</f>
        <v>0</v>
      </c>
      <c r="AK866" s="408">
        <f>IFERROR(VLOOKUP(DATA[[#This Row],[COMBINADA]],#REF!,6,0),0)</f>
        <v>0</v>
      </c>
      <c r="AL866" s="125">
        <f>IFERROR(VLOOKUP(DATA[[#This Row],[COMBINADA]],#REF!,9,0),0)/COUNTIFS(DATA[COMBINADA],DATA[[#This Row],[COMBINADA]])</f>
        <v>0</v>
      </c>
      <c r="AM866" s="27">
        <f>IFERROR(VLOOKUP(DATA[[#This Row],[COMBINADA]],#REF!,6,0),0)</f>
        <v>0</v>
      </c>
      <c r="AN866" s="125">
        <f>IFERROR(VLOOKUP(DATA[[#This Row],[COMBINADA]],#REF!,9,0),0)/COUNTIFS(DATA[COMBINADA],DATA[[#This Row],[COMBINADA]])</f>
        <v>0</v>
      </c>
      <c r="AO866" s="27">
        <f>IFERROR(VLOOKUP(DATA[[#This Row],[COMBINADA]],#REF!,6,0),0)</f>
        <v>0</v>
      </c>
      <c r="AP866" s="132">
        <f>IFERROR(VLOOKUP(DATA[[#This Row],[COMBINADA]],#REF!,9,0),0)/COUNTIFS(DATA[COMBINADA],DATA[[#This Row],[COMBINADA]])</f>
        <v>0</v>
      </c>
      <c r="AQ86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3478.38</v>
      </c>
      <c r="AR866" s="26" t="str">
        <f>IFERROR(IF(DATA[[#This Row],[estado_fact]]="FACTURADO",VLOOKUP(DATA[[#This Row],[SERIE2]]&amp;"-"&amp;DATA[[#This Row],[NUMERO]],#REF!,34,0),"NO CORRESPONDE"),"NO CORRESPONDE")</f>
        <v>NO CORRESPONDE</v>
      </c>
      <c r="AS866" s="22" t="str">
        <f>IF(DATA[[#This Row],[fecha_fs]]&gt;0,TEXT(DATA[[#This Row],[fecha_fs]],"Mmmm"),0)</f>
        <v>Junio</v>
      </c>
      <c r="AT866" s="22" t="str">
        <f>DATA[[#This Row],[SERIE2]]&amp;"-"&amp;DATA[[#This Row],[NUMERO]]</f>
        <v>FF01-174</v>
      </c>
      <c r="AU866" s="28">
        <f>DATA[[#This Row],[TOTAL]]*DATA[[#This Row],[T.C.]]</f>
        <v>3478.38</v>
      </c>
      <c r="AV866" s="6">
        <f>DATA[[#This Row],[FECHA DE VAL.]]</f>
        <v>45838</v>
      </c>
      <c r="AW866" s="6">
        <f>DATA[[#This Row],[FECHA DE EMISION]]</f>
        <v>45849</v>
      </c>
      <c r="AX866" s="6">
        <f>DATA[[#This Row],[F1]]</f>
        <v>0</v>
      </c>
      <c r="AY866" s="20">
        <f>IF(AV866-DATA[[#This Row],[fecha_fs]]&lt;0,0,AV866-DATA[[#This Row],[fecha_fs]])</f>
        <v>0</v>
      </c>
      <c r="AZ866" s="20">
        <f t="shared" si="89"/>
        <v>11</v>
      </c>
      <c r="BA866" s="20">
        <f t="shared" si="90"/>
        <v>0</v>
      </c>
      <c r="BB866" s="195">
        <f>IFERROR(SUM(DATA[[#This Row],[fs_val_ttf]:[fact_pago_ttf]]),0)</f>
        <v>11</v>
      </c>
      <c r="BC866" s="185">
        <v>45838</v>
      </c>
      <c r="BD866" s="185">
        <v>45845</v>
      </c>
      <c r="BE866" s="185">
        <v>45849</v>
      </c>
      <c r="BF866" s="185">
        <v>45862</v>
      </c>
      <c r="BG866" s="20">
        <f>IFERROR(IF(BC866-DATA[[#This Row],[fecha_fs]]&lt;0,0,BC866-DATA[[#This Row],[fecha_fs]]),0)</f>
        <v>0</v>
      </c>
      <c r="BH866" s="20">
        <f t="shared" si="92"/>
        <v>7</v>
      </c>
      <c r="BI866" s="20">
        <f t="shared" si="93"/>
        <v>4</v>
      </c>
      <c r="BJ866" s="20">
        <f t="shared" si="94"/>
        <v>13</v>
      </c>
      <c r="BK866" s="218">
        <f>IFERROR(SUM(DATA[[#This Row],[fs_fd_ttd]:[fend_fenf_ttd]]),0)</f>
        <v>24</v>
      </c>
      <c r="BL866" s="20" t="str">
        <f>IF(DATA[[#This Row],[fecha_fs]]&gt;0,TEXT(DATA[[#This Row],[fecha_fs]],"YYYY"),0)</f>
        <v>2025</v>
      </c>
      <c r="BM866" s="221" t="b">
        <v>1</v>
      </c>
      <c r="BN866" s="278">
        <f>COUNTIF(DATA[[#This Row],[tiempo_td]], "&lt;=15")</f>
        <v>0</v>
      </c>
      <c r="BO866" s="222"/>
    </row>
    <row r="867" spans="1:67" ht="30.6" customHeight="1" x14ac:dyDescent="0.25">
      <c r="A867" s="4">
        <v>20419158462</v>
      </c>
      <c r="B867" s="5" t="s">
        <v>2</v>
      </c>
      <c r="C867" s="52" t="s">
        <v>147</v>
      </c>
      <c r="D867" s="4" t="s">
        <v>120</v>
      </c>
      <c r="E867" s="5" t="s">
        <v>3</v>
      </c>
      <c r="F867" s="24">
        <v>45839</v>
      </c>
      <c r="G867" s="7" t="s">
        <v>113</v>
      </c>
      <c r="H867" s="25">
        <f t="shared" si="88"/>
        <v>1</v>
      </c>
      <c r="I867" s="67">
        <v>4701</v>
      </c>
      <c r="J867" s="8" t="s">
        <v>115</v>
      </c>
      <c r="K867" s="9" t="s">
        <v>121</v>
      </c>
      <c r="L867" s="10" t="s">
        <v>117</v>
      </c>
      <c r="M867" s="11">
        <v>3500</v>
      </c>
      <c r="N867" s="12" t="s">
        <v>129</v>
      </c>
      <c r="O867" s="6">
        <v>45840</v>
      </c>
      <c r="P867" s="13">
        <v>3539</v>
      </c>
      <c r="Q867" s="14" t="s">
        <v>85</v>
      </c>
      <c r="R867" s="15">
        <f>DATA[[#This Row],[cantidad_fs]]*0.67</f>
        <v>2345</v>
      </c>
      <c r="S867" s="15">
        <v>839.7</v>
      </c>
      <c r="T867" s="15">
        <f>DATA[[#This Row],[C. DF]]+DATA[[#This Row],[C.OPE.]]</f>
        <v>3184.7</v>
      </c>
      <c r="U867" s="15">
        <f>DATA[[#This Row],[SUB TOTAL]]*0.18</f>
        <v>573.24599999999998</v>
      </c>
      <c r="V867" s="15">
        <f>IFERROR(ROUND(DATA[[#This Row],[SUB TOTAL]]+DATA[[#This Row],[IGV]],2),0)</f>
        <v>3757.95</v>
      </c>
      <c r="W867" s="16" t="str">
        <f>IF(DATA[[#This Row],[VALORIZACIÓN ]]="-","NO CORRESPONDE",IF(OR(A867=20558226979,A867=10470707866,A867=20111157058,A867=20100226902),"NO CORRESPONDE",IF(J867="Emitida",IF(P867&gt;0,"EMITIDA","PENDIENTE"),"NO CORRESPONDE")))</f>
        <v>EMITIDA</v>
      </c>
      <c r="X867" s="29"/>
      <c r="Y867" s="17" t="s">
        <v>232</v>
      </c>
      <c r="Z867" s="30"/>
      <c r="AA867" s="10"/>
      <c r="AB867" s="19"/>
      <c r="AC867" s="20"/>
      <c r="AD867" s="18">
        <f>DATA[[#This Row],[FECHA DE EMISION]]+DATA[[#This Row],[CONDICION DE PAGO]]</f>
        <v>0</v>
      </c>
      <c r="AE867" s="23">
        <f>IF(DATA[[#This Row],[MONEDA]]="USD",VLOOKUP(DATA[[#This Row],[COMBINADA]],#REF!,11,0),1)</f>
        <v>1</v>
      </c>
      <c r="AF867" s="129" t="str">
        <f>IF(DATA[[#This Row],[SERIE2]]="-","NO CORRESPONDE",IF(W867="NO CORRESPONDE","NO CORRESPONDE",IF(Z867&gt;0,"FACTURADO","PENDIENTE")))</f>
        <v>PENDIENTE</v>
      </c>
      <c r="AG867" s="133">
        <f>IFERROR(VLOOKUP(DATA[[#This Row],[COMBINADA]],#REF!,6,0),0)</f>
        <v>0</v>
      </c>
      <c r="AH867" s="125">
        <f>IFERROR(VLOOKUP(DATA[[#This Row],[COMBINADA]],#REF!,9,0),0)/COUNTIFS(DATA[COMBINADA],DATA[[#This Row],[COMBINADA]])</f>
        <v>0</v>
      </c>
      <c r="AI867" s="136">
        <f>IFERROR(VLOOKUP(DATA[[#This Row],[COMBINADA]],#REF!,6,0),0)</f>
        <v>0</v>
      </c>
      <c r="AJ867" s="132">
        <f>IFERROR(VLOOKUP(DATA[[#This Row],[COMBINADA]],#REF!,9,0),0)/COUNTIFS(DATA[COMBINADA],DATA[[#This Row],[COMBINADA]])</f>
        <v>0</v>
      </c>
      <c r="AK867" s="408">
        <f>IFERROR(VLOOKUP(DATA[[#This Row],[COMBINADA]],#REF!,6,0),0)</f>
        <v>0</v>
      </c>
      <c r="AL867" s="125">
        <f>IFERROR(VLOOKUP(DATA[[#This Row],[COMBINADA]],#REF!,9,0),0)/COUNTIFS(DATA[COMBINADA],DATA[[#This Row],[COMBINADA]])</f>
        <v>0</v>
      </c>
      <c r="AM867" s="27">
        <f>IFERROR(VLOOKUP(DATA[[#This Row],[COMBINADA]],#REF!,6,0),0)</f>
        <v>0</v>
      </c>
      <c r="AN867" s="125">
        <f>IFERROR(VLOOKUP(DATA[[#This Row],[COMBINADA]],#REF!,9,0),0)/COUNTIFS(DATA[COMBINADA],DATA[[#This Row],[COMBINADA]])</f>
        <v>0</v>
      </c>
      <c r="AO867" s="27">
        <f>IFERROR(VLOOKUP(DATA[[#This Row],[COMBINADA]],#REF!,6,0),0)</f>
        <v>0</v>
      </c>
      <c r="AP867" s="132">
        <f>IFERROR(VLOOKUP(DATA[[#This Row],[COMBINADA]],#REF!,9,0),0)/COUNTIFS(DATA[COMBINADA],DATA[[#This Row],[COMBINADA]])</f>
        <v>0</v>
      </c>
      <c r="AQ86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867" s="26" t="str">
        <f>IFERROR(IF(DATA[[#This Row],[estado_fact]]="FACTURADO",VLOOKUP(DATA[[#This Row],[SERIE2]]&amp;"-"&amp;DATA[[#This Row],[NUMERO]],#REF!,34,0),"NO CORRESPONDE"),"NO CORRESPONDE")</f>
        <v>NO CORRESPONDE</v>
      </c>
      <c r="AS867" s="22" t="str">
        <f>IF(DATA[[#This Row],[fecha_fs]]&gt;0,TEXT(DATA[[#This Row],[fecha_fs]],"Mmmm"),0)</f>
        <v>Julio</v>
      </c>
      <c r="AT867" s="22" t="str">
        <f>DATA[[#This Row],[SERIE2]]&amp;"-"&amp;DATA[[#This Row],[NUMERO]]</f>
        <v>-</v>
      </c>
      <c r="AU867" s="28">
        <f>DATA[[#This Row],[TOTAL]]*DATA[[#This Row],[T.C.]]</f>
        <v>3757.95</v>
      </c>
      <c r="AV867" s="6">
        <f>DATA[[#This Row],[FECHA DE VAL.]]</f>
        <v>45840</v>
      </c>
      <c r="AW867" s="6">
        <f>DATA[[#This Row],[FECHA DE EMISION]]</f>
        <v>0</v>
      </c>
      <c r="AX867" s="6">
        <f>DATA[[#This Row],[F1]]</f>
        <v>0</v>
      </c>
      <c r="AY867" s="20">
        <f>IF(AV867-DATA[[#This Row],[fecha_fs]]&lt;0,0,AV867-DATA[[#This Row],[fecha_fs]])</f>
        <v>1</v>
      </c>
      <c r="AZ867" s="20">
        <f t="shared" si="89"/>
        <v>0</v>
      </c>
      <c r="BA867" s="20">
        <f t="shared" si="90"/>
        <v>0</v>
      </c>
      <c r="BB867" s="195">
        <f>IFERROR(SUM(DATA[[#This Row],[fs_val_ttf]:[fact_pago_ttf]]),0)</f>
        <v>1</v>
      </c>
      <c r="BC867" s="185">
        <v>45839</v>
      </c>
      <c r="BD867" s="185">
        <v>45839</v>
      </c>
      <c r="BE867" s="185">
        <v>45854</v>
      </c>
      <c r="BF867" s="185">
        <v>45854</v>
      </c>
      <c r="BG867" s="20">
        <f>IFERROR(IF(BC867-DATA[[#This Row],[fecha_fs]]&lt;0,0,BC867-DATA[[#This Row],[fecha_fs]]),0)</f>
        <v>0</v>
      </c>
      <c r="BH867" s="20">
        <f t="shared" si="92"/>
        <v>0</v>
      </c>
      <c r="BI867" s="20">
        <f t="shared" si="93"/>
        <v>15</v>
      </c>
      <c r="BJ867" s="20">
        <f t="shared" si="94"/>
        <v>0</v>
      </c>
      <c r="BK867" s="218">
        <f>IFERROR(SUM(DATA[[#This Row],[fs_fd_ttd]:[fend_fenf_ttd]]),0)</f>
        <v>15</v>
      </c>
      <c r="BL867" s="20" t="str">
        <f>IF(DATA[[#This Row],[fecha_fs]]&gt;0,TEXT(DATA[[#This Row],[fecha_fs]],"YYYY"),0)</f>
        <v>2025</v>
      </c>
      <c r="BM867" s="221" t="b">
        <v>1</v>
      </c>
      <c r="BN867" s="278">
        <f>COUNTIF(DATA[[#This Row],[tiempo_td]], "&lt;=15")</f>
        <v>1</v>
      </c>
      <c r="BO867" s="222"/>
    </row>
    <row r="868" spans="1:67" ht="30.6" customHeight="1" x14ac:dyDescent="0.25">
      <c r="A868" s="4">
        <v>20100055237</v>
      </c>
      <c r="B868" s="5" t="s">
        <v>21</v>
      </c>
      <c r="C868" s="52" t="s">
        <v>138</v>
      </c>
      <c r="D868" s="4" t="s">
        <v>139</v>
      </c>
      <c r="E868" s="5" t="s">
        <v>23</v>
      </c>
      <c r="F868" s="24">
        <v>45839</v>
      </c>
      <c r="G868" s="7" t="s">
        <v>113</v>
      </c>
      <c r="H868" s="25">
        <f t="shared" si="88"/>
        <v>1</v>
      </c>
      <c r="I868" s="67">
        <v>4702</v>
      </c>
      <c r="J868" s="8" t="s">
        <v>115</v>
      </c>
      <c r="K868" s="9" t="s">
        <v>121</v>
      </c>
      <c r="L868" s="10" t="s">
        <v>117</v>
      </c>
      <c r="M868" s="11">
        <v>120</v>
      </c>
      <c r="N868" s="12" t="s">
        <v>132</v>
      </c>
      <c r="O868" s="6">
        <v>45869</v>
      </c>
      <c r="P868" s="54">
        <v>3582</v>
      </c>
      <c r="Q868" s="14" t="s">
        <v>85</v>
      </c>
      <c r="R868" s="15"/>
      <c r="S868" s="15">
        <v>297.92</v>
      </c>
      <c r="T868" s="15">
        <f>DATA[[#This Row],[C. DF]]+DATA[[#This Row],[C.OPE.]]</f>
        <v>297.92</v>
      </c>
      <c r="U868" s="15">
        <f>DATA[[#This Row],[SUB TOTAL]]*0.18</f>
        <v>53.625599999999999</v>
      </c>
      <c r="V868" s="15">
        <f>IFERROR(ROUND(DATA[[#This Row],[SUB TOTAL]]+DATA[[#This Row],[IGV]],2),0)</f>
        <v>351.55</v>
      </c>
      <c r="W868" s="16" t="str">
        <f>IF(DATA[[#This Row],[VALORIZACIÓN ]]="-","NO CORRESPONDE",IF(OR(A868=20558226979,A868=10470707866,A868=20111157058,A868=20100226902),"NO CORRESPONDE",IF(J868="Emitida",IF(P868&gt;0,"EMITIDA","PENDIENTE"),"NO CORRESPONDE")))</f>
        <v>EMITIDA</v>
      </c>
      <c r="X868" s="29"/>
      <c r="Y868" s="17" t="s">
        <v>118</v>
      </c>
      <c r="Z868" s="30">
        <v>45883</v>
      </c>
      <c r="AA868" s="10" t="s">
        <v>150</v>
      </c>
      <c r="AB868" s="19">
        <v>205</v>
      </c>
      <c r="AC868" s="20">
        <v>30</v>
      </c>
      <c r="AD868" s="18">
        <f>DATA[[#This Row],[FECHA DE EMISION]]+DATA[[#This Row],[CONDICION DE PAGO]]</f>
        <v>45913</v>
      </c>
      <c r="AE868" s="23">
        <f>IF(DATA[[#This Row],[MONEDA]]="USD",VLOOKUP(DATA[[#This Row],[COMBINADA]],#REF!,11,0),1)</f>
        <v>1</v>
      </c>
      <c r="AF868" s="129" t="str">
        <f>IF(DATA[[#This Row],[SERIE2]]="-","NO CORRESPONDE",IF(W868="NO CORRESPONDE","NO CORRESPONDE",IF(Z868&gt;0,"FACTURADO","PENDIENTE")))</f>
        <v>FACTURADO</v>
      </c>
      <c r="AG868" s="133">
        <f>IFERROR(VLOOKUP(DATA[[#This Row],[COMBINADA]],#REF!,6,0),0)</f>
        <v>0</v>
      </c>
      <c r="AH868" s="125">
        <f>IFERROR(VLOOKUP(DATA[[#This Row],[COMBINADA]],#REF!,9,0),0)/COUNTIFS(DATA[COMBINADA],DATA[[#This Row],[COMBINADA]])</f>
        <v>0</v>
      </c>
      <c r="AI868" s="136">
        <f>IFERROR(VLOOKUP(DATA[[#This Row],[COMBINADA]],#REF!,6,0),0)</f>
        <v>0</v>
      </c>
      <c r="AJ868" s="132">
        <f>IFERROR(VLOOKUP(DATA[[#This Row],[COMBINADA]],#REF!,9,0),0)/COUNTIFS(DATA[COMBINADA],DATA[[#This Row],[COMBINADA]])</f>
        <v>0</v>
      </c>
      <c r="AK868" s="408">
        <f>IFERROR(VLOOKUP(DATA[[#This Row],[COMBINADA]],#REF!,6,0),0)</f>
        <v>0</v>
      </c>
      <c r="AL868" s="125">
        <f>IFERROR(VLOOKUP(DATA[[#This Row],[COMBINADA]],#REF!,9,0),0)/COUNTIFS(DATA[COMBINADA],DATA[[#This Row],[COMBINADA]])</f>
        <v>0</v>
      </c>
      <c r="AM868" s="27">
        <f>IFERROR(VLOOKUP(DATA[[#This Row],[COMBINADA]],#REF!,6,0),0)</f>
        <v>0</v>
      </c>
      <c r="AN868" s="125">
        <f>IFERROR(VLOOKUP(DATA[[#This Row],[COMBINADA]],#REF!,9,0),0)/COUNTIFS(DATA[COMBINADA],DATA[[#This Row],[COMBINADA]])</f>
        <v>0</v>
      </c>
      <c r="AO868" s="27">
        <f>IFERROR(VLOOKUP(DATA[[#This Row],[COMBINADA]],#REF!,6,0),0)</f>
        <v>0</v>
      </c>
      <c r="AP868" s="132">
        <f>IFERROR(VLOOKUP(DATA[[#This Row],[COMBINADA]],#REF!,9,0),0)/COUNTIFS(DATA[COMBINADA],DATA[[#This Row],[COMBINADA]])</f>
        <v>0</v>
      </c>
      <c r="AQ86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868" s="26" t="str">
        <f>IFERROR(IF(DATA[[#This Row],[estado_fact]]="FACTURADO",VLOOKUP(DATA[[#This Row],[SERIE2]]&amp;"-"&amp;DATA[[#This Row],[NUMERO]],#REF!,34,0),"NO CORRESPONDE"),"NO CORRESPONDE")</f>
        <v>NO CORRESPONDE</v>
      </c>
      <c r="AS868" s="22" t="str">
        <f>IF(DATA[[#This Row],[fecha_fs]]&gt;0,TEXT(DATA[[#This Row],[fecha_fs]],"Mmmm"),0)</f>
        <v>Julio</v>
      </c>
      <c r="AT868" s="22" t="str">
        <f>DATA[[#This Row],[SERIE2]]&amp;"-"&amp;DATA[[#This Row],[NUMERO]]</f>
        <v>FF01-205</v>
      </c>
      <c r="AU868" s="28">
        <f>DATA[[#This Row],[TOTAL]]*DATA[[#This Row],[T.C.]]</f>
        <v>351.55</v>
      </c>
      <c r="AV868" s="6">
        <f>DATA[[#This Row],[FECHA DE VAL.]]</f>
        <v>45869</v>
      </c>
      <c r="AW868" s="6">
        <f>DATA[[#This Row],[FECHA DE EMISION]]</f>
        <v>45883</v>
      </c>
      <c r="AX868" s="6">
        <f>DATA[[#This Row],[F1]]</f>
        <v>0</v>
      </c>
      <c r="AY868" s="20">
        <f>IF(AV868-DATA[[#This Row],[fecha_fs]]&lt;0,0,AV868-DATA[[#This Row],[fecha_fs]])</f>
        <v>30</v>
      </c>
      <c r="AZ868" s="20">
        <f t="shared" si="89"/>
        <v>14</v>
      </c>
      <c r="BA868" s="20">
        <f t="shared" si="90"/>
        <v>0</v>
      </c>
      <c r="BB868" s="195">
        <f>IFERROR(SUM(DATA[[#This Row],[fs_val_ttf]:[fact_pago_ttf]]),0)</f>
        <v>44</v>
      </c>
      <c r="BC868" s="185">
        <v>45839</v>
      </c>
      <c r="BD868" s="185">
        <v>45839</v>
      </c>
      <c r="BE868" s="185">
        <v>45870</v>
      </c>
      <c r="BF868" s="185">
        <v>45870</v>
      </c>
      <c r="BG868" s="20">
        <f>IFERROR(IF(BC868-DATA[[#This Row],[fecha_fs]]&lt;0,0,BC868-DATA[[#This Row],[fecha_fs]]),0)</f>
        <v>0</v>
      </c>
      <c r="BH868" s="20">
        <f t="shared" si="92"/>
        <v>0</v>
      </c>
      <c r="BI868" s="20">
        <f t="shared" si="93"/>
        <v>31</v>
      </c>
      <c r="BJ868" s="20">
        <f t="shared" si="94"/>
        <v>0</v>
      </c>
      <c r="BK868" s="218">
        <f>IFERROR(SUM(DATA[[#This Row],[fs_fd_ttd]:[fend_fenf_ttd]]),0)</f>
        <v>31</v>
      </c>
      <c r="BL868" s="20" t="str">
        <f>IF(DATA[[#This Row],[fecha_fs]]&gt;0,TEXT(DATA[[#This Row],[fecha_fs]],"YYYY"),0)</f>
        <v>2025</v>
      </c>
      <c r="BM868" s="221" t="b">
        <v>1</v>
      </c>
      <c r="BN868" s="278">
        <f>COUNTIF(DATA[[#This Row],[tiempo_td]], "&lt;=15")</f>
        <v>0</v>
      </c>
      <c r="BO868" s="222"/>
    </row>
    <row r="869" spans="1:67" ht="30.6" customHeight="1" x14ac:dyDescent="0.25">
      <c r="A869" s="4">
        <v>20100211115</v>
      </c>
      <c r="B869" s="5" t="s">
        <v>41</v>
      </c>
      <c r="C869" s="52" t="s">
        <v>18</v>
      </c>
      <c r="D869" s="4" t="s">
        <v>120</v>
      </c>
      <c r="E869" s="5" t="s">
        <v>3</v>
      </c>
      <c r="F869" s="24">
        <v>45840</v>
      </c>
      <c r="G869" s="7" t="s">
        <v>113</v>
      </c>
      <c r="H869" s="25">
        <f t="shared" si="88"/>
        <v>1</v>
      </c>
      <c r="I869" s="67">
        <v>4703</v>
      </c>
      <c r="J869" s="8" t="s">
        <v>115</v>
      </c>
      <c r="K869" s="9" t="s">
        <v>121</v>
      </c>
      <c r="L869" s="10" t="s">
        <v>117</v>
      </c>
      <c r="M869" s="11">
        <v>90</v>
      </c>
      <c r="N869" s="12" t="s">
        <v>167</v>
      </c>
      <c r="O869" s="6">
        <v>45863</v>
      </c>
      <c r="P869" s="115">
        <v>3575</v>
      </c>
      <c r="Q869" s="14" t="s">
        <v>85</v>
      </c>
      <c r="R869" s="15"/>
      <c r="S869" s="15">
        <f>(DATA[[#This Row],[cantidad_fs]]*4.17)</f>
        <v>375.3</v>
      </c>
      <c r="T869" s="15">
        <f>DATA[[#This Row],[C. DF]]+DATA[[#This Row],[C.OPE.]]</f>
        <v>375.3</v>
      </c>
      <c r="U869" s="15">
        <f>DATA[[#This Row],[SUB TOTAL]]*0.18</f>
        <v>67.554000000000002</v>
      </c>
      <c r="V869" s="15">
        <f>IFERROR(ROUND(DATA[[#This Row],[SUB TOTAL]]+DATA[[#This Row],[IGV]],2),0)</f>
        <v>442.85</v>
      </c>
      <c r="W869" s="16" t="str">
        <f>IF(DATA[[#This Row],[VALORIZACIÓN ]]="-","NO CORRESPONDE",IF(OR(A869=20558226979,A869=10470707866,A869=20111157058,A869=20100226902),"NO CORRESPONDE",IF(J869="Emitida",IF(P869&gt;0,"EMITIDA","PENDIENTE"),"NO CORRESPONDE")))</f>
        <v>EMITIDA</v>
      </c>
      <c r="X869" s="29"/>
      <c r="Y869" s="17" t="s">
        <v>118</v>
      </c>
      <c r="Z869" s="30">
        <v>45869</v>
      </c>
      <c r="AA869" s="10" t="s">
        <v>150</v>
      </c>
      <c r="AB869" s="19">
        <v>191</v>
      </c>
      <c r="AC869" s="20">
        <v>30</v>
      </c>
      <c r="AD869" s="18">
        <f>DATA[[#This Row],[FECHA DE EMISION]]+DATA[[#This Row],[CONDICION DE PAGO]]</f>
        <v>45899</v>
      </c>
      <c r="AE869" s="23">
        <f>IF(DATA[[#This Row],[MONEDA]]="USD",VLOOKUP(DATA[[#This Row],[COMBINADA]],#REF!,11,0),1)</f>
        <v>1</v>
      </c>
      <c r="AF869" s="129" t="str">
        <f>IF(DATA[[#This Row],[SERIE2]]="-","NO CORRESPONDE",IF(W869="NO CORRESPONDE","NO CORRESPONDE",IF(Z869&gt;0,"FACTURADO","PENDIENTE")))</f>
        <v>FACTURADO</v>
      </c>
      <c r="AG869" s="133">
        <f>IFERROR(VLOOKUP(DATA[[#This Row],[COMBINADA]],#REF!,6,0),0)</f>
        <v>0</v>
      </c>
      <c r="AH869" s="125">
        <f>IFERROR(VLOOKUP(DATA[[#This Row],[COMBINADA]],#REF!,9,0),0)/COUNTIFS(DATA[COMBINADA],DATA[[#This Row],[COMBINADA]])</f>
        <v>0</v>
      </c>
      <c r="AI869" s="136">
        <f>IFERROR(VLOOKUP(DATA[[#This Row],[COMBINADA]],#REF!,6,0),0)</f>
        <v>0</v>
      </c>
      <c r="AJ869" s="132">
        <f>IFERROR(VLOOKUP(DATA[[#This Row],[COMBINADA]],#REF!,9,0),0)/COUNTIFS(DATA[COMBINADA],DATA[[#This Row],[COMBINADA]])</f>
        <v>0</v>
      </c>
      <c r="AK869" s="408">
        <f>IFERROR(VLOOKUP(DATA[[#This Row],[COMBINADA]],#REF!,6,0),0)</f>
        <v>0</v>
      </c>
      <c r="AL869" s="125">
        <f>IFERROR(VLOOKUP(DATA[[#This Row],[COMBINADA]],#REF!,9,0),0)/COUNTIFS(DATA[COMBINADA],DATA[[#This Row],[COMBINADA]])</f>
        <v>0</v>
      </c>
      <c r="AM869" s="27">
        <f>IFERROR(VLOOKUP(DATA[[#This Row],[COMBINADA]],#REF!,6,0),0)</f>
        <v>0</v>
      </c>
      <c r="AN869" s="125">
        <f>IFERROR(VLOOKUP(DATA[[#This Row],[COMBINADA]],#REF!,9,0),0)/COUNTIFS(DATA[COMBINADA],DATA[[#This Row],[COMBINADA]])</f>
        <v>0</v>
      </c>
      <c r="AO869" s="27">
        <f>IFERROR(VLOOKUP(DATA[[#This Row],[COMBINADA]],#REF!,6,0),0)</f>
        <v>0</v>
      </c>
      <c r="AP869" s="132">
        <f>IFERROR(VLOOKUP(DATA[[#This Row],[COMBINADA]],#REF!,9,0),0)/COUNTIFS(DATA[COMBINADA],DATA[[#This Row],[COMBINADA]])</f>
        <v>0</v>
      </c>
      <c r="AQ86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869" s="26" t="str">
        <f>IFERROR(IF(DATA[[#This Row],[estado_fact]]="FACTURADO",VLOOKUP(DATA[[#This Row],[SERIE2]]&amp;"-"&amp;DATA[[#This Row],[NUMERO]],#REF!,34,0),"NO CORRESPONDE"),"NO CORRESPONDE")</f>
        <v>NO CORRESPONDE</v>
      </c>
      <c r="AS869" s="22" t="str">
        <f>IF(DATA[[#This Row],[fecha_fs]]&gt;0,TEXT(DATA[[#This Row],[fecha_fs]],"Mmmm"),0)</f>
        <v>Julio</v>
      </c>
      <c r="AT869" s="22" t="str">
        <f>DATA[[#This Row],[SERIE2]]&amp;"-"&amp;DATA[[#This Row],[NUMERO]]</f>
        <v>FF01-191</v>
      </c>
      <c r="AU869" s="28">
        <f>DATA[[#This Row],[TOTAL]]*DATA[[#This Row],[T.C.]]</f>
        <v>442.85</v>
      </c>
      <c r="AV869" s="6">
        <f>DATA[[#This Row],[FECHA DE VAL.]]</f>
        <v>45863</v>
      </c>
      <c r="AW869" s="6">
        <f>DATA[[#This Row],[FECHA DE EMISION]]</f>
        <v>45869</v>
      </c>
      <c r="AX869" s="6">
        <f>DATA[[#This Row],[F1]]</f>
        <v>0</v>
      </c>
      <c r="AY869" s="20">
        <f>IF(AV869-DATA[[#This Row],[fecha_fs]]&lt;0,0,AV869-DATA[[#This Row],[fecha_fs]])</f>
        <v>23</v>
      </c>
      <c r="AZ869" s="20">
        <f t="shared" si="89"/>
        <v>6</v>
      </c>
      <c r="BA869" s="20">
        <f t="shared" si="90"/>
        <v>0</v>
      </c>
      <c r="BB869" s="195">
        <f>IFERROR(SUM(DATA[[#This Row],[fs_val_ttf]:[fact_pago_ttf]]),0)</f>
        <v>29</v>
      </c>
      <c r="BC869" s="185">
        <v>45870</v>
      </c>
      <c r="BD869" s="185">
        <v>45876</v>
      </c>
      <c r="BE869" s="185">
        <v>45882</v>
      </c>
      <c r="BF869" s="185">
        <v>45887</v>
      </c>
      <c r="BG869" s="20">
        <f>IFERROR(IF(BC869-DATA[[#This Row],[fecha_fs]]&lt;0,0,BC869-DATA[[#This Row],[fecha_fs]]),0)</f>
        <v>30</v>
      </c>
      <c r="BH869" s="20">
        <f t="shared" si="92"/>
        <v>6</v>
      </c>
      <c r="BI869" s="20">
        <f t="shared" si="93"/>
        <v>6</v>
      </c>
      <c r="BJ869" s="20">
        <f t="shared" si="94"/>
        <v>5</v>
      </c>
      <c r="BK869" s="218">
        <f>IFERROR(SUM(DATA[[#This Row],[fs_fd_ttd]:[fend_fenf_ttd]]),0)</f>
        <v>47</v>
      </c>
      <c r="BL869" s="20" t="str">
        <f>IF(DATA[[#This Row],[fecha_fs]]&gt;0,TEXT(DATA[[#This Row],[fecha_fs]],"YYYY"),0)</f>
        <v>2025</v>
      </c>
      <c r="BM869" s="221" t="b">
        <v>1</v>
      </c>
      <c r="BN869" s="278">
        <f>COUNTIF(DATA[[#This Row],[tiempo_td]], "&lt;=15")</f>
        <v>0</v>
      </c>
      <c r="BO869" s="222"/>
    </row>
    <row r="870" spans="1:67" ht="30.6" customHeight="1" x14ac:dyDescent="0.25">
      <c r="A870" s="4">
        <v>20419158462</v>
      </c>
      <c r="B870" s="5" t="s">
        <v>2</v>
      </c>
      <c r="C870" s="52" t="s">
        <v>147</v>
      </c>
      <c r="D870" s="4" t="s">
        <v>120</v>
      </c>
      <c r="E870" s="5" t="s">
        <v>3</v>
      </c>
      <c r="F870" s="24">
        <v>45841</v>
      </c>
      <c r="G870" s="7" t="s">
        <v>113</v>
      </c>
      <c r="H870" s="25">
        <f t="shared" si="88"/>
        <v>1</v>
      </c>
      <c r="I870" s="67">
        <v>4704</v>
      </c>
      <c r="J870" s="8" t="s">
        <v>115</v>
      </c>
      <c r="K870" s="9" t="s">
        <v>121</v>
      </c>
      <c r="L870" s="10" t="s">
        <v>117</v>
      </c>
      <c r="M870" s="11">
        <v>3710</v>
      </c>
      <c r="N870" s="12" t="s">
        <v>122</v>
      </c>
      <c r="O870" s="6">
        <v>45842</v>
      </c>
      <c r="P870" s="13">
        <v>3540</v>
      </c>
      <c r="Q870" s="14" t="s">
        <v>85</v>
      </c>
      <c r="R870" s="15">
        <f>DATA[[#This Row],[cantidad_fs]]*0.67</f>
        <v>2485.7000000000003</v>
      </c>
      <c r="S870" s="15">
        <v>839.7</v>
      </c>
      <c r="T870" s="15">
        <f>DATA[[#This Row],[C. DF]]+DATA[[#This Row],[C.OPE.]]</f>
        <v>3325.4000000000005</v>
      </c>
      <c r="U870" s="15">
        <f>DATA[[#This Row],[SUB TOTAL]]*0.18</f>
        <v>598.57200000000012</v>
      </c>
      <c r="V870" s="15">
        <f>IFERROR(ROUND(DATA[[#This Row],[SUB TOTAL]]+DATA[[#This Row],[IGV]],2),0)</f>
        <v>3923.97</v>
      </c>
      <c r="W870" s="16" t="str">
        <f>IF(DATA[[#This Row],[VALORIZACIÓN ]]="-","NO CORRESPONDE",IF(OR(A870=20558226979,A870=10470707866,A870=20111157058,A870=20100226902),"NO CORRESPONDE",IF(J870="Emitida",IF(P870&gt;0,"EMITIDA","PENDIENTE"),"NO CORRESPONDE")))</f>
        <v>EMITIDA</v>
      </c>
      <c r="X870" s="29"/>
      <c r="Y870" s="17" t="s">
        <v>232</v>
      </c>
      <c r="Z870" s="30"/>
      <c r="AA870" s="10"/>
      <c r="AB870" s="19"/>
      <c r="AC870" s="20"/>
      <c r="AD870" s="18">
        <f>DATA[[#This Row],[FECHA DE EMISION]]+DATA[[#This Row],[CONDICION DE PAGO]]</f>
        <v>0</v>
      </c>
      <c r="AE870" s="23">
        <f>IF(DATA[[#This Row],[MONEDA]]="USD",VLOOKUP(DATA[[#This Row],[COMBINADA]],#REF!,11,0),1)</f>
        <v>1</v>
      </c>
      <c r="AF870" s="129" t="str">
        <f>IF(DATA[[#This Row],[SERIE2]]="-","NO CORRESPONDE",IF(W870="NO CORRESPONDE","NO CORRESPONDE",IF(Z870&gt;0,"FACTURADO","PENDIENTE")))</f>
        <v>PENDIENTE</v>
      </c>
      <c r="AG870" s="133">
        <f>IFERROR(VLOOKUP(DATA[[#This Row],[COMBINADA]],#REF!,6,0),0)</f>
        <v>0</v>
      </c>
      <c r="AH870" s="125">
        <f>IFERROR(VLOOKUP(DATA[[#This Row],[COMBINADA]],#REF!,9,0),0)/COUNTIFS(DATA[COMBINADA],DATA[[#This Row],[COMBINADA]])</f>
        <v>0</v>
      </c>
      <c r="AI870" s="136">
        <f>IFERROR(VLOOKUP(DATA[[#This Row],[COMBINADA]],#REF!,6,0),0)</f>
        <v>0</v>
      </c>
      <c r="AJ870" s="132">
        <f>IFERROR(VLOOKUP(DATA[[#This Row],[COMBINADA]],#REF!,9,0),0)/COUNTIFS(DATA[COMBINADA],DATA[[#This Row],[COMBINADA]])</f>
        <v>0</v>
      </c>
      <c r="AK870" s="408">
        <f>IFERROR(VLOOKUP(DATA[[#This Row],[COMBINADA]],#REF!,6,0),0)</f>
        <v>0</v>
      </c>
      <c r="AL870" s="125">
        <f>IFERROR(VLOOKUP(DATA[[#This Row],[COMBINADA]],#REF!,9,0),0)/COUNTIFS(DATA[COMBINADA],DATA[[#This Row],[COMBINADA]])</f>
        <v>0</v>
      </c>
      <c r="AM870" s="27">
        <f>IFERROR(VLOOKUP(DATA[[#This Row],[COMBINADA]],#REF!,6,0),0)</f>
        <v>0</v>
      </c>
      <c r="AN870" s="125">
        <f>IFERROR(VLOOKUP(DATA[[#This Row],[COMBINADA]],#REF!,9,0),0)/COUNTIFS(DATA[COMBINADA],DATA[[#This Row],[COMBINADA]])</f>
        <v>0</v>
      </c>
      <c r="AO870" s="27">
        <f>IFERROR(VLOOKUP(DATA[[#This Row],[COMBINADA]],#REF!,6,0),0)</f>
        <v>0</v>
      </c>
      <c r="AP870" s="132">
        <f>IFERROR(VLOOKUP(DATA[[#This Row],[COMBINADA]],#REF!,9,0),0)/COUNTIFS(DATA[COMBINADA],DATA[[#This Row],[COMBINADA]])</f>
        <v>0</v>
      </c>
      <c r="AQ87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870" s="26" t="str">
        <f>IFERROR(IF(DATA[[#This Row],[estado_fact]]="FACTURADO",VLOOKUP(DATA[[#This Row],[SERIE2]]&amp;"-"&amp;DATA[[#This Row],[NUMERO]],#REF!,34,0),"NO CORRESPONDE"),"NO CORRESPONDE")</f>
        <v>NO CORRESPONDE</v>
      </c>
      <c r="AS870" s="22" t="str">
        <f>IF(DATA[[#This Row],[fecha_fs]]&gt;0,TEXT(DATA[[#This Row],[fecha_fs]],"Mmmm"),0)</f>
        <v>Julio</v>
      </c>
      <c r="AT870" s="22" t="str">
        <f>DATA[[#This Row],[SERIE2]]&amp;"-"&amp;DATA[[#This Row],[NUMERO]]</f>
        <v>-</v>
      </c>
      <c r="AU870" s="28">
        <f>DATA[[#This Row],[TOTAL]]*DATA[[#This Row],[T.C.]]</f>
        <v>3923.97</v>
      </c>
      <c r="AV870" s="6">
        <f>DATA[[#This Row],[FECHA DE VAL.]]</f>
        <v>45842</v>
      </c>
      <c r="AW870" s="6">
        <f>DATA[[#This Row],[FECHA DE EMISION]]</f>
        <v>0</v>
      </c>
      <c r="AX870" s="6">
        <f>DATA[[#This Row],[F1]]</f>
        <v>0</v>
      </c>
      <c r="AY870" s="20">
        <f>IF(AV870-DATA[[#This Row],[fecha_fs]]&lt;0,0,AV870-DATA[[#This Row],[fecha_fs]])</f>
        <v>1</v>
      </c>
      <c r="AZ870" s="20">
        <f t="shared" si="89"/>
        <v>0</v>
      </c>
      <c r="BA870" s="20">
        <f t="shared" si="90"/>
        <v>0</v>
      </c>
      <c r="BB870" s="195">
        <f>IFERROR(SUM(DATA[[#This Row],[fs_val_ttf]:[fact_pago_ttf]]),0)</f>
        <v>1</v>
      </c>
      <c r="BC870" s="185">
        <v>45841</v>
      </c>
      <c r="BD870" s="185">
        <v>45854</v>
      </c>
      <c r="BE870" s="185">
        <v>45846</v>
      </c>
      <c r="BF870" s="185">
        <v>45862</v>
      </c>
      <c r="BG870" s="20">
        <f>IFERROR(IF(BC870-DATA[[#This Row],[fecha_fs]]&lt;0,0,BC870-DATA[[#This Row],[fecha_fs]]),0)</f>
        <v>0</v>
      </c>
      <c r="BH870" s="20">
        <f t="shared" si="92"/>
        <v>13</v>
      </c>
      <c r="BI870" s="20">
        <f t="shared" si="93"/>
        <v>0</v>
      </c>
      <c r="BJ870" s="20">
        <f t="shared" si="94"/>
        <v>16</v>
      </c>
      <c r="BK870" s="218">
        <f>IFERROR(SUM(DATA[[#This Row],[fs_fd_ttd]:[fend_fenf_ttd]]),0)</f>
        <v>29</v>
      </c>
      <c r="BL870" s="20" t="str">
        <f>IF(DATA[[#This Row],[fecha_fs]]&gt;0,TEXT(DATA[[#This Row],[fecha_fs]],"YYYY"),0)</f>
        <v>2025</v>
      </c>
      <c r="BM870" s="221" t="b">
        <v>1</v>
      </c>
      <c r="BN870" s="278">
        <f>COUNTIF(DATA[[#This Row],[tiempo_td]], "&lt;=15")</f>
        <v>0</v>
      </c>
      <c r="BO870" s="222"/>
    </row>
    <row r="871" spans="1:67" ht="30.6" customHeight="1" x14ac:dyDescent="0.25">
      <c r="A871" s="4">
        <v>20159473148</v>
      </c>
      <c r="B871" s="5" t="s">
        <v>280</v>
      </c>
      <c r="C871" s="52" t="s">
        <v>20</v>
      </c>
      <c r="D871" s="4" t="s">
        <v>120</v>
      </c>
      <c r="E871" s="5" t="s">
        <v>3</v>
      </c>
      <c r="F871" s="24">
        <v>45839</v>
      </c>
      <c r="G871" s="7" t="s">
        <v>113</v>
      </c>
      <c r="H871" s="25">
        <f t="shared" si="88"/>
        <v>1</v>
      </c>
      <c r="I871" s="67">
        <v>4705</v>
      </c>
      <c r="J871" s="8" t="s">
        <v>115</v>
      </c>
      <c r="K871" s="9" t="s">
        <v>121</v>
      </c>
      <c r="L871" s="10" t="s">
        <v>117</v>
      </c>
      <c r="M871" s="11">
        <v>2210</v>
      </c>
      <c r="N871" s="12" t="s">
        <v>125</v>
      </c>
      <c r="O871" s="6">
        <v>45869</v>
      </c>
      <c r="P871" s="83">
        <v>3579</v>
      </c>
      <c r="Q871" s="14" t="s">
        <v>85</v>
      </c>
      <c r="R871" s="15">
        <f>DATA[[#This Row],[cantidad_fs]]*0.08</f>
        <v>176.8</v>
      </c>
      <c r="S871" s="15">
        <v>908.43</v>
      </c>
      <c r="T871" s="15">
        <f>DATA[[#This Row],[C. DF]]+DATA[[#This Row],[C.OPE.]]</f>
        <v>1085.23</v>
      </c>
      <c r="U871" s="15">
        <f>DATA[[#This Row],[SUB TOTAL]]*0.18</f>
        <v>195.34139999999999</v>
      </c>
      <c r="V871" s="15">
        <f>IFERROR(ROUND(DATA[[#This Row],[SUB TOTAL]]+DATA[[#This Row],[IGV]],2),0)</f>
        <v>1280.57</v>
      </c>
      <c r="W871" s="16" t="str">
        <f>IF(DATA[[#This Row],[VALORIZACIÓN ]]="-","NO CORRESPONDE",IF(OR(A871=20558226979,A871=10470707866,A871=20111157058,A871=20100226902),"NO CORRESPONDE",IF(J871="Emitida",IF(P871&gt;0,"EMITIDA","PENDIENTE"),"NO CORRESPONDE")))</f>
        <v>EMITIDA</v>
      </c>
      <c r="X871" s="29" t="s">
        <v>310</v>
      </c>
      <c r="Y871" s="17" t="s">
        <v>118</v>
      </c>
      <c r="Z871" s="30">
        <v>45902</v>
      </c>
      <c r="AA871" s="10" t="s">
        <v>150</v>
      </c>
      <c r="AB871" s="19">
        <v>233</v>
      </c>
      <c r="AC871" s="20">
        <v>15</v>
      </c>
      <c r="AD871" s="18">
        <f>DATA[[#This Row],[FECHA DE EMISION]]+DATA[[#This Row],[CONDICION DE PAGO]]</f>
        <v>45917</v>
      </c>
      <c r="AE871" s="23">
        <f>IF(DATA[[#This Row],[MONEDA]]="USD",VLOOKUP(DATA[[#This Row],[COMBINADA]],#REF!,11,0),1)</f>
        <v>1</v>
      </c>
      <c r="AF871" s="129" t="str">
        <f>IF(DATA[[#This Row],[SERIE2]]="-","NO CORRESPONDE",IF(W871="NO CORRESPONDE","NO CORRESPONDE",IF(Z871&gt;0,"FACTURADO","PENDIENTE")))</f>
        <v>FACTURADO</v>
      </c>
      <c r="AG871" s="133">
        <f>IFERROR(VLOOKUP(DATA[[#This Row],[COMBINADA]],#REF!,6,0),0)</f>
        <v>0</v>
      </c>
      <c r="AH871" s="125">
        <f>IFERROR(VLOOKUP(DATA[[#This Row],[COMBINADA]],#REF!,9,0),0)/COUNTIFS(DATA[COMBINADA],DATA[[#This Row],[COMBINADA]])</f>
        <v>0</v>
      </c>
      <c r="AI871" s="136">
        <f>IFERROR(VLOOKUP(DATA[[#This Row],[COMBINADA]],#REF!,6,0),0)</f>
        <v>0</v>
      </c>
      <c r="AJ871" s="132">
        <f>IFERROR(VLOOKUP(DATA[[#This Row],[COMBINADA]],#REF!,9,0),0)/COUNTIFS(DATA[COMBINADA],DATA[[#This Row],[COMBINADA]])</f>
        <v>0</v>
      </c>
      <c r="AK871" s="408">
        <f>IFERROR(VLOOKUP(DATA[[#This Row],[COMBINADA]],#REF!,6,0),0)</f>
        <v>0</v>
      </c>
      <c r="AL871" s="125">
        <f>IFERROR(VLOOKUP(DATA[[#This Row],[COMBINADA]],#REF!,9,0),0)/COUNTIFS(DATA[COMBINADA],DATA[[#This Row],[COMBINADA]])</f>
        <v>0</v>
      </c>
      <c r="AM871" s="27">
        <f>IFERROR(VLOOKUP(DATA[[#This Row],[COMBINADA]],#REF!,6,0),0)</f>
        <v>0</v>
      </c>
      <c r="AN871" s="125">
        <f>IFERROR(VLOOKUP(DATA[[#This Row],[COMBINADA]],#REF!,9,0),0)/COUNTIFS(DATA[COMBINADA],DATA[[#This Row],[COMBINADA]])</f>
        <v>0</v>
      </c>
      <c r="AO871" s="27">
        <f>IFERROR(VLOOKUP(DATA[[#This Row],[COMBINADA]],#REF!,6,0),0)</f>
        <v>0</v>
      </c>
      <c r="AP871" s="132">
        <f>IFERROR(VLOOKUP(DATA[[#This Row],[COMBINADA]],#REF!,9,0),0)/COUNTIFS(DATA[COMBINADA],DATA[[#This Row],[COMBINADA]])</f>
        <v>0</v>
      </c>
      <c r="AQ87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1154.7825</v>
      </c>
      <c r="AR871" s="26" t="str">
        <f>IFERROR(IF(DATA[[#This Row],[estado_fact]]="FACTURADO",VLOOKUP(DATA[[#This Row],[SERIE2]]&amp;"-"&amp;DATA[[#This Row],[NUMERO]],#REF!,34,0),"NO CORRESPONDE"),"NO CORRESPONDE")</f>
        <v>NO CORRESPONDE</v>
      </c>
      <c r="AS871" s="22" t="str">
        <f>IF(DATA[[#This Row],[fecha_fs]]&gt;0,TEXT(DATA[[#This Row],[fecha_fs]],"Mmmm"),0)</f>
        <v>Julio</v>
      </c>
      <c r="AT871" s="22" t="str">
        <f>DATA[[#This Row],[SERIE2]]&amp;"-"&amp;DATA[[#This Row],[NUMERO]]</f>
        <v>FF01-233</v>
      </c>
      <c r="AU871" s="28">
        <f>DATA[[#This Row],[TOTAL]]*DATA[[#This Row],[T.C.]]</f>
        <v>1280.57</v>
      </c>
      <c r="AV871" s="6">
        <f>DATA[[#This Row],[FECHA DE VAL.]]</f>
        <v>45869</v>
      </c>
      <c r="AW871" s="6">
        <f>DATA[[#This Row],[FECHA DE EMISION]]</f>
        <v>45902</v>
      </c>
      <c r="AX871" s="6">
        <f>DATA[[#This Row],[F1]]</f>
        <v>0</v>
      </c>
      <c r="AY871" s="20">
        <f>IF(AV871-DATA[[#This Row],[fecha_fs]]&lt;0,0,AV871-DATA[[#This Row],[fecha_fs]])</f>
        <v>30</v>
      </c>
      <c r="AZ871" s="20">
        <f t="shared" si="89"/>
        <v>33</v>
      </c>
      <c r="BA871" s="20">
        <f t="shared" si="90"/>
        <v>0</v>
      </c>
      <c r="BB871" s="195">
        <f>IFERROR(SUM(DATA[[#This Row],[fs_val_ttf]:[fact_pago_ttf]]),0)</f>
        <v>63</v>
      </c>
      <c r="BC871" s="185">
        <v>45839</v>
      </c>
      <c r="BD871" s="185">
        <v>45846</v>
      </c>
      <c r="BE871" s="185">
        <v>45873</v>
      </c>
      <c r="BF871" s="185">
        <v>45883</v>
      </c>
      <c r="BG871" s="20">
        <f>IFERROR(IF(BC871-DATA[[#This Row],[fecha_fs]]&lt;0,0,BC871-DATA[[#This Row],[fecha_fs]]),0)</f>
        <v>0</v>
      </c>
      <c r="BH871" s="20">
        <f t="shared" si="92"/>
        <v>7</v>
      </c>
      <c r="BI871" s="20">
        <f t="shared" si="93"/>
        <v>27</v>
      </c>
      <c r="BJ871" s="20">
        <f t="shared" si="94"/>
        <v>10</v>
      </c>
      <c r="BK871" s="218">
        <f>IFERROR(SUM(DATA[[#This Row],[fs_fd_ttd]:[fend_fenf_ttd]]),0)</f>
        <v>44</v>
      </c>
      <c r="BL871" s="20" t="str">
        <f>IF(DATA[[#This Row],[fecha_fs]]&gt;0,TEXT(DATA[[#This Row],[fecha_fs]],"YYYY"),0)</f>
        <v>2025</v>
      </c>
      <c r="BM871" s="221" t="b">
        <v>1</v>
      </c>
      <c r="BN871" s="278">
        <f>COUNTIF(DATA[[#This Row],[tiempo_td]], "&lt;=15")</f>
        <v>0</v>
      </c>
      <c r="BO871" s="222"/>
    </row>
    <row r="872" spans="1:67" ht="30.6" customHeight="1" x14ac:dyDescent="0.25">
      <c r="A872" s="4">
        <v>20141637941</v>
      </c>
      <c r="B872" s="5" t="s">
        <v>79</v>
      </c>
      <c r="C872" s="52" t="s">
        <v>18</v>
      </c>
      <c r="D872" s="4" t="s">
        <v>120</v>
      </c>
      <c r="E872" s="5" t="s">
        <v>3</v>
      </c>
      <c r="F872" s="24">
        <v>45840</v>
      </c>
      <c r="G872" s="7" t="s">
        <v>113</v>
      </c>
      <c r="H872" s="25">
        <f t="shared" si="88"/>
        <v>1</v>
      </c>
      <c r="I872" s="67">
        <v>4706</v>
      </c>
      <c r="J872" s="8" t="s">
        <v>115</v>
      </c>
      <c r="K872" s="9" t="s">
        <v>121</v>
      </c>
      <c r="L872" s="10" t="s">
        <v>117</v>
      </c>
      <c r="M872" s="11">
        <v>870</v>
      </c>
      <c r="N872" s="12" t="s">
        <v>125</v>
      </c>
      <c r="O872" s="6">
        <v>45842</v>
      </c>
      <c r="P872" s="110">
        <v>3541</v>
      </c>
      <c r="Q872" s="14" t="s">
        <v>85</v>
      </c>
      <c r="R872" s="15">
        <v>80</v>
      </c>
      <c r="S872" s="15">
        <v>832</v>
      </c>
      <c r="T872" s="15">
        <f>DATA[[#This Row],[C. DF]]+DATA[[#This Row],[C.OPE.]]</f>
        <v>912</v>
      </c>
      <c r="U872" s="15">
        <f>DATA[[#This Row],[SUB TOTAL]]*0.18</f>
        <v>164.16</v>
      </c>
      <c r="V872" s="15">
        <f>IFERROR(ROUND(DATA[[#This Row],[SUB TOTAL]]+DATA[[#This Row],[IGV]],2),0)</f>
        <v>1076.1600000000001</v>
      </c>
      <c r="W872" s="16" t="str">
        <f>IF(DATA[[#This Row],[VALORIZACIÓN ]]="-","NO CORRESPONDE",IF(OR(A872=20558226979,A872=10470707866,A872=20111157058,A872=20100226902),"NO CORRESPONDE",IF(J872="Emitida",IF(P872&gt;0,"EMITIDA","PENDIENTE"),"NO CORRESPONDE")))</f>
        <v>EMITIDA</v>
      </c>
      <c r="X872" s="29"/>
      <c r="Y872" s="17" t="s">
        <v>118</v>
      </c>
      <c r="Z872" s="30">
        <v>45849</v>
      </c>
      <c r="AA872" s="10" t="s">
        <v>150</v>
      </c>
      <c r="AB872" s="19">
        <v>173</v>
      </c>
      <c r="AC872" s="20">
        <v>30</v>
      </c>
      <c r="AD872" s="18">
        <f>DATA[[#This Row],[FECHA DE EMISION]]+DATA[[#This Row],[CONDICION DE PAGO]]</f>
        <v>45879</v>
      </c>
      <c r="AE872" s="23">
        <f>IF(DATA[[#This Row],[MONEDA]]="USD",VLOOKUP(DATA[[#This Row],[COMBINADA]],#REF!,11,0),1)</f>
        <v>1</v>
      </c>
      <c r="AF872" s="129" t="str">
        <f>IF(DATA[[#This Row],[SERIE2]]="-","NO CORRESPONDE",IF(W872="NO CORRESPONDE","NO CORRESPONDE",IF(Z872&gt;0,"FACTURADO","PENDIENTE")))</f>
        <v>FACTURADO</v>
      </c>
      <c r="AG872" s="133">
        <f>IFERROR(VLOOKUP(DATA[[#This Row],[COMBINADA]],#REF!,6,0),0)</f>
        <v>0</v>
      </c>
      <c r="AH872" s="125">
        <f>IFERROR(VLOOKUP(DATA[[#This Row],[COMBINADA]],#REF!,9,0),0)/COUNTIFS(DATA[COMBINADA],DATA[[#This Row],[COMBINADA]])</f>
        <v>0</v>
      </c>
      <c r="AI872" s="136">
        <f>IFERROR(VLOOKUP(DATA[[#This Row],[COMBINADA]],#REF!,6,0),0)</f>
        <v>0</v>
      </c>
      <c r="AJ872" s="132">
        <f>IFERROR(VLOOKUP(DATA[[#This Row],[COMBINADA]],#REF!,9,0),0)/COUNTIFS(DATA[COMBINADA],DATA[[#This Row],[COMBINADA]])</f>
        <v>0</v>
      </c>
      <c r="AK872" s="408">
        <f>IFERROR(VLOOKUP(DATA[[#This Row],[COMBINADA]],#REF!,6,0),0)</f>
        <v>0</v>
      </c>
      <c r="AL872" s="125">
        <f>IFERROR(VLOOKUP(DATA[[#This Row],[COMBINADA]],#REF!,9,0),0)/COUNTIFS(DATA[COMBINADA],DATA[[#This Row],[COMBINADA]])</f>
        <v>0</v>
      </c>
      <c r="AM872" s="27">
        <f>IFERROR(VLOOKUP(DATA[[#This Row],[COMBINADA]],#REF!,6,0),0)</f>
        <v>0</v>
      </c>
      <c r="AN872" s="125">
        <f>IFERROR(VLOOKUP(DATA[[#This Row],[COMBINADA]],#REF!,9,0),0)/COUNTIFS(DATA[COMBINADA],DATA[[#This Row],[COMBINADA]])</f>
        <v>0</v>
      </c>
      <c r="AO872" s="27">
        <f>IFERROR(VLOOKUP(DATA[[#This Row],[COMBINADA]],#REF!,6,0),0)</f>
        <v>0</v>
      </c>
      <c r="AP872" s="132">
        <f>IFERROR(VLOOKUP(DATA[[#This Row],[COMBINADA]],#REF!,9,0),0)/COUNTIFS(DATA[COMBINADA],DATA[[#This Row],[COMBINADA]])</f>
        <v>0</v>
      </c>
      <c r="AQ87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1076.1600000000001</v>
      </c>
      <c r="AR872" s="26" t="str">
        <f>IFERROR(IF(DATA[[#This Row],[estado_fact]]="FACTURADO",VLOOKUP(DATA[[#This Row],[SERIE2]]&amp;"-"&amp;DATA[[#This Row],[NUMERO]],#REF!,34,0),"NO CORRESPONDE"),"NO CORRESPONDE")</f>
        <v>NO CORRESPONDE</v>
      </c>
      <c r="AS872" s="22" t="str">
        <f>IF(DATA[[#This Row],[fecha_fs]]&gt;0,TEXT(DATA[[#This Row],[fecha_fs]],"Mmmm"),0)</f>
        <v>Julio</v>
      </c>
      <c r="AT872" s="22" t="str">
        <f>DATA[[#This Row],[SERIE2]]&amp;"-"&amp;DATA[[#This Row],[NUMERO]]</f>
        <v>FF01-173</v>
      </c>
      <c r="AU872" s="28">
        <f>DATA[[#This Row],[TOTAL]]*DATA[[#This Row],[T.C.]]</f>
        <v>1076.1600000000001</v>
      </c>
      <c r="AV872" s="6">
        <f>DATA[[#This Row],[FECHA DE VAL.]]</f>
        <v>45842</v>
      </c>
      <c r="AW872" s="6">
        <f>DATA[[#This Row],[FECHA DE EMISION]]</f>
        <v>45849</v>
      </c>
      <c r="AX872" s="6">
        <f>DATA[[#This Row],[F1]]</f>
        <v>0</v>
      </c>
      <c r="AY872" s="20">
        <f>IF(AV872-DATA[[#This Row],[fecha_fs]]&lt;0,0,AV872-DATA[[#This Row],[fecha_fs]])</f>
        <v>2</v>
      </c>
      <c r="AZ872" s="20">
        <f t="shared" si="89"/>
        <v>7</v>
      </c>
      <c r="BA872" s="20">
        <f t="shared" si="90"/>
        <v>0</v>
      </c>
      <c r="BB872" s="195">
        <f>IFERROR(SUM(DATA[[#This Row],[fs_val_ttf]:[fact_pago_ttf]]),0)</f>
        <v>9</v>
      </c>
      <c r="BC872" s="185">
        <v>45840</v>
      </c>
      <c r="BD872" s="185" t="s">
        <v>270</v>
      </c>
      <c r="BE872" s="185">
        <v>45870</v>
      </c>
      <c r="BF872" s="185">
        <v>45882</v>
      </c>
      <c r="BG872" s="20">
        <f>IFERROR(IF(BC872-DATA[[#This Row],[fecha_fs]]&lt;0,0,BC872-DATA[[#This Row],[fecha_fs]]),0)</f>
        <v>0</v>
      </c>
      <c r="BH872" s="20">
        <f t="shared" ref="BH872:BJ873" si="95">IFERROR(IF(BD872-BC872&lt;0,0,BD872-BC872),0)</f>
        <v>0</v>
      </c>
      <c r="BI872" s="20">
        <f t="shared" si="95"/>
        <v>0</v>
      </c>
      <c r="BJ872" s="20">
        <f t="shared" si="95"/>
        <v>12</v>
      </c>
      <c r="BK872" s="218">
        <f>IFERROR(SUM(DATA[[#This Row],[fs_fd_ttd]:[fend_fenf_ttd]]),0)</f>
        <v>12</v>
      </c>
      <c r="BL872" s="20" t="str">
        <f>IF(DATA[[#This Row],[fecha_fs]]&gt;0,TEXT(DATA[[#This Row],[fecha_fs]],"YYYY"),0)</f>
        <v>2025</v>
      </c>
      <c r="BM872" s="221" t="b">
        <v>1</v>
      </c>
      <c r="BN872" s="278">
        <f>COUNTIF(DATA[[#This Row],[tiempo_td]], "&lt;=15")</f>
        <v>1</v>
      </c>
      <c r="BO872" s="222"/>
    </row>
    <row r="873" spans="1:67" ht="30.6" customHeight="1" x14ac:dyDescent="0.25">
      <c r="A873" s="4">
        <v>20552714378</v>
      </c>
      <c r="B873" s="5" t="s">
        <v>288</v>
      </c>
      <c r="C873" s="52" t="s">
        <v>264</v>
      </c>
      <c r="D873" s="4" t="s">
        <v>120</v>
      </c>
      <c r="E873" s="5" t="s">
        <v>3</v>
      </c>
      <c r="F873" s="24">
        <v>45840</v>
      </c>
      <c r="G873" s="7" t="s">
        <v>113</v>
      </c>
      <c r="H873" s="25">
        <f t="shared" si="88"/>
        <v>1</v>
      </c>
      <c r="I873" s="67">
        <v>4707</v>
      </c>
      <c r="J873" s="8" t="s">
        <v>115</v>
      </c>
      <c r="K873" s="9" t="s">
        <v>121</v>
      </c>
      <c r="L873" s="10" t="s">
        <v>117</v>
      </c>
      <c r="M873" s="11">
        <v>30</v>
      </c>
      <c r="N873" s="12" t="s">
        <v>125</v>
      </c>
      <c r="O873" s="6">
        <v>45863</v>
      </c>
      <c r="P873" s="109">
        <v>3580</v>
      </c>
      <c r="Q873" s="14" t="s">
        <v>85</v>
      </c>
      <c r="R873" s="15">
        <f>80/5</f>
        <v>16</v>
      </c>
      <c r="S873" s="15">
        <v>2112.33</v>
      </c>
      <c r="T873" s="15">
        <f>DATA[[#This Row],[C. DF]]+DATA[[#This Row],[C.OPE.]]</f>
        <v>2128.33</v>
      </c>
      <c r="U873" s="15">
        <f>DATA[[#This Row],[SUB TOTAL]]*0.18</f>
        <v>383.09939999999995</v>
      </c>
      <c r="V873" s="15">
        <f>IFERROR(ROUND(DATA[[#This Row],[SUB TOTAL]]+DATA[[#This Row],[IGV]],2),0)</f>
        <v>2511.4299999999998</v>
      </c>
      <c r="W873" s="16" t="str">
        <f>IF(DATA[[#This Row],[VALORIZACIÓN ]]="-","NO CORRESPONDE",IF(OR(A873=20558226979,A873=10470707866,A873=20111157058,A873=20100226902),"NO CORRESPONDE",IF(J873="Emitida",IF(P873&gt;0,"EMITIDA","PENDIENTE"),"NO CORRESPONDE")))</f>
        <v>EMITIDA</v>
      </c>
      <c r="X873" s="29"/>
      <c r="Y873" s="17" t="s">
        <v>118</v>
      </c>
      <c r="Z873" s="30">
        <v>45905</v>
      </c>
      <c r="AA873" s="10" t="s">
        <v>150</v>
      </c>
      <c r="AB873" s="19">
        <v>242</v>
      </c>
      <c r="AC873" s="20">
        <v>60</v>
      </c>
      <c r="AD873" s="18">
        <f>DATA[[#This Row],[FECHA DE EMISION]]+DATA[[#This Row],[CONDICION DE PAGO]]</f>
        <v>45965</v>
      </c>
      <c r="AE873" s="23">
        <f>IF(DATA[[#This Row],[MONEDA]]="USD",VLOOKUP(DATA[[#This Row],[COMBINADA]],#REF!,11,0),1)</f>
        <v>1</v>
      </c>
      <c r="AF873" s="129" t="str">
        <f>IF(DATA[[#This Row],[SERIE2]]="-","NO CORRESPONDE",IF(W873="NO CORRESPONDE","NO CORRESPONDE",IF(Z873&gt;0,"FACTURADO","PENDIENTE")))</f>
        <v>FACTURADO</v>
      </c>
      <c r="AG873" s="133">
        <f>IFERROR(VLOOKUP(DATA[[#This Row],[COMBINADA]],#REF!,6,0),0)</f>
        <v>0</v>
      </c>
      <c r="AH873" s="125">
        <f>IFERROR(VLOOKUP(DATA[[#This Row],[COMBINADA]],#REF!,9,0),0)/COUNTIFS(DATA[COMBINADA],DATA[[#This Row],[COMBINADA]])</f>
        <v>0</v>
      </c>
      <c r="AI873" s="136">
        <f>IFERROR(VLOOKUP(DATA[[#This Row],[COMBINADA]],#REF!,6,0),0)</f>
        <v>0</v>
      </c>
      <c r="AJ873" s="132">
        <f>IFERROR(VLOOKUP(DATA[[#This Row],[COMBINADA]],#REF!,9,0),0)/COUNTIFS(DATA[COMBINADA],DATA[[#This Row],[COMBINADA]])</f>
        <v>0</v>
      </c>
      <c r="AK873" s="408">
        <f>IFERROR(VLOOKUP(DATA[[#This Row],[COMBINADA]],#REF!,6,0),0)</f>
        <v>0</v>
      </c>
      <c r="AL873" s="125">
        <f>IFERROR(VLOOKUP(DATA[[#This Row],[COMBINADA]],#REF!,9,0),0)/COUNTIFS(DATA[COMBINADA],DATA[[#This Row],[COMBINADA]])</f>
        <v>0</v>
      </c>
      <c r="AM873" s="27">
        <f>IFERROR(VLOOKUP(DATA[[#This Row],[COMBINADA]],#REF!,6,0),0)</f>
        <v>0</v>
      </c>
      <c r="AN873" s="125">
        <f>IFERROR(VLOOKUP(DATA[[#This Row],[COMBINADA]],#REF!,9,0),0)/COUNTIFS(DATA[COMBINADA],DATA[[#This Row],[COMBINADA]])</f>
        <v>0</v>
      </c>
      <c r="AO873" s="27">
        <f>IFERROR(VLOOKUP(DATA[[#This Row],[COMBINADA]],#REF!,6,0),0)</f>
        <v>0</v>
      </c>
      <c r="AP873" s="132">
        <f>IFERROR(VLOOKUP(DATA[[#This Row],[COMBINADA]],#REF!,9,0),0)/COUNTIFS(DATA[COMBINADA],DATA[[#This Row],[COMBINADA]])</f>
        <v>0</v>
      </c>
      <c r="AQ87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2511.4299999999998</v>
      </c>
      <c r="AR873" s="26" t="str">
        <f>IFERROR(IF(DATA[[#This Row],[estado_fact]]="FACTURADO",VLOOKUP(DATA[[#This Row],[SERIE2]]&amp;"-"&amp;DATA[[#This Row],[NUMERO]],#REF!,34,0),"NO CORRESPONDE"),"NO CORRESPONDE")</f>
        <v>NO CORRESPONDE</v>
      </c>
      <c r="AS873" s="22" t="str">
        <f>IF(DATA[[#This Row],[fecha_fs]]&gt;0,TEXT(DATA[[#This Row],[fecha_fs]],"Mmmm"),0)</f>
        <v>Julio</v>
      </c>
      <c r="AT873" s="22" t="str">
        <f>DATA[[#This Row],[SERIE2]]&amp;"-"&amp;DATA[[#This Row],[NUMERO]]</f>
        <v>FF01-242</v>
      </c>
      <c r="AU873" s="28">
        <f>DATA[[#This Row],[TOTAL]]*DATA[[#This Row],[T.C.]]</f>
        <v>2511.4299999999998</v>
      </c>
      <c r="AV873" s="6">
        <f>DATA[[#This Row],[FECHA DE VAL.]]</f>
        <v>45863</v>
      </c>
      <c r="AW873" s="6">
        <f>DATA[[#This Row],[FECHA DE EMISION]]</f>
        <v>45905</v>
      </c>
      <c r="AX873" s="6">
        <f>DATA[[#This Row],[F1]]</f>
        <v>0</v>
      </c>
      <c r="AY873" s="20">
        <f>IF(AV873-DATA[[#This Row],[fecha_fs]]&lt;0,0,AV873-DATA[[#This Row],[fecha_fs]])</f>
        <v>23</v>
      </c>
      <c r="AZ873" s="20">
        <f t="shared" si="89"/>
        <v>42</v>
      </c>
      <c r="BA873" s="20">
        <f t="shared" si="90"/>
        <v>0</v>
      </c>
      <c r="BB873" s="195">
        <f>IFERROR(SUM(DATA[[#This Row],[fs_val_ttf]:[fact_pago_ttf]]),0)</f>
        <v>65</v>
      </c>
      <c r="BC873" s="185">
        <v>45856</v>
      </c>
      <c r="BD873" s="185">
        <v>45862</v>
      </c>
      <c r="BE873" s="185">
        <v>45863</v>
      </c>
      <c r="BF873" s="185">
        <v>45883</v>
      </c>
      <c r="BG873" s="20">
        <f>IFERROR(IF(BC873-DATA[[#This Row],[fecha_fs]]&lt;0,0,BC873-DATA[[#This Row],[fecha_fs]]),0)</f>
        <v>16</v>
      </c>
      <c r="BH873" s="20">
        <f t="shared" si="95"/>
        <v>6</v>
      </c>
      <c r="BI873" s="20">
        <f t="shared" si="95"/>
        <v>1</v>
      </c>
      <c r="BJ873" s="20">
        <f t="shared" si="95"/>
        <v>20</v>
      </c>
      <c r="BK873" s="218">
        <f>IFERROR(SUM(DATA[[#This Row],[fs_fd_ttd]:[fend_fenf_ttd]]),0)</f>
        <v>43</v>
      </c>
      <c r="BL873" s="20" t="str">
        <f>IF(DATA[[#This Row],[fecha_fs]]&gt;0,TEXT(DATA[[#This Row],[fecha_fs]],"YYYY"),0)</f>
        <v>2025</v>
      </c>
      <c r="BM873" s="221" t="b">
        <v>1</v>
      </c>
      <c r="BN873" s="278">
        <f>COUNTIF(DATA[[#This Row],[tiempo_td]], "&lt;=15")</f>
        <v>0</v>
      </c>
      <c r="BO873" s="222"/>
    </row>
    <row r="874" spans="1:67" ht="30.6" customHeight="1" x14ac:dyDescent="0.25">
      <c r="A874" s="4">
        <v>20100226902</v>
      </c>
      <c r="B874" s="5" t="s">
        <v>24</v>
      </c>
      <c r="C874" s="52" t="s">
        <v>18</v>
      </c>
      <c r="D874" s="4" t="s">
        <v>120</v>
      </c>
      <c r="E874" s="5" t="s">
        <v>3</v>
      </c>
      <c r="F874" s="24">
        <v>45840</v>
      </c>
      <c r="G874" s="7" t="s">
        <v>113</v>
      </c>
      <c r="H874" s="25">
        <f t="shared" si="88"/>
        <v>1</v>
      </c>
      <c r="I874" s="67">
        <v>4708</v>
      </c>
      <c r="J874" s="8" t="s">
        <v>115</v>
      </c>
      <c r="K874" s="9" t="s">
        <v>121</v>
      </c>
      <c r="L874" s="10" t="s">
        <v>117</v>
      </c>
      <c r="M874" s="11">
        <v>690</v>
      </c>
      <c r="N874" s="12" t="s">
        <v>127</v>
      </c>
      <c r="O874" s="40"/>
      <c r="P874" s="41" t="s">
        <v>114</v>
      </c>
      <c r="Q874" s="42"/>
      <c r="R874" s="15"/>
      <c r="S874" s="15"/>
      <c r="T874" s="43">
        <f>DATA[[#This Row],[C. DF]]+DATA[[#This Row],[C.OPE.]]</f>
        <v>0</v>
      </c>
      <c r="U874" s="15">
        <f>DATA[[#This Row],[SUB TOTAL]]*0.18</f>
        <v>0</v>
      </c>
      <c r="V874" s="15">
        <f>IFERROR(ROUND(DATA[[#This Row],[SUB TOTAL]]+DATA[[#This Row],[IGV]],2),0)</f>
        <v>0</v>
      </c>
      <c r="W874" s="16" t="str">
        <f>IF(DATA[[#This Row],[VALORIZACIÓN ]]="-","NO CORRESPONDE",IF(OR(A874=20558226979,A874=10470707866,A874=20111157058,A874=20100226902),"NO CORRESPONDE",IF(J874="Emitida",IF(P874&gt;0,"EMITIDA","PENDIENTE"),"NO CORRESPONDE")))</f>
        <v>NO CORRESPONDE</v>
      </c>
      <c r="X874" s="45"/>
      <c r="Y874" s="17" t="s">
        <v>128</v>
      </c>
      <c r="Z874" s="46"/>
      <c r="AA874" s="47"/>
      <c r="AB874" s="48"/>
      <c r="AC874" s="49"/>
      <c r="AD874" s="50">
        <f>DATA[[#This Row],[FECHA DE EMISION]]+DATA[[#This Row],[CONDICION DE PAGO]]</f>
        <v>0</v>
      </c>
      <c r="AE874" s="23">
        <f>IF(DATA[[#This Row],[MONEDA]]="USD",VLOOKUP(DATA[[#This Row],[COMBINADA]],#REF!,11,0),1)</f>
        <v>1</v>
      </c>
      <c r="AF874" s="129" t="str">
        <f>IF(DATA[[#This Row],[SERIE2]]="-","NO CORRESPONDE",IF(W874="NO CORRESPONDE","NO CORRESPONDE",IF(Z874&gt;0,"FACTURADO","PENDIENTE")))</f>
        <v>NO CORRESPONDE</v>
      </c>
      <c r="AG874" s="140">
        <f>IFERROR(VLOOKUP(DATA[[#This Row],[COMBINADA]],#REF!,6,0),0)</f>
        <v>0</v>
      </c>
      <c r="AH874" s="126">
        <f>IFERROR(VLOOKUP(DATA[[#This Row],[COMBINADA]],#REF!,9,0),0)/COUNTIFS(DATA[COMBINADA],DATA[[#This Row],[COMBINADA]])</f>
        <v>0</v>
      </c>
      <c r="AI874" s="140">
        <f>IFERROR(VLOOKUP(DATA[[#This Row],[COMBINADA]],#REF!,6,0),0)</f>
        <v>0</v>
      </c>
      <c r="AJ874" s="126">
        <f>IFERROR(VLOOKUP(DATA[[#This Row],[COMBINADA]],#REF!,9,0),0)/COUNTIFS(DATA[COMBINADA],DATA[[#This Row],[COMBINADA]])</f>
        <v>0</v>
      </c>
      <c r="AK874" s="287">
        <f>IFERROR(VLOOKUP(DATA[[#This Row],[COMBINADA]],#REF!,6,0),0)</f>
        <v>0</v>
      </c>
      <c r="AL874" s="126">
        <f>IFERROR(VLOOKUP(DATA[[#This Row],[COMBINADA]],#REF!,9,0),0)/COUNTIFS(DATA[COMBINADA],DATA[[#This Row],[COMBINADA]])</f>
        <v>0</v>
      </c>
      <c r="AM874" s="60">
        <f>IFERROR(VLOOKUP(DATA[[#This Row],[COMBINADA]],#REF!,6,0),0)</f>
        <v>0</v>
      </c>
      <c r="AN874" s="126">
        <f>IFERROR(VLOOKUP(DATA[[#This Row],[COMBINADA]],#REF!,9,0),0)/COUNTIFS(DATA[COMBINADA],DATA[[#This Row],[COMBINADA]])</f>
        <v>0</v>
      </c>
      <c r="AO874" s="60">
        <f>IFERROR(VLOOKUP(DATA[[#This Row],[COMBINADA]],#REF!,6,0),0)</f>
        <v>0</v>
      </c>
      <c r="AP874" s="126">
        <f>IFERROR(VLOOKUP(DATA[[#This Row],[COMBINADA]],#REF!,9,0),0)/COUNTIFS(DATA[COMBINADA],DATA[[#This Row],[COMBINADA]])</f>
        <v>0</v>
      </c>
      <c r="AQ874"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874" s="22" t="str">
        <f>IFERROR(IF(DATA[[#This Row],[estado_fact]]="FACTURADO",VLOOKUP(DATA[[#This Row],[SERIE2]]&amp;"-"&amp;DATA[[#This Row],[NUMERO]],#REF!,34,0),"NO CORRESPONDE"),"NO CORRESPONDE")</f>
        <v>NO CORRESPONDE</v>
      </c>
      <c r="AS874" s="22" t="str">
        <f>IF(DATA[[#This Row],[fecha_fs]]&gt;0,TEXT(DATA[[#This Row],[fecha_fs]],"Mmmm"),0)</f>
        <v>Julio</v>
      </c>
      <c r="AT874" s="22" t="str">
        <f>DATA[[#This Row],[SERIE2]]&amp;"-"&amp;DATA[[#This Row],[NUMERO]]</f>
        <v>-</v>
      </c>
      <c r="AU874" s="28">
        <f>DATA[[#This Row],[TOTAL]]*DATA[[#This Row],[T.C.]]</f>
        <v>0</v>
      </c>
      <c r="AV874" s="6">
        <f>DATA[[#This Row],[FECHA DE VAL.]]</f>
        <v>0</v>
      </c>
      <c r="AW874" s="6">
        <f>DATA[[#This Row],[FECHA DE EMISION]]</f>
        <v>0</v>
      </c>
      <c r="AX874" s="6">
        <f>DATA[[#This Row],[F1]]</f>
        <v>0</v>
      </c>
      <c r="AY874" s="20">
        <f>IF(AV874-DATA[[#This Row],[fecha_fs]]&lt;0,0,AV874-DATA[[#This Row],[fecha_fs]])</f>
        <v>0</v>
      </c>
      <c r="AZ874" s="20">
        <f t="shared" si="89"/>
        <v>0</v>
      </c>
      <c r="BA874" s="20">
        <f t="shared" si="90"/>
        <v>0</v>
      </c>
      <c r="BB874" s="195">
        <f>IFERROR(SUM(DATA[[#This Row],[fs_val_ttf]:[fact_pago_ttf]]),0)</f>
        <v>0</v>
      </c>
      <c r="BC874" s="185">
        <v>45840</v>
      </c>
      <c r="BD874" s="185">
        <v>45840</v>
      </c>
      <c r="BE874" s="185">
        <v>45880</v>
      </c>
      <c r="BF874" s="185">
        <v>45880</v>
      </c>
      <c r="BG874" s="20">
        <f>IFERROR(IF(BC874-DATA[[#This Row],[fecha_fs]]&lt;0,0,BC874-DATA[[#This Row],[fecha_fs]]),0)</f>
        <v>0</v>
      </c>
      <c r="BH874" s="20">
        <f t="shared" si="92"/>
        <v>0</v>
      </c>
      <c r="BI874" s="20">
        <f t="shared" si="93"/>
        <v>40</v>
      </c>
      <c r="BJ874" s="20">
        <f t="shared" si="94"/>
        <v>0</v>
      </c>
      <c r="BK874" s="218">
        <f>IFERROR(SUM(DATA[[#This Row],[fs_fd_ttd]:[fend_fenf_ttd]]),0)</f>
        <v>40</v>
      </c>
      <c r="BL874" s="20" t="str">
        <f>IF(DATA[[#This Row],[fecha_fs]]&gt;0,TEXT(DATA[[#This Row],[fecha_fs]],"YYYY"),0)</f>
        <v>2025</v>
      </c>
      <c r="BM874" s="221" t="b">
        <v>1</v>
      </c>
      <c r="BN874" s="278">
        <f>COUNTIF(DATA[[#This Row],[tiempo_td]], "&lt;=15")</f>
        <v>0</v>
      </c>
      <c r="BO874" s="222"/>
    </row>
    <row r="875" spans="1:67" ht="30.6" customHeight="1" x14ac:dyDescent="0.25">
      <c r="A875" s="4">
        <v>20552714378</v>
      </c>
      <c r="B875" s="5" t="s">
        <v>288</v>
      </c>
      <c r="C875" s="52" t="s">
        <v>264</v>
      </c>
      <c r="D875" s="4" t="s">
        <v>112</v>
      </c>
      <c r="E875" s="5" t="s">
        <v>1</v>
      </c>
      <c r="F875" s="24">
        <v>45840</v>
      </c>
      <c r="G875" s="7" t="s">
        <v>113</v>
      </c>
      <c r="H875" s="25">
        <f t="shared" si="88"/>
        <v>1</v>
      </c>
      <c r="I875" s="67">
        <v>4709</v>
      </c>
      <c r="J875" s="8" t="s">
        <v>115</v>
      </c>
      <c r="K875" s="9" t="s">
        <v>116</v>
      </c>
      <c r="L875" s="10" t="s">
        <v>117</v>
      </c>
      <c r="M875" s="11">
        <v>30</v>
      </c>
      <c r="N875" s="12" t="s">
        <v>125</v>
      </c>
      <c r="O875" s="6">
        <v>45863</v>
      </c>
      <c r="P875" s="109">
        <v>3581</v>
      </c>
      <c r="Q875" s="14" t="s">
        <v>85</v>
      </c>
      <c r="R875" s="15">
        <v>225</v>
      </c>
      <c r="S875" s="15">
        <v>2319.6999999999998</v>
      </c>
      <c r="T875" s="15">
        <f>DATA[[#This Row],[C. DF]]+DATA[[#This Row],[C.OPE.]]</f>
        <v>2544.6999999999998</v>
      </c>
      <c r="U875" s="15">
        <f>DATA[[#This Row],[SUB TOTAL]]*0.18</f>
        <v>458.04599999999994</v>
      </c>
      <c r="V875" s="15">
        <f>IFERROR(ROUND(DATA[[#This Row],[SUB TOTAL]]+DATA[[#This Row],[IGV]],2),0)</f>
        <v>3002.75</v>
      </c>
      <c r="W875" s="16" t="str">
        <f>IF(DATA[[#This Row],[VALORIZACIÓN ]]="-","NO CORRESPONDE",IF(OR(A875=20558226979,A875=10470707866,A875=20111157058,A875=20100226902),"NO CORRESPONDE",IF(J875="Emitida",IF(P875&gt;0,"EMITIDA","PENDIENTE"),"NO CORRESPONDE")))</f>
        <v>EMITIDA</v>
      </c>
      <c r="X875" s="29"/>
      <c r="Y875" s="17" t="s">
        <v>118</v>
      </c>
      <c r="Z875" s="30">
        <v>45905</v>
      </c>
      <c r="AA875" s="10" t="s">
        <v>150</v>
      </c>
      <c r="AB875" s="19">
        <v>243</v>
      </c>
      <c r="AC875" s="20">
        <v>60</v>
      </c>
      <c r="AD875" s="18">
        <f>DATA[[#This Row],[FECHA DE EMISION]]+DATA[[#This Row],[CONDICION DE PAGO]]</f>
        <v>45965</v>
      </c>
      <c r="AE875" s="23">
        <f>IF(DATA[[#This Row],[MONEDA]]="USD",VLOOKUP(DATA[[#This Row],[COMBINADA]],#REF!,11,0),1)</f>
        <v>1</v>
      </c>
      <c r="AF875" s="129" t="str">
        <f>IF(DATA[[#This Row],[SERIE2]]="-","NO CORRESPONDE",IF(W875="NO CORRESPONDE","NO CORRESPONDE",IF(Z875&gt;0,"FACTURADO","PENDIENTE")))</f>
        <v>FACTURADO</v>
      </c>
      <c r="AG875" s="133">
        <f>IFERROR(VLOOKUP(DATA[[#This Row],[COMBINADA]],#REF!,6,0),0)</f>
        <v>0</v>
      </c>
      <c r="AH875" s="125">
        <f>IFERROR(VLOOKUP(DATA[[#This Row],[COMBINADA]],#REF!,9,0),0)/COUNTIFS(DATA[COMBINADA],DATA[[#This Row],[COMBINADA]])</f>
        <v>0</v>
      </c>
      <c r="AI875" s="136">
        <f>IFERROR(VLOOKUP(DATA[[#This Row],[COMBINADA]],#REF!,6,0),0)</f>
        <v>0</v>
      </c>
      <c r="AJ875" s="132">
        <f>IFERROR(VLOOKUP(DATA[[#This Row],[COMBINADA]],#REF!,9,0),0)/COUNTIFS(DATA[COMBINADA],DATA[[#This Row],[COMBINADA]])</f>
        <v>0</v>
      </c>
      <c r="AK875" s="407">
        <f>IFERROR(VLOOKUP(DATA[[#This Row],[COMBINADA]],#REF!,6,0),0)</f>
        <v>0</v>
      </c>
      <c r="AL875" s="125">
        <f>IFERROR(VLOOKUP(DATA[[#This Row],[COMBINADA]],#REF!,9,0),0)/COUNTIFS(DATA[COMBINADA],DATA[[#This Row],[COMBINADA]])</f>
        <v>0</v>
      </c>
      <c r="AM875" s="27">
        <f>IFERROR(VLOOKUP(DATA[[#This Row],[COMBINADA]],#REF!,6,0),0)</f>
        <v>0</v>
      </c>
      <c r="AN875" s="125">
        <f>IFERROR(VLOOKUP(DATA[[#This Row],[COMBINADA]],#REF!,9,0),0)/COUNTIFS(DATA[COMBINADA],DATA[[#This Row],[COMBINADA]])</f>
        <v>0</v>
      </c>
      <c r="AO875" s="27">
        <f>IFERROR(VLOOKUP(DATA[[#This Row],[COMBINADA]],#REF!,6,0),0)</f>
        <v>0</v>
      </c>
      <c r="AP875" s="132">
        <f>IFERROR(VLOOKUP(DATA[[#This Row],[COMBINADA]],#REF!,9,0),0)/COUNTIFS(DATA[COMBINADA],DATA[[#This Row],[COMBINADA]])</f>
        <v>0</v>
      </c>
      <c r="AQ87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3002.75</v>
      </c>
      <c r="AR875" s="26" t="str">
        <f>IFERROR(IF(DATA[[#This Row],[estado_fact]]="FACTURADO",VLOOKUP(DATA[[#This Row],[SERIE2]]&amp;"-"&amp;DATA[[#This Row],[NUMERO]],#REF!,34,0),"NO CORRESPONDE"),"NO CORRESPONDE")</f>
        <v>NO CORRESPONDE</v>
      </c>
      <c r="AS875" s="22" t="str">
        <f>IF(DATA[[#This Row],[fecha_fs]]&gt;0,TEXT(DATA[[#This Row],[fecha_fs]],"Mmmm"),0)</f>
        <v>Julio</v>
      </c>
      <c r="AT875" s="22" t="str">
        <f>DATA[[#This Row],[SERIE2]]&amp;"-"&amp;DATA[[#This Row],[NUMERO]]</f>
        <v>FF01-243</v>
      </c>
      <c r="AU875" s="28">
        <f>DATA[[#This Row],[TOTAL]]*DATA[[#This Row],[T.C.]]</f>
        <v>3002.75</v>
      </c>
      <c r="AV875" s="6">
        <f>DATA[[#This Row],[FECHA DE VAL.]]</f>
        <v>45863</v>
      </c>
      <c r="AW875" s="6">
        <f>DATA[[#This Row],[FECHA DE EMISION]]</f>
        <v>45905</v>
      </c>
      <c r="AX875" s="6">
        <f>DATA[[#This Row],[F1]]</f>
        <v>0</v>
      </c>
      <c r="AY875" s="20">
        <f>IF(AV875-DATA[[#This Row],[fecha_fs]]&lt;0,0,AV875-DATA[[#This Row],[fecha_fs]])</f>
        <v>23</v>
      </c>
      <c r="AZ875" s="20">
        <f t="shared" si="89"/>
        <v>42</v>
      </c>
      <c r="BA875" s="20">
        <f t="shared" si="90"/>
        <v>0</v>
      </c>
      <c r="BB875" s="195">
        <f>IFERROR(SUM(DATA[[#This Row],[fs_val_ttf]:[fact_pago_ttf]]),0)</f>
        <v>65</v>
      </c>
      <c r="BC875" s="185">
        <v>45894</v>
      </c>
      <c r="BD875" s="185">
        <v>45903</v>
      </c>
      <c r="BE875" s="185">
        <v>45909</v>
      </c>
      <c r="BF875" s="185">
        <v>45903</v>
      </c>
      <c r="BG875" s="20">
        <f>IFERROR(IF(BC875-DATA[[#This Row],[fecha_fs]]&lt;0,0,BC875-DATA[[#This Row],[fecha_fs]]),0)</f>
        <v>54</v>
      </c>
      <c r="BH875" s="20">
        <f t="shared" si="92"/>
        <v>9</v>
      </c>
      <c r="BI875" s="20">
        <f t="shared" si="93"/>
        <v>6</v>
      </c>
      <c r="BJ875" s="20">
        <f t="shared" si="94"/>
        <v>0</v>
      </c>
      <c r="BK875" s="218">
        <f>IFERROR(SUM(DATA[[#This Row],[fs_fd_ttd]:[fend_fenf_ttd]]),0)</f>
        <v>69</v>
      </c>
      <c r="BL875" s="20" t="str">
        <f>IF(DATA[[#This Row],[fecha_fs]]&gt;0,TEXT(DATA[[#This Row],[fecha_fs]],"YYYY"),0)</f>
        <v>2025</v>
      </c>
      <c r="BM875" s="221" t="b">
        <v>1</v>
      </c>
      <c r="BN875" s="278">
        <f>COUNTIF(DATA[[#This Row],[tiempo_td]], "&lt;=15")</f>
        <v>0</v>
      </c>
      <c r="BO875" s="222"/>
    </row>
    <row r="876" spans="1:67" ht="30.6" customHeight="1" x14ac:dyDescent="0.25">
      <c r="A876" s="4">
        <v>20100055237</v>
      </c>
      <c r="B876" s="5" t="s">
        <v>21</v>
      </c>
      <c r="C876" s="52" t="s">
        <v>138</v>
      </c>
      <c r="D876" s="4" t="s">
        <v>139</v>
      </c>
      <c r="E876" s="5" t="s">
        <v>23</v>
      </c>
      <c r="F876" s="24">
        <v>45841</v>
      </c>
      <c r="G876" s="7" t="s">
        <v>113</v>
      </c>
      <c r="H876" s="25">
        <f t="shared" si="88"/>
        <v>1</v>
      </c>
      <c r="I876" s="67">
        <v>4710</v>
      </c>
      <c r="J876" s="8" t="s">
        <v>115</v>
      </c>
      <c r="K876" s="9" t="s">
        <v>121</v>
      </c>
      <c r="L876" s="10" t="s">
        <v>117</v>
      </c>
      <c r="M876" s="11">
        <v>60</v>
      </c>
      <c r="N876" s="12" t="s">
        <v>132</v>
      </c>
      <c r="O876" s="6">
        <v>45869</v>
      </c>
      <c r="P876" s="54">
        <v>3582</v>
      </c>
      <c r="Q876" s="14" t="s">
        <v>85</v>
      </c>
      <c r="R876" s="56"/>
      <c r="S876" s="56">
        <v>297.92</v>
      </c>
      <c r="T876" s="15">
        <f>DATA[[#This Row],[C. DF]]+DATA[[#This Row],[C.OPE.]]</f>
        <v>297.92</v>
      </c>
      <c r="U876" s="15">
        <f>DATA[[#This Row],[SUB TOTAL]]*0.18</f>
        <v>53.625599999999999</v>
      </c>
      <c r="V876" s="15">
        <f>IFERROR(ROUND(DATA[[#This Row],[SUB TOTAL]]+DATA[[#This Row],[IGV]],2),0)</f>
        <v>351.55</v>
      </c>
      <c r="W876" s="16" t="str">
        <f>IF(DATA[[#This Row],[VALORIZACIÓN ]]="-","NO CORRESPONDE",IF(OR(A876=20558226979,A876=10470707866,A876=20111157058,A876=20100226902),"NO CORRESPONDE",IF(J876="Emitida",IF(P876&gt;0,"EMITIDA","PENDIENTE"),"NO CORRESPONDE")))</f>
        <v>EMITIDA</v>
      </c>
      <c r="X876" s="29"/>
      <c r="Y876" s="17" t="s">
        <v>118</v>
      </c>
      <c r="Z876" s="30">
        <v>45883</v>
      </c>
      <c r="AA876" s="10" t="s">
        <v>150</v>
      </c>
      <c r="AB876" s="19">
        <v>205</v>
      </c>
      <c r="AC876" s="20">
        <v>30</v>
      </c>
      <c r="AD876" s="18">
        <f>DATA[[#This Row],[FECHA DE EMISION]]+DATA[[#This Row],[CONDICION DE PAGO]]</f>
        <v>45913</v>
      </c>
      <c r="AE876" s="23">
        <f>IF(DATA[[#This Row],[MONEDA]]="USD",VLOOKUP(DATA[[#This Row],[COMBINADA]],#REF!,11,0),1)</f>
        <v>1</v>
      </c>
      <c r="AF876" s="129" t="str">
        <f>IF(DATA[[#This Row],[SERIE2]]="-","NO CORRESPONDE",IF(W876="NO CORRESPONDE","NO CORRESPONDE",IF(Z876&gt;0,"FACTURADO","PENDIENTE")))</f>
        <v>FACTURADO</v>
      </c>
      <c r="AG876" s="133">
        <f>IFERROR(VLOOKUP(DATA[[#This Row],[COMBINADA]],#REF!,6,0),0)</f>
        <v>0</v>
      </c>
      <c r="AH876" s="125">
        <f>IFERROR(VLOOKUP(DATA[[#This Row],[COMBINADA]],#REF!,9,0),0)/COUNTIFS(DATA[COMBINADA],DATA[[#This Row],[COMBINADA]])</f>
        <v>0</v>
      </c>
      <c r="AI876" s="136">
        <f>IFERROR(VLOOKUP(DATA[[#This Row],[COMBINADA]],#REF!,6,0),0)</f>
        <v>0</v>
      </c>
      <c r="AJ876" s="132">
        <f>IFERROR(VLOOKUP(DATA[[#This Row],[COMBINADA]],#REF!,9,0),0)/COUNTIFS(DATA[COMBINADA],DATA[[#This Row],[COMBINADA]])</f>
        <v>0</v>
      </c>
      <c r="AK876" s="407">
        <f>IFERROR(VLOOKUP(DATA[[#This Row],[COMBINADA]],#REF!,6,0),0)</f>
        <v>0</v>
      </c>
      <c r="AL876" s="125">
        <f>IFERROR(VLOOKUP(DATA[[#This Row],[COMBINADA]],#REF!,9,0),0)/COUNTIFS(DATA[COMBINADA],DATA[[#This Row],[COMBINADA]])</f>
        <v>0</v>
      </c>
      <c r="AM876" s="27">
        <f>IFERROR(VLOOKUP(DATA[[#This Row],[COMBINADA]],#REF!,6,0),0)</f>
        <v>0</v>
      </c>
      <c r="AN876" s="125">
        <f>IFERROR(VLOOKUP(DATA[[#This Row],[COMBINADA]],#REF!,9,0),0)/COUNTIFS(DATA[COMBINADA],DATA[[#This Row],[COMBINADA]])</f>
        <v>0</v>
      </c>
      <c r="AO876" s="27">
        <f>IFERROR(VLOOKUP(DATA[[#This Row],[COMBINADA]],#REF!,6,0),0)</f>
        <v>0</v>
      </c>
      <c r="AP876" s="132">
        <f>IFERROR(VLOOKUP(DATA[[#This Row],[COMBINADA]],#REF!,9,0),0)/COUNTIFS(DATA[COMBINADA],DATA[[#This Row],[COMBINADA]])</f>
        <v>0</v>
      </c>
      <c r="AQ87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876" s="26" t="str">
        <f>IFERROR(IF(DATA[[#This Row],[estado_fact]]="FACTURADO",VLOOKUP(DATA[[#This Row],[SERIE2]]&amp;"-"&amp;DATA[[#This Row],[NUMERO]],#REF!,34,0),"NO CORRESPONDE"),"NO CORRESPONDE")</f>
        <v>NO CORRESPONDE</v>
      </c>
      <c r="AS876" s="22" t="str">
        <f>IF(DATA[[#This Row],[fecha_fs]]&gt;0,TEXT(DATA[[#This Row],[fecha_fs]],"Mmmm"),0)</f>
        <v>Julio</v>
      </c>
      <c r="AT876" s="22" t="str">
        <f>DATA[[#This Row],[SERIE2]]&amp;"-"&amp;DATA[[#This Row],[NUMERO]]</f>
        <v>FF01-205</v>
      </c>
      <c r="AU876" s="28">
        <f>DATA[[#This Row],[TOTAL]]*DATA[[#This Row],[T.C.]]</f>
        <v>351.55</v>
      </c>
      <c r="AV876" s="6">
        <f>DATA[[#This Row],[FECHA DE VAL.]]</f>
        <v>45869</v>
      </c>
      <c r="AW876" s="6">
        <f>DATA[[#This Row],[FECHA DE EMISION]]</f>
        <v>45883</v>
      </c>
      <c r="AX876" s="6">
        <f>DATA[[#This Row],[F1]]</f>
        <v>0</v>
      </c>
      <c r="AY876" s="20">
        <f>IF(AV876-DATA[[#This Row],[fecha_fs]]&lt;0,0,AV876-DATA[[#This Row],[fecha_fs]])</f>
        <v>28</v>
      </c>
      <c r="AZ876" s="20">
        <f t="shared" si="89"/>
        <v>14</v>
      </c>
      <c r="BA876" s="20">
        <f t="shared" si="90"/>
        <v>0</v>
      </c>
      <c r="BB876" s="195">
        <f>IFERROR(SUM(DATA[[#This Row],[fs_val_ttf]:[fact_pago_ttf]]),0)</f>
        <v>42</v>
      </c>
      <c r="BC876" s="185">
        <v>45841</v>
      </c>
      <c r="BD876" s="185">
        <v>45841</v>
      </c>
      <c r="BE876" s="185">
        <v>45870</v>
      </c>
      <c r="BF876" s="185">
        <v>45870</v>
      </c>
      <c r="BG876" s="20">
        <f>IFERROR(IF(BC876-DATA[[#This Row],[fecha_fs]]&lt;0,0,BC876-DATA[[#This Row],[fecha_fs]]),0)</f>
        <v>0</v>
      </c>
      <c r="BH876" s="20">
        <f t="shared" si="92"/>
        <v>0</v>
      </c>
      <c r="BI876" s="20">
        <f t="shared" si="93"/>
        <v>29</v>
      </c>
      <c r="BJ876" s="20">
        <f t="shared" si="94"/>
        <v>0</v>
      </c>
      <c r="BK876" s="218">
        <f>IFERROR(SUM(DATA[[#This Row],[fs_fd_ttd]:[fend_fenf_ttd]]),0)</f>
        <v>29</v>
      </c>
      <c r="BL876" s="20" t="str">
        <f>IF(DATA[[#This Row],[fecha_fs]]&gt;0,TEXT(DATA[[#This Row],[fecha_fs]],"YYYY"),0)</f>
        <v>2025</v>
      </c>
      <c r="BM876" s="221" t="b">
        <v>1</v>
      </c>
      <c r="BN876" s="278">
        <f>COUNTIF(DATA[[#This Row],[tiempo_td]], "&lt;=15")</f>
        <v>0</v>
      </c>
      <c r="BO876" s="222"/>
    </row>
    <row r="877" spans="1:67" ht="30.6" customHeight="1" x14ac:dyDescent="0.25">
      <c r="A877" s="4">
        <v>20454186002</v>
      </c>
      <c r="B877" s="5" t="s">
        <v>25</v>
      </c>
      <c r="C877" s="52" t="s">
        <v>18</v>
      </c>
      <c r="D877" s="4" t="s">
        <v>152</v>
      </c>
      <c r="E877" s="5" t="s">
        <v>10</v>
      </c>
      <c r="F877" s="24">
        <v>45841</v>
      </c>
      <c r="G877" s="7" t="s">
        <v>113</v>
      </c>
      <c r="H877" s="25">
        <f>IF(G877="","",IF(G877="LIM",2,1))</f>
        <v>1</v>
      </c>
      <c r="I877" s="67">
        <v>4711</v>
      </c>
      <c r="J877" s="8" t="s">
        <v>115</v>
      </c>
      <c r="K877" s="9" t="s">
        <v>153</v>
      </c>
      <c r="L877" s="10" t="s">
        <v>117</v>
      </c>
      <c r="M877" s="11">
        <v>370</v>
      </c>
      <c r="N877" s="12" t="s">
        <v>135</v>
      </c>
      <c r="O877" s="40"/>
      <c r="P877" s="41" t="s">
        <v>114</v>
      </c>
      <c r="Q877" s="42"/>
      <c r="R877" s="123"/>
      <c r="S877" s="123"/>
      <c r="T877" s="43">
        <f>DATA[[#This Row],[C. DF]]+DATA[[#This Row],[C.OPE.]]</f>
        <v>0</v>
      </c>
      <c r="U877" s="43">
        <f>DATA[[#This Row],[SUB TOTAL]]*0.18</f>
        <v>0</v>
      </c>
      <c r="V877" s="43">
        <f>IFERROR(ROUND(DATA[[#This Row],[SUB TOTAL]]+DATA[[#This Row],[IGV]],2),0)</f>
        <v>0</v>
      </c>
      <c r="W877" s="44" t="str">
        <f>IF(DATA[[#This Row],[VALORIZACIÓN ]]="-","NO CORRESPONDE",IF(OR(A877=20558226979,A877=10470707866,A877=20111157058,A877=20100226902),"NO CORRESPONDE",IF(J877="Emitida",IF(P877&gt;0,"EMITIDA","PENDIENTE"),"NO CORRESPONDE")))</f>
        <v>NO CORRESPONDE</v>
      </c>
      <c r="X877" s="45"/>
      <c r="Y877" s="58" t="s">
        <v>128</v>
      </c>
      <c r="Z877" s="46"/>
      <c r="AA877" s="47"/>
      <c r="AB877" s="48"/>
      <c r="AC877" s="49"/>
      <c r="AD877" s="50">
        <f>DATA[[#This Row],[FECHA DE EMISION]]+DATA[[#This Row],[CONDICION DE PAGO]]</f>
        <v>0</v>
      </c>
      <c r="AE877" s="51">
        <f>IF(DATA[[#This Row],[MONEDA]]="USD",VLOOKUP(DATA[[#This Row],[COMBINADA]],#REF!,11,0),1)</f>
        <v>1</v>
      </c>
      <c r="AF877" s="129" t="str">
        <f>IF(DATA[[#This Row],[SERIE2]]="-","NO CORRESPONDE",IF(W877="NO CORRESPONDE","NO CORRESPONDE",IF(Z877&gt;0,"FACTURADO","PENDIENTE")))</f>
        <v>NO CORRESPONDE</v>
      </c>
      <c r="AG877" s="140">
        <f>IFERROR(VLOOKUP(DATA[[#This Row],[COMBINADA]],#REF!,6,0),0)</f>
        <v>0</v>
      </c>
      <c r="AH877" s="126">
        <f>IFERROR(VLOOKUP(DATA[[#This Row],[COMBINADA]],#REF!,9,0),0)/COUNTIFS(DATA[COMBINADA],DATA[[#This Row],[COMBINADA]])</f>
        <v>0</v>
      </c>
      <c r="AI877" s="146">
        <f>IFERROR(VLOOKUP(DATA[[#This Row],[COMBINADA]],#REF!,6,0),0)</f>
        <v>0</v>
      </c>
      <c r="AJ877" s="145">
        <f>IFERROR(VLOOKUP(DATA[[#This Row],[COMBINADA]],#REF!,9,0),0)/COUNTIFS(DATA[COMBINADA],DATA[[#This Row],[COMBINADA]])</f>
        <v>0</v>
      </c>
      <c r="AK877" s="412">
        <f>IFERROR(VLOOKUP(DATA[[#This Row],[COMBINADA]],#REF!,6,0),0)</f>
        <v>0</v>
      </c>
      <c r="AL877" s="126">
        <f>IFERROR(VLOOKUP(DATA[[#This Row],[COMBINADA]],#REF!,9,0),0)/COUNTIFS(DATA[COMBINADA],DATA[[#This Row],[COMBINADA]])</f>
        <v>0</v>
      </c>
      <c r="AM877" s="60">
        <f>IFERROR(VLOOKUP(DATA[[#This Row],[COMBINADA]],#REF!,6,0),0)</f>
        <v>0</v>
      </c>
      <c r="AN877" s="126">
        <f>IFERROR(VLOOKUP(DATA[[#This Row],[COMBINADA]],#REF!,9,0),0)/COUNTIFS(DATA[COMBINADA],DATA[[#This Row],[COMBINADA]])</f>
        <v>0</v>
      </c>
      <c r="AO877" s="60">
        <f>IFERROR(VLOOKUP(DATA[[#This Row],[COMBINADA]],#REF!,6,0),0)</f>
        <v>0</v>
      </c>
      <c r="AP877" s="145">
        <f>IFERROR(VLOOKUP(DATA[[#This Row],[COMBINADA]],#REF!,9,0),0)/COUNTIFS(DATA[COMBINADA],DATA[[#This Row],[COMBINADA]])</f>
        <v>0</v>
      </c>
      <c r="AQ877"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877" s="64" t="str">
        <f>IFERROR(IF(DATA[[#This Row],[estado_fact]]="FACTURADO",VLOOKUP(DATA[[#This Row],[SERIE2]]&amp;"-"&amp;DATA[[#This Row],[NUMERO]],#REF!,34,0),"NO CORRESPONDE"),"NO CORRESPONDE")</f>
        <v>NO CORRESPONDE</v>
      </c>
      <c r="AS877" s="22" t="str">
        <f>IF(DATA[[#This Row],[fecha_fs]]&gt;0,TEXT(DATA[[#This Row],[fecha_fs]],"Mmmm"),0)</f>
        <v>Julio</v>
      </c>
      <c r="AT877" s="22" t="str">
        <f>DATA[[#This Row],[SERIE2]]&amp;"-"&amp;DATA[[#This Row],[NUMERO]]</f>
        <v>-</v>
      </c>
      <c r="AU877" s="28">
        <f>DATA[[#This Row],[TOTAL]]*DATA[[#This Row],[T.C.]]</f>
        <v>0</v>
      </c>
      <c r="AV877" s="6">
        <f>DATA[[#This Row],[FECHA DE VAL.]]</f>
        <v>0</v>
      </c>
      <c r="AW877" s="6">
        <f>DATA[[#This Row],[FECHA DE EMISION]]</f>
        <v>0</v>
      </c>
      <c r="AX877" s="6">
        <f>DATA[[#This Row],[F1]]</f>
        <v>0</v>
      </c>
      <c r="AY877" s="20">
        <f>IF(AV877-DATA[[#This Row],[fecha_fs]]&lt;0,0,AV877-DATA[[#This Row],[fecha_fs]])</f>
        <v>0</v>
      </c>
      <c r="AZ877" s="20">
        <f>IF(AW877-AV877&lt;0,0,AW877-AV877)</f>
        <v>0</v>
      </c>
      <c r="BA877" s="20">
        <f>IF(AX877-AW877&lt;0,0,AX877-AW877)</f>
        <v>0</v>
      </c>
      <c r="BB877" s="195">
        <f>IFERROR(SUM(DATA[[#This Row],[fs_val_ttf]:[fact_pago_ttf]]),0)</f>
        <v>0</v>
      </c>
      <c r="BC877" s="185">
        <v>45849</v>
      </c>
      <c r="BD877" s="185">
        <v>45876</v>
      </c>
      <c r="BE877" s="185">
        <v>45877</v>
      </c>
      <c r="BF877" s="185">
        <v>45889</v>
      </c>
      <c r="BG877" s="20">
        <f>IFERROR(IF(BC877-DATA[[#This Row],[fecha_fs]]&lt;0,0,BC877-DATA[[#This Row],[fecha_fs]]),0)</f>
        <v>8</v>
      </c>
      <c r="BH877" s="20">
        <f>IFERROR(IF(BD877-BC877&lt;0,0,BD877-BC877),0)</f>
        <v>27</v>
      </c>
      <c r="BI877" s="20">
        <f>IFERROR(IF(BE877-BD877&lt;0,0,BE877-BD877),0)</f>
        <v>1</v>
      </c>
      <c r="BJ877" s="20">
        <f>IFERROR(IF(BF877-BE877&lt;0,0,BF877-BE877),0)</f>
        <v>12</v>
      </c>
      <c r="BK877" s="218">
        <f>IFERROR(SUM(DATA[[#This Row],[fs_fd_ttd]:[fend_fenf_ttd]]),0)</f>
        <v>48</v>
      </c>
      <c r="BL877" s="20" t="str">
        <f>IF(DATA[[#This Row],[fecha_fs]]&gt;0,TEXT(DATA[[#This Row],[fecha_fs]],"YYYY"),0)</f>
        <v>2025</v>
      </c>
      <c r="BM877" s="221" t="b">
        <v>1</v>
      </c>
      <c r="BN877" s="278">
        <f>COUNTIF(DATA[[#This Row],[tiempo_td]], "&lt;=15")</f>
        <v>0</v>
      </c>
      <c r="BO877" s="222"/>
    </row>
    <row r="878" spans="1:67" ht="30.6" customHeight="1" x14ac:dyDescent="0.25">
      <c r="A878" s="4">
        <v>20100192064</v>
      </c>
      <c r="B878" s="5" t="s">
        <v>60</v>
      </c>
      <c r="C878" s="52" t="s">
        <v>66</v>
      </c>
      <c r="D878" s="4" t="s">
        <v>120</v>
      </c>
      <c r="E878" s="5" t="s">
        <v>3</v>
      </c>
      <c r="F878" s="24">
        <v>45840</v>
      </c>
      <c r="G878" s="7" t="s">
        <v>142</v>
      </c>
      <c r="H878" s="25">
        <f t="shared" si="88"/>
        <v>2</v>
      </c>
      <c r="I878" s="67">
        <v>1105</v>
      </c>
      <c r="J878" s="8" t="s">
        <v>115</v>
      </c>
      <c r="K878" s="9" t="s">
        <v>169</v>
      </c>
      <c r="L878" s="10" t="s">
        <v>117</v>
      </c>
      <c r="M878" s="11">
        <v>1090</v>
      </c>
      <c r="N878" s="12" t="s">
        <v>293</v>
      </c>
      <c r="O878" s="6">
        <v>45863</v>
      </c>
      <c r="P878" s="71">
        <v>3568</v>
      </c>
      <c r="Q878" s="14" t="s">
        <v>123</v>
      </c>
      <c r="R878" s="74"/>
      <c r="S878" s="56">
        <f>227</f>
        <v>227</v>
      </c>
      <c r="T878" s="15">
        <f>DATA[[#This Row],[C. DF]]+DATA[[#This Row],[C.OPE.]]</f>
        <v>227</v>
      </c>
      <c r="U878" s="15">
        <f>DATA[[#This Row],[SUB TOTAL]]*0.18</f>
        <v>40.86</v>
      </c>
      <c r="V878" s="15">
        <f>IFERROR(ROUND(DATA[[#This Row],[SUB TOTAL]]+DATA[[#This Row],[IGV]],2),0)</f>
        <v>267.86</v>
      </c>
      <c r="W878" s="16" t="str">
        <f>IF(DATA[[#This Row],[VALORIZACIÓN ]]="-","NO CORRESPONDE",IF(OR(A878=20558226979,A878=10470707866,A878=20111157058,A878=20100226902),"NO CORRESPONDE",IF(J878="Emitida",IF(P878&gt;0,"EMITIDA","PENDIENTE"),"NO CORRESPONDE")))</f>
        <v>EMITIDA</v>
      </c>
      <c r="X878" s="29"/>
      <c r="Y878" s="17" t="s">
        <v>118</v>
      </c>
      <c r="Z878" s="30">
        <v>45869</v>
      </c>
      <c r="AA878" s="10" t="s">
        <v>150</v>
      </c>
      <c r="AB878" s="19">
        <v>190</v>
      </c>
      <c r="AC878" s="20">
        <v>30</v>
      </c>
      <c r="AD878" s="18">
        <f>DATA[[#This Row],[FECHA DE EMISION]]+DATA[[#This Row],[CONDICION DE PAGO]]</f>
        <v>45899</v>
      </c>
      <c r="AE878" s="23" t="e">
        <f>IF(DATA[[#This Row],[MONEDA]]="USD",VLOOKUP(DATA[[#This Row],[COMBINADA]],#REF!,11,0),1)</f>
        <v>#REF!</v>
      </c>
      <c r="AF878" s="39" t="str">
        <f>IF(DATA[[#This Row],[SERIE2]]="-","NO CORRESPONDE",IF(W878="NO CORRESPONDE","NO CORRESPONDE",IF(Z878&gt;0,"FACTURADO","PENDIENTE")))</f>
        <v>FACTURADO</v>
      </c>
      <c r="AG878" s="133">
        <f>IFERROR(VLOOKUP(DATA[[#This Row],[COMBINADA]],#REF!,6,0),0)</f>
        <v>0</v>
      </c>
      <c r="AH878" s="125">
        <f>IFERROR(VLOOKUP(DATA[[#This Row],[COMBINADA]],#REF!,9,0),0)/COUNTIFS(DATA[COMBINADA],DATA[[#This Row],[COMBINADA]])</f>
        <v>0</v>
      </c>
      <c r="AI878" s="136">
        <f>IFERROR(VLOOKUP(DATA[[#This Row],[COMBINADA]],#REF!,6,0),0)</f>
        <v>0</v>
      </c>
      <c r="AJ878" s="132">
        <f>IFERROR(VLOOKUP(DATA[[#This Row],[COMBINADA]],#REF!,9,0),0)/COUNTIFS(DATA[COMBINADA],DATA[[#This Row],[COMBINADA]])</f>
        <v>0</v>
      </c>
      <c r="AK878" s="408">
        <f>IFERROR(VLOOKUP(DATA[[#This Row],[COMBINADA]],#REF!,6,0),0)</f>
        <v>0</v>
      </c>
      <c r="AL878" s="125">
        <f>IFERROR(VLOOKUP(DATA[[#This Row],[COMBINADA]],#REF!,9,0),0)/COUNTIFS(DATA[COMBINADA],DATA[[#This Row],[COMBINADA]])</f>
        <v>0</v>
      </c>
      <c r="AM878" s="27">
        <f>IFERROR(VLOOKUP(DATA[[#This Row],[COMBINADA]],#REF!,6,0),0)</f>
        <v>0</v>
      </c>
      <c r="AN878" s="125">
        <f>IFERROR(VLOOKUP(DATA[[#This Row],[COMBINADA]],#REF!,9,0),0)/COUNTIFS(DATA[COMBINADA],DATA[[#This Row],[COMBINADA]])</f>
        <v>0</v>
      </c>
      <c r="AO878" s="27">
        <f>IFERROR(VLOOKUP(DATA[[#This Row],[COMBINADA]],#REF!,6,0),0)</f>
        <v>0</v>
      </c>
      <c r="AP878" s="132">
        <f>IFERROR(VLOOKUP(DATA[[#This Row],[COMBINADA]],#REF!,9,0),0)/COUNTIFS(DATA[COMBINADA],DATA[[#This Row],[COMBINADA]])</f>
        <v>0</v>
      </c>
      <c r="AQ87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681.36900000000003</v>
      </c>
      <c r="AR878" s="26" t="str">
        <f>IFERROR(IF(DATA[[#This Row],[estado_fact]]="FACTURADO",VLOOKUP(DATA[[#This Row],[SERIE2]]&amp;"-"&amp;DATA[[#This Row],[NUMERO]],#REF!,34,0),"NO CORRESPONDE"),"NO CORRESPONDE")</f>
        <v>NO CORRESPONDE</v>
      </c>
      <c r="AS878" s="22" t="str">
        <f>IF(DATA[[#This Row],[fecha_fs]]&gt;0,TEXT(DATA[[#This Row],[fecha_fs]],"Mmmm"),0)</f>
        <v>Julio</v>
      </c>
      <c r="AT878" s="22" t="str">
        <f>DATA[[#This Row],[SERIE2]]&amp;"-"&amp;DATA[[#This Row],[NUMERO]]</f>
        <v>FF01-190</v>
      </c>
      <c r="AU878" s="28" t="e">
        <f>DATA[[#This Row],[TOTAL]]*DATA[[#This Row],[T.C.]]</f>
        <v>#REF!</v>
      </c>
      <c r="AV878" s="6">
        <f>DATA[[#This Row],[FECHA DE VAL.]]</f>
        <v>45863</v>
      </c>
      <c r="AW878" s="6">
        <f>DATA[[#This Row],[FECHA DE EMISION]]</f>
        <v>45869</v>
      </c>
      <c r="AX878" s="6">
        <f>DATA[[#This Row],[F1]]</f>
        <v>0</v>
      </c>
      <c r="AY878" s="20">
        <f>IF(AV878-DATA[[#This Row],[fecha_fs]]&lt;0,0,AV878-DATA[[#This Row],[fecha_fs]])</f>
        <v>23</v>
      </c>
      <c r="AZ878" s="20">
        <f t="shared" si="89"/>
        <v>6</v>
      </c>
      <c r="BA878" s="20">
        <f t="shared" si="90"/>
        <v>0</v>
      </c>
      <c r="BB878" s="195">
        <f>IFERROR(SUM(DATA[[#This Row],[fs_val_ttf]:[fact_pago_ttf]]),0)</f>
        <v>29</v>
      </c>
      <c r="BC878" s="185">
        <v>45840</v>
      </c>
      <c r="BD878" s="185">
        <v>45876</v>
      </c>
      <c r="BE878" s="185">
        <v>45877</v>
      </c>
      <c r="BF878" s="185">
        <v>45877</v>
      </c>
      <c r="BG878" s="20">
        <f>IFERROR(IF(BC878-DATA[[#This Row],[fecha_fs]]&lt;0,0,BC878-DATA[[#This Row],[fecha_fs]]),0)</f>
        <v>0</v>
      </c>
      <c r="BH878" s="20">
        <f t="shared" si="92"/>
        <v>36</v>
      </c>
      <c r="BI878" s="20">
        <f t="shared" si="93"/>
        <v>1</v>
      </c>
      <c r="BJ878" s="20">
        <f t="shared" si="94"/>
        <v>0</v>
      </c>
      <c r="BK878" s="218">
        <f>IFERROR(SUM(DATA[[#This Row],[fs_fd_ttd]:[fend_fenf_ttd]]),0)</f>
        <v>37</v>
      </c>
      <c r="BL878" s="20" t="str">
        <f>IF(DATA[[#This Row],[fecha_fs]]&gt;0,TEXT(DATA[[#This Row],[fecha_fs]],"YYYY"),0)</f>
        <v>2025</v>
      </c>
      <c r="BM878" s="221" t="b">
        <v>1</v>
      </c>
      <c r="BN878" s="278">
        <f>COUNTIF(DATA[[#This Row],[tiempo_td]], "&lt;=15")</f>
        <v>0</v>
      </c>
      <c r="BO878" s="222"/>
    </row>
    <row r="879" spans="1:67" ht="30.6" customHeight="1" x14ac:dyDescent="0.25">
      <c r="A879" s="4"/>
      <c r="B879" s="5" t="s">
        <v>0</v>
      </c>
      <c r="C879" s="52"/>
      <c r="D879" s="4"/>
      <c r="E879" s="5" t="s">
        <v>0</v>
      </c>
      <c r="F879" s="24">
        <v>45840</v>
      </c>
      <c r="G879" s="7" t="s">
        <v>142</v>
      </c>
      <c r="H879" s="25">
        <f t="shared" si="88"/>
        <v>2</v>
      </c>
      <c r="I879" s="67">
        <v>1106</v>
      </c>
      <c r="J879" s="8" t="s">
        <v>151</v>
      </c>
      <c r="K879" s="9"/>
      <c r="L879" s="10"/>
      <c r="M879" s="111"/>
      <c r="N879" s="112"/>
      <c r="O879" s="6"/>
      <c r="P879" s="13"/>
      <c r="Q879" s="14"/>
      <c r="R879" s="56"/>
      <c r="S879" s="56"/>
      <c r="T879" s="15">
        <f>DATA[[#This Row],[C. DF]]+DATA[[#This Row],[C.OPE.]]</f>
        <v>0</v>
      </c>
      <c r="U879" s="56">
        <f>DATA[[#This Row],[SUB TOTAL]]*0.18</f>
        <v>0</v>
      </c>
      <c r="V879" s="56">
        <f>IFERROR(ROUND(DATA[[#This Row],[SUB TOTAL]]+DATA[[#This Row],[IGV]],2),0)</f>
        <v>0</v>
      </c>
      <c r="W879" s="73" t="str">
        <f>IF(DATA[[#This Row],[VALORIZACIÓN ]]="-","NO CORRESPONDE",IF(OR(A879=20558226979,A879=10470707866,A879=20111157058,A879=20100226902),"NO CORRESPONDE",IF(J879="Emitida",IF(P879&gt;0,"EMITIDA","PENDIENTE"),"NO CORRESPONDE")))</f>
        <v>NO CORRESPONDE</v>
      </c>
      <c r="X879" s="46"/>
      <c r="Y879" s="17" t="s">
        <v>128</v>
      </c>
      <c r="Z879" s="48"/>
      <c r="AA879" s="49"/>
      <c r="AB879" s="50"/>
      <c r="AC879" s="51"/>
      <c r="AD879" s="59">
        <f>DATA[[#This Row],[FECHA DE EMISION]]+DATA[[#This Row],[CONDICION DE PAGO]]</f>
        <v>0</v>
      </c>
      <c r="AE879" s="23">
        <f>IF(DATA[[#This Row],[MONEDA]]="USD",VLOOKUP(DATA[[#This Row],[COMBINADA]],#REF!,11,0),1)</f>
        <v>1</v>
      </c>
      <c r="AF879" s="129" t="str">
        <f>IF(DATA[[#This Row],[SERIE2]]="-","NO CORRESPONDE",IF(W879="NO CORRESPONDE","NO CORRESPONDE",IF(Z879&gt;0,"FACTURADO","PENDIENTE")))</f>
        <v>NO CORRESPONDE</v>
      </c>
      <c r="AG879" s="140">
        <f>IFERROR(VLOOKUP(DATA[[#This Row],[COMBINADA]],#REF!,6,0),0)</f>
        <v>0</v>
      </c>
      <c r="AH879" s="126">
        <f>IFERROR(VLOOKUP(DATA[[#This Row],[COMBINADA]],#REF!,9,0),0)/COUNTIFS(DATA[COMBINADA],DATA[[#This Row],[COMBINADA]])</f>
        <v>0</v>
      </c>
      <c r="AI879" s="140">
        <f>IFERROR(VLOOKUP(DATA[[#This Row],[COMBINADA]],#REF!,6,0),0)</f>
        <v>0</v>
      </c>
      <c r="AJ879" s="126">
        <f>IFERROR(VLOOKUP(DATA[[#This Row],[COMBINADA]],#REF!,9,0),0)/COUNTIFS(DATA[COMBINADA],DATA[[#This Row],[COMBINADA]])</f>
        <v>0</v>
      </c>
      <c r="AK879" s="61">
        <f>IFERROR(VLOOKUP(DATA[[#This Row],[COMBINADA]],#REF!,6,0),0)</f>
        <v>0</v>
      </c>
      <c r="AL879" s="126">
        <f>IFERROR(VLOOKUP(DATA[[#This Row],[COMBINADA]],#REF!,9,0),0)/COUNTIFS(DATA[COMBINADA],DATA[[#This Row],[COMBINADA]])</f>
        <v>0</v>
      </c>
      <c r="AM879" s="140">
        <f>IFERROR(VLOOKUP(DATA[[#This Row],[COMBINADA]],#REF!,6,0),0)</f>
        <v>0</v>
      </c>
      <c r="AN879" s="62">
        <f>IFERROR(VLOOKUP(DATA[[#This Row],[COMBINADA]],#REF!,9,0),0)/COUNTIFS(DATA[COMBINADA],DATA[[#This Row],[COMBINADA]])</f>
        <v>0</v>
      </c>
      <c r="AO879" s="61">
        <f>IFERROR(VLOOKUP(DATA[[#This Row],[COMBINADA]],#REF!,6,0),0)</f>
        <v>0</v>
      </c>
      <c r="AP879" s="62">
        <f>IFERROR(VLOOKUP(DATA[[#This Row],[COMBINADA]],#REF!,9,0),0)/COUNTIFS(DATA[COMBINADA],DATA[[#This Row],[COMBINADA]])</f>
        <v>0</v>
      </c>
      <c r="AQ879"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879" s="22" t="str">
        <f>IFERROR(IF(DATA[[#This Row],[estado_fact]]="FACTURADO",VLOOKUP(DATA[[#This Row],[SERIE2]]&amp;"-"&amp;DATA[[#This Row],[NUMERO]],#REF!,34,0),"NO CORRESPONDE"),"NO CORRESPONDE")</f>
        <v>NO CORRESPONDE</v>
      </c>
      <c r="AS879" s="198" t="str">
        <f>IF(DATA[[#This Row],[fecha_fs]]&gt;0,TEXT(DATA[[#This Row],[fecha_fs]],"Mmmm"),0)</f>
        <v>Julio</v>
      </c>
      <c r="AT879" s="199" t="str">
        <f>DATA[[#This Row],[SERIE2]]&amp;"-"&amp;DATA[[#This Row],[NUMERO]]</f>
        <v>-</v>
      </c>
      <c r="AU879" s="198">
        <f>DATA[[#This Row],[TOTAL]]*DATA[[#This Row],[T.C.]]</f>
        <v>0</v>
      </c>
      <c r="AV879" s="40">
        <f>DATA[[#This Row],[FECHA DE VAL.]]</f>
        <v>0</v>
      </c>
      <c r="AW879" s="40">
        <f>DATA[[#This Row],[FECHA DE EMISION]]</f>
        <v>0</v>
      </c>
      <c r="AX879" s="40">
        <f>DATA[[#This Row],[F1]]</f>
        <v>0</v>
      </c>
      <c r="AY879" s="49">
        <f>IF(AV879-DATA[[#This Row],[fecha_fs]]&lt;0,0,AV879-DATA[[#This Row],[fecha_fs]])</f>
        <v>0</v>
      </c>
      <c r="AZ879" s="49">
        <f t="shared" si="89"/>
        <v>0</v>
      </c>
      <c r="BA879" s="49">
        <f t="shared" si="90"/>
        <v>0</v>
      </c>
      <c r="BB879" s="195">
        <f>IFERROR(SUM(DATA[[#This Row],[fs_val_ttf]:[fact_pago_ttf]]),0)</f>
        <v>0</v>
      </c>
      <c r="BC879" s="47"/>
      <c r="BD879" s="47"/>
      <c r="BE879" s="47"/>
      <c r="BF879" s="47"/>
      <c r="BG879" s="49">
        <f>IFERROR(IF(BC879-DATA[[#This Row],[fecha_fs]]&lt;0,0,BC879-DATA[[#This Row],[fecha_fs]]),0)</f>
        <v>0</v>
      </c>
      <c r="BH879" s="49">
        <f t="shared" si="92"/>
        <v>0</v>
      </c>
      <c r="BI879" s="49">
        <f t="shared" si="93"/>
        <v>0</v>
      </c>
      <c r="BJ879" s="49">
        <f t="shared" si="94"/>
        <v>0</v>
      </c>
      <c r="BK879" s="218">
        <f>IFERROR(SUM(DATA[[#This Row],[fs_fd_ttd]:[fend_fenf_ttd]]),0)</f>
        <v>0</v>
      </c>
      <c r="BL879" s="20" t="str">
        <f>IF(DATA[[#This Row],[fecha_fs]]&gt;0,TEXT(DATA[[#This Row],[fecha_fs]],"YYYY"),0)</f>
        <v>2025</v>
      </c>
      <c r="BM879" s="221" t="b">
        <v>0</v>
      </c>
      <c r="BN879" s="278"/>
      <c r="BO879" s="222"/>
    </row>
    <row r="880" spans="1:67" ht="30.6" customHeight="1" x14ac:dyDescent="0.25">
      <c r="A880" s="4">
        <v>20100192064</v>
      </c>
      <c r="B880" s="5" t="s">
        <v>60</v>
      </c>
      <c r="C880" s="52" t="s">
        <v>65</v>
      </c>
      <c r="D880" s="4" t="s">
        <v>120</v>
      </c>
      <c r="E880" s="5" t="s">
        <v>3</v>
      </c>
      <c r="F880" s="24">
        <v>45840</v>
      </c>
      <c r="G880" s="7" t="s">
        <v>142</v>
      </c>
      <c r="H880" s="25">
        <f t="shared" si="88"/>
        <v>2</v>
      </c>
      <c r="I880" s="67">
        <v>1107</v>
      </c>
      <c r="J880" s="8" t="s">
        <v>115</v>
      </c>
      <c r="K880" s="9" t="s">
        <v>121</v>
      </c>
      <c r="L880" s="10" t="s">
        <v>117</v>
      </c>
      <c r="M880" s="11">
        <v>1090</v>
      </c>
      <c r="N880" s="12" t="s">
        <v>180</v>
      </c>
      <c r="O880" s="6">
        <v>45863</v>
      </c>
      <c r="P880" s="71">
        <v>3563</v>
      </c>
      <c r="Q880" s="14" t="s">
        <v>123</v>
      </c>
      <c r="R880" s="56">
        <f>(DATA[[#This Row],[cantidad_fs]]/1000)*(37+81.01)</f>
        <v>128.63090000000003</v>
      </c>
      <c r="S880" s="56">
        <v>103.6</v>
      </c>
      <c r="T880" s="15">
        <f>DATA[[#This Row],[C. DF]]+DATA[[#This Row],[C.OPE.]]</f>
        <v>232.23090000000002</v>
      </c>
      <c r="U880" s="15">
        <f>DATA[[#This Row],[SUB TOTAL]]*0.18</f>
        <v>41.801562000000004</v>
      </c>
      <c r="V880" s="15">
        <f>IFERROR(ROUND(DATA[[#This Row],[SUB TOTAL]]+DATA[[#This Row],[IGV]],2),0)</f>
        <v>274.02999999999997</v>
      </c>
      <c r="W880" s="16" t="str">
        <f>IF(DATA[[#This Row],[VALORIZACIÓN ]]="-","NO CORRESPONDE",IF(OR(A880=20558226979,A880=10470707866,A880=20111157058,A880=20100226902),"NO CORRESPONDE",IF(J880="Emitida",IF(P880&gt;0,"EMITIDA","PENDIENTE"),"NO CORRESPONDE")))</f>
        <v>EMITIDA</v>
      </c>
      <c r="X880" s="29"/>
      <c r="Y880" s="17" t="s">
        <v>118</v>
      </c>
      <c r="Z880" s="30">
        <v>45869</v>
      </c>
      <c r="AA880" s="10" t="s">
        <v>150</v>
      </c>
      <c r="AB880" s="19">
        <v>190</v>
      </c>
      <c r="AC880" s="20">
        <v>30</v>
      </c>
      <c r="AD880" s="18">
        <f>DATA[[#This Row],[FECHA DE EMISION]]+DATA[[#This Row],[CONDICION DE PAGO]]</f>
        <v>45899</v>
      </c>
      <c r="AE880" s="23" t="e">
        <f>IF(DATA[[#This Row],[MONEDA]]="USD",VLOOKUP(DATA[[#This Row],[COMBINADA]],#REF!,11,0),1)</f>
        <v>#REF!</v>
      </c>
      <c r="AF880" s="39" t="str">
        <f>IF(DATA[[#This Row],[SERIE2]]="-","NO CORRESPONDE",IF(W880="NO CORRESPONDE","NO CORRESPONDE",IF(Z880&gt;0,"FACTURADO","PENDIENTE")))</f>
        <v>FACTURADO</v>
      </c>
      <c r="AG880" s="133">
        <f>IFERROR(VLOOKUP(DATA[[#This Row],[COMBINADA]],#REF!,6,0),0)</f>
        <v>0</v>
      </c>
      <c r="AH880" s="125">
        <f>IFERROR(VLOOKUP(DATA[[#This Row],[COMBINADA]],#REF!,9,0),0)/COUNTIFS(DATA[COMBINADA],DATA[[#This Row],[COMBINADA]])</f>
        <v>0</v>
      </c>
      <c r="AI880" s="136">
        <f>IFERROR(VLOOKUP(DATA[[#This Row],[COMBINADA]],#REF!,6,0),0)</f>
        <v>0</v>
      </c>
      <c r="AJ880" s="132">
        <f>IFERROR(VLOOKUP(DATA[[#This Row],[COMBINADA]],#REF!,9,0),0)/COUNTIFS(DATA[COMBINADA],DATA[[#This Row],[COMBINADA]])</f>
        <v>0</v>
      </c>
      <c r="AK880" s="408">
        <f>IFERROR(VLOOKUP(DATA[[#This Row],[COMBINADA]],#REF!,6,0),0)</f>
        <v>0</v>
      </c>
      <c r="AL880" s="125">
        <f>IFERROR(VLOOKUP(DATA[[#This Row],[COMBINADA]],#REF!,9,0),0)/COUNTIFS(DATA[COMBINADA],DATA[[#This Row],[COMBINADA]])</f>
        <v>0</v>
      </c>
      <c r="AM880" s="27">
        <f>IFERROR(VLOOKUP(DATA[[#This Row],[COMBINADA]],#REF!,6,0),0)</f>
        <v>0</v>
      </c>
      <c r="AN880" s="125">
        <f>IFERROR(VLOOKUP(DATA[[#This Row],[COMBINADA]],#REF!,9,0),0)/COUNTIFS(DATA[COMBINADA],DATA[[#This Row],[COMBINADA]])</f>
        <v>0</v>
      </c>
      <c r="AO880" s="27">
        <f>IFERROR(VLOOKUP(DATA[[#This Row],[COMBINADA]],#REF!,6,0),0)</f>
        <v>0</v>
      </c>
      <c r="AP880" s="132">
        <f>IFERROR(VLOOKUP(DATA[[#This Row],[COMBINADA]],#REF!,9,0),0)/COUNTIFS(DATA[COMBINADA],DATA[[#This Row],[COMBINADA]])</f>
        <v>0</v>
      </c>
      <c r="AQ88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681.36900000000003</v>
      </c>
      <c r="AR880" s="26" t="str">
        <f>IFERROR(IF(DATA[[#This Row],[estado_fact]]="FACTURADO",VLOOKUP(DATA[[#This Row],[SERIE2]]&amp;"-"&amp;DATA[[#This Row],[NUMERO]],#REF!,34,0),"NO CORRESPONDE"),"NO CORRESPONDE")</f>
        <v>NO CORRESPONDE</v>
      </c>
      <c r="AS880" s="22" t="str">
        <f>IF(DATA[[#This Row],[fecha_fs]]&gt;0,TEXT(DATA[[#This Row],[fecha_fs]],"Mmmm"),0)</f>
        <v>Julio</v>
      </c>
      <c r="AT880" s="22" t="str">
        <f>DATA[[#This Row],[SERIE2]]&amp;"-"&amp;DATA[[#This Row],[NUMERO]]</f>
        <v>FF01-190</v>
      </c>
      <c r="AU880" s="28" t="e">
        <f>DATA[[#This Row],[TOTAL]]*DATA[[#This Row],[T.C.]]</f>
        <v>#REF!</v>
      </c>
      <c r="AV880" s="6">
        <f>DATA[[#This Row],[FECHA DE VAL.]]</f>
        <v>45863</v>
      </c>
      <c r="AW880" s="6">
        <f>DATA[[#This Row],[FECHA DE EMISION]]</f>
        <v>45869</v>
      </c>
      <c r="AX880" s="6">
        <f>DATA[[#This Row],[F1]]</f>
        <v>0</v>
      </c>
      <c r="AY880" s="20">
        <f>IF(AV880-DATA[[#This Row],[fecha_fs]]&lt;0,0,AV880-DATA[[#This Row],[fecha_fs]])</f>
        <v>23</v>
      </c>
      <c r="AZ880" s="20">
        <f t="shared" si="89"/>
        <v>6</v>
      </c>
      <c r="BA880" s="20">
        <f t="shared" si="90"/>
        <v>0</v>
      </c>
      <c r="BB880" s="195">
        <f>IFERROR(SUM(DATA[[#This Row],[fs_val_ttf]:[fact_pago_ttf]]),0)</f>
        <v>29</v>
      </c>
      <c r="BC880" s="185">
        <v>45859</v>
      </c>
      <c r="BD880" s="185">
        <v>45876</v>
      </c>
      <c r="BE880" s="185">
        <v>45877</v>
      </c>
      <c r="BF880" s="185">
        <v>45909</v>
      </c>
      <c r="BG880" s="20">
        <f>IFERROR(IF(BC880-DATA[[#This Row],[fecha_fs]]&lt;0,0,BC880-DATA[[#This Row],[fecha_fs]]),0)</f>
        <v>19</v>
      </c>
      <c r="BH880" s="20">
        <f t="shared" si="92"/>
        <v>17</v>
      </c>
      <c r="BI880" s="20">
        <f t="shared" si="93"/>
        <v>1</v>
      </c>
      <c r="BJ880" s="20">
        <f t="shared" si="94"/>
        <v>32</v>
      </c>
      <c r="BK880" s="218">
        <f>IFERROR(SUM(DATA[[#This Row],[fs_fd_ttd]:[fend_fenf_ttd]]),0)</f>
        <v>69</v>
      </c>
      <c r="BL880" s="20" t="str">
        <f>IF(DATA[[#This Row],[fecha_fs]]&gt;0,TEXT(DATA[[#This Row],[fecha_fs]],"YYYY"),0)</f>
        <v>2025</v>
      </c>
      <c r="BM880" s="221" t="b">
        <v>1</v>
      </c>
      <c r="BN880" s="278">
        <f>COUNTIF(DATA[[#This Row],[tiempo_td]], "&lt;=15")</f>
        <v>0</v>
      </c>
      <c r="BO880" s="222"/>
    </row>
    <row r="881" spans="1:67" ht="30.6" customHeight="1" x14ac:dyDescent="0.25">
      <c r="A881" s="4">
        <v>20100192064</v>
      </c>
      <c r="B881" s="5" t="s">
        <v>60</v>
      </c>
      <c r="C881" s="52" t="s">
        <v>65</v>
      </c>
      <c r="D881" s="4" t="s">
        <v>290</v>
      </c>
      <c r="E881" s="5" t="s">
        <v>294</v>
      </c>
      <c r="F881" s="24">
        <v>45840</v>
      </c>
      <c r="G881" s="7" t="s">
        <v>142</v>
      </c>
      <c r="H881" s="25">
        <f t="shared" si="88"/>
        <v>2</v>
      </c>
      <c r="I881" s="67">
        <v>1108</v>
      </c>
      <c r="J881" s="8" t="s">
        <v>115</v>
      </c>
      <c r="K881" s="9" t="s">
        <v>195</v>
      </c>
      <c r="L881" s="10" t="s">
        <v>117</v>
      </c>
      <c r="M881" s="11">
        <v>7170</v>
      </c>
      <c r="N881" s="12" t="s">
        <v>180</v>
      </c>
      <c r="O881" s="6">
        <v>45863</v>
      </c>
      <c r="P881" s="71">
        <v>3563</v>
      </c>
      <c r="Q881" s="14" t="s">
        <v>123</v>
      </c>
      <c r="R881" s="56">
        <f>(DATA[[#This Row],[cantidad_fs]]/1000)*(81.01)</f>
        <v>580.84170000000006</v>
      </c>
      <c r="S881" s="56">
        <v>103.6</v>
      </c>
      <c r="T881" s="15">
        <f>DATA[[#This Row],[C. DF]]+DATA[[#This Row],[C.OPE.]]</f>
        <v>684.44170000000008</v>
      </c>
      <c r="U881" s="15">
        <f>DATA[[#This Row],[SUB TOTAL]]*0.18</f>
        <v>123.19950600000001</v>
      </c>
      <c r="V881" s="15">
        <f>IFERROR(ROUND(DATA[[#This Row],[SUB TOTAL]]+DATA[[#This Row],[IGV]],2),0)</f>
        <v>807.64</v>
      </c>
      <c r="W881" s="16" t="str">
        <f>IF(DATA[[#This Row],[VALORIZACIÓN ]]="-","NO CORRESPONDE",IF(OR(A881=20558226979,A881=10470707866,A881=20111157058,A881=20100226902),"NO CORRESPONDE",IF(J881="Emitida",IF(P881&gt;0,"EMITIDA","PENDIENTE"),"NO CORRESPONDE")))</f>
        <v>EMITIDA</v>
      </c>
      <c r="X881" s="29"/>
      <c r="Y881" s="17" t="s">
        <v>118</v>
      </c>
      <c r="Z881" s="30">
        <v>45869</v>
      </c>
      <c r="AA881" s="10" t="s">
        <v>150</v>
      </c>
      <c r="AB881" s="19">
        <v>190</v>
      </c>
      <c r="AC881" s="20">
        <v>30</v>
      </c>
      <c r="AD881" s="18">
        <f>DATA[[#This Row],[FECHA DE EMISION]]+DATA[[#This Row],[CONDICION DE PAGO]]</f>
        <v>45899</v>
      </c>
      <c r="AE881" s="23" t="e">
        <f>IF(DATA[[#This Row],[MONEDA]]="USD",VLOOKUP(DATA[[#This Row],[COMBINADA]],#REF!,11,0),1)</f>
        <v>#REF!</v>
      </c>
      <c r="AF881" s="39" t="str">
        <f>IF(DATA[[#This Row],[SERIE2]]="-","NO CORRESPONDE",IF(W881="NO CORRESPONDE","NO CORRESPONDE",IF(Z881&gt;0,"FACTURADO","PENDIENTE")))</f>
        <v>FACTURADO</v>
      </c>
      <c r="AG881" s="133">
        <f>IFERROR(VLOOKUP(DATA[[#This Row],[COMBINADA]],#REF!,6,0),0)</f>
        <v>0</v>
      </c>
      <c r="AH881" s="125">
        <f>IFERROR(VLOOKUP(DATA[[#This Row],[COMBINADA]],#REF!,9,0),0)/COUNTIFS(DATA[COMBINADA],DATA[[#This Row],[COMBINADA]])</f>
        <v>0</v>
      </c>
      <c r="AI881" s="136">
        <f>IFERROR(VLOOKUP(DATA[[#This Row],[COMBINADA]],#REF!,6,0),0)</f>
        <v>0</v>
      </c>
      <c r="AJ881" s="132">
        <f>IFERROR(VLOOKUP(DATA[[#This Row],[COMBINADA]],#REF!,9,0),0)/COUNTIFS(DATA[COMBINADA],DATA[[#This Row],[COMBINADA]])</f>
        <v>0</v>
      </c>
      <c r="AK881" s="408">
        <f>IFERROR(VLOOKUP(DATA[[#This Row],[COMBINADA]],#REF!,6,0),0)</f>
        <v>0</v>
      </c>
      <c r="AL881" s="125">
        <f>IFERROR(VLOOKUP(DATA[[#This Row],[COMBINADA]],#REF!,9,0),0)/COUNTIFS(DATA[COMBINADA],DATA[[#This Row],[COMBINADA]])</f>
        <v>0</v>
      </c>
      <c r="AM881" s="27">
        <f>IFERROR(VLOOKUP(DATA[[#This Row],[COMBINADA]],#REF!,6,0),0)</f>
        <v>0</v>
      </c>
      <c r="AN881" s="125">
        <f>IFERROR(VLOOKUP(DATA[[#This Row],[COMBINADA]],#REF!,9,0),0)/COUNTIFS(DATA[COMBINADA],DATA[[#This Row],[COMBINADA]])</f>
        <v>0</v>
      </c>
      <c r="AO881" s="27">
        <f>IFERROR(VLOOKUP(DATA[[#This Row],[COMBINADA]],#REF!,6,0),0)</f>
        <v>0</v>
      </c>
      <c r="AP881" s="132">
        <f>IFERROR(VLOOKUP(DATA[[#This Row],[COMBINADA]],#REF!,9,0),0)/COUNTIFS(DATA[COMBINADA],DATA[[#This Row],[COMBINADA]])</f>
        <v>0</v>
      </c>
      <c r="AQ88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681.36900000000003</v>
      </c>
      <c r="AR881" s="26" t="str">
        <f>IFERROR(IF(DATA[[#This Row],[estado_fact]]="FACTURADO",VLOOKUP(DATA[[#This Row],[SERIE2]]&amp;"-"&amp;DATA[[#This Row],[NUMERO]],#REF!,34,0),"NO CORRESPONDE"),"NO CORRESPONDE")</f>
        <v>NO CORRESPONDE</v>
      </c>
      <c r="AS881" s="22" t="str">
        <f>IF(DATA[[#This Row],[fecha_fs]]&gt;0,TEXT(DATA[[#This Row],[fecha_fs]],"Mmmm"),0)</f>
        <v>Julio</v>
      </c>
      <c r="AT881" s="22" t="str">
        <f>DATA[[#This Row],[SERIE2]]&amp;"-"&amp;DATA[[#This Row],[NUMERO]]</f>
        <v>FF01-190</v>
      </c>
      <c r="AU881" s="28" t="e">
        <f>DATA[[#This Row],[TOTAL]]*DATA[[#This Row],[T.C.]]</f>
        <v>#REF!</v>
      </c>
      <c r="AV881" s="6">
        <f>DATA[[#This Row],[FECHA DE VAL.]]</f>
        <v>45863</v>
      </c>
      <c r="AW881" s="6">
        <f>DATA[[#This Row],[FECHA DE EMISION]]</f>
        <v>45869</v>
      </c>
      <c r="AX881" s="6">
        <f>DATA[[#This Row],[F1]]</f>
        <v>0</v>
      </c>
      <c r="AY881" s="20">
        <f>IF(AV881-DATA[[#This Row],[fecha_fs]]&lt;0,0,AV881-DATA[[#This Row],[fecha_fs]])</f>
        <v>23</v>
      </c>
      <c r="AZ881" s="20">
        <f t="shared" si="89"/>
        <v>6</v>
      </c>
      <c r="BA881" s="20">
        <f t="shared" si="90"/>
        <v>0</v>
      </c>
      <c r="BB881" s="195">
        <f>IFERROR(SUM(DATA[[#This Row],[fs_val_ttf]:[fact_pago_ttf]]),0)</f>
        <v>29</v>
      </c>
      <c r="BC881" s="185">
        <v>45862</v>
      </c>
      <c r="BD881" s="185">
        <v>45876</v>
      </c>
      <c r="BE881" s="185">
        <v>45877</v>
      </c>
      <c r="BF881" s="185">
        <v>45909</v>
      </c>
      <c r="BG881" s="20">
        <f>IFERROR(IF(BC881-DATA[[#This Row],[fecha_fs]]&lt;0,0,BC881-DATA[[#This Row],[fecha_fs]]),0)</f>
        <v>22</v>
      </c>
      <c r="BH881" s="20">
        <f t="shared" si="92"/>
        <v>14</v>
      </c>
      <c r="BI881" s="20">
        <f t="shared" si="93"/>
        <v>1</v>
      </c>
      <c r="BJ881" s="20">
        <f t="shared" si="94"/>
        <v>32</v>
      </c>
      <c r="BK881" s="218">
        <f>IFERROR(SUM(DATA[[#This Row],[fs_fd_ttd]:[fend_fenf_ttd]]),0)</f>
        <v>69</v>
      </c>
      <c r="BL881" s="20" t="str">
        <f>IF(DATA[[#This Row],[fecha_fs]]&gt;0,TEXT(DATA[[#This Row],[fecha_fs]],"YYYY"),0)</f>
        <v>2025</v>
      </c>
      <c r="BM881" s="221" t="b">
        <v>1</v>
      </c>
      <c r="BN881" s="278">
        <f>COUNTIF(DATA[[#This Row],[tiempo_td]], "&lt;=15")</f>
        <v>0</v>
      </c>
      <c r="BO881" s="222"/>
    </row>
    <row r="882" spans="1:67" ht="30.6" customHeight="1" x14ac:dyDescent="0.25">
      <c r="A882" s="4">
        <v>20100192064</v>
      </c>
      <c r="B882" s="5" t="s">
        <v>60</v>
      </c>
      <c r="C882" s="52" t="s">
        <v>64</v>
      </c>
      <c r="D882" s="4" t="s">
        <v>112</v>
      </c>
      <c r="E882" s="5" t="s">
        <v>1</v>
      </c>
      <c r="F882" s="24">
        <v>45842</v>
      </c>
      <c r="G882" s="7" t="s">
        <v>113</v>
      </c>
      <c r="H882" s="25">
        <f t="shared" si="88"/>
        <v>1</v>
      </c>
      <c r="I882" s="67">
        <v>4712</v>
      </c>
      <c r="J882" s="8" t="s">
        <v>115</v>
      </c>
      <c r="K882" s="9" t="s">
        <v>136</v>
      </c>
      <c r="L882" s="10" t="s">
        <v>137</v>
      </c>
      <c r="M882" s="182">
        <v>36</v>
      </c>
      <c r="N882" s="12" t="s">
        <v>135</v>
      </c>
      <c r="O882" s="6">
        <v>45863</v>
      </c>
      <c r="P882" s="71">
        <v>3562</v>
      </c>
      <c r="Q882" s="14" t="s">
        <v>123</v>
      </c>
      <c r="R882" s="15">
        <f>DATA[[#This Row],[cantidad_fs]]*33.34</f>
        <v>1200.2400000000002</v>
      </c>
      <c r="S882" s="74"/>
      <c r="T882" s="15">
        <f>DATA[[#This Row],[C. DF]]+DATA[[#This Row],[C.OPE.]]</f>
        <v>1200.2400000000002</v>
      </c>
      <c r="U882" s="15">
        <f>DATA[[#This Row],[SUB TOTAL]]*0.18</f>
        <v>216.04320000000004</v>
      </c>
      <c r="V882" s="15">
        <f>IFERROR(ROUND(DATA[[#This Row],[SUB TOTAL]]+DATA[[#This Row],[IGV]],2),0)</f>
        <v>1416.28</v>
      </c>
      <c r="W882" s="16" t="str">
        <f>IF(DATA[[#This Row],[VALORIZACIÓN ]]="-","NO CORRESPONDE",IF(OR(A882=20558226979,A882=10470707866,A882=20111157058,A882=20100226902),"NO CORRESPONDE",IF(J882="Emitida",IF(P882&gt;0,"EMITIDA","PENDIENTE"),"NO CORRESPONDE")))</f>
        <v>EMITIDA</v>
      </c>
      <c r="X882" s="29"/>
      <c r="Y882" s="17" t="s">
        <v>118</v>
      </c>
      <c r="Z882" s="30">
        <v>45869</v>
      </c>
      <c r="AA882" s="10" t="s">
        <v>150</v>
      </c>
      <c r="AB882" s="19">
        <v>189</v>
      </c>
      <c r="AC882" s="20">
        <v>30</v>
      </c>
      <c r="AD882" s="18">
        <f>DATA[[#This Row],[FECHA DE EMISION]]+DATA[[#This Row],[CONDICION DE PAGO]]</f>
        <v>45899</v>
      </c>
      <c r="AE882" s="23" t="e">
        <f>IF(DATA[[#This Row],[MONEDA]]="USD",VLOOKUP(DATA[[#This Row],[COMBINADA]],#REF!,11,0),1)</f>
        <v>#REF!</v>
      </c>
      <c r="AF882" s="39" t="str">
        <f>IF(DATA[[#This Row],[SERIE2]]="-","NO CORRESPONDE",IF(W882="NO CORRESPONDE","NO CORRESPONDE",IF(Z882&gt;0,"FACTURADO","PENDIENTE")))</f>
        <v>FACTURADO</v>
      </c>
      <c r="AG882" s="133">
        <f>IFERROR(VLOOKUP(DATA[[#This Row],[COMBINADA]],#REF!,6,0),0)</f>
        <v>0</v>
      </c>
      <c r="AH882" s="125">
        <f>IFERROR(VLOOKUP(DATA[[#This Row],[COMBINADA]],#REF!,9,0),0)/COUNTIFS(DATA[COMBINADA],DATA[[#This Row],[COMBINADA]])</f>
        <v>0</v>
      </c>
      <c r="AI882" s="136">
        <f>IFERROR(VLOOKUP(DATA[[#This Row],[COMBINADA]],#REF!,6,0),0)</f>
        <v>0</v>
      </c>
      <c r="AJ882" s="132">
        <f>IFERROR(VLOOKUP(DATA[[#This Row],[COMBINADA]],#REF!,9,0),0)/COUNTIFS(DATA[COMBINADA],DATA[[#This Row],[COMBINADA]])</f>
        <v>0</v>
      </c>
      <c r="AK882" s="408">
        <f>IFERROR(VLOOKUP(DATA[[#This Row],[COMBINADA]],#REF!,6,0),0)</f>
        <v>0</v>
      </c>
      <c r="AL882" s="125">
        <f>IFERROR(VLOOKUP(DATA[[#This Row],[COMBINADA]],#REF!,9,0),0)/COUNTIFS(DATA[COMBINADA],DATA[[#This Row],[COMBINADA]])</f>
        <v>0</v>
      </c>
      <c r="AM882" s="27">
        <f>IFERROR(VLOOKUP(DATA[[#This Row],[COMBINADA]],#REF!,6,0),0)</f>
        <v>0</v>
      </c>
      <c r="AN882" s="125">
        <f>IFERROR(VLOOKUP(DATA[[#This Row],[COMBINADA]],#REF!,9,0),0)/COUNTIFS(DATA[COMBINADA],DATA[[#This Row],[COMBINADA]])</f>
        <v>0</v>
      </c>
      <c r="AO882" s="27">
        <f>IFERROR(VLOOKUP(DATA[[#This Row],[COMBINADA]],#REF!,6,0),0)</f>
        <v>0</v>
      </c>
      <c r="AP882" s="132">
        <f>IFERROR(VLOOKUP(DATA[[#This Row],[COMBINADA]],#REF!,9,0),0)/COUNTIFS(DATA[COMBINADA],DATA[[#This Row],[COMBINADA]])</f>
        <v>0</v>
      </c>
      <c r="AQ88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799.26461538461524</v>
      </c>
      <c r="AR882" s="26" t="str">
        <f>IFERROR(IF(DATA[[#This Row],[estado_fact]]="FACTURADO",VLOOKUP(DATA[[#This Row],[SERIE2]]&amp;"-"&amp;DATA[[#This Row],[NUMERO]],#REF!,34,0),"NO CORRESPONDE"),"NO CORRESPONDE")</f>
        <v>NO CORRESPONDE</v>
      </c>
      <c r="AS882" s="22" t="str">
        <f>IF(DATA[[#This Row],[fecha_fs]]&gt;0,TEXT(DATA[[#This Row],[fecha_fs]],"Mmmm"),0)</f>
        <v>Julio</v>
      </c>
      <c r="AT882" s="22" t="str">
        <f>DATA[[#This Row],[SERIE2]]&amp;"-"&amp;DATA[[#This Row],[NUMERO]]</f>
        <v>FF01-189</v>
      </c>
      <c r="AU882" s="28" t="e">
        <f>DATA[[#This Row],[TOTAL]]*DATA[[#This Row],[T.C.]]</f>
        <v>#REF!</v>
      </c>
      <c r="AV882" s="6">
        <f>DATA[[#This Row],[FECHA DE VAL.]]</f>
        <v>45863</v>
      </c>
      <c r="AW882" s="6">
        <f>DATA[[#This Row],[FECHA DE EMISION]]</f>
        <v>45869</v>
      </c>
      <c r="AX882" s="6">
        <f>DATA[[#This Row],[F1]]</f>
        <v>0</v>
      </c>
      <c r="AY882" s="20">
        <f>IF(AV882-DATA[[#This Row],[fecha_fs]]&lt;0,0,AV882-DATA[[#This Row],[fecha_fs]])</f>
        <v>21</v>
      </c>
      <c r="AZ882" s="20">
        <f t="shared" si="89"/>
        <v>6</v>
      </c>
      <c r="BA882" s="20">
        <f t="shared" si="90"/>
        <v>0</v>
      </c>
      <c r="BB882" s="195">
        <f>IFERROR(SUM(DATA[[#This Row],[fs_val_ttf]:[fact_pago_ttf]]),0)</f>
        <v>27</v>
      </c>
      <c r="BC882" s="185">
        <v>45847</v>
      </c>
      <c r="BD882" s="185">
        <v>45869</v>
      </c>
      <c r="BE882" s="185">
        <v>45870</v>
      </c>
      <c r="BF882" s="185">
        <v>45909</v>
      </c>
      <c r="BG882" s="20">
        <f>IFERROR(IF(BC882-DATA[[#This Row],[fecha_fs]]&lt;0,0,BC882-DATA[[#This Row],[fecha_fs]]),0)</f>
        <v>5</v>
      </c>
      <c r="BH882" s="20">
        <f t="shared" si="92"/>
        <v>22</v>
      </c>
      <c r="BI882" s="20">
        <f t="shared" si="93"/>
        <v>1</v>
      </c>
      <c r="BJ882" s="20">
        <f t="shared" si="94"/>
        <v>39</v>
      </c>
      <c r="BK882" s="218">
        <f>IFERROR(SUM(DATA[[#This Row],[fs_fd_ttd]:[fend_fenf_ttd]]),0)</f>
        <v>67</v>
      </c>
      <c r="BL882" s="20" t="str">
        <f>IF(DATA[[#This Row],[fecha_fs]]&gt;0,TEXT(DATA[[#This Row],[fecha_fs]],"YYYY"),0)</f>
        <v>2025</v>
      </c>
      <c r="BM882" s="221" t="b">
        <v>1</v>
      </c>
      <c r="BN882" s="278">
        <f>COUNTIF(DATA[[#This Row],[tiempo_td]], "&lt;=15")</f>
        <v>0</v>
      </c>
      <c r="BO882" s="222"/>
    </row>
    <row r="883" spans="1:67" ht="30.6" customHeight="1" x14ac:dyDescent="0.25">
      <c r="A883" s="4">
        <v>20558226979</v>
      </c>
      <c r="B883" s="5" t="s">
        <v>45</v>
      </c>
      <c r="C883" s="52" t="s">
        <v>18</v>
      </c>
      <c r="D883" s="4" t="s">
        <v>120</v>
      </c>
      <c r="E883" s="5" t="s">
        <v>3</v>
      </c>
      <c r="F883" s="24">
        <v>45840</v>
      </c>
      <c r="G883" s="7" t="s">
        <v>113</v>
      </c>
      <c r="H883" s="25">
        <f t="shared" si="88"/>
        <v>1</v>
      </c>
      <c r="I883" s="67">
        <v>4713</v>
      </c>
      <c r="J883" s="8" t="s">
        <v>115</v>
      </c>
      <c r="K883" s="9" t="s">
        <v>148</v>
      </c>
      <c r="L883" s="10" t="s">
        <v>117</v>
      </c>
      <c r="M883" s="11">
        <v>3500</v>
      </c>
      <c r="N883" s="12" t="s">
        <v>122</v>
      </c>
      <c r="O883" s="40"/>
      <c r="P883" s="41" t="s">
        <v>114</v>
      </c>
      <c r="Q883" s="42"/>
      <c r="R883" s="123"/>
      <c r="S883" s="123"/>
      <c r="T883" s="43">
        <f>DATA[[#This Row],[C. DF]]+DATA[[#This Row],[C.OPE.]]</f>
        <v>0</v>
      </c>
      <c r="U883" s="43">
        <f>DATA[[#This Row],[SUB TOTAL]]*0.18</f>
        <v>0</v>
      </c>
      <c r="V883" s="43">
        <f>IFERROR(ROUND(DATA[[#This Row],[SUB TOTAL]]+DATA[[#This Row],[IGV]],2),0)</f>
        <v>0</v>
      </c>
      <c r="W883" s="16" t="str">
        <f>IF(DATA[[#This Row],[VALORIZACIÓN ]]="-","NO CORRESPONDE",IF(OR(A883=20558226979,A883=10470707866,A883=20111157058,A883=20100226902),"NO CORRESPONDE",IF(J883="Emitida",IF(P883&gt;0,"EMITIDA","PENDIENTE"),"NO CORRESPONDE")))</f>
        <v>NO CORRESPONDE</v>
      </c>
      <c r="X883" s="29"/>
      <c r="Y883" s="17" t="s">
        <v>128</v>
      </c>
      <c r="Z883" s="30"/>
      <c r="AA883" s="10"/>
      <c r="AB883" s="19"/>
      <c r="AC883" s="20"/>
      <c r="AD883" s="18">
        <f>DATA[[#This Row],[FECHA DE EMISION]]+DATA[[#This Row],[CONDICION DE PAGO]]</f>
        <v>0</v>
      </c>
      <c r="AE883" s="23">
        <f>IF(DATA[[#This Row],[MONEDA]]="USD",VLOOKUP(DATA[[#This Row],[COMBINADA]],#REF!,11,0),1)</f>
        <v>1</v>
      </c>
      <c r="AF883" s="181" t="str">
        <f>IF(DATA[[#This Row],[SERIE2]]="-","NO CORRESPONDE",IF(W883="NO CORRESPONDE","NO CORRESPONDE",IF(Z883&gt;0,"FACTURADO","PENDIENTE")))</f>
        <v>NO CORRESPONDE</v>
      </c>
      <c r="AG883" s="133">
        <f>IFERROR(VLOOKUP(DATA[[#This Row],[COMBINADA]],#REF!,6,0),0)</f>
        <v>0</v>
      </c>
      <c r="AH883" s="125">
        <f>IFERROR(VLOOKUP(DATA[[#This Row],[COMBINADA]],#REF!,9,0),0)/COUNTIFS(DATA[COMBINADA],DATA[[#This Row],[COMBINADA]])</f>
        <v>0</v>
      </c>
      <c r="AI883" s="136">
        <f>IFERROR(VLOOKUP(DATA[[#This Row],[COMBINADA]],#REF!,6,0),0)</f>
        <v>0</v>
      </c>
      <c r="AJ883" s="132">
        <f>IFERROR(VLOOKUP(DATA[[#This Row],[COMBINADA]],#REF!,9,0),0)/COUNTIFS(DATA[COMBINADA],DATA[[#This Row],[COMBINADA]])</f>
        <v>0</v>
      </c>
      <c r="AK883" s="407">
        <f>IFERROR(VLOOKUP(DATA[[#This Row],[COMBINADA]],#REF!,6,0),0)</f>
        <v>0</v>
      </c>
      <c r="AL883" s="125">
        <f>IFERROR(VLOOKUP(DATA[[#This Row],[COMBINADA]],#REF!,9,0),0)/COUNTIFS(DATA[COMBINADA],DATA[[#This Row],[COMBINADA]])</f>
        <v>0</v>
      </c>
      <c r="AM883" s="27">
        <f>IFERROR(VLOOKUP(DATA[[#This Row],[COMBINADA]],#REF!,6,0),0)</f>
        <v>0</v>
      </c>
      <c r="AN883" s="125">
        <f>IFERROR(VLOOKUP(DATA[[#This Row],[COMBINADA]],#REF!,9,0),0)/COUNTIFS(DATA[COMBINADA],DATA[[#This Row],[COMBINADA]])</f>
        <v>0</v>
      </c>
      <c r="AO883" s="27">
        <f>IFERROR(VLOOKUP(DATA[[#This Row],[COMBINADA]],#REF!,6,0),0)</f>
        <v>0</v>
      </c>
      <c r="AP883" s="132">
        <f>IFERROR(VLOOKUP(DATA[[#This Row],[COMBINADA]],#REF!,9,0),0)/COUNTIFS(DATA[COMBINADA],DATA[[#This Row],[COMBINADA]])</f>
        <v>0</v>
      </c>
      <c r="AQ88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883" s="26" t="str">
        <f>IFERROR(IF(DATA[[#This Row],[estado_fact]]="FACTURADO",VLOOKUP(DATA[[#This Row],[SERIE2]]&amp;"-"&amp;DATA[[#This Row],[NUMERO]],#REF!,34,0),"NO CORRESPONDE"),"NO CORRESPONDE")</f>
        <v>NO CORRESPONDE</v>
      </c>
      <c r="AS883" s="22" t="str">
        <f>IF(DATA[[#This Row],[fecha_fs]]&gt;0,TEXT(DATA[[#This Row],[fecha_fs]],"Mmmm"),0)</f>
        <v>Julio</v>
      </c>
      <c r="AT883" s="22" t="str">
        <f>DATA[[#This Row],[SERIE2]]&amp;"-"&amp;DATA[[#This Row],[NUMERO]]</f>
        <v>-</v>
      </c>
      <c r="AU883" s="28">
        <f>DATA[[#This Row],[TOTAL]]*DATA[[#This Row],[T.C.]]</f>
        <v>0</v>
      </c>
      <c r="AV883" s="6">
        <f>DATA[[#This Row],[FECHA DE VAL.]]</f>
        <v>0</v>
      </c>
      <c r="AW883" s="6">
        <f>DATA[[#This Row],[FECHA DE EMISION]]</f>
        <v>0</v>
      </c>
      <c r="AX883" s="6">
        <f>DATA[[#This Row],[F1]]</f>
        <v>0</v>
      </c>
      <c r="AY883" s="20">
        <f>IF(AV883-DATA[[#This Row],[fecha_fs]]&lt;0,0,AV883-DATA[[#This Row],[fecha_fs]])</f>
        <v>0</v>
      </c>
      <c r="AZ883" s="20">
        <f t="shared" si="89"/>
        <v>0</v>
      </c>
      <c r="BA883" s="20">
        <f t="shared" si="90"/>
        <v>0</v>
      </c>
      <c r="BB883" s="195">
        <f>IFERROR(SUM(DATA[[#This Row],[fs_val_ttf]:[fact_pago_ttf]]),0)</f>
        <v>0</v>
      </c>
      <c r="BC883" s="185">
        <v>45839</v>
      </c>
      <c r="BD883" s="185">
        <v>45852</v>
      </c>
      <c r="BE883" s="185">
        <v>45873</v>
      </c>
      <c r="BF883" s="185">
        <v>45873</v>
      </c>
      <c r="BG883" s="20">
        <f>IFERROR(IF(BC883-DATA[[#This Row],[fecha_fs]]&lt;0,0,BC883-DATA[[#This Row],[fecha_fs]]),0)</f>
        <v>0</v>
      </c>
      <c r="BH883" s="20">
        <f t="shared" si="92"/>
        <v>13</v>
      </c>
      <c r="BI883" s="20">
        <f t="shared" si="93"/>
        <v>21</v>
      </c>
      <c r="BJ883" s="20">
        <f t="shared" si="94"/>
        <v>0</v>
      </c>
      <c r="BK883" s="218">
        <f>IFERROR(SUM(DATA[[#This Row],[fs_fd_ttd]:[fend_fenf_ttd]]),0)</f>
        <v>34</v>
      </c>
      <c r="BL883" s="20" t="str">
        <f>IF(DATA[[#This Row],[fecha_fs]]&gt;0,TEXT(DATA[[#This Row],[fecha_fs]],"YYYY"),0)</f>
        <v>2025</v>
      </c>
      <c r="BM883" s="221" t="b">
        <v>1</v>
      </c>
      <c r="BN883" s="278">
        <f>COUNTIF(DATA[[#This Row],[tiempo_td]], "&lt;=15")</f>
        <v>0</v>
      </c>
      <c r="BO883" s="222"/>
    </row>
    <row r="884" spans="1:67" ht="30.6" customHeight="1" x14ac:dyDescent="0.25">
      <c r="A884" s="4">
        <v>20100211115</v>
      </c>
      <c r="B884" s="5" t="s">
        <v>41</v>
      </c>
      <c r="C884" s="52" t="s">
        <v>18</v>
      </c>
      <c r="D884" s="4" t="s">
        <v>120</v>
      </c>
      <c r="E884" s="5" t="s">
        <v>3</v>
      </c>
      <c r="F884" s="24">
        <v>45842</v>
      </c>
      <c r="G884" s="7" t="s">
        <v>113</v>
      </c>
      <c r="H884" s="25">
        <f t="shared" si="88"/>
        <v>1</v>
      </c>
      <c r="I884" s="67">
        <v>4714</v>
      </c>
      <c r="J884" s="8" t="s">
        <v>115</v>
      </c>
      <c r="K884" s="9" t="s">
        <v>121</v>
      </c>
      <c r="L884" s="10" t="s">
        <v>117</v>
      </c>
      <c r="M884" s="11">
        <v>90</v>
      </c>
      <c r="N884" s="12" t="s">
        <v>132</v>
      </c>
      <c r="O884" s="6">
        <v>45863</v>
      </c>
      <c r="P884" s="115">
        <v>3575</v>
      </c>
      <c r="Q884" s="14" t="s">
        <v>85</v>
      </c>
      <c r="R884" s="56"/>
      <c r="S884" s="15">
        <f>(DATA[[#This Row],[cantidad_fs]]*4.17)</f>
        <v>375.3</v>
      </c>
      <c r="T884" s="15">
        <f>DATA[[#This Row],[C. DF]]+DATA[[#This Row],[C.OPE.]]</f>
        <v>375.3</v>
      </c>
      <c r="U884" s="15">
        <f>DATA[[#This Row],[SUB TOTAL]]*0.18</f>
        <v>67.554000000000002</v>
      </c>
      <c r="V884" s="15">
        <f>IFERROR(ROUND(DATA[[#This Row],[SUB TOTAL]]+DATA[[#This Row],[IGV]],2),0)</f>
        <v>442.85</v>
      </c>
      <c r="W884" s="16" t="str">
        <f>IF(DATA[[#This Row],[VALORIZACIÓN ]]="-","NO CORRESPONDE",IF(OR(A884=20558226979,A884=10470707866,A884=20111157058,A884=20100226902),"NO CORRESPONDE",IF(J884="Emitida",IF(P884&gt;0,"EMITIDA","PENDIENTE"),"NO CORRESPONDE")))</f>
        <v>EMITIDA</v>
      </c>
      <c r="X884" s="29"/>
      <c r="Y884" s="17" t="s">
        <v>118</v>
      </c>
      <c r="Z884" s="30">
        <v>45869</v>
      </c>
      <c r="AA884" s="10" t="s">
        <v>150</v>
      </c>
      <c r="AB884" s="19">
        <v>191</v>
      </c>
      <c r="AC884" s="20">
        <v>30</v>
      </c>
      <c r="AD884" s="18">
        <f>DATA[[#This Row],[FECHA DE EMISION]]+DATA[[#This Row],[CONDICION DE PAGO]]</f>
        <v>45899</v>
      </c>
      <c r="AE884" s="23">
        <f>IF(DATA[[#This Row],[MONEDA]]="USD",VLOOKUP(DATA[[#This Row],[COMBINADA]],#REF!,11,0),1)</f>
        <v>1</v>
      </c>
      <c r="AF884" s="129" t="str">
        <f>IF(DATA[[#This Row],[SERIE2]]="-","NO CORRESPONDE",IF(W884="NO CORRESPONDE","NO CORRESPONDE",IF(Z884&gt;0,"FACTURADO","PENDIENTE")))</f>
        <v>FACTURADO</v>
      </c>
      <c r="AG884" s="133">
        <f>IFERROR(VLOOKUP(DATA[[#This Row],[COMBINADA]],#REF!,6,0),0)</f>
        <v>0</v>
      </c>
      <c r="AH884" s="125">
        <f>IFERROR(VLOOKUP(DATA[[#This Row],[COMBINADA]],#REF!,9,0),0)/COUNTIFS(DATA[COMBINADA],DATA[[#This Row],[COMBINADA]])</f>
        <v>0</v>
      </c>
      <c r="AI884" s="136">
        <f>IFERROR(VLOOKUP(DATA[[#This Row],[COMBINADA]],#REF!,6,0),0)</f>
        <v>0</v>
      </c>
      <c r="AJ884" s="132">
        <f>IFERROR(VLOOKUP(DATA[[#This Row],[COMBINADA]],#REF!,9,0),0)/COUNTIFS(DATA[COMBINADA],DATA[[#This Row],[COMBINADA]])</f>
        <v>0</v>
      </c>
      <c r="AK884" s="407">
        <f>IFERROR(VLOOKUP(DATA[[#This Row],[COMBINADA]],#REF!,6,0),0)</f>
        <v>0</v>
      </c>
      <c r="AL884" s="125">
        <f>IFERROR(VLOOKUP(DATA[[#This Row],[COMBINADA]],#REF!,9,0),0)/COUNTIFS(DATA[COMBINADA],DATA[[#This Row],[COMBINADA]])</f>
        <v>0</v>
      </c>
      <c r="AM884" s="27">
        <f>IFERROR(VLOOKUP(DATA[[#This Row],[COMBINADA]],#REF!,6,0),0)</f>
        <v>0</v>
      </c>
      <c r="AN884" s="125">
        <f>IFERROR(VLOOKUP(DATA[[#This Row],[COMBINADA]],#REF!,9,0),0)/COUNTIFS(DATA[COMBINADA],DATA[[#This Row],[COMBINADA]])</f>
        <v>0</v>
      </c>
      <c r="AO884" s="27">
        <f>IFERROR(VLOOKUP(DATA[[#This Row],[COMBINADA]],#REF!,6,0),0)</f>
        <v>0</v>
      </c>
      <c r="AP884" s="132">
        <f>IFERROR(VLOOKUP(DATA[[#This Row],[COMBINADA]],#REF!,9,0),0)/COUNTIFS(DATA[COMBINADA],DATA[[#This Row],[COMBINADA]])</f>
        <v>0</v>
      </c>
      <c r="AQ88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884" s="26" t="str">
        <f>IFERROR(IF(DATA[[#This Row],[estado_fact]]="FACTURADO",VLOOKUP(DATA[[#This Row],[SERIE2]]&amp;"-"&amp;DATA[[#This Row],[NUMERO]],#REF!,34,0),"NO CORRESPONDE"),"NO CORRESPONDE")</f>
        <v>NO CORRESPONDE</v>
      </c>
      <c r="AS884" s="22" t="str">
        <f>IF(DATA[[#This Row],[fecha_fs]]&gt;0,TEXT(DATA[[#This Row],[fecha_fs]],"Mmmm"),0)</f>
        <v>Julio</v>
      </c>
      <c r="AT884" s="22" t="str">
        <f>DATA[[#This Row],[SERIE2]]&amp;"-"&amp;DATA[[#This Row],[NUMERO]]</f>
        <v>FF01-191</v>
      </c>
      <c r="AU884" s="28">
        <f>DATA[[#This Row],[TOTAL]]*DATA[[#This Row],[T.C.]]</f>
        <v>442.85</v>
      </c>
      <c r="AV884" s="6">
        <f>DATA[[#This Row],[FECHA DE VAL.]]</f>
        <v>45863</v>
      </c>
      <c r="AW884" s="6">
        <f>DATA[[#This Row],[FECHA DE EMISION]]</f>
        <v>45869</v>
      </c>
      <c r="AX884" s="6">
        <f>DATA[[#This Row],[F1]]</f>
        <v>0</v>
      </c>
      <c r="AY884" s="20">
        <f>IF(AV884-DATA[[#This Row],[fecha_fs]]&lt;0,0,AV884-DATA[[#This Row],[fecha_fs]])</f>
        <v>21</v>
      </c>
      <c r="AZ884" s="20">
        <f t="shared" si="89"/>
        <v>6</v>
      </c>
      <c r="BA884" s="20">
        <f t="shared" si="90"/>
        <v>0</v>
      </c>
      <c r="BB884" s="195">
        <f>IFERROR(SUM(DATA[[#This Row],[fs_val_ttf]:[fact_pago_ttf]]),0)</f>
        <v>27</v>
      </c>
      <c r="BC884" s="185">
        <v>45870</v>
      </c>
      <c r="BD884" s="185">
        <v>45876</v>
      </c>
      <c r="BE884" s="185">
        <v>45882</v>
      </c>
      <c r="BF884" s="185">
        <v>45887</v>
      </c>
      <c r="BG884" s="20">
        <f>IFERROR(IF(BC884-DATA[[#This Row],[fecha_fs]]&lt;0,0,BC884-DATA[[#This Row],[fecha_fs]]),0)</f>
        <v>28</v>
      </c>
      <c r="BH884" s="20">
        <f t="shared" si="92"/>
        <v>6</v>
      </c>
      <c r="BI884" s="20">
        <f t="shared" si="93"/>
        <v>6</v>
      </c>
      <c r="BJ884" s="20">
        <f t="shared" si="94"/>
        <v>5</v>
      </c>
      <c r="BK884" s="218">
        <f>IFERROR(SUM(DATA[[#This Row],[fs_fd_ttd]:[fend_fenf_ttd]]),0)</f>
        <v>45</v>
      </c>
      <c r="BL884" s="20" t="str">
        <f>IF(DATA[[#This Row],[fecha_fs]]&gt;0,TEXT(DATA[[#This Row],[fecha_fs]],"YYYY"),0)</f>
        <v>2025</v>
      </c>
      <c r="BM884" s="221" t="b">
        <v>1</v>
      </c>
      <c r="BN884" s="278">
        <f>COUNTIF(DATA[[#This Row],[tiempo_td]], "&lt;=15")</f>
        <v>0</v>
      </c>
      <c r="BO884" s="222"/>
    </row>
    <row r="885" spans="1:67" ht="30.6" customHeight="1" x14ac:dyDescent="0.25">
      <c r="A885" s="4">
        <v>20100192064</v>
      </c>
      <c r="B885" s="5" t="s">
        <v>60</v>
      </c>
      <c r="C885" s="52" t="s">
        <v>43</v>
      </c>
      <c r="D885" s="4" t="s">
        <v>120</v>
      </c>
      <c r="E885" s="5" t="s">
        <v>3</v>
      </c>
      <c r="F885" s="24">
        <v>45842</v>
      </c>
      <c r="G885" s="7" t="s">
        <v>113</v>
      </c>
      <c r="H885" s="25">
        <f t="shared" si="88"/>
        <v>1</v>
      </c>
      <c r="I885" s="67">
        <v>4715</v>
      </c>
      <c r="J885" s="8" t="s">
        <v>115</v>
      </c>
      <c r="K885" s="9" t="s">
        <v>121</v>
      </c>
      <c r="L885" s="10" t="s">
        <v>117</v>
      </c>
      <c r="M885" s="11">
        <v>660</v>
      </c>
      <c r="N885" s="12" t="s">
        <v>125</v>
      </c>
      <c r="O885" s="6">
        <v>45863</v>
      </c>
      <c r="P885" s="71">
        <v>3558</v>
      </c>
      <c r="Q885" s="14" t="s">
        <v>123</v>
      </c>
      <c r="R885" s="15">
        <f>(DATA[[#This Row],[cantidad_fs]]/1000)*(47+174.34)</f>
        <v>146.08440000000002</v>
      </c>
      <c r="S885" s="56">
        <v>137</v>
      </c>
      <c r="T885" s="15">
        <f>DATA[[#This Row],[C. DF]]+DATA[[#This Row],[C.OPE.]]</f>
        <v>283.08440000000002</v>
      </c>
      <c r="U885" s="15">
        <f>DATA[[#This Row],[SUB TOTAL]]*0.18</f>
        <v>50.955192000000004</v>
      </c>
      <c r="V885" s="15">
        <f>IFERROR(ROUND(DATA[[#This Row],[SUB TOTAL]]+DATA[[#This Row],[IGV]],2),0)</f>
        <v>334.04</v>
      </c>
      <c r="W885" s="16" t="str">
        <f>IF(DATA[[#This Row],[VALORIZACIÓN ]]="-","NO CORRESPONDE",IF(OR(A885=20558226979,A885=10470707866,A885=20111157058,A885=20100226902),"NO CORRESPONDE",IF(J885="Emitida",IF(P885&gt;0,"EMITIDA","PENDIENTE"),"NO CORRESPONDE")))</f>
        <v>EMITIDA</v>
      </c>
      <c r="X885" s="29"/>
      <c r="Y885" s="17" t="s">
        <v>118</v>
      </c>
      <c r="Z885" s="30">
        <v>45869</v>
      </c>
      <c r="AA885" s="10" t="s">
        <v>150</v>
      </c>
      <c r="AB885" s="19">
        <v>189</v>
      </c>
      <c r="AC885" s="20">
        <v>30</v>
      </c>
      <c r="AD885" s="18">
        <f>DATA[[#This Row],[FECHA DE EMISION]]+DATA[[#This Row],[CONDICION DE PAGO]]</f>
        <v>45899</v>
      </c>
      <c r="AE885" s="23" t="e">
        <f>IF(DATA[[#This Row],[MONEDA]]="USD",VLOOKUP(DATA[[#This Row],[COMBINADA]],#REF!,11,0),1)</f>
        <v>#REF!</v>
      </c>
      <c r="AF885" s="39" t="str">
        <f>IF(DATA[[#This Row],[SERIE2]]="-","NO CORRESPONDE",IF(W885="NO CORRESPONDE","NO CORRESPONDE",IF(Z885&gt;0,"FACTURADO","PENDIENTE")))</f>
        <v>FACTURADO</v>
      </c>
      <c r="AG885" s="133">
        <f>IFERROR(VLOOKUP(DATA[[#This Row],[COMBINADA]],#REF!,6,0),0)</f>
        <v>0</v>
      </c>
      <c r="AH885" s="125">
        <f>IFERROR(VLOOKUP(DATA[[#This Row],[COMBINADA]],#REF!,9,0),0)/COUNTIFS(DATA[COMBINADA],DATA[[#This Row],[COMBINADA]])</f>
        <v>0</v>
      </c>
      <c r="AI885" s="136">
        <f>IFERROR(VLOOKUP(DATA[[#This Row],[COMBINADA]],#REF!,6,0),0)</f>
        <v>0</v>
      </c>
      <c r="AJ885" s="132">
        <f>IFERROR(VLOOKUP(DATA[[#This Row],[COMBINADA]],#REF!,9,0),0)/COUNTIFS(DATA[COMBINADA],DATA[[#This Row],[COMBINADA]])</f>
        <v>0</v>
      </c>
      <c r="AK885" s="408">
        <f>IFERROR(VLOOKUP(DATA[[#This Row],[COMBINADA]],#REF!,6,0),0)</f>
        <v>0</v>
      </c>
      <c r="AL885" s="125">
        <f>IFERROR(VLOOKUP(DATA[[#This Row],[COMBINADA]],#REF!,9,0),0)/COUNTIFS(DATA[COMBINADA],DATA[[#This Row],[COMBINADA]])</f>
        <v>0</v>
      </c>
      <c r="AM885" s="27">
        <f>IFERROR(VLOOKUP(DATA[[#This Row],[COMBINADA]],#REF!,6,0),0)</f>
        <v>0</v>
      </c>
      <c r="AN885" s="125">
        <f>IFERROR(VLOOKUP(DATA[[#This Row],[COMBINADA]],#REF!,9,0),0)/COUNTIFS(DATA[COMBINADA],DATA[[#This Row],[COMBINADA]])</f>
        <v>0</v>
      </c>
      <c r="AO885" s="27">
        <f>IFERROR(VLOOKUP(DATA[[#This Row],[COMBINADA]],#REF!,6,0),0)</f>
        <v>0</v>
      </c>
      <c r="AP885" s="132">
        <f>IFERROR(VLOOKUP(DATA[[#This Row],[COMBINADA]],#REF!,9,0),0)/COUNTIFS(DATA[COMBINADA],DATA[[#This Row],[COMBINADA]])</f>
        <v>0</v>
      </c>
      <c r="AQ88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799.26461538461524</v>
      </c>
      <c r="AR885" s="26" t="str">
        <f>IFERROR(IF(DATA[[#This Row],[estado_fact]]="FACTURADO",VLOOKUP(DATA[[#This Row],[SERIE2]]&amp;"-"&amp;DATA[[#This Row],[NUMERO]],#REF!,34,0),"NO CORRESPONDE"),"NO CORRESPONDE")</f>
        <v>NO CORRESPONDE</v>
      </c>
      <c r="AS885" s="22" t="str">
        <f>IF(DATA[[#This Row],[fecha_fs]]&gt;0,TEXT(DATA[[#This Row],[fecha_fs]],"Mmmm"),0)</f>
        <v>Julio</v>
      </c>
      <c r="AT885" s="22" t="str">
        <f>DATA[[#This Row],[SERIE2]]&amp;"-"&amp;DATA[[#This Row],[NUMERO]]</f>
        <v>FF01-189</v>
      </c>
      <c r="AU885" s="28" t="e">
        <f>DATA[[#This Row],[TOTAL]]*DATA[[#This Row],[T.C.]]</f>
        <v>#REF!</v>
      </c>
      <c r="AV885" s="6">
        <f>DATA[[#This Row],[FECHA DE VAL.]]</f>
        <v>45863</v>
      </c>
      <c r="AW885" s="6">
        <f>DATA[[#This Row],[FECHA DE EMISION]]</f>
        <v>45869</v>
      </c>
      <c r="AX885" s="6">
        <f>DATA[[#This Row],[F1]]</f>
        <v>0</v>
      </c>
      <c r="AY885" s="20">
        <f>IF(AV885-DATA[[#This Row],[fecha_fs]]&lt;0,0,AV885-DATA[[#This Row],[fecha_fs]])</f>
        <v>21</v>
      </c>
      <c r="AZ885" s="20">
        <f t="shared" si="89"/>
        <v>6</v>
      </c>
      <c r="BA885" s="20">
        <f t="shared" si="90"/>
        <v>0</v>
      </c>
      <c r="BB885" s="195">
        <f>IFERROR(SUM(DATA[[#This Row],[fs_val_ttf]:[fact_pago_ttf]]),0)</f>
        <v>27</v>
      </c>
      <c r="BC885" s="185">
        <v>45874</v>
      </c>
      <c r="BD885" s="185">
        <v>45887</v>
      </c>
      <c r="BE885" s="185">
        <v>45888</v>
      </c>
      <c r="BF885" s="185">
        <v>45909</v>
      </c>
      <c r="BG885" s="20">
        <f>IFERROR(IF(BC885-DATA[[#This Row],[fecha_fs]]&lt;0,0,BC885-DATA[[#This Row],[fecha_fs]]),0)</f>
        <v>32</v>
      </c>
      <c r="BH885" s="20">
        <f t="shared" si="92"/>
        <v>13</v>
      </c>
      <c r="BI885" s="20">
        <f t="shared" si="93"/>
        <v>1</v>
      </c>
      <c r="BJ885" s="20">
        <f t="shared" si="94"/>
        <v>21</v>
      </c>
      <c r="BK885" s="218">
        <f>IFERROR(SUM(DATA[[#This Row],[fs_fd_ttd]:[fend_fenf_ttd]]),0)</f>
        <v>67</v>
      </c>
      <c r="BL885" s="20" t="str">
        <f>IF(DATA[[#This Row],[fecha_fs]]&gt;0,TEXT(DATA[[#This Row],[fecha_fs]],"YYYY"),0)</f>
        <v>2025</v>
      </c>
      <c r="BM885" s="221" t="b">
        <v>1</v>
      </c>
      <c r="BN885" s="278">
        <f>COUNTIF(DATA[[#This Row],[tiempo_td]], "&lt;=15")</f>
        <v>0</v>
      </c>
      <c r="BO885" s="222"/>
    </row>
    <row r="886" spans="1:67" ht="30.6" customHeight="1" x14ac:dyDescent="0.25">
      <c r="A886" s="4">
        <v>20100211115</v>
      </c>
      <c r="B886" s="5" t="s">
        <v>41</v>
      </c>
      <c r="C886" s="52" t="s">
        <v>18</v>
      </c>
      <c r="D886" s="4" t="s">
        <v>112</v>
      </c>
      <c r="E886" s="5" t="s">
        <v>1</v>
      </c>
      <c r="F886" s="24">
        <v>45842</v>
      </c>
      <c r="G886" s="7" t="s">
        <v>113</v>
      </c>
      <c r="H886" s="25">
        <f t="shared" si="88"/>
        <v>1</v>
      </c>
      <c r="I886" s="67">
        <v>4716</v>
      </c>
      <c r="J886" s="8" t="s">
        <v>115</v>
      </c>
      <c r="K886" s="9" t="s">
        <v>116</v>
      </c>
      <c r="L886" s="10" t="s">
        <v>117</v>
      </c>
      <c r="M886" s="11">
        <v>5</v>
      </c>
      <c r="N886" s="12" t="s">
        <v>132</v>
      </c>
      <c r="O886" s="6">
        <v>45863</v>
      </c>
      <c r="P886" s="115">
        <v>3577</v>
      </c>
      <c r="Q886" s="14" t="s">
        <v>85</v>
      </c>
      <c r="R886" s="56"/>
      <c r="S886" s="56">
        <f>(DATA[[#This Row],[cantidad_fs]]*4.57)</f>
        <v>22.85</v>
      </c>
      <c r="T886" s="15">
        <f>DATA[[#This Row],[C. DF]]+DATA[[#This Row],[C.OPE.]]</f>
        <v>22.85</v>
      </c>
      <c r="U886" s="15">
        <f>DATA[[#This Row],[SUB TOTAL]]*0.18</f>
        <v>4.1130000000000004</v>
      </c>
      <c r="V886" s="15">
        <f>IFERROR(ROUND(DATA[[#This Row],[SUB TOTAL]]+DATA[[#This Row],[IGV]],2),0)</f>
        <v>26.96</v>
      </c>
      <c r="W886" s="16" t="str">
        <f>IF(DATA[[#This Row],[VALORIZACIÓN ]]="-","NO CORRESPONDE",IF(OR(A886=20558226979,A886=10470707866,A886=20111157058,A886=20100226902),"NO CORRESPONDE",IF(J886="Emitida",IF(P886&gt;0,"EMITIDA","PENDIENTE"),"NO CORRESPONDE")))</f>
        <v>EMITIDA</v>
      </c>
      <c r="X886" s="29"/>
      <c r="Y886" s="17" t="s">
        <v>118</v>
      </c>
      <c r="Z886" s="30">
        <v>45869</v>
      </c>
      <c r="AA886" s="10" t="s">
        <v>150</v>
      </c>
      <c r="AB886" s="19">
        <v>194</v>
      </c>
      <c r="AC886" s="20">
        <v>30</v>
      </c>
      <c r="AD886" s="18">
        <f>DATA[[#This Row],[FECHA DE EMISION]]+DATA[[#This Row],[CONDICION DE PAGO]]</f>
        <v>45899</v>
      </c>
      <c r="AE886" s="23">
        <f>IF(DATA[[#This Row],[MONEDA]]="USD",VLOOKUP(DATA[[#This Row],[COMBINADA]],#REF!,11,0),1)</f>
        <v>1</v>
      </c>
      <c r="AF886" s="129" t="str">
        <f>IF(DATA[[#This Row],[SERIE2]]="-","NO CORRESPONDE",IF(W886="NO CORRESPONDE","NO CORRESPONDE",IF(Z886&gt;0,"FACTURADO","PENDIENTE")))</f>
        <v>FACTURADO</v>
      </c>
      <c r="AG886" s="133">
        <f>IFERROR(VLOOKUP(DATA[[#This Row],[COMBINADA]],#REF!,6,0),0)</f>
        <v>0</v>
      </c>
      <c r="AH886" s="125">
        <f>IFERROR(VLOOKUP(DATA[[#This Row],[COMBINADA]],#REF!,9,0),0)/COUNTIFS(DATA[COMBINADA],DATA[[#This Row],[COMBINADA]])</f>
        <v>0</v>
      </c>
      <c r="AI886" s="136">
        <f>IFERROR(VLOOKUP(DATA[[#This Row],[COMBINADA]],#REF!,6,0),0)</f>
        <v>0</v>
      </c>
      <c r="AJ886" s="132">
        <f>IFERROR(VLOOKUP(DATA[[#This Row],[COMBINADA]],#REF!,9,0),0)/COUNTIFS(DATA[COMBINADA],DATA[[#This Row],[COMBINADA]])</f>
        <v>0</v>
      </c>
      <c r="AK886" s="407">
        <f>IFERROR(VLOOKUP(DATA[[#This Row],[COMBINADA]],#REF!,6,0),0)</f>
        <v>0</v>
      </c>
      <c r="AL886" s="125">
        <f>IFERROR(VLOOKUP(DATA[[#This Row],[COMBINADA]],#REF!,9,0),0)/COUNTIFS(DATA[COMBINADA],DATA[[#This Row],[COMBINADA]])</f>
        <v>0</v>
      </c>
      <c r="AM886" s="27">
        <f>IFERROR(VLOOKUP(DATA[[#This Row],[COMBINADA]],#REF!,6,0),0)</f>
        <v>0</v>
      </c>
      <c r="AN886" s="125">
        <f>IFERROR(VLOOKUP(DATA[[#This Row],[COMBINADA]],#REF!,9,0),0)/COUNTIFS(DATA[COMBINADA],DATA[[#This Row],[COMBINADA]])</f>
        <v>0</v>
      </c>
      <c r="AO886" s="27">
        <f>IFERROR(VLOOKUP(DATA[[#This Row],[COMBINADA]],#REF!,6,0),0)</f>
        <v>0</v>
      </c>
      <c r="AP886" s="132">
        <f>IFERROR(VLOOKUP(DATA[[#This Row],[COMBINADA]],#REF!,9,0),0)/COUNTIFS(DATA[COMBINADA],DATA[[#This Row],[COMBINADA]])</f>
        <v>0</v>
      </c>
      <c r="AQ88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98.146000000000001</v>
      </c>
      <c r="AR886" s="26" t="str">
        <f>IFERROR(IF(DATA[[#This Row],[estado_fact]]="FACTURADO",VLOOKUP(DATA[[#This Row],[SERIE2]]&amp;"-"&amp;DATA[[#This Row],[NUMERO]],#REF!,34,0),"NO CORRESPONDE"),"NO CORRESPONDE")</f>
        <v>NO CORRESPONDE</v>
      </c>
      <c r="AS886" s="22" t="str">
        <f>IF(DATA[[#This Row],[fecha_fs]]&gt;0,TEXT(DATA[[#This Row],[fecha_fs]],"Mmmm"),0)</f>
        <v>Julio</v>
      </c>
      <c r="AT886" s="22" t="str">
        <f>DATA[[#This Row],[SERIE2]]&amp;"-"&amp;DATA[[#This Row],[NUMERO]]</f>
        <v>FF01-194</v>
      </c>
      <c r="AU886" s="28">
        <f>DATA[[#This Row],[TOTAL]]*DATA[[#This Row],[T.C.]]</f>
        <v>26.96</v>
      </c>
      <c r="AV886" s="6">
        <f>DATA[[#This Row],[FECHA DE VAL.]]</f>
        <v>45863</v>
      </c>
      <c r="AW886" s="6">
        <f>DATA[[#This Row],[FECHA DE EMISION]]</f>
        <v>45869</v>
      </c>
      <c r="AX886" s="6">
        <f>DATA[[#This Row],[F1]]</f>
        <v>0</v>
      </c>
      <c r="AY886" s="20">
        <f>IF(AV886-DATA[[#This Row],[fecha_fs]]&lt;0,0,AV886-DATA[[#This Row],[fecha_fs]])</f>
        <v>21</v>
      </c>
      <c r="AZ886" s="20">
        <f t="shared" si="89"/>
        <v>6</v>
      </c>
      <c r="BA886" s="20">
        <f t="shared" si="90"/>
        <v>0</v>
      </c>
      <c r="BB886" s="195">
        <f>IFERROR(SUM(DATA[[#This Row],[fs_val_ttf]:[fact_pago_ttf]]),0)</f>
        <v>27</v>
      </c>
      <c r="BC886" s="185">
        <v>45874</v>
      </c>
      <c r="BD886" s="185">
        <v>45882</v>
      </c>
      <c r="BE886" s="185">
        <v>45882</v>
      </c>
      <c r="BF886" s="185">
        <v>45882</v>
      </c>
      <c r="BG886" s="20">
        <f>IFERROR(IF(BC886-DATA[[#This Row],[fecha_fs]]&lt;0,0,BC886-DATA[[#This Row],[fecha_fs]]),0)</f>
        <v>32</v>
      </c>
      <c r="BH886" s="20">
        <f t="shared" si="92"/>
        <v>8</v>
      </c>
      <c r="BI886" s="20">
        <f t="shared" si="93"/>
        <v>0</v>
      </c>
      <c r="BJ886" s="20">
        <f t="shared" si="94"/>
        <v>0</v>
      </c>
      <c r="BK886" s="218">
        <f>IFERROR(SUM(DATA[[#This Row],[fs_fd_ttd]:[fend_fenf_ttd]]),0)</f>
        <v>40</v>
      </c>
      <c r="BL886" s="20" t="str">
        <f>IF(DATA[[#This Row],[fecha_fs]]&gt;0,TEXT(DATA[[#This Row],[fecha_fs]],"YYYY"),0)</f>
        <v>2025</v>
      </c>
      <c r="BM886" s="221" t="b">
        <v>1</v>
      </c>
      <c r="BN886" s="278">
        <f>COUNTIF(DATA[[#This Row],[tiempo_td]], "&lt;=15")</f>
        <v>0</v>
      </c>
      <c r="BO886" s="222"/>
    </row>
    <row r="887" spans="1:67" ht="30.6" customHeight="1" x14ac:dyDescent="0.25">
      <c r="A887" s="4">
        <v>20141637941</v>
      </c>
      <c r="B887" s="5" t="s">
        <v>79</v>
      </c>
      <c r="C887" s="52" t="s">
        <v>18</v>
      </c>
      <c r="D887" s="4" t="s">
        <v>120</v>
      </c>
      <c r="E887" s="5" t="s">
        <v>3</v>
      </c>
      <c r="F887" s="24">
        <v>45842</v>
      </c>
      <c r="G887" s="7" t="s">
        <v>113</v>
      </c>
      <c r="H887" s="25">
        <f t="shared" si="88"/>
        <v>1</v>
      </c>
      <c r="I887" s="67">
        <v>4717</v>
      </c>
      <c r="J887" s="8" t="s">
        <v>115</v>
      </c>
      <c r="K887" s="9" t="s">
        <v>121</v>
      </c>
      <c r="L887" s="10" t="s">
        <v>117</v>
      </c>
      <c r="M887" s="11">
        <v>790</v>
      </c>
      <c r="N887" s="12" t="s">
        <v>125</v>
      </c>
      <c r="O887" s="6">
        <v>45842</v>
      </c>
      <c r="P887" s="110">
        <v>3541</v>
      </c>
      <c r="Q887" s="14" t="s">
        <v>85</v>
      </c>
      <c r="R887" s="15">
        <v>80</v>
      </c>
      <c r="S887" s="56">
        <v>832</v>
      </c>
      <c r="T887" s="15">
        <f>DATA[[#This Row],[C. DF]]+DATA[[#This Row],[C.OPE.]]</f>
        <v>912</v>
      </c>
      <c r="U887" s="15">
        <f>DATA[[#This Row],[SUB TOTAL]]*0.18</f>
        <v>164.16</v>
      </c>
      <c r="V887" s="15">
        <f>IFERROR(ROUND(DATA[[#This Row],[SUB TOTAL]]+DATA[[#This Row],[IGV]],2),0)</f>
        <v>1076.1600000000001</v>
      </c>
      <c r="W887" s="16" t="str">
        <f>IF(DATA[[#This Row],[VALORIZACIÓN ]]="-","NO CORRESPONDE",IF(OR(A887=20558226979,A887=10470707866,A887=20111157058,A887=20100226902),"NO CORRESPONDE",IF(J887="Emitida",IF(P887&gt;0,"EMITIDA","PENDIENTE"),"NO CORRESPONDE")))</f>
        <v>EMITIDA</v>
      </c>
      <c r="X887" s="29"/>
      <c r="Y887" s="17" t="s">
        <v>118</v>
      </c>
      <c r="Z887" s="30">
        <v>45849</v>
      </c>
      <c r="AA887" s="10" t="s">
        <v>150</v>
      </c>
      <c r="AB887" s="19">
        <v>173</v>
      </c>
      <c r="AC887" s="20">
        <v>30</v>
      </c>
      <c r="AD887" s="18">
        <f>DATA[[#This Row],[FECHA DE EMISION]]+DATA[[#This Row],[CONDICION DE PAGO]]</f>
        <v>45879</v>
      </c>
      <c r="AE887" s="23">
        <f>IF(DATA[[#This Row],[MONEDA]]="USD",VLOOKUP(DATA[[#This Row],[COMBINADA]],#REF!,11,0),1)</f>
        <v>1</v>
      </c>
      <c r="AF887" s="129" t="str">
        <f>IF(DATA[[#This Row],[SERIE2]]="-","NO CORRESPONDE",IF(W887="NO CORRESPONDE","NO CORRESPONDE",IF(Z887&gt;0,"FACTURADO","PENDIENTE")))</f>
        <v>FACTURADO</v>
      </c>
      <c r="AG887" s="133">
        <f>IFERROR(VLOOKUP(DATA[[#This Row],[COMBINADA]],#REF!,6,0),0)</f>
        <v>0</v>
      </c>
      <c r="AH887" s="125">
        <f>IFERROR(VLOOKUP(DATA[[#This Row],[COMBINADA]],#REF!,9,0),0)/COUNTIFS(DATA[COMBINADA],DATA[[#This Row],[COMBINADA]])</f>
        <v>0</v>
      </c>
      <c r="AI887" s="136">
        <f>IFERROR(VLOOKUP(DATA[[#This Row],[COMBINADA]],#REF!,6,0),0)</f>
        <v>0</v>
      </c>
      <c r="AJ887" s="132">
        <f>IFERROR(VLOOKUP(DATA[[#This Row],[COMBINADA]],#REF!,9,0),0)/COUNTIFS(DATA[COMBINADA],DATA[[#This Row],[COMBINADA]])</f>
        <v>0</v>
      </c>
      <c r="AK887" s="407">
        <f>IFERROR(VLOOKUP(DATA[[#This Row],[COMBINADA]],#REF!,6,0),0)</f>
        <v>0</v>
      </c>
      <c r="AL887" s="125">
        <f>IFERROR(VLOOKUP(DATA[[#This Row],[COMBINADA]],#REF!,9,0),0)/COUNTIFS(DATA[COMBINADA],DATA[[#This Row],[COMBINADA]])</f>
        <v>0</v>
      </c>
      <c r="AM887" s="27">
        <f>IFERROR(VLOOKUP(DATA[[#This Row],[COMBINADA]],#REF!,6,0),0)</f>
        <v>0</v>
      </c>
      <c r="AN887" s="125">
        <f>IFERROR(VLOOKUP(DATA[[#This Row],[COMBINADA]],#REF!,9,0),0)/COUNTIFS(DATA[COMBINADA],DATA[[#This Row],[COMBINADA]])</f>
        <v>0</v>
      </c>
      <c r="AO887" s="27">
        <f>IFERROR(VLOOKUP(DATA[[#This Row],[COMBINADA]],#REF!,6,0),0)</f>
        <v>0</v>
      </c>
      <c r="AP887" s="132">
        <f>IFERROR(VLOOKUP(DATA[[#This Row],[COMBINADA]],#REF!,9,0),0)/COUNTIFS(DATA[COMBINADA],DATA[[#This Row],[COMBINADA]])</f>
        <v>0</v>
      </c>
      <c r="AQ88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1076.1600000000001</v>
      </c>
      <c r="AR887" s="26" t="str">
        <f>IFERROR(IF(DATA[[#This Row],[estado_fact]]="FACTURADO",VLOOKUP(DATA[[#This Row],[SERIE2]]&amp;"-"&amp;DATA[[#This Row],[NUMERO]],#REF!,34,0),"NO CORRESPONDE"),"NO CORRESPONDE")</f>
        <v>NO CORRESPONDE</v>
      </c>
      <c r="AS887" s="22" t="str">
        <f>IF(DATA[[#This Row],[fecha_fs]]&gt;0,TEXT(DATA[[#This Row],[fecha_fs]],"Mmmm"),0)</f>
        <v>Julio</v>
      </c>
      <c r="AT887" s="22" t="str">
        <f>DATA[[#This Row],[SERIE2]]&amp;"-"&amp;DATA[[#This Row],[NUMERO]]</f>
        <v>FF01-173</v>
      </c>
      <c r="AU887" s="28">
        <f>DATA[[#This Row],[TOTAL]]*DATA[[#This Row],[T.C.]]</f>
        <v>1076.1600000000001</v>
      </c>
      <c r="AV887" s="6">
        <f>DATA[[#This Row],[FECHA DE VAL.]]</f>
        <v>45842</v>
      </c>
      <c r="AW887" s="6">
        <f>DATA[[#This Row],[FECHA DE EMISION]]</f>
        <v>45849</v>
      </c>
      <c r="AX887" s="6">
        <f>DATA[[#This Row],[F1]]</f>
        <v>0</v>
      </c>
      <c r="AY887" s="20">
        <f>IF(AV887-DATA[[#This Row],[fecha_fs]]&lt;0,0,AV887-DATA[[#This Row],[fecha_fs]])</f>
        <v>0</v>
      </c>
      <c r="AZ887" s="20">
        <f t="shared" si="89"/>
        <v>7</v>
      </c>
      <c r="BA887" s="20">
        <f t="shared" si="90"/>
        <v>0</v>
      </c>
      <c r="BB887" s="195">
        <f>IFERROR(SUM(DATA[[#This Row],[fs_val_ttf]:[fact_pago_ttf]]),0)</f>
        <v>7</v>
      </c>
      <c r="BC887" s="185">
        <v>45842</v>
      </c>
      <c r="BD887" s="185" t="s">
        <v>270</v>
      </c>
      <c r="BE887" s="185">
        <v>45870</v>
      </c>
      <c r="BF887" s="185">
        <v>45882</v>
      </c>
      <c r="BG887" s="20">
        <f>IFERROR(IF(BC887-DATA[[#This Row],[fecha_fs]]&lt;0,0,BC887-DATA[[#This Row],[fecha_fs]]),0)</f>
        <v>0</v>
      </c>
      <c r="BH887" s="20">
        <f t="shared" si="92"/>
        <v>0</v>
      </c>
      <c r="BI887" s="20">
        <f t="shared" si="93"/>
        <v>0</v>
      </c>
      <c r="BJ887" s="20">
        <f t="shared" si="94"/>
        <v>12</v>
      </c>
      <c r="BK887" s="218">
        <f>IFERROR(SUM(DATA[[#This Row],[fs_fd_ttd]:[fend_fenf_ttd]]),0)</f>
        <v>12</v>
      </c>
      <c r="BL887" s="20" t="str">
        <f>IF(DATA[[#This Row],[fecha_fs]]&gt;0,TEXT(DATA[[#This Row],[fecha_fs]],"YYYY"),0)</f>
        <v>2025</v>
      </c>
      <c r="BM887" s="221" t="b">
        <v>1</v>
      </c>
      <c r="BN887" s="278">
        <f>COUNTIF(DATA[[#This Row],[tiempo_td]], "&lt;=15")</f>
        <v>1</v>
      </c>
      <c r="BO887" s="222"/>
    </row>
    <row r="888" spans="1:67" ht="30.6" customHeight="1" x14ac:dyDescent="0.25">
      <c r="A888" s="4">
        <v>20100055237</v>
      </c>
      <c r="B888" s="5" t="s">
        <v>21</v>
      </c>
      <c r="C888" s="52" t="s">
        <v>138</v>
      </c>
      <c r="D888" s="4" t="s">
        <v>139</v>
      </c>
      <c r="E888" s="5" t="s">
        <v>23</v>
      </c>
      <c r="F888" s="24">
        <v>45846</v>
      </c>
      <c r="G888" s="7" t="s">
        <v>113</v>
      </c>
      <c r="H888" s="25">
        <f t="shared" si="88"/>
        <v>1</v>
      </c>
      <c r="I888" s="67">
        <v>4718</v>
      </c>
      <c r="J888" s="8" t="s">
        <v>115</v>
      </c>
      <c r="K888" s="9" t="s">
        <v>121</v>
      </c>
      <c r="L888" s="10" t="s">
        <v>117</v>
      </c>
      <c r="M888" s="11">
        <v>80</v>
      </c>
      <c r="N888" s="12" t="s">
        <v>167</v>
      </c>
      <c r="O888" s="6">
        <v>45869</v>
      </c>
      <c r="P888" s="54">
        <v>3582</v>
      </c>
      <c r="Q888" s="14" t="s">
        <v>85</v>
      </c>
      <c r="R888" s="56"/>
      <c r="S888" s="56">
        <v>297.92</v>
      </c>
      <c r="T888" s="15">
        <f>DATA[[#This Row],[C. DF]]+DATA[[#This Row],[C.OPE.]]</f>
        <v>297.92</v>
      </c>
      <c r="U888" s="15">
        <f>DATA[[#This Row],[SUB TOTAL]]*0.18</f>
        <v>53.625599999999999</v>
      </c>
      <c r="V888" s="15">
        <f>IFERROR(ROUND(DATA[[#This Row],[SUB TOTAL]]+DATA[[#This Row],[IGV]],2),0)</f>
        <v>351.55</v>
      </c>
      <c r="W888" s="16" t="str">
        <f>IF(DATA[[#This Row],[VALORIZACIÓN ]]="-","NO CORRESPONDE",IF(OR(A888=20558226979,A888=10470707866,A888=20111157058,A888=20100226902),"NO CORRESPONDE",IF(J888="Emitida",IF(P888&gt;0,"EMITIDA","PENDIENTE"),"NO CORRESPONDE")))</f>
        <v>EMITIDA</v>
      </c>
      <c r="X888" s="29"/>
      <c r="Y888" s="17" t="s">
        <v>118</v>
      </c>
      <c r="Z888" s="30">
        <v>45883</v>
      </c>
      <c r="AA888" s="10" t="s">
        <v>150</v>
      </c>
      <c r="AB888" s="19">
        <v>205</v>
      </c>
      <c r="AC888" s="20">
        <v>30</v>
      </c>
      <c r="AD888" s="18">
        <f>DATA[[#This Row],[FECHA DE EMISION]]+DATA[[#This Row],[CONDICION DE PAGO]]</f>
        <v>45913</v>
      </c>
      <c r="AE888" s="23">
        <f>IF(DATA[[#This Row],[MONEDA]]="USD",VLOOKUP(DATA[[#This Row],[COMBINADA]],#REF!,11,0),1)</f>
        <v>1</v>
      </c>
      <c r="AF888" s="129" t="str">
        <f>IF(DATA[[#This Row],[SERIE2]]="-","NO CORRESPONDE",IF(W888="NO CORRESPONDE","NO CORRESPONDE",IF(Z888&gt;0,"FACTURADO","PENDIENTE")))</f>
        <v>FACTURADO</v>
      </c>
      <c r="AG888" s="133">
        <f>IFERROR(VLOOKUP(DATA[[#This Row],[COMBINADA]],#REF!,6,0),0)</f>
        <v>0</v>
      </c>
      <c r="AH888" s="125">
        <f>IFERROR(VLOOKUP(DATA[[#This Row],[COMBINADA]],#REF!,9,0),0)/COUNTIFS(DATA[COMBINADA],DATA[[#This Row],[COMBINADA]])</f>
        <v>0</v>
      </c>
      <c r="AI888" s="136">
        <f>IFERROR(VLOOKUP(DATA[[#This Row],[COMBINADA]],#REF!,6,0),0)</f>
        <v>0</v>
      </c>
      <c r="AJ888" s="132">
        <f>IFERROR(VLOOKUP(DATA[[#This Row],[COMBINADA]],#REF!,9,0),0)/COUNTIFS(DATA[COMBINADA],DATA[[#This Row],[COMBINADA]])</f>
        <v>0</v>
      </c>
      <c r="AK888" s="407">
        <f>IFERROR(VLOOKUP(DATA[[#This Row],[COMBINADA]],#REF!,6,0),0)</f>
        <v>0</v>
      </c>
      <c r="AL888" s="125">
        <f>IFERROR(VLOOKUP(DATA[[#This Row],[COMBINADA]],#REF!,9,0),0)/COUNTIFS(DATA[COMBINADA],DATA[[#This Row],[COMBINADA]])</f>
        <v>0</v>
      </c>
      <c r="AM888" s="27">
        <f>IFERROR(VLOOKUP(DATA[[#This Row],[COMBINADA]],#REF!,6,0),0)</f>
        <v>0</v>
      </c>
      <c r="AN888" s="125">
        <f>IFERROR(VLOOKUP(DATA[[#This Row],[COMBINADA]],#REF!,9,0),0)/COUNTIFS(DATA[COMBINADA],DATA[[#This Row],[COMBINADA]])</f>
        <v>0</v>
      </c>
      <c r="AO888" s="27">
        <f>IFERROR(VLOOKUP(DATA[[#This Row],[COMBINADA]],#REF!,6,0),0)</f>
        <v>0</v>
      </c>
      <c r="AP888" s="132">
        <f>IFERROR(VLOOKUP(DATA[[#This Row],[COMBINADA]],#REF!,9,0),0)/COUNTIFS(DATA[COMBINADA],DATA[[#This Row],[COMBINADA]])</f>
        <v>0</v>
      </c>
      <c r="AQ88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888" s="26" t="str">
        <f>IFERROR(IF(DATA[[#This Row],[estado_fact]]="FACTURADO",VLOOKUP(DATA[[#This Row],[SERIE2]]&amp;"-"&amp;DATA[[#This Row],[NUMERO]],#REF!,34,0),"NO CORRESPONDE"),"NO CORRESPONDE")</f>
        <v>NO CORRESPONDE</v>
      </c>
      <c r="AS888" s="22" t="str">
        <f>IF(DATA[[#This Row],[fecha_fs]]&gt;0,TEXT(DATA[[#This Row],[fecha_fs]],"Mmmm"),0)</f>
        <v>Julio</v>
      </c>
      <c r="AT888" s="22" t="str">
        <f>DATA[[#This Row],[SERIE2]]&amp;"-"&amp;DATA[[#This Row],[NUMERO]]</f>
        <v>FF01-205</v>
      </c>
      <c r="AU888" s="28">
        <f>DATA[[#This Row],[TOTAL]]*DATA[[#This Row],[T.C.]]</f>
        <v>351.55</v>
      </c>
      <c r="AV888" s="6">
        <f>DATA[[#This Row],[FECHA DE VAL.]]</f>
        <v>45869</v>
      </c>
      <c r="AW888" s="6">
        <f>DATA[[#This Row],[FECHA DE EMISION]]</f>
        <v>45883</v>
      </c>
      <c r="AX888" s="6">
        <f>DATA[[#This Row],[F1]]</f>
        <v>0</v>
      </c>
      <c r="AY888" s="20">
        <f>IF(AV888-DATA[[#This Row],[fecha_fs]]&lt;0,0,AV888-DATA[[#This Row],[fecha_fs]])</f>
        <v>23</v>
      </c>
      <c r="AZ888" s="20">
        <f t="shared" si="89"/>
        <v>14</v>
      </c>
      <c r="BA888" s="20">
        <f t="shared" si="90"/>
        <v>0</v>
      </c>
      <c r="BB888" s="195">
        <f>IFERROR(SUM(DATA[[#This Row],[fs_val_ttf]:[fact_pago_ttf]]),0)</f>
        <v>37</v>
      </c>
      <c r="BC888" s="185">
        <v>45846</v>
      </c>
      <c r="BD888" s="185">
        <v>45846</v>
      </c>
      <c r="BE888" s="185">
        <v>45870</v>
      </c>
      <c r="BF888" s="185">
        <v>45870</v>
      </c>
      <c r="BG888" s="20">
        <f>IFERROR(IF(BC888-DATA[[#This Row],[fecha_fs]]&lt;0,0,BC888-DATA[[#This Row],[fecha_fs]]),0)</f>
        <v>0</v>
      </c>
      <c r="BH888" s="20">
        <f t="shared" si="92"/>
        <v>0</v>
      </c>
      <c r="BI888" s="20">
        <f t="shared" si="93"/>
        <v>24</v>
      </c>
      <c r="BJ888" s="20">
        <f t="shared" si="94"/>
        <v>0</v>
      </c>
      <c r="BK888" s="218">
        <f>IFERROR(SUM(DATA[[#This Row],[fs_fd_ttd]:[fend_fenf_ttd]]),0)</f>
        <v>24</v>
      </c>
      <c r="BL888" s="20" t="str">
        <f>IF(DATA[[#This Row],[fecha_fs]]&gt;0,TEXT(DATA[[#This Row],[fecha_fs]],"YYYY"),0)</f>
        <v>2025</v>
      </c>
      <c r="BM888" s="221" t="b">
        <v>1</v>
      </c>
      <c r="BN888" s="278">
        <f>COUNTIF(DATA[[#This Row],[tiempo_td]], "&lt;=15")</f>
        <v>0</v>
      </c>
      <c r="BO888" s="222"/>
    </row>
    <row r="889" spans="1:67" ht="30.6" customHeight="1" x14ac:dyDescent="0.25">
      <c r="A889" s="4">
        <v>20100226902</v>
      </c>
      <c r="B889" s="5" t="s">
        <v>24</v>
      </c>
      <c r="C889" s="52" t="s">
        <v>18</v>
      </c>
      <c r="D889" s="4" t="s">
        <v>120</v>
      </c>
      <c r="E889" s="5" t="s">
        <v>3</v>
      </c>
      <c r="F889" s="24">
        <v>45842</v>
      </c>
      <c r="G889" s="7" t="s">
        <v>113</v>
      </c>
      <c r="H889" s="25">
        <f t="shared" si="88"/>
        <v>1</v>
      </c>
      <c r="I889" s="67">
        <v>4719</v>
      </c>
      <c r="J889" s="8" t="s">
        <v>115</v>
      </c>
      <c r="K889" s="9" t="s">
        <v>121</v>
      </c>
      <c r="L889" s="10" t="s">
        <v>117</v>
      </c>
      <c r="M889" s="11">
        <v>820</v>
      </c>
      <c r="N889" s="12" t="s">
        <v>127</v>
      </c>
      <c r="O889" s="40"/>
      <c r="P889" s="41" t="s">
        <v>114</v>
      </c>
      <c r="Q889" s="42"/>
      <c r="R889" s="43"/>
      <c r="S889" s="43"/>
      <c r="T889" s="43">
        <f>DATA[[#This Row],[C. DF]]+DATA[[#This Row],[C.OPE.]]</f>
        <v>0</v>
      </c>
      <c r="U889" s="43">
        <f>DATA[[#This Row],[SUB TOTAL]]*0.18</f>
        <v>0</v>
      </c>
      <c r="V889" s="43">
        <f>IFERROR(ROUND(DATA[[#This Row],[SUB TOTAL]]+DATA[[#This Row],[IGV]],2),0)</f>
        <v>0</v>
      </c>
      <c r="W889" s="16" t="str">
        <f>IF(DATA[[#This Row],[VALORIZACIÓN ]]="-","NO CORRESPONDE",IF(OR(A889=20558226979,A889=10470707866,A889=20111157058,A889=20100226902),"NO CORRESPONDE",IF(J889="Emitida",IF(P889&gt;0,"EMITIDA","PENDIENTE"),"NO CORRESPONDE")))</f>
        <v>NO CORRESPONDE</v>
      </c>
      <c r="X889" s="45"/>
      <c r="Y889" s="17" t="s">
        <v>128</v>
      </c>
      <c r="Z889" s="46"/>
      <c r="AA889" s="47"/>
      <c r="AB889" s="48"/>
      <c r="AC889" s="49"/>
      <c r="AD889" s="50">
        <f>DATA[[#This Row],[FECHA DE EMISION]]+DATA[[#This Row],[CONDICION DE PAGO]]</f>
        <v>0</v>
      </c>
      <c r="AE889" s="23">
        <f>IF(DATA[[#This Row],[MONEDA]]="USD",VLOOKUP(DATA[[#This Row],[COMBINADA]],#REF!,11,0),1)</f>
        <v>1</v>
      </c>
      <c r="AF889" s="129" t="str">
        <f>IF(DATA[[#This Row],[SERIE2]]="-","NO CORRESPONDE",IF(W889="NO CORRESPONDE","NO CORRESPONDE",IF(Z889&gt;0,"FACTURADO","PENDIENTE")))</f>
        <v>NO CORRESPONDE</v>
      </c>
      <c r="AG889" s="140">
        <f>IFERROR(VLOOKUP(DATA[[#This Row],[COMBINADA]],#REF!,6,0),0)</f>
        <v>0</v>
      </c>
      <c r="AH889" s="126">
        <f>IFERROR(VLOOKUP(DATA[[#This Row],[COMBINADA]],#REF!,9,0),0)/COUNTIFS(DATA[COMBINADA],DATA[[#This Row],[COMBINADA]])</f>
        <v>0</v>
      </c>
      <c r="AI889" s="140">
        <f>IFERROR(VLOOKUP(DATA[[#This Row],[COMBINADA]],#REF!,6,0),0)</f>
        <v>0</v>
      </c>
      <c r="AJ889" s="126">
        <f>IFERROR(VLOOKUP(DATA[[#This Row],[COMBINADA]],#REF!,9,0),0)/COUNTIFS(DATA[COMBINADA],DATA[[#This Row],[COMBINADA]])</f>
        <v>0</v>
      </c>
      <c r="AK889" s="287">
        <f>IFERROR(VLOOKUP(DATA[[#This Row],[COMBINADA]],#REF!,6,0),0)</f>
        <v>0</v>
      </c>
      <c r="AL889" s="126">
        <f>IFERROR(VLOOKUP(DATA[[#This Row],[COMBINADA]],#REF!,9,0),0)/COUNTIFS(DATA[COMBINADA],DATA[[#This Row],[COMBINADA]])</f>
        <v>0</v>
      </c>
      <c r="AM889" s="60">
        <f>IFERROR(VLOOKUP(DATA[[#This Row],[COMBINADA]],#REF!,6,0),0)</f>
        <v>0</v>
      </c>
      <c r="AN889" s="126">
        <f>IFERROR(VLOOKUP(DATA[[#This Row],[COMBINADA]],#REF!,9,0),0)/COUNTIFS(DATA[COMBINADA],DATA[[#This Row],[COMBINADA]])</f>
        <v>0</v>
      </c>
      <c r="AO889" s="60">
        <f>IFERROR(VLOOKUP(DATA[[#This Row],[COMBINADA]],#REF!,6,0),0)</f>
        <v>0</v>
      </c>
      <c r="AP889" s="126">
        <f>IFERROR(VLOOKUP(DATA[[#This Row],[COMBINADA]],#REF!,9,0),0)/COUNTIFS(DATA[COMBINADA],DATA[[#This Row],[COMBINADA]])</f>
        <v>0</v>
      </c>
      <c r="AQ889"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889" s="22" t="str">
        <f>IFERROR(IF(DATA[[#This Row],[estado_fact]]="FACTURADO",VLOOKUP(DATA[[#This Row],[SERIE2]]&amp;"-"&amp;DATA[[#This Row],[NUMERO]],#REF!,34,0),"NO CORRESPONDE"),"NO CORRESPONDE")</f>
        <v>NO CORRESPONDE</v>
      </c>
      <c r="AS889" s="22" t="str">
        <f>IF(DATA[[#This Row],[fecha_fs]]&gt;0,TEXT(DATA[[#This Row],[fecha_fs]],"Mmmm"),0)</f>
        <v>Julio</v>
      </c>
      <c r="AT889" s="22" t="str">
        <f>DATA[[#This Row],[SERIE2]]&amp;"-"&amp;DATA[[#This Row],[NUMERO]]</f>
        <v>-</v>
      </c>
      <c r="AU889" s="28">
        <f>DATA[[#This Row],[TOTAL]]*DATA[[#This Row],[T.C.]]</f>
        <v>0</v>
      </c>
      <c r="AV889" s="6">
        <f>DATA[[#This Row],[FECHA DE VAL.]]</f>
        <v>0</v>
      </c>
      <c r="AW889" s="6">
        <f>DATA[[#This Row],[FECHA DE EMISION]]</f>
        <v>0</v>
      </c>
      <c r="AX889" s="6">
        <f>DATA[[#This Row],[F1]]</f>
        <v>0</v>
      </c>
      <c r="AY889" s="20">
        <f>IF(AV889-DATA[[#This Row],[fecha_fs]]&lt;0,0,AV889-DATA[[#This Row],[fecha_fs]])</f>
        <v>0</v>
      </c>
      <c r="AZ889" s="20">
        <f t="shared" si="89"/>
        <v>0</v>
      </c>
      <c r="BA889" s="20">
        <f t="shared" si="90"/>
        <v>0</v>
      </c>
      <c r="BB889" s="195">
        <f>IFERROR(SUM(DATA[[#This Row],[fs_val_ttf]:[fact_pago_ttf]]),0)</f>
        <v>0</v>
      </c>
      <c r="BC889" s="185">
        <v>45842</v>
      </c>
      <c r="BD889" s="185">
        <v>45842</v>
      </c>
      <c r="BE889" s="185">
        <v>45880</v>
      </c>
      <c r="BF889" s="185">
        <v>45880</v>
      </c>
      <c r="BG889" s="20">
        <f>IFERROR(IF(BC889-DATA[[#This Row],[fecha_fs]]&lt;0,0,BC889-DATA[[#This Row],[fecha_fs]]),0)</f>
        <v>0</v>
      </c>
      <c r="BH889" s="20">
        <f t="shared" si="92"/>
        <v>0</v>
      </c>
      <c r="BI889" s="20">
        <f t="shared" si="93"/>
        <v>38</v>
      </c>
      <c r="BJ889" s="20">
        <f t="shared" si="94"/>
        <v>0</v>
      </c>
      <c r="BK889" s="218">
        <f>IFERROR(SUM(DATA[[#This Row],[fs_fd_ttd]:[fend_fenf_ttd]]),0)</f>
        <v>38</v>
      </c>
      <c r="BL889" s="20" t="str">
        <f>IF(DATA[[#This Row],[fecha_fs]]&gt;0,TEXT(DATA[[#This Row],[fecha_fs]],"YYYY"),0)</f>
        <v>2025</v>
      </c>
      <c r="BM889" s="221" t="b">
        <v>1</v>
      </c>
      <c r="BN889" s="278">
        <f>COUNTIF(DATA[[#This Row],[tiempo_td]], "&lt;=15")</f>
        <v>0</v>
      </c>
      <c r="BO889" s="222"/>
    </row>
    <row r="890" spans="1:67" ht="30.6" customHeight="1" x14ac:dyDescent="0.25">
      <c r="A890" s="4">
        <v>20100192064</v>
      </c>
      <c r="B890" s="5" t="s">
        <v>60</v>
      </c>
      <c r="C890" s="52" t="s">
        <v>64</v>
      </c>
      <c r="D890" s="4" t="s">
        <v>112</v>
      </c>
      <c r="E890" s="5" t="s">
        <v>1</v>
      </c>
      <c r="F890" s="24">
        <v>45842</v>
      </c>
      <c r="G890" s="7" t="s">
        <v>113</v>
      </c>
      <c r="H890" s="25">
        <f t="shared" si="88"/>
        <v>1</v>
      </c>
      <c r="I890" s="67">
        <v>4720</v>
      </c>
      <c r="J890" s="8" t="s">
        <v>115</v>
      </c>
      <c r="K890" s="9" t="s">
        <v>136</v>
      </c>
      <c r="L890" s="10" t="s">
        <v>137</v>
      </c>
      <c r="M890" s="182">
        <v>20</v>
      </c>
      <c r="N890" s="12" t="s">
        <v>135</v>
      </c>
      <c r="O890" s="6">
        <v>45863</v>
      </c>
      <c r="P890" s="71">
        <v>3562</v>
      </c>
      <c r="Q890" s="14" t="s">
        <v>123</v>
      </c>
      <c r="R890" s="15">
        <f>DATA[[#This Row],[cantidad_fs]]*33.34</f>
        <v>666.80000000000007</v>
      </c>
      <c r="S890" s="74"/>
      <c r="T890" s="15">
        <f>DATA[[#This Row],[C. DF]]+DATA[[#This Row],[C.OPE.]]</f>
        <v>666.80000000000007</v>
      </c>
      <c r="U890" s="15">
        <f>DATA[[#This Row],[SUB TOTAL]]*0.18</f>
        <v>120.024</v>
      </c>
      <c r="V890" s="15">
        <f>IFERROR(ROUND(DATA[[#This Row],[SUB TOTAL]]+DATA[[#This Row],[IGV]],2),0)</f>
        <v>786.82</v>
      </c>
      <c r="W890" s="16" t="str">
        <f>IF(DATA[[#This Row],[VALORIZACIÓN ]]="-","NO CORRESPONDE",IF(OR(A890=20558226979,A890=10470707866,A890=20111157058,A890=20100226902),"NO CORRESPONDE",IF(J890="Emitida",IF(P890&gt;0,"EMITIDA","PENDIENTE"),"NO CORRESPONDE")))</f>
        <v>EMITIDA</v>
      </c>
      <c r="X890" s="29"/>
      <c r="Y890" s="17" t="s">
        <v>118</v>
      </c>
      <c r="Z890" s="30">
        <v>45869</v>
      </c>
      <c r="AA890" s="10" t="s">
        <v>150</v>
      </c>
      <c r="AB890" s="19">
        <v>189</v>
      </c>
      <c r="AC890" s="20">
        <v>30</v>
      </c>
      <c r="AD890" s="18">
        <f>DATA[[#This Row],[FECHA DE EMISION]]+DATA[[#This Row],[CONDICION DE PAGO]]</f>
        <v>45899</v>
      </c>
      <c r="AE890" s="23" t="e">
        <f>IF(DATA[[#This Row],[MONEDA]]="USD",VLOOKUP(DATA[[#This Row],[COMBINADA]],#REF!,11,0),1)</f>
        <v>#REF!</v>
      </c>
      <c r="AF890" s="39" t="str">
        <f>IF(DATA[[#This Row],[SERIE2]]="-","NO CORRESPONDE",IF(W890="NO CORRESPONDE","NO CORRESPONDE",IF(Z890&gt;0,"FACTURADO","PENDIENTE")))</f>
        <v>FACTURADO</v>
      </c>
      <c r="AG890" s="133">
        <f>IFERROR(VLOOKUP(DATA[[#This Row],[COMBINADA]],#REF!,6,0),0)</f>
        <v>0</v>
      </c>
      <c r="AH890" s="125">
        <f>IFERROR(VLOOKUP(DATA[[#This Row],[COMBINADA]],#REF!,9,0),0)/COUNTIFS(DATA[COMBINADA],DATA[[#This Row],[COMBINADA]])</f>
        <v>0</v>
      </c>
      <c r="AI890" s="136">
        <f>IFERROR(VLOOKUP(DATA[[#This Row],[COMBINADA]],#REF!,6,0),0)</f>
        <v>0</v>
      </c>
      <c r="AJ890" s="132">
        <f>IFERROR(VLOOKUP(DATA[[#This Row],[COMBINADA]],#REF!,9,0),0)/COUNTIFS(DATA[COMBINADA],DATA[[#This Row],[COMBINADA]])</f>
        <v>0</v>
      </c>
      <c r="AK890" s="408">
        <f>IFERROR(VLOOKUP(DATA[[#This Row],[COMBINADA]],#REF!,6,0),0)</f>
        <v>0</v>
      </c>
      <c r="AL890" s="125">
        <f>IFERROR(VLOOKUP(DATA[[#This Row],[COMBINADA]],#REF!,9,0),0)/COUNTIFS(DATA[COMBINADA],DATA[[#This Row],[COMBINADA]])</f>
        <v>0</v>
      </c>
      <c r="AM890" s="27">
        <f>IFERROR(VLOOKUP(DATA[[#This Row],[COMBINADA]],#REF!,6,0),0)</f>
        <v>0</v>
      </c>
      <c r="AN890" s="125">
        <f>IFERROR(VLOOKUP(DATA[[#This Row],[COMBINADA]],#REF!,9,0),0)/COUNTIFS(DATA[COMBINADA],DATA[[#This Row],[COMBINADA]])</f>
        <v>0</v>
      </c>
      <c r="AO890" s="27">
        <f>IFERROR(VLOOKUP(DATA[[#This Row],[COMBINADA]],#REF!,6,0),0)</f>
        <v>0</v>
      </c>
      <c r="AP890" s="132">
        <f>IFERROR(VLOOKUP(DATA[[#This Row],[COMBINADA]],#REF!,9,0),0)/COUNTIFS(DATA[COMBINADA],DATA[[#This Row],[COMBINADA]])</f>
        <v>0</v>
      </c>
      <c r="AQ89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799.26461538461524</v>
      </c>
      <c r="AR890" s="26" t="str">
        <f>IFERROR(IF(DATA[[#This Row],[estado_fact]]="FACTURADO",VLOOKUP(DATA[[#This Row],[SERIE2]]&amp;"-"&amp;DATA[[#This Row],[NUMERO]],#REF!,34,0),"NO CORRESPONDE"),"NO CORRESPONDE")</f>
        <v>NO CORRESPONDE</v>
      </c>
      <c r="AS890" s="22" t="str">
        <f>IF(DATA[[#This Row],[fecha_fs]]&gt;0,TEXT(DATA[[#This Row],[fecha_fs]],"Mmmm"),0)</f>
        <v>Julio</v>
      </c>
      <c r="AT890" s="22" t="str">
        <f>DATA[[#This Row],[SERIE2]]&amp;"-"&amp;DATA[[#This Row],[NUMERO]]</f>
        <v>FF01-189</v>
      </c>
      <c r="AU890" s="28" t="e">
        <f>DATA[[#This Row],[TOTAL]]*DATA[[#This Row],[T.C.]]</f>
        <v>#REF!</v>
      </c>
      <c r="AV890" s="6">
        <f>DATA[[#This Row],[FECHA DE VAL.]]</f>
        <v>45863</v>
      </c>
      <c r="AW890" s="6">
        <f>DATA[[#This Row],[FECHA DE EMISION]]</f>
        <v>45869</v>
      </c>
      <c r="AX890" s="6">
        <f>DATA[[#This Row],[F1]]</f>
        <v>0</v>
      </c>
      <c r="AY890" s="20">
        <f>IF(AV890-DATA[[#This Row],[fecha_fs]]&lt;0,0,AV890-DATA[[#This Row],[fecha_fs]])</f>
        <v>21</v>
      </c>
      <c r="AZ890" s="20">
        <f t="shared" si="89"/>
        <v>6</v>
      </c>
      <c r="BA890" s="20">
        <f t="shared" si="90"/>
        <v>0</v>
      </c>
      <c r="BB890" s="195">
        <f>IFERROR(SUM(DATA[[#This Row],[fs_val_ttf]:[fact_pago_ttf]]),0)</f>
        <v>27</v>
      </c>
      <c r="BC890" s="185">
        <v>45847</v>
      </c>
      <c r="BD890" s="185">
        <v>45869</v>
      </c>
      <c r="BE890" s="185">
        <v>45870</v>
      </c>
      <c r="BF890" s="185">
        <v>45909</v>
      </c>
      <c r="BG890" s="20">
        <f>IFERROR(IF(BC890-DATA[[#This Row],[fecha_fs]]&lt;0,0,BC890-DATA[[#This Row],[fecha_fs]]),0)</f>
        <v>5</v>
      </c>
      <c r="BH890" s="20">
        <f t="shared" si="92"/>
        <v>22</v>
      </c>
      <c r="BI890" s="20">
        <f t="shared" si="93"/>
        <v>1</v>
      </c>
      <c r="BJ890" s="20">
        <f t="shared" si="94"/>
        <v>39</v>
      </c>
      <c r="BK890" s="218">
        <f>IFERROR(SUM(DATA[[#This Row],[fs_fd_ttd]:[fend_fenf_ttd]]),0)</f>
        <v>67</v>
      </c>
      <c r="BL890" s="20" t="str">
        <f>IF(DATA[[#This Row],[fecha_fs]]&gt;0,TEXT(DATA[[#This Row],[fecha_fs]],"YYYY"),0)</f>
        <v>2025</v>
      </c>
      <c r="BM890" s="221" t="b">
        <v>1</v>
      </c>
      <c r="BN890" s="278">
        <f>COUNTIF(DATA[[#This Row],[tiempo_td]], "&lt;=15")</f>
        <v>0</v>
      </c>
      <c r="BO890" s="222"/>
    </row>
    <row r="891" spans="1:67" ht="30.6" customHeight="1" x14ac:dyDescent="0.25">
      <c r="A891" s="4">
        <v>20100211115</v>
      </c>
      <c r="B891" s="5" t="s">
        <v>41</v>
      </c>
      <c r="C891" s="52" t="s">
        <v>18</v>
      </c>
      <c r="D891" s="4" t="s">
        <v>120</v>
      </c>
      <c r="E891" s="5" t="s">
        <v>3</v>
      </c>
      <c r="F891" s="24">
        <v>45845</v>
      </c>
      <c r="G891" s="7" t="s">
        <v>113</v>
      </c>
      <c r="H891" s="25">
        <f t="shared" si="88"/>
        <v>1</v>
      </c>
      <c r="I891" s="67">
        <v>4721</v>
      </c>
      <c r="J891" s="8" t="s">
        <v>115</v>
      </c>
      <c r="K891" s="9" t="s">
        <v>121</v>
      </c>
      <c r="L891" s="10" t="s">
        <v>117</v>
      </c>
      <c r="M891" s="11">
        <v>90</v>
      </c>
      <c r="N891" s="12" t="s">
        <v>165</v>
      </c>
      <c r="O891" s="6">
        <v>45863</v>
      </c>
      <c r="P891" s="115">
        <v>3575</v>
      </c>
      <c r="Q891" s="14" t="s">
        <v>85</v>
      </c>
      <c r="R891" s="56"/>
      <c r="S891" s="15">
        <f>(DATA[[#This Row],[cantidad_fs]]*4.17)</f>
        <v>375.3</v>
      </c>
      <c r="T891" s="15">
        <f>DATA[[#This Row],[C. DF]]+DATA[[#This Row],[C.OPE.]]</f>
        <v>375.3</v>
      </c>
      <c r="U891" s="15">
        <f>DATA[[#This Row],[SUB TOTAL]]*0.18</f>
        <v>67.554000000000002</v>
      </c>
      <c r="V891" s="15">
        <f>IFERROR(ROUND(DATA[[#This Row],[SUB TOTAL]]+DATA[[#This Row],[IGV]],2),0)</f>
        <v>442.85</v>
      </c>
      <c r="W891" s="16" t="str">
        <f>IF(DATA[[#This Row],[VALORIZACIÓN ]]="-","NO CORRESPONDE",IF(OR(A891=20558226979,A891=10470707866,A891=20111157058,A891=20100226902),"NO CORRESPONDE",IF(J891="Emitida",IF(P891&gt;0,"EMITIDA","PENDIENTE"),"NO CORRESPONDE")))</f>
        <v>EMITIDA</v>
      </c>
      <c r="X891" s="29"/>
      <c r="Y891" s="17" t="s">
        <v>118</v>
      </c>
      <c r="Z891" s="30">
        <v>45869</v>
      </c>
      <c r="AA891" s="10" t="s">
        <v>150</v>
      </c>
      <c r="AB891" s="19">
        <v>191</v>
      </c>
      <c r="AC891" s="20">
        <v>30</v>
      </c>
      <c r="AD891" s="18">
        <f>DATA[[#This Row],[FECHA DE EMISION]]+DATA[[#This Row],[CONDICION DE PAGO]]</f>
        <v>45899</v>
      </c>
      <c r="AE891" s="23">
        <f>IF(DATA[[#This Row],[MONEDA]]="USD",VLOOKUP(DATA[[#This Row],[COMBINADA]],#REF!,11,0),1)</f>
        <v>1</v>
      </c>
      <c r="AF891" s="129" t="str">
        <f>IF(DATA[[#This Row],[SERIE2]]="-","NO CORRESPONDE",IF(W891="NO CORRESPONDE","NO CORRESPONDE",IF(Z891&gt;0,"FACTURADO","PENDIENTE")))</f>
        <v>FACTURADO</v>
      </c>
      <c r="AG891" s="133">
        <f>IFERROR(VLOOKUP(DATA[[#This Row],[COMBINADA]],#REF!,6,0),0)</f>
        <v>0</v>
      </c>
      <c r="AH891" s="125">
        <f>IFERROR(VLOOKUP(DATA[[#This Row],[COMBINADA]],#REF!,9,0),0)/COUNTIFS(DATA[COMBINADA],DATA[[#This Row],[COMBINADA]])</f>
        <v>0</v>
      </c>
      <c r="AI891" s="136">
        <f>IFERROR(VLOOKUP(DATA[[#This Row],[COMBINADA]],#REF!,6,0),0)</f>
        <v>0</v>
      </c>
      <c r="AJ891" s="132">
        <f>IFERROR(VLOOKUP(DATA[[#This Row],[COMBINADA]],#REF!,9,0),0)/COUNTIFS(DATA[COMBINADA],DATA[[#This Row],[COMBINADA]])</f>
        <v>0</v>
      </c>
      <c r="AK891" s="407">
        <f>IFERROR(VLOOKUP(DATA[[#This Row],[COMBINADA]],#REF!,6,0),0)</f>
        <v>0</v>
      </c>
      <c r="AL891" s="125">
        <f>IFERROR(VLOOKUP(DATA[[#This Row],[COMBINADA]],#REF!,9,0),0)/COUNTIFS(DATA[COMBINADA],DATA[[#This Row],[COMBINADA]])</f>
        <v>0</v>
      </c>
      <c r="AM891" s="27">
        <f>IFERROR(VLOOKUP(DATA[[#This Row],[COMBINADA]],#REF!,6,0),0)</f>
        <v>0</v>
      </c>
      <c r="AN891" s="125">
        <f>IFERROR(VLOOKUP(DATA[[#This Row],[COMBINADA]],#REF!,9,0),0)/COUNTIFS(DATA[COMBINADA],DATA[[#This Row],[COMBINADA]])</f>
        <v>0</v>
      </c>
      <c r="AO891" s="27">
        <f>IFERROR(VLOOKUP(DATA[[#This Row],[COMBINADA]],#REF!,6,0),0)</f>
        <v>0</v>
      </c>
      <c r="AP891" s="132">
        <f>IFERROR(VLOOKUP(DATA[[#This Row],[COMBINADA]],#REF!,9,0),0)/COUNTIFS(DATA[COMBINADA],DATA[[#This Row],[COMBINADA]])</f>
        <v>0</v>
      </c>
      <c r="AQ89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891" s="172" t="str">
        <f>IFERROR(IF(DATA[[#This Row],[estado_fact]]="FACTURADO",VLOOKUP(DATA[[#This Row],[SERIE2]]&amp;"-"&amp;DATA[[#This Row],[NUMERO]],#REF!,34,0),"NO CORRESPONDE"),"NO CORRESPONDE")</f>
        <v>NO CORRESPONDE</v>
      </c>
      <c r="AS891" s="169" t="str">
        <f>IF(DATA[[#This Row],[fecha_fs]]&gt;0,TEXT(DATA[[#This Row],[fecha_fs]],"Mmmm"),0)</f>
        <v>Julio</v>
      </c>
      <c r="AT891" s="169" t="str">
        <f>DATA[[#This Row],[SERIE2]]&amp;"-"&amp;DATA[[#This Row],[NUMERO]]</f>
        <v>FF01-191</v>
      </c>
      <c r="AU891" s="170">
        <f>DATA[[#This Row],[TOTAL]]*DATA[[#This Row],[T.C.]]</f>
        <v>442.85</v>
      </c>
      <c r="AV891" s="6">
        <f>DATA[[#This Row],[FECHA DE VAL.]]</f>
        <v>45863</v>
      </c>
      <c r="AW891" s="6">
        <f>DATA[[#This Row],[FECHA DE EMISION]]</f>
        <v>45869</v>
      </c>
      <c r="AX891" s="6">
        <f>DATA[[#This Row],[F1]]</f>
        <v>0</v>
      </c>
      <c r="AY891" s="20">
        <f>IF(AV891-DATA[[#This Row],[fecha_fs]]&lt;0,0,AV891-DATA[[#This Row],[fecha_fs]])</f>
        <v>18</v>
      </c>
      <c r="AZ891" s="20">
        <f t="shared" si="89"/>
        <v>6</v>
      </c>
      <c r="BA891" s="20">
        <f t="shared" si="90"/>
        <v>0</v>
      </c>
      <c r="BB891" s="195">
        <f>IFERROR(SUM(DATA[[#This Row],[fs_val_ttf]:[fact_pago_ttf]]),0)</f>
        <v>24</v>
      </c>
      <c r="BC891" s="185">
        <v>45870</v>
      </c>
      <c r="BD891" s="185">
        <v>45876</v>
      </c>
      <c r="BE891" s="185">
        <v>45882</v>
      </c>
      <c r="BF891" s="185">
        <v>45887</v>
      </c>
      <c r="BG891" s="20">
        <f>IFERROR(IF(BC891-DATA[[#This Row],[fecha_fs]]&lt;0,0,BC891-DATA[[#This Row],[fecha_fs]]),0)</f>
        <v>25</v>
      </c>
      <c r="BH891" s="20">
        <f t="shared" si="92"/>
        <v>6</v>
      </c>
      <c r="BI891" s="20">
        <f t="shared" si="93"/>
        <v>6</v>
      </c>
      <c r="BJ891" s="20">
        <f t="shared" si="94"/>
        <v>5</v>
      </c>
      <c r="BK891" s="218">
        <f>IFERROR(SUM(DATA[[#This Row],[fs_fd_ttd]:[fend_fenf_ttd]]),0)</f>
        <v>42</v>
      </c>
      <c r="BL891" s="20" t="str">
        <f>IF(DATA[[#This Row],[fecha_fs]]&gt;0,TEXT(DATA[[#This Row],[fecha_fs]],"YYYY"),0)</f>
        <v>2025</v>
      </c>
      <c r="BM891" s="221" t="b">
        <v>1</v>
      </c>
      <c r="BN891" s="278">
        <f>COUNTIF(DATA[[#This Row],[tiempo_td]], "&lt;=15")</f>
        <v>0</v>
      </c>
      <c r="BO891" s="222"/>
    </row>
    <row r="892" spans="1:67" ht="30.6" customHeight="1" x14ac:dyDescent="0.25">
      <c r="A892" s="4">
        <v>20546530184</v>
      </c>
      <c r="B892" s="5" t="s">
        <v>50</v>
      </c>
      <c r="C892" s="52" t="s">
        <v>82</v>
      </c>
      <c r="D892" s="4" t="s">
        <v>112</v>
      </c>
      <c r="E892" s="5" t="s">
        <v>1</v>
      </c>
      <c r="F892" s="24">
        <v>45846</v>
      </c>
      <c r="G892" s="7" t="s">
        <v>113</v>
      </c>
      <c r="H892" s="25">
        <f t="shared" si="88"/>
        <v>1</v>
      </c>
      <c r="I892" s="67">
        <v>4722</v>
      </c>
      <c r="J892" s="8" t="s">
        <v>115</v>
      </c>
      <c r="K892" s="9" t="s">
        <v>116</v>
      </c>
      <c r="L892" s="10" t="s">
        <v>117</v>
      </c>
      <c r="M892" s="11">
        <v>10</v>
      </c>
      <c r="N892" s="12" t="s">
        <v>125</v>
      </c>
      <c r="O892" s="6">
        <v>45847</v>
      </c>
      <c r="P892" s="13">
        <v>3542</v>
      </c>
      <c r="Q892" s="14" t="s">
        <v>85</v>
      </c>
      <c r="R892" s="15"/>
      <c r="S892" s="15">
        <f>1769.8/2</f>
        <v>884.9</v>
      </c>
      <c r="T892" s="15">
        <f>DATA[[#This Row],[C. DF]]+DATA[[#This Row],[C.OPE.]]</f>
        <v>884.9</v>
      </c>
      <c r="U892" s="15">
        <f>DATA[[#This Row],[SUB TOTAL]]*0.18</f>
        <v>159.28199999999998</v>
      </c>
      <c r="V892" s="15">
        <f>IFERROR(ROUND(DATA[[#This Row],[SUB TOTAL]]+DATA[[#This Row],[IGV]],2),0)</f>
        <v>1044.18</v>
      </c>
      <c r="W892" s="16" t="str">
        <f>IF(DATA[[#This Row],[VALORIZACIÓN ]]="-","NO CORRESPONDE",IF(OR(A892=20558226979,A892=10470707866,A892=20111157058,A892=20100226902),"NO CORRESPONDE",IF(J892="Emitida",IF(P892&gt;0,"EMITIDA","PENDIENTE"),"NO CORRESPONDE")))</f>
        <v>EMITIDA</v>
      </c>
      <c r="X892" s="29"/>
      <c r="Y892" s="17" t="s">
        <v>118</v>
      </c>
      <c r="Z892" s="30">
        <v>45862</v>
      </c>
      <c r="AA892" s="10" t="s">
        <v>150</v>
      </c>
      <c r="AB892" s="19">
        <v>184</v>
      </c>
      <c r="AC892" s="20">
        <v>30</v>
      </c>
      <c r="AD892" s="18">
        <f>DATA[[#This Row],[FECHA DE EMISION]]+DATA[[#This Row],[CONDICION DE PAGO]]</f>
        <v>45892</v>
      </c>
      <c r="AE892" s="23">
        <f>IF(DATA[[#This Row],[MONEDA]]="USD",VLOOKUP(DATA[[#This Row],[COMBINADA]],#REF!,11,0),1)</f>
        <v>1</v>
      </c>
      <c r="AF892" s="129" t="str">
        <f>IF(DATA[[#This Row],[SERIE2]]="-","NO CORRESPONDE",IF(W892="NO CORRESPONDE","NO CORRESPONDE",IF(Z892&gt;0,"FACTURADO","PENDIENTE")))</f>
        <v>FACTURADO</v>
      </c>
      <c r="AG892" s="133">
        <f>IFERROR(VLOOKUP(DATA[[#This Row],[COMBINADA]],#REF!,6,0),0)</f>
        <v>0</v>
      </c>
      <c r="AH892" s="125">
        <f>IFERROR(VLOOKUP(DATA[[#This Row],[COMBINADA]],#REF!,9,0),0)/COUNTIFS(DATA[COMBINADA],DATA[[#This Row],[COMBINADA]])</f>
        <v>0</v>
      </c>
      <c r="AI892" s="136">
        <f>IFERROR(VLOOKUP(DATA[[#This Row],[COMBINADA]],#REF!,6,0),0)</f>
        <v>0</v>
      </c>
      <c r="AJ892" s="132">
        <f>IFERROR(VLOOKUP(DATA[[#This Row],[COMBINADA]],#REF!,9,0),0)/COUNTIFS(DATA[COMBINADA],DATA[[#This Row],[COMBINADA]])</f>
        <v>0</v>
      </c>
      <c r="AK892" s="407">
        <f>IFERROR(VLOOKUP(DATA[[#This Row],[COMBINADA]],#REF!,6,0),0)</f>
        <v>0</v>
      </c>
      <c r="AL892" s="125">
        <f>IFERROR(VLOOKUP(DATA[[#This Row],[COMBINADA]],#REF!,9,0),0)/COUNTIFS(DATA[COMBINADA],DATA[[#This Row],[COMBINADA]])</f>
        <v>0</v>
      </c>
      <c r="AM892" s="27">
        <f>IFERROR(VLOOKUP(DATA[[#This Row],[COMBINADA]],#REF!,6,0),0)</f>
        <v>0</v>
      </c>
      <c r="AN892" s="125">
        <f>IFERROR(VLOOKUP(DATA[[#This Row],[COMBINADA]],#REF!,9,0),0)/COUNTIFS(DATA[COMBINADA],DATA[[#This Row],[COMBINADA]])</f>
        <v>0</v>
      </c>
      <c r="AO892" s="27">
        <f>IFERROR(VLOOKUP(DATA[[#This Row],[COMBINADA]],#REF!,6,0),0)</f>
        <v>0</v>
      </c>
      <c r="AP892" s="132">
        <f>IFERROR(VLOOKUP(DATA[[#This Row],[COMBINADA]],#REF!,9,0),0)/COUNTIFS(DATA[COMBINADA],DATA[[#This Row],[COMBINADA]])</f>
        <v>0</v>
      </c>
      <c r="AQ89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1250.7066666666667</v>
      </c>
      <c r="AR892" s="26" t="str">
        <f>IFERROR(IF(DATA[[#This Row],[estado_fact]]="FACTURADO",VLOOKUP(DATA[[#This Row],[SERIE2]]&amp;"-"&amp;DATA[[#This Row],[NUMERO]],#REF!,34,0),"NO CORRESPONDE"),"NO CORRESPONDE")</f>
        <v>NO CORRESPONDE</v>
      </c>
      <c r="AS892" s="22" t="str">
        <f>IF(DATA[[#This Row],[fecha_fs]]&gt;0,TEXT(DATA[[#This Row],[fecha_fs]],"Mmmm"),0)</f>
        <v>Julio</v>
      </c>
      <c r="AT892" s="22" t="str">
        <f>DATA[[#This Row],[SERIE2]]&amp;"-"&amp;DATA[[#This Row],[NUMERO]]</f>
        <v>FF01-184</v>
      </c>
      <c r="AU892" s="28">
        <f>DATA[[#This Row],[TOTAL]]*DATA[[#This Row],[T.C.]]</f>
        <v>1044.18</v>
      </c>
      <c r="AV892" s="6">
        <f>DATA[[#This Row],[FECHA DE VAL.]]</f>
        <v>45847</v>
      </c>
      <c r="AW892" s="6">
        <f>DATA[[#This Row],[FECHA DE EMISION]]</f>
        <v>45862</v>
      </c>
      <c r="AX892" s="6">
        <f>DATA[[#This Row],[F1]]</f>
        <v>0</v>
      </c>
      <c r="AY892" s="20">
        <f>IF(AV892-DATA[[#This Row],[fecha_fs]]&lt;0,0,AV892-DATA[[#This Row],[fecha_fs]])</f>
        <v>1</v>
      </c>
      <c r="AZ892" s="20">
        <f t="shared" si="89"/>
        <v>15</v>
      </c>
      <c r="BA892" s="20">
        <f t="shared" si="90"/>
        <v>0</v>
      </c>
      <c r="BB892" s="195">
        <f>IFERROR(SUM(DATA[[#This Row],[fs_val_ttf]:[fact_pago_ttf]]),0)</f>
        <v>16</v>
      </c>
      <c r="BC892" s="185">
        <v>45852</v>
      </c>
      <c r="BD892" s="185">
        <v>45855</v>
      </c>
      <c r="BE892" s="185">
        <v>45855</v>
      </c>
      <c r="BF892" s="185">
        <v>45862</v>
      </c>
      <c r="BG892" s="20">
        <f>IFERROR(IF(BC892-DATA[[#This Row],[fecha_fs]]&lt;0,0,BC892-DATA[[#This Row],[fecha_fs]]),0)</f>
        <v>6</v>
      </c>
      <c r="BH892" s="20">
        <f t="shared" si="92"/>
        <v>3</v>
      </c>
      <c r="BI892" s="20">
        <f t="shared" si="93"/>
        <v>0</v>
      </c>
      <c r="BJ892" s="20">
        <f t="shared" si="94"/>
        <v>7</v>
      </c>
      <c r="BK892" s="218">
        <f>IFERROR(SUM(DATA[[#This Row],[fs_fd_ttd]:[fend_fenf_ttd]]),0)</f>
        <v>16</v>
      </c>
      <c r="BL892" s="20" t="str">
        <f>IF(DATA[[#This Row],[fecha_fs]]&gt;0,TEXT(DATA[[#This Row],[fecha_fs]],"YYYY"),0)</f>
        <v>2025</v>
      </c>
      <c r="BM892" s="221" t="b">
        <v>1</v>
      </c>
      <c r="BN892" s="278">
        <f>COUNTIF(DATA[[#This Row],[tiempo_td]], "&lt;=15")</f>
        <v>0</v>
      </c>
      <c r="BO892" s="222"/>
    </row>
    <row r="893" spans="1:67" ht="30.6" customHeight="1" x14ac:dyDescent="0.25">
      <c r="A893" s="4">
        <v>20546530184</v>
      </c>
      <c r="B893" s="5" t="s">
        <v>50</v>
      </c>
      <c r="C893" s="52" t="s">
        <v>51</v>
      </c>
      <c r="D893" s="4" t="s">
        <v>112</v>
      </c>
      <c r="E893" s="5" t="s">
        <v>1</v>
      </c>
      <c r="F893" s="24">
        <v>45845</v>
      </c>
      <c r="G893" s="7" t="s">
        <v>113</v>
      </c>
      <c r="H893" s="25">
        <f t="shared" ref="H893:H917" si="96">IF(G893="","",IF(G893="LIM",2,1))</f>
        <v>1</v>
      </c>
      <c r="I893" s="67">
        <v>4723</v>
      </c>
      <c r="J893" s="8" t="s">
        <v>115</v>
      </c>
      <c r="K893" s="9" t="s">
        <v>116</v>
      </c>
      <c r="L893" s="10" t="s">
        <v>117</v>
      </c>
      <c r="M893" s="11">
        <v>30</v>
      </c>
      <c r="N893" s="12" t="s">
        <v>125</v>
      </c>
      <c r="O893" s="6">
        <v>45847</v>
      </c>
      <c r="P893" s="13">
        <v>3542</v>
      </c>
      <c r="Q893" s="14" t="s">
        <v>85</v>
      </c>
      <c r="R893" s="15"/>
      <c r="S893" s="15">
        <v>632.07000000000005</v>
      </c>
      <c r="T893" s="15">
        <f>DATA[[#This Row],[C. DF]]+DATA[[#This Row],[C.OPE.]]</f>
        <v>632.07000000000005</v>
      </c>
      <c r="U893" s="15">
        <f>DATA[[#This Row],[SUB TOTAL]]*0.18</f>
        <v>113.77260000000001</v>
      </c>
      <c r="V893" s="15">
        <f>IFERROR(ROUND(DATA[[#This Row],[SUB TOTAL]]+DATA[[#This Row],[IGV]],2),0)</f>
        <v>745.84</v>
      </c>
      <c r="W893" s="16" t="str">
        <f>IF(DATA[[#This Row],[VALORIZACIÓN ]]="-","NO CORRESPONDE",IF(OR(A893=20558226979,A893=10470707866,A893=20111157058,A893=20100226902),"NO CORRESPONDE",IF(J893="Emitida",IF(P893&gt;0,"EMITIDA","PENDIENTE"),"NO CORRESPONDE")))</f>
        <v>EMITIDA</v>
      </c>
      <c r="X893" s="29"/>
      <c r="Y893" s="17" t="s">
        <v>118</v>
      </c>
      <c r="Z893" s="30">
        <v>45862</v>
      </c>
      <c r="AA893" s="10" t="s">
        <v>150</v>
      </c>
      <c r="AB893" s="19">
        <v>184</v>
      </c>
      <c r="AC893" s="20">
        <v>30</v>
      </c>
      <c r="AD893" s="18">
        <f>DATA[[#This Row],[FECHA DE EMISION]]+DATA[[#This Row],[CONDICION DE PAGO]]</f>
        <v>45892</v>
      </c>
      <c r="AE893" s="23">
        <f>IF(DATA[[#This Row],[MONEDA]]="USD",VLOOKUP(DATA[[#This Row],[COMBINADA]],#REF!,11,0),1)</f>
        <v>1</v>
      </c>
      <c r="AF893" s="129" t="str">
        <f>IF(DATA[[#This Row],[SERIE2]]="-","NO CORRESPONDE",IF(W893="NO CORRESPONDE","NO CORRESPONDE",IF(Z893&gt;0,"FACTURADO","PENDIENTE")))</f>
        <v>FACTURADO</v>
      </c>
      <c r="AG893" s="133">
        <f>IFERROR(VLOOKUP(DATA[[#This Row],[COMBINADA]],#REF!,6,0),0)</f>
        <v>0</v>
      </c>
      <c r="AH893" s="125">
        <f>IFERROR(VLOOKUP(DATA[[#This Row],[COMBINADA]],#REF!,9,0),0)/COUNTIFS(DATA[COMBINADA],DATA[[#This Row],[COMBINADA]])</f>
        <v>0</v>
      </c>
      <c r="AI893" s="136">
        <f>IFERROR(VLOOKUP(DATA[[#This Row],[COMBINADA]],#REF!,6,0),0)</f>
        <v>0</v>
      </c>
      <c r="AJ893" s="132">
        <f>IFERROR(VLOOKUP(DATA[[#This Row],[COMBINADA]],#REF!,9,0),0)/COUNTIFS(DATA[COMBINADA],DATA[[#This Row],[COMBINADA]])</f>
        <v>0</v>
      </c>
      <c r="AK893" s="407">
        <f>IFERROR(VLOOKUP(DATA[[#This Row],[COMBINADA]],#REF!,6,0),0)</f>
        <v>0</v>
      </c>
      <c r="AL893" s="125">
        <f>IFERROR(VLOOKUP(DATA[[#This Row],[COMBINADA]],#REF!,9,0),0)/COUNTIFS(DATA[COMBINADA],DATA[[#This Row],[COMBINADA]])</f>
        <v>0</v>
      </c>
      <c r="AM893" s="27">
        <f>IFERROR(VLOOKUP(DATA[[#This Row],[COMBINADA]],#REF!,6,0),0)</f>
        <v>0</v>
      </c>
      <c r="AN893" s="125">
        <f>IFERROR(VLOOKUP(DATA[[#This Row],[COMBINADA]],#REF!,9,0),0)/COUNTIFS(DATA[COMBINADA],DATA[[#This Row],[COMBINADA]])</f>
        <v>0</v>
      </c>
      <c r="AO893" s="27">
        <f>IFERROR(VLOOKUP(DATA[[#This Row],[COMBINADA]],#REF!,6,0),0)</f>
        <v>0</v>
      </c>
      <c r="AP893" s="132">
        <f>IFERROR(VLOOKUP(DATA[[#This Row],[COMBINADA]],#REF!,9,0),0)/COUNTIFS(DATA[COMBINADA],DATA[[#This Row],[COMBINADA]])</f>
        <v>0</v>
      </c>
      <c r="AQ89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1250.7066666666667</v>
      </c>
      <c r="AR893" s="26" t="str">
        <f>IFERROR(IF(DATA[[#This Row],[estado_fact]]="FACTURADO",VLOOKUP(DATA[[#This Row],[SERIE2]]&amp;"-"&amp;DATA[[#This Row],[NUMERO]],#REF!,34,0),"NO CORRESPONDE"),"NO CORRESPONDE")</f>
        <v>NO CORRESPONDE</v>
      </c>
      <c r="AS893" s="22" t="str">
        <f>IF(DATA[[#This Row],[fecha_fs]]&gt;0,TEXT(DATA[[#This Row],[fecha_fs]],"Mmmm"),0)</f>
        <v>Julio</v>
      </c>
      <c r="AT893" s="22" t="str">
        <f>DATA[[#This Row],[SERIE2]]&amp;"-"&amp;DATA[[#This Row],[NUMERO]]</f>
        <v>FF01-184</v>
      </c>
      <c r="AU893" s="28">
        <f>DATA[[#This Row],[TOTAL]]*DATA[[#This Row],[T.C.]]</f>
        <v>745.84</v>
      </c>
      <c r="AV893" s="6">
        <f>DATA[[#This Row],[FECHA DE VAL.]]</f>
        <v>45847</v>
      </c>
      <c r="AW893" s="6">
        <f>DATA[[#This Row],[FECHA DE EMISION]]</f>
        <v>45862</v>
      </c>
      <c r="AX893" s="6">
        <f>DATA[[#This Row],[F1]]</f>
        <v>0</v>
      </c>
      <c r="AY893" s="20">
        <f>IF(AV893-DATA[[#This Row],[fecha_fs]]&lt;0,0,AV893-DATA[[#This Row],[fecha_fs]])</f>
        <v>2</v>
      </c>
      <c r="AZ893" s="20">
        <f t="shared" si="89"/>
        <v>15</v>
      </c>
      <c r="BA893" s="20">
        <f t="shared" si="90"/>
        <v>0</v>
      </c>
      <c r="BB893" s="195">
        <f>IFERROR(SUM(DATA[[#This Row],[fs_val_ttf]:[fact_pago_ttf]]),0)</f>
        <v>17</v>
      </c>
      <c r="BC893" s="185">
        <v>45852</v>
      </c>
      <c r="BD893" s="185">
        <v>45855</v>
      </c>
      <c r="BE893" s="185">
        <v>45855</v>
      </c>
      <c r="BF893" s="185">
        <v>45862</v>
      </c>
      <c r="BG893" s="20">
        <f>IFERROR(IF(BC893-DATA[[#This Row],[fecha_fs]]&lt;0,0,BC893-DATA[[#This Row],[fecha_fs]]),0)</f>
        <v>7</v>
      </c>
      <c r="BH893" s="20">
        <f t="shared" si="92"/>
        <v>3</v>
      </c>
      <c r="BI893" s="20">
        <f t="shared" si="93"/>
        <v>0</v>
      </c>
      <c r="BJ893" s="20">
        <f t="shared" si="94"/>
        <v>7</v>
      </c>
      <c r="BK893" s="218">
        <f>IFERROR(SUM(DATA[[#This Row],[fs_fd_ttd]:[fend_fenf_ttd]]),0)</f>
        <v>17</v>
      </c>
      <c r="BL893" s="20" t="str">
        <f>IF(DATA[[#This Row],[fecha_fs]]&gt;0,TEXT(DATA[[#This Row],[fecha_fs]],"YYYY"),0)</f>
        <v>2025</v>
      </c>
      <c r="BM893" s="221" t="b">
        <v>1</v>
      </c>
      <c r="BN893" s="278">
        <f>COUNTIF(DATA[[#This Row],[tiempo_td]], "&lt;=15")</f>
        <v>0</v>
      </c>
      <c r="BO893" s="222"/>
    </row>
    <row r="894" spans="1:67" ht="30.6" customHeight="1" x14ac:dyDescent="0.25">
      <c r="A894" s="4">
        <v>20546530184</v>
      </c>
      <c r="B894" s="5" t="s">
        <v>50</v>
      </c>
      <c r="C894" s="52" t="s">
        <v>52</v>
      </c>
      <c r="D894" s="4" t="s">
        <v>112</v>
      </c>
      <c r="E894" s="5" t="s">
        <v>1</v>
      </c>
      <c r="F894" s="24">
        <v>45845</v>
      </c>
      <c r="G894" s="7" t="s">
        <v>113</v>
      </c>
      <c r="H894" s="25">
        <f t="shared" si="96"/>
        <v>1</v>
      </c>
      <c r="I894" s="67">
        <v>4724</v>
      </c>
      <c r="J894" s="8" t="s">
        <v>115</v>
      </c>
      <c r="K894" s="9" t="s">
        <v>116</v>
      </c>
      <c r="L894" s="10" t="s">
        <v>117</v>
      </c>
      <c r="M894" s="11">
        <v>20</v>
      </c>
      <c r="N894" s="12" t="s">
        <v>125</v>
      </c>
      <c r="O894" s="6">
        <v>45847</v>
      </c>
      <c r="P894" s="13">
        <v>3542</v>
      </c>
      <c r="Q894" s="14" t="s">
        <v>85</v>
      </c>
      <c r="R894" s="15"/>
      <c r="S894" s="15">
        <v>1137.73</v>
      </c>
      <c r="T894" s="15">
        <f>DATA[[#This Row],[C. DF]]+DATA[[#This Row],[C.OPE.]]</f>
        <v>1137.73</v>
      </c>
      <c r="U894" s="15">
        <f>DATA[[#This Row],[SUB TOTAL]]*0.18</f>
        <v>204.79139999999998</v>
      </c>
      <c r="V894" s="15">
        <f>IFERROR(ROUND(DATA[[#This Row],[SUB TOTAL]]+DATA[[#This Row],[IGV]],2),0)</f>
        <v>1342.52</v>
      </c>
      <c r="W894" s="16" t="str">
        <f>IF(DATA[[#This Row],[VALORIZACIÓN ]]="-","NO CORRESPONDE",IF(OR(A894=20558226979,A894=10470707866,A894=20111157058,A894=20100226902),"NO CORRESPONDE",IF(J894="Emitida",IF(P894&gt;0,"EMITIDA","PENDIENTE"),"NO CORRESPONDE")))</f>
        <v>EMITIDA</v>
      </c>
      <c r="X894" s="29"/>
      <c r="Y894" s="17" t="s">
        <v>118</v>
      </c>
      <c r="Z894" s="30">
        <v>45862</v>
      </c>
      <c r="AA894" s="10" t="s">
        <v>150</v>
      </c>
      <c r="AB894" s="19">
        <v>184</v>
      </c>
      <c r="AC894" s="20">
        <v>30</v>
      </c>
      <c r="AD894" s="18">
        <f>DATA[[#This Row],[FECHA DE EMISION]]+DATA[[#This Row],[CONDICION DE PAGO]]</f>
        <v>45892</v>
      </c>
      <c r="AE894" s="23">
        <f>IF(DATA[[#This Row],[MONEDA]]="USD",VLOOKUP(DATA[[#This Row],[COMBINADA]],#REF!,11,0),1)</f>
        <v>1</v>
      </c>
      <c r="AF894" s="129" t="str">
        <f>IF(DATA[[#This Row],[SERIE2]]="-","NO CORRESPONDE",IF(W894="NO CORRESPONDE","NO CORRESPONDE",IF(Z894&gt;0,"FACTURADO","PENDIENTE")))</f>
        <v>FACTURADO</v>
      </c>
      <c r="AG894" s="133">
        <f>IFERROR(VLOOKUP(DATA[[#This Row],[COMBINADA]],#REF!,6,0),0)</f>
        <v>0</v>
      </c>
      <c r="AH894" s="125">
        <f>IFERROR(VLOOKUP(DATA[[#This Row],[COMBINADA]],#REF!,9,0),0)/COUNTIFS(DATA[COMBINADA],DATA[[#This Row],[COMBINADA]])</f>
        <v>0</v>
      </c>
      <c r="AI894" s="136">
        <f>IFERROR(VLOOKUP(DATA[[#This Row],[COMBINADA]],#REF!,6,0),0)</f>
        <v>0</v>
      </c>
      <c r="AJ894" s="132">
        <f>IFERROR(VLOOKUP(DATA[[#This Row],[COMBINADA]],#REF!,9,0),0)/COUNTIFS(DATA[COMBINADA],DATA[[#This Row],[COMBINADA]])</f>
        <v>0</v>
      </c>
      <c r="AK894" s="407">
        <f>IFERROR(VLOOKUP(DATA[[#This Row],[COMBINADA]],#REF!,6,0),0)</f>
        <v>0</v>
      </c>
      <c r="AL894" s="125">
        <f>IFERROR(VLOOKUP(DATA[[#This Row],[COMBINADA]],#REF!,9,0),0)/COUNTIFS(DATA[COMBINADA],DATA[[#This Row],[COMBINADA]])</f>
        <v>0</v>
      </c>
      <c r="AM894" s="27">
        <f>IFERROR(VLOOKUP(DATA[[#This Row],[COMBINADA]],#REF!,6,0),0)</f>
        <v>0</v>
      </c>
      <c r="AN894" s="125">
        <f>IFERROR(VLOOKUP(DATA[[#This Row],[COMBINADA]],#REF!,9,0),0)/COUNTIFS(DATA[COMBINADA],DATA[[#This Row],[COMBINADA]])</f>
        <v>0</v>
      </c>
      <c r="AO894" s="27">
        <f>IFERROR(VLOOKUP(DATA[[#This Row],[COMBINADA]],#REF!,6,0),0)</f>
        <v>0</v>
      </c>
      <c r="AP894" s="132">
        <f>IFERROR(VLOOKUP(DATA[[#This Row],[COMBINADA]],#REF!,9,0),0)/COUNTIFS(DATA[COMBINADA],DATA[[#This Row],[COMBINADA]])</f>
        <v>0</v>
      </c>
      <c r="AQ89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1250.7066666666667</v>
      </c>
      <c r="AR894" s="26" t="str">
        <f>IFERROR(IF(DATA[[#This Row],[estado_fact]]="FACTURADO",VLOOKUP(DATA[[#This Row],[SERIE2]]&amp;"-"&amp;DATA[[#This Row],[NUMERO]],#REF!,34,0),"NO CORRESPONDE"),"NO CORRESPONDE")</f>
        <v>NO CORRESPONDE</v>
      </c>
      <c r="AS894" s="22" t="str">
        <f>IF(DATA[[#This Row],[fecha_fs]]&gt;0,TEXT(DATA[[#This Row],[fecha_fs]],"Mmmm"),0)</f>
        <v>Julio</v>
      </c>
      <c r="AT894" s="22" t="str">
        <f>DATA[[#This Row],[SERIE2]]&amp;"-"&amp;DATA[[#This Row],[NUMERO]]</f>
        <v>FF01-184</v>
      </c>
      <c r="AU894" s="28">
        <f>DATA[[#This Row],[TOTAL]]*DATA[[#This Row],[T.C.]]</f>
        <v>1342.52</v>
      </c>
      <c r="AV894" s="6">
        <f>DATA[[#This Row],[FECHA DE VAL.]]</f>
        <v>45847</v>
      </c>
      <c r="AW894" s="6">
        <f>DATA[[#This Row],[FECHA DE EMISION]]</f>
        <v>45862</v>
      </c>
      <c r="AX894" s="6">
        <f>DATA[[#This Row],[F1]]</f>
        <v>0</v>
      </c>
      <c r="AY894" s="20">
        <f>IF(AV894-DATA[[#This Row],[fecha_fs]]&lt;0,0,AV894-DATA[[#This Row],[fecha_fs]])</f>
        <v>2</v>
      </c>
      <c r="AZ894" s="20">
        <f t="shared" ref="AZ894:AZ958" si="97">IF(AW894-AV894&lt;0,0,AW894-AV894)</f>
        <v>15</v>
      </c>
      <c r="BA894" s="20">
        <f t="shared" ref="BA894:BA958" si="98">IF(AX894-AW894&lt;0,0,AX894-AW894)</f>
        <v>0</v>
      </c>
      <c r="BB894" s="195">
        <f>IFERROR(SUM(DATA[[#This Row],[fs_val_ttf]:[fact_pago_ttf]]),0)</f>
        <v>17</v>
      </c>
      <c r="BC894" s="185">
        <v>45852</v>
      </c>
      <c r="BD894" s="185">
        <v>45855</v>
      </c>
      <c r="BE894" s="185">
        <v>45855</v>
      </c>
      <c r="BF894" s="185">
        <v>45862</v>
      </c>
      <c r="BG894" s="20">
        <f>IFERROR(IF(BC894-DATA[[#This Row],[fecha_fs]]&lt;0,0,BC894-DATA[[#This Row],[fecha_fs]]),0)</f>
        <v>7</v>
      </c>
      <c r="BH894" s="20">
        <f t="shared" si="92"/>
        <v>3</v>
      </c>
      <c r="BI894" s="20">
        <f t="shared" si="93"/>
        <v>0</v>
      </c>
      <c r="BJ894" s="20">
        <f t="shared" si="94"/>
        <v>7</v>
      </c>
      <c r="BK894" s="218">
        <f>IFERROR(SUM(DATA[[#This Row],[fs_fd_ttd]:[fend_fenf_ttd]]),0)</f>
        <v>17</v>
      </c>
      <c r="BL894" s="20" t="str">
        <f>IF(DATA[[#This Row],[fecha_fs]]&gt;0,TEXT(DATA[[#This Row],[fecha_fs]],"YYYY"),0)</f>
        <v>2025</v>
      </c>
      <c r="BM894" s="221" t="b">
        <v>1</v>
      </c>
      <c r="BN894" s="278">
        <f>COUNTIF(DATA[[#This Row],[tiempo_td]], "&lt;=15")</f>
        <v>0</v>
      </c>
      <c r="BO894" s="222"/>
    </row>
    <row r="895" spans="1:67" ht="30.6" customHeight="1" x14ac:dyDescent="0.25">
      <c r="A895" s="4">
        <v>20546530184</v>
      </c>
      <c r="B895" s="5" t="s">
        <v>50</v>
      </c>
      <c r="C895" s="52" t="s">
        <v>35</v>
      </c>
      <c r="D895" s="4" t="s">
        <v>112</v>
      </c>
      <c r="E895" s="5" t="s">
        <v>1</v>
      </c>
      <c r="F895" s="24">
        <v>45846</v>
      </c>
      <c r="G895" s="7" t="s">
        <v>113</v>
      </c>
      <c r="H895" s="25">
        <f t="shared" si="96"/>
        <v>1</v>
      </c>
      <c r="I895" s="67">
        <v>4725</v>
      </c>
      <c r="J895" s="8" t="s">
        <v>115</v>
      </c>
      <c r="K895" s="9" t="s">
        <v>116</v>
      </c>
      <c r="L895" s="10" t="s">
        <v>117</v>
      </c>
      <c r="M895" s="11">
        <v>10</v>
      </c>
      <c r="N895" s="12" t="s">
        <v>125</v>
      </c>
      <c r="O895" s="6">
        <v>45847</v>
      </c>
      <c r="P895" s="13">
        <v>3542</v>
      </c>
      <c r="Q895" s="14" t="s">
        <v>85</v>
      </c>
      <c r="R895" s="15"/>
      <c r="S895" s="15">
        <v>2022.64</v>
      </c>
      <c r="T895" s="15">
        <f>DATA[[#This Row],[C. DF]]+DATA[[#This Row],[C.OPE.]]</f>
        <v>2022.64</v>
      </c>
      <c r="U895" s="15">
        <f>DATA[[#This Row],[SUB TOTAL]]*0.18</f>
        <v>364.0752</v>
      </c>
      <c r="V895" s="15">
        <f>IFERROR(ROUND(DATA[[#This Row],[SUB TOTAL]]+DATA[[#This Row],[IGV]],2),0)</f>
        <v>2386.7199999999998</v>
      </c>
      <c r="W895" s="16" t="str">
        <f>IF(DATA[[#This Row],[VALORIZACIÓN ]]="-","NO CORRESPONDE",IF(OR(A895=20558226979,A895=10470707866,A895=20111157058,A895=20100226902),"NO CORRESPONDE",IF(J895="Emitida",IF(P895&gt;0,"EMITIDA","PENDIENTE"),"NO CORRESPONDE")))</f>
        <v>EMITIDA</v>
      </c>
      <c r="X895" s="29"/>
      <c r="Y895" s="17" t="s">
        <v>118</v>
      </c>
      <c r="Z895" s="30">
        <v>45862</v>
      </c>
      <c r="AA895" s="10" t="s">
        <v>150</v>
      </c>
      <c r="AB895" s="19">
        <v>184</v>
      </c>
      <c r="AC895" s="20">
        <v>30</v>
      </c>
      <c r="AD895" s="18">
        <f>DATA[[#This Row],[FECHA DE EMISION]]+DATA[[#This Row],[CONDICION DE PAGO]]</f>
        <v>45892</v>
      </c>
      <c r="AE895" s="23">
        <f>IF(DATA[[#This Row],[MONEDA]]="USD",VLOOKUP(DATA[[#This Row],[COMBINADA]],#REF!,11,0),1)</f>
        <v>1</v>
      </c>
      <c r="AF895" s="129" t="str">
        <f>IF(DATA[[#This Row],[SERIE2]]="-","NO CORRESPONDE",IF(W895="NO CORRESPONDE","NO CORRESPONDE",IF(Z895&gt;0,"FACTURADO","PENDIENTE")))</f>
        <v>FACTURADO</v>
      </c>
      <c r="AG895" s="133">
        <f>IFERROR(VLOOKUP(DATA[[#This Row],[COMBINADA]],#REF!,6,0),0)</f>
        <v>0</v>
      </c>
      <c r="AH895" s="125">
        <f>IFERROR(VLOOKUP(DATA[[#This Row],[COMBINADA]],#REF!,9,0),0)/COUNTIFS(DATA[COMBINADA],DATA[[#This Row],[COMBINADA]])</f>
        <v>0</v>
      </c>
      <c r="AI895" s="136">
        <f>IFERROR(VLOOKUP(DATA[[#This Row],[COMBINADA]],#REF!,6,0),0)</f>
        <v>0</v>
      </c>
      <c r="AJ895" s="132">
        <f>IFERROR(VLOOKUP(DATA[[#This Row],[COMBINADA]],#REF!,9,0),0)/COUNTIFS(DATA[COMBINADA],DATA[[#This Row],[COMBINADA]])</f>
        <v>0</v>
      </c>
      <c r="AK895" s="407">
        <f>IFERROR(VLOOKUP(DATA[[#This Row],[COMBINADA]],#REF!,6,0),0)</f>
        <v>0</v>
      </c>
      <c r="AL895" s="125">
        <f>IFERROR(VLOOKUP(DATA[[#This Row],[COMBINADA]],#REF!,9,0),0)/COUNTIFS(DATA[COMBINADA],DATA[[#This Row],[COMBINADA]])</f>
        <v>0</v>
      </c>
      <c r="AM895" s="27">
        <f>IFERROR(VLOOKUP(DATA[[#This Row],[COMBINADA]],#REF!,6,0),0)</f>
        <v>0</v>
      </c>
      <c r="AN895" s="125">
        <f>IFERROR(VLOOKUP(DATA[[#This Row],[COMBINADA]],#REF!,9,0),0)/COUNTIFS(DATA[COMBINADA],DATA[[#This Row],[COMBINADA]])</f>
        <v>0</v>
      </c>
      <c r="AO895" s="27">
        <f>IFERROR(VLOOKUP(DATA[[#This Row],[COMBINADA]],#REF!,6,0),0)</f>
        <v>0</v>
      </c>
      <c r="AP895" s="132">
        <f>IFERROR(VLOOKUP(DATA[[#This Row],[COMBINADA]],#REF!,9,0),0)/COUNTIFS(DATA[COMBINADA],DATA[[#This Row],[COMBINADA]])</f>
        <v>0</v>
      </c>
      <c r="AQ89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1250.7066666666667</v>
      </c>
      <c r="AR895" s="26" t="str">
        <f>IFERROR(IF(DATA[[#This Row],[estado_fact]]="FACTURADO",VLOOKUP(DATA[[#This Row],[SERIE2]]&amp;"-"&amp;DATA[[#This Row],[NUMERO]],#REF!,34,0),"NO CORRESPONDE"),"NO CORRESPONDE")</f>
        <v>NO CORRESPONDE</v>
      </c>
      <c r="AS895" s="22" t="str">
        <f>IF(DATA[[#This Row],[fecha_fs]]&gt;0,TEXT(DATA[[#This Row],[fecha_fs]],"Mmmm"),0)</f>
        <v>Julio</v>
      </c>
      <c r="AT895" s="22" t="str">
        <f>DATA[[#This Row],[SERIE2]]&amp;"-"&amp;DATA[[#This Row],[NUMERO]]</f>
        <v>FF01-184</v>
      </c>
      <c r="AU895" s="28">
        <f>DATA[[#This Row],[TOTAL]]*DATA[[#This Row],[T.C.]]</f>
        <v>2386.7199999999998</v>
      </c>
      <c r="AV895" s="6">
        <f>DATA[[#This Row],[FECHA DE VAL.]]</f>
        <v>45847</v>
      </c>
      <c r="AW895" s="6">
        <f>DATA[[#This Row],[FECHA DE EMISION]]</f>
        <v>45862</v>
      </c>
      <c r="AX895" s="6">
        <f>DATA[[#This Row],[F1]]</f>
        <v>0</v>
      </c>
      <c r="AY895" s="20">
        <f>IF(AV895-DATA[[#This Row],[fecha_fs]]&lt;0,0,AV895-DATA[[#This Row],[fecha_fs]])</f>
        <v>1</v>
      </c>
      <c r="AZ895" s="20">
        <f t="shared" si="97"/>
        <v>15</v>
      </c>
      <c r="BA895" s="20">
        <f t="shared" si="98"/>
        <v>0</v>
      </c>
      <c r="BB895" s="195">
        <f>IFERROR(SUM(DATA[[#This Row],[fs_val_ttf]:[fact_pago_ttf]]),0)</f>
        <v>16</v>
      </c>
      <c r="BC895" s="185">
        <v>45852</v>
      </c>
      <c r="BD895" s="185">
        <v>45855</v>
      </c>
      <c r="BE895" s="185">
        <v>45855</v>
      </c>
      <c r="BF895" s="185">
        <v>45862</v>
      </c>
      <c r="BG895" s="20">
        <f>IFERROR(IF(BC895-DATA[[#This Row],[fecha_fs]]&lt;0,0,BC895-DATA[[#This Row],[fecha_fs]]),0)</f>
        <v>6</v>
      </c>
      <c r="BH895" s="20">
        <f t="shared" si="92"/>
        <v>3</v>
      </c>
      <c r="BI895" s="20">
        <f t="shared" si="93"/>
        <v>0</v>
      </c>
      <c r="BJ895" s="20">
        <f t="shared" si="94"/>
        <v>7</v>
      </c>
      <c r="BK895" s="218">
        <f>IFERROR(SUM(DATA[[#This Row],[fs_fd_ttd]:[fend_fenf_ttd]]),0)</f>
        <v>16</v>
      </c>
      <c r="BL895" s="20" t="str">
        <f>IF(DATA[[#This Row],[fecha_fs]]&gt;0,TEXT(DATA[[#This Row],[fecha_fs]],"YYYY"),0)</f>
        <v>2025</v>
      </c>
      <c r="BM895" s="221" t="b">
        <v>1</v>
      </c>
      <c r="BN895" s="278">
        <f>COUNTIF(DATA[[#This Row],[tiempo_td]], "&lt;=15")</f>
        <v>0</v>
      </c>
      <c r="BO895" s="222"/>
    </row>
    <row r="896" spans="1:67" ht="30.6" customHeight="1" x14ac:dyDescent="0.25">
      <c r="A896" s="4">
        <v>20546530184</v>
      </c>
      <c r="B896" s="5" t="s">
        <v>50</v>
      </c>
      <c r="C896" s="52" t="s">
        <v>250</v>
      </c>
      <c r="D896" s="4" t="s">
        <v>112</v>
      </c>
      <c r="E896" s="5" t="s">
        <v>1</v>
      </c>
      <c r="F896" s="24">
        <v>45846</v>
      </c>
      <c r="G896" s="7" t="s">
        <v>113</v>
      </c>
      <c r="H896" s="25">
        <f t="shared" si="96"/>
        <v>1</v>
      </c>
      <c r="I896" s="67">
        <v>4726</v>
      </c>
      <c r="J896" s="8" t="s">
        <v>115</v>
      </c>
      <c r="K896" s="9" t="s">
        <v>116</v>
      </c>
      <c r="L896" s="10" t="s">
        <v>117</v>
      </c>
      <c r="M896" s="11">
        <v>10</v>
      </c>
      <c r="N896" s="12" t="s">
        <v>125</v>
      </c>
      <c r="O896" s="6">
        <v>45847</v>
      </c>
      <c r="P896" s="13">
        <v>3542</v>
      </c>
      <c r="Q896" s="14" t="s">
        <v>85</v>
      </c>
      <c r="R896" s="15"/>
      <c r="S896" s="15">
        <f>1769.8/2</f>
        <v>884.9</v>
      </c>
      <c r="T896" s="15">
        <f>DATA[[#This Row],[C. DF]]+DATA[[#This Row],[C.OPE.]]</f>
        <v>884.9</v>
      </c>
      <c r="U896" s="15">
        <f>DATA[[#This Row],[SUB TOTAL]]*0.18</f>
        <v>159.28199999999998</v>
      </c>
      <c r="V896" s="15">
        <f>IFERROR(ROUND(DATA[[#This Row],[SUB TOTAL]]+DATA[[#This Row],[IGV]],2),0)</f>
        <v>1044.18</v>
      </c>
      <c r="W896" s="16" t="str">
        <f>IF(DATA[[#This Row],[VALORIZACIÓN ]]="-","NO CORRESPONDE",IF(OR(A896=20558226979,A896=10470707866,A896=20111157058,A896=20100226902),"NO CORRESPONDE",IF(J896="Emitida",IF(P896&gt;0,"EMITIDA","PENDIENTE"),"NO CORRESPONDE")))</f>
        <v>EMITIDA</v>
      </c>
      <c r="X896" s="29"/>
      <c r="Y896" s="17" t="s">
        <v>118</v>
      </c>
      <c r="Z896" s="30">
        <v>45862</v>
      </c>
      <c r="AA896" s="10" t="s">
        <v>150</v>
      </c>
      <c r="AB896" s="19">
        <v>184</v>
      </c>
      <c r="AC896" s="20">
        <v>30</v>
      </c>
      <c r="AD896" s="18">
        <f>DATA[[#This Row],[FECHA DE EMISION]]+DATA[[#This Row],[CONDICION DE PAGO]]</f>
        <v>45892</v>
      </c>
      <c r="AE896" s="23">
        <f>IF(DATA[[#This Row],[MONEDA]]="USD",VLOOKUP(DATA[[#This Row],[COMBINADA]],#REF!,11,0),1)</f>
        <v>1</v>
      </c>
      <c r="AF896" s="129" t="str">
        <f>IF(DATA[[#This Row],[SERIE2]]="-","NO CORRESPONDE",IF(W896="NO CORRESPONDE","NO CORRESPONDE",IF(Z896&gt;0,"FACTURADO","PENDIENTE")))</f>
        <v>FACTURADO</v>
      </c>
      <c r="AG896" s="133">
        <f>IFERROR(VLOOKUP(DATA[[#This Row],[COMBINADA]],#REF!,6,0),0)</f>
        <v>0</v>
      </c>
      <c r="AH896" s="125">
        <f>IFERROR(VLOOKUP(DATA[[#This Row],[COMBINADA]],#REF!,9,0),0)/COUNTIFS(DATA[COMBINADA],DATA[[#This Row],[COMBINADA]])</f>
        <v>0</v>
      </c>
      <c r="AI896" s="136">
        <f>IFERROR(VLOOKUP(DATA[[#This Row],[COMBINADA]],#REF!,6,0),0)</f>
        <v>0</v>
      </c>
      <c r="AJ896" s="132">
        <f>IFERROR(VLOOKUP(DATA[[#This Row],[COMBINADA]],#REF!,9,0),0)/COUNTIFS(DATA[COMBINADA],DATA[[#This Row],[COMBINADA]])</f>
        <v>0</v>
      </c>
      <c r="AK896" s="407">
        <f>IFERROR(VLOOKUP(DATA[[#This Row],[COMBINADA]],#REF!,6,0),0)</f>
        <v>0</v>
      </c>
      <c r="AL896" s="125">
        <f>IFERROR(VLOOKUP(DATA[[#This Row],[COMBINADA]],#REF!,9,0),0)/COUNTIFS(DATA[COMBINADA],DATA[[#This Row],[COMBINADA]])</f>
        <v>0</v>
      </c>
      <c r="AM896" s="27">
        <f>IFERROR(VLOOKUP(DATA[[#This Row],[COMBINADA]],#REF!,6,0),0)</f>
        <v>0</v>
      </c>
      <c r="AN896" s="125">
        <f>IFERROR(VLOOKUP(DATA[[#This Row],[COMBINADA]],#REF!,9,0),0)/COUNTIFS(DATA[COMBINADA],DATA[[#This Row],[COMBINADA]])</f>
        <v>0</v>
      </c>
      <c r="AO896" s="27">
        <f>IFERROR(VLOOKUP(DATA[[#This Row],[COMBINADA]],#REF!,6,0),0)</f>
        <v>0</v>
      </c>
      <c r="AP896" s="132">
        <f>IFERROR(VLOOKUP(DATA[[#This Row],[COMBINADA]],#REF!,9,0),0)/COUNTIFS(DATA[COMBINADA],DATA[[#This Row],[COMBINADA]])</f>
        <v>0</v>
      </c>
      <c r="AQ89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1250.7066666666667</v>
      </c>
      <c r="AR896" s="26" t="str">
        <f>IFERROR(IF(DATA[[#This Row],[estado_fact]]="FACTURADO",VLOOKUP(DATA[[#This Row],[SERIE2]]&amp;"-"&amp;DATA[[#This Row],[NUMERO]],#REF!,34,0),"NO CORRESPONDE"),"NO CORRESPONDE")</f>
        <v>NO CORRESPONDE</v>
      </c>
      <c r="AS896" s="22" t="str">
        <f>IF(DATA[[#This Row],[fecha_fs]]&gt;0,TEXT(DATA[[#This Row],[fecha_fs]],"Mmmm"),0)</f>
        <v>Julio</v>
      </c>
      <c r="AT896" s="22" t="str">
        <f>DATA[[#This Row],[SERIE2]]&amp;"-"&amp;DATA[[#This Row],[NUMERO]]</f>
        <v>FF01-184</v>
      </c>
      <c r="AU896" s="28">
        <f>DATA[[#This Row],[TOTAL]]*DATA[[#This Row],[T.C.]]</f>
        <v>1044.18</v>
      </c>
      <c r="AV896" s="6">
        <f>DATA[[#This Row],[FECHA DE VAL.]]</f>
        <v>45847</v>
      </c>
      <c r="AW896" s="6">
        <f>DATA[[#This Row],[FECHA DE EMISION]]</f>
        <v>45862</v>
      </c>
      <c r="AX896" s="6">
        <f>DATA[[#This Row],[F1]]</f>
        <v>0</v>
      </c>
      <c r="AY896" s="20">
        <f>IF(AV896-DATA[[#This Row],[fecha_fs]]&lt;0,0,AV896-DATA[[#This Row],[fecha_fs]])</f>
        <v>1</v>
      </c>
      <c r="AZ896" s="20">
        <f t="shared" si="97"/>
        <v>15</v>
      </c>
      <c r="BA896" s="20">
        <f t="shared" si="98"/>
        <v>0</v>
      </c>
      <c r="BB896" s="195">
        <f>IFERROR(SUM(DATA[[#This Row],[fs_val_ttf]:[fact_pago_ttf]]),0)</f>
        <v>16</v>
      </c>
      <c r="BC896" s="185">
        <v>45852</v>
      </c>
      <c r="BD896" s="185">
        <v>45855</v>
      </c>
      <c r="BE896" s="185">
        <v>45855</v>
      </c>
      <c r="BF896" s="185">
        <v>45862</v>
      </c>
      <c r="BG896" s="20">
        <f>IFERROR(IF(BC896-DATA[[#This Row],[fecha_fs]]&lt;0,0,BC896-DATA[[#This Row],[fecha_fs]]),0)</f>
        <v>6</v>
      </c>
      <c r="BH896" s="20">
        <f t="shared" si="92"/>
        <v>3</v>
      </c>
      <c r="BI896" s="20">
        <f t="shared" si="93"/>
        <v>0</v>
      </c>
      <c r="BJ896" s="20">
        <f t="shared" si="94"/>
        <v>7</v>
      </c>
      <c r="BK896" s="218">
        <f>IFERROR(SUM(DATA[[#This Row],[fs_fd_ttd]:[fend_fenf_ttd]]),0)</f>
        <v>16</v>
      </c>
      <c r="BL896" s="20" t="str">
        <f>IF(DATA[[#This Row],[fecha_fs]]&gt;0,TEXT(DATA[[#This Row],[fecha_fs]],"YYYY"),0)</f>
        <v>2025</v>
      </c>
      <c r="BM896" s="221" t="b">
        <v>1</v>
      </c>
      <c r="BN896" s="278">
        <f>COUNTIF(DATA[[#This Row],[tiempo_td]], "&lt;=15")</f>
        <v>0</v>
      </c>
      <c r="BO896" s="222"/>
    </row>
    <row r="897" spans="1:67" ht="30.6" customHeight="1" x14ac:dyDescent="0.25">
      <c r="A897" s="4">
        <v>20141637941</v>
      </c>
      <c r="B897" s="5" t="s">
        <v>79</v>
      </c>
      <c r="C897" s="52" t="s">
        <v>18</v>
      </c>
      <c r="D897" s="4" t="s">
        <v>120</v>
      </c>
      <c r="E897" s="5" t="s">
        <v>3</v>
      </c>
      <c r="F897" s="24">
        <v>45845</v>
      </c>
      <c r="G897" s="7" t="s">
        <v>113</v>
      </c>
      <c r="H897" s="25">
        <f t="shared" si="96"/>
        <v>1</v>
      </c>
      <c r="I897" s="67">
        <v>4727</v>
      </c>
      <c r="J897" s="8" t="s">
        <v>115</v>
      </c>
      <c r="K897" s="9" t="s">
        <v>121</v>
      </c>
      <c r="L897" s="10" t="s">
        <v>117</v>
      </c>
      <c r="M897" s="11">
        <v>900</v>
      </c>
      <c r="N897" s="12" t="s">
        <v>125</v>
      </c>
      <c r="O897" s="6">
        <v>45849</v>
      </c>
      <c r="P897" s="110">
        <v>3545</v>
      </c>
      <c r="Q897" s="14" t="s">
        <v>85</v>
      </c>
      <c r="R897" s="15">
        <v>80</v>
      </c>
      <c r="S897" s="15">
        <v>832</v>
      </c>
      <c r="T897" s="15">
        <f>DATA[[#This Row],[C. DF]]+DATA[[#This Row],[C.OPE.]]</f>
        <v>912</v>
      </c>
      <c r="U897" s="15">
        <f>DATA[[#This Row],[SUB TOTAL]]*0.18</f>
        <v>164.16</v>
      </c>
      <c r="V897" s="15">
        <f>IFERROR(ROUND(DATA[[#This Row],[SUB TOTAL]]+DATA[[#This Row],[IGV]],2),0)</f>
        <v>1076.1600000000001</v>
      </c>
      <c r="W897" s="16" t="str">
        <f>IF(DATA[[#This Row],[VALORIZACIÓN ]]="-","NO CORRESPONDE",IF(OR(A897=20558226979,A897=10470707866,A897=20111157058,A897=20100226902),"NO CORRESPONDE",IF(J897="Emitida",IF(P897&gt;0,"EMITIDA","PENDIENTE"),"NO CORRESPONDE")))</f>
        <v>EMITIDA</v>
      </c>
      <c r="X897" s="29"/>
      <c r="Y897" s="17" t="s">
        <v>118</v>
      </c>
      <c r="Z897" s="30">
        <v>45852</v>
      </c>
      <c r="AA897" s="10" t="s">
        <v>150</v>
      </c>
      <c r="AB897" s="19">
        <v>177</v>
      </c>
      <c r="AC897" s="20">
        <v>30</v>
      </c>
      <c r="AD897" s="18">
        <f>DATA[[#This Row],[FECHA DE EMISION]]+DATA[[#This Row],[CONDICION DE PAGO]]</f>
        <v>45882</v>
      </c>
      <c r="AE897" s="23">
        <f>IF(DATA[[#This Row],[MONEDA]]="USD",VLOOKUP(DATA[[#This Row],[COMBINADA]],#REF!,11,0),1)</f>
        <v>1</v>
      </c>
      <c r="AF897" s="129" t="str">
        <f>IF(DATA[[#This Row],[SERIE2]]="-","NO CORRESPONDE",IF(W897="NO CORRESPONDE","NO CORRESPONDE",IF(Z897&gt;0,"FACTURADO","PENDIENTE")))</f>
        <v>FACTURADO</v>
      </c>
      <c r="AG897" s="133">
        <f>IFERROR(VLOOKUP(DATA[[#This Row],[COMBINADA]],#REF!,6,0),0)</f>
        <v>0</v>
      </c>
      <c r="AH897" s="125">
        <f>IFERROR(VLOOKUP(DATA[[#This Row],[COMBINADA]],#REF!,9,0),0)/COUNTIFS(DATA[COMBINADA],DATA[[#This Row],[COMBINADA]])</f>
        <v>0</v>
      </c>
      <c r="AI897" s="136">
        <f>IFERROR(VLOOKUP(DATA[[#This Row],[COMBINADA]],#REF!,6,0),0)</f>
        <v>0</v>
      </c>
      <c r="AJ897" s="132">
        <f>IFERROR(VLOOKUP(DATA[[#This Row],[COMBINADA]],#REF!,9,0),0)/COUNTIFS(DATA[COMBINADA],DATA[[#This Row],[COMBINADA]])</f>
        <v>0</v>
      </c>
      <c r="AK897" s="407">
        <f>IFERROR(VLOOKUP(DATA[[#This Row],[COMBINADA]],#REF!,6,0),0)</f>
        <v>0</v>
      </c>
      <c r="AL897" s="125">
        <f>IFERROR(VLOOKUP(DATA[[#This Row],[COMBINADA]],#REF!,9,0),0)/COUNTIFS(DATA[COMBINADA],DATA[[#This Row],[COMBINADA]])</f>
        <v>0</v>
      </c>
      <c r="AM897" s="27">
        <f>IFERROR(VLOOKUP(DATA[[#This Row],[COMBINADA]],#REF!,6,0),0)</f>
        <v>0</v>
      </c>
      <c r="AN897" s="125">
        <f>IFERROR(VLOOKUP(DATA[[#This Row],[COMBINADA]],#REF!,9,0),0)/COUNTIFS(DATA[COMBINADA],DATA[[#This Row],[COMBINADA]])</f>
        <v>0</v>
      </c>
      <c r="AO897" s="27">
        <f>IFERROR(VLOOKUP(DATA[[#This Row],[COMBINADA]],#REF!,6,0),0)</f>
        <v>0</v>
      </c>
      <c r="AP897" s="132">
        <f>IFERROR(VLOOKUP(DATA[[#This Row],[COMBINADA]],#REF!,9,0),0)/COUNTIFS(DATA[COMBINADA],DATA[[#This Row],[COMBINADA]])</f>
        <v>0</v>
      </c>
      <c r="AQ89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1078.0466666666669</v>
      </c>
      <c r="AR897" s="26" t="str">
        <f>IFERROR(IF(DATA[[#This Row],[estado_fact]]="FACTURADO",VLOOKUP(DATA[[#This Row],[SERIE2]]&amp;"-"&amp;DATA[[#This Row],[NUMERO]],#REF!,34,0),"NO CORRESPONDE"),"NO CORRESPONDE")</f>
        <v>NO CORRESPONDE</v>
      </c>
      <c r="AS897" s="22" t="str">
        <f>IF(DATA[[#This Row],[fecha_fs]]&gt;0,TEXT(DATA[[#This Row],[fecha_fs]],"Mmmm"),0)</f>
        <v>Julio</v>
      </c>
      <c r="AT897" s="22" t="str">
        <f>DATA[[#This Row],[SERIE2]]&amp;"-"&amp;DATA[[#This Row],[NUMERO]]</f>
        <v>FF01-177</v>
      </c>
      <c r="AU897" s="28">
        <f>DATA[[#This Row],[TOTAL]]*DATA[[#This Row],[T.C.]]</f>
        <v>1076.1600000000001</v>
      </c>
      <c r="AV897" s="6">
        <f>DATA[[#This Row],[FECHA DE VAL.]]</f>
        <v>45849</v>
      </c>
      <c r="AW897" s="6">
        <f>DATA[[#This Row],[FECHA DE EMISION]]</f>
        <v>45852</v>
      </c>
      <c r="AX897" s="6">
        <f>DATA[[#This Row],[F1]]</f>
        <v>0</v>
      </c>
      <c r="AY897" s="20">
        <f>IF(AV897-DATA[[#This Row],[fecha_fs]]&lt;0,0,AV897-DATA[[#This Row],[fecha_fs]])</f>
        <v>4</v>
      </c>
      <c r="AZ897" s="20">
        <f t="shared" si="97"/>
        <v>3</v>
      </c>
      <c r="BA897" s="20">
        <f t="shared" si="98"/>
        <v>0</v>
      </c>
      <c r="BB897" s="195">
        <f>IFERROR(SUM(DATA[[#This Row],[fs_val_ttf]:[fact_pago_ttf]]),0)</f>
        <v>7</v>
      </c>
      <c r="BC897" s="185">
        <v>45846</v>
      </c>
      <c r="BD897" s="185">
        <v>45862</v>
      </c>
      <c r="BE897" s="185">
        <v>45870</v>
      </c>
      <c r="BF897" s="185">
        <v>45882</v>
      </c>
      <c r="BG897" s="20">
        <f>IFERROR(IF(BC897-DATA[[#This Row],[fecha_fs]]&lt;0,0,BC897-DATA[[#This Row],[fecha_fs]]),0)</f>
        <v>1</v>
      </c>
      <c r="BH897" s="20">
        <f t="shared" si="92"/>
        <v>16</v>
      </c>
      <c r="BI897" s="20">
        <f t="shared" si="93"/>
        <v>8</v>
      </c>
      <c r="BJ897" s="20">
        <f t="shared" si="94"/>
        <v>12</v>
      </c>
      <c r="BK897" s="218">
        <f>IFERROR(SUM(DATA[[#This Row],[fs_fd_ttd]:[fend_fenf_ttd]]),0)</f>
        <v>37</v>
      </c>
      <c r="BL897" s="20" t="str">
        <f>IF(DATA[[#This Row],[fecha_fs]]&gt;0,TEXT(DATA[[#This Row],[fecha_fs]],"YYYY"),0)</f>
        <v>2025</v>
      </c>
      <c r="BM897" s="221" t="b">
        <v>1</v>
      </c>
      <c r="BN897" s="278">
        <f>COUNTIF(DATA[[#This Row],[tiempo_td]], "&lt;=15")</f>
        <v>0</v>
      </c>
      <c r="BO897" s="222"/>
    </row>
    <row r="898" spans="1:67" ht="30.6" customHeight="1" x14ac:dyDescent="0.25">
      <c r="A898" s="4">
        <v>20546530184</v>
      </c>
      <c r="B898" s="5" t="s">
        <v>50</v>
      </c>
      <c r="C898" s="52" t="s">
        <v>248</v>
      </c>
      <c r="D898" s="4" t="s">
        <v>112</v>
      </c>
      <c r="E898" s="5" t="s">
        <v>1</v>
      </c>
      <c r="F898" s="24">
        <v>45846</v>
      </c>
      <c r="G898" s="7" t="s">
        <v>113</v>
      </c>
      <c r="H898" s="25">
        <f t="shared" si="96"/>
        <v>1</v>
      </c>
      <c r="I898" s="67">
        <v>4728</v>
      </c>
      <c r="J898" s="8" t="s">
        <v>115</v>
      </c>
      <c r="K898" s="9" t="s">
        <v>116</v>
      </c>
      <c r="L898" s="10" t="s">
        <v>117</v>
      </c>
      <c r="M898" s="11">
        <v>90</v>
      </c>
      <c r="N898" s="12" t="s">
        <v>167</v>
      </c>
      <c r="O898" s="6">
        <v>45847</v>
      </c>
      <c r="P898" s="13">
        <v>3542</v>
      </c>
      <c r="Q898" s="14" t="s">
        <v>85</v>
      </c>
      <c r="R898" s="15">
        <f>((DATA[[#This Row],[cantidad_fs]]-50)*0.97)</f>
        <v>38.799999999999997</v>
      </c>
      <c r="S898" s="15">
        <v>758.49</v>
      </c>
      <c r="T898" s="15">
        <f>DATA[[#This Row],[C. DF]]+DATA[[#This Row],[C.OPE.]]</f>
        <v>797.29</v>
      </c>
      <c r="U898" s="15">
        <f>DATA[[#This Row],[SUB TOTAL]]*0.18</f>
        <v>143.51219999999998</v>
      </c>
      <c r="V898" s="15">
        <f>IFERROR(ROUND(DATA[[#This Row],[SUB TOTAL]]+DATA[[#This Row],[IGV]],2),0)</f>
        <v>940.8</v>
      </c>
      <c r="W898" s="16" t="str">
        <f>IF(DATA[[#This Row],[VALORIZACIÓN ]]="-","NO CORRESPONDE",IF(OR(A898=20558226979,A898=10470707866,A898=20111157058,A898=20100226902),"NO CORRESPONDE",IF(J898="Emitida",IF(P898&gt;0,"EMITIDA","PENDIENTE"),"NO CORRESPONDE")))</f>
        <v>EMITIDA</v>
      </c>
      <c r="X898" s="29"/>
      <c r="Y898" s="17" t="s">
        <v>118</v>
      </c>
      <c r="Z898" s="30">
        <v>45862</v>
      </c>
      <c r="AA898" s="10" t="s">
        <v>150</v>
      </c>
      <c r="AB898" s="19">
        <v>184</v>
      </c>
      <c r="AC898" s="20">
        <v>30</v>
      </c>
      <c r="AD898" s="18">
        <f>DATA[[#This Row],[FECHA DE EMISION]]+DATA[[#This Row],[CONDICION DE PAGO]]</f>
        <v>45892</v>
      </c>
      <c r="AE898" s="23">
        <f>IF(DATA[[#This Row],[MONEDA]]="USD",VLOOKUP(DATA[[#This Row],[COMBINADA]],#REF!,11,0),1)</f>
        <v>1</v>
      </c>
      <c r="AF898" s="129" t="str">
        <f>IF(DATA[[#This Row],[SERIE2]]="-","NO CORRESPONDE",IF(W898="NO CORRESPONDE","NO CORRESPONDE",IF(Z898&gt;0,"FACTURADO","PENDIENTE")))</f>
        <v>FACTURADO</v>
      </c>
      <c r="AG898" s="133">
        <f>IFERROR(VLOOKUP(DATA[[#This Row],[COMBINADA]],#REF!,6,0),0)</f>
        <v>0</v>
      </c>
      <c r="AH898" s="125">
        <f>IFERROR(VLOOKUP(DATA[[#This Row],[COMBINADA]],#REF!,9,0),0)/COUNTIFS(DATA[COMBINADA],DATA[[#This Row],[COMBINADA]])</f>
        <v>0</v>
      </c>
      <c r="AI898" s="136">
        <f>IFERROR(VLOOKUP(DATA[[#This Row],[COMBINADA]],#REF!,6,0),0)</f>
        <v>0</v>
      </c>
      <c r="AJ898" s="132">
        <f>IFERROR(VLOOKUP(DATA[[#This Row],[COMBINADA]],#REF!,9,0),0)/COUNTIFS(DATA[COMBINADA],DATA[[#This Row],[COMBINADA]])</f>
        <v>0</v>
      </c>
      <c r="AK898" s="407">
        <f>IFERROR(VLOOKUP(DATA[[#This Row],[COMBINADA]],#REF!,6,0),0)</f>
        <v>0</v>
      </c>
      <c r="AL898" s="125">
        <f>IFERROR(VLOOKUP(DATA[[#This Row],[COMBINADA]],#REF!,9,0),0)/COUNTIFS(DATA[COMBINADA],DATA[[#This Row],[COMBINADA]])</f>
        <v>0</v>
      </c>
      <c r="AM898" s="27">
        <f>IFERROR(VLOOKUP(DATA[[#This Row],[COMBINADA]],#REF!,6,0),0)</f>
        <v>0</v>
      </c>
      <c r="AN898" s="125">
        <f>IFERROR(VLOOKUP(DATA[[#This Row],[COMBINADA]],#REF!,9,0),0)/COUNTIFS(DATA[COMBINADA],DATA[[#This Row],[COMBINADA]])</f>
        <v>0</v>
      </c>
      <c r="AO898" s="27">
        <f>IFERROR(VLOOKUP(DATA[[#This Row],[COMBINADA]],#REF!,6,0),0)</f>
        <v>0</v>
      </c>
      <c r="AP898" s="132">
        <f>IFERROR(VLOOKUP(DATA[[#This Row],[COMBINADA]],#REF!,9,0),0)/COUNTIFS(DATA[COMBINADA],DATA[[#This Row],[COMBINADA]])</f>
        <v>0</v>
      </c>
      <c r="AQ89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1250.7066666666667</v>
      </c>
      <c r="AR898" s="26" t="str">
        <f>IFERROR(IF(DATA[[#This Row],[estado_fact]]="FACTURADO",VLOOKUP(DATA[[#This Row],[SERIE2]]&amp;"-"&amp;DATA[[#This Row],[NUMERO]],#REF!,34,0),"NO CORRESPONDE"),"NO CORRESPONDE")</f>
        <v>NO CORRESPONDE</v>
      </c>
      <c r="AS898" s="22" t="str">
        <f>IF(DATA[[#This Row],[fecha_fs]]&gt;0,TEXT(DATA[[#This Row],[fecha_fs]],"Mmmm"),0)</f>
        <v>Julio</v>
      </c>
      <c r="AT898" s="22" t="str">
        <f>DATA[[#This Row],[SERIE2]]&amp;"-"&amp;DATA[[#This Row],[NUMERO]]</f>
        <v>FF01-184</v>
      </c>
      <c r="AU898" s="28">
        <f>DATA[[#This Row],[TOTAL]]*DATA[[#This Row],[T.C.]]</f>
        <v>940.8</v>
      </c>
      <c r="AV898" s="6">
        <f>DATA[[#This Row],[FECHA DE VAL.]]</f>
        <v>45847</v>
      </c>
      <c r="AW898" s="6">
        <f>DATA[[#This Row],[FECHA DE EMISION]]</f>
        <v>45862</v>
      </c>
      <c r="AX898" s="6">
        <f>DATA[[#This Row],[F1]]</f>
        <v>0</v>
      </c>
      <c r="AY898" s="20">
        <f>IF(AV898-DATA[[#This Row],[fecha_fs]]&lt;0,0,AV898-DATA[[#This Row],[fecha_fs]])</f>
        <v>1</v>
      </c>
      <c r="AZ898" s="20">
        <f t="shared" si="97"/>
        <v>15</v>
      </c>
      <c r="BA898" s="20">
        <f t="shared" si="98"/>
        <v>0</v>
      </c>
      <c r="BB898" s="195">
        <f>IFERROR(SUM(DATA[[#This Row],[fs_val_ttf]:[fact_pago_ttf]]),0)</f>
        <v>16</v>
      </c>
      <c r="BC898" s="185">
        <v>45852</v>
      </c>
      <c r="BD898" s="185">
        <v>45855</v>
      </c>
      <c r="BE898" s="185">
        <v>45855</v>
      </c>
      <c r="BF898" s="185">
        <v>45862</v>
      </c>
      <c r="BG898" s="20">
        <f>IFERROR(IF(BC898-DATA[[#This Row],[fecha_fs]]&lt;0,0,BC898-DATA[[#This Row],[fecha_fs]]),0)</f>
        <v>6</v>
      </c>
      <c r="BH898" s="20">
        <f t="shared" si="92"/>
        <v>3</v>
      </c>
      <c r="BI898" s="20">
        <f t="shared" si="93"/>
        <v>0</v>
      </c>
      <c r="BJ898" s="20">
        <f t="shared" si="94"/>
        <v>7</v>
      </c>
      <c r="BK898" s="218">
        <f>IFERROR(SUM(DATA[[#This Row],[fs_fd_ttd]:[fend_fenf_ttd]]),0)</f>
        <v>16</v>
      </c>
      <c r="BL898" s="20" t="str">
        <f>IF(DATA[[#This Row],[fecha_fs]]&gt;0,TEXT(DATA[[#This Row],[fecha_fs]],"YYYY"),0)</f>
        <v>2025</v>
      </c>
      <c r="BM898" s="221" t="b">
        <v>1</v>
      </c>
      <c r="BN898" s="278">
        <f>COUNTIF(DATA[[#This Row],[tiempo_td]], "&lt;=15")</f>
        <v>0</v>
      </c>
      <c r="BO898" s="222"/>
    </row>
    <row r="899" spans="1:67" ht="30.6" customHeight="1" x14ac:dyDescent="0.25">
      <c r="A899" s="4">
        <v>20100211115</v>
      </c>
      <c r="B899" s="5" t="s">
        <v>41</v>
      </c>
      <c r="C899" s="52" t="s">
        <v>18</v>
      </c>
      <c r="D899" s="4" t="s">
        <v>120</v>
      </c>
      <c r="E899" s="5" t="s">
        <v>3</v>
      </c>
      <c r="F899" s="24">
        <v>45847</v>
      </c>
      <c r="G899" s="7" t="s">
        <v>113</v>
      </c>
      <c r="H899" s="25">
        <f t="shared" si="96"/>
        <v>1</v>
      </c>
      <c r="I899" s="67">
        <v>4729</v>
      </c>
      <c r="J899" s="8" t="s">
        <v>115</v>
      </c>
      <c r="K899" s="9" t="s">
        <v>121</v>
      </c>
      <c r="L899" s="10" t="s">
        <v>117</v>
      </c>
      <c r="M899" s="11">
        <v>90</v>
      </c>
      <c r="N899" s="12" t="s">
        <v>167</v>
      </c>
      <c r="O899" s="6">
        <v>45863</v>
      </c>
      <c r="P899" s="115">
        <v>3575</v>
      </c>
      <c r="Q899" s="14" t="s">
        <v>85</v>
      </c>
      <c r="R899" s="15"/>
      <c r="S899" s="15">
        <f>(DATA[[#This Row],[cantidad_fs]]*4.17)</f>
        <v>375.3</v>
      </c>
      <c r="T899" s="15">
        <f>DATA[[#This Row],[C. DF]]+DATA[[#This Row],[C.OPE.]]</f>
        <v>375.3</v>
      </c>
      <c r="U899" s="15">
        <f>DATA[[#This Row],[SUB TOTAL]]*0.18</f>
        <v>67.554000000000002</v>
      </c>
      <c r="V899" s="15">
        <f>IFERROR(ROUND(DATA[[#This Row],[SUB TOTAL]]+DATA[[#This Row],[IGV]],2),0)</f>
        <v>442.85</v>
      </c>
      <c r="W899" s="16" t="str">
        <f>IF(DATA[[#This Row],[VALORIZACIÓN ]]="-","NO CORRESPONDE",IF(OR(A899=20558226979,A899=10470707866,A899=20111157058,A899=20100226902),"NO CORRESPONDE",IF(J899="Emitida",IF(P899&gt;0,"EMITIDA","PENDIENTE"),"NO CORRESPONDE")))</f>
        <v>EMITIDA</v>
      </c>
      <c r="X899" s="29"/>
      <c r="Y899" s="17" t="s">
        <v>118</v>
      </c>
      <c r="Z899" s="30">
        <v>45869</v>
      </c>
      <c r="AA899" s="10" t="s">
        <v>150</v>
      </c>
      <c r="AB899" s="19">
        <v>191</v>
      </c>
      <c r="AC899" s="20">
        <v>30</v>
      </c>
      <c r="AD899" s="18">
        <f>DATA[[#This Row],[FECHA DE EMISION]]+DATA[[#This Row],[CONDICION DE PAGO]]</f>
        <v>45899</v>
      </c>
      <c r="AE899" s="23">
        <f>IF(DATA[[#This Row],[MONEDA]]="USD",VLOOKUP(DATA[[#This Row],[COMBINADA]],#REF!,11,0),1)</f>
        <v>1</v>
      </c>
      <c r="AF899" s="129" t="str">
        <f>IF(DATA[[#This Row],[SERIE2]]="-","NO CORRESPONDE",IF(W899="NO CORRESPONDE","NO CORRESPONDE",IF(Z899&gt;0,"FACTURADO","PENDIENTE")))</f>
        <v>FACTURADO</v>
      </c>
      <c r="AG899" s="133">
        <f>IFERROR(VLOOKUP(DATA[[#This Row],[COMBINADA]],#REF!,6,0),0)</f>
        <v>0</v>
      </c>
      <c r="AH899" s="125">
        <f>IFERROR(VLOOKUP(DATA[[#This Row],[COMBINADA]],#REF!,9,0),0)/COUNTIFS(DATA[COMBINADA],DATA[[#This Row],[COMBINADA]])</f>
        <v>0</v>
      </c>
      <c r="AI899" s="136">
        <f>IFERROR(VLOOKUP(DATA[[#This Row],[COMBINADA]],#REF!,6,0),0)</f>
        <v>0</v>
      </c>
      <c r="AJ899" s="132">
        <f>IFERROR(VLOOKUP(DATA[[#This Row],[COMBINADA]],#REF!,9,0),0)/COUNTIFS(DATA[COMBINADA],DATA[[#This Row],[COMBINADA]])</f>
        <v>0</v>
      </c>
      <c r="AK899" s="407">
        <f>IFERROR(VLOOKUP(DATA[[#This Row],[COMBINADA]],#REF!,6,0),0)</f>
        <v>0</v>
      </c>
      <c r="AL899" s="125">
        <f>IFERROR(VLOOKUP(DATA[[#This Row],[COMBINADA]],#REF!,9,0),0)/COUNTIFS(DATA[COMBINADA],DATA[[#This Row],[COMBINADA]])</f>
        <v>0</v>
      </c>
      <c r="AM899" s="27">
        <f>IFERROR(VLOOKUP(DATA[[#This Row],[COMBINADA]],#REF!,6,0),0)</f>
        <v>0</v>
      </c>
      <c r="AN899" s="125">
        <f>IFERROR(VLOOKUP(DATA[[#This Row],[COMBINADA]],#REF!,9,0),0)/COUNTIFS(DATA[COMBINADA],DATA[[#This Row],[COMBINADA]])</f>
        <v>0</v>
      </c>
      <c r="AO899" s="27">
        <f>IFERROR(VLOOKUP(DATA[[#This Row],[COMBINADA]],#REF!,6,0),0)</f>
        <v>0</v>
      </c>
      <c r="AP899" s="132">
        <f>IFERROR(VLOOKUP(DATA[[#This Row],[COMBINADA]],#REF!,9,0),0)/COUNTIFS(DATA[COMBINADA],DATA[[#This Row],[COMBINADA]])</f>
        <v>0</v>
      </c>
      <c r="AQ89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899" s="26" t="str">
        <f>IFERROR(IF(DATA[[#This Row],[estado_fact]]="FACTURADO",VLOOKUP(DATA[[#This Row],[SERIE2]]&amp;"-"&amp;DATA[[#This Row],[NUMERO]],#REF!,34,0),"NO CORRESPONDE"),"NO CORRESPONDE")</f>
        <v>NO CORRESPONDE</v>
      </c>
      <c r="AS899" s="22" t="str">
        <f>IF(DATA[[#This Row],[fecha_fs]]&gt;0,TEXT(DATA[[#This Row],[fecha_fs]],"Mmmm"),0)</f>
        <v>Julio</v>
      </c>
      <c r="AT899" s="22" t="str">
        <f>DATA[[#This Row],[SERIE2]]&amp;"-"&amp;DATA[[#This Row],[NUMERO]]</f>
        <v>FF01-191</v>
      </c>
      <c r="AU899" s="28">
        <f>DATA[[#This Row],[TOTAL]]*DATA[[#This Row],[T.C.]]</f>
        <v>442.85</v>
      </c>
      <c r="AV899" s="6">
        <f>DATA[[#This Row],[FECHA DE VAL.]]</f>
        <v>45863</v>
      </c>
      <c r="AW899" s="6">
        <f>DATA[[#This Row],[FECHA DE EMISION]]</f>
        <v>45869</v>
      </c>
      <c r="AX899" s="6">
        <f>DATA[[#This Row],[F1]]</f>
        <v>0</v>
      </c>
      <c r="AY899" s="20">
        <f>IF(AV899-DATA[[#This Row],[fecha_fs]]&lt;0,0,AV899-DATA[[#This Row],[fecha_fs]])</f>
        <v>16</v>
      </c>
      <c r="AZ899" s="20">
        <f t="shared" si="97"/>
        <v>6</v>
      </c>
      <c r="BA899" s="20">
        <f t="shared" si="98"/>
        <v>0</v>
      </c>
      <c r="BB899" s="195">
        <f>IFERROR(SUM(DATA[[#This Row],[fs_val_ttf]:[fact_pago_ttf]]),0)</f>
        <v>22</v>
      </c>
      <c r="BC899" s="185">
        <v>45870</v>
      </c>
      <c r="BD899" s="185">
        <v>45876</v>
      </c>
      <c r="BE899" s="185">
        <v>45882</v>
      </c>
      <c r="BF899" s="185">
        <v>45887</v>
      </c>
      <c r="BG899" s="20">
        <f>IFERROR(IF(BC899-DATA[[#This Row],[fecha_fs]]&lt;0,0,BC899-DATA[[#This Row],[fecha_fs]]),0)</f>
        <v>23</v>
      </c>
      <c r="BH899" s="20">
        <f t="shared" si="92"/>
        <v>6</v>
      </c>
      <c r="BI899" s="20">
        <f t="shared" si="93"/>
        <v>6</v>
      </c>
      <c r="BJ899" s="20">
        <f t="shared" si="94"/>
        <v>5</v>
      </c>
      <c r="BK899" s="218">
        <f>IFERROR(SUM(DATA[[#This Row],[fs_fd_ttd]:[fend_fenf_ttd]]),0)</f>
        <v>40</v>
      </c>
      <c r="BL899" s="20" t="str">
        <f>IF(DATA[[#This Row],[fecha_fs]]&gt;0,TEXT(DATA[[#This Row],[fecha_fs]],"YYYY"),0)</f>
        <v>2025</v>
      </c>
      <c r="BM899" s="221" t="b">
        <v>1</v>
      </c>
      <c r="BN899" s="278">
        <f>COUNTIF(DATA[[#This Row],[tiempo_td]], "&lt;=15")</f>
        <v>0</v>
      </c>
      <c r="BO899" s="222"/>
    </row>
    <row r="900" spans="1:67" ht="30.6" customHeight="1" x14ac:dyDescent="0.25">
      <c r="A900" s="4">
        <v>20141637941</v>
      </c>
      <c r="B900" s="5" t="s">
        <v>79</v>
      </c>
      <c r="C900" s="52" t="s">
        <v>18</v>
      </c>
      <c r="D900" s="4" t="s">
        <v>120</v>
      </c>
      <c r="E900" s="5" t="s">
        <v>3</v>
      </c>
      <c r="F900" s="24">
        <v>45847</v>
      </c>
      <c r="G900" s="7" t="s">
        <v>113</v>
      </c>
      <c r="H900" s="25">
        <f t="shared" si="96"/>
        <v>1</v>
      </c>
      <c r="I900" s="67">
        <v>4730</v>
      </c>
      <c r="J900" s="8" t="s">
        <v>115</v>
      </c>
      <c r="K900" s="9" t="s">
        <v>121</v>
      </c>
      <c r="L900" s="10" t="s">
        <v>117</v>
      </c>
      <c r="M900" s="11">
        <v>890</v>
      </c>
      <c r="N900" s="12" t="s">
        <v>125</v>
      </c>
      <c r="O900" s="6">
        <v>45849</v>
      </c>
      <c r="P900" s="110">
        <v>3545</v>
      </c>
      <c r="Q900" s="14" t="s">
        <v>85</v>
      </c>
      <c r="R900" s="15">
        <v>80</v>
      </c>
      <c r="S900" s="15">
        <v>832</v>
      </c>
      <c r="T900" s="15">
        <f>DATA[[#This Row],[C. DF]]+DATA[[#This Row],[C.OPE.]]</f>
        <v>912</v>
      </c>
      <c r="U900" s="15">
        <f>DATA[[#This Row],[SUB TOTAL]]*0.18</f>
        <v>164.16</v>
      </c>
      <c r="V900" s="15">
        <f>IFERROR(ROUND(DATA[[#This Row],[SUB TOTAL]]+DATA[[#This Row],[IGV]],2),0)</f>
        <v>1076.1600000000001</v>
      </c>
      <c r="W900" s="16" t="str">
        <f>IF(DATA[[#This Row],[VALORIZACIÓN ]]="-","NO CORRESPONDE",IF(OR(A900=20558226979,A900=10470707866,A900=20111157058,A900=20100226902),"NO CORRESPONDE",IF(J900="Emitida",IF(P900&gt;0,"EMITIDA","PENDIENTE"),"NO CORRESPONDE")))</f>
        <v>EMITIDA</v>
      </c>
      <c r="X900" s="29"/>
      <c r="Y900" s="17" t="s">
        <v>118</v>
      </c>
      <c r="Z900" s="30">
        <v>45852</v>
      </c>
      <c r="AA900" s="10" t="s">
        <v>150</v>
      </c>
      <c r="AB900" s="19">
        <v>177</v>
      </c>
      <c r="AC900" s="20">
        <v>30</v>
      </c>
      <c r="AD900" s="18">
        <f>DATA[[#This Row],[FECHA DE EMISION]]+DATA[[#This Row],[CONDICION DE PAGO]]</f>
        <v>45882</v>
      </c>
      <c r="AE900" s="23">
        <f>IF(DATA[[#This Row],[MONEDA]]="USD",VLOOKUP(DATA[[#This Row],[COMBINADA]],#REF!,11,0),1)</f>
        <v>1</v>
      </c>
      <c r="AF900" s="129" t="str">
        <f>IF(DATA[[#This Row],[SERIE2]]="-","NO CORRESPONDE",IF(W900="NO CORRESPONDE","NO CORRESPONDE",IF(Z900&gt;0,"FACTURADO","PENDIENTE")))</f>
        <v>FACTURADO</v>
      </c>
      <c r="AG900" s="133">
        <f>IFERROR(VLOOKUP(DATA[[#This Row],[COMBINADA]],#REF!,6,0),0)</f>
        <v>0</v>
      </c>
      <c r="AH900" s="125">
        <f>IFERROR(VLOOKUP(DATA[[#This Row],[COMBINADA]],#REF!,9,0),0)/COUNTIFS(DATA[COMBINADA],DATA[[#This Row],[COMBINADA]])</f>
        <v>0</v>
      </c>
      <c r="AI900" s="136">
        <f>IFERROR(VLOOKUP(DATA[[#This Row],[COMBINADA]],#REF!,6,0),0)</f>
        <v>0</v>
      </c>
      <c r="AJ900" s="132">
        <f>IFERROR(VLOOKUP(DATA[[#This Row],[COMBINADA]],#REF!,9,0),0)/COUNTIFS(DATA[COMBINADA],DATA[[#This Row],[COMBINADA]])</f>
        <v>0</v>
      </c>
      <c r="AK900" s="407">
        <f>IFERROR(VLOOKUP(DATA[[#This Row],[COMBINADA]],#REF!,6,0),0)</f>
        <v>0</v>
      </c>
      <c r="AL900" s="125">
        <f>IFERROR(VLOOKUP(DATA[[#This Row],[COMBINADA]],#REF!,9,0),0)/COUNTIFS(DATA[COMBINADA],DATA[[#This Row],[COMBINADA]])</f>
        <v>0</v>
      </c>
      <c r="AM900" s="27">
        <f>IFERROR(VLOOKUP(DATA[[#This Row],[COMBINADA]],#REF!,6,0),0)</f>
        <v>0</v>
      </c>
      <c r="AN900" s="125">
        <f>IFERROR(VLOOKUP(DATA[[#This Row],[COMBINADA]],#REF!,9,0),0)/COUNTIFS(DATA[COMBINADA],DATA[[#This Row],[COMBINADA]])</f>
        <v>0</v>
      </c>
      <c r="AO900" s="27">
        <f>IFERROR(VLOOKUP(DATA[[#This Row],[COMBINADA]],#REF!,6,0),0)</f>
        <v>0</v>
      </c>
      <c r="AP900" s="132">
        <f>IFERROR(VLOOKUP(DATA[[#This Row],[COMBINADA]],#REF!,9,0),0)/COUNTIFS(DATA[COMBINADA],DATA[[#This Row],[COMBINADA]])</f>
        <v>0</v>
      </c>
      <c r="AQ90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1078.0466666666669</v>
      </c>
      <c r="AR900" s="26" t="str">
        <f>IFERROR(IF(DATA[[#This Row],[estado_fact]]="FACTURADO",VLOOKUP(DATA[[#This Row],[SERIE2]]&amp;"-"&amp;DATA[[#This Row],[NUMERO]],#REF!,34,0),"NO CORRESPONDE"),"NO CORRESPONDE")</f>
        <v>NO CORRESPONDE</v>
      </c>
      <c r="AS900" s="22" t="str">
        <f>IF(DATA[[#This Row],[fecha_fs]]&gt;0,TEXT(DATA[[#This Row],[fecha_fs]],"Mmmm"),0)</f>
        <v>Julio</v>
      </c>
      <c r="AT900" s="22" t="str">
        <f>DATA[[#This Row],[SERIE2]]&amp;"-"&amp;DATA[[#This Row],[NUMERO]]</f>
        <v>FF01-177</v>
      </c>
      <c r="AU900" s="28">
        <f>DATA[[#This Row],[TOTAL]]*DATA[[#This Row],[T.C.]]</f>
        <v>1076.1600000000001</v>
      </c>
      <c r="AV900" s="6">
        <f>DATA[[#This Row],[FECHA DE VAL.]]</f>
        <v>45849</v>
      </c>
      <c r="AW900" s="6">
        <f>DATA[[#This Row],[FECHA DE EMISION]]</f>
        <v>45852</v>
      </c>
      <c r="AX900" s="6">
        <f>DATA[[#This Row],[F1]]</f>
        <v>0</v>
      </c>
      <c r="AY900" s="20">
        <f>IF(AV900-DATA[[#This Row],[fecha_fs]]&lt;0,0,AV900-DATA[[#This Row],[fecha_fs]])</f>
        <v>2</v>
      </c>
      <c r="AZ900" s="20">
        <f t="shared" si="97"/>
        <v>3</v>
      </c>
      <c r="BA900" s="20">
        <f t="shared" si="98"/>
        <v>0</v>
      </c>
      <c r="BB900" s="195">
        <f>IFERROR(SUM(DATA[[#This Row],[fs_val_ttf]:[fact_pago_ttf]]),0)</f>
        <v>5</v>
      </c>
      <c r="BC900" s="185">
        <v>45847</v>
      </c>
      <c r="BD900" s="185">
        <v>45862</v>
      </c>
      <c r="BE900" s="185">
        <v>45870</v>
      </c>
      <c r="BF900" s="185">
        <v>45882</v>
      </c>
      <c r="BG900" s="20">
        <f>IFERROR(IF(BC900-DATA[[#This Row],[fecha_fs]]&lt;0,0,BC900-DATA[[#This Row],[fecha_fs]]),0)</f>
        <v>0</v>
      </c>
      <c r="BH900" s="20">
        <f t="shared" si="92"/>
        <v>15</v>
      </c>
      <c r="BI900" s="20">
        <f t="shared" si="93"/>
        <v>8</v>
      </c>
      <c r="BJ900" s="20">
        <f t="shared" si="94"/>
        <v>12</v>
      </c>
      <c r="BK900" s="218">
        <f>IFERROR(SUM(DATA[[#This Row],[fs_fd_ttd]:[fend_fenf_ttd]]),0)</f>
        <v>35</v>
      </c>
      <c r="BL900" s="20" t="str">
        <f>IF(DATA[[#This Row],[fecha_fs]]&gt;0,TEXT(DATA[[#This Row],[fecha_fs]],"YYYY"),0)</f>
        <v>2025</v>
      </c>
      <c r="BM900" s="221" t="b">
        <v>1</v>
      </c>
      <c r="BN900" s="278">
        <f>COUNTIF(DATA[[#This Row],[tiempo_td]], "&lt;=15")</f>
        <v>0</v>
      </c>
      <c r="BO900" s="222"/>
    </row>
    <row r="901" spans="1:67" ht="30.6" customHeight="1" x14ac:dyDescent="0.25">
      <c r="A901" s="4">
        <v>20604044082</v>
      </c>
      <c r="B901" s="5" t="s">
        <v>17</v>
      </c>
      <c r="C901" s="52" t="s">
        <v>18</v>
      </c>
      <c r="D901" s="4" t="s">
        <v>112</v>
      </c>
      <c r="E901" s="5" t="s">
        <v>1</v>
      </c>
      <c r="F901" s="24">
        <v>45846</v>
      </c>
      <c r="G901" s="7" t="s">
        <v>113</v>
      </c>
      <c r="H901" s="25">
        <f t="shared" si="96"/>
        <v>1</v>
      </c>
      <c r="I901" s="67">
        <v>4731</v>
      </c>
      <c r="J901" s="8" t="s">
        <v>115</v>
      </c>
      <c r="K901" s="9" t="s">
        <v>116</v>
      </c>
      <c r="L901" s="10" t="s">
        <v>117</v>
      </c>
      <c r="M901" s="11">
        <v>370</v>
      </c>
      <c r="N901" s="12" t="s">
        <v>167</v>
      </c>
      <c r="O901" s="6">
        <v>45847</v>
      </c>
      <c r="P901" s="13">
        <v>3543</v>
      </c>
      <c r="Q901" s="14" t="s">
        <v>85</v>
      </c>
      <c r="R901" s="15"/>
      <c r="S901" s="15">
        <v>769.5</v>
      </c>
      <c r="T901" s="15">
        <f>DATA[[#This Row],[C. DF]]+DATA[[#This Row],[C.OPE.]]</f>
        <v>769.5</v>
      </c>
      <c r="U901" s="15">
        <f>DATA[[#This Row],[SUB TOTAL]]*0.18</f>
        <v>138.51</v>
      </c>
      <c r="V901" s="15">
        <f>IFERROR(ROUND(DATA[[#This Row],[SUB TOTAL]]+DATA[[#This Row],[IGV]],2),0)</f>
        <v>908.01</v>
      </c>
      <c r="W901" s="16" t="str">
        <f>IF(DATA[[#This Row],[VALORIZACIÓN ]]="-","NO CORRESPONDE",IF(OR(A901=20558226979,A901=10470707866,A901=20111157058,A901=20100226902),"NO CORRESPONDE",IF(J901="Emitida",IF(P901&gt;0,"EMITIDA","PENDIENTE"),"NO CORRESPONDE")))</f>
        <v>EMITIDA</v>
      </c>
      <c r="X901" s="29"/>
      <c r="Y901" s="17" t="s">
        <v>118</v>
      </c>
      <c r="Z901" s="30">
        <v>45869</v>
      </c>
      <c r="AA901" s="10" t="s">
        <v>150</v>
      </c>
      <c r="AB901" s="19">
        <v>187</v>
      </c>
      <c r="AC901" s="20">
        <v>15</v>
      </c>
      <c r="AD901" s="18">
        <f>DATA[[#This Row],[FECHA DE EMISION]]+DATA[[#This Row],[CONDICION DE PAGO]]</f>
        <v>45884</v>
      </c>
      <c r="AE901" s="23">
        <f>IF(DATA[[#This Row],[MONEDA]]="USD",VLOOKUP(DATA[[#This Row],[COMBINADA]],#REF!,11,0),1)</f>
        <v>1</v>
      </c>
      <c r="AF901" s="129" t="str">
        <f>IF(DATA[[#This Row],[SERIE2]]="-","NO CORRESPONDE",IF(W901="NO CORRESPONDE","NO CORRESPONDE",IF(Z901&gt;0,"FACTURADO","PENDIENTE")))</f>
        <v>FACTURADO</v>
      </c>
      <c r="AG901" s="133">
        <f>IFERROR(VLOOKUP(DATA[[#This Row],[COMBINADA]],#REF!,6,0),0)</f>
        <v>0</v>
      </c>
      <c r="AH901" s="125">
        <f>IFERROR(VLOOKUP(DATA[[#This Row],[COMBINADA]],#REF!,9,0),0)/COUNTIFS(DATA[COMBINADA],DATA[[#This Row],[COMBINADA]])</f>
        <v>0</v>
      </c>
      <c r="AI901" s="136">
        <f>IFERROR(VLOOKUP(DATA[[#This Row],[COMBINADA]],#REF!,6,0),0)</f>
        <v>0</v>
      </c>
      <c r="AJ901" s="132">
        <f>IFERROR(VLOOKUP(DATA[[#This Row],[COMBINADA]],#REF!,9,0),0)/COUNTIFS(DATA[COMBINADA],DATA[[#This Row],[COMBINADA]])</f>
        <v>0</v>
      </c>
      <c r="AK901" s="407">
        <f>IFERROR(VLOOKUP(DATA[[#This Row],[COMBINADA]],#REF!,6,0),0)</f>
        <v>0</v>
      </c>
      <c r="AL901" s="125">
        <f>IFERROR(VLOOKUP(DATA[[#This Row],[COMBINADA]],#REF!,9,0),0)/COUNTIFS(DATA[COMBINADA],DATA[[#This Row],[COMBINADA]])</f>
        <v>0</v>
      </c>
      <c r="AM901" s="27">
        <f>IFERROR(VLOOKUP(DATA[[#This Row],[COMBINADA]],#REF!,6,0),0)</f>
        <v>0</v>
      </c>
      <c r="AN901" s="125">
        <f>IFERROR(VLOOKUP(DATA[[#This Row],[COMBINADA]],#REF!,9,0),0)/COUNTIFS(DATA[COMBINADA],DATA[[#This Row],[COMBINADA]])</f>
        <v>0</v>
      </c>
      <c r="AO901" s="27">
        <f>IFERROR(VLOOKUP(DATA[[#This Row],[COMBINADA]],#REF!,6,0),0)</f>
        <v>0</v>
      </c>
      <c r="AP901" s="132">
        <f>IFERROR(VLOOKUP(DATA[[#This Row],[COMBINADA]],#REF!,9,0),0)/COUNTIFS(DATA[COMBINADA],DATA[[#This Row],[COMBINADA]])</f>
        <v>0</v>
      </c>
      <c r="AQ90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908.01</v>
      </c>
      <c r="AR901" s="26" t="str">
        <f>IFERROR(IF(DATA[[#This Row],[estado_fact]]="FACTURADO",VLOOKUP(DATA[[#This Row],[SERIE2]]&amp;"-"&amp;DATA[[#This Row],[NUMERO]],#REF!,34,0),"NO CORRESPONDE"),"NO CORRESPONDE")</f>
        <v>NO CORRESPONDE</v>
      </c>
      <c r="AS901" s="22" t="str">
        <f>IF(DATA[[#This Row],[fecha_fs]]&gt;0,TEXT(DATA[[#This Row],[fecha_fs]],"Mmmm"),0)</f>
        <v>Julio</v>
      </c>
      <c r="AT901" s="22" t="str">
        <f>DATA[[#This Row],[SERIE2]]&amp;"-"&amp;DATA[[#This Row],[NUMERO]]</f>
        <v>FF01-187</v>
      </c>
      <c r="AU901" s="28">
        <f>DATA[[#This Row],[TOTAL]]*DATA[[#This Row],[T.C.]]</f>
        <v>908.01</v>
      </c>
      <c r="AV901" s="6">
        <f>DATA[[#This Row],[FECHA DE VAL.]]</f>
        <v>45847</v>
      </c>
      <c r="AW901" s="6">
        <f>DATA[[#This Row],[FECHA DE EMISION]]</f>
        <v>45869</v>
      </c>
      <c r="AX901" s="6">
        <f>DATA[[#This Row],[F1]]</f>
        <v>0</v>
      </c>
      <c r="AY901" s="20">
        <f>IF(AV901-DATA[[#This Row],[fecha_fs]]&lt;0,0,AV901-DATA[[#This Row],[fecha_fs]])</f>
        <v>1</v>
      </c>
      <c r="AZ901" s="20">
        <f t="shared" si="97"/>
        <v>22</v>
      </c>
      <c r="BA901" s="20">
        <f t="shared" si="98"/>
        <v>0</v>
      </c>
      <c r="BB901" s="195">
        <f>IFERROR(SUM(DATA[[#This Row],[fs_val_ttf]:[fact_pago_ttf]]),0)</f>
        <v>23</v>
      </c>
      <c r="BC901" s="185">
        <v>45856</v>
      </c>
      <c r="BD901" s="185">
        <v>45869</v>
      </c>
      <c r="BE901" s="185">
        <v>45870</v>
      </c>
      <c r="BF901" s="185">
        <v>45882</v>
      </c>
      <c r="BG901" s="20">
        <f>IFERROR(IF(BC901-DATA[[#This Row],[fecha_fs]]&lt;0,0,BC901-DATA[[#This Row],[fecha_fs]]),0)</f>
        <v>10</v>
      </c>
      <c r="BH901" s="20">
        <f t="shared" si="92"/>
        <v>13</v>
      </c>
      <c r="BI901" s="20">
        <f t="shared" si="93"/>
        <v>1</v>
      </c>
      <c r="BJ901" s="20">
        <f t="shared" si="94"/>
        <v>12</v>
      </c>
      <c r="BK901" s="218">
        <f>IFERROR(SUM(DATA[[#This Row],[fs_fd_ttd]:[fend_fenf_ttd]]),0)</f>
        <v>36</v>
      </c>
      <c r="BL901" s="20" t="str">
        <f>IF(DATA[[#This Row],[fecha_fs]]&gt;0,TEXT(DATA[[#This Row],[fecha_fs]],"YYYY"),0)</f>
        <v>2025</v>
      </c>
      <c r="BM901" s="221" t="b">
        <v>1</v>
      </c>
      <c r="BN901" s="278">
        <f>COUNTIF(DATA[[#This Row],[tiempo_td]], "&lt;=15")</f>
        <v>0</v>
      </c>
      <c r="BO901" s="222"/>
    </row>
    <row r="902" spans="1:67" ht="30.6" customHeight="1" x14ac:dyDescent="0.25">
      <c r="A902" s="4">
        <v>20419158462</v>
      </c>
      <c r="B902" s="5" t="s">
        <v>2</v>
      </c>
      <c r="C902" s="52" t="s">
        <v>155</v>
      </c>
      <c r="D902" s="4" t="s">
        <v>120</v>
      </c>
      <c r="E902" s="5" t="s">
        <v>3</v>
      </c>
      <c r="F902" s="24">
        <v>45847</v>
      </c>
      <c r="G902" s="7" t="s">
        <v>113</v>
      </c>
      <c r="H902" s="25">
        <f t="shared" si="96"/>
        <v>1</v>
      </c>
      <c r="I902" s="67">
        <v>4732</v>
      </c>
      <c r="J902" s="8" t="s">
        <v>115</v>
      </c>
      <c r="K902" s="9" t="s">
        <v>156</v>
      </c>
      <c r="L902" s="10" t="s">
        <v>117</v>
      </c>
      <c r="M902" s="11">
        <v>490</v>
      </c>
      <c r="N902" s="12" t="s">
        <v>125</v>
      </c>
      <c r="O902" s="6">
        <v>45848</v>
      </c>
      <c r="P902" s="13">
        <v>3544</v>
      </c>
      <c r="Q902" s="14" t="s">
        <v>85</v>
      </c>
      <c r="R902" s="74"/>
      <c r="S902" s="15">
        <f>1429.7/2</f>
        <v>714.85</v>
      </c>
      <c r="T902" s="15">
        <f>DATA[[#This Row],[C. DF]]+DATA[[#This Row],[C.OPE.]]</f>
        <v>714.85</v>
      </c>
      <c r="U902" s="15">
        <f>DATA[[#This Row],[SUB TOTAL]]*0.18</f>
        <v>128.673</v>
      </c>
      <c r="V902" s="15">
        <f>IFERROR(ROUND(DATA[[#This Row],[SUB TOTAL]]+DATA[[#This Row],[IGV]],2),0)</f>
        <v>843.52</v>
      </c>
      <c r="W902" s="16" t="str">
        <f>IF(DATA[[#This Row],[VALORIZACIÓN ]]="-","NO CORRESPONDE",IF(OR(A902=20558226979,A902=10470707866,A902=20111157058,A902=20100226902),"NO CORRESPONDE",IF(J902="Emitida",IF(P902&gt;0,"EMITIDA","PENDIENTE"),"NO CORRESPONDE")))</f>
        <v>EMITIDA</v>
      </c>
      <c r="X902" s="29"/>
      <c r="Y902" s="17" t="s">
        <v>118</v>
      </c>
      <c r="Z902" s="30">
        <v>45916</v>
      </c>
      <c r="AA902" s="10" t="s">
        <v>150</v>
      </c>
      <c r="AB902" s="19">
        <v>255</v>
      </c>
      <c r="AC902" s="20">
        <v>2</v>
      </c>
      <c r="AD902" s="18">
        <f>DATA[[#This Row],[FECHA DE EMISION]]+DATA[[#This Row],[CONDICION DE PAGO]]</f>
        <v>45918</v>
      </c>
      <c r="AE902" s="23">
        <f>IF(DATA[[#This Row],[MONEDA]]="USD",VLOOKUP(DATA[[#This Row],[COMBINADA]],#REF!,11,0),1)</f>
        <v>1</v>
      </c>
      <c r="AF902" s="129" t="str">
        <f>IF(DATA[[#This Row],[SERIE2]]="-","NO CORRESPONDE",IF(W902="NO CORRESPONDE","NO CORRESPONDE",IF(Z902&gt;0,"FACTURADO","PENDIENTE")))</f>
        <v>FACTURADO</v>
      </c>
      <c r="AG902" s="133">
        <f>IFERROR(VLOOKUP(DATA[[#This Row],[COMBINADA]],#REF!,6,0),0)</f>
        <v>0</v>
      </c>
      <c r="AH902" s="125">
        <f>IFERROR(VLOOKUP(DATA[[#This Row],[COMBINADA]],#REF!,9,0),0)/COUNTIFS(DATA[COMBINADA],DATA[[#This Row],[COMBINADA]])</f>
        <v>0</v>
      </c>
      <c r="AI902" s="136">
        <f>IFERROR(VLOOKUP(DATA[[#This Row],[COMBINADA]],#REF!,6,0),0)</f>
        <v>0</v>
      </c>
      <c r="AJ902" s="132">
        <f>IFERROR(VLOOKUP(DATA[[#This Row],[COMBINADA]],#REF!,9,0),0)/COUNTIFS(DATA[COMBINADA],DATA[[#This Row],[COMBINADA]])</f>
        <v>0</v>
      </c>
      <c r="AK902" s="407">
        <f>IFERROR(VLOOKUP(DATA[[#This Row],[COMBINADA]],#REF!,6,0),0)</f>
        <v>0</v>
      </c>
      <c r="AL902" s="125">
        <f>IFERROR(VLOOKUP(DATA[[#This Row],[COMBINADA]],#REF!,9,0),0)/COUNTIFS(DATA[COMBINADA],DATA[[#This Row],[COMBINADA]])</f>
        <v>0</v>
      </c>
      <c r="AM902" s="27">
        <f>IFERROR(VLOOKUP(DATA[[#This Row],[COMBINADA]],#REF!,6,0),0)</f>
        <v>0</v>
      </c>
      <c r="AN902" s="125">
        <f>IFERROR(VLOOKUP(DATA[[#This Row],[COMBINADA]],#REF!,9,0),0)/COUNTIFS(DATA[COMBINADA],DATA[[#This Row],[COMBINADA]])</f>
        <v>0</v>
      </c>
      <c r="AO902" s="27">
        <f>IFERROR(VLOOKUP(DATA[[#This Row],[COMBINADA]],#REF!,6,0),0)</f>
        <v>0</v>
      </c>
      <c r="AP902" s="132">
        <f>IFERROR(VLOOKUP(DATA[[#This Row],[COMBINADA]],#REF!,9,0),0)/COUNTIFS(DATA[COMBINADA],DATA[[#This Row],[COMBINADA]])</f>
        <v>0</v>
      </c>
      <c r="AQ90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902" s="26" t="str">
        <f>IFERROR(IF(DATA[[#This Row],[estado_fact]]="FACTURADO",VLOOKUP(DATA[[#This Row],[SERIE2]]&amp;"-"&amp;DATA[[#This Row],[NUMERO]],#REF!,34,0),"NO CORRESPONDE"),"NO CORRESPONDE")</f>
        <v>NO CORRESPONDE</v>
      </c>
      <c r="AS902" s="22" t="str">
        <f>IF(DATA[[#This Row],[fecha_fs]]&gt;0,TEXT(DATA[[#This Row],[fecha_fs]],"Mmmm"),0)</f>
        <v>Julio</v>
      </c>
      <c r="AT902" s="22" t="str">
        <f>DATA[[#This Row],[SERIE2]]&amp;"-"&amp;DATA[[#This Row],[NUMERO]]</f>
        <v>FF01-255</v>
      </c>
      <c r="AU902" s="28">
        <f>DATA[[#This Row],[TOTAL]]*DATA[[#This Row],[T.C.]]</f>
        <v>843.52</v>
      </c>
      <c r="AV902" s="6">
        <f>DATA[[#This Row],[FECHA DE VAL.]]</f>
        <v>45848</v>
      </c>
      <c r="AW902" s="6">
        <f>DATA[[#This Row],[FECHA DE EMISION]]</f>
        <v>45916</v>
      </c>
      <c r="AX902" s="6">
        <f>DATA[[#This Row],[F1]]</f>
        <v>0</v>
      </c>
      <c r="AY902" s="20">
        <f>IF(AV902-DATA[[#This Row],[fecha_fs]]&lt;0,0,AV902-DATA[[#This Row],[fecha_fs]])</f>
        <v>1</v>
      </c>
      <c r="AZ902" s="20">
        <f t="shared" si="97"/>
        <v>68</v>
      </c>
      <c r="BA902" s="20">
        <f t="shared" si="98"/>
        <v>0</v>
      </c>
      <c r="BB902" s="195">
        <f>IFERROR(SUM(DATA[[#This Row],[fs_val_ttf]:[fact_pago_ttf]]),0)</f>
        <v>69</v>
      </c>
      <c r="BC902" s="185">
        <v>45847</v>
      </c>
      <c r="BD902" s="185">
        <v>45847</v>
      </c>
      <c r="BE902" s="185">
        <v>45854</v>
      </c>
      <c r="BF902" s="185">
        <v>45854</v>
      </c>
      <c r="BG902" s="20">
        <f>IFERROR(IF(BC902-DATA[[#This Row],[fecha_fs]]&lt;0,0,BC902-DATA[[#This Row],[fecha_fs]]),0)</f>
        <v>0</v>
      </c>
      <c r="BH902" s="20">
        <f t="shared" ref="BH902:BH958" si="99">IFERROR(IF(BD902-BC902&lt;0,0,BD902-BC902),0)</f>
        <v>0</v>
      </c>
      <c r="BI902" s="20">
        <f t="shared" ref="BI902:BI958" si="100">IFERROR(IF(BE902-BD902&lt;0,0,BE902-BD902),0)</f>
        <v>7</v>
      </c>
      <c r="BJ902" s="20">
        <f t="shared" ref="BJ902:BJ958" si="101">IFERROR(IF(BF902-BE902&lt;0,0,BF902-BE902),0)</f>
        <v>0</v>
      </c>
      <c r="BK902" s="218">
        <f>IFERROR(SUM(DATA[[#This Row],[fs_fd_ttd]:[fend_fenf_ttd]]),0)</f>
        <v>7</v>
      </c>
      <c r="BL902" s="20" t="str">
        <f>IF(DATA[[#This Row],[fecha_fs]]&gt;0,TEXT(DATA[[#This Row],[fecha_fs]],"YYYY"),0)</f>
        <v>2025</v>
      </c>
      <c r="BM902" s="221" t="b">
        <v>1</v>
      </c>
      <c r="BN902" s="278">
        <f>COUNTIF(DATA[[#This Row],[tiempo_td]], "&lt;=15")</f>
        <v>1</v>
      </c>
      <c r="BO902" s="222"/>
    </row>
    <row r="903" spans="1:67" ht="30.6" customHeight="1" x14ac:dyDescent="0.25">
      <c r="A903" s="4">
        <v>20419158462</v>
      </c>
      <c r="B903" s="5" t="s">
        <v>2</v>
      </c>
      <c r="C903" s="52" t="s">
        <v>6</v>
      </c>
      <c r="D903" s="4" t="s">
        <v>120</v>
      </c>
      <c r="E903" s="5" t="s">
        <v>3</v>
      </c>
      <c r="F903" s="24">
        <v>45847</v>
      </c>
      <c r="G903" s="7" t="s">
        <v>113</v>
      </c>
      <c r="H903" s="25">
        <f t="shared" si="96"/>
        <v>1</v>
      </c>
      <c r="I903" s="67">
        <v>4733</v>
      </c>
      <c r="J903" s="8" t="s">
        <v>115</v>
      </c>
      <c r="K903" s="9" t="s">
        <v>156</v>
      </c>
      <c r="L903" s="10" t="s">
        <v>117</v>
      </c>
      <c r="M903" s="11">
        <v>610</v>
      </c>
      <c r="N903" s="12" t="s">
        <v>125</v>
      </c>
      <c r="O903" s="6">
        <v>45848</v>
      </c>
      <c r="P903" s="13">
        <v>3544</v>
      </c>
      <c r="Q903" s="14" t="s">
        <v>85</v>
      </c>
      <c r="R903" s="74"/>
      <c r="S903" s="15">
        <f>1429.7/2</f>
        <v>714.85</v>
      </c>
      <c r="T903" s="15">
        <f>DATA[[#This Row],[C. DF]]+DATA[[#This Row],[C.OPE.]]</f>
        <v>714.85</v>
      </c>
      <c r="U903" s="15">
        <f>DATA[[#This Row],[SUB TOTAL]]*0.18</f>
        <v>128.673</v>
      </c>
      <c r="V903" s="15">
        <f>IFERROR(ROUND(DATA[[#This Row],[SUB TOTAL]]+DATA[[#This Row],[IGV]],2),0)</f>
        <v>843.52</v>
      </c>
      <c r="W903" s="16" t="str">
        <f>IF(DATA[[#This Row],[VALORIZACIÓN ]]="-","NO CORRESPONDE",IF(OR(A903=20558226979,A903=10470707866,A903=20111157058,A903=20100226902),"NO CORRESPONDE",IF(J903="Emitida",IF(P903&gt;0,"EMITIDA","PENDIENTE"),"NO CORRESPONDE")))</f>
        <v>EMITIDA</v>
      </c>
      <c r="X903" s="29"/>
      <c r="Y903" s="17" t="s">
        <v>118</v>
      </c>
      <c r="Z903" s="30">
        <v>45916</v>
      </c>
      <c r="AA903" s="10" t="s">
        <v>150</v>
      </c>
      <c r="AB903" s="19">
        <v>255</v>
      </c>
      <c r="AC903" s="20">
        <v>2</v>
      </c>
      <c r="AD903" s="18">
        <f>DATA[[#This Row],[FECHA DE EMISION]]+DATA[[#This Row],[CONDICION DE PAGO]]</f>
        <v>45918</v>
      </c>
      <c r="AE903" s="23">
        <f>IF(DATA[[#This Row],[MONEDA]]="USD",VLOOKUP(DATA[[#This Row],[COMBINADA]],#REF!,11,0),1)</f>
        <v>1</v>
      </c>
      <c r="AF903" s="129" t="str">
        <f>IF(DATA[[#This Row],[SERIE2]]="-","NO CORRESPONDE",IF(W903="NO CORRESPONDE","NO CORRESPONDE",IF(Z903&gt;0,"FACTURADO","PENDIENTE")))</f>
        <v>FACTURADO</v>
      </c>
      <c r="AG903" s="133">
        <f>IFERROR(VLOOKUP(DATA[[#This Row],[COMBINADA]],#REF!,6,0),0)</f>
        <v>0</v>
      </c>
      <c r="AH903" s="125">
        <f>IFERROR(VLOOKUP(DATA[[#This Row],[COMBINADA]],#REF!,9,0),0)/COUNTIFS(DATA[COMBINADA],DATA[[#This Row],[COMBINADA]])</f>
        <v>0</v>
      </c>
      <c r="AI903" s="136">
        <f>IFERROR(VLOOKUP(DATA[[#This Row],[COMBINADA]],#REF!,6,0),0)</f>
        <v>0</v>
      </c>
      <c r="AJ903" s="132">
        <f>IFERROR(VLOOKUP(DATA[[#This Row],[COMBINADA]],#REF!,9,0),0)/COUNTIFS(DATA[COMBINADA],DATA[[#This Row],[COMBINADA]])</f>
        <v>0</v>
      </c>
      <c r="AK903" s="407">
        <f>IFERROR(VLOOKUP(DATA[[#This Row],[COMBINADA]],#REF!,6,0),0)</f>
        <v>0</v>
      </c>
      <c r="AL903" s="125">
        <f>IFERROR(VLOOKUP(DATA[[#This Row],[COMBINADA]],#REF!,9,0),0)/COUNTIFS(DATA[COMBINADA],DATA[[#This Row],[COMBINADA]])</f>
        <v>0</v>
      </c>
      <c r="AM903" s="27">
        <f>IFERROR(VLOOKUP(DATA[[#This Row],[COMBINADA]],#REF!,6,0),0)</f>
        <v>0</v>
      </c>
      <c r="AN903" s="125">
        <f>IFERROR(VLOOKUP(DATA[[#This Row],[COMBINADA]],#REF!,9,0),0)/COUNTIFS(DATA[COMBINADA],DATA[[#This Row],[COMBINADA]])</f>
        <v>0</v>
      </c>
      <c r="AO903" s="27">
        <f>IFERROR(VLOOKUP(DATA[[#This Row],[COMBINADA]],#REF!,6,0),0)</f>
        <v>0</v>
      </c>
      <c r="AP903" s="132">
        <f>IFERROR(VLOOKUP(DATA[[#This Row],[COMBINADA]],#REF!,9,0),0)/COUNTIFS(DATA[COMBINADA],DATA[[#This Row],[COMBINADA]])</f>
        <v>0</v>
      </c>
      <c r="AQ90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903" s="26" t="str">
        <f>IFERROR(IF(DATA[[#This Row],[estado_fact]]="FACTURADO",VLOOKUP(DATA[[#This Row],[SERIE2]]&amp;"-"&amp;DATA[[#This Row],[NUMERO]],#REF!,34,0),"NO CORRESPONDE"),"NO CORRESPONDE")</f>
        <v>NO CORRESPONDE</v>
      </c>
      <c r="AS903" s="22" t="str">
        <f>IF(DATA[[#This Row],[fecha_fs]]&gt;0,TEXT(DATA[[#This Row],[fecha_fs]],"Mmmm"),0)</f>
        <v>Julio</v>
      </c>
      <c r="AT903" s="22" t="str">
        <f>DATA[[#This Row],[SERIE2]]&amp;"-"&amp;DATA[[#This Row],[NUMERO]]</f>
        <v>FF01-255</v>
      </c>
      <c r="AU903" s="28">
        <f>DATA[[#This Row],[TOTAL]]*DATA[[#This Row],[T.C.]]</f>
        <v>843.52</v>
      </c>
      <c r="AV903" s="6">
        <f>DATA[[#This Row],[FECHA DE VAL.]]</f>
        <v>45848</v>
      </c>
      <c r="AW903" s="6">
        <f>DATA[[#This Row],[FECHA DE EMISION]]</f>
        <v>45916</v>
      </c>
      <c r="AX903" s="6">
        <f>DATA[[#This Row],[F1]]</f>
        <v>0</v>
      </c>
      <c r="AY903" s="20">
        <f>IF(AV903-DATA[[#This Row],[fecha_fs]]&lt;0,0,AV903-DATA[[#This Row],[fecha_fs]])</f>
        <v>1</v>
      </c>
      <c r="AZ903" s="20">
        <f t="shared" si="97"/>
        <v>68</v>
      </c>
      <c r="BA903" s="20">
        <f t="shared" si="98"/>
        <v>0</v>
      </c>
      <c r="BB903" s="195">
        <f>IFERROR(SUM(DATA[[#This Row],[fs_val_ttf]:[fact_pago_ttf]]),0)</f>
        <v>69</v>
      </c>
      <c r="BC903" s="185">
        <v>45847</v>
      </c>
      <c r="BD903" s="185">
        <v>45847</v>
      </c>
      <c r="BE903" s="185">
        <v>45854</v>
      </c>
      <c r="BF903" s="185">
        <v>45854</v>
      </c>
      <c r="BG903" s="20">
        <f>IFERROR(IF(BC903-DATA[[#This Row],[fecha_fs]]&lt;0,0,BC903-DATA[[#This Row],[fecha_fs]]),0)</f>
        <v>0</v>
      </c>
      <c r="BH903" s="20">
        <f t="shared" si="99"/>
        <v>0</v>
      </c>
      <c r="BI903" s="20">
        <f t="shared" si="100"/>
        <v>7</v>
      </c>
      <c r="BJ903" s="20">
        <f t="shared" si="101"/>
        <v>0</v>
      </c>
      <c r="BK903" s="218">
        <f>IFERROR(SUM(DATA[[#This Row],[fs_fd_ttd]:[fend_fenf_ttd]]),0)</f>
        <v>7</v>
      </c>
      <c r="BL903" s="20" t="str">
        <f>IF(DATA[[#This Row],[fecha_fs]]&gt;0,TEXT(DATA[[#This Row],[fecha_fs]],"YYYY"),0)</f>
        <v>2025</v>
      </c>
      <c r="BM903" s="221" t="b">
        <v>1</v>
      </c>
      <c r="BN903" s="278">
        <f>COUNTIF(DATA[[#This Row],[tiempo_td]], "&lt;=15")</f>
        <v>1</v>
      </c>
      <c r="BO903" s="222"/>
    </row>
    <row r="904" spans="1:67" ht="30.6" customHeight="1" x14ac:dyDescent="0.25">
      <c r="A904" s="4">
        <v>20100192064</v>
      </c>
      <c r="B904" s="5" t="s">
        <v>60</v>
      </c>
      <c r="C904" s="52" t="s">
        <v>65</v>
      </c>
      <c r="D904" s="4" t="s">
        <v>112</v>
      </c>
      <c r="E904" s="5" t="s">
        <v>1</v>
      </c>
      <c r="F904" s="24">
        <v>45847</v>
      </c>
      <c r="G904" s="7" t="s">
        <v>142</v>
      </c>
      <c r="H904" s="25">
        <f>IF(G904="","",IF(G904="LIM",2,1))</f>
        <v>2</v>
      </c>
      <c r="I904" s="67">
        <v>1109</v>
      </c>
      <c r="J904" s="8" t="s">
        <v>115</v>
      </c>
      <c r="K904" s="9" t="s">
        <v>116</v>
      </c>
      <c r="L904" s="10" t="s">
        <v>117</v>
      </c>
      <c r="M904" s="11">
        <v>5740</v>
      </c>
      <c r="N904" s="12" t="s">
        <v>180</v>
      </c>
      <c r="O904" s="6">
        <v>45863</v>
      </c>
      <c r="P904" s="71">
        <v>3564</v>
      </c>
      <c r="Q904" s="14" t="s">
        <v>123</v>
      </c>
      <c r="R904" s="15">
        <f>(DATA[[#This Row],[cantidad_fs]]/1000)*(147+81.01)</f>
        <v>1308.7773999999999</v>
      </c>
      <c r="S904" s="15">
        <v>103.6</v>
      </c>
      <c r="T904" s="15">
        <f>DATA[[#This Row],[C. DF]]+DATA[[#This Row],[C.OPE.]]</f>
        <v>1412.3773999999999</v>
      </c>
      <c r="U904" s="15">
        <f>DATA[[#This Row],[SUB TOTAL]]*0.18</f>
        <v>254.22793199999995</v>
      </c>
      <c r="V904" s="15">
        <f>IFERROR(ROUND(DATA[[#This Row],[SUB TOTAL]]+DATA[[#This Row],[IGV]],2),0)</f>
        <v>1666.61</v>
      </c>
      <c r="W904" s="16" t="str">
        <f>IF(DATA[[#This Row],[VALORIZACIÓN ]]="-","NO CORRESPONDE",IF(OR(A904=20558226979,A904=10470707866,A904=20111157058,A904=20100226902),"NO CORRESPONDE",IF(J904="Emitida",IF(P904&gt;0,"EMITIDA","PENDIENTE"),"NO CORRESPONDE")))</f>
        <v>EMITIDA</v>
      </c>
      <c r="X904" s="29"/>
      <c r="Y904" s="17" t="s">
        <v>118</v>
      </c>
      <c r="Z904" s="30">
        <v>45869</v>
      </c>
      <c r="AA904" s="10" t="s">
        <v>150</v>
      </c>
      <c r="AB904" s="19">
        <v>190</v>
      </c>
      <c r="AC904" s="20">
        <v>30</v>
      </c>
      <c r="AD904" s="18">
        <f>DATA[[#This Row],[FECHA DE EMISION]]+DATA[[#This Row],[CONDICION DE PAGO]]</f>
        <v>45899</v>
      </c>
      <c r="AE904" s="23" t="e">
        <f>IF(DATA[[#This Row],[MONEDA]]="USD",VLOOKUP(DATA[[#This Row],[COMBINADA]],#REF!,11,0),1)</f>
        <v>#REF!</v>
      </c>
      <c r="AF904" s="39" t="str">
        <f>IF(DATA[[#This Row],[SERIE2]]="-","NO CORRESPONDE",IF(W904="NO CORRESPONDE","NO CORRESPONDE",IF(Z904&gt;0,"FACTURADO","PENDIENTE")))</f>
        <v>FACTURADO</v>
      </c>
      <c r="AG904" s="133">
        <f>IFERROR(VLOOKUP(DATA[[#This Row],[COMBINADA]],#REF!,6,0),0)</f>
        <v>0</v>
      </c>
      <c r="AH904" s="125">
        <f>IFERROR(VLOOKUP(DATA[[#This Row],[COMBINADA]],#REF!,9,0),0)/COUNTIFS(DATA[COMBINADA],DATA[[#This Row],[COMBINADA]])</f>
        <v>0</v>
      </c>
      <c r="AI904" s="136">
        <f>IFERROR(VLOOKUP(DATA[[#This Row],[COMBINADA]],#REF!,6,0),0)</f>
        <v>0</v>
      </c>
      <c r="AJ904" s="132">
        <f>IFERROR(VLOOKUP(DATA[[#This Row],[COMBINADA]],#REF!,9,0),0)/COUNTIFS(DATA[COMBINADA],DATA[[#This Row],[COMBINADA]])</f>
        <v>0</v>
      </c>
      <c r="AK904" s="408">
        <f>IFERROR(VLOOKUP(DATA[[#This Row],[COMBINADA]],#REF!,6,0),0)</f>
        <v>0</v>
      </c>
      <c r="AL904" s="125">
        <f>IFERROR(VLOOKUP(DATA[[#This Row],[COMBINADA]],#REF!,9,0),0)/COUNTIFS(DATA[COMBINADA],DATA[[#This Row],[COMBINADA]])</f>
        <v>0</v>
      </c>
      <c r="AM904" s="27">
        <f>IFERROR(VLOOKUP(DATA[[#This Row],[COMBINADA]],#REF!,6,0),0)</f>
        <v>0</v>
      </c>
      <c r="AN904" s="125">
        <f>IFERROR(VLOOKUP(DATA[[#This Row],[COMBINADA]],#REF!,9,0),0)/COUNTIFS(DATA[COMBINADA],DATA[[#This Row],[COMBINADA]])</f>
        <v>0</v>
      </c>
      <c r="AO904" s="27">
        <f>IFERROR(VLOOKUP(DATA[[#This Row],[COMBINADA]],#REF!,6,0),0)</f>
        <v>0</v>
      </c>
      <c r="AP904" s="132">
        <f>IFERROR(VLOOKUP(DATA[[#This Row],[COMBINADA]],#REF!,9,0),0)/COUNTIFS(DATA[COMBINADA],DATA[[#This Row],[COMBINADA]])</f>
        <v>0</v>
      </c>
      <c r="AQ90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681.36900000000003</v>
      </c>
      <c r="AR904" s="26" t="str">
        <f>IFERROR(IF(DATA[[#This Row],[estado_fact]]="FACTURADO",VLOOKUP(DATA[[#This Row],[SERIE2]]&amp;"-"&amp;DATA[[#This Row],[NUMERO]],#REF!,34,0),"NO CORRESPONDE"),"NO CORRESPONDE")</f>
        <v>NO CORRESPONDE</v>
      </c>
      <c r="AS904" s="22" t="str">
        <f>IF(DATA[[#This Row],[fecha_fs]]&gt;0,TEXT(DATA[[#This Row],[fecha_fs]],"Mmmm"),0)</f>
        <v>Julio</v>
      </c>
      <c r="AT904" s="22" t="str">
        <f>DATA[[#This Row],[SERIE2]]&amp;"-"&amp;DATA[[#This Row],[NUMERO]]</f>
        <v>FF01-190</v>
      </c>
      <c r="AU904" s="28" t="e">
        <f>DATA[[#This Row],[TOTAL]]*DATA[[#This Row],[T.C.]]</f>
        <v>#REF!</v>
      </c>
      <c r="AV904" s="6">
        <f>DATA[[#This Row],[FECHA DE VAL.]]</f>
        <v>45863</v>
      </c>
      <c r="AW904" s="6">
        <f>DATA[[#This Row],[FECHA DE EMISION]]</f>
        <v>45869</v>
      </c>
      <c r="AX904" s="6">
        <f>DATA[[#This Row],[F1]]</f>
        <v>0</v>
      </c>
      <c r="AY904" s="20">
        <f>IF(AV904-DATA[[#This Row],[fecha_fs]]&lt;0,0,AV904-DATA[[#This Row],[fecha_fs]])</f>
        <v>16</v>
      </c>
      <c r="AZ904" s="20">
        <f t="shared" si="97"/>
        <v>6</v>
      </c>
      <c r="BA904" s="20">
        <f t="shared" si="98"/>
        <v>0</v>
      </c>
      <c r="BB904" s="195">
        <f>IFERROR(SUM(DATA[[#This Row],[fs_val_ttf]:[fact_pago_ttf]]),0)</f>
        <v>22</v>
      </c>
      <c r="BC904" s="185">
        <v>45847</v>
      </c>
      <c r="BD904" s="185">
        <v>45869</v>
      </c>
      <c r="BE904" s="185">
        <v>45870</v>
      </c>
      <c r="BF904" s="185">
        <v>45909</v>
      </c>
      <c r="BG904" s="20">
        <f>IFERROR(IF(BC904-DATA[[#This Row],[fecha_fs]]&lt;0,0,BC904-DATA[[#This Row],[fecha_fs]]),0)</f>
        <v>0</v>
      </c>
      <c r="BH904" s="20">
        <f t="shared" si="99"/>
        <v>22</v>
      </c>
      <c r="BI904" s="20">
        <f t="shared" si="100"/>
        <v>1</v>
      </c>
      <c r="BJ904" s="20">
        <f t="shared" si="101"/>
        <v>39</v>
      </c>
      <c r="BK904" s="218">
        <f>IFERROR(SUM(DATA[[#This Row],[fs_fd_ttd]:[fend_fenf_ttd]]),0)</f>
        <v>62</v>
      </c>
      <c r="BL904" s="20" t="str">
        <f>IF(DATA[[#This Row],[fecha_fs]]&gt;0,TEXT(DATA[[#This Row],[fecha_fs]],"YYYY"),0)</f>
        <v>2025</v>
      </c>
      <c r="BM904" s="221" t="b">
        <v>1</v>
      </c>
      <c r="BN904" s="278">
        <f>COUNTIF(DATA[[#This Row],[tiempo_td]], "&lt;=15")</f>
        <v>0</v>
      </c>
      <c r="BO904" s="222"/>
    </row>
    <row r="905" spans="1:67" ht="30.6" customHeight="1" x14ac:dyDescent="0.25">
      <c r="A905" s="4">
        <v>20100192064</v>
      </c>
      <c r="B905" s="5" t="s">
        <v>60</v>
      </c>
      <c r="C905" s="52" t="s">
        <v>65</v>
      </c>
      <c r="D905" s="4" t="s">
        <v>120</v>
      </c>
      <c r="E905" s="5" t="s">
        <v>3</v>
      </c>
      <c r="F905" s="24">
        <v>45848</v>
      </c>
      <c r="G905" s="7" t="s">
        <v>142</v>
      </c>
      <c r="H905" s="25">
        <f>IF(G905="","",IF(G905="LIM",2,1))</f>
        <v>2</v>
      </c>
      <c r="I905" s="67">
        <v>1110</v>
      </c>
      <c r="J905" s="8" t="s">
        <v>115</v>
      </c>
      <c r="K905" s="9" t="s">
        <v>121</v>
      </c>
      <c r="L905" s="10" t="s">
        <v>117</v>
      </c>
      <c r="M905" s="11">
        <v>950</v>
      </c>
      <c r="N905" s="12" t="s">
        <v>180</v>
      </c>
      <c r="O905" s="6">
        <v>45863</v>
      </c>
      <c r="P905" s="71">
        <v>3563</v>
      </c>
      <c r="Q905" s="14" t="s">
        <v>123</v>
      </c>
      <c r="R905" s="56">
        <f>(DATA[[#This Row],[cantidad_fs]]/1000)*(37+81.01)</f>
        <v>112.1095</v>
      </c>
      <c r="S905" s="56">
        <v>103.6</v>
      </c>
      <c r="T905" s="15">
        <f>DATA[[#This Row],[C. DF]]+DATA[[#This Row],[C.OPE.]]</f>
        <v>215.70949999999999</v>
      </c>
      <c r="U905" s="15">
        <f>DATA[[#This Row],[SUB TOTAL]]*0.18</f>
        <v>38.827709999999996</v>
      </c>
      <c r="V905" s="15">
        <f>IFERROR(ROUND(DATA[[#This Row],[SUB TOTAL]]+DATA[[#This Row],[IGV]],2),0)</f>
        <v>254.54</v>
      </c>
      <c r="W905" s="16" t="str">
        <f>IF(DATA[[#This Row],[VALORIZACIÓN ]]="-","NO CORRESPONDE",IF(OR(A905=20558226979,A905=10470707866,A905=20111157058,A905=20100226902),"NO CORRESPONDE",IF(J905="Emitida",IF(P905&gt;0,"EMITIDA","PENDIENTE"),"NO CORRESPONDE")))</f>
        <v>EMITIDA</v>
      </c>
      <c r="X905" s="29"/>
      <c r="Y905" s="17" t="s">
        <v>118</v>
      </c>
      <c r="Z905" s="30">
        <v>45869</v>
      </c>
      <c r="AA905" s="10" t="s">
        <v>150</v>
      </c>
      <c r="AB905" s="19">
        <v>190</v>
      </c>
      <c r="AC905" s="20">
        <v>30</v>
      </c>
      <c r="AD905" s="18">
        <f>DATA[[#This Row],[FECHA DE EMISION]]+DATA[[#This Row],[CONDICION DE PAGO]]</f>
        <v>45899</v>
      </c>
      <c r="AE905" s="23" t="e">
        <f>IF(DATA[[#This Row],[MONEDA]]="USD",VLOOKUP(DATA[[#This Row],[COMBINADA]],#REF!,11,0),1)</f>
        <v>#REF!</v>
      </c>
      <c r="AF905" s="39" t="str">
        <f>IF(DATA[[#This Row],[SERIE2]]="-","NO CORRESPONDE",IF(W905="NO CORRESPONDE","NO CORRESPONDE",IF(Z905&gt;0,"FACTURADO","PENDIENTE")))</f>
        <v>FACTURADO</v>
      </c>
      <c r="AG905" s="133">
        <f>IFERROR(VLOOKUP(DATA[[#This Row],[COMBINADA]],#REF!,6,0),0)</f>
        <v>0</v>
      </c>
      <c r="AH905" s="125">
        <f>IFERROR(VLOOKUP(DATA[[#This Row],[COMBINADA]],#REF!,9,0),0)/COUNTIFS(DATA[COMBINADA],DATA[[#This Row],[COMBINADA]])</f>
        <v>0</v>
      </c>
      <c r="AI905" s="136">
        <f>IFERROR(VLOOKUP(DATA[[#This Row],[COMBINADA]],#REF!,6,0),0)</f>
        <v>0</v>
      </c>
      <c r="AJ905" s="132">
        <f>IFERROR(VLOOKUP(DATA[[#This Row],[COMBINADA]],#REF!,9,0),0)/COUNTIFS(DATA[COMBINADA],DATA[[#This Row],[COMBINADA]])</f>
        <v>0</v>
      </c>
      <c r="AK905" s="408">
        <f>IFERROR(VLOOKUP(DATA[[#This Row],[COMBINADA]],#REF!,6,0),0)</f>
        <v>0</v>
      </c>
      <c r="AL905" s="125">
        <f>IFERROR(VLOOKUP(DATA[[#This Row],[COMBINADA]],#REF!,9,0),0)/COUNTIFS(DATA[COMBINADA],DATA[[#This Row],[COMBINADA]])</f>
        <v>0</v>
      </c>
      <c r="AM905" s="27">
        <f>IFERROR(VLOOKUP(DATA[[#This Row],[COMBINADA]],#REF!,6,0),0)</f>
        <v>0</v>
      </c>
      <c r="AN905" s="125">
        <f>IFERROR(VLOOKUP(DATA[[#This Row],[COMBINADA]],#REF!,9,0),0)/COUNTIFS(DATA[COMBINADA],DATA[[#This Row],[COMBINADA]])</f>
        <v>0</v>
      </c>
      <c r="AO905" s="27">
        <f>IFERROR(VLOOKUP(DATA[[#This Row],[COMBINADA]],#REF!,6,0),0)</f>
        <v>0</v>
      </c>
      <c r="AP905" s="132">
        <f>IFERROR(VLOOKUP(DATA[[#This Row],[COMBINADA]],#REF!,9,0),0)/COUNTIFS(DATA[COMBINADA],DATA[[#This Row],[COMBINADA]])</f>
        <v>0</v>
      </c>
      <c r="AQ90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681.36900000000003</v>
      </c>
      <c r="AR905" s="26" t="str">
        <f>IFERROR(IF(DATA[[#This Row],[estado_fact]]="FACTURADO",VLOOKUP(DATA[[#This Row],[SERIE2]]&amp;"-"&amp;DATA[[#This Row],[NUMERO]],#REF!,34,0),"NO CORRESPONDE"),"NO CORRESPONDE")</f>
        <v>NO CORRESPONDE</v>
      </c>
      <c r="AS905" s="22" t="str">
        <f>IF(DATA[[#This Row],[fecha_fs]]&gt;0,TEXT(DATA[[#This Row],[fecha_fs]],"Mmmm"),0)</f>
        <v>Julio</v>
      </c>
      <c r="AT905" s="22" t="str">
        <f>DATA[[#This Row],[SERIE2]]&amp;"-"&amp;DATA[[#This Row],[NUMERO]]</f>
        <v>FF01-190</v>
      </c>
      <c r="AU905" s="28" t="e">
        <f>DATA[[#This Row],[TOTAL]]*DATA[[#This Row],[T.C.]]</f>
        <v>#REF!</v>
      </c>
      <c r="AV905" s="6">
        <f>DATA[[#This Row],[FECHA DE VAL.]]</f>
        <v>45863</v>
      </c>
      <c r="AW905" s="6">
        <f>DATA[[#This Row],[FECHA DE EMISION]]</f>
        <v>45869</v>
      </c>
      <c r="AX905" s="6">
        <f>DATA[[#This Row],[F1]]</f>
        <v>0</v>
      </c>
      <c r="AY905" s="20">
        <f>IF(AV905-DATA[[#This Row],[fecha_fs]]&lt;0,0,AV905-DATA[[#This Row],[fecha_fs]])</f>
        <v>15</v>
      </c>
      <c r="AZ905" s="20">
        <f t="shared" si="97"/>
        <v>6</v>
      </c>
      <c r="BA905" s="20">
        <f t="shared" si="98"/>
        <v>0</v>
      </c>
      <c r="BB905" s="195">
        <f>IFERROR(SUM(DATA[[#This Row],[fs_val_ttf]:[fact_pago_ttf]]),0)</f>
        <v>21</v>
      </c>
      <c r="BC905" s="185">
        <v>45848</v>
      </c>
      <c r="BD905" s="185">
        <v>45876</v>
      </c>
      <c r="BE905" s="185">
        <v>45877</v>
      </c>
      <c r="BF905" s="185">
        <v>45909</v>
      </c>
      <c r="BG905" s="20">
        <f>IFERROR(IF(BC905-DATA[[#This Row],[fecha_fs]]&lt;0,0,BC905-DATA[[#This Row],[fecha_fs]]),0)</f>
        <v>0</v>
      </c>
      <c r="BH905" s="20">
        <f t="shared" si="99"/>
        <v>28</v>
      </c>
      <c r="BI905" s="20">
        <f t="shared" si="100"/>
        <v>1</v>
      </c>
      <c r="BJ905" s="20">
        <f t="shared" si="101"/>
        <v>32</v>
      </c>
      <c r="BK905" s="218">
        <f>IFERROR(SUM(DATA[[#This Row],[fs_fd_ttd]:[fend_fenf_ttd]]),0)</f>
        <v>61</v>
      </c>
      <c r="BL905" s="20" t="str">
        <f>IF(DATA[[#This Row],[fecha_fs]]&gt;0,TEXT(DATA[[#This Row],[fecha_fs]],"YYYY"),0)</f>
        <v>2025</v>
      </c>
      <c r="BM905" s="221" t="b">
        <v>1</v>
      </c>
      <c r="BN905" s="278">
        <f>COUNTIF(DATA[[#This Row],[tiempo_td]], "&lt;=15")</f>
        <v>0</v>
      </c>
      <c r="BO905" s="222"/>
    </row>
    <row r="906" spans="1:67" ht="30.6" customHeight="1" x14ac:dyDescent="0.25">
      <c r="A906" s="4">
        <v>20505675836</v>
      </c>
      <c r="B906" s="5" t="s">
        <v>42</v>
      </c>
      <c r="C906" s="52" t="s">
        <v>20</v>
      </c>
      <c r="D906" s="4" t="s">
        <v>112</v>
      </c>
      <c r="E906" s="5" t="s">
        <v>1</v>
      </c>
      <c r="F906" s="24">
        <v>45848</v>
      </c>
      <c r="G906" s="7" t="s">
        <v>113</v>
      </c>
      <c r="H906" s="25">
        <f t="shared" si="96"/>
        <v>1</v>
      </c>
      <c r="I906" s="67">
        <v>4734</v>
      </c>
      <c r="J906" s="8" t="s">
        <v>115</v>
      </c>
      <c r="K906" s="9" t="s">
        <v>116</v>
      </c>
      <c r="L906" s="10" t="s">
        <v>117</v>
      </c>
      <c r="M906" s="11">
        <v>3280</v>
      </c>
      <c r="N906" s="12" t="s">
        <v>129</v>
      </c>
      <c r="O906" s="6">
        <v>45863</v>
      </c>
      <c r="P906" s="71">
        <v>3569</v>
      </c>
      <c r="Q906" s="14" t="s">
        <v>85</v>
      </c>
      <c r="R906" s="15">
        <f>(DATA[[#This Row],[cantidad_fs]]-600)*0.97</f>
        <v>2599.6</v>
      </c>
      <c r="S906" s="56">
        <v>1988.35</v>
      </c>
      <c r="T906" s="15">
        <f>DATA[[#This Row],[C. DF]]+DATA[[#This Row],[C.OPE.]]</f>
        <v>4587.95</v>
      </c>
      <c r="U906" s="15">
        <f>DATA[[#This Row],[SUB TOTAL]]*0.18</f>
        <v>825.8309999999999</v>
      </c>
      <c r="V906" s="15">
        <f>IFERROR(ROUND(DATA[[#This Row],[SUB TOTAL]]+DATA[[#This Row],[IGV]],2),0)</f>
        <v>5413.78</v>
      </c>
      <c r="W906" s="16" t="str">
        <f>IF(DATA[[#This Row],[VALORIZACIÓN ]]="-","NO CORRESPONDE",IF(OR(A906=20558226979,A906=10470707866,A906=20111157058,A906=20100226902),"NO CORRESPONDE",IF(J906="Emitida",IF(P906&gt;0,"EMITIDA","PENDIENTE"),"NO CORRESPONDE")))</f>
        <v>EMITIDA</v>
      </c>
      <c r="X906" s="29"/>
      <c r="Y906" s="17" t="s">
        <v>118</v>
      </c>
      <c r="Z906" s="30">
        <v>45876</v>
      </c>
      <c r="AA906" s="10" t="s">
        <v>150</v>
      </c>
      <c r="AB906" s="19">
        <v>198</v>
      </c>
      <c r="AC906" s="20">
        <v>30</v>
      </c>
      <c r="AD906" s="18">
        <f>DATA[[#This Row],[FECHA DE EMISION]]+DATA[[#This Row],[CONDICION DE PAGO]]</f>
        <v>45906</v>
      </c>
      <c r="AE906" s="23">
        <f>IF(DATA[[#This Row],[MONEDA]]="USD",VLOOKUP(DATA[[#This Row],[COMBINADA]],#REF!,11,0),1)</f>
        <v>1</v>
      </c>
      <c r="AF906" s="129" t="str">
        <f>IF(DATA[[#This Row],[SERIE2]]="-","NO CORRESPONDE",IF(W906="NO CORRESPONDE","NO CORRESPONDE",IF(Z906&gt;0,"FACTURADO","PENDIENTE")))</f>
        <v>FACTURADO</v>
      </c>
      <c r="AG906" s="133">
        <f>IFERROR(VLOOKUP(DATA[[#This Row],[COMBINADA]],#REF!,6,0),0)</f>
        <v>0</v>
      </c>
      <c r="AH906" s="125">
        <f>IFERROR(VLOOKUP(DATA[[#This Row],[COMBINADA]],#REF!,9,0),0)/COUNTIFS(DATA[COMBINADA],DATA[[#This Row],[COMBINADA]])</f>
        <v>0</v>
      </c>
      <c r="AI906" s="136">
        <f>IFERROR(VLOOKUP(DATA[[#This Row],[COMBINADA]],#REF!,6,0),0)</f>
        <v>0</v>
      </c>
      <c r="AJ906" s="132">
        <f>IFERROR(VLOOKUP(DATA[[#This Row],[COMBINADA]],#REF!,9,0),0)/COUNTIFS(DATA[COMBINADA],DATA[[#This Row],[COMBINADA]])</f>
        <v>0</v>
      </c>
      <c r="AK906" s="407">
        <f>IFERROR(VLOOKUP(DATA[[#This Row],[COMBINADA]],#REF!,6,0),0)</f>
        <v>0</v>
      </c>
      <c r="AL906" s="125">
        <f>IFERROR(VLOOKUP(DATA[[#This Row],[COMBINADA]],#REF!,9,0),0)/COUNTIFS(DATA[COMBINADA],DATA[[#This Row],[COMBINADA]])</f>
        <v>0</v>
      </c>
      <c r="AM906" s="27">
        <f>IFERROR(VLOOKUP(DATA[[#This Row],[COMBINADA]],#REF!,6,0),0)</f>
        <v>0</v>
      </c>
      <c r="AN906" s="125">
        <f>IFERROR(VLOOKUP(DATA[[#This Row],[COMBINADA]],#REF!,9,0),0)/COUNTIFS(DATA[COMBINADA],DATA[[#This Row],[COMBINADA]])</f>
        <v>0</v>
      </c>
      <c r="AO906" s="27">
        <f>IFERROR(VLOOKUP(DATA[[#This Row],[COMBINADA]],#REF!,6,0),0)</f>
        <v>0</v>
      </c>
      <c r="AP906" s="132">
        <f>IFERROR(VLOOKUP(DATA[[#This Row],[COMBINADA]],#REF!,9,0),0)/COUNTIFS(DATA[COMBINADA],DATA[[#This Row],[COMBINADA]])</f>
        <v>0</v>
      </c>
      <c r="AQ90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3628.49</v>
      </c>
      <c r="AR906" s="26" t="str">
        <f>IFERROR(IF(DATA[[#This Row],[estado_fact]]="FACTURADO",VLOOKUP(DATA[[#This Row],[SERIE2]]&amp;"-"&amp;DATA[[#This Row],[NUMERO]],#REF!,34,0),"NO CORRESPONDE"),"NO CORRESPONDE")</f>
        <v>NO CORRESPONDE</v>
      </c>
      <c r="AS906" s="22" t="str">
        <f>IF(DATA[[#This Row],[fecha_fs]]&gt;0,TEXT(DATA[[#This Row],[fecha_fs]],"Mmmm"),0)</f>
        <v>Julio</v>
      </c>
      <c r="AT906" s="22" t="str">
        <f>DATA[[#This Row],[SERIE2]]&amp;"-"&amp;DATA[[#This Row],[NUMERO]]</f>
        <v>FF01-198</v>
      </c>
      <c r="AU906" s="28">
        <f>DATA[[#This Row],[TOTAL]]*DATA[[#This Row],[T.C.]]</f>
        <v>5413.78</v>
      </c>
      <c r="AV906" s="6">
        <f>DATA[[#This Row],[FECHA DE VAL.]]</f>
        <v>45863</v>
      </c>
      <c r="AW906" s="6">
        <f>DATA[[#This Row],[FECHA DE EMISION]]</f>
        <v>45876</v>
      </c>
      <c r="AX906" s="6">
        <f>DATA[[#This Row],[F1]]</f>
        <v>0</v>
      </c>
      <c r="AY906" s="20">
        <f>IF(AV906-DATA[[#This Row],[fecha_fs]]&lt;0,0,AV906-DATA[[#This Row],[fecha_fs]])</f>
        <v>15</v>
      </c>
      <c r="AZ906" s="20">
        <f t="shared" si="97"/>
        <v>13</v>
      </c>
      <c r="BA906" s="20">
        <f t="shared" si="98"/>
        <v>0</v>
      </c>
      <c r="BB906" s="195">
        <f>IFERROR(SUM(DATA[[#This Row],[fs_val_ttf]:[fact_pago_ttf]]),0)</f>
        <v>28</v>
      </c>
      <c r="BC906" s="185">
        <v>45856</v>
      </c>
      <c r="BD906" s="185">
        <v>45869</v>
      </c>
      <c r="BE906" s="185">
        <v>45870</v>
      </c>
      <c r="BF906" s="185">
        <v>45888</v>
      </c>
      <c r="BG906" s="20">
        <f>IFERROR(IF(BC906-DATA[[#This Row],[fecha_fs]]&lt;0,0,BC906-DATA[[#This Row],[fecha_fs]]),0)</f>
        <v>8</v>
      </c>
      <c r="BH906" s="20">
        <f t="shared" si="99"/>
        <v>13</v>
      </c>
      <c r="BI906" s="20">
        <f t="shared" si="100"/>
        <v>1</v>
      </c>
      <c r="BJ906" s="20">
        <f t="shared" si="101"/>
        <v>18</v>
      </c>
      <c r="BK906" s="218">
        <f>IFERROR(SUM(DATA[[#This Row],[fs_fd_ttd]:[fend_fenf_ttd]]),0)</f>
        <v>40</v>
      </c>
      <c r="BL906" s="20" t="str">
        <f>IF(DATA[[#This Row],[fecha_fs]]&gt;0,TEXT(DATA[[#This Row],[fecha_fs]],"YYYY"),0)</f>
        <v>2025</v>
      </c>
      <c r="BM906" s="221" t="b">
        <v>1</v>
      </c>
      <c r="BN906" s="278">
        <f>COUNTIF(DATA[[#This Row],[tiempo_td]], "&lt;=15")</f>
        <v>0</v>
      </c>
      <c r="BO906" s="222"/>
    </row>
    <row r="907" spans="1:67" ht="30.6" customHeight="1" x14ac:dyDescent="0.25">
      <c r="A907" s="4">
        <v>20159473148</v>
      </c>
      <c r="B907" s="5" t="s">
        <v>280</v>
      </c>
      <c r="C907" s="52" t="s">
        <v>20</v>
      </c>
      <c r="D907" s="4" t="s">
        <v>120</v>
      </c>
      <c r="E907" s="5" t="s">
        <v>3</v>
      </c>
      <c r="F907" s="24">
        <v>45848</v>
      </c>
      <c r="G907" s="7" t="s">
        <v>113</v>
      </c>
      <c r="H907" s="25">
        <f t="shared" si="96"/>
        <v>1</v>
      </c>
      <c r="I907" s="67">
        <v>4735</v>
      </c>
      <c r="J907" s="8" t="s">
        <v>115</v>
      </c>
      <c r="K907" s="9" t="s">
        <v>121</v>
      </c>
      <c r="L907" s="10" t="s">
        <v>117</v>
      </c>
      <c r="M907" s="183">
        <v>620</v>
      </c>
      <c r="N907" s="12" t="s">
        <v>125</v>
      </c>
      <c r="O907" s="6">
        <v>45869</v>
      </c>
      <c r="P907" s="83">
        <v>3579</v>
      </c>
      <c r="Q907" s="14" t="s">
        <v>85</v>
      </c>
      <c r="R907" s="15">
        <f>DATA[[#This Row],[cantidad_fs]]*0.08</f>
        <v>49.6</v>
      </c>
      <c r="S907" s="15">
        <v>908.43</v>
      </c>
      <c r="T907" s="15">
        <f>DATA[[#This Row],[C. DF]]+DATA[[#This Row],[C.OPE.]]</f>
        <v>958.03</v>
      </c>
      <c r="U907" s="15">
        <f>DATA[[#This Row],[SUB TOTAL]]*0.18</f>
        <v>172.44539999999998</v>
      </c>
      <c r="V907" s="15">
        <f>IFERROR(ROUND(DATA[[#This Row],[SUB TOTAL]]+DATA[[#This Row],[IGV]],2),0)</f>
        <v>1130.48</v>
      </c>
      <c r="W907" s="16" t="str">
        <f>IF(DATA[[#This Row],[VALORIZACIÓN ]]="-","NO CORRESPONDE",IF(OR(A907=20558226979,A907=10470707866,A907=20111157058,A907=20100226902),"NO CORRESPONDE",IF(J907="Emitida",IF(P907&gt;0,"EMITIDA","PENDIENTE"),"NO CORRESPONDE")))</f>
        <v>EMITIDA</v>
      </c>
      <c r="X907" s="29" t="s">
        <v>310</v>
      </c>
      <c r="Y907" s="17" t="s">
        <v>118</v>
      </c>
      <c r="Z907" s="30">
        <v>45902</v>
      </c>
      <c r="AA907" s="10" t="s">
        <v>150</v>
      </c>
      <c r="AB907" s="19">
        <v>233</v>
      </c>
      <c r="AC907" s="20">
        <v>15</v>
      </c>
      <c r="AD907" s="18">
        <f>DATA[[#This Row],[FECHA DE EMISION]]+DATA[[#This Row],[CONDICION DE PAGO]]</f>
        <v>45917</v>
      </c>
      <c r="AE907" s="23">
        <f>IF(DATA[[#This Row],[MONEDA]]="USD",VLOOKUP(DATA[[#This Row],[COMBINADA]],#REF!,11,0),1)</f>
        <v>1</v>
      </c>
      <c r="AF907" s="129" t="str">
        <f>IF(DATA[[#This Row],[SERIE2]]="-","NO CORRESPONDE",IF(W907="NO CORRESPONDE","NO CORRESPONDE",IF(Z907&gt;0,"FACTURADO","PENDIENTE")))</f>
        <v>FACTURADO</v>
      </c>
      <c r="AG907" s="133">
        <f>IFERROR(VLOOKUP(DATA[[#This Row],[COMBINADA]],#REF!,6,0),0)</f>
        <v>0</v>
      </c>
      <c r="AH907" s="125">
        <f>IFERROR(VLOOKUP(DATA[[#This Row],[COMBINADA]],#REF!,9,0),0)/COUNTIFS(DATA[COMBINADA],DATA[[#This Row],[COMBINADA]])</f>
        <v>0</v>
      </c>
      <c r="AI907" s="136">
        <f>IFERROR(VLOOKUP(DATA[[#This Row],[COMBINADA]],#REF!,6,0),0)</f>
        <v>0</v>
      </c>
      <c r="AJ907" s="132">
        <f>IFERROR(VLOOKUP(DATA[[#This Row],[COMBINADA]],#REF!,9,0),0)/COUNTIFS(DATA[COMBINADA],DATA[[#This Row],[COMBINADA]])</f>
        <v>0</v>
      </c>
      <c r="AK907" s="407">
        <f>IFERROR(VLOOKUP(DATA[[#This Row],[COMBINADA]],#REF!,6,0),0)</f>
        <v>0</v>
      </c>
      <c r="AL907" s="125">
        <f>IFERROR(VLOOKUP(DATA[[#This Row],[COMBINADA]],#REF!,9,0),0)/COUNTIFS(DATA[COMBINADA],DATA[[#This Row],[COMBINADA]])</f>
        <v>0</v>
      </c>
      <c r="AM907" s="27">
        <f>IFERROR(VLOOKUP(DATA[[#This Row],[COMBINADA]],#REF!,6,0),0)</f>
        <v>0</v>
      </c>
      <c r="AN907" s="125">
        <f>IFERROR(VLOOKUP(DATA[[#This Row],[COMBINADA]],#REF!,9,0),0)/COUNTIFS(DATA[COMBINADA],DATA[[#This Row],[COMBINADA]])</f>
        <v>0</v>
      </c>
      <c r="AO907" s="27">
        <f>IFERROR(VLOOKUP(DATA[[#This Row],[COMBINADA]],#REF!,6,0),0)</f>
        <v>0</v>
      </c>
      <c r="AP907" s="132">
        <f>IFERROR(VLOOKUP(DATA[[#This Row],[COMBINADA]],#REF!,9,0),0)/COUNTIFS(DATA[COMBINADA],DATA[[#This Row],[COMBINADA]])</f>
        <v>0</v>
      </c>
      <c r="AQ90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1154.7825</v>
      </c>
      <c r="AR907" s="26" t="str">
        <f>IFERROR(IF(DATA[[#This Row],[estado_fact]]="FACTURADO",VLOOKUP(DATA[[#This Row],[SERIE2]]&amp;"-"&amp;DATA[[#This Row],[NUMERO]],#REF!,34,0),"NO CORRESPONDE"),"NO CORRESPONDE")</f>
        <v>NO CORRESPONDE</v>
      </c>
      <c r="AS907" s="22" t="str">
        <f>IF(DATA[[#This Row],[fecha_fs]]&gt;0,TEXT(DATA[[#This Row],[fecha_fs]],"Mmmm"),0)</f>
        <v>Julio</v>
      </c>
      <c r="AT907" s="22" t="str">
        <f>DATA[[#This Row],[SERIE2]]&amp;"-"&amp;DATA[[#This Row],[NUMERO]]</f>
        <v>FF01-233</v>
      </c>
      <c r="AU907" s="28">
        <f>DATA[[#This Row],[TOTAL]]*DATA[[#This Row],[T.C.]]</f>
        <v>1130.48</v>
      </c>
      <c r="AV907" s="6">
        <f>DATA[[#This Row],[FECHA DE VAL.]]</f>
        <v>45869</v>
      </c>
      <c r="AW907" s="6">
        <f>DATA[[#This Row],[FECHA DE EMISION]]</f>
        <v>45902</v>
      </c>
      <c r="AX907" s="6">
        <f>DATA[[#This Row],[F1]]</f>
        <v>0</v>
      </c>
      <c r="AY907" s="20">
        <f>IF(AV907-DATA[[#This Row],[fecha_fs]]&lt;0,0,AV907-DATA[[#This Row],[fecha_fs]])</f>
        <v>21</v>
      </c>
      <c r="AZ907" s="20">
        <f t="shared" si="97"/>
        <v>33</v>
      </c>
      <c r="BA907" s="20">
        <f t="shared" si="98"/>
        <v>0</v>
      </c>
      <c r="BB907" s="195">
        <f>IFERROR(SUM(DATA[[#This Row],[fs_val_ttf]:[fact_pago_ttf]]),0)</f>
        <v>54</v>
      </c>
      <c r="BC907" s="185">
        <v>45848</v>
      </c>
      <c r="BD907" s="185">
        <v>45862</v>
      </c>
      <c r="BE907" s="185">
        <v>45873</v>
      </c>
      <c r="BF907" s="185">
        <v>45883</v>
      </c>
      <c r="BG907" s="20">
        <f>IFERROR(IF(BC907-DATA[[#This Row],[fecha_fs]]&lt;0,0,BC907-DATA[[#This Row],[fecha_fs]]),0)</f>
        <v>0</v>
      </c>
      <c r="BH907" s="20">
        <f t="shared" si="99"/>
        <v>14</v>
      </c>
      <c r="BI907" s="20">
        <f t="shared" si="100"/>
        <v>11</v>
      </c>
      <c r="BJ907" s="20">
        <f t="shared" si="101"/>
        <v>10</v>
      </c>
      <c r="BK907" s="218">
        <f>IFERROR(SUM(DATA[[#This Row],[fs_fd_ttd]:[fend_fenf_ttd]]),0)</f>
        <v>35</v>
      </c>
      <c r="BL907" s="20" t="str">
        <f>IF(DATA[[#This Row],[fecha_fs]]&gt;0,TEXT(DATA[[#This Row],[fecha_fs]],"YYYY"),0)</f>
        <v>2025</v>
      </c>
      <c r="BM907" s="221" t="b">
        <v>1</v>
      </c>
      <c r="BN907" s="278">
        <f>COUNTIF(DATA[[#This Row],[tiempo_td]], "&lt;=15")</f>
        <v>0</v>
      </c>
      <c r="BO907" s="222"/>
    </row>
    <row r="908" spans="1:67" ht="30.6" customHeight="1" x14ac:dyDescent="0.25">
      <c r="A908" s="4">
        <v>20100055237</v>
      </c>
      <c r="B908" s="5" t="s">
        <v>21</v>
      </c>
      <c r="C908" s="52" t="s">
        <v>138</v>
      </c>
      <c r="D908" s="4" t="s">
        <v>139</v>
      </c>
      <c r="E908" s="5" t="s">
        <v>23</v>
      </c>
      <c r="F908" s="24">
        <v>45848</v>
      </c>
      <c r="G908" s="7" t="s">
        <v>113</v>
      </c>
      <c r="H908" s="25">
        <f t="shared" si="96"/>
        <v>1</v>
      </c>
      <c r="I908" s="67">
        <v>4736</v>
      </c>
      <c r="J908" s="8" t="s">
        <v>115</v>
      </c>
      <c r="K908" s="9" t="s">
        <v>121</v>
      </c>
      <c r="L908" s="10" t="s">
        <v>117</v>
      </c>
      <c r="M908" s="11">
        <v>60</v>
      </c>
      <c r="N908" s="12" t="s">
        <v>165</v>
      </c>
      <c r="O908" s="6">
        <v>45869</v>
      </c>
      <c r="P908" s="54">
        <v>3582</v>
      </c>
      <c r="Q908" s="14" t="s">
        <v>85</v>
      </c>
      <c r="R908" s="56"/>
      <c r="S908" s="56">
        <v>297.92</v>
      </c>
      <c r="T908" s="15">
        <f>DATA[[#This Row],[C. DF]]+DATA[[#This Row],[C.OPE.]]</f>
        <v>297.92</v>
      </c>
      <c r="U908" s="15">
        <f>DATA[[#This Row],[SUB TOTAL]]*0.18</f>
        <v>53.625599999999999</v>
      </c>
      <c r="V908" s="15">
        <f>IFERROR(ROUND(DATA[[#This Row],[SUB TOTAL]]+DATA[[#This Row],[IGV]],2),0)</f>
        <v>351.55</v>
      </c>
      <c r="W908" s="16" t="str">
        <f>IF(DATA[[#This Row],[VALORIZACIÓN ]]="-","NO CORRESPONDE",IF(OR(A908=20558226979,A908=10470707866,A908=20111157058,A908=20100226902),"NO CORRESPONDE",IF(J908="Emitida",IF(P908&gt;0,"EMITIDA","PENDIENTE"),"NO CORRESPONDE")))</f>
        <v>EMITIDA</v>
      </c>
      <c r="X908" s="29"/>
      <c r="Y908" s="17" t="s">
        <v>118</v>
      </c>
      <c r="Z908" s="30">
        <v>45883</v>
      </c>
      <c r="AA908" s="10" t="s">
        <v>150</v>
      </c>
      <c r="AB908" s="19">
        <v>205</v>
      </c>
      <c r="AC908" s="20">
        <v>30</v>
      </c>
      <c r="AD908" s="18">
        <f>DATA[[#This Row],[FECHA DE EMISION]]+DATA[[#This Row],[CONDICION DE PAGO]]</f>
        <v>45913</v>
      </c>
      <c r="AE908" s="23">
        <f>IF(DATA[[#This Row],[MONEDA]]="USD",VLOOKUP(DATA[[#This Row],[COMBINADA]],#REF!,11,0),1)</f>
        <v>1</v>
      </c>
      <c r="AF908" s="129" t="str">
        <f>IF(DATA[[#This Row],[SERIE2]]="-","NO CORRESPONDE",IF(W908="NO CORRESPONDE","NO CORRESPONDE",IF(Z908&gt;0,"FACTURADO","PENDIENTE")))</f>
        <v>FACTURADO</v>
      </c>
      <c r="AG908" s="133">
        <f>IFERROR(VLOOKUP(DATA[[#This Row],[COMBINADA]],#REF!,6,0),0)</f>
        <v>0</v>
      </c>
      <c r="AH908" s="125">
        <f>IFERROR(VLOOKUP(DATA[[#This Row],[COMBINADA]],#REF!,9,0),0)/COUNTIFS(DATA[COMBINADA],DATA[[#This Row],[COMBINADA]])</f>
        <v>0</v>
      </c>
      <c r="AI908" s="136">
        <f>IFERROR(VLOOKUP(DATA[[#This Row],[COMBINADA]],#REF!,6,0),0)</f>
        <v>0</v>
      </c>
      <c r="AJ908" s="132">
        <f>IFERROR(VLOOKUP(DATA[[#This Row],[COMBINADA]],#REF!,9,0),0)/COUNTIFS(DATA[COMBINADA],DATA[[#This Row],[COMBINADA]])</f>
        <v>0</v>
      </c>
      <c r="AK908" s="407">
        <f>IFERROR(VLOOKUP(DATA[[#This Row],[COMBINADA]],#REF!,6,0),0)</f>
        <v>0</v>
      </c>
      <c r="AL908" s="125">
        <f>IFERROR(VLOOKUP(DATA[[#This Row],[COMBINADA]],#REF!,9,0),0)/COUNTIFS(DATA[COMBINADA],DATA[[#This Row],[COMBINADA]])</f>
        <v>0</v>
      </c>
      <c r="AM908" s="27">
        <f>IFERROR(VLOOKUP(DATA[[#This Row],[COMBINADA]],#REF!,6,0),0)</f>
        <v>0</v>
      </c>
      <c r="AN908" s="125">
        <f>IFERROR(VLOOKUP(DATA[[#This Row],[COMBINADA]],#REF!,9,0),0)/COUNTIFS(DATA[COMBINADA],DATA[[#This Row],[COMBINADA]])</f>
        <v>0</v>
      </c>
      <c r="AO908" s="27">
        <f>IFERROR(VLOOKUP(DATA[[#This Row],[COMBINADA]],#REF!,6,0),0)</f>
        <v>0</v>
      </c>
      <c r="AP908" s="132">
        <f>IFERROR(VLOOKUP(DATA[[#This Row],[COMBINADA]],#REF!,9,0),0)/COUNTIFS(DATA[COMBINADA],DATA[[#This Row],[COMBINADA]])</f>
        <v>0</v>
      </c>
      <c r="AQ90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908" s="26" t="str">
        <f>IFERROR(IF(DATA[[#This Row],[estado_fact]]="FACTURADO",VLOOKUP(DATA[[#This Row],[SERIE2]]&amp;"-"&amp;DATA[[#This Row],[NUMERO]],#REF!,34,0),"NO CORRESPONDE"),"NO CORRESPONDE")</f>
        <v>NO CORRESPONDE</v>
      </c>
      <c r="AS908" s="22" t="str">
        <f>IF(DATA[[#This Row],[fecha_fs]]&gt;0,TEXT(DATA[[#This Row],[fecha_fs]],"Mmmm"),0)</f>
        <v>Julio</v>
      </c>
      <c r="AT908" s="22" t="str">
        <f>DATA[[#This Row],[SERIE2]]&amp;"-"&amp;DATA[[#This Row],[NUMERO]]</f>
        <v>FF01-205</v>
      </c>
      <c r="AU908" s="28">
        <f>DATA[[#This Row],[TOTAL]]*DATA[[#This Row],[T.C.]]</f>
        <v>351.55</v>
      </c>
      <c r="AV908" s="6">
        <f>DATA[[#This Row],[FECHA DE VAL.]]</f>
        <v>45869</v>
      </c>
      <c r="AW908" s="6">
        <f>DATA[[#This Row],[FECHA DE EMISION]]</f>
        <v>45883</v>
      </c>
      <c r="AX908" s="6">
        <f>DATA[[#This Row],[F1]]</f>
        <v>0</v>
      </c>
      <c r="AY908" s="20">
        <f>IF(AV908-DATA[[#This Row],[fecha_fs]]&lt;0,0,AV908-DATA[[#This Row],[fecha_fs]])</f>
        <v>21</v>
      </c>
      <c r="AZ908" s="20">
        <f t="shared" si="97"/>
        <v>14</v>
      </c>
      <c r="BA908" s="20">
        <f t="shared" si="98"/>
        <v>0</v>
      </c>
      <c r="BB908" s="195">
        <f>IFERROR(SUM(DATA[[#This Row],[fs_val_ttf]:[fact_pago_ttf]]),0)</f>
        <v>35</v>
      </c>
      <c r="BC908" s="185">
        <v>45848</v>
      </c>
      <c r="BD908" s="185">
        <v>45848</v>
      </c>
      <c r="BE908" s="185">
        <v>45870</v>
      </c>
      <c r="BF908" s="185">
        <v>45870</v>
      </c>
      <c r="BG908" s="20">
        <f>IFERROR(IF(BC908-DATA[[#This Row],[fecha_fs]]&lt;0,0,BC908-DATA[[#This Row],[fecha_fs]]),0)</f>
        <v>0</v>
      </c>
      <c r="BH908" s="20">
        <f t="shared" si="99"/>
        <v>0</v>
      </c>
      <c r="BI908" s="20">
        <f t="shared" si="100"/>
        <v>22</v>
      </c>
      <c r="BJ908" s="20">
        <f t="shared" si="101"/>
        <v>0</v>
      </c>
      <c r="BK908" s="218">
        <f>IFERROR(SUM(DATA[[#This Row],[fs_fd_ttd]:[fend_fenf_ttd]]),0)</f>
        <v>22</v>
      </c>
      <c r="BL908" s="20" t="str">
        <f>IF(DATA[[#This Row],[fecha_fs]]&gt;0,TEXT(DATA[[#This Row],[fecha_fs]],"YYYY"),0)</f>
        <v>2025</v>
      </c>
      <c r="BM908" s="221" t="b">
        <v>1</v>
      </c>
      <c r="BN908" s="278">
        <f>COUNTIF(DATA[[#This Row],[tiempo_td]], "&lt;=15")</f>
        <v>0</v>
      </c>
      <c r="BO908" s="222"/>
    </row>
    <row r="909" spans="1:67" ht="30.6" customHeight="1" x14ac:dyDescent="0.25">
      <c r="A909" s="4">
        <v>20552714378</v>
      </c>
      <c r="B909" s="5" t="s">
        <v>288</v>
      </c>
      <c r="C909" s="52" t="s">
        <v>264</v>
      </c>
      <c r="D909" s="4" t="s">
        <v>120</v>
      </c>
      <c r="E909" s="5" t="s">
        <v>3</v>
      </c>
      <c r="F909" s="24">
        <v>45848</v>
      </c>
      <c r="G909" s="7" t="s">
        <v>113</v>
      </c>
      <c r="H909" s="25">
        <f t="shared" si="96"/>
        <v>1</v>
      </c>
      <c r="I909" s="67">
        <v>4737</v>
      </c>
      <c r="J909" s="8" t="s">
        <v>115</v>
      </c>
      <c r="K909" s="9" t="s">
        <v>121</v>
      </c>
      <c r="L909" s="10" t="s">
        <v>117</v>
      </c>
      <c r="M909" s="11">
        <v>40</v>
      </c>
      <c r="N909" s="12" t="s">
        <v>200</v>
      </c>
      <c r="O909" s="6">
        <v>45863</v>
      </c>
      <c r="P909" s="109">
        <v>3580</v>
      </c>
      <c r="Q909" s="14" t="s">
        <v>85</v>
      </c>
      <c r="R909" s="15">
        <f>80/5</f>
        <v>16</v>
      </c>
      <c r="S909" s="15">
        <v>2112.33</v>
      </c>
      <c r="T909" s="15">
        <f>DATA[[#This Row],[C. DF]]+DATA[[#This Row],[C.OPE.]]</f>
        <v>2128.33</v>
      </c>
      <c r="U909" s="15">
        <f>DATA[[#This Row],[SUB TOTAL]]*0.18</f>
        <v>383.09939999999995</v>
      </c>
      <c r="V909" s="15">
        <f>IFERROR(ROUND(DATA[[#This Row],[SUB TOTAL]]+DATA[[#This Row],[IGV]],2),0)</f>
        <v>2511.4299999999998</v>
      </c>
      <c r="W909" s="16" t="str">
        <f>IF(DATA[[#This Row],[VALORIZACIÓN ]]="-","NO CORRESPONDE",IF(OR(A909=20558226979,A909=10470707866,A909=20111157058,A909=20100226902),"NO CORRESPONDE",IF(J909="Emitida",IF(P909&gt;0,"EMITIDA","PENDIENTE"),"NO CORRESPONDE")))</f>
        <v>EMITIDA</v>
      </c>
      <c r="X909" s="29"/>
      <c r="Y909" s="17" t="s">
        <v>118</v>
      </c>
      <c r="Z909" s="30">
        <v>45905</v>
      </c>
      <c r="AA909" s="10" t="s">
        <v>150</v>
      </c>
      <c r="AB909" s="19">
        <v>242</v>
      </c>
      <c r="AC909" s="20">
        <v>60</v>
      </c>
      <c r="AD909" s="18">
        <f>DATA[[#This Row],[FECHA DE EMISION]]+DATA[[#This Row],[CONDICION DE PAGO]]</f>
        <v>45965</v>
      </c>
      <c r="AE909" s="23">
        <f>IF(DATA[[#This Row],[MONEDA]]="USD",VLOOKUP(DATA[[#This Row],[COMBINADA]],#REF!,11,0),1)</f>
        <v>1</v>
      </c>
      <c r="AF909" s="129" t="str">
        <f>IF(DATA[[#This Row],[SERIE2]]="-","NO CORRESPONDE",IF(W909="NO CORRESPONDE","NO CORRESPONDE",IF(Z909&gt;0,"FACTURADO","PENDIENTE")))</f>
        <v>FACTURADO</v>
      </c>
      <c r="AG909" s="133">
        <f>IFERROR(VLOOKUP(DATA[[#This Row],[COMBINADA]],#REF!,6,0),0)</f>
        <v>0</v>
      </c>
      <c r="AH909" s="125">
        <f>IFERROR(VLOOKUP(DATA[[#This Row],[COMBINADA]],#REF!,9,0),0)/COUNTIFS(DATA[COMBINADA],DATA[[#This Row],[COMBINADA]])</f>
        <v>0</v>
      </c>
      <c r="AI909" s="136">
        <f>IFERROR(VLOOKUP(DATA[[#This Row],[COMBINADA]],#REF!,6,0),0)</f>
        <v>0</v>
      </c>
      <c r="AJ909" s="132">
        <f>IFERROR(VLOOKUP(DATA[[#This Row],[COMBINADA]],#REF!,9,0),0)/COUNTIFS(DATA[COMBINADA],DATA[[#This Row],[COMBINADA]])</f>
        <v>0</v>
      </c>
      <c r="AK909" s="407">
        <f>IFERROR(VLOOKUP(DATA[[#This Row],[COMBINADA]],#REF!,6,0),0)</f>
        <v>0</v>
      </c>
      <c r="AL909" s="125">
        <f>IFERROR(VLOOKUP(DATA[[#This Row],[COMBINADA]],#REF!,9,0),0)/COUNTIFS(DATA[COMBINADA],DATA[[#This Row],[COMBINADA]])</f>
        <v>0</v>
      </c>
      <c r="AM909" s="27">
        <f>IFERROR(VLOOKUP(DATA[[#This Row],[COMBINADA]],#REF!,6,0),0)</f>
        <v>0</v>
      </c>
      <c r="AN909" s="125">
        <f>IFERROR(VLOOKUP(DATA[[#This Row],[COMBINADA]],#REF!,9,0),0)/COUNTIFS(DATA[COMBINADA],DATA[[#This Row],[COMBINADA]])</f>
        <v>0</v>
      </c>
      <c r="AO909" s="27">
        <f>IFERROR(VLOOKUP(DATA[[#This Row],[COMBINADA]],#REF!,6,0),0)</f>
        <v>0</v>
      </c>
      <c r="AP909" s="132">
        <f>IFERROR(VLOOKUP(DATA[[#This Row],[COMBINADA]],#REF!,9,0),0)/COUNTIFS(DATA[COMBINADA],DATA[[#This Row],[COMBINADA]])</f>
        <v>0</v>
      </c>
      <c r="AQ90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2511.4299999999998</v>
      </c>
      <c r="AR909" s="26" t="str">
        <f>IFERROR(IF(DATA[[#This Row],[estado_fact]]="FACTURADO",VLOOKUP(DATA[[#This Row],[SERIE2]]&amp;"-"&amp;DATA[[#This Row],[NUMERO]],#REF!,34,0),"NO CORRESPONDE"),"NO CORRESPONDE")</f>
        <v>NO CORRESPONDE</v>
      </c>
      <c r="AS909" s="22" t="str">
        <f>IF(DATA[[#This Row],[fecha_fs]]&gt;0,TEXT(DATA[[#This Row],[fecha_fs]],"Mmmm"),0)</f>
        <v>Julio</v>
      </c>
      <c r="AT909" s="22" t="str">
        <f>DATA[[#This Row],[SERIE2]]&amp;"-"&amp;DATA[[#This Row],[NUMERO]]</f>
        <v>FF01-242</v>
      </c>
      <c r="AU909" s="28">
        <f>DATA[[#This Row],[TOTAL]]*DATA[[#This Row],[T.C.]]</f>
        <v>2511.4299999999998</v>
      </c>
      <c r="AV909" s="6">
        <f>DATA[[#This Row],[FECHA DE VAL.]]</f>
        <v>45863</v>
      </c>
      <c r="AW909" s="6">
        <f>DATA[[#This Row],[FECHA DE EMISION]]</f>
        <v>45905</v>
      </c>
      <c r="AX909" s="6">
        <f>DATA[[#This Row],[F1]]</f>
        <v>0</v>
      </c>
      <c r="AY909" s="20">
        <f>IF(AV909-DATA[[#This Row],[fecha_fs]]&lt;0,0,AV909-DATA[[#This Row],[fecha_fs]])</f>
        <v>15</v>
      </c>
      <c r="AZ909" s="20">
        <f t="shared" si="97"/>
        <v>42</v>
      </c>
      <c r="BA909" s="20">
        <f t="shared" si="98"/>
        <v>0</v>
      </c>
      <c r="BB909" s="195">
        <f>IFERROR(SUM(DATA[[#This Row],[fs_val_ttf]:[fact_pago_ttf]]),0)</f>
        <v>57</v>
      </c>
      <c r="BC909" s="185">
        <v>45856</v>
      </c>
      <c r="BD909" s="185">
        <v>45862</v>
      </c>
      <c r="BE909" s="185">
        <v>45863</v>
      </c>
      <c r="BF909" s="185">
        <v>45883</v>
      </c>
      <c r="BG909" s="20">
        <f>IFERROR(IF(BC909-DATA[[#This Row],[fecha_fs]]&lt;0,0,BC909-DATA[[#This Row],[fecha_fs]]),0)</f>
        <v>8</v>
      </c>
      <c r="BH909" s="20">
        <f t="shared" si="99"/>
        <v>6</v>
      </c>
      <c r="BI909" s="20">
        <f t="shared" si="100"/>
        <v>1</v>
      </c>
      <c r="BJ909" s="20">
        <f t="shared" si="101"/>
        <v>20</v>
      </c>
      <c r="BK909" s="218">
        <f>IFERROR(SUM(DATA[[#This Row],[fs_fd_ttd]:[fend_fenf_ttd]]),0)</f>
        <v>35</v>
      </c>
      <c r="BL909" s="20" t="str">
        <f>IF(DATA[[#This Row],[fecha_fs]]&gt;0,TEXT(DATA[[#This Row],[fecha_fs]],"YYYY"),0)</f>
        <v>2025</v>
      </c>
      <c r="BM909" s="221" t="b">
        <v>1</v>
      </c>
      <c r="BN909" s="278">
        <f>COUNTIF(DATA[[#This Row],[tiempo_td]], "&lt;=15")</f>
        <v>0</v>
      </c>
      <c r="BO909" s="222"/>
    </row>
    <row r="910" spans="1:67" ht="30.6" customHeight="1" x14ac:dyDescent="0.25">
      <c r="A910" s="4">
        <v>20545697697</v>
      </c>
      <c r="B910" s="5" t="s">
        <v>277</v>
      </c>
      <c r="C910" s="52" t="s">
        <v>71</v>
      </c>
      <c r="D910" s="4" t="s">
        <v>120</v>
      </c>
      <c r="E910" s="5" t="s">
        <v>3</v>
      </c>
      <c r="F910" s="24">
        <v>45848</v>
      </c>
      <c r="G910" s="7" t="s">
        <v>113</v>
      </c>
      <c r="H910" s="25">
        <f t="shared" si="96"/>
        <v>1</v>
      </c>
      <c r="I910" s="67">
        <v>4738</v>
      </c>
      <c r="J910" s="8" t="s">
        <v>115</v>
      </c>
      <c r="K910" s="9" t="s">
        <v>121</v>
      </c>
      <c r="L910" s="10" t="s">
        <v>117</v>
      </c>
      <c r="M910" s="11">
        <v>2230</v>
      </c>
      <c r="N910" s="12" t="s">
        <v>261</v>
      </c>
      <c r="O910" s="6">
        <v>45852</v>
      </c>
      <c r="P910" s="13">
        <v>3549</v>
      </c>
      <c r="Q910" s="14" t="s">
        <v>85</v>
      </c>
      <c r="R910" s="15">
        <f>DATA[[#This Row],[cantidad_fs]]*0.67</f>
        <v>1494.1000000000001</v>
      </c>
      <c r="S910" s="15">
        <f>1399+(4*420)+(DATA[[#This Row],[cantidad_fs]]*1.24)</f>
        <v>5844.2</v>
      </c>
      <c r="T910" s="15">
        <f>DATA[[#This Row],[C. DF]]+DATA[[#This Row],[C.OPE.]]</f>
        <v>7338.3</v>
      </c>
      <c r="U910" s="15">
        <f>DATA[[#This Row],[SUB TOTAL]]*0.18</f>
        <v>1320.894</v>
      </c>
      <c r="V910" s="15">
        <f>IFERROR(ROUND(DATA[[#This Row],[SUB TOTAL]]+DATA[[#This Row],[IGV]],2),0)</f>
        <v>8659.19</v>
      </c>
      <c r="W910" s="16" t="str">
        <f>IF(DATA[[#This Row],[VALORIZACIÓN ]]="-","NO CORRESPONDE",IF(OR(A910=20558226979,A910=10470707866,A910=20111157058,A910=20100226902),"NO CORRESPONDE",IF(J910="Emitida",IF(P910&gt;0,"EMITIDA","PENDIENTE"),"NO CORRESPONDE")))</f>
        <v>EMITIDA</v>
      </c>
      <c r="X910" s="29" t="s">
        <v>368</v>
      </c>
      <c r="Y910" s="17" t="s">
        <v>118</v>
      </c>
      <c r="Z910" s="30">
        <v>45958</v>
      </c>
      <c r="AA910" s="10" t="s">
        <v>150</v>
      </c>
      <c r="AB910" s="19">
        <v>308</v>
      </c>
      <c r="AC910" s="20">
        <v>60</v>
      </c>
      <c r="AD910" s="18">
        <f>DATA[[#This Row],[FECHA DE EMISION]]+DATA[[#This Row],[CONDICION DE PAGO]]</f>
        <v>46018</v>
      </c>
      <c r="AE910" s="23">
        <f>IF(DATA[[#This Row],[MONEDA]]="USD",VLOOKUP(DATA[[#This Row],[COMBINADA]],#REF!,11,0),1)</f>
        <v>1</v>
      </c>
      <c r="AF910" s="129" t="str">
        <f>IF(DATA[[#This Row],[SERIE2]]="-","NO CORRESPONDE",IF(W910="NO CORRESPONDE","NO CORRESPONDE",IF(Z910&gt;0,"FACTURADO","PENDIENTE")))</f>
        <v>FACTURADO</v>
      </c>
      <c r="AG910" s="133">
        <f>IFERROR(VLOOKUP(DATA[[#This Row],[COMBINADA]],#REF!,6,0),0)</f>
        <v>0</v>
      </c>
      <c r="AH910" s="125">
        <f>IFERROR(VLOOKUP(DATA[[#This Row],[COMBINADA]],#REF!,9,0),0)/COUNTIFS(DATA[COMBINADA],DATA[[#This Row],[COMBINADA]])</f>
        <v>0</v>
      </c>
      <c r="AI910" s="136">
        <f>IFERROR(VLOOKUP(DATA[[#This Row],[COMBINADA]],#REF!,6,0),0)</f>
        <v>0</v>
      </c>
      <c r="AJ910" s="132">
        <f>IFERROR(VLOOKUP(DATA[[#This Row],[COMBINADA]],#REF!,9,0),0)/COUNTIFS(DATA[COMBINADA],DATA[[#This Row],[COMBINADA]])</f>
        <v>0</v>
      </c>
      <c r="AK910" s="407">
        <f>IFERROR(VLOOKUP(DATA[[#This Row],[COMBINADA]],#REF!,6,0),0)</f>
        <v>0</v>
      </c>
      <c r="AL910" s="125">
        <f>IFERROR(VLOOKUP(DATA[[#This Row],[COMBINADA]],#REF!,9,0),0)/COUNTIFS(DATA[COMBINADA],DATA[[#This Row],[COMBINADA]])</f>
        <v>0</v>
      </c>
      <c r="AM910" s="27">
        <f>IFERROR(VLOOKUP(DATA[[#This Row],[COMBINADA]],#REF!,6,0),0)</f>
        <v>0</v>
      </c>
      <c r="AN910" s="125">
        <f>IFERROR(VLOOKUP(DATA[[#This Row],[COMBINADA]],#REF!,9,0),0)/COUNTIFS(DATA[COMBINADA],DATA[[#This Row],[COMBINADA]])</f>
        <v>0</v>
      </c>
      <c r="AO910" s="27">
        <f>IFERROR(VLOOKUP(DATA[[#This Row],[COMBINADA]],#REF!,6,0),0)</f>
        <v>0</v>
      </c>
      <c r="AP910" s="132">
        <f>IFERROR(VLOOKUP(DATA[[#This Row],[COMBINADA]],#REF!,9,0),0)/COUNTIFS(DATA[COMBINADA],DATA[[#This Row],[COMBINADA]])</f>
        <v>0</v>
      </c>
      <c r="AQ91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8659.19</v>
      </c>
      <c r="AR910" s="26" t="str">
        <f>IFERROR(IF(DATA[[#This Row],[estado_fact]]="FACTURADO",VLOOKUP(DATA[[#This Row],[SERIE2]]&amp;"-"&amp;DATA[[#This Row],[NUMERO]],#REF!,34,0),"NO CORRESPONDE"),"NO CORRESPONDE")</f>
        <v>NO CORRESPONDE</v>
      </c>
      <c r="AS910" s="22" t="str">
        <f>IF(DATA[[#This Row],[fecha_fs]]&gt;0,TEXT(DATA[[#This Row],[fecha_fs]],"Mmmm"),0)</f>
        <v>Julio</v>
      </c>
      <c r="AT910" s="22" t="str">
        <f>DATA[[#This Row],[SERIE2]]&amp;"-"&amp;DATA[[#This Row],[NUMERO]]</f>
        <v>FF01-308</v>
      </c>
      <c r="AU910" s="28">
        <f>DATA[[#This Row],[TOTAL]]*DATA[[#This Row],[T.C.]]</f>
        <v>8659.19</v>
      </c>
      <c r="AV910" s="6">
        <f>DATA[[#This Row],[FECHA DE VAL.]]</f>
        <v>45852</v>
      </c>
      <c r="AW910" s="6">
        <f>DATA[[#This Row],[FECHA DE EMISION]]</f>
        <v>45958</v>
      </c>
      <c r="AX910" s="6">
        <f>DATA[[#This Row],[F1]]</f>
        <v>0</v>
      </c>
      <c r="AY910" s="20">
        <f>IF(AV910-DATA[[#This Row],[fecha_fs]]&lt;0,0,AV910-DATA[[#This Row],[fecha_fs]])</f>
        <v>4</v>
      </c>
      <c r="AZ910" s="20">
        <f t="shared" si="97"/>
        <v>106</v>
      </c>
      <c r="BA910" s="20">
        <f t="shared" si="98"/>
        <v>0</v>
      </c>
      <c r="BB910" s="195">
        <f>IFERROR(SUM(DATA[[#This Row],[fs_val_ttf]:[fact_pago_ttf]]),0)</f>
        <v>110</v>
      </c>
      <c r="BC910" s="185">
        <v>45853</v>
      </c>
      <c r="BD910" s="185">
        <v>45862</v>
      </c>
      <c r="BE910" s="185">
        <v>45874</v>
      </c>
      <c r="BF910" s="185" t="s">
        <v>270</v>
      </c>
      <c r="BG910" s="20">
        <f>IFERROR(IF(BC910-DATA[[#This Row],[fecha_fs]]&lt;0,0,BC910-DATA[[#This Row],[fecha_fs]]),0)</f>
        <v>5</v>
      </c>
      <c r="BH910" s="20">
        <f t="shared" si="99"/>
        <v>9</v>
      </c>
      <c r="BI910" s="20">
        <f t="shared" si="100"/>
        <v>12</v>
      </c>
      <c r="BJ910" s="20">
        <f t="shared" si="101"/>
        <v>0</v>
      </c>
      <c r="BK910" s="218">
        <f>IFERROR(SUM(DATA[[#This Row],[fs_fd_ttd]:[fend_fenf_ttd]]),0)</f>
        <v>26</v>
      </c>
      <c r="BL910" s="20" t="str">
        <f>IF(DATA[[#This Row],[fecha_fs]]&gt;0,TEXT(DATA[[#This Row],[fecha_fs]],"YYYY"),0)</f>
        <v>2025</v>
      </c>
      <c r="BM910" s="221" t="b">
        <v>0</v>
      </c>
      <c r="BN910" s="278">
        <f>COUNTIF(DATA[[#This Row],[tiempo_td]], "&lt;=15")</f>
        <v>0</v>
      </c>
      <c r="BO910" s="222"/>
    </row>
    <row r="911" spans="1:67" ht="30.6" customHeight="1" x14ac:dyDescent="0.25">
      <c r="A911" s="4"/>
      <c r="B911" s="5" t="s">
        <v>0</v>
      </c>
      <c r="C911" s="52"/>
      <c r="D911" s="4"/>
      <c r="E911" s="5" t="s">
        <v>0</v>
      </c>
      <c r="F911" s="24">
        <v>45848</v>
      </c>
      <c r="G911" s="7" t="s">
        <v>113</v>
      </c>
      <c r="H911" s="25">
        <f t="shared" si="96"/>
        <v>1</v>
      </c>
      <c r="I911" s="67">
        <v>4739</v>
      </c>
      <c r="J911" s="8" t="s">
        <v>151</v>
      </c>
      <c r="K911" s="9"/>
      <c r="L911" s="10"/>
      <c r="M911" s="111"/>
      <c r="N911" s="112"/>
      <c r="O911" s="6"/>
      <c r="P911" s="13"/>
      <c r="Q911" s="14"/>
      <c r="R911" s="56"/>
      <c r="S911" s="56"/>
      <c r="T911" s="56">
        <f>DATA[[#This Row],[C. DF]]+DATA[[#This Row],[C.OPE.]]</f>
        <v>0</v>
      </c>
      <c r="U911" s="56">
        <f>DATA[[#This Row],[SUB TOTAL]]*0.18</f>
        <v>0</v>
      </c>
      <c r="V911" s="56">
        <f>IFERROR(ROUND(DATA[[#This Row],[SUB TOTAL]]+DATA[[#This Row],[IGV]],2),0)</f>
        <v>0</v>
      </c>
      <c r="W911" s="73" t="str">
        <f>IF(DATA[[#This Row],[VALORIZACIÓN ]]="-","NO CORRESPONDE",IF(OR(A911=20558226979,A911=10470707866,A911=20111157058,A911=20100226902),"NO CORRESPONDE",IF(J911="Emitida",IF(P911&gt;0,"EMITIDA","PENDIENTE"),"NO CORRESPONDE")))</f>
        <v>NO CORRESPONDE</v>
      </c>
      <c r="X911" s="46"/>
      <c r="Y911" s="17" t="s">
        <v>128</v>
      </c>
      <c r="Z911" s="48"/>
      <c r="AA911" s="49"/>
      <c r="AB911" s="50"/>
      <c r="AC911" s="51"/>
      <c r="AD911" s="59">
        <f>DATA[[#This Row],[FECHA DE EMISION]]+DATA[[#This Row],[CONDICION DE PAGO]]</f>
        <v>0</v>
      </c>
      <c r="AE911" s="23">
        <f>IF(DATA[[#This Row],[MONEDA]]="USD",VLOOKUP(DATA[[#This Row],[COMBINADA]],#REF!,11,0),1)</f>
        <v>1</v>
      </c>
      <c r="AF911" s="129" t="str">
        <f>IF(DATA[[#This Row],[SERIE2]]="-","NO CORRESPONDE",IF(W911="NO CORRESPONDE","NO CORRESPONDE",IF(Z911&gt;0,"FACTURADO","PENDIENTE")))</f>
        <v>NO CORRESPONDE</v>
      </c>
      <c r="AG911" s="208">
        <f>IFERROR(VLOOKUP(DATA[[#This Row],[COMBINADA]],#REF!,6,0),0)</f>
        <v>0</v>
      </c>
      <c r="AH911" s="209">
        <f>IFERROR(VLOOKUP(DATA[[#This Row],[COMBINADA]],#REF!,9,0),0)/COUNTIFS(DATA[COMBINADA],DATA[[#This Row],[COMBINADA]])</f>
        <v>0</v>
      </c>
      <c r="AI911" s="140">
        <f>IFERROR(VLOOKUP(DATA[[#This Row],[COMBINADA]],#REF!,6,0),0)</f>
        <v>0</v>
      </c>
      <c r="AJ911" s="126">
        <f>IFERROR(VLOOKUP(DATA[[#This Row],[COMBINADA]],#REF!,9,0),0)/COUNTIFS(DATA[COMBINADA],DATA[[#This Row],[COMBINADA]])</f>
        <v>0</v>
      </c>
      <c r="AK911" s="61">
        <f>IFERROR(VLOOKUP(DATA[[#This Row],[COMBINADA]],#REF!,6,0),0)</f>
        <v>0</v>
      </c>
      <c r="AL911" s="126">
        <f>IFERROR(VLOOKUP(DATA[[#This Row],[COMBINADA]],#REF!,9,0),0)/COUNTIFS(DATA[COMBINADA],DATA[[#This Row],[COMBINADA]])</f>
        <v>0</v>
      </c>
      <c r="AM911" s="140">
        <f>IFERROR(VLOOKUP(DATA[[#This Row],[COMBINADA]],#REF!,6,0),0)</f>
        <v>0</v>
      </c>
      <c r="AN911" s="62">
        <f>IFERROR(VLOOKUP(DATA[[#This Row],[COMBINADA]],#REF!,9,0),0)/COUNTIFS(DATA[COMBINADA],DATA[[#This Row],[COMBINADA]])</f>
        <v>0</v>
      </c>
      <c r="AO911" s="61">
        <f>IFERROR(VLOOKUP(DATA[[#This Row],[COMBINADA]],#REF!,6,0),0)</f>
        <v>0</v>
      </c>
      <c r="AP911" s="62">
        <f>IFERROR(VLOOKUP(DATA[[#This Row],[COMBINADA]],#REF!,9,0),0)/COUNTIFS(DATA[COMBINADA],DATA[[#This Row],[COMBINADA]])</f>
        <v>0</v>
      </c>
      <c r="AQ911"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911" s="22" t="str">
        <f>IFERROR(IF(DATA[[#This Row],[estado_fact]]="FACTURADO",VLOOKUP(DATA[[#This Row],[SERIE2]]&amp;"-"&amp;DATA[[#This Row],[NUMERO]],#REF!,34,0),"NO CORRESPONDE"),"NO CORRESPONDE")</f>
        <v>NO CORRESPONDE</v>
      </c>
      <c r="AS911" s="198" t="str">
        <f>IF(DATA[[#This Row],[fecha_fs]]&gt;0,TEXT(DATA[[#This Row],[fecha_fs]],"Mmmm"),0)</f>
        <v>Julio</v>
      </c>
      <c r="AT911" s="199" t="str">
        <f>DATA[[#This Row],[SERIE2]]&amp;"-"&amp;DATA[[#This Row],[NUMERO]]</f>
        <v>-</v>
      </c>
      <c r="AU911" s="198">
        <f>DATA[[#This Row],[TOTAL]]*DATA[[#This Row],[T.C.]]</f>
        <v>0</v>
      </c>
      <c r="AV911" s="40">
        <f>DATA[[#This Row],[FECHA DE VAL.]]</f>
        <v>0</v>
      </c>
      <c r="AW911" s="40">
        <f>DATA[[#This Row],[FECHA DE EMISION]]</f>
        <v>0</v>
      </c>
      <c r="AX911" s="40">
        <f>DATA[[#This Row],[F1]]</f>
        <v>0</v>
      </c>
      <c r="AY911" s="49">
        <f>IF(AV911-DATA[[#This Row],[fecha_fs]]&lt;0,0,AV911-DATA[[#This Row],[fecha_fs]])</f>
        <v>0</v>
      </c>
      <c r="AZ911" s="49">
        <f t="shared" si="97"/>
        <v>0</v>
      </c>
      <c r="BA911" s="49">
        <f t="shared" si="98"/>
        <v>0</v>
      </c>
      <c r="BB911" s="195">
        <f>IFERROR(SUM(DATA[[#This Row],[fs_val_ttf]:[fact_pago_ttf]]),0)</f>
        <v>0</v>
      </c>
      <c r="BC911" s="47"/>
      <c r="BD911" s="47"/>
      <c r="BE911" s="47"/>
      <c r="BF911" s="47"/>
      <c r="BG911" s="49">
        <f>IFERROR(IF(BC911-DATA[[#This Row],[fecha_fs]]&lt;0,0,BC911-DATA[[#This Row],[fecha_fs]]),0)</f>
        <v>0</v>
      </c>
      <c r="BH911" s="49">
        <f t="shared" si="99"/>
        <v>0</v>
      </c>
      <c r="BI911" s="49">
        <f t="shared" si="100"/>
        <v>0</v>
      </c>
      <c r="BJ911" s="49">
        <f t="shared" si="101"/>
        <v>0</v>
      </c>
      <c r="BK911" s="218">
        <f>IFERROR(SUM(DATA[[#This Row],[fs_fd_ttd]:[fend_fenf_ttd]]),0)</f>
        <v>0</v>
      </c>
      <c r="BL911" s="20" t="str">
        <f>IF(DATA[[#This Row],[fecha_fs]]&gt;0,TEXT(DATA[[#This Row],[fecha_fs]],"YYYY"),0)</f>
        <v>2025</v>
      </c>
      <c r="BM911" s="221" t="b">
        <v>0</v>
      </c>
      <c r="BN911" s="278"/>
      <c r="BO911" s="222"/>
    </row>
    <row r="912" spans="1:67" ht="30.6" customHeight="1" x14ac:dyDescent="0.25">
      <c r="A912" s="4">
        <v>20454186002</v>
      </c>
      <c r="B912" s="5" t="s">
        <v>25</v>
      </c>
      <c r="C912" s="52" t="s">
        <v>26</v>
      </c>
      <c r="D912" s="4" t="s">
        <v>112</v>
      </c>
      <c r="E912" s="5" t="s">
        <v>1</v>
      </c>
      <c r="F912" s="24">
        <v>45848</v>
      </c>
      <c r="G912" s="7" t="s">
        <v>113</v>
      </c>
      <c r="H912" s="25">
        <f t="shared" si="96"/>
        <v>1</v>
      </c>
      <c r="I912" s="67">
        <v>4740</v>
      </c>
      <c r="J912" s="8" t="s">
        <v>115</v>
      </c>
      <c r="K912" s="9" t="s">
        <v>116</v>
      </c>
      <c r="L912" s="10" t="s">
        <v>117</v>
      </c>
      <c r="M912" s="11">
        <v>1030</v>
      </c>
      <c r="N912" s="12" t="s">
        <v>299</v>
      </c>
      <c r="O912" s="6">
        <v>45852</v>
      </c>
      <c r="P912" s="13">
        <v>3551</v>
      </c>
      <c r="Q912" s="14" t="s">
        <v>85</v>
      </c>
      <c r="R912" s="15">
        <f>(760*0.45)</f>
        <v>342</v>
      </c>
      <c r="S912" s="56">
        <v>2997</v>
      </c>
      <c r="T912" s="15">
        <f>DATA[[#This Row],[C. DF]]+DATA[[#This Row],[C.OPE.]]</f>
        <v>3339</v>
      </c>
      <c r="U912" s="15">
        <f>DATA[[#This Row],[SUB TOTAL]]*0.18</f>
        <v>601.02</v>
      </c>
      <c r="V912" s="15">
        <f>IFERROR(ROUND(DATA[[#This Row],[SUB TOTAL]]+DATA[[#This Row],[IGV]],2),0)</f>
        <v>3940.02</v>
      </c>
      <c r="W912" s="16" t="str">
        <f>IF(DATA[[#This Row],[VALORIZACIÓN ]]="-","NO CORRESPONDE",IF(OR(A912=20558226979,A912=10470707866,A912=20111157058,A912=20100226902),"NO CORRESPONDE",IF(J912="Emitida",IF(P912&gt;0,"EMITIDA","PENDIENTE"),"NO CORRESPONDE")))</f>
        <v>EMITIDA</v>
      </c>
      <c r="X912" s="29"/>
      <c r="Y912" s="17" t="s">
        <v>118</v>
      </c>
      <c r="Z912" s="30">
        <v>45856</v>
      </c>
      <c r="AA912" s="10" t="s">
        <v>150</v>
      </c>
      <c r="AB912" s="19">
        <v>180</v>
      </c>
      <c r="AC912" s="20">
        <v>5</v>
      </c>
      <c r="AD912" s="18">
        <f>DATA[[#This Row],[FECHA DE EMISION]]+DATA[[#This Row],[CONDICION DE PAGO]]</f>
        <v>45861</v>
      </c>
      <c r="AE912" s="23">
        <f>IF(DATA[[#This Row],[MONEDA]]="USD",VLOOKUP(DATA[[#This Row],[COMBINADA]],#REF!,11,0),1)</f>
        <v>1</v>
      </c>
      <c r="AF912" s="129" t="str">
        <f>IF(DATA[[#This Row],[SERIE2]]="-","NO CORRESPONDE",IF(W912="NO CORRESPONDE","NO CORRESPONDE",IF(Z912&gt;0,"FACTURADO","PENDIENTE")))</f>
        <v>FACTURADO</v>
      </c>
      <c r="AG912" s="133">
        <f>IFERROR(VLOOKUP(DATA[[#This Row],[COMBINADA]],#REF!,6,0),0)</f>
        <v>0</v>
      </c>
      <c r="AH912" s="125">
        <f>IFERROR(VLOOKUP(DATA[[#This Row],[COMBINADA]],#REF!,9,0),0)/COUNTIFS(DATA[COMBINADA],DATA[[#This Row],[COMBINADA]])</f>
        <v>0</v>
      </c>
      <c r="AI912" s="136">
        <f>IFERROR(VLOOKUP(DATA[[#This Row],[COMBINADA]],#REF!,6,0),0)</f>
        <v>0</v>
      </c>
      <c r="AJ912" s="132">
        <f>IFERROR(VLOOKUP(DATA[[#This Row],[COMBINADA]],#REF!,9,0),0)/COUNTIFS(DATA[COMBINADA],DATA[[#This Row],[COMBINADA]])</f>
        <v>0</v>
      </c>
      <c r="AK912" s="407">
        <f>IFERROR(VLOOKUP(DATA[[#This Row],[COMBINADA]],#REF!,6,0),0)</f>
        <v>0</v>
      </c>
      <c r="AL912" s="125">
        <f>IFERROR(VLOOKUP(DATA[[#This Row],[COMBINADA]],#REF!,9,0),0)/COUNTIFS(DATA[COMBINADA],DATA[[#This Row],[COMBINADA]])</f>
        <v>0</v>
      </c>
      <c r="AM912" s="27">
        <f>IFERROR(VLOOKUP(DATA[[#This Row],[COMBINADA]],#REF!,6,0),0)</f>
        <v>0</v>
      </c>
      <c r="AN912" s="125">
        <f>IFERROR(VLOOKUP(DATA[[#This Row],[COMBINADA]],#REF!,9,0),0)/COUNTIFS(DATA[COMBINADA],DATA[[#This Row],[COMBINADA]])</f>
        <v>0</v>
      </c>
      <c r="AO912" s="27">
        <f>IFERROR(VLOOKUP(DATA[[#This Row],[COMBINADA]],#REF!,6,0),0)</f>
        <v>0</v>
      </c>
      <c r="AP912" s="132">
        <f>IFERROR(VLOOKUP(DATA[[#This Row],[COMBINADA]],#REF!,9,0),0)/COUNTIFS(DATA[COMBINADA],DATA[[#This Row],[COMBINADA]])</f>
        <v>0</v>
      </c>
      <c r="AQ91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3940.02</v>
      </c>
      <c r="AR912" s="26" t="str">
        <f>IFERROR(IF(DATA[[#This Row],[estado_fact]]="FACTURADO",VLOOKUP(DATA[[#This Row],[SERIE2]]&amp;"-"&amp;DATA[[#This Row],[NUMERO]],#REF!,34,0),"NO CORRESPONDE"),"NO CORRESPONDE")</f>
        <v>NO CORRESPONDE</v>
      </c>
      <c r="AS912" s="22" t="str">
        <f>IF(DATA[[#This Row],[fecha_fs]]&gt;0,TEXT(DATA[[#This Row],[fecha_fs]],"Mmmm"),0)</f>
        <v>Julio</v>
      </c>
      <c r="AT912" s="22" t="str">
        <f>DATA[[#This Row],[SERIE2]]&amp;"-"&amp;DATA[[#This Row],[NUMERO]]</f>
        <v>FF01-180</v>
      </c>
      <c r="AU912" s="28">
        <f>DATA[[#This Row],[TOTAL]]*DATA[[#This Row],[T.C.]]</f>
        <v>3940.02</v>
      </c>
      <c r="AV912" s="6">
        <f>DATA[[#This Row],[FECHA DE VAL.]]</f>
        <v>45852</v>
      </c>
      <c r="AW912" s="6">
        <f>DATA[[#This Row],[FECHA DE EMISION]]</f>
        <v>45856</v>
      </c>
      <c r="AX912" s="6">
        <f>DATA[[#This Row],[F1]]</f>
        <v>0</v>
      </c>
      <c r="AY912" s="20">
        <f>IF(AV912-DATA[[#This Row],[fecha_fs]]&lt;0,0,AV912-DATA[[#This Row],[fecha_fs]])</f>
        <v>4</v>
      </c>
      <c r="AZ912" s="20">
        <f t="shared" si="97"/>
        <v>4</v>
      </c>
      <c r="BA912" s="20">
        <f t="shared" si="98"/>
        <v>0</v>
      </c>
      <c r="BB912" s="195">
        <f>IFERROR(SUM(DATA[[#This Row],[fs_val_ttf]:[fact_pago_ttf]]),0)</f>
        <v>8</v>
      </c>
      <c r="BC912" s="185">
        <v>45855</v>
      </c>
      <c r="BD912" s="185">
        <v>45869</v>
      </c>
      <c r="BE912" s="185">
        <v>45870</v>
      </c>
      <c r="BF912" s="185">
        <v>45889</v>
      </c>
      <c r="BG912" s="20">
        <f>IFERROR(IF(BC912-DATA[[#This Row],[fecha_fs]]&lt;0,0,BC912-DATA[[#This Row],[fecha_fs]]),0)</f>
        <v>7</v>
      </c>
      <c r="BH912" s="20">
        <f t="shared" si="99"/>
        <v>14</v>
      </c>
      <c r="BI912" s="20">
        <f t="shared" si="100"/>
        <v>1</v>
      </c>
      <c r="BJ912" s="20">
        <f t="shared" si="101"/>
        <v>19</v>
      </c>
      <c r="BK912" s="218">
        <f>IFERROR(SUM(DATA[[#This Row],[fs_fd_ttd]:[fend_fenf_ttd]]),0)</f>
        <v>41</v>
      </c>
      <c r="BL912" s="20" t="str">
        <f>IF(DATA[[#This Row],[fecha_fs]]&gt;0,TEXT(DATA[[#This Row],[fecha_fs]],"YYYY"),0)</f>
        <v>2025</v>
      </c>
      <c r="BM912" s="221" t="b">
        <v>1</v>
      </c>
      <c r="BN912" s="278">
        <f>COUNTIF(DATA[[#This Row],[tiempo_td]], "&lt;=15")</f>
        <v>0</v>
      </c>
      <c r="BO912" s="222"/>
    </row>
    <row r="913" spans="1:67" ht="30.6" customHeight="1" x14ac:dyDescent="0.25">
      <c r="A913" s="4"/>
      <c r="B913" s="5" t="s">
        <v>0</v>
      </c>
      <c r="C913" s="52"/>
      <c r="D913" s="4"/>
      <c r="E913" s="5" t="s">
        <v>0</v>
      </c>
      <c r="F913" s="24">
        <v>45848</v>
      </c>
      <c r="G913" s="7" t="s">
        <v>113</v>
      </c>
      <c r="H913" s="25">
        <f t="shared" si="96"/>
        <v>1</v>
      </c>
      <c r="I913" s="67">
        <v>4741</v>
      </c>
      <c r="J913" s="8" t="s">
        <v>151</v>
      </c>
      <c r="K913" s="9"/>
      <c r="L913" s="10"/>
      <c r="M913" s="111"/>
      <c r="N913" s="112"/>
      <c r="O913" s="6"/>
      <c r="P913" s="13"/>
      <c r="Q913" s="14"/>
      <c r="R913" s="56"/>
      <c r="S913" s="56"/>
      <c r="T913" s="56">
        <f>DATA[[#This Row],[C. DF]]+DATA[[#This Row],[C.OPE.]]</f>
        <v>0</v>
      </c>
      <c r="U913" s="56">
        <f>DATA[[#This Row],[SUB TOTAL]]*0.18</f>
        <v>0</v>
      </c>
      <c r="V913" s="56">
        <f>IFERROR(ROUND(DATA[[#This Row],[SUB TOTAL]]+DATA[[#This Row],[IGV]],2),0)</f>
        <v>0</v>
      </c>
      <c r="W913" s="73" t="str">
        <f>IF(DATA[[#This Row],[VALORIZACIÓN ]]="-","NO CORRESPONDE",IF(OR(A913=20558226979,A913=10470707866,A913=20111157058,A913=20100226902),"NO CORRESPONDE",IF(J913="Emitida",IF(P913&gt;0,"EMITIDA","PENDIENTE"),"NO CORRESPONDE")))</f>
        <v>NO CORRESPONDE</v>
      </c>
      <c r="X913" s="46"/>
      <c r="Y913" s="17" t="s">
        <v>128</v>
      </c>
      <c r="Z913" s="48"/>
      <c r="AA913" s="49"/>
      <c r="AB913" s="50"/>
      <c r="AC913" s="51"/>
      <c r="AD913" s="59">
        <f>DATA[[#This Row],[FECHA DE EMISION]]+DATA[[#This Row],[CONDICION DE PAGO]]</f>
        <v>0</v>
      </c>
      <c r="AE913" s="23">
        <f>IF(DATA[[#This Row],[MONEDA]]="USD",VLOOKUP(DATA[[#This Row],[COMBINADA]],#REF!,11,0),1)</f>
        <v>1</v>
      </c>
      <c r="AF913" s="129" t="str">
        <f>IF(DATA[[#This Row],[SERIE2]]="-","NO CORRESPONDE",IF(W913="NO CORRESPONDE","NO CORRESPONDE",IF(Z913&gt;0,"FACTURADO","PENDIENTE")))</f>
        <v>NO CORRESPONDE</v>
      </c>
      <c r="AG913" s="208">
        <f>IFERROR(VLOOKUP(DATA[[#This Row],[COMBINADA]],#REF!,6,0),0)</f>
        <v>0</v>
      </c>
      <c r="AH913" s="209">
        <f>IFERROR(VLOOKUP(DATA[[#This Row],[COMBINADA]],#REF!,9,0),0)/COUNTIFS(DATA[COMBINADA],DATA[[#This Row],[COMBINADA]])</f>
        <v>0</v>
      </c>
      <c r="AI913" s="140">
        <f>IFERROR(VLOOKUP(DATA[[#This Row],[COMBINADA]],#REF!,6,0),0)</f>
        <v>0</v>
      </c>
      <c r="AJ913" s="126">
        <f>IFERROR(VLOOKUP(DATA[[#This Row],[COMBINADA]],#REF!,9,0),0)/COUNTIFS(DATA[COMBINADA],DATA[[#This Row],[COMBINADA]])</f>
        <v>0</v>
      </c>
      <c r="AK913" s="61">
        <f>IFERROR(VLOOKUP(DATA[[#This Row],[COMBINADA]],#REF!,6,0),0)</f>
        <v>0</v>
      </c>
      <c r="AL913" s="126">
        <f>IFERROR(VLOOKUP(DATA[[#This Row],[COMBINADA]],#REF!,9,0),0)/COUNTIFS(DATA[COMBINADA],DATA[[#This Row],[COMBINADA]])</f>
        <v>0</v>
      </c>
      <c r="AM913" s="140">
        <f>IFERROR(VLOOKUP(DATA[[#This Row],[COMBINADA]],#REF!,6,0),0)</f>
        <v>0</v>
      </c>
      <c r="AN913" s="62">
        <f>IFERROR(VLOOKUP(DATA[[#This Row],[COMBINADA]],#REF!,9,0),0)/COUNTIFS(DATA[COMBINADA],DATA[[#This Row],[COMBINADA]])</f>
        <v>0</v>
      </c>
      <c r="AO913" s="61">
        <f>IFERROR(VLOOKUP(DATA[[#This Row],[COMBINADA]],#REF!,6,0),0)</f>
        <v>0</v>
      </c>
      <c r="AP913" s="62">
        <f>IFERROR(VLOOKUP(DATA[[#This Row],[COMBINADA]],#REF!,9,0),0)/COUNTIFS(DATA[COMBINADA],DATA[[#This Row],[COMBINADA]])</f>
        <v>0</v>
      </c>
      <c r="AQ913"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913" s="22" t="str">
        <f>IFERROR(IF(DATA[[#This Row],[estado_fact]]="FACTURADO",VLOOKUP(DATA[[#This Row],[SERIE2]]&amp;"-"&amp;DATA[[#This Row],[NUMERO]],#REF!,34,0),"NO CORRESPONDE"),"NO CORRESPONDE")</f>
        <v>NO CORRESPONDE</v>
      </c>
      <c r="AS913" s="198" t="str">
        <f>IF(DATA[[#This Row],[fecha_fs]]&gt;0,TEXT(DATA[[#This Row],[fecha_fs]],"Mmmm"),0)</f>
        <v>Julio</v>
      </c>
      <c r="AT913" s="199" t="str">
        <f>DATA[[#This Row],[SERIE2]]&amp;"-"&amp;DATA[[#This Row],[NUMERO]]</f>
        <v>-</v>
      </c>
      <c r="AU913" s="198">
        <f>DATA[[#This Row],[TOTAL]]*DATA[[#This Row],[T.C.]]</f>
        <v>0</v>
      </c>
      <c r="AV913" s="40">
        <f>DATA[[#This Row],[FECHA DE VAL.]]</f>
        <v>0</v>
      </c>
      <c r="AW913" s="40">
        <f>DATA[[#This Row],[FECHA DE EMISION]]</f>
        <v>0</v>
      </c>
      <c r="AX913" s="40">
        <f>DATA[[#This Row],[F1]]</f>
        <v>0</v>
      </c>
      <c r="AY913" s="49">
        <f>IF(AV913-DATA[[#This Row],[fecha_fs]]&lt;0,0,AV913-DATA[[#This Row],[fecha_fs]])</f>
        <v>0</v>
      </c>
      <c r="AZ913" s="49">
        <f t="shared" si="97"/>
        <v>0</v>
      </c>
      <c r="BA913" s="49">
        <f t="shared" si="98"/>
        <v>0</v>
      </c>
      <c r="BB913" s="195">
        <f>IFERROR(SUM(DATA[[#This Row],[fs_val_ttf]:[fact_pago_ttf]]),0)</f>
        <v>0</v>
      </c>
      <c r="BC913" s="47"/>
      <c r="BD913" s="47"/>
      <c r="BE913" s="47"/>
      <c r="BF913" s="47"/>
      <c r="BG913" s="49">
        <f>IFERROR(IF(BC913-DATA[[#This Row],[fecha_fs]]&lt;0,0,BC913-DATA[[#This Row],[fecha_fs]]),0)</f>
        <v>0</v>
      </c>
      <c r="BH913" s="49">
        <f t="shared" si="99"/>
        <v>0</v>
      </c>
      <c r="BI913" s="49">
        <f t="shared" si="100"/>
        <v>0</v>
      </c>
      <c r="BJ913" s="49">
        <f t="shared" si="101"/>
        <v>0</v>
      </c>
      <c r="BK913" s="218">
        <f>IFERROR(SUM(DATA[[#This Row],[fs_fd_ttd]:[fend_fenf_ttd]]),0)</f>
        <v>0</v>
      </c>
      <c r="BL913" s="20" t="str">
        <f>IF(DATA[[#This Row],[fecha_fs]]&gt;0,TEXT(DATA[[#This Row],[fecha_fs]],"YYYY"),0)</f>
        <v>2025</v>
      </c>
      <c r="BM913" s="221" t="b">
        <v>0</v>
      </c>
      <c r="BN913" s="278"/>
      <c r="BO913" s="222"/>
    </row>
    <row r="914" spans="1:67" ht="30.6" customHeight="1" x14ac:dyDescent="0.25">
      <c r="A914" s="4">
        <v>20454186002</v>
      </c>
      <c r="B914" s="5" t="s">
        <v>25</v>
      </c>
      <c r="C914" s="52" t="s">
        <v>26</v>
      </c>
      <c r="D914" s="4" t="s">
        <v>120</v>
      </c>
      <c r="E914" s="5" t="s">
        <v>3</v>
      </c>
      <c r="F914" s="24">
        <v>45848</v>
      </c>
      <c r="G914" s="7" t="s">
        <v>113</v>
      </c>
      <c r="H914" s="25">
        <f t="shared" si="96"/>
        <v>1</v>
      </c>
      <c r="I914" s="67">
        <v>4742</v>
      </c>
      <c r="J914" s="8" t="s">
        <v>115</v>
      </c>
      <c r="K914" s="9" t="s">
        <v>121</v>
      </c>
      <c r="L914" s="10" t="s">
        <v>117</v>
      </c>
      <c r="M914" s="11">
        <v>1440</v>
      </c>
      <c r="N914" s="12" t="s">
        <v>253</v>
      </c>
      <c r="O914" s="6">
        <v>45852</v>
      </c>
      <c r="P914" s="13">
        <v>3550</v>
      </c>
      <c r="Q914" s="14" t="s">
        <v>85</v>
      </c>
      <c r="R914" s="15">
        <v>2487.7399999999998</v>
      </c>
      <c r="S914" s="74"/>
      <c r="T914" s="15">
        <f>DATA[[#This Row],[C. DF]]+DATA[[#This Row],[C.OPE.]]</f>
        <v>2487.7399999999998</v>
      </c>
      <c r="U914" s="15">
        <f>DATA[[#This Row],[SUB TOTAL]]*0.18</f>
        <v>447.79319999999996</v>
      </c>
      <c r="V914" s="15">
        <f>IFERROR(ROUND(DATA[[#This Row],[SUB TOTAL]]+DATA[[#This Row],[IGV]],2),0)</f>
        <v>2935.53</v>
      </c>
      <c r="W914" s="16" t="str">
        <f>IF(DATA[[#This Row],[VALORIZACIÓN ]]="-","NO CORRESPONDE",IF(OR(A914=20558226979,A914=10470707866,A914=20111157058,A914=20100226902),"NO CORRESPONDE",IF(J914="Emitida",IF(P914&gt;0,"EMITIDA","PENDIENTE"),"NO CORRESPONDE")))</f>
        <v>EMITIDA</v>
      </c>
      <c r="X914" s="29"/>
      <c r="Y914" s="17" t="s">
        <v>118</v>
      </c>
      <c r="Z914" s="30">
        <v>45856</v>
      </c>
      <c r="AA914" s="10" t="s">
        <v>150</v>
      </c>
      <c r="AB914" s="19">
        <v>179</v>
      </c>
      <c r="AC914" s="20">
        <v>5</v>
      </c>
      <c r="AD914" s="18">
        <f>DATA[[#This Row],[FECHA DE EMISION]]+DATA[[#This Row],[CONDICION DE PAGO]]</f>
        <v>45861</v>
      </c>
      <c r="AE914" s="23">
        <f>IF(DATA[[#This Row],[MONEDA]]="USD",VLOOKUP(DATA[[#This Row],[COMBINADA]],#REF!,11,0),1)</f>
        <v>1</v>
      </c>
      <c r="AF914" s="129" t="str">
        <f>IF(DATA[[#This Row],[SERIE2]]="-","NO CORRESPONDE",IF(W914="NO CORRESPONDE","NO CORRESPONDE",IF(Z914&gt;0,"FACTURADO","PENDIENTE")))</f>
        <v>FACTURADO</v>
      </c>
      <c r="AG914" s="133">
        <f>IFERROR(VLOOKUP(DATA[[#This Row],[COMBINADA]],#REF!,6,0),0)</f>
        <v>0</v>
      </c>
      <c r="AH914" s="125">
        <f>IFERROR(VLOOKUP(DATA[[#This Row],[COMBINADA]],#REF!,9,0),0)/COUNTIFS(DATA[COMBINADA],DATA[[#This Row],[COMBINADA]])</f>
        <v>0</v>
      </c>
      <c r="AI914" s="136">
        <f>IFERROR(VLOOKUP(DATA[[#This Row],[COMBINADA]],#REF!,6,0),0)</f>
        <v>0</v>
      </c>
      <c r="AJ914" s="132">
        <f>IFERROR(VLOOKUP(DATA[[#This Row],[COMBINADA]],#REF!,9,0),0)/COUNTIFS(DATA[COMBINADA],DATA[[#This Row],[COMBINADA]])</f>
        <v>0</v>
      </c>
      <c r="AK914" s="407">
        <f>IFERROR(VLOOKUP(DATA[[#This Row],[COMBINADA]],#REF!,6,0),0)</f>
        <v>0</v>
      </c>
      <c r="AL914" s="125">
        <f>IFERROR(VLOOKUP(DATA[[#This Row],[COMBINADA]],#REF!,9,0),0)/COUNTIFS(DATA[COMBINADA],DATA[[#This Row],[COMBINADA]])</f>
        <v>0</v>
      </c>
      <c r="AM914" s="27">
        <f>IFERROR(VLOOKUP(DATA[[#This Row],[COMBINADA]],#REF!,6,0),0)</f>
        <v>0</v>
      </c>
      <c r="AN914" s="125">
        <f>IFERROR(VLOOKUP(DATA[[#This Row],[COMBINADA]],#REF!,9,0),0)/COUNTIFS(DATA[COMBINADA],DATA[[#This Row],[COMBINADA]])</f>
        <v>0</v>
      </c>
      <c r="AO914" s="27">
        <f>IFERROR(VLOOKUP(DATA[[#This Row],[COMBINADA]],#REF!,6,0),0)</f>
        <v>0</v>
      </c>
      <c r="AP914" s="132">
        <f>IFERROR(VLOOKUP(DATA[[#This Row],[COMBINADA]],#REF!,9,0),0)/COUNTIFS(DATA[COMBINADA],DATA[[#This Row],[COMBINADA]])</f>
        <v>0</v>
      </c>
      <c r="AQ91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2935.53</v>
      </c>
      <c r="AR914" s="26" t="str">
        <f>IFERROR(IF(DATA[[#This Row],[estado_fact]]="FACTURADO",VLOOKUP(DATA[[#This Row],[SERIE2]]&amp;"-"&amp;DATA[[#This Row],[NUMERO]],#REF!,34,0),"NO CORRESPONDE"),"NO CORRESPONDE")</f>
        <v>NO CORRESPONDE</v>
      </c>
      <c r="AS914" s="22" t="str">
        <f>IF(DATA[[#This Row],[fecha_fs]]&gt;0,TEXT(DATA[[#This Row],[fecha_fs]],"Mmmm"),0)</f>
        <v>Julio</v>
      </c>
      <c r="AT914" s="22" t="str">
        <f>DATA[[#This Row],[SERIE2]]&amp;"-"&amp;DATA[[#This Row],[NUMERO]]</f>
        <v>FF01-179</v>
      </c>
      <c r="AU914" s="28">
        <f>DATA[[#This Row],[TOTAL]]*DATA[[#This Row],[T.C.]]</f>
        <v>2935.53</v>
      </c>
      <c r="AV914" s="6">
        <f>DATA[[#This Row],[FECHA DE VAL.]]</f>
        <v>45852</v>
      </c>
      <c r="AW914" s="6">
        <f>DATA[[#This Row],[FECHA DE EMISION]]</f>
        <v>45856</v>
      </c>
      <c r="AX914" s="6">
        <f>DATA[[#This Row],[F1]]</f>
        <v>0</v>
      </c>
      <c r="AY914" s="20">
        <f>IF(AV914-DATA[[#This Row],[fecha_fs]]&lt;0,0,AV914-DATA[[#This Row],[fecha_fs]])</f>
        <v>4</v>
      </c>
      <c r="AZ914" s="20">
        <f t="shared" si="97"/>
        <v>4</v>
      </c>
      <c r="BA914" s="20">
        <f t="shared" si="98"/>
        <v>0</v>
      </c>
      <c r="BB914" s="195">
        <f>IFERROR(SUM(DATA[[#This Row],[fs_val_ttf]:[fact_pago_ttf]]),0)</f>
        <v>8</v>
      </c>
      <c r="BC914" s="185">
        <v>45849</v>
      </c>
      <c r="BD914" s="185">
        <v>45862</v>
      </c>
      <c r="BE914" s="185">
        <v>45870</v>
      </c>
      <c r="BF914" s="185">
        <v>45889</v>
      </c>
      <c r="BG914" s="20">
        <f>IFERROR(IF(BC914-DATA[[#This Row],[fecha_fs]]&lt;0,0,BC914-DATA[[#This Row],[fecha_fs]]),0)</f>
        <v>1</v>
      </c>
      <c r="BH914" s="20">
        <f t="shared" si="99"/>
        <v>13</v>
      </c>
      <c r="BI914" s="20">
        <f t="shared" si="100"/>
        <v>8</v>
      </c>
      <c r="BJ914" s="20">
        <f t="shared" si="101"/>
        <v>19</v>
      </c>
      <c r="BK914" s="218">
        <f>IFERROR(SUM(DATA[[#This Row],[fs_fd_ttd]:[fend_fenf_ttd]]),0)</f>
        <v>41</v>
      </c>
      <c r="BL914" s="20" t="str">
        <f>IF(DATA[[#This Row],[fecha_fs]]&gt;0,TEXT(DATA[[#This Row],[fecha_fs]],"YYYY"),0)</f>
        <v>2025</v>
      </c>
      <c r="BM914" s="221" t="b">
        <v>1</v>
      </c>
      <c r="BN914" s="278">
        <f>COUNTIF(DATA[[#This Row],[tiempo_td]], "&lt;=15")</f>
        <v>0</v>
      </c>
      <c r="BO914" s="222"/>
    </row>
    <row r="915" spans="1:67" ht="30.6" customHeight="1" x14ac:dyDescent="0.25">
      <c r="A915" s="4">
        <v>20100192064</v>
      </c>
      <c r="B915" s="5" t="s">
        <v>60</v>
      </c>
      <c r="C915" s="52" t="s">
        <v>43</v>
      </c>
      <c r="D915" s="4" t="s">
        <v>112</v>
      </c>
      <c r="E915" s="5" t="s">
        <v>1</v>
      </c>
      <c r="F915" s="24">
        <v>45849</v>
      </c>
      <c r="G915" s="7" t="s">
        <v>113</v>
      </c>
      <c r="H915" s="25">
        <f t="shared" si="96"/>
        <v>1</v>
      </c>
      <c r="I915" s="67">
        <v>4743</v>
      </c>
      <c r="J915" s="8" t="s">
        <v>115</v>
      </c>
      <c r="K915" s="9" t="s">
        <v>116</v>
      </c>
      <c r="L915" s="10" t="s">
        <v>117</v>
      </c>
      <c r="M915" s="11">
        <v>2850</v>
      </c>
      <c r="N915" s="12" t="s">
        <v>122</v>
      </c>
      <c r="O915" s="6">
        <v>45863</v>
      </c>
      <c r="P915" s="71">
        <v>3559</v>
      </c>
      <c r="Q915" s="14" t="s">
        <v>123</v>
      </c>
      <c r="R915" s="15">
        <f>(DATA[[#This Row],[cantidad_fs]]/1000)*(143+175.34)</f>
        <v>907.26900000000012</v>
      </c>
      <c r="S915" s="15">
        <v>137</v>
      </c>
      <c r="T915" s="15">
        <f>DATA[[#This Row],[C. DF]]+DATA[[#This Row],[C.OPE.]]</f>
        <v>1044.2690000000002</v>
      </c>
      <c r="U915" s="15">
        <f>DATA[[#This Row],[SUB TOTAL]]*0.18</f>
        <v>187.96842000000004</v>
      </c>
      <c r="V915" s="15">
        <f>IFERROR(ROUND(DATA[[#This Row],[SUB TOTAL]]+DATA[[#This Row],[IGV]],2),0)</f>
        <v>1232.24</v>
      </c>
      <c r="W915" s="16" t="str">
        <f>IF(DATA[[#This Row],[VALORIZACIÓN ]]="-","NO CORRESPONDE",IF(OR(A915=20558226979,A915=10470707866,A915=20111157058,A915=20100226902),"NO CORRESPONDE",IF(J915="Emitida",IF(P915&gt;0,"EMITIDA","PENDIENTE"),"NO CORRESPONDE")))</f>
        <v>EMITIDA</v>
      </c>
      <c r="X915" s="29"/>
      <c r="Y915" s="17" t="s">
        <v>118</v>
      </c>
      <c r="Z915" s="30">
        <v>45869</v>
      </c>
      <c r="AA915" s="10" t="s">
        <v>150</v>
      </c>
      <c r="AB915" s="19">
        <v>189</v>
      </c>
      <c r="AC915" s="20">
        <v>30</v>
      </c>
      <c r="AD915" s="18">
        <f>DATA[[#This Row],[FECHA DE EMISION]]+DATA[[#This Row],[CONDICION DE PAGO]]</f>
        <v>45899</v>
      </c>
      <c r="AE915" s="23" t="e">
        <f>IF(DATA[[#This Row],[MONEDA]]="USD",VLOOKUP(DATA[[#This Row],[COMBINADA]],#REF!,11,0),1)</f>
        <v>#REF!</v>
      </c>
      <c r="AF915" s="39" t="str">
        <f>IF(DATA[[#This Row],[SERIE2]]="-","NO CORRESPONDE",IF(W915="NO CORRESPONDE","NO CORRESPONDE",IF(Z915&gt;0,"FACTURADO","PENDIENTE")))</f>
        <v>FACTURADO</v>
      </c>
      <c r="AG915" s="133">
        <f>IFERROR(VLOOKUP(DATA[[#This Row],[COMBINADA]],#REF!,6,0),0)</f>
        <v>0</v>
      </c>
      <c r="AH915" s="125">
        <f>IFERROR(VLOOKUP(DATA[[#This Row],[COMBINADA]],#REF!,9,0),0)/COUNTIFS(DATA[COMBINADA],DATA[[#This Row],[COMBINADA]])</f>
        <v>0</v>
      </c>
      <c r="AI915" s="136">
        <f>IFERROR(VLOOKUP(DATA[[#This Row],[COMBINADA]],#REF!,6,0),0)</f>
        <v>0</v>
      </c>
      <c r="AJ915" s="132">
        <f>IFERROR(VLOOKUP(DATA[[#This Row],[COMBINADA]],#REF!,9,0),0)/COUNTIFS(DATA[COMBINADA],DATA[[#This Row],[COMBINADA]])</f>
        <v>0</v>
      </c>
      <c r="AK915" s="408">
        <f>IFERROR(VLOOKUP(DATA[[#This Row],[COMBINADA]],#REF!,6,0),0)</f>
        <v>0</v>
      </c>
      <c r="AL915" s="125">
        <f>IFERROR(VLOOKUP(DATA[[#This Row],[COMBINADA]],#REF!,9,0),0)/COUNTIFS(DATA[COMBINADA],DATA[[#This Row],[COMBINADA]])</f>
        <v>0</v>
      </c>
      <c r="AM915" s="27">
        <f>IFERROR(VLOOKUP(DATA[[#This Row],[COMBINADA]],#REF!,6,0),0)</f>
        <v>0</v>
      </c>
      <c r="AN915" s="125">
        <f>IFERROR(VLOOKUP(DATA[[#This Row],[COMBINADA]],#REF!,9,0),0)/COUNTIFS(DATA[COMBINADA],DATA[[#This Row],[COMBINADA]])</f>
        <v>0</v>
      </c>
      <c r="AO915" s="27">
        <f>IFERROR(VLOOKUP(DATA[[#This Row],[COMBINADA]],#REF!,6,0),0)</f>
        <v>0</v>
      </c>
      <c r="AP915" s="132">
        <f>IFERROR(VLOOKUP(DATA[[#This Row],[COMBINADA]],#REF!,9,0),0)/COUNTIFS(DATA[COMBINADA],DATA[[#This Row],[COMBINADA]])</f>
        <v>0</v>
      </c>
      <c r="AQ91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799.26461538461524</v>
      </c>
      <c r="AR915" s="26" t="str">
        <f>IFERROR(IF(DATA[[#This Row],[estado_fact]]="FACTURADO",VLOOKUP(DATA[[#This Row],[SERIE2]]&amp;"-"&amp;DATA[[#This Row],[NUMERO]],#REF!,34,0),"NO CORRESPONDE"),"NO CORRESPONDE")</f>
        <v>NO CORRESPONDE</v>
      </c>
      <c r="AS915" s="22" t="str">
        <f>IF(DATA[[#This Row],[fecha_fs]]&gt;0,TEXT(DATA[[#This Row],[fecha_fs]],"Mmmm"),0)</f>
        <v>Julio</v>
      </c>
      <c r="AT915" s="22" t="str">
        <f>DATA[[#This Row],[SERIE2]]&amp;"-"&amp;DATA[[#This Row],[NUMERO]]</f>
        <v>FF01-189</v>
      </c>
      <c r="AU915" s="28" t="e">
        <f>DATA[[#This Row],[TOTAL]]*DATA[[#This Row],[T.C.]]</f>
        <v>#REF!</v>
      </c>
      <c r="AV915" s="6">
        <f>DATA[[#This Row],[FECHA DE VAL.]]</f>
        <v>45863</v>
      </c>
      <c r="AW915" s="6">
        <f>DATA[[#This Row],[FECHA DE EMISION]]</f>
        <v>45869</v>
      </c>
      <c r="AX915" s="6">
        <f>DATA[[#This Row],[F1]]</f>
        <v>0</v>
      </c>
      <c r="AY915" s="20">
        <f>IF(AV915-DATA[[#This Row],[fecha_fs]]&lt;0,0,AV915-DATA[[#This Row],[fecha_fs]])</f>
        <v>14</v>
      </c>
      <c r="AZ915" s="20">
        <f t="shared" si="97"/>
        <v>6</v>
      </c>
      <c r="BA915" s="20">
        <f t="shared" si="98"/>
        <v>0</v>
      </c>
      <c r="BB915" s="195">
        <f>IFERROR(SUM(DATA[[#This Row],[fs_val_ttf]:[fact_pago_ttf]]),0)</f>
        <v>20</v>
      </c>
      <c r="BC915" s="185">
        <v>45856</v>
      </c>
      <c r="BD915" s="185">
        <v>45869</v>
      </c>
      <c r="BE915" s="185">
        <v>45870</v>
      </c>
      <c r="BF915" s="185">
        <v>45909</v>
      </c>
      <c r="BG915" s="20">
        <f>IFERROR(IF(BC915-DATA[[#This Row],[fecha_fs]]&lt;0,0,BC915-DATA[[#This Row],[fecha_fs]]),0)</f>
        <v>7</v>
      </c>
      <c r="BH915" s="20">
        <f t="shared" si="99"/>
        <v>13</v>
      </c>
      <c r="BI915" s="20">
        <f t="shared" si="100"/>
        <v>1</v>
      </c>
      <c r="BJ915" s="20">
        <f t="shared" si="101"/>
        <v>39</v>
      </c>
      <c r="BK915" s="218">
        <f>IFERROR(SUM(DATA[[#This Row],[fs_fd_ttd]:[fend_fenf_ttd]]),0)</f>
        <v>60</v>
      </c>
      <c r="BL915" s="20" t="str">
        <f>IF(DATA[[#This Row],[fecha_fs]]&gt;0,TEXT(DATA[[#This Row],[fecha_fs]],"YYYY"),0)</f>
        <v>2025</v>
      </c>
      <c r="BM915" s="221" t="b">
        <v>1</v>
      </c>
      <c r="BN915" s="278">
        <f>COUNTIF(DATA[[#This Row],[tiempo_td]], "&lt;=15")</f>
        <v>0</v>
      </c>
      <c r="BO915" s="222"/>
    </row>
    <row r="916" spans="1:67" ht="30.6" customHeight="1" x14ac:dyDescent="0.25">
      <c r="A916" s="4">
        <v>20100192064</v>
      </c>
      <c r="B916" s="5" t="s">
        <v>60</v>
      </c>
      <c r="C916" s="52" t="s">
        <v>64</v>
      </c>
      <c r="D916" s="4" t="s">
        <v>112</v>
      </c>
      <c r="E916" s="5" t="s">
        <v>1</v>
      </c>
      <c r="F916" s="24">
        <v>45849</v>
      </c>
      <c r="G916" s="7" t="s">
        <v>113</v>
      </c>
      <c r="H916" s="25">
        <f t="shared" si="96"/>
        <v>1</v>
      </c>
      <c r="I916" s="67">
        <v>4744</v>
      </c>
      <c r="J916" s="8" t="s">
        <v>115</v>
      </c>
      <c r="K916" s="9" t="s">
        <v>116</v>
      </c>
      <c r="L916" s="10" t="s">
        <v>117</v>
      </c>
      <c r="M916" s="11">
        <v>6330</v>
      </c>
      <c r="N916" s="12" t="s">
        <v>122</v>
      </c>
      <c r="O916" s="6">
        <v>45852</v>
      </c>
      <c r="P916" s="13">
        <v>3546</v>
      </c>
      <c r="Q916" s="14" t="s">
        <v>85</v>
      </c>
      <c r="R916" s="15">
        <f>DATA[[#This Row],[cantidad_fs]]*0.57</f>
        <v>3608.1</v>
      </c>
      <c r="S916" s="15">
        <v>5997.73</v>
      </c>
      <c r="T916" s="15">
        <f>DATA[[#This Row],[C. DF]]+DATA[[#This Row],[C.OPE.]]</f>
        <v>9605.83</v>
      </c>
      <c r="U916" s="15">
        <f>DATA[[#This Row],[SUB TOTAL]]*0.18</f>
        <v>1729.0493999999999</v>
      </c>
      <c r="V916" s="15">
        <f>IFERROR(ROUND(DATA[[#This Row],[SUB TOTAL]]+DATA[[#This Row],[IGV]],2),0)</f>
        <v>11334.88</v>
      </c>
      <c r="W916" s="16" t="str">
        <f>IF(DATA[[#This Row],[VALORIZACIÓN ]]="-","NO CORRESPONDE",IF(OR(A916=20558226979,A916=10470707866,A916=20111157058,A916=20100226902),"NO CORRESPONDE",IF(J916="Emitida",IF(P916&gt;0,"EMITIDA","PENDIENTE"),"NO CORRESPONDE")))</f>
        <v>EMITIDA</v>
      </c>
      <c r="X916" s="29"/>
      <c r="Y916" s="17" t="s">
        <v>118</v>
      </c>
      <c r="Z916" s="30">
        <v>45862</v>
      </c>
      <c r="AA916" s="10" t="s">
        <v>150</v>
      </c>
      <c r="AB916" s="19">
        <v>185</v>
      </c>
      <c r="AC916" s="20">
        <v>30</v>
      </c>
      <c r="AD916" s="18">
        <f>DATA[[#This Row],[FECHA DE EMISION]]+DATA[[#This Row],[CONDICION DE PAGO]]</f>
        <v>45892</v>
      </c>
      <c r="AE916" s="23">
        <f>IF(DATA[[#This Row],[MONEDA]]="USD",VLOOKUP(DATA[[#This Row],[COMBINADA]],#REF!,11,0),1)</f>
        <v>1</v>
      </c>
      <c r="AF916" s="39" t="str">
        <f>IF(DATA[[#This Row],[SERIE2]]="-","NO CORRESPONDE",IF(W916="NO CORRESPONDE","NO CORRESPONDE",IF(Z916&gt;0,"FACTURADO","PENDIENTE")))</f>
        <v>FACTURADO</v>
      </c>
      <c r="AG916" s="133">
        <f>IFERROR(VLOOKUP(DATA[[#This Row],[COMBINADA]],#REF!,6,0),0)</f>
        <v>0</v>
      </c>
      <c r="AH916" s="125">
        <f>IFERROR(VLOOKUP(DATA[[#This Row],[COMBINADA]],#REF!,9,0),0)/COUNTIFS(DATA[COMBINADA],DATA[[#This Row],[COMBINADA]])</f>
        <v>0</v>
      </c>
      <c r="AI916" s="136">
        <f>IFERROR(VLOOKUP(DATA[[#This Row],[COMBINADA]],#REF!,6,0),0)</f>
        <v>0</v>
      </c>
      <c r="AJ916" s="132">
        <f>IFERROR(VLOOKUP(DATA[[#This Row],[COMBINADA]],#REF!,9,0),0)/COUNTIFS(DATA[COMBINADA],DATA[[#This Row],[COMBINADA]])</f>
        <v>0</v>
      </c>
      <c r="AK916" s="408">
        <f>IFERROR(VLOOKUP(DATA[[#This Row],[COMBINADA]],#REF!,6,0),0)</f>
        <v>0</v>
      </c>
      <c r="AL916" s="125">
        <f>IFERROR(VLOOKUP(DATA[[#This Row],[COMBINADA]],#REF!,9,0),0)/COUNTIFS(DATA[COMBINADA],DATA[[#This Row],[COMBINADA]])</f>
        <v>0</v>
      </c>
      <c r="AM916" s="27">
        <f>IFERROR(VLOOKUP(DATA[[#This Row],[COMBINADA]],#REF!,6,0),0)</f>
        <v>0</v>
      </c>
      <c r="AN916" s="125">
        <f>IFERROR(VLOOKUP(DATA[[#This Row],[COMBINADA]],#REF!,9,0),0)/COUNTIFS(DATA[COMBINADA],DATA[[#This Row],[COMBINADA]])</f>
        <v>0</v>
      </c>
      <c r="AO916" s="27">
        <f>IFERROR(VLOOKUP(DATA[[#This Row],[COMBINADA]],#REF!,6,0),0)</f>
        <v>0</v>
      </c>
      <c r="AP916" s="132">
        <f>IFERROR(VLOOKUP(DATA[[#This Row],[COMBINADA]],#REF!,9,0),0)/COUNTIFS(DATA[COMBINADA],DATA[[#This Row],[COMBINADA]])</f>
        <v>0</v>
      </c>
      <c r="AQ91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11334.88</v>
      </c>
      <c r="AR916" s="26" t="str">
        <f>IFERROR(IF(DATA[[#This Row],[estado_fact]]="FACTURADO",VLOOKUP(DATA[[#This Row],[SERIE2]]&amp;"-"&amp;DATA[[#This Row],[NUMERO]],#REF!,34,0),"NO CORRESPONDE"),"NO CORRESPONDE")</f>
        <v>NO CORRESPONDE</v>
      </c>
      <c r="AS916" s="22" t="str">
        <f>IF(DATA[[#This Row],[fecha_fs]]&gt;0,TEXT(DATA[[#This Row],[fecha_fs]],"Mmmm"),0)</f>
        <v>Julio</v>
      </c>
      <c r="AT916" s="22" t="str">
        <f>DATA[[#This Row],[SERIE2]]&amp;"-"&amp;DATA[[#This Row],[NUMERO]]</f>
        <v>FF01-185</v>
      </c>
      <c r="AU916" s="28">
        <f>DATA[[#This Row],[TOTAL]]*DATA[[#This Row],[T.C.]]</f>
        <v>11334.88</v>
      </c>
      <c r="AV916" s="6">
        <f>DATA[[#This Row],[FECHA DE VAL.]]</f>
        <v>45852</v>
      </c>
      <c r="AW916" s="6">
        <f>DATA[[#This Row],[FECHA DE EMISION]]</f>
        <v>45862</v>
      </c>
      <c r="AX916" s="6">
        <f>DATA[[#This Row],[F1]]</f>
        <v>0</v>
      </c>
      <c r="AY916" s="20">
        <f>IF(AV916-DATA[[#This Row],[fecha_fs]]&lt;0,0,AV916-DATA[[#This Row],[fecha_fs]])</f>
        <v>3</v>
      </c>
      <c r="AZ916" s="20">
        <f t="shared" si="97"/>
        <v>10</v>
      </c>
      <c r="BA916" s="20">
        <f t="shared" si="98"/>
        <v>0</v>
      </c>
      <c r="BB916" s="195">
        <f>IFERROR(SUM(DATA[[#This Row],[fs_val_ttf]:[fact_pago_ttf]]),0)</f>
        <v>13</v>
      </c>
      <c r="BC916" s="185">
        <v>45856</v>
      </c>
      <c r="BD916" s="185">
        <v>45869</v>
      </c>
      <c r="BE916" s="185">
        <v>45870</v>
      </c>
      <c r="BF916" s="185">
        <v>45909</v>
      </c>
      <c r="BG916" s="20">
        <f>IFERROR(IF(BC916-DATA[[#This Row],[fecha_fs]]&lt;0,0,BC916-DATA[[#This Row],[fecha_fs]]),0)</f>
        <v>7</v>
      </c>
      <c r="BH916" s="20">
        <f t="shared" si="99"/>
        <v>13</v>
      </c>
      <c r="BI916" s="20">
        <f t="shared" si="100"/>
        <v>1</v>
      </c>
      <c r="BJ916" s="20">
        <f t="shared" si="101"/>
        <v>39</v>
      </c>
      <c r="BK916" s="218">
        <f>IFERROR(SUM(DATA[[#This Row],[fs_fd_ttd]:[fend_fenf_ttd]]),0)</f>
        <v>60</v>
      </c>
      <c r="BL916" s="20" t="str">
        <f>IF(DATA[[#This Row],[fecha_fs]]&gt;0,TEXT(DATA[[#This Row],[fecha_fs]],"YYYY"),0)</f>
        <v>2025</v>
      </c>
      <c r="BM916" s="221" t="b">
        <v>1</v>
      </c>
      <c r="BN916" s="278">
        <f>COUNTIF(DATA[[#This Row],[tiempo_td]], "&lt;=15")</f>
        <v>0</v>
      </c>
      <c r="BO916" s="222"/>
    </row>
    <row r="917" spans="1:67" ht="30.6" customHeight="1" x14ac:dyDescent="0.25">
      <c r="A917" s="4">
        <v>20100211115</v>
      </c>
      <c r="B917" s="5" t="s">
        <v>41</v>
      </c>
      <c r="C917" s="52" t="s">
        <v>18</v>
      </c>
      <c r="D917" s="4" t="s">
        <v>120</v>
      </c>
      <c r="E917" s="5" t="s">
        <v>3</v>
      </c>
      <c r="F917" s="24">
        <v>45849</v>
      </c>
      <c r="G917" s="7" t="s">
        <v>113</v>
      </c>
      <c r="H917" s="25">
        <f t="shared" si="96"/>
        <v>1</v>
      </c>
      <c r="I917" s="67">
        <v>4745</v>
      </c>
      <c r="J917" s="8" t="s">
        <v>115</v>
      </c>
      <c r="K917" s="9" t="s">
        <v>121</v>
      </c>
      <c r="L917" s="10" t="s">
        <v>117</v>
      </c>
      <c r="M917" s="11">
        <v>90</v>
      </c>
      <c r="N917" s="12" t="s">
        <v>186</v>
      </c>
      <c r="O917" s="6">
        <v>45863</v>
      </c>
      <c r="P917" s="115">
        <v>3575</v>
      </c>
      <c r="Q917" s="14" t="s">
        <v>85</v>
      </c>
      <c r="R917" s="15"/>
      <c r="S917" s="15">
        <f>(DATA[[#This Row],[cantidad_fs]]*4.17)</f>
        <v>375.3</v>
      </c>
      <c r="T917" s="15">
        <f>DATA[[#This Row],[C. DF]]+DATA[[#This Row],[C.OPE.]]</f>
        <v>375.3</v>
      </c>
      <c r="U917" s="15">
        <f>DATA[[#This Row],[SUB TOTAL]]*0.18</f>
        <v>67.554000000000002</v>
      </c>
      <c r="V917" s="15">
        <f>IFERROR(ROUND(DATA[[#This Row],[SUB TOTAL]]+DATA[[#This Row],[IGV]],2),0)</f>
        <v>442.85</v>
      </c>
      <c r="W917" s="16" t="str">
        <f>IF(DATA[[#This Row],[VALORIZACIÓN ]]="-","NO CORRESPONDE",IF(OR(A917=20558226979,A917=10470707866,A917=20111157058,A917=20100226902),"NO CORRESPONDE",IF(J917="Emitida",IF(P917&gt;0,"EMITIDA","PENDIENTE"),"NO CORRESPONDE")))</f>
        <v>EMITIDA</v>
      </c>
      <c r="X917" s="29"/>
      <c r="Y917" s="17" t="s">
        <v>118</v>
      </c>
      <c r="Z917" s="30">
        <v>45869</v>
      </c>
      <c r="AA917" s="10" t="s">
        <v>150</v>
      </c>
      <c r="AB917" s="19">
        <v>191</v>
      </c>
      <c r="AC917" s="20">
        <v>30</v>
      </c>
      <c r="AD917" s="18">
        <f>DATA[[#This Row],[FECHA DE EMISION]]+DATA[[#This Row],[CONDICION DE PAGO]]</f>
        <v>45899</v>
      </c>
      <c r="AE917" s="23">
        <f>IF(DATA[[#This Row],[MONEDA]]="USD",VLOOKUP(DATA[[#This Row],[COMBINADA]],#REF!,11,0),1)</f>
        <v>1</v>
      </c>
      <c r="AF917" s="129" t="str">
        <f>IF(DATA[[#This Row],[SERIE2]]="-","NO CORRESPONDE",IF(W917="NO CORRESPONDE","NO CORRESPONDE",IF(Z917&gt;0,"FACTURADO","PENDIENTE")))</f>
        <v>FACTURADO</v>
      </c>
      <c r="AG917" s="133">
        <f>IFERROR(VLOOKUP(DATA[[#This Row],[COMBINADA]],#REF!,6,0),0)</f>
        <v>0</v>
      </c>
      <c r="AH917" s="125">
        <f>IFERROR(VLOOKUP(DATA[[#This Row],[COMBINADA]],#REF!,9,0),0)/COUNTIFS(DATA[COMBINADA],DATA[[#This Row],[COMBINADA]])</f>
        <v>0</v>
      </c>
      <c r="AI917" s="136">
        <f>IFERROR(VLOOKUP(DATA[[#This Row],[COMBINADA]],#REF!,6,0),0)</f>
        <v>0</v>
      </c>
      <c r="AJ917" s="132">
        <f>IFERROR(VLOOKUP(DATA[[#This Row],[COMBINADA]],#REF!,9,0),0)/COUNTIFS(DATA[COMBINADA],DATA[[#This Row],[COMBINADA]])</f>
        <v>0</v>
      </c>
      <c r="AK917" s="407">
        <f>IFERROR(VLOOKUP(DATA[[#This Row],[COMBINADA]],#REF!,6,0),0)</f>
        <v>0</v>
      </c>
      <c r="AL917" s="125">
        <f>IFERROR(VLOOKUP(DATA[[#This Row],[COMBINADA]],#REF!,9,0),0)/COUNTIFS(DATA[COMBINADA],DATA[[#This Row],[COMBINADA]])</f>
        <v>0</v>
      </c>
      <c r="AM917" s="27">
        <f>IFERROR(VLOOKUP(DATA[[#This Row],[COMBINADA]],#REF!,6,0),0)</f>
        <v>0</v>
      </c>
      <c r="AN917" s="125">
        <f>IFERROR(VLOOKUP(DATA[[#This Row],[COMBINADA]],#REF!,9,0),0)/COUNTIFS(DATA[COMBINADA],DATA[[#This Row],[COMBINADA]])</f>
        <v>0</v>
      </c>
      <c r="AO917" s="27">
        <f>IFERROR(VLOOKUP(DATA[[#This Row],[COMBINADA]],#REF!,6,0),0)</f>
        <v>0</v>
      </c>
      <c r="AP917" s="132">
        <f>IFERROR(VLOOKUP(DATA[[#This Row],[COMBINADA]],#REF!,9,0),0)/COUNTIFS(DATA[COMBINADA],DATA[[#This Row],[COMBINADA]])</f>
        <v>0</v>
      </c>
      <c r="AQ91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917" s="26" t="str">
        <f>IFERROR(IF(DATA[[#This Row],[estado_fact]]="FACTURADO",VLOOKUP(DATA[[#This Row],[SERIE2]]&amp;"-"&amp;DATA[[#This Row],[NUMERO]],#REF!,34,0),"NO CORRESPONDE"),"NO CORRESPONDE")</f>
        <v>NO CORRESPONDE</v>
      </c>
      <c r="AS917" s="22" t="str">
        <f>IF(DATA[[#This Row],[fecha_fs]]&gt;0,TEXT(DATA[[#This Row],[fecha_fs]],"Mmmm"),0)</f>
        <v>Julio</v>
      </c>
      <c r="AT917" s="22" t="str">
        <f>DATA[[#This Row],[SERIE2]]&amp;"-"&amp;DATA[[#This Row],[NUMERO]]</f>
        <v>FF01-191</v>
      </c>
      <c r="AU917" s="28">
        <f>DATA[[#This Row],[TOTAL]]*DATA[[#This Row],[T.C.]]</f>
        <v>442.85</v>
      </c>
      <c r="AV917" s="6">
        <f>DATA[[#This Row],[FECHA DE VAL.]]</f>
        <v>45863</v>
      </c>
      <c r="AW917" s="6">
        <f>DATA[[#This Row],[FECHA DE EMISION]]</f>
        <v>45869</v>
      </c>
      <c r="AX917" s="6">
        <f>DATA[[#This Row],[F1]]</f>
        <v>0</v>
      </c>
      <c r="AY917" s="20">
        <f>IF(AV917-DATA[[#This Row],[fecha_fs]]&lt;0,0,AV917-DATA[[#This Row],[fecha_fs]])</f>
        <v>14</v>
      </c>
      <c r="AZ917" s="20">
        <f t="shared" si="97"/>
        <v>6</v>
      </c>
      <c r="BA917" s="20">
        <f t="shared" si="98"/>
        <v>0</v>
      </c>
      <c r="BB917" s="195">
        <f>IFERROR(SUM(DATA[[#This Row],[fs_val_ttf]:[fact_pago_ttf]]),0)</f>
        <v>20</v>
      </c>
      <c r="BC917" s="185">
        <v>45870</v>
      </c>
      <c r="BD917" s="185">
        <v>45876</v>
      </c>
      <c r="BE917" s="185">
        <v>45882</v>
      </c>
      <c r="BF917" s="185">
        <v>45887</v>
      </c>
      <c r="BG917" s="20">
        <f>IFERROR(IF(BC917-DATA[[#This Row],[fecha_fs]]&lt;0,0,BC917-DATA[[#This Row],[fecha_fs]]),0)</f>
        <v>21</v>
      </c>
      <c r="BH917" s="20">
        <f t="shared" si="99"/>
        <v>6</v>
      </c>
      <c r="BI917" s="20">
        <f t="shared" si="100"/>
        <v>6</v>
      </c>
      <c r="BJ917" s="20">
        <f t="shared" si="101"/>
        <v>5</v>
      </c>
      <c r="BK917" s="218">
        <f>IFERROR(SUM(DATA[[#This Row],[fs_fd_ttd]:[fend_fenf_ttd]]),0)</f>
        <v>38</v>
      </c>
      <c r="BL917" s="20" t="str">
        <f>IF(DATA[[#This Row],[fecha_fs]]&gt;0,TEXT(DATA[[#This Row],[fecha_fs]],"YYYY"),0)</f>
        <v>2025</v>
      </c>
      <c r="BM917" s="221" t="b">
        <v>1</v>
      </c>
      <c r="BN917" s="278">
        <f>COUNTIF(DATA[[#This Row],[tiempo_td]], "&lt;=15")</f>
        <v>0</v>
      </c>
      <c r="BO917" s="222"/>
    </row>
    <row r="918" spans="1:67" ht="30.6" customHeight="1" x14ac:dyDescent="0.25">
      <c r="A918" s="4">
        <v>20100211115</v>
      </c>
      <c r="B918" s="5" t="s">
        <v>41</v>
      </c>
      <c r="C918" s="52" t="s">
        <v>18</v>
      </c>
      <c r="D918" s="4" t="s">
        <v>112</v>
      </c>
      <c r="E918" s="5" t="s">
        <v>1</v>
      </c>
      <c r="F918" s="24">
        <v>45849</v>
      </c>
      <c r="G918" s="7" t="s">
        <v>113</v>
      </c>
      <c r="H918" s="25">
        <f t="shared" ref="H918:H920" si="102">IF(G918="","",IF(G918="LIM",2,1))</f>
        <v>1</v>
      </c>
      <c r="I918" s="67">
        <v>4746</v>
      </c>
      <c r="J918" s="8" t="s">
        <v>115</v>
      </c>
      <c r="K918" s="9" t="s">
        <v>116</v>
      </c>
      <c r="L918" s="10" t="s">
        <v>117</v>
      </c>
      <c r="M918" s="11">
        <v>7</v>
      </c>
      <c r="N918" s="12" t="s">
        <v>186</v>
      </c>
      <c r="O918" s="6">
        <v>45863</v>
      </c>
      <c r="P918" s="115">
        <v>3577</v>
      </c>
      <c r="Q918" s="14" t="s">
        <v>85</v>
      </c>
      <c r="R918" s="56"/>
      <c r="S918" s="56">
        <f>(DATA[[#This Row],[cantidad_fs]]*4.57)</f>
        <v>31.990000000000002</v>
      </c>
      <c r="T918" s="15">
        <f>DATA[[#This Row],[C. DF]]+DATA[[#This Row],[C.OPE.]]</f>
        <v>31.990000000000002</v>
      </c>
      <c r="U918" s="15">
        <f>DATA[[#This Row],[SUB TOTAL]]*0.18</f>
        <v>5.7582000000000004</v>
      </c>
      <c r="V918" s="15">
        <f>IFERROR(ROUND(DATA[[#This Row],[SUB TOTAL]]+DATA[[#This Row],[IGV]],2),0)</f>
        <v>37.75</v>
      </c>
      <c r="W918" s="16" t="str">
        <f>IF(DATA[[#This Row],[VALORIZACIÓN ]]="-","NO CORRESPONDE",IF(OR(A918=20558226979,A918=10470707866,A918=20111157058,A918=20100226902),"NO CORRESPONDE",IF(J918="Emitida",IF(P918&gt;0,"EMITIDA","PENDIENTE"),"NO CORRESPONDE")))</f>
        <v>EMITIDA</v>
      </c>
      <c r="X918" s="29"/>
      <c r="Y918" s="17" t="s">
        <v>118</v>
      </c>
      <c r="Z918" s="30">
        <v>45869</v>
      </c>
      <c r="AA918" s="10" t="s">
        <v>150</v>
      </c>
      <c r="AB918" s="19">
        <v>194</v>
      </c>
      <c r="AC918" s="20">
        <v>30</v>
      </c>
      <c r="AD918" s="18">
        <f>DATA[[#This Row],[FECHA DE EMISION]]+DATA[[#This Row],[CONDICION DE PAGO]]</f>
        <v>45899</v>
      </c>
      <c r="AE918" s="23">
        <f>IF(DATA[[#This Row],[MONEDA]]="USD",VLOOKUP(DATA[[#This Row],[COMBINADA]],#REF!,11,0),1)</f>
        <v>1</v>
      </c>
      <c r="AF918" s="129" t="str">
        <f>IF(DATA[[#This Row],[SERIE2]]="-","NO CORRESPONDE",IF(W918="NO CORRESPONDE","NO CORRESPONDE",IF(Z918&gt;0,"FACTURADO","PENDIENTE")))</f>
        <v>FACTURADO</v>
      </c>
      <c r="AG918" s="133">
        <f>IFERROR(VLOOKUP(DATA[[#This Row],[COMBINADA]],#REF!,6,0),0)</f>
        <v>0</v>
      </c>
      <c r="AH918" s="125">
        <f>IFERROR(VLOOKUP(DATA[[#This Row],[COMBINADA]],#REF!,9,0),0)/COUNTIFS(DATA[COMBINADA],DATA[[#This Row],[COMBINADA]])</f>
        <v>0</v>
      </c>
      <c r="AI918" s="136">
        <f>IFERROR(VLOOKUP(DATA[[#This Row],[COMBINADA]],#REF!,6,0),0)</f>
        <v>0</v>
      </c>
      <c r="AJ918" s="132">
        <f>IFERROR(VLOOKUP(DATA[[#This Row],[COMBINADA]],#REF!,9,0),0)/COUNTIFS(DATA[COMBINADA],DATA[[#This Row],[COMBINADA]])</f>
        <v>0</v>
      </c>
      <c r="AK918" s="407">
        <f>IFERROR(VLOOKUP(DATA[[#This Row],[COMBINADA]],#REF!,6,0),0)</f>
        <v>0</v>
      </c>
      <c r="AL918" s="125">
        <f>IFERROR(VLOOKUP(DATA[[#This Row],[COMBINADA]],#REF!,9,0),0)/COUNTIFS(DATA[COMBINADA],DATA[[#This Row],[COMBINADA]])</f>
        <v>0</v>
      </c>
      <c r="AM918" s="27">
        <f>IFERROR(VLOOKUP(DATA[[#This Row],[COMBINADA]],#REF!,6,0),0)</f>
        <v>0</v>
      </c>
      <c r="AN918" s="125">
        <f>IFERROR(VLOOKUP(DATA[[#This Row],[COMBINADA]],#REF!,9,0),0)/COUNTIFS(DATA[COMBINADA],DATA[[#This Row],[COMBINADA]])</f>
        <v>0</v>
      </c>
      <c r="AO918" s="27">
        <f>IFERROR(VLOOKUP(DATA[[#This Row],[COMBINADA]],#REF!,6,0),0)</f>
        <v>0</v>
      </c>
      <c r="AP918" s="132">
        <f>IFERROR(VLOOKUP(DATA[[#This Row],[COMBINADA]],#REF!,9,0),0)/COUNTIFS(DATA[COMBINADA],DATA[[#This Row],[COMBINADA]])</f>
        <v>0</v>
      </c>
      <c r="AQ91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98.146000000000001</v>
      </c>
      <c r="AR918" s="26" t="str">
        <f>IFERROR(IF(DATA[[#This Row],[estado_fact]]="FACTURADO",VLOOKUP(DATA[[#This Row],[SERIE2]]&amp;"-"&amp;DATA[[#This Row],[NUMERO]],#REF!,34,0),"NO CORRESPONDE"),"NO CORRESPONDE")</f>
        <v>NO CORRESPONDE</v>
      </c>
      <c r="AS918" s="22" t="str">
        <f>IF(DATA[[#This Row],[fecha_fs]]&gt;0,TEXT(DATA[[#This Row],[fecha_fs]],"Mmmm"),0)</f>
        <v>Julio</v>
      </c>
      <c r="AT918" s="22" t="str">
        <f>DATA[[#This Row],[SERIE2]]&amp;"-"&amp;DATA[[#This Row],[NUMERO]]</f>
        <v>FF01-194</v>
      </c>
      <c r="AU918" s="28">
        <f>DATA[[#This Row],[TOTAL]]*DATA[[#This Row],[T.C.]]</f>
        <v>37.75</v>
      </c>
      <c r="AV918" s="6">
        <f>DATA[[#This Row],[FECHA DE VAL.]]</f>
        <v>45863</v>
      </c>
      <c r="AW918" s="6">
        <f>DATA[[#This Row],[FECHA DE EMISION]]</f>
        <v>45869</v>
      </c>
      <c r="AX918" s="6">
        <f>DATA[[#This Row],[F1]]</f>
        <v>0</v>
      </c>
      <c r="AY918" s="20">
        <f>IF(AV918-DATA[[#This Row],[fecha_fs]]&lt;0,0,AV918-DATA[[#This Row],[fecha_fs]])</f>
        <v>14</v>
      </c>
      <c r="AZ918" s="20">
        <f t="shared" si="97"/>
        <v>6</v>
      </c>
      <c r="BA918" s="20">
        <f t="shared" si="98"/>
        <v>0</v>
      </c>
      <c r="BB918" s="195">
        <f>IFERROR(SUM(DATA[[#This Row],[fs_val_ttf]:[fact_pago_ttf]]),0)</f>
        <v>20</v>
      </c>
      <c r="BC918" s="185">
        <v>45874</v>
      </c>
      <c r="BD918" s="185">
        <v>45882</v>
      </c>
      <c r="BE918" s="185">
        <v>45882</v>
      </c>
      <c r="BF918" s="185">
        <v>45882</v>
      </c>
      <c r="BG918" s="20">
        <f>IFERROR(IF(BC918-DATA[[#This Row],[fecha_fs]]&lt;0,0,BC918-DATA[[#This Row],[fecha_fs]]),0)</f>
        <v>25</v>
      </c>
      <c r="BH918" s="20">
        <f t="shared" si="99"/>
        <v>8</v>
      </c>
      <c r="BI918" s="20">
        <f t="shared" si="100"/>
        <v>0</v>
      </c>
      <c r="BJ918" s="20">
        <f t="shared" si="101"/>
        <v>0</v>
      </c>
      <c r="BK918" s="218">
        <f>IFERROR(SUM(DATA[[#This Row],[fs_fd_ttd]:[fend_fenf_ttd]]),0)</f>
        <v>33</v>
      </c>
      <c r="BL918" s="20" t="str">
        <f>IF(DATA[[#This Row],[fecha_fs]]&gt;0,TEXT(DATA[[#This Row],[fecha_fs]],"YYYY"),0)</f>
        <v>2025</v>
      </c>
      <c r="BM918" s="221" t="b">
        <v>1</v>
      </c>
      <c r="BN918" s="278">
        <f>COUNTIF(DATA[[#This Row],[tiempo_td]], "&lt;=15")</f>
        <v>0</v>
      </c>
      <c r="BO918" s="222"/>
    </row>
    <row r="919" spans="1:67" ht="30.6" customHeight="1" x14ac:dyDescent="0.25">
      <c r="A919" s="4">
        <v>20121393736</v>
      </c>
      <c r="B919" s="5" t="s">
        <v>38</v>
      </c>
      <c r="C919" s="52" t="s">
        <v>39</v>
      </c>
      <c r="D919" s="4" t="s">
        <v>112</v>
      </c>
      <c r="E919" s="5" t="s">
        <v>1</v>
      </c>
      <c r="F919" s="24">
        <v>45849</v>
      </c>
      <c r="G919" s="7" t="s">
        <v>113</v>
      </c>
      <c r="H919" s="25">
        <f t="shared" si="102"/>
        <v>1</v>
      </c>
      <c r="I919" s="67">
        <v>4747</v>
      </c>
      <c r="J919" s="8" t="s">
        <v>115</v>
      </c>
      <c r="K919" s="9" t="s">
        <v>116</v>
      </c>
      <c r="L919" s="10" t="s">
        <v>117</v>
      </c>
      <c r="M919" s="11">
        <v>140</v>
      </c>
      <c r="N919" s="12" t="s">
        <v>186</v>
      </c>
      <c r="O919" s="6">
        <v>45852</v>
      </c>
      <c r="P919" s="13">
        <v>3547</v>
      </c>
      <c r="Q919" s="14" t="s">
        <v>85</v>
      </c>
      <c r="R919" s="15">
        <f>291</f>
        <v>291</v>
      </c>
      <c r="S919" s="56">
        <v>548</v>
      </c>
      <c r="T919" s="15">
        <f>DATA[[#This Row],[C. DF]]+DATA[[#This Row],[C.OPE.]]</f>
        <v>839</v>
      </c>
      <c r="U919" s="15">
        <f>DATA[[#This Row],[SUB TOTAL]]*0.18</f>
        <v>151.01999999999998</v>
      </c>
      <c r="V919" s="15">
        <f>IFERROR(ROUND(DATA[[#This Row],[SUB TOTAL]]+DATA[[#This Row],[IGV]],2),0)</f>
        <v>990.02</v>
      </c>
      <c r="W919" s="16" t="str">
        <f>IF(DATA[[#This Row],[VALORIZACIÓN ]]="-","NO CORRESPONDE",IF(OR(A919=20558226979,A919=10470707866,A919=20111157058,A919=20100226902),"NO CORRESPONDE",IF(J919="Emitida",IF(P919&gt;0,"EMITIDA","PENDIENTE"),"NO CORRESPONDE")))</f>
        <v>EMITIDA</v>
      </c>
      <c r="X919" s="29"/>
      <c r="Y919" s="17" t="s">
        <v>118</v>
      </c>
      <c r="Z919" s="30">
        <v>45869</v>
      </c>
      <c r="AA919" s="10" t="s">
        <v>150</v>
      </c>
      <c r="AB919" s="19">
        <v>186</v>
      </c>
      <c r="AC919" s="20">
        <v>15</v>
      </c>
      <c r="AD919" s="18">
        <f>DATA[[#This Row],[FECHA DE EMISION]]+DATA[[#This Row],[CONDICION DE PAGO]]</f>
        <v>45884</v>
      </c>
      <c r="AE919" s="23">
        <f>IF(DATA[[#This Row],[MONEDA]]="USD",VLOOKUP(DATA[[#This Row],[COMBINADA]],#REF!,11,0),1)</f>
        <v>1</v>
      </c>
      <c r="AF919" s="129" t="str">
        <f>IF(DATA[[#This Row],[SERIE2]]="-","NO CORRESPONDE",IF(W919="NO CORRESPONDE","NO CORRESPONDE",IF(Z919&gt;0,"FACTURADO","PENDIENTE")))</f>
        <v>FACTURADO</v>
      </c>
      <c r="AG919" s="133">
        <f>IFERROR(VLOOKUP(DATA[[#This Row],[COMBINADA]],#REF!,6,0),0)</f>
        <v>0</v>
      </c>
      <c r="AH919" s="125">
        <f>IFERROR(VLOOKUP(DATA[[#This Row],[COMBINADA]],#REF!,9,0),0)/COUNTIFS(DATA[COMBINADA],DATA[[#This Row],[COMBINADA]])</f>
        <v>0</v>
      </c>
      <c r="AI919" s="136">
        <f>IFERROR(VLOOKUP(DATA[[#This Row],[COMBINADA]],#REF!,6,0),0)</f>
        <v>0</v>
      </c>
      <c r="AJ919" s="132">
        <f>IFERROR(VLOOKUP(DATA[[#This Row],[COMBINADA]],#REF!,9,0),0)/COUNTIFS(DATA[COMBINADA],DATA[[#This Row],[COMBINADA]])</f>
        <v>0</v>
      </c>
      <c r="AK919" s="407">
        <f>IFERROR(VLOOKUP(DATA[[#This Row],[COMBINADA]],#REF!,6,0),0)</f>
        <v>0</v>
      </c>
      <c r="AL919" s="125">
        <f>IFERROR(VLOOKUP(DATA[[#This Row],[COMBINADA]],#REF!,9,0),0)/COUNTIFS(DATA[COMBINADA],DATA[[#This Row],[COMBINADA]])</f>
        <v>0</v>
      </c>
      <c r="AM919" s="27">
        <f>IFERROR(VLOOKUP(DATA[[#This Row],[COMBINADA]],#REF!,6,0),0)</f>
        <v>0</v>
      </c>
      <c r="AN919" s="125">
        <f>IFERROR(VLOOKUP(DATA[[#This Row],[COMBINADA]],#REF!,9,0),0)/COUNTIFS(DATA[COMBINADA],DATA[[#This Row],[COMBINADA]])</f>
        <v>0</v>
      </c>
      <c r="AO919" s="27">
        <f>IFERROR(VLOOKUP(DATA[[#This Row],[COMBINADA]],#REF!,6,0),0)</f>
        <v>0</v>
      </c>
      <c r="AP919" s="132">
        <f>IFERROR(VLOOKUP(DATA[[#This Row],[COMBINADA]],#REF!,9,0),0)/COUNTIFS(DATA[COMBINADA],DATA[[#This Row],[COMBINADA]])</f>
        <v>0</v>
      </c>
      <c r="AQ91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990.02</v>
      </c>
      <c r="AR919" s="26" t="str">
        <f>IFERROR(IF(DATA[[#This Row],[estado_fact]]="FACTURADO",VLOOKUP(DATA[[#This Row],[SERIE2]]&amp;"-"&amp;DATA[[#This Row],[NUMERO]],#REF!,34,0),"NO CORRESPONDE"),"NO CORRESPONDE")</f>
        <v>NO CORRESPONDE</v>
      </c>
      <c r="AS919" s="22" t="str">
        <f>IF(DATA[[#This Row],[fecha_fs]]&gt;0,TEXT(DATA[[#This Row],[fecha_fs]],"Mmmm"),0)</f>
        <v>Julio</v>
      </c>
      <c r="AT919" s="22" t="str">
        <f>DATA[[#This Row],[SERIE2]]&amp;"-"&amp;DATA[[#This Row],[NUMERO]]</f>
        <v>FF01-186</v>
      </c>
      <c r="AU919" s="28">
        <f>DATA[[#This Row],[TOTAL]]*DATA[[#This Row],[T.C.]]</f>
        <v>990.02</v>
      </c>
      <c r="AV919" s="6">
        <f>DATA[[#This Row],[FECHA DE VAL.]]</f>
        <v>45852</v>
      </c>
      <c r="AW919" s="6">
        <f>DATA[[#This Row],[FECHA DE EMISION]]</f>
        <v>45869</v>
      </c>
      <c r="AX919" s="6">
        <f>DATA[[#This Row],[F1]]</f>
        <v>0</v>
      </c>
      <c r="AY919" s="20">
        <f>IF(AV919-DATA[[#This Row],[fecha_fs]]&lt;0,0,AV919-DATA[[#This Row],[fecha_fs]])</f>
        <v>3</v>
      </c>
      <c r="AZ919" s="20">
        <f t="shared" si="97"/>
        <v>17</v>
      </c>
      <c r="BA919" s="20">
        <f t="shared" si="98"/>
        <v>0</v>
      </c>
      <c r="BB919" s="195">
        <f>IFERROR(SUM(DATA[[#This Row],[fs_val_ttf]:[fact_pago_ttf]]),0)</f>
        <v>20</v>
      </c>
      <c r="BC919" s="185">
        <v>45856</v>
      </c>
      <c r="BD919" s="185">
        <v>45869</v>
      </c>
      <c r="BE919" s="185">
        <v>45870</v>
      </c>
      <c r="BF919" s="185">
        <v>45904</v>
      </c>
      <c r="BG919" s="20">
        <f>IFERROR(IF(BC919-DATA[[#This Row],[fecha_fs]]&lt;0,0,BC919-DATA[[#This Row],[fecha_fs]]),0)</f>
        <v>7</v>
      </c>
      <c r="BH919" s="20">
        <f t="shared" si="99"/>
        <v>13</v>
      </c>
      <c r="BI919" s="20">
        <f t="shared" si="100"/>
        <v>1</v>
      </c>
      <c r="BJ919" s="20">
        <f t="shared" si="101"/>
        <v>34</v>
      </c>
      <c r="BK919" s="218">
        <f>IFERROR(SUM(DATA[[#This Row],[fs_fd_ttd]:[fend_fenf_ttd]]),0)</f>
        <v>55</v>
      </c>
      <c r="BL919" s="20" t="str">
        <f>IF(DATA[[#This Row],[fecha_fs]]&gt;0,TEXT(DATA[[#This Row],[fecha_fs]],"YYYY"),0)</f>
        <v>2025</v>
      </c>
      <c r="BM919" s="221" t="b">
        <v>1</v>
      </c>
      <c r="BN919" s="278">
        <f>COUNTIF(DATA[[#This Row],[tiempo_td]], "&lt;=15")</f>
        <v>0</v>
      </c>
      <c r="BO919" s="222"/>
    </row>
    <row r="920" spans="1:67" ht="30.6" customHeight="1" x14ac:dyDescent="0.25">
      <c r="A920" s="4">
        <v>20141637941</v>
      </c>
      <c r="B920" s="5" t="s">
        <v>79</v>
      </c>
      <c r="C920" s="52" t="s">
        <v>18</v>
      </c>
      <c r="D920" s="4" t="s">
        <v>120</v>
      </c>
      <c r="E920" s="5" t="s">
        <v>3</v>
      </c>
      <c r="F920" s="24">
        <v>45849</v>
      </c>
      <c r="G920" s="7" t="s">
        <v>113</v>
      </c>
      <c r="H920" s="25">
        <f t="shared" si="102"/>
        <v>1</v>
      </c>
      <c r="I920" s="67">
        <v>4748</v>
      </c>
      <c r="J920" s="8" t="s">
        <v>115</v>
      </c>
      <c r="K920" s="9" t="s">
        <v>121</v>
      </c>
      <c r="L920" s="10" t="s">
        <v>117</v>
      </c>
      <c r="M920" s="11">
        <v>1060</v>
      </c>
      <c r="N920" s="12" t="s">
        <v>125</v>
      </c>
      <c r="O920" s="6">
        <v>45849</v>
      </c>
      <c r="P920" s="110">
        <v>3545</v>
      </c>
      <c r="Q920" s="14" t="s">
        <v>85</v>
      </c>
      <c r="R920" s="15">
        <f>80+((DATA[[#This Row],[cantidad_fs]]-1000)*0.08)</f>
        <v>84.8</v>
      </c>
      <c r="S920" s="15">
        <v>832</v>
      </c>
      <c r="T920" s="15">
        <f>DATA[[#This Row],[C. DF]]+DATA[[#This Row],[C.OPE.]]</f>
        <v>916.8</v>
      </c>
      <c r="U920" s="15">
        <f>DATA[[#This Row],[SUB TOTAL]]*0.18</f>
        <v>165.02399999999997</v>
      </c>
      <c r="V920" s="15">
        <f>IFERROR(ROUND(DATA[[#This Row],[SUB TOTAL]]+DATA[[#This Row],[IGV]],2),0)</f>
        <v>1081.82</v>
      </c>
      <c r="W920" s="16" t="str">
        <f>IF(DATA[[#This Row],[VALORIZACIÓN ]]="-","NO CORRESPONDE",IF(OR(A920=20558226979,A920=10470707866,A920=20111157058,A920=20100226902),"NO CORRESPONDE",IF(J920="Emitida",IF(P920&gt;0,"EMITIDA","PENDIENTE"),"NO CORRESPONDE")))</f>
        <v>EMITIDA</v>
      </c>
      <c r="X920" s="29"/>
      <c r="Y920" s="17" t="s">
        <v>118</v>
      </c>
      <c r="Z920" s="30">
        <v>45852</v>
      </c>
      <c r="AA920" s="10" t="s">
        <v>150</v>
      </c>
      <c r="AB920" s="19">
        <v>177</v>
      </c>
      <c r="AC920" s="20">
        <v>30</v>
      </c>
      <c r="AD920" s="18">
        <f>DATA[[#This Row],[FECHA DE EMISION]]+DATA[[#This Row],[CONDICION DE PAGO]]</f>
        <v>45882</v>
      </c>
      <c r="AE920" s="23">
        <f>IF(DATA[[#This Row],[MONEDA]]="USD",VLOOKUP(DATA[[#This Row],[COMBINADA]],#REF!,11,0),1)</f>
        <v>1</v>
      </c>
      <c r="AF920" s="129" t="str">
        <f>IF(DATA[[#This Row],[SERIE2]]="-","NO CORRESPONDE",IF(W920="NO CORRESPONDE","NO CORRESPONDE",IF(Z920&gt;0,"FACTURADO","PENDIENTE")))</f>
        <v>FACTURADO</v>
      </c>
      <c r="AG920" s="133">
        <f>IFERROR(VLOOKUP(DATA[[#This Row],[COMBINADA]],#REF!,6,0),0)</f>
        <v>0</v>
      </c>
      <c r="AH920" s="125">
        <f>IFERROR(VLOOKUP(DATA[[#This Row],[COMBINADA]],#REF!,9,0),0)/COUNTIFS(DATA[COMBINADA],DATA[[#This Row],[COMBINADA]])</f>
        <v>0</v>
      </c>
      <c r="AI920" s="136">
        <f>IFERROR(VLOOKUP(DATA[[#This Row],[COMBINADA]],#REF!,6,0),0)</f>
        <v>0</v>
      </c>
      <c r="AJ920" s="132">
        <f>IFERROR(VLOOKUP(DATA[[#This Row],[COMBINADA]],#REF!,9,0),0)/COUNTIFS(DATA[COMBINADA],DATA[[#This Row],[COMBINADA]])</f>
        <v>0</v>
      </c>
      <c r="AK920" s="407">
        <f>IFERROR(VLOOKUP(DATA[[#This Row],[COMBINADA]],#REF!,6,0),0)</f>
        <v>0</v>
      </c>
      <c r="AL920" s="125">
        <f>IFERROR(VLOOKUP(DATA[[#This Row],[COMBINADA]],#REF!,9,0),0)/COUNTIFS(DATA[COMBINADA],DATA[[#This Row],[COMBINADA]])</f>
        <v>0</v>
      </c>
      <c r="AM920" s="27">
        <f>IFERROR(VLOOKUP(DATA[[#This Row],[COMBINADA]],#REF!,6,0),0)</f>
        <v>0</v>
      </c>
      <c r="AN920" s="125">
        <f>IFERROR(VLOOKUP(DATA[[#This Row],[COMBINADA]],#REF!,9,0),0)/COUNTIFS(DATA[COMBINADA],DATA[[#This Row],[COMBINADA]])</f>
        <v>0</v>
      </c>
      <c r="AO920" s="27">
        <f>IFERROR(VLOOKUP(DATA[[#This Row],[COMBINADA]],#REF!,6,0),0)</f>
        <v>0</v>
      </c>
      <c r="AP920" s="132">
        <f>IFERROR(VLOOKUP(DATA[[#This Row],[COMBINADA]],#REF!,9,0),0)/COUNTIFS(DATA[COMBINADA],DATA[[#This Row],[COMBINADA]])</f>
        <v>0</v>
      </c>
      <c r="AQ92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1078.0466666666669</v>
      </c>
      <c r="AR920" s="26" t="str">
        <f>IFERROR(IF(DATA[[#This Row],[estado_fact]]="FACTURADO",VLOOKUP(DATA[[#This Row],[SERIE2]]&amp;"-"&amp;DATA[[#This Row],[NUMERO]],#REF!,34,0),"NO CORRESPONDE"),"NO CORRESPONDE")</f>
        <v>NO CORRESPONDE</v>
      </c>
      <c r="AS920" s="22" t="str">
        <f>IF(DATA[[#This Row],[fecha_fs]]&gt;0,TEXT(DATA[[#This Row],[fecha_fs]],"Mmmm"),0)</f>
        <v>Julio</v>
      </c>
      <c r="AT920" s="22" t="str">
        <f>DATA[[#This Row],[SERIE2]]&amp;"-"&amp;DATA[[#This Row],[NUMERO]]</f>
        <v>FF01-177</v>
      </c>
      <c r="AU920" s="28">
        <f>DATA[[#This Row],[TOTAL]]*DATA[[#This Row],[T.C.]]</f>
        <v>1081.82</v>
      </c>
      <c r="AV920" s="6">
        <f>DATA[[#This Row],[FECHA DE VAL.]]</f>
        <v>45849</v>
      </c>
      <c r="AW920" s="6">
        <f>DATA[[#This Row],[FECHA DE EMISION]]</f>
        <v>45852</v>
      </c>
      <c r="AX920" s="6">
        <f>DATA[[#This Row],[F1]]</f>
        <v>0</v>
      </c>
      <c r="AY920" s="20">
        <f>IF(AV920-DATA[[#This Row],[fecha_fs]]&lt;0,0,AV920-DATA[[#This Row],[fecha_fs]])</f>
        <v>0</v>
      </c>
      <c r="AZ920" s="20">
        <f t="shared" si="97"/>
        <v>3</v>
      </c>
      <c r="BA920" s="20">
        <f t="shared" si="98"/>
        <v>0</v>
      </c>
      <c r="BB920" s="195">
        <f>IFERROR(SUM(DATA[[#This Row],[fs_val_ttf]:[fact_pago_ttf]]),0)</f>
        <v>3</v>
      </c>
      <c r="BC920" s="185">
        <v>45849</v>
      </c>
      <c r="BD920" s="185">
        <v>45862</v>
      </c>
      <c r="BE920" s="185">
        <v>45870</v>
      </c>
      <c r="BF920" s="185">
        <v>45882</v>
      </c>
      <c r="BG920" s="20">
        <f>IFERROR(IF(BC920-DATA[[#This Row],[fecha_fs]]&lt;0,0,BC920-DATA[[#This Row],[fecha_fs]]),0)</f>
        <v>0</v>
      </c>
      <c r="BH920" s="20">
        <f t="shared" si="99"/>
        <v>13</v>
      </c>
      <c r="BI920" s="20">
        <f t="shared" si="100"/>
        <v>8</v>
      </c>
      <c r="BJ920" s="20">
        <f t="shared" si="101"/>
        <v>12</v>
      </c>
      <c r="BK920" s="218">
        <f>IFERROR(SUM(DATA[[#This Row],[fs_fd_ttd]:[fend_fenf_ttd]]),0)</f>
        <v>33</v>
      </c>
      <c r="BL920" s="20" t="str">
        <f>IF(DATA[[#This Row],[fecha_fs]]&gt;0,TEXT(DATA[[#This Row],[fecha_fs]],"YYYY"),0)</f>
        <v>2025</v>
      </c>
      <c r="BM920" s="221" t="b">
        <v>1</v>
      </c>
      <c r="BN920" s="278">
        <f>COUNTIF(DATA[[#This Row],[tiempo_td]], "&lt;=15")</f>
        <v>0</v>
      </c>
      <c r="BO920" s="222"/>
    </row>
    <row r="921" spans="1:67" ht="30.6" customHeight="1" x14ac:dyDescent="0.25">
      <c r="A921" s="4">
        <v>20419158462</v>
      </c>
      <c r="B921" s="5" t="s">
        <v>2</v>
      </c>
      <c r="C921" s="52" t="s">
        <v>11</v>
      </c>
      <c r="D921" s="4" t="s">
        <v>120</v>
      </c>
      <c r="E921" s="5" t="s">
        <v>3</v>
      </c>
      <c r="F921" s="24">
        <v>45849</v>
      </c>
      <c r="G921" s="7" t="s">
        <v>113</v>
      </c>
      <c r="H921" s="25">
        <f t="shared" ref="H921:H933" si="103">IF(G921="","",IF(G921="LIM",2,1))</f>
        <v>1</v>
      </c>
      <c r="I921" s="67">
        <v>4749</v>
      </c>
      <c r="J921" s="8" t="s">
        <v>115</v>
      </c>
      <c r="K921" s="9" t="s">
        <v>156</v>
      </c>
      <c r="L921" s="10" t="s">
        <v>117</v>
      </c>
      <c r="M921" s="11">
        <v>380</v>
      </c>
      <c r="N921" s="12" t="s">
        <v>125</v>
      </c>
      <c r="O921" s="6">
        <v>45852</v>
      </c>
      <c r="P921" s="13">
        <v>3548</v>
      </c>
      <c r="Q921" s="14" t="s">
        <v>85</v>
      </c>
      <c r="R921" s="74"/>
      <c r="S921" s="15">
        <f>1429.7/2</f>
        <v>714.85</v>
      </c>
      <c r="T921" s="15">
        <f>DATA[[#This Row],[C. DF]]+DATA[[#This Row],[C.OPE.]]</f>
        <v>714.85</v>
      </c>
      <c r="U921" s="15">
        <f>DATA[[#This Row],[SUB TOTAL]]*0.18</f>
        <v>128.673</v>
      </c>
      <c r="V921" s="15">
        <f>IFERROR(ROUND(DATA[[#This Row],[SUB TOTAL]]+DATA[[#This Row],[IGV]],2),0)</f>
        <v>843.52</v>
      </c>
      <c r="W921" s="16" t="str">
        <f>IF(DATA[[#This Row],[VALORIZACIÓN ]]="-","NO CORRESPONDE",IF(OR(A921=20558226979,A921=10470707866,A921=20111157058,A921=20100226902),"NO CORRESPONDE",IF(J921="Emitida",IF(P921&gt;0,"EMITIDA","PENDIENTE"),"NO CORRESPONDE")))</f>
        <v>EMITIDA</v>
      </c>
      <c r="X921" s="29"/>
      <c r="Y921" s="17" t="s">
        <v>118</v>
      </c>
      <c r="Z921" s="30">
        <v>45916</v>
      </c>
      <c r="AA921" s="10" t="s">
        <v>150</v>
      </c>
      <c r="AB921" s="19">
        <v>257</v>
      </c>
      <c r="AC921" s="20">
        <v>2</v>
      </c>
      <c r="AD921" s="18">
        <f>DATA[[#This Row],[FECHA DE EMISION]]+DATA[[#This Row],[CONDICION DE PAGO]]</f>
        <v>45918</v>
      </c>
      <c r="AE921" s="23">
        <f>IF(DATA[[#This Row],[MONEDA]]="USD",VLOOKUP(DATA[[#This Row],[COMBINADA]],#REF!,11,0),1)</f>
        <v>1</v>
      </c>
      <c r="AF921" s="129" t="str">
        <f>IF(DATA[[#This Row],[SERIE2]]="-","NO CORRESPONDE",IF(W921="NO CORRESPONDE","NO CORRESPONDE",IF(Z921&gt;0,"FACTURADO","PENDIENTE")))</f>
        <v>FACTURADO</v>
      </c>
      <c r="AG921" s="133">
        <f>IFERROR(VLOOKUP(DATA[[#This Row],[COMBINADA]],#REF!,6,0),0)</f>
        <v>0</v>
      </c>
      <c r="AH921" s="125">
        <f>IFERROR(VLOOKUP(DATA[[#This Row],[COMBINADA]],#REF!,9,0),0)/COUNTIFS(DATA[COMBINADA],DATA[[#This Row],[COMBINADA]])</f>
        <v>0</v>
      </c>
      <c r="AI921" s="136">
        <f>IFERROR(VLOOKUP(DATA[[#This Row],[COMBINADA]],#REF!,6,0),0)</f>
        <v>0</v>
      </c>
      <c r="AJ921" s="132">
        <f>IFERROR(VLOOKUP(DATA[[#This Row],[COMBINADA]],#REF!,9,0),0)/COUNTIFS(DATA[COMBINADA],DATA[[#This Row],[COMBINADA]])</f>
        <v>0</v>
      </c>
      <c r="AK921" s="407">
        <f>IFERROR(VLOOKUP(DATA[[#This Row],[COMBINADA]],#REF!,6,0),0)</f>
        <v>0</v>
      </c>
      <c r="AL921" s="125">
        <f>IFERROR(VLOOKUP(DATA[[#This Row],[COMBINADA]],#REF!,9,0),0)/COUNTIFS(DATA[COMBINADA],DATA[[#This Row],[COMBINADA]])</f>
        <v>0</v>
      </c>
      <c r="AM921" s="27">
        <f>IFERROR(VLOOKUP(DATA[[#This Row],[COMBINADA]],#REF!,6,0),0)</f>
        <v>0</v>
      </c>
      <c r="AN921" s="125">
        <f>IFERROR(VLOOKUP(DATA[[#This Row],[COMBINADA]],#REF!,9,0),0)/COUNTIFS(DATA[COMBINADA],DATA[[#This Row],[COMBINADA]])</f>
        <v>0</v>
      </c>
      <c r="AO921" s="27">
        <f>IFERROR(VLOOKUP(DATA[[#This Row],[COMBINADA]],#REF!,6,0),0)</f>
        <v>0</v>
      </c>
      <c r="AP921" s="132">
        <f>IFERROR(VLOOKUP(DATA[[#This Row],[COMBINADA]],#REF!,9,0),0)/COUNTIFS(DATA[COMBINADA],DATA[[#This Row],[COMBINADA]])</f>
        <v>0</v>
      </c>
      <c r="AQ92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921" s="26" t="str">
        <f>IFERROR(IF(DATA[[#This Row],[estado_fact]]="FACTURADO",VLOOKUP(DATA[[#This Row],[SERIE2]]&amp;"-"&amp;DATA[[#This Row],[NUMERO]],#REF!,34,0),"NO CORRESPONDE"),"NO CORRESPONDE")</f>
        <v>NO CORRESPONDE</v>
      </c>
      <c r="AS921" s="22" t="str">
        <f>IF(DATA[[#This Row],[fecha_fs]]&gt;0,TEXT(DATA[[#This Row],[fecha_fs]],"Mmmm"),0)</f>
        <v>Julio</v>
      </c>
      <c r="AT921" s="22" t="str">
        <f>DATA[[#This Row],[SERIE2]]&amp;"-"&amp;DATA[[#This Row],[NUMERO]]</f>
        <v>FF01-257</v>
      </c>
      <c r="AU921" s="28">
        <f>DATA[[#This Row],[TOTAL]]*DATA[[#This Row],[T.C.]]</f>
        <v>843.52</v>
      </c>
      <c r="AV921" s="6">
        <f>DATA[[#This Row],[FECHA DE VAL.]]</f>
        <v>45852</v>
      </c>
      <c r="AW921" s="6">
        <f>DATA[[#This Row],[FECHA DE EMISION]]</f>
        <v>45916</v>
      </c>
      <c r="AX921" s="6">
        <f>DATA[[#This Row],[F1]]</f>
        <v>0</v>
      </c>
      <c r="AY921" s="20">
        <f>IF(AV921-DATA[[#This Row],[fecha_fs]]&lt;0,0,AV921-DATA[[#This Row],[fecha_fs]])</f>
        <v>3</v>
      </c>
      <c r="AZ921" s="20">
        <f t="shared" si="97"/>
        <v>64</v>
      </c>
      <c r="BA921" s="20">
        <f t="shared" si="98"/>
        <v>0</v>
      </c>
      <c r="BB921" s="195">
        <f>IFERROR(SUM(DATA[[#This Row],[fs_val_ttf]:[fact_pago_ttf]]),0)</f>
        <v>67</v>
      </c>
      <c r="BC921" s="185">
        <v>45849</v>
      </c>
      <c r="BD921" s="185">
        <v>45849</v>
      </c>
      <c r="BE921" s="185">
        <v>45854</v>
      </c>
      <c r="BF921" s="185">
        <v>45854</v>
      </c>
      <c r="BG921" s="20">
        <f>IFERROR(IF(BC921-DATA[[#This Row],[fecha_fs]]&lt;0,0,BC921-DATA[[#This Row],[fecha_fs]]),0)</f>
        <v>0</v>
      </c>
      <c r="BH921" s="20">
        <f t="shared" si="99"/>
        <v>0</v>
      </c>
      <c r="BI921" s="20">
        <f t="shared" si="100"/>
        <v>5</v>
      </c>
      <c r="BJ921" s="20">
        <f t="shared" si="101"/>
        <v>0</v>
      </c>
      <c r="BK921" s="218">
        <f>IFERROR(SUM(DATA[[#This Row],[fs_fd_ttd]:[fend_fenf_ttd]]),0)</f>
        <v>5</v>
      </c>
      <c r="BL921" s="20" t="str">
        <f>IF(DATA[[#This Row],[fecha_fs]]&gt;0,TEXT(DATA[[#This Row],[fecha_fs]],"YYYY"),0)</f>
        <v>2025</v>
      </c>
      <c r="BM921" s="221" t="b">
        <v>1</v>
      </c>
      <c r="BN921" s="278">
        <f>COUNTIF(DATA[[#This Row],[tiempo_td]], "&lt;=15")</f>
        <v>1</v>
      </c>
      <c r="BO921" s="222"/>
    </row>
    <row r="922" spans="1:67" ht="30.6" customHeight="1" x14ac:dyDescent="0.25">
      <c r="A922" s="4">
        <v>20419158462</v>
      </c>
      <c r="B922" s="5" t="s">
        <v>2</v>
      </c>
      <c r="C922" s="52" t="s">
        <v>13</v>
      </c>
      <c r="D922" s="4" t="s">
        <v>120</v>
      </c>
      <c r="E922" s="5" t="s">
        <v>3</v>
      </c>
      <c r="F922" s="24">
        <v>45849</v>
      </c>
      <c r="G922" s="7" t="s">
        <v>113</v>
      </c>
      <c r="H922" s="25">
        <f t="shared" si="103"/>
        <v>1</v>
      </c>
      <c r="I922" s="67">
        <v>4750</v>
      </c>
      <c r="J922" s="8" t="s">
        <v>115</v>
      </c>
      <c r="K922" s="9" t="s">
        <v>156</v>
      </c>
      <c r="L922" s="10" t="s">
        <v>117</v>
      </c>
      <c r="M922" s="11">
        <v>320</v>
      </c>
      <c r="N922" s="12" t="s">
        <v>125</v>
      </c>
      <c r="O922" s="6">
        <v>45852</v>
      </c>
      <c r="P922" s="13">
        <v>3548</v>
      </c>
      <c r="Q922" s="14" t="s">
        <v>85</v>
      </c>
      <c r="R922" s="74"/>
      <c r="S922" s="15">
        <f>1429.7/2</f>
        <v>714.85</v>
      </c>
      <c r="T922" s="15">
        <f>DATA[[#This Row],[C. DF]]+DATA[[#This Row],[C.OPE.]]</f>
        <v>714.85</v>
      </c>
      <c r="U922" s="15">
        <f>DATA[[#This Row],[SUB TOTAL]]*0.18</f>
        <v>128.673</v>
      </c>
      <c r="V922" s="15">
        <f>IFERROR(ROUND(DATA[[#This Row],[SUB TOTAL]]+DATA[[#This Row],[IGV]],2),0)</f>
        <v>843.52</v>
      </c>
      <c r="W922" s="16" t="str">
        <f>IF(DATA[[#This Row],[VALORIZACIÓN ]]="-","NO CORRESPONDE",IF(OR(A922=20558226979,A922=10470707866,A922=20111157058,A922=20100226902),"NO CORRESPONDE",IF(J922="Emitida",IF(P922&gt;0,"EMITIDA","PENDIENTE"),"NO CORRESPONDE")))</f>
        <v>EMITIDA</v>
      </c>
      <c r="X922" s="29"/>
      <c r="Y922" s="17" t="s">
        <v>118</v>
      </c>
      <c r="Z922" s="30">
        <v>45916</v>
      </c>
      <c r="AA922" s="10" t="s">
        <v>150</v>
      </c>
      <c r="AB922" s="19">
        <v>257</v>
      </c>
      <c r="AC922" s="20">
        <v>2</v>
      </c>
      <c r="AD922" s="18">
        <f>DATA[[#This Row],[FECHA DE EMISION]]+DATA[[#This Row],[CONDICION DE PAGO]]</f>
        <v>45918</v>
      </c>
      <c r="AE922" s="23">
        <f>IF(DATA[[#This Row],[MONEDA]]="USD",VLOOKUP(DATA[[#This Row],[COMBINADA]],#REF!,11,0),1)</f>
        <v>1</v>
      </c>
      <c r="AF922" s="129" t="str">
        <f>IF(DATA[[#This Row],[SERIE2]]="-","NO CORRESPONDE",IF(W922="NO CORRESPONDE","NO CORRESPONDE",IF(Z922&gt;0,"FACTURADO","PENDIENTE")))</f>
        <v>FACTURADO</v>
      </c>
      <c r="AG922" s="133">
        <f>IFERROR(VLOOKUP(DATA[[#This Row],[COMBINADA]],#REF!,6,0),0)</f>
        <v>0</v>
      </c>
      <c r="AH922" s="125">
        <f>IFERROR(VLOOKUP(DATA[[#This Row],[COMBINADA]],#REF!,9,0),0)/COUNTIFS(DATA[COMBINADA],DATA[[#This Row],[COMBINADA]])</f>
        <v>0</v>
      </c>
      <c r="AI922" s="136">
        <f>IFERROR(VLOOKUP(DATA[[#This Row],[COMBINADA]],#REF!,6,0),0)</f>
        <v>0</v>
      </c>
      <c r="AJ922" s="132">
        <f>IFERROR(VLOOKUP(DATA[[#This Row],[COMBINADA]],#REF!,9,0),0)/COUNTIFS(DATA[COMBINADA],DATA[[#This Row],[COMBINADA]])</f>
        <v>0</v>
      </c>
      <c r="AK922" s="408">
        <f>IFERROR(VLOOKUP(DATA[[#This Row],[COMBINADA]],#REF!,6,0),0)</f>
        <v>0</v>
      </c>
      <c r="AL922" s="125">
        <f>IFERROR(VLOOKUP(DATA[[#This Row],[COMBINADA]],#REF!,9,0),0)/COUNTIFS(DATA[COMBINADA],DATA[[#This Row],[COMBINADA]])</f>
        <v>0</v>
      </c>
      <c r="AM922" s="147">
        <f>IFERROR(VLOOKUP(DATA[[#This Row],[COMBINADA]],#REF!,6,0),0)</f>
        <v>0</v>
      </c>
      <c r="AN922" s="125">
        <f>IFERROR(VLOOKUP(DATA[[#This Row],[COMBINADA]],#REF!,9,0),0)/COUNTIFS(DATA[COMBINADA],DATA[[#This Row],[COMBINADA]])</f>
        <v>0</v>
      </c>
      <c r="AO922" s="27">
        <f>IFERROR(VLOOKUP(DATA[[#This Row],[COMBINADA]],#REF!,6,0),0)</f>
        <v>0</v>
      </c>
      <c r="AP922" s="132">
        <f>IFERROR(VLOOKUP(DATA[[#This Row],[COMBINADA]],#REF!,9,0),0)/COUNTIFS(DATA[COMBINADA],DATA[[#This Row],[COMBINADA]])</f>
        <v>0</v>
      </c>
      <c r="AQ92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922" s="26" t="str">
        <f>IFERROR(IF(DATA[[#This Row],[estado_fact]]="FACTURADO",VLOOKUP(DATA[[#This Row],[SERIE2]]&amp;"-"&amp;DATA[[#This Row],[NUMERO]],#REF!,34,0),"NO CORRESPONDE"),"NO CORRESPONDE")</f>
        <v>NO CORRESPONDE</v>
      </c>
      <c r="AS922" s="22" t="str">
        <f>IF(DATA[[#This Row],[fecha_fs]]&gt;0,TEXT(DATA[[#This Row],[fecha_fs]],"Mmmm"),0)</f>
        <v>Julio</v>
      </c>
      <c r="AT922" s="22" t="str">
        <f>DATA[[#This Row],[SERIE2]]&amp;"-"&amp;DATA[[#This Row],[NUMERO]]</f>
        <v>FF01-257</v>
      </c>
      <c r="AU922" s="28">
        <f>DATA[[#This Row],[TOTAL]]*DATA[[#This Row],[T.C.]]</f>
        <v>843.52</v>
      </c>
      <c r="AV922" s="6">
        <f>DATA[[#This Row],[FECHA DE VAL.]]</f>
        <v>45852</v>
      </c>
      <c r="AW922" s="6">
        <f>DATA[[#This Row],[FECHA DE EMISION]]</f>
        <v>45916</v>
      </c>
      <c r="AX922" s="6">
        <f>DATA[[#This Row],[F1]]</f>
        <v>0</v>
      </c>
      <c r="AY922" s="20">
        <f>IF(AV922-DATA[[#This Row],[fecha_fs]]&lt;0,0,AV922-DATA[[#This Row],[fecha_fs]])</f>
        <v>3</v>
      </c>
      <c r="AZ922" s="20">
        <f t="shared" si="97"/>
        <v>64</v>
      </c>
      <c r="BA922" s="20">
        <f t="shared" si="98"/>
        <v>0</v>
      </c>
      <c r="BB922" s="195">
        <f>IFERROR(SUM(DATA[[#This Row],[fs_val_ttf]:[fact_pago_ttf]]),0)</f>
        <v>67</v>
      </c>
      <c r="BC922" s="185">
        <v>45849</v>
      </c>
      <c r="BD922" s="185">
        <v>45849</v>
      </c>
      <c r="BE922" s="185">
        <v>45854</v>
      </c>
      <c r="BF922" s="185">
        <v>45854</v>
      </c>
      <c r="BG922" s="20">
        <f>IFERROR(IF(BC922-DATA[[#This Row],[fecha_fs]]&lt;0,0,BC922-DATA[[#This Row],[fecha_fs]]),0)</f>
        <v>0</v>
      </c>
      <c r="BH922" s="20">
        <f t="shared" si="99"/>
        <v>0</v>
      </c>
      <c r="BI922" s="20">
        <f t="shared" si="100"/>
        <v>5</v>
      </c>
      <c r="BJ922" s="20">
        <f t="shared" si="101"/>
        <v>0</v>
      </c>
      <c r="BK922" s="218">
        <f>IFERROR(SUM(DATA[[#This Row],[fs_fd_ttd]:[fend_fenf_ttd]]),0)</f>
        <v>5</v>
      </c>
      <c r="BL922" s="20" t="str">
        <f>IF(DATA[[#This Row],[fecha_fs]]&gt;0,TEXT(DATA[[#This Row],[fecha_fs]],"YYYY"),0)</f>
        <v>2025</v>
      </c>
      <c r="BM922" s="221" t="b">
        <v>1</v>
      </c>
      <c r="BN922" s="278">
        <f>COUNTIF(DATA[[#This Row],[tiempo_td]], "&lt;=15")</f>
        <v>1</v>
      </c>
      <c r="BO922" s="222"/>
    </row>
    <row r="923" spans="1:67" ht="30.6" customHeight="1" x14ac:dyDescent="0.25">
      <c r="A923" s="4">
        <v>20100211115</v>
      </c>
      <c r="B923" s="5" t="s">
        <v>41</v>
      </c>
      <c r="C923" s="52" t="s">
        <v>18</v>
      </c>
      <c r="D923" s="4" t="s">
        <v>120</v>
      </c>
      <c r="E923" s="5" t="s">
        <v>3</v>
      </c>
      <c r="F923" s="24">
        <v>45852</v>
      </c>
      <c r="G923" s="7" t="s">
        <v>113</v>
      </c>
      <c r="H923" s="25">
        <f t="shared" si="103"/>
        <v>1</v>
      </c>
      <c r="I923" s="67">
        <v>4751</v>
      </c>
      <c r="J923" s="8" t="s">
        <v>115</v>
      </c>
      <c r="K923" s="9" t="s">
        <v>121</v>
      </c>
      <c r="L923" s="10" t="s">
        <v>117</v>
      </c>
      <c r="M923" s="11">
        <v>90</v>
      </c>
      <c r="N923" s="12" t="s">
        <v>200</v>
      </c>
      <c r="O923" s="6">
        <v>45863</v>
      </c>
      <c r="P923" s="115">
        <v>3575</v>
      </c>
      <c r="Q923" s="14" t="s">
        <v>85</v>
      </c>
      <c r="R923" s="15"/>
      <c r="S923" s="15">
        <f>(DATA[[#This Row],[cantidad_fs]]*4.17)</f>
        <v>375.3</v>
      </c>
      <c r="T923" s="15">
        <f>DATA[[#This Row],[C. DF]]+DATA[[#This Row],[C.OPE.]]</f>
        <v>375.3</v>
      </c>
      <c r="U923" s="15">
        <f>DATA[[#This Row],[SUB TOTAL]]*0.18</f>
        <v>67.554000000000002</v>
      </c>
      <c r="V923" s="15">
        <f>IFERROR(ROUND(DATA[[#This Row],[SUB TOTAL]]+DATA[[#This Row],[IGV]],2),0)</f>
        <v>442.85</v>
      </c>
      <c r="W923" s="16" t="str">
        <f>IF(DATA[[#This Row],[VALORIZACIÓN ]]="-","NO CORRESPONDE",IF(OR(A923=20558226979,A923=10470707866,A923=20111157058,A923=20100226902),"NO CORRESPONDE",IF(J923="Emitida",IF(P923&gt;0,"EMITIDA","PENDIENTE"),"NO CORRESPONDE")))</f>
        <v>EMITIDA</v>
      </c>
      <c r="X923" s="29"/>
      <c r="Y923" s="17" t="s">
        <v>118</v>
      </c>
      <c r="Z923" s="30">
        <v>45869</v>
      </c>
      <c r="AA923" s="10" t="s">
        <v>150</v>
      </c>
      <c r="AB923" s="19">
        <v>191</v>
      </c>
      <c r="AC923" s="20">
        <v>30</v>
      </c>
      <c r="AD923" s="18">
        <f>DATA[[#This Row],[FECHA DE EMISION]]+DATA[[#This Row],[CONDICION DE PAGO]]</f>
        <v>45899</v>
      </c>
      <c r="AE923" s="23">
        <f>IF(DATA[[#This Row],[MONEDA]]="USD",VLOOKUP(DATA[[#This Row],[COMBINADA]],#REF!,11,0),1)</f>
        <v>1</v>
      </c>
      <c r="AF923" s="129" t="str">
        <f>IF(DATA[[#This Row],[SERIE2]]="-","NO CORRESPONDE",IF(W923="NO CORRESPONDE","NO CORRESPONDE",IF(Z923&gt;0,"FACTURADO","PENDIENTE")))</f>
        <v>FACTURADO</v>
      </c>
      <c r="AG923" s="133">
        <f>IFERROR(VLOOKUP(DATA[[#This Row],[COMBINADA]],#REF!,6,0),0)</f>
        <v>0</v>
      </c>
      <c r="AH923" s="125">
        <f>IFERROR(VLOOKUP(DATA[[#This Row],[COMBINADA]],#REF!,9,0),0)/COUNTIFS(DATA[COMBINADA],DATA[[#This Row],[COMBINADA]])</f>
        <v>0</v>
      </c>
      <c r="AI923" s="136">
        <f>IFERROR(VLOOKUP(DATA[[#This Row],[COMBINADA]],#REF!,6,0),0)</f>
        <v>0</v>
      </c>
      <c r="AJ923" s="132">
        <f>IFERROR(VLOOKUP(DATA[[#This Row],[COMBINADA]],#REF!,9,0),0)/COUNTIFS(DATA[COMBINADA],DATA[[#This Row],[COMBINADA]])</f>
        <v>0</v>
      </c>
      <c r="AK923" s="408">
        <f>IFERROR(VLOOKUP(DATA[[#This Row],[COMBINADA]],#REF!,6,0),0)</f>
        <v>0</v>
      </c>
      <c r="AL923" s="125">
        <f>IFERROR(VLOOKUP(DATA[[#This Row],[COMBINADA]],#REF!,9,0),0)/COUNTIFS(DATA[COMBINADA],DATA[[#This Row],[COMBINADA]])</f>
        <v>0</v>
      </c>
      <c r="AM923" s="147">
        <f>IFERROR(VLOOKUP(DATA[[#This Row],[COMBINADA]],#REF!,6,0),0)</f>
        <v>0</v>
      </c>
      <c r="AN923" s="125">
        <f>IFERROR(VLOOKUP(DATA[[#This Row],[COMBINADA]],#REF!,9,0),0)/COUNTIFS(DATA[COMBINADA],DATA[[#This Row],[COMBINADA]])</f>
        <v>0</v>
      </c>
      <c r="AO923" s="27">
        <f>IFERROR(VLOOKUP(DATA[[#This Row],[COMBINADA]],#REF!,6,0),0)</f>
        <v>0</v>
      </c>
      <c r="AP923" s="132">
        <f>IFERROR(VLOOKUP(DATA[[#This Row],[COMBINADA]],#REF!,9,0),0)/COUNTIFS(DATA[COMBINADA],DATA[[#This Row],[COMBINADA]])</f>
        <v>0</v>
      </c>
      <c r="AQ92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923" s="26" t="str">
        <f>IFERROR(IF(DATA[[#This Row],[estado_fact]]="FACTURADO",VLOOKUP(DATA[[#This Row],[SERIE2]]&amp;"-"&amp;DATA[[#This Row],[NUMERO]],#REF!,34,0),"NO CORRESPONDE"),"NO CORRESPONDE")</f>
        <v>NO CORRESPONDE</v>
      </c>
      <c r="AS923" s="22" t="str">
        <f>IF(DATA[[#This Row],[fecha_fs]]&gt;0,TEXT(DATA[[#This Row],[fecha_fs]],"Mmmm"),0)</f>
        <v>Julio</v>
      </c>
      <c r="AT923" s="22" t="str">
        <f>DATA[[#This Row],[SERIE2]]&amp;"-"&amp;DATA[[#This Row],[NUMERO]]</f>
        <v>FF01-191</v>
      </c>
      <c r="AU923" s="28">
        <f>DATA[[#This Row],[TOTAL]]*DATA[[#This Row],[T.C.]]</f>
        <v>442.85</v>
      </c>
      <c r="AV923" s="6">
        <f>DATA[[#This Row],[FECHA DE VAL.]]</f>
        <v>45863</v>
      </c>
      <c r="AW923" s="6">
        <f>DATA[[#This Row],[FECHA DE EMISION]]</f>
        <v>45869</v>
      </c>
      <c r="AX923" s="6">
        <f>DATA[[#This Row],[F1]]</f>
        <v>0</v>
      </c>
      <c r="AY923" s="20">
        <f>IF(AV923-DATA[[#This Row],[fecha_fs]]&lt;0,0,AV923-DATA[[#This Row],[fecha_fs]])</f>
        <v>11</v>
      </c>
      <c r="AZ923" s="20">
        <f t="shared" si="97"/>
        <v>6</v>
      </c>
      <c r="BA923" s="20">
        <f t="shared" si="98"/>
        <v>0</v>
      </c>
      <c r="BB923" s="195">
        <f>IFERROR(SUM(DATA[[#This Row],[fs_val_ttf]:[fact_pago_ttf]]),0)</f>
        <v>17</v>
      </c>
      <c r="BC923" s="185">
        <v>45870</v>
      </c>
      <c r="BD923" s="185">
        <v>45876</v>
      </c>
      <c r="BE923" s="185">
        <v>45882</v>
      </c>
      <c r="BF923" s="185">
        <v>45887</v>
      </c>
      <c r="BG923" s="20">
        <f>IFERROR(IF(BC923-DATA[[#This Row],[fecha_fs]]&lt;0,0,BC923-DATA[[#This Row],[fecha_fs]]),0)</f>
        <v>18</v>
      </c>
      <c r="BH923" s="20">
        <f t="shared" si="99"/>
        <v>6</v>
      </c>
      <c r="BI923" s="20">
        <f t="shared" si="100"/>
        <v>6</v>
      </c>
      <c r="BJ923" s="20">
        <f t="shared" si="101"/>
        <v>5</v>
      </c>
      <c r="BK923" s="218">
        <f>IFERROR(SUM(DATA[[#This Row],[fs_fd_ttd]:[fend_fenf_ttd]]),0)</f>
        <v>35</v>
      </c>
      <c r="BL923" s="20" t="str">
        <f>IF(DATA[[#This Row],[fecha_fs]]&gt;0,TEXT(DATA[[#This Row],[fecha_fs]],"YYYY"),0)</f>
        <v>2025</v>
      </c>
      <c r="BM923" s="221" t="b">
        <v>1</v>
      </c>
      <c r="BN923" s="278">
        <f>COUNTIF(DATA[[#This Row],[tiempo_td]], "&lt;=15")</f>
        <v>0</v>
      </c>
      <c r="BO923" s="222"/>
    </row>
    <row r="924" spans="1:67" ht="30.6" customHeight="1" x14ac:dyDescent="0.25">
      <c r="A924" s="4">
        <v>20558226979</v>
      </c>
      <c r="B924" s="5" t="s">
        <v>45</v>
      </c>
      <c r="C924" s="52" t="s">
        <v>18</v>
      </c>
      <c r="D924" s="4" t="s">
        <v>120</v>
      </c>
      <c r="E924" s="5" t="s">
        <v>3</v>
      </c>
      <c r="F924" s="24">
        <v>45849</v>
      </c>
      <c r="G924" s="7" t="s">
        <v>113</v>
      </c>
      <c r="H924" s="25">
        <f t="shared" si="103"/>
        <v>1</v>
      </c>
      <c r="I924" s="67">
        <v>4752</v>
      </c>
      <c r="J924" s="8" t="s">
        <v>115</v>
      </c>
      <c r="K924" s="9" t="s">
        <v>121</v>
      </c>
      <c r="L924" s="10" t="s">
        <v>117</v>
      </c>
      <c r="M924" s="11">
        <v>3190</v>
      </c>
      <c r="N924" s="12" t="s">
        <v>135</v>
      </c>
      <c r="O924" s="40"/>
      <c r="P924" s="41"/>
      <c r="Q924" s="42"/>
      <c r="R924" s="43"/>
      <c r="S924" s="43"/>
      <c r="T924" s="15">
        <f>DATA[[#This Row],[C. DF]]+DATA[[#This Row],[C.OPE.]]</f>
        <v>0</v>
      </c>
      <c r="U924" s="43">
        <f>DATA[[#This Row],[SUB TOTAL]]*0.18</f>
        <v>0</v>
      </c>
      <c r="V924" s="43">
        <f>IFERROR(ROUND(DATA[[#This Row],[SUB TOTAL]]+DATA[[#This Row],[IGV]],2),0)</f>
        <v>0</v>
      </c>
      <c r="W924" s="16" t="str">
        <f>IF(DATA[[#This Row],[VALORIZACIÓN ]]="-","NO CORRESPONDE",IF(OR(A924=20558226979,A924=10470707866,A924=20111157058,A924=20100226902),"NO CORRESPONDE",IF(J924="Emitida",IF(P924&gt;0,"EMITIDA","PENDIENTE"),"NO CORRESPONDE")))</f>
        <v>NO CORRESPONDE</v>
      </c>
      <c r="X924" s="45"/>
      <c r="Y924" s="17" t="s">
        <v>128</v>
      </c>
      <c r="Z924" s="46"/>
      <c r="AA924" s="47"/>
      <c r="AB924" s="48"/>
      <c r="AC924" s="49"/>
      <c r="AD924" s="50">
        <f>DATA[[#This Row],[FECHA DE EMISION]]+DATA[[#This Row],[CONDICION DE PAGO]]</f>
        <v>0</v>
      </c>
      <c r="AE924" s="23">
        <f>IF(DATA[[#This Row],[MONEDA]]="USD",VLOOKUP(DATA[[#This Row],[COMBINADA]],#REF!,11,0),1)</f>
        <v>1</v>
      </c>
      <c r="AF924" s="129" t="str">
        <f>IF(DATA[[#This Row],[SERIE2]]="-","NO CORRESPONDE",IF(W924="NO CORRESPONDE","NO CORRESPONDE",IF(Z924&gt;0,"FACTURADO","PENDIENTE")))</f>
        <v>NO CORRESPONDE</v>
      </c>
      <c r="AG924" s="208">
        <f>IFERROR(VLOOKUP(DATA[[#This Row],[COMBINADA]],#REF!,6,0),0)</f>
        <v>0</v>
      </c>
      <c r="AH924" s="209">
        <f>IFERROR(VLOOKUP(DATA[[#This Row],[COMBINADA]],#REF!,9,0),0)/COUNTIFS(DATA[COMBINADA],DATA[[#This Row],[COMBINADA]])</f>
        <v>0</v>
      </c>
      <c r="AI924" s="140">
        <f>IFERROR(VLOOKUP(DATA[[#This Row],[COMBINADA]],#REF!,6,0),0)</f>
        <v>0</v>
      </c>
      <c r="AJ924" s="126">
        <f>IFERROR(VLOOKUP(DATA[[#This Row],[COMBINADA]],#REF!,9,0),0)/COUNTIFS(DATA[COMBINADA],DATA[[#This Row],[COMBINADA]])</f>
        <v>0</v>
      </c>
      <c r="AK924" s="61">
        <f>IFERROR(VLOOKUP(DATA[[#This Row],[COMBINADA]],#REF!,6,0),0)</f>
        <v>0</v>
      </c>
      <c r="AL924" s="126">
        <f>IFERROR(VLOOKUP(DATA[[#This Row],[COMBINADA]],#REF!,9,0),0)/COUNTIFS(DATA[COMBINADA],DATA[[#This Row],[COMBINADA]])</f>
        <v>0</v>
      </c>
      <c r="AM924" s="287">
        <f>IFERROR(VLOOKUP(DATA[[#This Row],[COMBINADA]],#REF!,6,0),0)</f>
        <v>0</v>
      </c>
      <c r="AN924" s="126">
        <f>IFERROR(VLOOKUP(DATA[[#This Row],[COMBINADA]],#REF!,9,0),0)/COUNTIFS(DATA[COMBINADA],DATA[[#This Row],[COMBINADA]])</f>
        <v>0</v>
      </c>
      <c r="AO924" s="60">
        <f>IFERROR(VLOOKUP(DATA[[#This Row],[COMBINADA]],#REF!,6,0),0)</f>
        <v>0</v>
      </c>
      <c r="AP924" s="126">
        <f>IFERROR(VLOOKUP(DATA[[#This Row],[COMBINADA]],#REF!,9,0),0)/COUNTIFS(DATA[COMBINADA],DATA[[#This Row],[COMBINADA]])</f>
        <v>0</v>
      </c>
      <c r="AQ924"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924" s="22" t="str">
        <f>IFERROR(IF(DATA[[#This Row],[estado_fact]]="FACTURADO",VLOOKUP(DATA[[#This Row],[SERIE2]]&amp;"-"&amp;DATA[[#This Row],[NUMERO]],#REF!,34,0),"NO CORRESPONDE"),"NO CORRESPONDE")</f>
        <v>NO CORRESPONDE</v>
      </c>
      <c r="AS924" s="22" t="str">
        <f>IF(DATA[[#This Row],[fecha_fs]]&gt;0,TEXT(DATA[[#This Row],[fecha_fs]],"Mmmm"),0)</f>
        <v>Julio</v>
      </c>
      <c r="AT924" s="22" t="str">
        <f>DATA[[#This Row],[SERIE2]]&amp;"-"&amp;DATA[[#This Row],[NUMERO]]</f>
        <v>-</v>
      </c>
      <c r="AU924" s="28">
        <f>DATA[[#This Row],[TOTAL]]*DATA[[#This Row],[T.C.]]</f>
        <v>0</v>
      </c>
      <c r="AV924" s="6">
        <f>DATA[[#This Row],[FECHA DE VAL.]]</f>
        <v>0</v>
      </c>
      <c r="AW924" s="6">
        <f>DATA[[#This Row],[FECHA DE EMISION]]</f>
        <v>0</v>
      </c>
      <c r="AX924" s="6">
        <f>DATA[[#This Row],[F1]]</f>
        <v>0</v>
      </c>
      <c r="AY924" s="20">
        <f>IF(AV924-DATA[[#This Row],[fecha_fs]]&lt;0,0,AV924-DATA[[#This Row],[fecha_fs]])</f>
        <v>0</v>
      </c>
      <c r="AZ924" s="20">
        <f t="shared" si="97"/>
        <v>0</v>
      </c>
      <c r="BA924" s="20">
        <f t="shared" si="98"/>
        <v>0</v>
      </c>
      <c r="BB924" s="195">
        <f>IFERROR(SUM(DATA[[#This Row],[fs_val_ttf]:[fact_pago_ttf]]),0)</f>
        <v>0</v>
      </c>
      <c r="BC924" s="185">
        <v>45849</v>
      </c>
      <c r="BD924" s="185">
        <v>45862</v>
      </c>
      <c r="BE924" s="185">
        <v>45873</v>
      </c>
      <c r="BF924" s="185">
        <v>45873</v>
      </c>
      <c r="BG924" s="20">
        <f>IFERROR(IF(BC924-DATA[[#This Row],[fecha_fs]]&lt;0,0,BC924-DATA[[#This Row],[fecha_fs]]),0)</f>
        <v>0</v>
      </c>
      <c r="BH924" s="20">
        <f t="shared" si="99"/>
        <v>13</v>
      </c>
      <c r="BI924" s="20">
        <f t="shared" si="100"/>
        <v>11</v>
      </c>
      <c r="BJ924" s="20">
        <f t="shared" si="101"/>
        <v>0</v>
      </c>
      <c r="BK924" s="218">
        <f>IFERROR(SUM(DATA[[#This Row],[fs_fd_ttd]:[fend_fenf_ttd]]),0)</f>
        <v>24</v>
      </c>
      <c r="BL924" s="20" t="str">
        <f>IF(DATA[[#This Row],[fecha_fs]]&gt;0,TEXT(DATA[[#This Row],[fecha_fs]],"YYYY"),0)</f>
        <v>2025</v>
      </c>
      <c r="BM924" s="221" t="b">
        <v>1</v>
      </c>
      <c r="BN924" s="278">
        <f>COUNTIF(DATA[[#This Row],[tiempo_td]], "&lt;=15")</f>
        <v>0</v>
      </c>
      <c r="BO924" s="222"/>
    </row>
    <row r="925" spans="1:67" ht="30.6" customHeight="1" x14ac:dyDescent="0.25">
      <c r="A925" s="4">
        <v>20100192064</v>
      </c>
      <c r="B925" s="5" t="s">
        <v>60</v>
      </c>
      <c r="C925" s="52" t="s">
        <v>43</v>
      </c>
      <c r="D925" s="4" t="s">
        <v>120</v>
      </c>
      <c r="E925" s="5" t="s">
        <v>3</v>
      </c>
      <c r="F925" s="24">
        <v>45852</v>
      </c>
      <c r="G925" s="7" t="s">
        <v>113</v>
      </c>
      <c r="H925" s="25">
        <f t="shared" si="103"/>
        <v>1</v>
      </c>
      <c r="I925" s="67">
        <v>4753</v>
      </c>
      <c r="J925" s="8" t="s">
        <v>115</v>
      </c>
      <c r="K925" s="9" t="s">
        <v>121</v>
      </c>
      <c r="L925" s="10" t="s">
        <v>117</v>
      </c>
      <c r="M925" s="11">
        <v>900</v>
      </c>
      <c r="N925" s="12" t="s">
        <v>122</v>
      </c>
      <c r="O925" s="6">
        <v>45863</v>
      </c>
      <c r="P925" s="71">
        <v>3558</v>
      </c>
      <c r="Q925" s="14" t="s">
        <v>123</v>
      </c>
      <c r="R925" s="15">
        <f>(DATA[[#This Row],[cantidad_fs]]/1000)*(47+174.34)</f>
        <v>199.20600000000002</v>
      </c>
      <c r="S925" s="56">
        <v>137</v>
      </c>
      <c r="T925" s="15">
        <f>DATA[[#This Row],[C. DF]]+DATA[[#This Row],[C.OPE.]]</f>
        <v>336.20600000000002</v>
      </c>
      <c r="U925" s="15">
        <f>DATA[[#This Row],[SUB TOTAL]]*0.18</f>
        <v>60.51708</v>
      </c>
      <c r="V925" s="15">
        <f>IFERROR(ROUND(DATA[[#This Row],[SUB TOTAL]]+DATA[[#This Row],[IGV]],2),0)</f>
        <v>396.72</v>
      </c>
      <c r="W925" s="16" t="str">
        <f>IF(DATA[[#This Row],[VALORIZACIÓN ]]="-","NO CORRESPONDE",IF(OR(A925=20558226979,A925=10470707866,A925=20111157058,A925=20100226902),"NO CORRESPONDE",IF(J925="Emitida",IF(P925&gt;0,"EMITIDA","PENDIENTE"),"NO CORRESPONDE")))</f>
        <v>EMITIDA</v>
      </c>
      <c r="X925" s="29"/>
      <c r="Y925" s="17" t="s">
        <v>118</v>
      </c>
      <c r="Z925" s="30">
        <v>45869</v>
      </c>
      <c r="AA925" s="10" t="s">
        <v>150</v>
      </c>
      <c r="AB925" s="19">
        <v>189</v>
      </c>
      <c r="AC925" s="20">
        <v>30</v>
      </c>
      <c r="AD925" s="18">
        <f>DATA[[#This Row],[FECHA DE EMISION]]+DATA[[#This Row],[CONDICION DE PAGO]]</f>
        <v>45899</v>
      </c>
      <c r="AE925" s="23" t="e">
        <f>IF(DATA[[#This Row],[MONEDA]]="USD",VLOOKUP(DATA[[#This Row],[COMBINADA]],#REF!,11,0),1)</f>
        <v>#REF!</v>
      </c>
      <c r="AF925" s="39" t="str">
        <f>IF(DATA[[#This Row],[SERIE2]]="-","NO CORRESPONDE",IF(W925="NO CORRESPONDE","NO CORRESPONDE",IF(Z925&gt;0,"FACTURADO","PENDIENTE")))</f>
        <v>FACTURADO</v>
      </c>
      <c r="AG925" s="133">
        <f>IFERROR(VLOOKUP(DATA[[#This Row],[COMBINADA]],#REF!,6,0),0)</f>
        <v>0</v>
      </c>
      <c r="AH925" s="125">
        <f>IFERROR(VLOOKUP(DATA[[#This Row],[COMBINADA]],#REF!,9,0),0)/COUNTIFS(DATA[COMBINADA],DATA[[#This Row],[COMBINADA]])</f>
        <v>0</v>
      </c>
      <c r="AI925" s="136">
        <f>IFERROR(VLOOKUP(DATA[[#This Row],[COMBINADA]],#REF!,6,0),0)</f>
        <v>0</v>
      </c>
      <c r="AJ925" s="132">
        <f>IFERROR(VLOOKUP(DATA[[#This Row],[COMBINADA]],#REF!,9,0),0)/COUNTIFS(DATA[COMBINADA],DATA[[#This Row],[COMBINADA]])</f>
        <v>0</v>
      </c>
      <c r="AK925" s="408">
        <f>IFERROR(VLOOKUP(DATA[[#This Row],[COMBINADA]],#REF!,6,0),0)</f>
        <v>0</v>
      </c>
      <c r="AL925" s="125">
        <f>IFERROR(VLOOKUP(DATA[[#This Row],[COMBINADA]],#REF!,9,0),0)/COUNTIFS(DATA[COMBINADA],DATA[[#This Row],[COMBINADA]])</f>
        <v>0</v>
      </c>
      <c r="AM925" s="147">
        <f>IFERROR(VLOOKUP(DATA[[#This Row],[COMBINADA]],#REF!,6,0),0)</f>
        <v>0</v>
      </c>
      <c r="AN925" s="125">
        <f>IFERROR(VLOOKUP(DATA[[#This Row],[COMBINADA]],#REF!,9,0),0)/COUNTIFS(DATA[COMBINADA],DATA[[#This Row],[COMBINADA]])</f>
        <v>0</v>
      </c>
      <c r="AO925" s="27">
        <f>IFERROR(VLOOKUP(DATA[[#This Row],[COMBINADA]],#REF!,6,0),0)</f>
        <v>0</v>
      </c>
      <c r="AP925" s="132">
        <f>IFERROR(VLOOKUP(DATA[[#This Row],[COMBINADA]],#REF!,9,0),0)/COUNTIFS(DATA[COMBINADA],DATA[[#This Row],[COMBINADA]])</f>
        <v>0</v>
      </c>
      <c r="AQ92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799.26461538461524</v>
      </c>
      <c r="AR925" s="26" t="str">
        <f>IFERROR(IF(DATA[[#This Row],[estado_fact]]="FACTURADO",VLOOKUP(DATA[[#This Row],[SERIE2]]&amp;"-"&amp;DATA[[#This Row],[NUMERO]],#REF!,34,0),"NO CORRESPONDE"),"NO CORRESPONDE")</f>
        <v>NO CORRESPONDE</v>
      </c>
      <c r="AS925" s="22" t="str">
        <f>IF(DATA[[#This Row],[fecha_fs]]&gt;0,TEXT(DATA[[#This Row],[fecha_fs]],"Mmmm"),0)</f>
        <v>Julio</v>
      </c>
      <c r="AT925" s="22" t="str">
        <f>DATA[[#This Row],[SERIE2]]&amp;"-"&amp;DATA[[#This Row],[NUMERO]]</f>
        <v>FF01-189</v>
      </c>
      <c r="AU925" s="28" t="e">
        <f>DATA[[#This Row],[TOTAL]]*DATA[[#This Row],[T.C.]]</f>
        <v>#REF!</v>
      </c>
      <c r="AV925" s="6">
        <f>DATA[[#This Row],[FECHA DE VAL.]]</f>
        <v>45863</v>
      </c>
      <c r="AW925" s="6">
        <f>DATA[[#This Row],[FECHA DE EMISION]]</f>
        <v>45869</v>
      </c>
      <c r="AX925" s="6">
        <f>DATA[[#This Row],[F1]]</f>
        <v>0</v>
      </c>
      <c r="AY925" s="20">
        <f>IF(AV925-DATA[[#This Row],[fecha_fs]]&lt;0,0,AV925-DATA[[#This Row],[fecha_fs]])</f>
        <v>11</v>
      </c>
      <c r="AZ925" s="20">
        <f t="shared" si="97"/>
        <v>6</v>
      </c>
      <c r="BA925" s="20">
        <f t="shared" si="98"/>
        <v>0</v>
      </c>
      <c r="BB925" s="195">
        <f>IFERROR(SUM(DATA[[#This Row],[fs_val_ttf]:[fact_pago_ttf]]),0)</f>
        <v>17</v>
      </c>
      <c r="BC925" s="185">
        <v>45874</v>
      </c>
      <c r="BD925" s="185">
        <v>45887</v>
      </c>
      <c r="BE925" s="185">
        <v>45888</v>
      </c>
      <c r="BF925" s="185">
        <v>45909</v>
      </c>
      <c r="BG925" s="20">
        <f>IFERROR(IF(BC925-DATA[[#This Row],[fecha_fs]]&lt;0,0,BC925-DATA[[#This Row],[fecha_fs]]),0)</f>
        <v>22</v>
      </c>
      <c r="BH925" s="20">
        <f t="shared" si="99"/>
        <v>13</v>
      </c>
      <c r="BI925" s="20">
        <f t="shared" si="100"/>
        <v>1</v>
      </c>
      <c r="BJ925" s="20">
        <f t="shared" si="101"/>
        <v>21</v>
      </c>
      <c r="BK925" s="218">
        <f>IFERROR(SUM(DATA[[#This Row],[fs_fd_ttd]:[fend_fenf_ttd]]),0)</f>
        <v>57</v>
      </c>
      <c r="BL925" s="20" t="str">
        <f>IF(DATA[[#This Row],[fecha_fs]]&gt;0,TEXT(DATA[[#This Row],[fecha_fs]],"YYYY"),0)</f>
        <v>2025</v>
      </c>
      <c r="BM925" s="221" t="b">
        <v>1</v>
      </c>
      <c r="BN925" s="278">
        <f>COUNTIF(DATA[[#This Row],[tiempo_td]], "&lt;=15")</f>
        <v>0</v>
      </c>
      <c r="BO925" s="222"/>
    </row>
    <row r="926" spans="1:67" ht="30.6" customHeight="1" x14ac:dyDescent="0.25">
      <c r="A926" s="4">
        <v>20100055237</v>
      </c>
      <c r="B926" s="5" t="s">
        <v>21</v>
      </c>
      <c r="C926" s="52" t="s">
        <v>138</v>
      </c>
      <c r="D926" s="4" t="s">
        <v>139</v>
      </c>
      <c r="E926" s="5" t="s">
        <v>23</v>
      </c>
      <c r="F926" s="24">
        <v>45853</v>
      </c>
      <c r="G926" s="7" t="s">
        <v>113</v>
      </c>
      <c r="H926" s="25">
        <f t="shared" si="103"/>
        <v>1</v>
      </c>
      <c r="I926" s="67">
        <v>4754</v>
      </c>
      <c r="J926" s="8" t="s">
        <v>115</v>
      </c>
      <c r="K926" s="9" t="s">
        <v>121</v>
      </c>
      <c r="L926" s="10" t="s">
        <v>117</v>
      </c>
      <c r="M926" s="11">
        <v>60</v>
      </c>
      <c r="N926" s="12" t="s">
        <v>125</v>
      </c>
      <c r="O926" s="6">
        <v>45869</v>
      </c>
      <c r="P926" s="54">
        <v>3582</v>
      </c>
      <c r="Q926" s="14" t="s">
        <v>85</v>
      </c>
      <c r="R926" s="56"/>
      <c r="S926" s="56">
        <v>297.92</v>
      </c>
      <c r="T926" s="15">
        <f>DATA[[#This Row],[C. DF]]+DATA[[#This Row],[C.OPE.]]</f>
        <v>297.92</v>
      </c>
      <c r="U926" s="15">
        <f>DATA[[#This Row],[SUB TOTAL]]*0.18</f>
        <v>53.625599999999999</v>
      </c>
      <c r="V926" s="15">
        <f>IFERROR(ROUND(DATA[[#This Row],[SUB TOTAL]]+DATA[[#This Row],[IGV]],2),0)</f>
        <v>351.55</v>
      </c>
      <c r="W926" s="16" t="str">
        <f>IF(DATA[[#This Row],[VALORIZACIÓN ]]="-","NO CORRESPONDE",IF(OR(A926=20558226979,A926=10470707866,A926=20111157058,A926=20100226902),"NO CORRESPONDE",IF(J926="Emitida",IF(P926&gt;0,"EMITIDA","PENDIENTE"),"NO CORRESPONDE")))</f>
        <v>EMITIDA</v>
      </c>
      <c r="X926" s="29"/>
      <c r="Y926" s="17" t="s">
        <v>118</v>
      </c>
      <c r="Z926" s="30">
        <v>45883</v>
      </c>
      <c r="AA926" s="10" t="s">
        <v>150</v>
      </c>
      <c r="AB926" s="19">
        <v>205</v>
      </c>
      <c r="AC926" s="20">
        <v>30</v>
      </c>
      <c r="AD926" s="18">
        <f>DATA[[#This Row],[FECHA DE EMISION]]+DATA[[#This Row],[CONDICION DE PAGO]]</f>
        <v>45913</v>
      </c>
      <c r="AE926" s="23">
        <f>IF(DATA[[#This Row],[MONEDA]]="USD",VLOOKUP(DATA[[#This Row],[COMBINADA]],#REF!,11,0),1)</f>
        <v>1</v>
      </c>
      <c r="AF926" s="129" t="str">
        <f>IF(DATA[[#This Row],[SERIE2]]="-","NO CORRESPONDE",IF(W926="NO CORRESPONDE","NO CORRESPONDE",IF(Z926&gt;0,"FACTURADO","PENDIENTE")))</f>
        <v>FACTURADO</v>
      </c>
      <c r="AG926" s="133">
        <f>IFERROR(VLOOKUP(DATA[[#This Row],[COMBINADA]],#REF!,6,0),0)</f>
        <v>0</v>
      </c>
      <c r="AH926" s="125">
        <f>IFERROR(VLOOKUP(DATA[[#This Row],[COMBINADA]],#REF!,9,0),0)/COUNTIFS(DATA[COMBINADA],DATA[[#This Row],[COMBINADA]])</f>
        <v>0</v>
      </c>
      <c r="AI926" s="136">
        <f>IFERROR(VLOOKUP(DATA[[#This Row],[COMBINADA]],#REF!,6,0),0)</f>
        <v>0</v>
      </c>
      <c r="AJ926" s="132">
        <f>IFERROR(VLOOKUP(DATA[[#This Row],[COMBINADA]],#REF!,9,0),0)/COUNTIFS(DATA[COMBINADA],DATA[[#This Row],[COMBINADA]])</f>
        <v>0</v>
      </c>
      <c r="AK926" s="408">
        <f>IFERROR(VLOOKUP(DATA[[#This Row],[COMBINADA]],#REF!,6,0),0)</f>
        <v>0</v>
      </c>
      <c r="AL926" s="125">
        <f>IFERROR(VLOOKUP(DATA[[#This Row],[COMBINADA]],#REF!,9,0),0)/COUNTIFS(DATA[COMBINADA],DATA[[#This Row],[COMBINADA]])</f>
        <v>0</v>
      </c>
      <c r="AM926" s="147">
        <f>IFERROR(VLOOKUP(DATA[[#This Row],[COMBINADA]],#REF!,6,0),0)</f>
        <v>0</v>
      </c>
      <c r="AN926" s="125">
        <f>IFERROR(VLOOKUP(DATA[[#This Row],[COMBINADA]],#REF!,9,0),0)/COUNTIFS(DATA[COMBINADA],DATA[[#This Row],[COMBINADA]])</f>
        <v>0</v>
      </c>
      <c r="AO926" s="27">
        <f>IFERROR(VLOOKUP(DATA[[#This Row],[COMBINADA]],#REF!,6,0),0)</f>
        <v>0</v>
      </c>
      <c r="AP926" s="132">
        <f>IFERROR(VLOOKUP(DATA[[#This Row],[COMBINADA]],#REF!,9,0),0)/COUNTIFS(DATA[COMBINADA],DATA[[#This Row],[COMBINADA]])</f>
        <v>0</v>
      </c>
      <c r="AQ92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926" s="26" t="str">
        <f>IFERROR(IF(DATA[[#This Row],[estado_fact]]="FACTURADO",VLOOKUP(DATA[[#This Row],[SERIE2]]&amp;"-"&amp;DATA[[#This Row],[NUMERO]],#REF!,34,0),"NO CORRESPONDE"),"NO CORRESPONDE")</f>
        <v>NO CORRESPONDE</v>
      </c>
      <c r="AS926" s="22" t="str">
        <f>IF(DATA[[#This Row],[fecha_fs]]&gt;0,TEXT(DATA[[#This Row],[fecha_fs]],"Mmmm"),0)</f>
        <v>Julio</v>
      </c>
      <c r="AT926" s="22" t="str">
        <f>DATA[[#This Row],[SERIE2]]&amp;"-"&amp;DATA[[#This Row],[NUMERO]]</f>
        <v>FF01-205</v>
      </c>
      <c r="AU926" s="28">
        <f>DATA[[#This Row],[TOTAL]]*DATA[[#This Row],[T.C.]]</f>
        <v>351.55</v>
      </c>
      <c r="AV926" s="6">
        <f>DATA[[#This Row],[FECHA DE VAL.]]</f>
        <v>45869</v>
      </c>
      <c r="AW926" s="6">
        <f>DATA[[#This Row],[FECHA DE EMISION]]</f>
        <v>45883</v>
      </c>
      <c r="AX926" s="6">
        <f>DATA[[#This Row],[F1]]</f>
        <v>0</v>
      </c>
      <c r="AY926" s="20">
        <f>IF(AV926-DATA[[#This Row],[fecha_fs]]&lt;0,0,AV926-DATA[[#This Row],[fecha_fs]])</f>
        <v>16</v>
      </c>
      <c r="AZ926" s="20">
        <f t="shared" si="97"/>
        <v>14</v>
      </c>
      <c r="BA926" s="20">
        <f t="shared" si="98"/>
        <v>0</v>
      </c>
      <c r="BB926" s="195">
        <f>IFERROR(SUM(DATA[[#This Row],[fs_val_ttf]:[fact_pago_ttf]]),0)</f>
        <v>30</v>
      </c>
      <c r="BC926" s="185">
        <v>45853</v>
      </c>
      <c r="BD926" s="185">
        <v>45853</v>
      </c>
      <c r="BE926" s="185">
        <v>45870</v>
      </c>
      <c r="BF926" s="185">
        <v>45870</v>
      </c>
      <c r="BG926" s="20">
        <f>IFERROR(IF(BC926-DATA[[#This Row],[fecha_fs]]&lt;0,0,BC926-DATA[[#This Row],[fecha_fs]]),0)</f>
        <v>0</v>
      </c>
      <c r="BH926" s="20">
        <f t="shared" si="99"/>
        <v>0</v>
      </c>
      <c r="BI926" s="20">
        <f t="shared" si="100"/>
        <v>17</v>
      </c>
      <c r="BJ926" s="20">
        <f t="shared" si="101"/>
        <v>0</v>
      </c>
      <c r="BK926" s="218">
        <f>IFERROR(SUM(DATA[[#This Row],[fs_fd_ttd]:[fend_fenf_ttd]]),0)</f>
        <v>17</v>
      </c>
      <c r="BL926" s="20" t="str">
        <f>IF(DATA[[#This Row],[fecha_fs]]&gt;0,TEXT(DATA[[#This Row],[fecha_fs]],"YYYY"),0)</f>
        <v>2025</v>
      </c>
      <c r="BM926" s="221" t="b">
        <v>1</v>
      </c>
      <c r="BN926" s="278">
        <f>COUNTIF(DATA[[#This Row],[tiempo_td]], "&lt;=15")</f>
        <v>0</v>
      </c>
      <c r="BO926" s="222"/>
    </row>
    <row r="927" spans="1:67" ht="30.6" customHeight="1" x14ac:dyDescent="0.25">
      <c r="A927" s="4">
        <v>20141637941</v>
      </c>
      <c r="B927" s="5" t="s">
        <v>79</v>
      </c>
      <c r="C927" s="52" t="s">
        <v>18</v>
      </c>
      <c r="D927" s="4" t="s">
        <v>120</v>
      </c>
      <c r="E927" s="5" t="s">
        <v>3</v>
      </c>
      <c r="F927" s="24">
        <v>45854</v>
      </c>
      <c r="G927" s="7" t="s">
        <v>113</v>
      </c>
      <c r="H927" s="25">
        <f t="shared" si="103"/>
        <v>1</v>
      </c>
      <c r="I927" s="67">
        <v>4755</v>
      </c>
      <c r="J927" s="8" t="s">
        <v>115</v>
      </c>
      <c r="K927" s="9" t="s">
        <v>121</v>
      </c>
      <c r="L927" s="10" t="s">
        <v>117</v>
      </c>
      <c r="M927" s="11">
        <v>680</v>
      </c>
      <c r="N927" s="12" t="s">
        <v>125</v>
      </c>
      <c r="O927" s="6">
        <v>45856</v>
      </c>
      <c r="P927" s="110">
        <v>3553</v>
      </c>
      <c r="Q927" s="14" t="s">
        <v>85</v>
      </c>
      <c r="R927" s="15">
        <v>80</v>
      </c>
      <c r="S927" s="15">
        <v>832</v>
      </c>
      <c r="T927" s="15">
        <f>DATA[[#This Row],[C. DF]]+DATA[[#This Row],[C.OPE.]]</f>
        <v>912</v>
      </c>
      <c r="U927" s="15">
        <f>DATA[[#This Row],[SUB TOTAL]]*0.18</f>
        <v>164.16</v>
      </c>
      <c r="V927" s="15">
        <f>IFERROR(ROUND(DATA[[#This Row],[SUB TOTAL]]+DATA[[#This Row],[IGV]],2),0)</f>
        <v>1076.1600000000001</v>
      </c>
      <c r="W927" s="16" t="str">
        <f>IF(DATA[[#This Row],[VALORIZACIÓN ]]="-","NO CORRESPONDE",IF(OR(A927=20558226979,A927=10470707866,A927=20111157058,A927=20100226902),"NO CORRESPONDE",IF(J927="Emitida",IF(P927&gt;0,"EMITIDA","PENDIENTE"),"NO CORRESPONDE")))</f>
        <v>EMITIDA</v>
      </c>
      <c r="X927" s="29"/>
      <c r="Y927" s="17" t="s">
        <v>118</v>
      </c>
      <c r="Z927" s="30">
        <v>45859</v>
      </c>
      <c r="AA927" s="10" t="s">
        <v>150</v>
      </c>
      <c r="AB927" s="19">
        <v>181</v>
      </c>
      <c r="AC927" s="20">
        <v>30</v>
      </c>
      <c r="AD927" s="18">
        <f>DATA[[#This Row],[FECHA DE EMISION]]+DATA[[#This Row],[CONDICION DE PAGO]]</f>
        <v>45889</v>
      </c>
      <c r="AE927" s="23">
        <f>IF(DATA[[#This Row],[MONEDA]]="USD",VLOOKUP(DATA[[#This Row],[COMBINADA]],#REF!,11,0),1)</f>
        <v>1</v>
      </c>
      <c r="AF927" s="129" t="str">
        <f>IF(DATA[[#This Row],[SERIE2]]="-","NO CORRESPONDE",IF(W927="NO CORRESPONDE","NO CORRESPONDE",IF(Z927&gt;0,"FACTURADO","PENDIENTE")))</f>
        <v>FACTURADO</v>
      </c>
      <c r="AG927" s="133">
        <f>IFERROR(VLOOKUP(DATA[[#This Row],[COMBINADA]],#REF!,6,0),0)</f>
        <v>0</v>
      </c>
      <c r="AH927" s="125">
        <f>IFERROR(VLOOKUP(DATA[[#This Row],[COMBINADA]],#REF!,9,0),0)/COUNTIFS(DATA[COMBINADA],DATA[[#This Row],[COMBINADA]])</f>
        <v>0</v>
      </c>
      <c r="AI927" s="136">
        <f>IFERROR(VLOOKUP(DATA[[#This Row],[COMBINADA]],#REF!,6,0),0)</f>
        <v>0</v>
      </c>
      <c r="AJ927" s="132">
        <f>IFERROR(VLOOKUP(DATA[[#This Row],[COMBINADA]],#REF!,9,0),0)/COUNTIFS(DATA[COMBINADA],DATA[[#This Row],[COMBINADA]])</f>
        <v>0</v>
      </c>
      <c r="AK927" s="408">
        <f>IFERROR(VLOOKUP(DATA[[#This Row],[COMBINADA]],#REF!,6,0),0)</f>
        <v>0</v>
      </c>
      <c r="AL927" s="125">
        <f>IFERROR(VLOOKUP(DATA[[#This Row],[COMBINADA]],#REF!,9,0),0)/COUNTIFS(DATA[COMBINADA],DATA[[#This Row],[COMBINADA]])</f>
        <v>0</v>
      </c>
      <c r="AM927" s="147">
        <f>IFERROR(VLOOKUP(DATA[[#This Row],[COMBINADA]],#REF!,6,0),0)</f>
        <v>0</v>
      </c>
      <c r="AN927" s="125">
        <f>IFERROR(VLOOKUP(DATA[[#This Row],[COMBINADA]],#REF!,9,0),0)/COUNTIFS(DATA[COMBINADA],DATA[[#This Row],[COMBINADA]])</f>
        <v>0</v>
      </c>
      <c r="AO927" s="27">
        <f>IFERROR(VLOOKUP(DATA[[#This Row],[COMBINADA]],#REF!,6,0),0)</f>
        <v>0</v>
      </c>
      <c r="AP927" s="132">
        <f>IFERROR(VLOOKUP(DATA[[#This Row],[COMBINADA]],#REF!,9,0),0)/COUNTIFS(DATA[COMBINADA],DATA[[#This Row],[COMBINADA]])</f>
        <v>0</v>
      </c>
      <c r="AQ92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1076.1600000000001</v>
      </c>
      <c r="AR927" s="26" t="str">
        <f>IFERROR(IF(DATA[[#This Row],[estado_fact]]="FACTURADO",VLOOKUP(DATA[[#This Row],[SERIE2]]&amp;"-"&amp;DATA[[#This Row],[NUMERO]],#REF!,34,0),"NO CORRESPONDE"),"NO CORRESPONDE")</f>
        <v>NO CORRESPONDE</v>
      </c>
      <c r="AS927" s="22" t="str">
        <f>IF(DATA[[#This Row],[fecha_fs]]&gt;0,TEXT(DATA[[#This Row],[fecha_fs]],"Mmmm"),0)</f>
        <v>Julio</v>
      </c>
      <c r="AT927" s="22" t="str">
        <f>DATA[[#This Row],[SERIE2]]&amp;"-"&amp;DATA[[#This Row],[NUMERO]]</f>
        <v>FF01-181</v>
      </c>
      <c r="AU927" s="28">
        <f>DATA[[#This Row],[TOTAL]]*DATA[[#This Row],[T.C.]]</f>
        <v>1076.1600000000001</v>
      </c>
      <c r="AV927" s="6">
        <f>DATA[[#This Row],[FECHA DE VAL.]]</f>
        <v>45856</v>
      </c>
      <c r="AW927" s="6">
        <f>DATA[[#This Row],[FECHA DE EMISION]]</f>
        <v>45859</v>
      </c>
      <c r="AX927" s="6">
        <f>DATA[[#This Row],[F1]]</f>
        <v>0</v>
      </c>
      <c r="AY927" s="20">
        <f>IF(AV927-DATA[[#This Row],[fecha_fs]]&lt;0,0,AV927-DATA[[#This Row],[fecha_fs]])</f>
        <v>2</v>
      </c>
      <c r="AZ927" s="20">
        <f t="shared" si="97"/>
        <v>3</v>
      </c>
      <c r="BA927" s="20">
        <f t="shared" si="98"/>
        <v>0</v>
      </c>
      <c r="BB927" s="195">
        <f>IFERROR(SUM(DATA[[#This Row],[fs_val_ttf]:[fact_pago_ttf]]),0)</f>
        <v>5</v>
      </c>
      <c r="BC927" s="185">
        <v>45869</v>
      </c>
      <c r="BD927" s="185">
        <v>45876</v>
      </c>
      <c r="BE927" s="185">
        <v>45880</v>
      </c>
      <c r="BF927" s="185">
        <v>45882</v>
      </c>
      <c r="BG927" s="20">
        <f>IFERROR(IF(BC927-DATA[[#This Row],[fecha_fs]]&lt;0,0,BC927-DATA[[#This Row],[fecha_fs]]),0)</f>
        <v>15</v>
      </c>
      <c r="BH927" s="20">
        <f t="shared" si="99"/>
        <v>7</v>
      </c>
      <c r="BI927" s="20">
        <f t="shared" si="100"/>
        <v>4</v>
      </c>
      <c r="BJ927" s="20">
        <f t="shared" si="101"/>
        <v>2</v>
      </c>
      <c r="BK927" s="218">
        <f>IFERROR(SUM(DATA[[#This Row],[fs_fd_ttd]:[fend_fenf_ttd]]),0)</f>
        <v>28</v>
      </c>
      <c r="BL927" s="20" t="str">
        <f>IF(DATA[[#This Row],[fecha_fs]]&gt;0,TEXT(DATA[[#This Row],[fecha_fs]],"YYYY"),0)</f>
        <v>2025</v>
      </c>
      <c r="BM927" s="221" t="b">
        <v>1</v>
      </c>
      <c r="BN927" s="278">
        <f>COUNTIF(DATA[[#This Row],[tiempo_td]], "&lt;=15")</f>
        <v>0</v>
      </c>
      <c r="BO927" s="222"/>
    </row>
    <row r="928" spans="1:67" ht="30.6" customHeight="1" x14ac:dyDescent="0.25">
      <c r="A928" s="4">
        <v>20141637941</v>
      </c>
      <c r="B928" s="5" t="s">
        <v>79</v>
      </c>
      <c r="C928" s="52" t="s">
        <v>18</v>
      </c>
      <c r="D928" s="4" t="s">
        <v>120</v>
      </c>
      <c r="E928" s="5" t="s">
        <v>3</v>
      </c>
      <c r="F928" s="24">
        <v>45852</v>
      </c>
      <c r="G928" s="7" t="s">
        <v>113</v>
      </c>
      <c r="H928" s="25">
        <f t="shared" si="103"/>
        <v>1</v>
      </c>
      <c r="I928" s="67">
        <v>4756</v>
      </c>
      <c r="J928" s="8" t="s">
        <v>115</v>
      </c>
      <c r="K928" s="9" t="s">
        <v>121</v>
      </c>
      <c r="L928" s="10" t="s">
        <v>117</v>
      </c>
      <c r="M928" s="11">
        <v>660</v>
      </c>
      <c r="N928" s="12" t="s">
        <v>125</v>
      </c>
      <c r="O928" s="6">
        <v>45856</v>
      </c>
      <c r="P928" s="110">
        <v>3553</v>
      </c>
      <c r="Q928" s="14" t="s">
        <v>85</v>
      </c>
      <c r="R928" s="15">
        <v>80</v>
      </c>
      <c r="S928" s="15">
        <v>832</v>
      </c>
      <c r="T928" s="15">
        <f>DATA[[#This Row],[C. DF]]+DATA[[#This Row],[C.OPE.]]</f>
        <v>912</v>
      </c>
      <c r="U928" s="15">
        <f>DATA[[#This Row],[SUB TOTAL]]*0.18</f>
        <v>164.16</v>
      </c>
      <c r="V928" s="15">
        <f>IFERROR(ROUND(DATA[[#This Row],[SUB TOTAL]]+DATA[[#This Row],[IGV]],2),0)</f>
        <v>1076.1600000000001</v>
      </c>
      <c r="W928" s="16" t="str">
        <f>IF(DATA[[#This Row],[VALORIZACIÓN ]]="-","NO CORRESPONDE",IF(OR(A928=20558226979,A928=10470707866,A928=20111157058,A928=20100226902),"NO CORRESPONDE",IF(J928="Emitida",IF(P928&gt;0,"EMITIDA","PENDIENTE"),"NO CORRESPONDE")))</f>
        <v>EMITIDA</v>
      </c>
      <c r="X928" s="29"/>
      <c r="Y928" s="17" t="s">
        <v>118</v>
      </c>
      <c r="Z928" s="30">
        <v>45859</v>
      </c>
      <c r="AA928" s="10" t="s">
        <v>150</v>
      </c>
      <c r="AB928" s="19">
        <v>181</v>
      </c>
      <c r="AC928" s="20">
        <v>30</v>
      </c>
      <c r="AD928" s="18">
        <f>DATA[[#This Row],[FECHA DE EMISION]]+DATA[[#This Row],[CONDICION DE PAGO]]</f>
        <v>45889</v>
      </c>
      <c r="AE928" s="23">
        <f>IF(DATA[[#This Row],[MONEDA]]="USD",VLOOKUP(DATA[[#This Row],[COMBINADA]],#REF!,11,0),1)</f>
        <v>1</v>
      </c>
      <c r="AF928" s="129" t="str">
        <f>IF(DATA[[#This Row],[SERIE2]]="-","NO CORRESPONDE",IF(W928="NO CORRESPONDE","NO CORRESPONDE",IF(Z928&gt;0,"FACTURADO","PENDIENTE")))</f>
        <v>FACTURADO</v>
      </c>
      <c r="AG928" s="133">
        <f>IFERROR(VLOOKUP(DATA[[#This Row],[COMBINADA]],#REF!,6,0),0)</f>
        <v>0</v>
      </c>
      <c r="AH928" s="125">
        <f>IFERROR(VLOOKUP(DATA[[#This Row],[COMBINADA]],#REF!,9,0),0)/COUNTIFS(DATA[COMBINADA],DATA[[#This Row],[COMBINADA]])</f>
        <v>0</v>
      </c>
      <c r="AI928" s="136">
        <f>IFERROR(VLOOKUP(DATA[[#This Row],[COMBINADA]],#REF!,6,0),0)</f>
        <v>0</v>
      </c>
      <c r="AJ928" s="132">
        <f>IFERROR(VLOOKUP(DATA[[#This Row],[COMBINADA]],#REF!,9,0),0)/COUNTIFS(DATA[COMBINADA],DATA[[#This Row],[COMBINADA]])</f>
        <v>0</v>
      </c>
      <c r="AK928" s="408">
        <f>IFERROR(VLOOKUP(DATA[[#This Row],[COMBINADA]],#REF!,6,0),0)</f>
        <v>0</v>
      </c>
      <c r="AL928" s="125">
        <f>IFERROR(VLOOKUP(DATA[[#This Row],[COMBINADA]],#REF!,9,0),0)/COUNTIFS(DATA[COMBINADA],DATA[[#This Row],[COMBINADA]])</f>
        <v>0</v>
      </c>
      <c r="AM928" s="147">
        <f>IFERROR(VLOOKUP(DATA[[#This Row],[COMBINADA]],#REF!,6,0),0)</f>
        <v>0</v>
      </c>
      <c r="AN928" s="125">
        <f>IFERROR(VLOOKUP(DATA[[#This Row],[COMBINADA]],#REF!,9,0),0)/COUNTIFS(DATA[COMBINADA],DATA[[#This Row],[COMBINADA]])</f>
        <v>0</v>
      </c>
      <c r="AO928" s="27">
        <f>IFERROR(VLOOKUP(DATA[[#This Row],[COMBINADA]],#REF!,6,0),0)</f>
        <v>0</v>
      </c>
      <c r="AP928" s="132">
        <f>IFERROR(VLOOKUP(DATA[[#This Row],[COMBINADA]],#REF!,9,0),0)/COUNTIFS(DATA[COMBINADA],DATA[[#This Row],[COMBINADA]])</f>
        <v>0</v>
      </c>
      <c r="AQ92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1076.1600000000001</v>
      </c>
      <c r="AR928" s="26" t="str">
        <f>IFERROR(IF(DATA[[#This Row],[estado_fact]]="FACTURADO",VLOOKUP(DATA[[#This Row],[SERIE2]]&amp;"-"&amp;DATA[[#This Row],[NUMERO]],#REF!,34,0),"NO CORRESPONDE"),"NO CORRESPONDE")</f>
        <v>NO CORRESPONDE</v>
      </c>
      <c r="AS928" s="22" t="str">
        <f>IF(DATA[[#This Row],[fecha_fs]]&gt;0,TEXT(DATA[[#This Row],[fecha_fs]],"Mmmm"),0)</f>
        <v>Julio</v>
      </c>
      <c r="AT928" s="22" t="str">
        <f>DATA[[#This Row],[SERIE2]]&amp;"-"&amp;DATA[[#This Row],[NUMERO]]</f>
        <v>FF01-181</v>
      </c>
      <c r="AU928" s="28">
        <f>DATA[[#This Row],[TOTAL]]*DATA[[#This Row],[T.C.]]</f>
        <v>1076.1600000000001</v>
      </c>
      <c r="AV928" s="6">
        <f>DATA[[#This Row],[FECHA DE VAL.]]</f>
        <v>45856</v>
      </c>
      <c r="AW928" s="6">
        <f>DATA[[#This Row],[FECHA DE EMISION]]</f>
        <v>45859</v>
      </c>
      <c r="AX928" s="6">
        <f>DATA[[#This Row],[F1]]</f>
        <v>0</v>
      </c>
      <c r="AY928" s="20">
        <f>IF(AV928-DATA[[#This Row],[fecha_fs]]&lt;0,0,AV928-DATA[[#This Row],[fecha_fs]])</f>
        <v>4</v>
      </c>
      <c r="AZ928" s="20">
        <f t="shared" si="97"/>
        <v>3</v>
      </c>
      <c r="BA928" s="20">
        <f t="shared" si="98"/>
        <v>0</v>
      </c>
      <c r="BB928" s="195">
        <f>IFERROR(SUM(DATA[[#This Row],[fs_val_ttf]:[fact_pago_ttf]]),0)</f>
        <v>7</v>
      </c>
      <c r="BC928" s="185">
        <v>45852</v>
      </c>
      <c r="BD928" s="185">
        <v>45862</v>
      </c>
      <c r="BE928" s="185">
        <v>45870</v>
      </c>
      <c r="BF928" s="185">
        <v>45882</v>
      </c>
      <c r="BG928" s="20">
        <f>IFERROR(IF(BC928-DATA[[#This Row],[fecha_fs]]&lt;0,0,BC928-DATA[[#This Row],[fecha_fs]]),0)</f>
        <v>0</v>
      </c>
      <c r="BH928" s="20">
        <f t="shared" si="99"/>
        <v>10</v>
      </c>
      <c r="BI928" s="20">
        <f t="shared" si="100"/>
        <v>8</v>
      </c>
      <c r="BJ928" s="20">
        <f t="shared" si="101"/>
        <v>12</v>
      </c>
      <c r="BK928" s="218">
        <f>IFERROR(SUM(DATA[[#This Row],[fs_fd_ttd]:[fend_fenf_ttd]]),0)</f>
        <v>30</v>
      </c>
      <c r="BL928" s="20" t="str">
        <f>IF(DATA[[#This Row],[fecha_fs]]&gt;0,TEXT(DATA[[#This Row],[fecha_fs]],"YYYY"),0)</f>
        <v>2025</v>
      </c>
      <c r="BM928" s="221" t="b">
        <v>1</v>
      </c>
      <c r="BN928" s="278">
        <f>COUNTIF(DATA[[#This Row],[tiempo_td]], "&lt;=15")</f>
        <v>0</v>
      </c>
      <c r="BO928" s="222"/>
    </row>
    <row r="929" spans="1:67" ht="30.6" customHeight="1" x14ac:dyDescent="0.25">
      <c r="A929" s="4">
        <v>20100226902</v>
      </c>
      <c r="B929" s="5" t="s">
        <v>24</v>
      </c>
      <c r="C929" s="52" t="s">
        <v>18</v>
      </c>
      <c r="D929" s="4" t="s">
        <v>120</v>
      </c>
      <c r="E929" s="5" t="s">
        <v>3</v>
      </c>
      <c r="F929" s="24">
        <v>45852</v>
      </c>
      <c r="G929" s="7" t="s">
        <v>113</v>
      </c>
      <c r="H929" s="25">
        <f t="shared" si="103"/>
        <v>1</v>
      </c>
      <c r="I929" s="67">
        <v>4757</v>
      </c>
      <c r="J929" s="8" t="s">
        <v>115</v>
      </c>
      <c r="K929" s="9" t="s">
        <v>121</v>
      </c>
      <c r="L929" s="10" t="s">
        <v>117</v>
      </c>
      <c r="M929" s="11">
        <v>630</v>
      </c>
      <c r="N929" s="12" t="s">
        <v>251</v>
      </c>
      <c r="O929" s="40"/>
      <c r="P929" s="41" t="s">
        <v>114</v>
      </c>
      <c r="Q929" s="42"/>
      <c r="R929" s="43"/>
      <c r="S929" s="43"/>
      <c r="T929" s="43">
        <f>DATA[[#This Row],[C. DF]]+DATA[[#This Row],[C.OPE.]]</f>
        <v>0</v>
      </c>
      <c r="U929" s="43">
        <f>DATA[[#This Row],[SUB TOTAL]]*0.18</f>
        <v>0</v>
      </c>
      <c r="V929" s="43">
        <f>IFERROR(ROUND(DATA[[#This Row],[SUB TOTAL]]+DATA[[#This Row],[IGV]],2),0)</f>
        <v>0</v>
      </c>
      <c r="W929" s="16" t="str">
        <f>IF(DATA[[#This Row],[VALORIZACIÓN ]]="-","NO CORRESPONDE",IF(OR(A929=20558226979,A929=10470707866,A929=20111157058,A929=20100226902),"NO CORRESPONDE",IF(J929="Emitida",IF(P929&gt;0,"EMITIDA","PENDIENTE"),"NO CORRESPONDE")))</f>
        <v>NO CORRESPONDE</v>
      </c>
      <c r="X929" s="45"/>
      <c r="Y929" s="17" t="s">
        <v>128</v>
      </c>
      <c r="Z929" s="46"/>
      <c r="AA929" s="47"/>
      <c r="AB929" s="48"/>
      <c r="AC929" s="49"/>
      <c r="AD929" s="50">
        <f>DATA[[#This Row],[FECHA DE EMISION]]+DATA[[#This Row],[CONDICION DE PAGO]]</f>
        <v>0</v>
      </c>
      <c r="AE929" s="23">
        <f>IF(DATA[[#This Row],[MONEDA]]="USD",VLOOKUP(DATA[[#This Row],[COMBINADA]],#REF!,11,0),1)</f>
        <v>1</v>
      </c>
      <c r="AF929" s="129" t="str">
        <f>IF(DATA[[#This Row],[SERIE2]]="-","NO CORRESPONDE",IF(W929="NO CORRESPONDE","NO CORRESPONDE",IF(Z929&gt;0,"FACTURADO","PENDIENTE")))</f>
        <v>NO CORRESPONDE</v>
      </c>
      <c r="AG929" s="140">
        <f>IFERROR(VLOOKUP(DATA[[#This Row],[COMBINADA]],#REF!,6,0),0)</f>
        <v>0</v>
      </c>
      <c r="AH929" s="126">
        <f>IFERROR(VLOOKUP(DATA[[#This Row],[COMBINADA]],#REF!,9,0),0)/COUNTIFS(DATA[COMBINADA],DATA[[#This Row],[COMBINADA]])</f>
        <v>0</v>
      </c>
      <c r="AI929" s="140">
        <f>IFERROR(VLOOKUP(DATA[[#This Row],[COMBINADA]],#REF!,6,0),0)</f>
        <v>0</v>
      </c>
      <c r="AJ929" s="126">
        <f>IFERROR(VLOOKUP(DATA[[#This Row],[COMBINADA]],#REF!,9,0),0)/COUNTIFS(DATA[COMBINADA],DATA[[#This Row],[COMBINADA]])</f>
        <v>0</v>
      </c>
      <c r="AK929" s="61">
        <f>IFERROR(VLOOKUP(DATA[[#This Row],[COMBINADA]],#REF!,6,0),0)</f>
        <v>0</v>
      </c>
      <c r="AL929" s="126">
        <f>IFERROR(VLOOKUP(DATA[[#This Row],[COMBINADA]],#REF!,9,0),0)/COUNTIFS(DATA[COMBINADA],DATA[[#This Row],[COMBINADA]])</f>
        <v>0</v>
      </c>
      <c r="AM929" s="287">
        <f>IFERROR(VLOOKUP(DATA[[#This Row],[COMBINADA]],#REF!,6,0),0)</f>
        <v>0</v>
      </c>
      <c r="AN929" s="126">
        <f>IFERROR(VLOOKUP(DATA[[#This Row],[COMBINADA]],#REF!,9,0),0)/COUNTIFS(DATA[COMBINADA],DATA[[#This Row],[COMBINADA]])</f>
        <v>0</v>
      </c>
      <c r="AO929" s="60">
        <f>IFERROR(VLOOKUP(DATA[[#This Row],[COMBINADA]],#REF!,6,0),0)</f>
        <v>0</v>
      </c>
      <c r="AP929" s="126">
        <f>IFERROR(VLOOKUP(DATA[[#This Row],[COMBINADA]],#REF!,9,0),0)/COUNTIFS(DATA[COMBINADA],DATA[[#This Row],[COMBINADA]])</f>
        <v>0</v>
      </c>
      <c r="AQ929"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929" s="22" t="str">
        <f>IFERROR(IF(DATA[[#This Row],[estado_fact]]="FACTURADO",VLOOKUP(DATA[[#This Row],[SERIE2]]&amp;"-"&amp;DATA[[#This Row],[NUMERO]],#REF!,34,0),"NO CORRESPONDE"),"NO CORRESPONDE")</f>
        <v>NO CORRESPONDE</v>
      </c>
      <c r="AS929" s="22" t="str">
        <f>IF(DATA[[#This Row],[fecha_fs]]&gt;0,TEXT(DATA[[#This Row],[fecha_fs]],"Mmmm"),0)</f>
        <v>Julio</v>
      </c>
      <c r="AT929" s="22" t="str">
        <f>DATA[[#This Row],[SERIE2]]&amp;"-"&amp;DATA[[#This Row],[NUMERO]]</f>
        <v>-</v>
      </c>
      <c r="AU929" s="28">
        <f>DATA[[#This Row],[TOTAL]]*DATA[[#This Row],[T.C.]]</f>
        <v>0</v>
      </c>
      <c r="AV929" s="6">
        <f>DATA[[#This Row],[FECHA DE VAL.]]</f>
        <v>0</v>
      </c>
      <c r="AW929" s="6">
        <f>DATA[[#This Row],[FECHA DE EMISION]]</f>
        <v>0</v>
      </c>
      <c r="AX929" s="6">
        <f>DATA[[#This Row],[F1]]</f>
        <v>0</v>
      </c>
      <c r="AY929" s="20">
        <f>IF(AV929-DATA[[#This Row],[fecha_fs]]&lt;0,0,AV929-DATA[[#This Row],[fecha_fs]])</f>
        <v>0</v>
      </c>
      <c r="AZ929" s="20">
        <f t="shared" si="97"/>
        <v>0</v>
      </c>
      <c r="BA929" s="20">
        <f t="shared" si="98"/>
        <v>0</v>
      </c>
      <c r="BB929" s="195">
        <f>IFERROR(SUM(DATA[[#This Row],[fs_val_ttf]:[fact_pago_ttf]]),0)</f>
        <v>0</v>
      </c>
      <c r="BC929" s="185">
        <v>45852</v>
      </c>
      <c r="BD929" s="185">
        <v>45852</v>
      </c>
      <c r="BE929" s="185">
        <v>45880</v>
      </c>
      <c r="BF929" s="185">
        <v>45880</v>
      </c>
      <c r="BG929" s="20">
        <f>IFERROR(IF(BC929-DATA[[#This Row],[fecha_fs]]&lt;0,0,BC929-DATA[[#This Row],[fecha_fs]]),0)</f>
        <v>0</v>
      </c>
      <c r="BH929" s="20">
        <f t="shared" si="99"/>
        <v>0</v>
      </c>
      <c r="BI929" s="20">
        <f t="shared" si="100"/>
        <v>28</v>
      </c>
      <c r="BJ929" s="20">
        <f t="shared" si="101"/>
        <v>0</v>
      </c>
      <c r="BK929" s="218">
        <f>IFERROR(SUM(DATA[[#This Row],[fs_fd_ttd]:[fend_fenf_ttd]]),0)</f>
        <v>28</v>
      </c>
      <c r="BL929" s="20" t="str">
        <f>IF(DATA[[#This Row],[fecha_fs]]&gt;0,TEXT(DATA[[#This Row],[fecha_fs]],"YYYY"),0)</f>
        <v>2025</v>
      </c>
      <c r="BM929" s="221" t="b">
        <v>1</v>
      </c>
      <c r="BN929" s="278">
        <f>COUNTIF(DATA[[#This Row],[tiempo_td]], "&lt;=15")</f>
        <v>0</v>
      </c>
      <c r="BO929" s="222"/>
    </row>
    <row r="930" spans="1:67" ht="30.6" customHeight="1" x14ac:dyDescent="0.25">
      <c r="A930" s="213">
        <v>20100192064</v>
      </c>
      <c r="B930" s="214" t="s">
        <v>60</v>
      </c>
      <c r="C930" s="52" t="s">
        <v>63</v>
      </c>
      <c r="D930" s="4" t="s">
        <v>120</v>
      </c>
      <c r="E930" s="5" t="s">
        <v>3</v>
      </c>
      <c r="F930" s="24">
        <v>45853</v>
      </c>
      <c r="G930" s="7" t="s">
        <v>142</v>
      </c>
      <c r="H930" s="25">
        <f>IF(G930="","",IF(G930="LIM",2,1))</f>
        <v>2</v>
      </c>
      <c r="I930" s="67">
        <v>1111</v>
      </c>
      <c r="J930" s="8" t="s">
        <v>115</v>
      </c>
      <c r="K930" s="215" t="s">
        <v>121</v>
      </c>
      <c r="L930" s="10" t="s">
        <v>117</v>
      </c>
      <c r="M930" s="11">
        <v>167</v>
      </c>
      <c r="N930" s="12" t="s">
        <v>180</v>
      </c>
      <c r="O930" s="6">
        <v>45863</v>
      </c>
      <c r="P930" s="71">
        <v>3566</v>
      </c>
      <c r="Q930" s="14" t="s">
        <v>123</v>
      </c>
      <c r="R930" s="206">
        <f>(DATA[[#This Row],[cantidad_fs]]/1000)*(37+82.74)</f>
        <v>19.996580000000002</v>
      </c>
      <c r="S930" s="206">
        <v>148.53</v>
      </c>
      <c r="T930" s="15">
        <f>DATA[[#This Row],[C. DF]]+DATA[[#This Row],[C.OPE.]]</f>
        <v>168.52658</v>
      </c>
      <c r="U930" s="15">
        <f>DATA[[#This Row],[SUB TOTAL]]*0.18</f>
        <v>30.334784399999997</v>
      </c>
      <c r="V930" s="15">
        <f>IFERROR(ROUND(DATA[[#This Row],[SUB TOTAL]]+DATA[[#This Row],[IGV]],2),0)</f>
        <v>198.86</v>
      </c>
      <c r="W930" s="16" t="str">
        <f>IF(DATA[[#This Row],[VALORIZACIÓN ]]="-","NO CORRESPONDE",IF(OR(A930=20558226979,A930=10470707866,A930=20111157058,A930=20100226902),"NO CORRESPONDE",IF(J930="Emitida",IF(P930&gt;0,"EMITIDA","PENDIENTE"),"NO CORRESPONDE")))</f>
        <v>EMITIDA</v>
      </c>
      <c r="X930" s="29"/>
      <c r="Y930" s="17" t="s">
        <v>118</v>
      </c>
      <c r="Z930" s="30">
        <v>45869</v>
      </c>
      <c r="AA930" s="10" t="s">
        <v>150</v>
      </c>
      <c r="AB930" s="19">
        <v>190</v>
      </c>
      <c r="AC930" s="20">
        <v>30</v>
      </c>
      <c r="AD930" s="18">
        <f>DATA[[#This Row],[FECHA DE EMISION]]+DATA[[#This Row],[CONDICION DE PAGO]]</f>
        <v>45899</v>
      </c>
      <c r="AE930" s="23" t="e">
        <f>IF(DATA[[#This Row],[MONEDA]]="USD",VLOOKUP(DATA[[#This Row],[COMBINADA]],#REF!,11,0),1)</f>
        <v>#REF!</v>
      </c>
      <c r="AF930" s="39" t="str">
        <f>IF(DATA[[#This Row],[SERIE2]]="-","NO CORRESPONDE",IF(W930="NO CORRESPONDE","NO CORRESPONDE",IF(Z930&gt;0,"FACTURADO","PENDIENTE")))</f>
        <v>FACTURADO</v>
      </c>
      <c r="AG930" s="133">
        <f>IFERROR(VLOOKUP(DATA[[#This Row],[COMBINADA]],#REF!,6,0),0)</f>
        <v>0</v>
      </c>
      <c r="AH930" s="125">
        <f>IFERROR(VLOOKUP(DATA[[#This Row],[COMBINADA]],#REF!,9,0),0)/COUNTIFS(DATA[COMBINADA],DATA[[#This Row],[COMBINADA]])</f>
        <v>0</v>
      </c>
      <c r="AI930" s="146">
        <f>IFERROR(VLOOKUP(DATA[[#This Row],[COMBINADA]],#REF!,6,0),0)</f>
        <v>0</v>
      </c>
      <c r="AJ930" s="145">
        <f>IFERROR(VLOOKUP(DATA[[#This Row],[COMBINADA]],#REF!,9,0),0)/COUNTIFS(DATA[COMBINADA],DATA[[#This Row],[COMBINADA]])</f>
        <v>0</v>
      </c>
      <c r="AK930" s="411">
        <f>IFERROR(VLOOKUP(DATA[[#This Row],[COMBINADA]],#REF!,6,0),0)</f>
        <v>0</v>
      </c>
      <c r="AL930" s="125">
        <f>IFERROR(VLOOKUP(DATA[[#This Row],[COMBINADA]],#REF!,9,0),0)/COUNTIFS(DATA[COMBINADA],DATA[[#This Row],[COMBINADA]])</f>
        <v>0</v>
      </c>
      <c r="AM930" s="287">
        <f>IFERROR(VLOOKUP(DATA[[#This Row],[COMBINADA]],#REF!,6,0),0)</f>
        <v>0</v>
      </c>
      <c r="AN930" s="126">
        <f>IFERROR(VLOOKUP(DATA[[#This Row],[COMBINADA]],#REF!,9,0),0)/COUNTIFS(DATA[COMBINADA],DATA[[#This Row],[COMBINADA]])</f>
        <v>0</v>
      </c>
      <c r="AO930" s="27">
        <f>IFERROR(VLOOKUP(DATA[[#This Row],[COMBINADA]],#REF!,6,0),0)</f>
        <v>0</v>
      </c>
      <c r="AP930" s="145">
        <f>IFERROR(VLOOKUP(DATA[[#This Row],[COMBINADA]],#REF!,9,0),0)/COUNTIFS(DATA[COMBINADA],DATA[[#This Row],[COMBINADA]])</f>
        <v>0</v>
      </c>
      <c r="AQ93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681.36900000000003</v>
      </c>
      <c r="AR930" s="118" t="str">
        <f>IFERROR(IF(DATA[[#This Row],[estado_fact]]="FACTURADO",VLOOKUP(DATA[[#This Row],[SERIE2]]&amp;"-"&amp;DATA[[#This Row],[NUMERO]],#REF!,34,0),"NO CORRESPONDE"),"NO CORRESPONDE")</f>
        <v>NO CORRESPONDE</v>
      </c>
      <c r="AS930" s="22" t="str">
        <f>IF(DATA[[#This Row],[fecha_fs]]&gt;0,TEXT(DATA[[#This Row],[fecha_fs]],"Mmmm"),0)</f>
        <v>Julio</v>
      </c>
      <c r="AT930" s="22" t="str">
        <f>DATA[[#This Row],[SERIE2]]&amp;"-"&amp;DATA[[#This Row],[NUMERO]]</f>
        <v>FF01-190</v>
      </c>
      <c r="AU930" s="28" t="e">
        <f>DATA[[#This Row],[TOTAL]]*DATA[[#This Row],[T.C.]]</f>
        <v>#REF!</v>
      </c>
      <c r="AV930" s="6">
        <f>DATA[[#This Row],[FECHA DE VAL.]]</f>
        <v>45863</v>
      </c>
      <c r="AW930" s="6">
        <f>DATA[[#This Row],[FECHA DE EMISION]]</f>
        <v>45869</v>
      </c>
      <c r="AX930" s="6">
        <f>DATA[[#This Row],[F1]]</f>
        <v>0</v>
      </c>
      <c r="AY930" s="20">
        <f>IF(AV930-DATA[[#This Row],[fecha_fs]]&lt;0,0,AV930-DATA[[#This Row],[fecha_fs]])</f>
        <v>10</v>
      </c>
      <c r="AZ930" s="20">
        <f t="shared" ref="AZ930:BA932" si="104">IF(AW930-AV930&lt;0,0,AW930-AV930)</f>
        <v>6</v>
      </c>
      <c r="BA930" s="53">
        <f t="shared" si="104"/>
        <v>0</v>
      </c>
      <c r="BB930" s="195">
        <f>IFERROR(SUM(DATA[[#This Row],[fs_val_ttf]:[fact_pago_ttf]]),0)</f>
        <v>16</v>
      </c>
      <c r="BC930" s="185">
        <v>45859</v>
      </c>
      <c r="BD930" s="185">
        <v>45876</v>
      </c>
      <c r="BE930" s="185">
        <v>45877</v>
      </c>
      <c r="BF930" s="185">
        <v>45909</v>
      </c>
      <c r="BG930" s="20">
        <f>IFERROR(IF(BC930-DATA[[#This Row],[fecha_fs]]&lt;0,0,BC930-DATA[[#This Row],[fecha_fs]]),0)</f>
        <v>6</v>
      </c>
      <c r="BH930" s="20">
        <f t="shared" ref="BH930:BJ931" si="105">IFERROR(IF(BD930-BC930&lt;0,0,BD930-BC930),0)</f>
        <v>17</v>
      </c>
      <c r="BI930" s="20">
        <f t="shared" si="105"/>
        <v>1</v>
      </c>
      <c r="BJ930" s="20">
        <f t="shared" si="105"/>
        <v>32</v>
      </c>
      <c r="BK930" s="218">
        <f>IFERROR(SUM(DATA[[#This Row],[fs_fd_ttd]:[fend_fenf_ttd]]),0)</f>
        <v>56</v>
      </c>
      <c r="BL930" s="20" t="str">
        <f>IF(DATA[[#This Row],[fecha_fs]]&gt;0,TEXT(DATA[[#This Row],[fecha_fs]],"YYYY"),0)</f>
        <v>2025</v>
      </c>
      <c r="BM930" s="221" t="b">
        <v>1</v>
      </c>
      <c r="BN930" s="278">
        <f>COUNTIF(DATA[[#This Row],[tiempo_td]], "&lt;=15")</f>
        <v>0</v>
      </c>
      <c r="BO930" s="222"/>
    </row>
    <row r="931" spans="1:67" ht="30.6" customHeight="1" x14ac:dyDescent="0.25">
      <c r="A931" s="213">
        <v>20100192064</v>
      </c>
      <c r="B931" s="214" t="s">
        <v>60</v>
      </c>
      <c r="C931" s="52" t="s">
        <v>63</v>
      </c>
      <c r="D931" s="4" t="s">
        <v>112</v>
      </c>
      <c r="E931" s="5" t="s">
        <v>1</v>
      </c>
      <c r="F931" s="24">
        <v>45853</v>
      </c>
      <c r="G931" s="7" t="s">
        <v>142</v>
      </c>
      <c r="H931" s="25">
        <f>IF(G931="","",IF(G931="LIM",2,1))</f>
        <v>2</v>
      </c>
      <c r="I931" s="232">
        <v>1112</v>
      </c>
      <c r="J931" s="8" t="s">
        <v>115</v>
      </c>
      <c r="K931" s="9" t="s">
        <v>116</v>
      </c>
      <c r="L931" s="10" t="s">
        <v>117</v>
      </c>
      <c r="M931" s="11">
        <v>24</v>
      </c>
      <c r="N931" s="12" t="s">
        <v>180</v>
      </c>
      <c r="O931" s="6">
        <v>45863</v>
      </c>
      <c r="P931" s="71">
        <v>3567</v>
      </c>
      <c r="Q931" s="14" t="s">
        <v>123</v>
      </c>
      <c r="R931" s="206">
        <f>(DATA[[#This Row],[cantidad_fs]]/1000)*(147+82.74)</f>
        <v>5.5137600000000004</v>
      </c>
      <c r="S931" s="206">
        <v>148.53</v>
      </c>
      <c r="T931" s="15">
        <f>DATA[[#This Row],[C. DF]]+DATA[[#This Row],[C.OPE.]]</f>
        <v>154.04375999999999</v>
      </c>
      <c r="U931" s="15">
        <f>DATA[[#This Row],[SUB TOTAL]]*0.18</f>
        <v>27.727876799999997</v>
      </c>
      <c r="V931" s="15">
        <f>IFERROR(ROUND(DATA[[#This Row],[SUB TOTAL]]+DATA[[#This Row],[IGV]],2),0)</f>
        <v>181.77</v>
      </c>
      <c r="W931" s="16" t="str">
        <f>IF(DATA[[#This Row],[VALORIZACIÓN ]]="-","NO CORRESPONDE",IF(OR(A931=20558226979,A931=10470707866,A931=20111157058,A931=20100226902),"NO CORRESPONDE",IF(J931="Emitida",IF(P931&gt;0,"EMITIDA","PENDIENTE"),"NO CORRESPONDE")))</f>
        <v>EMITIDA</v>
      </c>
      <c r="X931" s="29"/>
      <c r="Y931" s="17" t="s">
        <v>118</v>
      </c>
      <c r="Z931" s="30">
        <v>45869</v>
      </c>
      <c r="AA931" s="10" t="s">
        <v>150</v>
      </c>
      <c r="AB931" s="19">
        <v>190</v>
      </c>
      <c r="AC931" s="20">
        <v>30</v>
      </c>
      <c r="AD931" s="18">
        <f>DATA[[#This Row],[FECHA DE EMISION]]+DATA[[#This Row],[CONDICION DE PAGO]]</f>
        <v>45899</v>
      </c>
      <c r="AE931" s="23" t="e">
        <f>IF(DATA[[#This Row],[MONEDA]]="USD",VLOOKUP(DATA[[#This Row],[COMBINADA]],#REF!,11,0),1)</f>
        <v>#REF!</v>
      </c>
      <c r="AF931" s="39" t="str">
        <f>IF(DATA[[#This Row],[SERIE2]]="-","NO CORRESPONDE",IF(W931="NO CORRESPONDE","NO CORRESPONDE",IF(Z931&gt;0,"FACTURADO","PENDIENTE")))</f>
        <v>FACTURADO</v>
      </c>
      <c r="AG931" s="133">
        <f>IFERROR(VLOOKUP(DATA[[#This Row],[COMBINADA]],#REF!,6,0),0)</f>
        <v>0</v>
      </c>
      <c r="AH931" s="125">
        <f>IFERROR(VLOOKUP(DATA[[#This Row],[COMBINADA]],#REF!,9,0),0)/COUNTIFS(DATA[COMBINADA],DATA[[#This Row],[COMBINADA]])</f>
        <v>0</v>
      </c>
      <c r="AI931" s="146">
        <f>IFERROR(VLOOKUP(DATA[[#This Row],[COMBINADA]],#REF!,6,0),0)</f>
        <v>0</v>
      </c>
      <c r="AJ931" s="145">
        <f>IFERROR(VLOOKUP(DATA[[#This Row],[COMBINADA]],#REF!,9,0),0)/COUNTIFS(DATA[COMBINADA],DATA[[#This Row],[COMBINADA]])</f>
        <v>0</v>
      </c>
      <c r="AK931" s="411">
        <f>IFERROR(VLOOKUP(DATA[[#This Row],[COMBINADA]],#REF!,6,0),0)</f>
        <v>0</v>
      </c>
      <c r="AL931" s="125">
        <f>IFERROR(VLOOKUP(DATA[[#This Row],[COMBINADA]],#REF!,9,0),0)/COUNTIFS(DATA[COMBINADA],DATA[[#This Row],[COMBINADA]])</f>
        <v>0</v>
      </c>
      <c r="AM931" s="287">
        <f>IFERROR(VLOOKUP(DATA[[#This Row],[COMBINADA]],#REF!,6,0),0)</f>
        <v>0</v>
      </c>
      <c r="AN931" s="126">
        <f>IFERROR(VLOOKUP(DATA[[#This Row],[COMBINADA]],#REF!,9,0),0)/COUNTIFS(DATA[COMBINADA],DATA[[#This Row],[COMBINADA]])</f>
        <v>0</v>
      </c>
      <c r="AO931" s="27">
        <f>IFERROR(VLOOKUP(DATA[[#This Row],[COMBINADA]],#REF!,6,0),0)</f>
        <v>0</v>
      </c>
      <c r="AP931" s="145">
        <f>IFERROR(VLOOKUP(DATA[[#This Row],[COMBINADA]],#REF!,9,0),0)/COUNTIFS(DATA[COMBINADA],DATA[[#This Row],[COMBINADA]])</f>
        <v>0</v>
      </c>
      <c r="AQ93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681.36900000000003</v>
      </c>
      <c r="AR931" s="118" t="str">
        <f>IFERROR(IF(DATA[[#This Row],[estado_fact]]="FACTURADO",VLOOKUP(DATA[[#This Row],[SERIE2]]&amp;"-"&amp;DATA[[#This Row],[NUMERO]],#REF!,34,0),"NO CORRESPONDE"),"NO CORRESPONDE")</f>
        <v>NO CORRESPONDE</v>
      </c>
      <c r="AS931" s="22" t="str">
        <f>IF(DATA[[#This Row],[fecha_fs]]&gt;0,TEXT(DATA[[#This Row],[fecha_fs]],"Mmmm"),0)</f>
        <v>Julio</v>
      </c>
      <c r="AT931" s="22" t="str">
        <f>DATA[[#This Row],[SERIE2]]&amp;"-"&amp;DATA[[#This Row],[NUMERO]]</f>
        <v>FF01-190</v>
      </c>
      <c r="AU931" s="28" t="e">
        <f>DATA[[#This Row],[TOTAL]]*DATA[[#This Row],[T.C.]]</f>
        <v>#REF!</v>
      </c>
      <c r="AV931" s="6">
        <f>DATA[[#This Row],[FECHA DE VAL.]]</f>
        <v>45863</v>
      </c>
      <c r="AW931" s="6">
        <f>DATA[[#This Row],[FECHA DE EMISION]]</f>
        <v>45869</v>
      </c>
      <c r="AX931" s="6">
        <f>DATA[[#This Row],[F1]]</f>
        <v>0</v>
      </c>
      <c r="AY931" s="20">
        <f>IF(AV931-DATA[[#This Row],[fecha_fs]]&lt;0,0,AV931-DATA[[#This Row],[fecha_fs]])</f>
        <v>10</v>
      </c>
      <c r="AZ931" s="20">
        <f t="shared" si="104"/>
        <v>6</v>
      </c>
      <c r="BA931" s="53">
        <f t="shared" si="104"/>
        <v>0</v>
      </c>
      <c r="BB931" s="195">
        <f>IFERROR(SUM(DATA[[#This Row],[fs_val_ttf]:[fact_pago_ttf]]),0)</f>
        <v>16</v>
      </c>
      <c r="BC931" s="185">
        <v>45856</v>
      </c>
      <c r="BD931" s="185">
        <v>45869</v>
      </c>
      <c r="BE931" s="185">
        <v>45870</v>
      </c>
      <c r="BF931" s="185">
        <v>45909</v>
      </c>
      <c r="BG931" s="20">
        <f>IFERROR(IF(BC931-DATA[[#This Row],[fecha_fs]]&lt;0,0,BC931-DATA[[#This Row],[fecha_fs]]),0)</f>
        <v>3</v>
      </c>
      <c r="BH931" s="20">
        <f t="shared" si="105"/>
        <v>13</v>
      </c>
      <c r="BI931" s="20">
        <f t="shared" si="105"/>
        <v>1</v>
      </c>
      <c r="BJ931" s="20">
        <f t="shared" si="105"/>
        <v>39</v>
      </c>
      <c r="BK931" s="218">
        <f>IFERROR(SUM(DATA[[#This Row],[fs_fd_ttd]:[fend_fenf_ttd]]),0)</f>
        <v>56</v>
      </c>
      <c r="BL931" s="20" t="str">
        <f>IF(DATA[[#This Row],[fecha_fs]]&gt;0,TEXT(DATA[[#This Row],[fecha_fs]],"YYYY"),0)</f>
        <v>2025</v>
      </c>
      <c r="BM931" s="221" t="b">
        <v>1</v>
      </c>
      <c r="BN931" s="278">
        <f>COUNTIF(DATA[[#This Row],[tiempo_td]], "&lt;=15")</f>
        <v>0</v>
      </c>
      <c r="BO931" s="222"/>
    </row>
    <row r="932" spans="1:67" ht="30.6" customHeight="1" x14ac:dyDescent="0.25">
      <c r="A932" s="4"/>
      <c r="B932" s="5" t="s">
        <v>0</v>
      </c>
      <c r="C932" s="52"/>
      <c r="D932" s="4"/>
      <c r="E932" s="5" t="s">
        <v>0</v>
      </c>
      <c r="F932" s="24">
        <v>45853</v>
      </c>
      <c r="G932" s="7" t="s">
        <v>142</v>
      </c>
      <c r="H932" s="25">
        <f>IF(G932="","",IF(G932="LIM",2,1))</f>
        <v>2</v>
      </c>
      <c r="I932" s="67">
        <v>1113</v>
      </c>
      <c r="J932" s="8" t="s">
        <v>151</v>
      </c>
      <c r="K932" s="9"/>
      <c r="L932" s="10"/>
      <c r="M932" s="111"/>
      <c r="N932" s="112"/>
      <c r="O932" s="6"/>
      <c r="P932" s="13"/>
      <c r="Q932" s="14"/>
      <c r="R932" s="56"/>
      <c r="S932" s="56"/>
      <c r="T932" s="56">
        <f>DATA[[#This Row],[C. DF]]+DATA[[#This Row],[C.OPE.]]</f>
        <v>0</v>
      </c>
      <c r="U932" s="56">
        <f>DATA[[#This Row],[SUB TOTAL]]*0.18</f>
        <v>0</v>
      </c>
      <c r="V932" s="56">
        <f>IFERROR(ROUND(DATA[[#This Row],[SUB TOTAL]]+DATA[[#This Row],[IGV]],2),0)</f>
        <v>0</v>
      </c>
      <c r="W932" s="73" t="str">
        <f>IF(DATA[[#This Row],[VALORIZACIÓN ]]="-","NO CORRESPONDE",IF(OR(A932=20558226979,A932=10470707866,A932=20111157058,A932=20100226902),"NO CORRESPONDE",IF(J932="Emitida",IF(P932&gt;0,"EMITIDA","PENDIENTE"),"NO CORRESPONDE")))</f>
        <v>NO CORRESPONDE</v>
      </c>
      <c r="X932" s="46"/>
      <c r="Y932" s="17" t="s">
        <v>128</v>
      </c>
      <c r="Z932" s="48"/>
      <c r="AA932" s="49"/>
      <c r="AB932" s="50"/>
      <c r="AC932" s="51"/>
      <c r="AD932" s="59">
        <f>DATA[[#This Row],[FECHA DE EMISION]]+DATA[[#This Row],[CONDICION DE PAGO]]</f>
        <v>0</v>
      </c>
      <c r="AE932" s="23">
        <f>IF(DATA[[#This Row],[MONEDA]]="USD",VLOOKUP(DATA[[#This Row],[COMBINADA]],#REF!,11,0),1)</f>
        <v>1</v>
      </c>
      <c r="AF932" s="129" t="str">
        <f>IF(DATA[[#This Row],[SERIE2]]="-","NO CORRESPONDE",IF(W932="NO CORRESPONDE","NO CORRESPONDE",IF(Z932&gt;0,"FACTURADO","PENDIENTE")))</f>
        <v>NO CORRESPONDE</v>
      </c>
      <c r="AG932" s="208">
        <f>IFERROR(VLOOKUP(DATA[[#This Row],[COMBINADA]],#REF!,6,0),0)</f>
        <v>0</v>
      </c>
      <c r="AH932" s="209">
        <f>IFERROR(VLOOKUP(DATA[[#This Row],[COMBINADA]],#REF!,9,0),0)/COUNTIFS(DATA[COMBINADA],DATA[[#This Row],[COMBINADA]])</f>
        <v>0</v>
      </c>
      <c r="AI932" s="140">
        <f>IFERROR(VLOOKUP(DATA[[#This Row],[COMBINADA]],#REF!,6,0),0)</f>
        <v>0</v>
      </c>
      <c r="AJ932" s="126">
        <f>IFERROR(VLOOKUP(DATA[[#This Row],[COMBINADA]],#REF!,9,0),0)/COUNTIFS(DATA[COMBINADA],DATA[[#This Row],[COMBINADA]])</f>
        <v>0</v>
      </c>
      <c r="AK932" s="61">
        <f>IFERROR(VLOOKUP(DATA[[#This Row],[COMBINADA]],#REF!,6,0),0)</f>
        <v>0</v>
      </c>
      <c r="AL932" s="126">
        <f>IFERROR(VLOOKUP(DATA[[#This Row],[COMBINADA]],#REF!,9,0),0)/COUNTIFS(DATA[COMBINADA],DATA[[#This Row],[COMBINADA]])</f>
        <v>0</v>
      </c>
      <c r="AM932" s="61">
        <f>IFERROR(VLOOKUP(DATA[[#This Row],[COMBINADA]],#REF!,6,0),0)</f>
        <v>0</v>
      </c>
      <c r="AN932" s="62">
        <f>IFERROR(VLOOKUP(DATA[[#This Row],[COMBINADA]],#REF!,9,0),0)/COUNTIFS(DATA[COMBINADA],DATA[[#This Row],[COMBINADA]])</f>
        <v>0</v>
      </c>
      <c r="AO932" s="61">
        <f>IFERROR(VLOOKUP(DATA[[#This Row],[COMBINADA]],#REF!,6,0),0)</f>
        <v>0</v>
      </c>
      <c r="AP932" s="62">
        <f>IFERROR(VLOOKUP(DATA[[#This Row],[COMBINADA]],#REF!,9,0),0)/COUNTIFS(DATA[COMBINADA],DATA[[#This Row],[COMBINADA]])</f>
        <v>0</v>
      </c>
      <c r="AQ932"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932" s="22" t="str">
        <f>IFERROR(IF(DATA[[#This Row],[estado_fact]]="FACTURADO",VLOOKUP(DATA[[#This Row],[SERIE2]]&amp;"-"&amp;DATA[[#This Row],[NUMERO]],#REF!,34,0),"NO CORRESPONDE"),"NO CORRESPONDE")</f>
        <v>NO CORRESPONDE</v>
      </c>
      <c r="AS932" s="198" t="str">
        <f>IF(DATA[[#This Row],[fecha_fs]]&gt;0,TEXT(DATA[[#This Row],[fecha_fs]],"Mmmm"),0)</f>
        <v>Julio</v>
      </c>
      <c r="AT932" s="199" t="str">
        <f>DATA[[#This Row],[SERIE2]]&amp;"-"&amp;DATA[[#This Row],[NUMERO]]</f>
        <v>-</v>
      </c>
      <c r="AU932" s="198">
        <f>DATA[[#This Row],[TOTAL]]*DATA[[#This Row],[T.C.]]</f>
        <v>0</v>
      </c>
      <c r="AV932" s="40">
        <f>DATA[[#This Row],[FECHA DE VAL.]]</f>
        <v>0</v>
      </c>
      <c r="AW932" s="40">
        <f>DATA[[#This Row],[FECHA DE EMISION]]</f>
        <v>0</v>
      </c>
      <c r="AX932" s="40">
        <f>DATA[[#This Row],[F1]]</f>
        <v>0</v>
      </c>
      <c r="AY932" s="49">
        <f>IF(AV932-DATA[[#This Row],[fecha_fs]]&lt;0,0,AV932-DATA[[#This Row],[fecha_fs]])</f>
        <v>0</v>
      </c>
      <c r="AZ932" s="49">
        <f t="shared" si="104"/>
        <v>0</v>
      </c>
      <c r="BA932" s="49">
        <f t="shared" si="104"/>
        <v>0</v>
      </c>
      <c r="BB932" s="195">
        <f>IFERROR(SUM(DATA[[#This Row],[fs_val_ttf]:[fact_pago_ttf]]),0)</f>
        <v>0</v>
      </c>
      <c r="BC932" s="47"/>
      <c r="BD932" s="47"/>
      <c r="BE932" s="47"/>
      <c r="BF932" s="47"/>
      <c r="BG932" s="49">
        <f>IFERROR(IF(BC932-DATA[[#This Row],[fecha_fs]]&lt;0,0,BC932-DATA[[#This Row],[fecha_fs]]),0)</f>
        <v>0</v>
      </c>
      <c r="BH932" s="49">
        <f>IFERROR(IF(BD932-BC932&lt;0,0,BD932-BC932),0)</f>
        <v>0</v>
      </c>
      <c r="BI932" s="49">
        <f>IFERROR(IF(BE932-BD932&lt;0,0,BE932-BD932),0)</f>
        <v>0</v>
      </c>
      <c r="BJ932" s="49">
        <f>IFERROR(IF(BF932-BE932&lt;0,0,BF932-BE932),0)</f>
        <v>0</v>
      </c>
      <c r="BK932" s="218">
        <f>IFERROR(SUM(DATA[[#This Row],[fs_fd_ttd]:[fend_fenf_ttd]]),0)</f>
        <v>0</v>
      </c>
      <c r="BL932" s="20" t="str">
        <f>IF(DATA[[#This Row],[fecha_fs]]&gt;0,TEXT(DATA[[#This Row],[fecha_fs]],"YYYY"),0)</f>
        <v>2025</v>
      </c>
      <c r="BM932" s="221" t="b">
        <v>0</v>
      </c>
      <c r="BN932" s="278"/>
      <c r="BO932" s="222"/>
    </row>
    <row r="933" spans="1:67" ht="30.6" customHeight="1" x14ac:dyDescent="0.25">
      <c r="A933" s="4">
        <v>20159473148</v>
      </c>
      <c r="B933" s="5" t="s">
        <v>280</v>
      </c>
      <c r="C933" s="52" t="s">
        <v>20</v>
      </c>
      <c r="D933" s="4" t="s">
        <v>120</v>
      </c>
      <c r="E933" s="5" t="s">
        <v>3</v>
      </c>
      <c r="F933" s="24">
        <v>45854</v>
      </c>
      <c r="G933" s="7" t="s">
        <v>113</v>
      </c>
      <c r="H933" s="25">
        <f t="shared" si="103"/>
        <v>1</v>
      </c>
      <c r="I933" s="67">
        <v>4758</v>
      </c>
      <c r="J933" s="8" t="s">
        <v>115</v>
      </c>
      <c r="K933" s="9" t="s">
        <v>121</v>
      </c>
      <c r="L933" s="10" t="s">
        <v>117</v>
      </c>
      <c r="M933" s="11">
        <v>290</v>
      </c>
      <c r="N933" s="12" t="s">
        <v>125</v>
      </c>
      <c r="O933" s="6">
        <v>45869</v>
      </c>
      <c r="P933" s="83">
        <v>3579</v>
      </c>
      <c r="Q933" s="14" t="s">
        <v>85</v>
      </c>
      <c r="R933" s="15">
        <f>DATA[[#This Row],[cantidad_fs]]*0.08</f>
        <v>23.2</v>
      </c>
      <c r="S933" s="15">
        <v>908.43</v>
      </c>
      <c r="T933" s="15">
        <f>DATA[[#This Row],[C. DF]]+DATA[[#This Row],[C.OPE.]]</f>
        <v>931.63</v>
      </c>
      <c r="U933" s="15">
        <f>DATA[[#This Row],[SUB TOTAL]]*0.18</f>
        <v>167.6934</v>
      </c>
      <c r="V933" s="15">
        <f>IFERROR(ROUND(DATA[[#This Row],[SUB TOTAL]]+DATA[[#This Row],[IGV]],2),0)</f>
        <v>1099.32</v>
      </c>
      <c r="W933" s="16" t="str">
        <f>IF(DATA[[#This Row],[VALORIZACIÓN ]]="-","NO CORRESPONDE",IF(OR(A933=20558226979,A933=10470707866,A933=20111157058,A933=20100226902),"NO CORRESPONDE",IF(J933="Emitida",IF(P933&gt;0,"EMITIDA","PENDIENTE"),"NO CORRESPONDE")))</f>
        <v>EMITIDA</v>
      </c>
      <c r="X933" s="29" t="s">
        <v>310</v>
      </c>
      <c r="Y933" s="17" t="s">
        <v>118</v>
      </c>
      <c r="Z933" s="30">
        <v>45902</v>
      </c>
      <c r="AA933" s="10" t="s">
        <v>150</v>
      </c>
      <c r="AB933" s="19">
        <v>233</v>
      </c>
      <c r="AC933" s="20">
        <v>15</v>
      </c>
      <c r="AD933" s="18">
        <f>DATA[[#This Row],[FECHA DE EMISION]]+DATA[[#This Row],[CONDICION DE PAGO]]</f>
        <v>45917</v>
      </c>
      <c r="AE933" s="23">
        <f>IF(DATA[[#This Row],[MONEDA]]="USD",VLOOKUP(DATA[[#This Row],[COMBINADA]],#REF!,11,0),1)</f>
        <v>1</v>
      </c>
      <c r="AF933" s="129" t="str">
        <f>IF(DATA[[#This Row],[SERIE2]]="-","NO CORRESPONDE",IF(W933="NO CORRESPONDE","NO CORRESPONDE",IF(Z933&gt;0,"FACTURADO","PENDIENTE")))</f>
        <v>FACTURADO</v>
      </c>
      <c r="AG933" s="133">
        <f>IFERROR(VLOOKUP(DATA[[#This Row],[COMBINADA]],#REF!,6,0),0)</f>
        <v>0</v>
      </c>
      <c r="AH933" s="125">
        <f>IFERROR(VLOOKUP(DATA[[#This Row],[COMBINADA]],#REF!,9,0),0)/COUNTIFS(DATA[COMBINADA],DATA[[#This Row],[COMBINADA]])</f>
        <v>0</v>
      </c>
      <c r="AI933" s="136">
        <f>IFERROR(VLOOKUP(DATA[[#This Row],[COMBINADA]],#REF!,6,0),0)</f>
        <v>0</v>
      </c>
      <c r="AJ933" s="132">
        <f>IFERROR(VLOOKUP(DATA[[#This Row],[COMBINADA]],#REF!,9,0),0)/COUNTIFS(DATA[COMBINADA],DATA[[#This Row],[COMBINADA]])</f>
        <v>0</v>
      </c>
      <c r="AK933" s="408">
        <f>IFERROR(VLOOKUP(DATA[[#This Row],[COMBINADA]],#REF!,6,0),0)</f>
        <v>0</v>
      </c>
      <c r="AL933" s="125">
        <f>IFERROR(VLOOKUP(DATA[[#This Row],[COMBINADA]],#REF!,9,0),0)/COUNTIFS(DATA[COMBINADA],DATA[[#This Row],[COMBINADA]])</f>
        <v>0</v>
      </c>
      <c r="AM933" s="147">
        <f>IFERROR(VLOOKUP(DATA[[#This Row],[COMBINADA]],#REF!,6,0),0)</f>
        <v>0</v>
      </c>
      <c r="AN933" s="125">
        <f>IFERROR(VLOOKUP(DATA[[#This Row],[COMBINADA]],#REF!,9,0),0)/COUNTIFS(DATA[COMBINADA],DATA[[#This Row],[COMBINADA]])</f>
        <v>0</v>
      </c>
      <c r="AO933" s="27">
        <f>IFERROR(VLOOKUP(DATA[[#This Row],[COMBINADA]],#REF!,6,0),0)</f>
        <v>0</v>
      </c>
      <c r="AP933" s="132">
        <f>IFERROR(VLOOKUP(DATA[[#This Row],[COMBINADA]],#REF!,9,0),0)/COUNTIFS(DATA[COMBINADA],DATA[[#This Row],[COMBINADA]])</f>
        <v>0</v>
      </c>
      <c r="AQ93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1154.7825</v>
      </c>
      <c r="AR933" s="26" t="str">
        <f>IFERROR(IF(DATA[[#This Row],[estado_fact]]="FACTURADO",VLOOKUP(DATA[[#This Row],[SERIE2]]&amp;"-"&amp;DATA[[#This Row],[NUMERO]],#REF!,34,0),"NO CORRESPONDE"),"NO CORRESPONDE")</f>
        <v>NO CORRESPONDE</v>
      </c>
      <c r="AS933" s="22" t="str">
        <f>IF(DATA[[#This Row],[fecha_fs]]&gt;0,TEXT(DATA[[#This Row],[fecha_fs]],"Mmmm"),0)</f>
        <v>Julio</v>
      </c>
      <c r="AT933" s="22" t="str">
        <f>DATA[[#This Row],[SERIE2]]&amp;"-"&amp;DATA[[#This Row],[NUMERO]]</f>
        <v>FF01-233</v>
      </c>
      <c r="AU933" s="28">
        <f>DATA[[#This Row],[TOTAL]]*DATA[[#This Row],[T.C.]]</f>
        <v>1099.32</v>
      </c>
      <c r="AV933" s="6">
        <f>DATA[[#This Row],[FECHA DE VAL.]]</f>
        <v>45869</v>
      </c>
      <c r="AW933" s="6">
        <f>DATA[[#This Row],[FECHA DE EMISION]]</f>
        <v>45902</v>
      </c>
      <c r="AX933" s="6">
        <f>DATA[[#This Row],[F1]]</f>
        <v>0</v>
      </c>
      <c r="AY933" s="20">
        <f>IF(AV933-DATA[[#This Row],[fecha_fs]]&lt;0,0,AV933-DATA[[#This Row],[fecha_fs]])</f>
        <v>15</v>
      </c>
      <c r="AZ933" s="20">
        <f t="shared" si="97"/>
        <v>33</v>
      </c>
      <c r="BA933" s="20">
        <f t="shared" si="98"/>
        <v>0</v>
      </c>
      <c r="BB933" s="195">
        <f>IFERROR(SUM(DATA[[#This Row],[fs_val_ttf]:[fact_pago_ttf]]),0)</f>
        <v>48</v>
      </c>
      <c r="BC933" s="185">
        <v>45854</v>
      </c>
      <c r="BD933" s="185">
        <v>45862</v>
      </c>
      <c r="BE933" s="185">
        <v>45873</v>
      </c>
      <c r="BF933" s="185">
        <v>45883</v>
      </c>
      <c r="BG933" s="20">
        <f>IFERROR(IF(BC933-DATA[[#This Row],[fecha_fs]]&lt;0,0,BC933-DATA[[#This Row],[fecha_fs]]),0)</f>
        <v>0</v>
      </c>
      <c r="BH933" s="20">
        <f t="shared" si="99"/>
        <v>8</v>
      </c>
      <c r="BI933" s="20">
        <f t="shared" si="100"/>
        <v>11</v>
      </c>
      <c r="BJ933" s="20">
        <f t="shared" si="101"/>
        <v>10</v>
      </c>
      <c r="BK933" s="218">
        <f>IFERROR(SUM(DATA[[#This Row],[fs_fd_ttd]:[fend_fenf_ttd]]),0)</f>
        <v>29</v>
      </c>
      <c r="BL933" s="20" t="str">
        <f>IF(DATA[[#This Row],[fecha_fs]]&gt;0,TEXT(DATA[[#This Row],[fecha_fs]],"YYYY"),0)</f>
        <v>2025</v>
      </c>
      <c r="BM933" s="221" t="b">
        <v>1</v>
      </c>
      <c r="BN933" s="278">
        <f>COUNTIF(DATA[[#This Row],[tiempo_td]], "&lt;=15")</f>
        <v>0</v>
      </c>
      <c r="BO933" s="222"/>
    </row>
    <row r="934" spans="1:67" ht="30.6" customHeight="1" x14ac:dyDescent="0.25">
      <c r="A934" s="4">
        <v>20100226902</v>
      </c>
      <c r="B934" s="5" t="s">
        <v>24</v>
      </c>
      <c r="C934" s="52" t="s">
        <v>18</v>
      </c>
      <c r="D934" s="4" t="s">
        <v>120</v>
      </c>
      <c r="E934" s="5" t="s">
        <v>3</v>
      </c>
      <c r="F934" s="24">
        <v>45854</v>
      </c>
      <c r="G934" s="7" t="s">
        <v>113</v>
      </c>
      <c r="H934" s="25">
        <f t="shared" ref="H934:H939" si="106">IF(G934="","",IF(G934="LIM",2,1))</f>
        <v>1</v>
      </c>
      <c r="I934" s="67">
        <v>4759</v>
      </c>
      <c r="J934" s="8" t="s">
        <v>115</v>
      </c>
      <c r="K934" s="9" t="s">
        <v>121</v>
      </c>
      <c r="L934" s="10" t="s">
        <v>117</v>
      </c>
      <c r="M934" s="11">
        <v>790</v>
      </c>
      <c r="N934" s="12" t="s">
        <v>187</v>
      </c>
      <c r="O934" s="40"/>
      <c r="P934" s="41" t="s">
        <v>114</v>
      </c>
      <c r="Q934" s="42"/>
      <c r="R934" s="43"/>
      <c r="S934" s="43"/>
      <c r="T934" s="43">
        <f>DATA[[#This Row],[C. DF]]+DATA[[#This Row],[C.OPE.]]</f>
        <v>0</v>
      </c>
      <c r="U934" s="43">
        <f>DATA[[#This Row],[SUB TOTAL]]*0.18</f>
        <v>0</v>
      </c>
      <c r="V934" s="43">
        <f>IFERROR(ROUND(DATA[[#This Row],[SUB TOTAL]]+DATA[[#This Row],[IGV]],2),0)</f>
        <v>0</v>
      </c>
      <c r="W934" s="16" t="str">
        <f>IF(DATA[[#This Row],[VALORIZACIÓN ]]="-","NO CORRESPONDE",IF(OR(A934=20558226979,A934=10470707866,A934=20111157058,A934=20100226902),"NO CORRESPONDE",IF(J934="Emitida",IF(P934&gt;0,"EMITIDA","PENDIENTE"),"NO CORRESPONDE")))</f>
        <v>NO CORRESPONDE</v>
      </c>
      <c r="X934" s="45"/>
      <c r="Y934" s="17" t="s">
        <v>128</v>
      </c>
      <c r="Z934" s="46"/>
      <c r="AA934" s="47"/>
      <c r="AB934" s="48"/>
      <c r="AC934" s="49"/>
      <c r="AD934" s="50">
        <f>DATA[[#This Row],[FECHA DE EMISION]]+DATA[[#This Row],[CONDICION DE PAGO]]</f>
        <v>0</v>
      </c>
      <c r="AE934" s="23">
        <f>IF(DATA[[#This Row],[MONEDA]]="USD",VLOOKUP(DATA[[#This Row],[COMBINADA]],#REF!,11,0),1)</f>
        <v>1</v>
      </c>
      <c r="AF934" s="129" t="str">
        <f>IF(DATA[[#This Row],[SERIE2]]="-","NO CORRESPONDE",IF(W934="NO CORRESPONDE","NO CORRESPONDE",IF(Z934&gt;0,"FACTURADO","PENDIENTE")))</f>
        <v>NO CORRESPONDE</v>
      </c>
      <c r="AG934" s="140">
        <f>IFERROR(VLOOKUP(DATA[[#This Row],[COMBINADA]],#REF!,6,0),0)</f>
        <v>0</v>
      </c>
      <c r="AH934" s="126">
        <f>IFERROR(VLOOKUP(DATA[[#This Row],[COMBINADA]],#REF!,9,0),0)/COUNTIFS(DATA[COMBINADA],DATA[[#This Row],[COMBINADA]])</f>
        <v>0</v>
      </c>
      <c r="AI934" s="140">
        <f>IFERROR(VLOOKUP(DATA[[#This Row],[COMBINADA]],#REF!,6,0),0)</f>
        <v>0</v>
      </c>
      <c r="AJ934" s="126">
        <f>IFERROR(VLOOKUP(DATA[[#This Row],[COMBINADA]],#REF!,9,0),0)/COUNTIFS(DATA[COMBINADA],DATA[[#This Row],[COMBINADA]])</f>
        <v>0</v>
      </c>
      <c r="AK934" s="61">
        <f>IFERROR(VLOOKUP(DATA[[#This Row],[COMBINADA]],#REF!,6,0),0)</f>
        <v>0</v>
      </c>
      <c r="AL934" s="126">
        <f>IFERROR(VLOOKUP(DATA[[#This Row],[COMBINADA]],#REF!,9,0),0)/COUNTIFS(DATA[COMBINADA],DATA[[#This Row],[COMBINADA]])</f>
        <v>0</v>
      </c>
      <c r="AM934" s="287">
        <f>IFERROR(VLOOKUP(DATA[[#This Row],[COMBINADA]],#REF!,6,0),0)</f>
        <v>0</v>
      </c>
      <c r="AN934" s="126">
        <f>IFERROR(VLOOKUP(DATA[[#This Row],[COMBINADA]],#REF!,9,0),0)/COUNTIFS(DATA[COMBINADA],DATA[[#This Row],[COMBINADA]])</f>
        <v>0</v>
      </c>
      <c r="AO934" s="60">
        <f>IFERROR(VLOOKUP(DATA[[#This Row],[COMBINADA]],#REF!,6,0),0)</f>
        <v>0</v>
      </c>
      <c r="AP934" s="126">
        <f>IFERROR(VLOOKUP(DATA[[#This Row],[COMBINADA]],#REF!,9,0),0)/COUNTIFS(DATA[COMBINADA],DATA[[#This Row],[COMBINADA]])</f>
        <v>0</v>
      </c>
      <c r="AQ934"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934" s="22" t="str">
        <f>IFERROR(IF(DATA[[#This Row],[estado_fact]]="FACTURADO",VLOOKUP(DATA[[#This Row],[SERIE2]]&amp;"-"&amp;DATA[[#This Row],[NUMERO]],#REF!,34,0),"NO CORRESPONDE"),"NO CORRESPONDE")</f>
        <v>NO CORRESPONDE</v>
      </c>
      <c r="AS934" s="22" t="str">
        <f>IF(DATA[[#This Row],[fecha_fs]]&gt;0,TEXT(DATA[[#This Row],[fecha_fs]],"Mmmm"),0)</f>
        <v>Julio</v>
      </c>
      <c r="AT934" s="22" t="str">
        <f>DATA[[#This Row],[SERIE2]]&amp;"-"&amp;DATA[[#This Row],[NUMERO]]</f>
        <v>-</v>
      </c>
      <c r="AU934" s="28">
        <f>DATA[[#This Row],[TOTAL]]*DATA[[#This Row],[T.C.]]</f>
        <v>0</v>
      </c>
      <c r="AV934" s="6">
        <f>DATA[[#This Row],[FECHA DE VAL.]]</f>
        <v>0</v>
      </c>
      <c r="AW934" s="6">
        <f>DATA[[#This Row],[FECHA DE EMISION]]</f>
        <v>0</v>
      </c>
      <c r="AX934" s="6">
        <f>DATA[[#This Row],[F1]]</f>
        <v>0</v>
      </c>
      <c r="AY934" s="20">
        <f>IF(AV934-DATA[[#This Row],[fecha_fs]]&lt;0,0,AV934-DATA[[#This Row],[fecha_fs]])</f>
        <v>0</v>
      </c>
      <c r="AZ934" s="20">
        <f t="shared" si="97"/>
        <v>0</v>
      </c>
      <c r="BA934" s="20">
        <f t="shared" si="98"/>
        <v>0</v>
      </c>
      <c r="BB934" s="195">
        <f>IFERROR(SUM(DATA[[#This Row],[fs_val_ttf]:[fact_pago_ttf]]),0)</f>
        <v>0</v>
      </c>
      <c r="BC934" s="185">
        <v>45854</v>
      </c>
      <c r="BD934" s="185">
        <v>45854</v>
      </c>
      <c r="BE934" s="185">
        <v>45880</v>
      </c>
      <c r="BF934" s="185">
        <v>45880</v>
      </c>
      <c r="BG934" s="20">
        <f>IFERROR(IF(BC934-DATA[[#This Row],[fecha_fs]]&lt;0,0,BC934-DATA[[#This Row],[fecha_fs]]),0)</f>
        <v>0</v>
      </c>
      <c r="BH934" s="20">
        <f t="shared" si="99"/>
        <v>0</v>
      </c>
      <c r="BI934" s="20">
        <f t="shared" si="100"/>
        <v>26</v>
      </c>
      <c r="BJ934" s="20">
        <f t="shared" si="101"/>
        <v>0</v>
      </c>
      <c r="BK934" s="218">
        <f>IFERROR(SUM(DATA[[#This Row],[fs_fd_ttd]:[fend_fenf_ttd]]),0)</f>
        <v>26</v>
      </c>
      <c r="BL934" s="20" t="str">
        <f>IF(DATA[[#This Row],[fecha_fs]]&gt;0,TEXT(DATA[[#This Row],[fecha_fs]],"YYYY"),0)</f>
        <v>2025</v>
      </c>
      <c r="BM934" s="221" t="b">
        <v>1</v>
      </c>
      <c r="BN934" s="278">
        <f>COUNTIF(DATA[[#This Row],[tiempo_td]], "&lt;=15")</f>
        <v>0</v>
      </c>
      <c r="BO934" s="222"/>
    </row>
    <row r="935" spans="1:67" ht="30.6" customHeight="1" x14ac:dyDescent="0.25">
      <c r="A935" s="4">
        <v>20100211115</v>
      </c>
      <c r="B935" s="5" t="s">
        <v>41</v>
      </c>
      <c r="C935" s="52" t="s">
        <v>18</v>
      </c>
      <c r="D935" s="4" t="s">
        <v>120</v>
      </c>
      <c r="E935" s="5" t="s">
        <v>3</v>
      </c>
      <c r="F935" s="24">
        <v>45854</v>
      </c>
      <c r="G935" s="7" t="s">
        <v>113</v>
      </c>
      <c r="H935" s="25">
        <f t="shared" si="106"/>
        <v>1</v>
      </c>
      <c r="I935" s="67">
        <v>4760</v>
      </c>
      <c r="J935" s="8" t="s">
        <v>115</v>
      </c>
      <c r="K935" s="9" t="s">
        <v>121</v>
      </c>
      <c r="L935" s="10" t="s">
        <v>117</v>
      </c>
      <c r="M935" s="11">
        <v>90</v>
      </c>
      <c r="N935" s="12" t="s">
        <v>266</v>
      </c>
      <c r="O935" s="6">
        <v>45863</v>
      </c>
      <c r="P935" s="115">
        <v>3575</v>
      </c>
      <c r="Q935" s="14" t="s">
        <v>85</v>
      </c>
      <c r="R935" s="15"/>
      <c r="S935" s="15">
        <f>(DATA[[#This Row],[cantidad_fs]]*4.17)</f>
        <v>375.3</v>
      </c>
      <c r="T935" s="15">
        <f>DATA[[#This Row],[C. DF]]+DATA[[#This Row],[C.OPE.]]</f>
        <v>375.3</v>
      </c>
      <c r="U935" s="15">
        <f>DATA[[#This Row],[SUB TOTAL]]*0.18</f>
        <v>67.554000000000002</v>
      </c>
      <c r="V935" s="15">
        <f>IFERROR(ROUND(DATA[[#This Row],[SUB TOTAL]]+DATA[[#This Row],[IGV]],2),0)</f>
        <v>442.85</v>
      </c>
      <c r="W935" s="16" t="str">
        <f>IF(DATA[[#This Row],[VALORIZACIÓN ]]="-","NO CORRESPONDE",IF(OR(A935=20558226979,A935=10470707866,A935=20111157058,A935=20100226902),"NO CORRESPONDE",IF(J935="Emitida",IF(P935&gt;0,"EMITIDA","PENDIENTE"),"NO CORRESPONDE")))</f>
        <v>EMITIDA</v>
      </c>
      <c r="X935" s="29"/>
      <c r="Y935" s="17" t="s">
        <v>118</v>
      </c>
      <c r="Z935" s="30">
        <v>45869</v>
      </c>
      <c r="AA935" s="10" t="s">
        <v>150</v>
      </c>
      <c r="AB935" s="19">
        <v>191</v>
      </c>
      <c r="AC935" s="20">
        <v>30</v>
      </c>
      <c r="AD935" s="18">
        <f>DATA[[#This Row],[FECHA DE EMISION]]+DATA[[#This Row],[CONDICION DE PAGO]]</f>
        <v>45899</v>
      </c>
      <c r="AE935" s="23">
        <f>IF(DATA[[#This Row],[MONEDA]]="USD",VLOOKUP(DATA[[#This Row],[COMBINADA]],#REF!,11,0),1)</f>
        <v>1</v>
      </c>
      <c r="AF935" s="129" t="str">
        <f>IF(DATA[[#This Row],[SERIE2]]="-","NO CORRESPONDE",IF(W935="NO CORRESPONDE","NO CORRESPONDE",IF(Z935&gt;0,"FACTURADO","PENDIENTE")))</f>
        <v>FACTURADO</v>
      </c>
      <c r="AG935" s="133">
        <f>IFERROR(VLOOKUP(DATA[[#This Row],[COMBINADA]],#REF!,6,0),0)</f>
        <v>0</v>
      </c>
      <c r="AH935" s="125">
        <f>IFERROR(VLOOKUP(DATA[[#This Row],[COMBINADA]],#REF!,9,0),0)/COUNTIFS(DATA[COMBINADA],DATA[[#This Row],[COMBINADA]])</f>
        <v>0</v>
      </c>
      <c r="AI935" s="136">
        <f>IFERROR(VLOOKUP(DATA[[#This Row],[COMBINADA]],#REF!,6,0),0)</f>
        <v>0</v>
      </c>
      <c r="AJ935" s="132">
        <f>IFERROR(VLOOKUP(DATA[[#This Row],[COMBINADA]],#REF!,9,0),0)/COUNTIFS(DATA[COMBINADA],DATA[[#This Row],[COMBINADA]])</f>
        <v>0</v>
      </c>
      <c r="AK935" s="408">
        <f>IFERROR(VLOOKUP(DATA[[#This Row],[COMBINADA]],#REF!,6,0),0)</f>
        <v>0</v>
      </c>
      <c r="AL935" s="125">
        <f>IFERROR(VLOOKUP(DATA[[#This Row],[COMBINADA]],#REF!,9,0),0)/COUNTIFS(DATA[COMBINADA],DATA[[#This Row],[COMBINADA]])</f>
        <v>0</v>
      </c>
      <c r="AM935" s="147">
        <f>IFERROR(VLOOKUP(DATA[[#This Row],[COMBINADA]],#REF!,6,0),0)</f>
        <v>0</v>
      </c>
      <c r="AN935" s="125">
        <f>IFERROR(VLOOKUP(DATA[[#This Row],[COMBINADA]],#REF!,9,0),0)/COUNTIFS(DATA[COMBINADA],DATA[[#This Row],[COMBINADA]])</f>
        <v>0</v>
      </c>
      <c r="AO935" s="27">
        <f>IFERROR(VLOOKUP(DATA[[#This Row],[COMBINADA]],#REF!,6,0),0)</f>
        <v>0</v>
      </c>
      <c r="AP935" s="132">
        <f>IFERROR(VLOOKUP(DATA[[#This Row],[COMBINADA]],#REF!,9,0),0)/COUNTIFS(DATA[COMBINADA],DATA[[#This Row],[COMBINADA]])</f>
        <v>0</v>
      </c>
      <c r="AQ93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935" s="26" t="str">
        <f>IFERROR(IF(DATA[[#This Row],[estado_fact]]="FACTURADO",VLOOKUP(DATA[[#This Row],[SERIE2]]&amp;"-"&amp;DATA[[#This Row],[NUMERO]],#REF!,34,0),"NO CORRESPONDE"),"NO CORRESPONDE")</f>
        <v>NO CORRESPONDE</v>
      </c>
      <c r="AS935" s="22" t="str">
        <f>IF(DATA[[#This Row],[fecha_fs]]&gt;0,TEXT(DATA[[#This Row],[fecha_fs]],"Mmmm"),0)</f>
        <v>Julio</v>
      </c>
      <c r="AT935" s="22" t="str">
        <f>DATA[[#This Row],[SERIE2]]&amp;"-"&amp;DATA[[#This Row],[NUMERO]]</f>
        <v>FF01-191</v>
      </c>
      <c r="AU935" s="28">
        <f>DATA[[#This Row],[TOTAL]]*DATA[[#This Row],[T.C.]]</f>
        <v>442.85</v>
      </c>
      <c r="AV935" s="6">
        <f>DATA[[#This Row],[FECHA DE VAL.]]</f>
        <v>45863</v>
      </c>
      <c r="AW935" s="6">
        <f>DATA[[#This Row],[FECHA DE EMISION]]</f>
        <v>45869</v>
      </c>
      <c r="AX935" s="6">
        <f>DATA[[#This Row],[F1]]</f>
        <v>0</v>
      </c>
      <c r="AY935" s="20">
        <f>IF(AV935-DATA[[#This Row],[fecha_fs]]&lt;0,0,AV935-DATA[[#This Row],[fecha_fs]])</f>
        <v>9</v>
      </c>
      <c r="AZ935" s="20">
        <f t="shared" si="97"/>
        <v>6</v>
      </c>
      <c r="BA935" s="20">
        <f t="shared" si="98"/>
        <v>0</v>
      </c>
      <c r="BB935" s="195">
        <f>IFERROR(SUM(DATA[[#This Row],[fs_val_ttf]:[fact_pago_ttf]]),0)</f>
        <v>15</v>
      </c>
      <c r="BC935" s="185">
        <v>45870</v>
      </c>
      <c r="BD935" s="185">
        <v>45876</v>
      </c>
      <c r="BE935" s="185">
        <v>45882</v>
      </c>
      <c r="BF935" s="185">
        <v>45887</v>
      </c>
      <c r="BG935" s="20">
        <f>IFERROR(IF(BC935-DATA[[#This Row],[fecha_fs]]&lt;0,0,BC935-DATA[[#This Row],[fecha_fs]]),0)</f>
        <v>16</v>
      </c>
      <c r="BH935" s="20">
        <f t="shared" si="99"/>
        <v>6</v>
      </c>
      <c r="BI935" s="20">
        <f t="shared" si="100"/>
        <v>6</v>
      </c>
      <c r="BJ935" s="20">
        <f t="shared" si="101"/>
        <v>5</v>
      </c>
      <c r="BK935" s="218">
        <f>IFERROR(SUM(DATA[[#This Row],[fs_fd_ttd]:[fend_fenf_ttd]]),0)</f>
        <v>33</v>
      </c>
      <c r="BL935" s="20" t="str">
        <f>IF(DATA[[#This Row],[fecha_fs]]&gt;0,TEXT(DATA[[#This Row],[fecha_fs]],"YYYY"),0)</f>
        <v>2025</v>
      </c>
      <c r="BM935" s="221" t="b">
        <v>1</v>
      </c>
      <c r="BN935" s="278">
        <f>COUNTIF(DATA[[#This Row],[tiempo_td]], "&lt;=15")</f>
        <v>0</v>
      </c>
      <c r="BO935" s="222"/>
    </row>
    <row r="936" spans="1:67" ht="30.6" customHeight="1" x14ac:dyDescent="0.25">
      <c r="A936" s="4">
        <v>20100211115</v>
      </c>
      <c r="B936" s="5" t="s">
        <v>41</v>
      </c>
      <c r="C936" s="52" t="s">
        <v>18</v>
      </c>
      <c r="D936" s="4" t="s">
        <v>120</v>
      </c>
      <c r="E936" s="5" t="s">
        <v>3</v>
      </c>
      <c r="F936" s="24">
        <v>45854</v>
      </c>
      <c r="G936" s="7" t="s">
        <v>113</v>
      </c>
      <c r="H936" s="25">
        <f t="shared" si="106"/>
        <v>1</v>
      </c>
      <c r="I936" s="67">
        <v>4761</v>
      </c>
      <c r="J936" s="8" t="s">
        <v>115</v>
      </c>
      <c r="K936" s="9" t="s">
        <v>163</v>
      </c>
      <c r="L936" s="10" t="s">
        <v>117</v>
      </c>
      <c r="M936" s="11">
        <v>855</v>
      </c>
      <c r="N936" s="12" t="s">
        <v>266</v>
      </c>
      <c r="O936" s="6">
        <v>45863</v>
      </c>
      <c r="P936" s="115">
        <v>3576</v>
      </c>
      <c r="Q936" s="14" t="s">
        <v>85</v>
      </c>
      <c r="R936" s="15"/>
      <c r="S936" s="15">
        <f>DATA[[#This Row],[cantidad_fs]]*0.72</f>
        <v>615.6</v>
      </c>
      <c r="T936" s="15">
        <f>DATA[[#This Row],[C. DF]]+DATA[[#This Row],[C.OPE.]]</f>
        <v>615.6</v>
      </c>
      <c r="U936" s="15">
        <f>DATA[[#This Row],[SUB TOTAL]]*0.18</f>
        <v>110.80800000000001</v>
      </c>
      <c r="V936" s="15">
        <f>IFERROR(ROUND(DATA[[#This Row],[SUB TOTAL]]+DATA[[#This Row],[IGV]],2),0)</f>
        <v>726.41</v>
      </c>
      <c r="W936" s="16" t="str">
        <f>IF(DATA[[#This Row],[VALORIZACIÓN ]]="-","NO CORRESPONDE",IF(OR(A936=20558226979,A936=10470707866,A936=20111157058,A936=20100226902),"NO CORRESPONDE",IF(J936="Emitida",IF(P936&gt;0,"EMITIDA","PENDIENTE"),"NO CORRESPONDE")))</f>
        <v>EMITIDA</v>
      </c>
      <c r="X936" s="29"/>
      <c r="Y936" s="17" t="s">
        <v>118</v>
      </c>
      <c r="Z936" s="30">
        <v>45869</v>
      </c>
      <c r="AA936" s="10" t="s">
        <v>150</v>
      </c>
      <c r="AB936" s="19">
        <v>192</v>
      </c>
      <c r="AC936" s="20">
        <v>30</v>
      </c>
      <c r="AD936" s="18">
        <f>DATA[[#This Row],[FECHA DE EMISION]]+DATA[[#This Row],[CONDICION DE PAGO]]</f>
        <v>45899</v>
      </c>
      <c r="AE936" s="23">
        <f>IF(DATA[[#This Row],[MONEDA]]="USD",VLOOKUP(DATA[[#This Row],[COMBINADA]],#REF!,11,0),1)</f>
        <v>1</v>
      </c>
      <c r="AF936" s="129" t="str">
        <f>IF(DATA[[#This Row],[SERIE2]]="-","NO CORRESPONDE",IF(W936="NO CORRESPONDE","NO CORRESPONDE",IF(Z936&gt;0,"FACTURADO","PENDIENTE")))</f>
        <v>FACTURADO</v>
      </c>
      <c r="AG936" s="133">
        <f>IFERROR(VLOOKUP(DATA[[#This Row],[COMBINADA]],#REF!,6,0),0)</f>
        <v>0</v>
      </c>
      <c r="AH936" s="125">
        <f>IFERROR(VLOOKUP(DATA[[#This Row],[COMBINADA]],#REF!,9,0),0)/COUNTIFS(DATA[COMBINADA],DATA[[#This Row],[COMBINADA]])</f>
        <v>0</v>
      </c>
      <c r="AI936" s="136">
        <f>IFERROR(VLOOKUP(DATA[[#This Row],[COMBINADA]],#REF!,6,0),0)</f>
        <v>0</v>
      </c>
      <c r="AJ936" s="132">
        <f>IFERROR(VLOOKUP(DATA[[#This Row],[COMBINADA]],#REF!,9,0),0)/COUNTIFS(DATA[COMBINADA],DATA[[#This Row],[COMBINADA]])</f>
        <v>0</v>
      </c>
      <c r="AK936" s="408">
        <f>IFERROR(VLOOKUP(DATA[[#This Row],[COMBINADA]],#REF!,6,0),0)</f>
        <v>0</v>
      </c>
      <c r="AL936" s="125">
        <f>IFERROR(VLOOKUP(DATA[[#This Row],[COMBINADA]],#REF!,9,0),0)/COUNTIFS(DATA[COMBINADA],DATA[[#This Row],[COMBINADA]])</f>
        <v>0</v>
      </c>
      <c r="AM936" s="147">
        <f>IFERROR(VLOOKUP(DATA[[#This Row],[COMBINADA]],#REF!,6,0),0)</f>
        <v>0</v>
      </c>
      <c r="AN936" s="125">
        <f>IFERROR(VLOOKUP(DATA[[#This Row],[COMBINADA]],#REF!,9,0),0)/COUNTIFS(DATA[COMBINADA],DATA[[#This Row],[COMBINADA]])</f>
        <v>0</v>
      </c>
      <c r="AO936" s="27">
        <f>IFERROR(VLOOKUP(DATA[[#This Row],[COMBINADA]],#REF!,6,0),0)</f>
        <v>0</v>
      </c>
      <c r="AP936" s="132">
        <f>IFERROR(VLOOKUP(DATA[[#This Row],[COMBINADA]],#REF!,9,0),0)/COUNTIFS(DATA[COMBINADA],DATA[[#This Row],[COMBINADA]])</f>
        <v>0</v>
      </c>
      <c r="AQ93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786.73</v>
      </c>
      <c r="AR936" s="26" t="str">
        <f>IFERROR(IF(DATA[[#This Row],[estado_fact]]="FACTURADO",VLOOKUP(DATA[[#This Row],[SERIE2]]&amp;"-"&amp;DATA[[#This Row],[NUMERO]],#REF!,34,0),"NO CORRESPONDE"),"NO CORRESPONDE")</f>
        <v>NO CORRESPONDE</v>
      </c>
      <c r="AS936" s="22" t="str">
        <f>IF(DATA[[#This Row],[fecha_fs]]&gt;0,TEXT(DATA[[#This Row],[fecha_fs]],"Mmmm"),0)</f>
        <v>Julio</v>
      </c>
      <c r="AT936" s="22" t="str">
        <f>DATA[[#This Row],[SERIE2]]&amp;"-"&amp;DATA[[#This Row],[NUMERO]]</f>
        <v>FF01-192</v>
      </c>
      <c r="AU936" s="28">
        <f>DATA[[#This Row],[TOTAL]]*DATA[[#This Row],[T.C.]]</f>
        <v>726.41</v>
      </c>
      <c r="AV936" s="6">
        <f>DATA[[#This Row],[FECHA DE VAL.]]</f>
        <v>45863</v>
      </c>
      <c r="AW936" s="6">
        <f>DATA[[#This Row],[FECHA DE EMISION]]</f>
        <v>45869</v>
      </c>
      <c r="AX936" s="6">
        <f>DATA[[#This Row],[F1]]</f>
        <v>0</v>
      </c>
      <c r="AY936" s="20">
        <f>IF(AV936-DATA[[#This Row],[fecha_fs]]&lt;0,0,AV936-DATA[[#This Row],[fecha_fs]])</f>
        <v>9</v>
      </c>
      <c r="AZ936" s="20">
        <f t="shared" si="97"/>
        <v>6</v>
      </c>
      <c r="BA936" s="20">
        <f t="shared" si="98"/>
        <v>0</v>
      </c>
      <c r="BB936" s="195">
        <f>IFERROR(SUM(DATA[[#This Row],[fs_val_ttf]:[fact_pago_ttf]]),0)</f>
        <v>15</v>
      </c>
      <c r="BC936" s="185">
        <v>45870</v>
      </c>
      <c r="BD936" s="185">
        <v>45876</v>
      </c>
      <c r="BE936" s="185">
        <v>45880</v>
      </c>
      <c r="BF936" s="185">
        <v>45882</v>
      </c>
      <c r="BG936" s="20">
        <f>IFERROR(IF(BC936-DATA[[#This Row],[fecha_fs]]&lt;0,0,BC936-DATA[[#This Row],[fecha_fs]]),0)</f>
        <v>16</v>
      </c>
      <c r="BH936" s="20">
        <f t="shared" si="99"/>
        <v>6</v>
      </c>
      <c r="BI936" s="20">
        <f t="shared" si="100"/>
        <v>4</v>
      </c>
      <c r="BJ936" s="20">
        <f t="shared" si="101"/>
        <v>2</v>
      </c>
      <c r="BK936" s="218">
        <f>IFERROR(SUM(DATA[[#This Row],[fs_fd_ttd]:[fend_fenf_ttd]]),0)</f>
        <v>28</v>
      </c>
      <c r="BL936" s="20" t="str">
        <f>IF(DATA[[#This Row],[fecha_fs]]&gt;0,TEXT(DATA[[#This Row],[fecha_fs]],"YYYY"),0)</f>
        <v>2025</v>
      </c>
      <c r="BM936" s="221" t="b">
        <v>1</v>
      </c>
      <c r="BN936" s="278">
        <f>COUNTIF(DATA[[#This Row],[tiempo_td]], "&lt;=15")</f>
        <v>0</v>
      </c>
      <c r="BO936" s="222"/>
    </row>
    <row r="937" spans="1:67" ht="30.6" customHeight="1" x14ac:dyDescent="0.25">
      <c r="A937" s="4">
        <v>20100192064</v>
      </c>
      <c r="B937" s="5" t="s">
        <v>60</v>
      </c>
      <c r="C937" s="52" t="s">
        <v>43</v>
      </c>
      <c r="D937" s="4" t="s">
        <v>120</v>
      </c>
      <c r="E937" s="5" t="s">
        <v>3</v>
      </c>
      <c r="F937" s="24">
        <v>45856</v>
      </c>
      <c r="G937" s="7" t="s">
        <v>113</v>
      </c>
      <c r="H937" s="25">
        <f t="shared" si="106"/>
        <v>1</v>
      </c>
      <c r="I937" s="67">
        <v>4762</v>
      </c>
      <c r="J937" s="8" t="s">
        <v>115</v>
      </c>
      <c r="K937" s="9" t="s">
        <v>121</v>
      </c>
      <c r="L937" s="10" t="s">
        <v>117</v>
      </c>
      <c r="M937" s="11">
        <v>790</v>
      </c>
      <c r="N937" s="12" t="s">
        <v>122</v>
      </c>
      <c r="O937" s="6">
        <v>45863</v>
      </c>
      <c r="P937" s="207">
        <v>3558</v>
      </c>
      <c r="Q937" s="14" t="s">
        <v>123</v>
      </c>
      <c r="R937" s="206">
        <f>(DATA[[#This Row],[cantidad_fs]]/1000)*(47+174.34)</f>
        <v>174.85860000000002</v>
      </c>
      <c r="S937" s="206">
        <v>137</v>
      </c>
      <c r="T937" s="15">
        <f>DATA[[#This Row],[C. DF]]+DATA[[#This Row],[C.OPE.]]</f>
        <v>311.85860000000002</v>
      </c>
      <c r="U937" s="15">
        <f>DATA[[#This Row],[SUB TOTAL]]*0.18</f>
        <v>56.134548000000002</v>
      </c>
      <c r="V937" s="15">
        <f>IFERROR(ROUND(DATA[[#This Row],[SUB TOTAL]]+DATA[[#This Row],[IGV]],2),0)</f>
        <v>367.99</v>
      </c>
      <c r="W937" s="16" t="str">
        <f>IF(DATA[[#This Row],[VALORIZACIÓN ]]="-","NO CORRESPONDE",IF(OR(A937=20558226979,A937=10470707866,A937=20111157058,A937=20100226902),"NO CORRESPONDE",IF(J937="Emitida",IF(P937&gt;0,"EMITIDA","PENDIENTE"),"NO CORRESPONDE")))</f>
        <v>EMITIDA</v>
      </c>
      <c r="X937" s="29"/>
      <c r="Y937" s="17" t="s">
        <v>118</v>
      </c>
      <c r="Z937" s="30">
        <v>45869</v>
      </c>
      <c r="AA937" s="10" t="s">
        <v>150</v>
      </c>
      <c r="AB937" s="19">
        <v>189</v>
      </c>
      <c r="AC937" s="20">
        <v>30</v>
      </c>
      <c r="AD937" s="18">
        <f>DATA[[#This Row],[FECHA DE EMISION]]+DATA[[#This Row],[CONDICION DE PAGO]]</f>
        <v>45899</v>
      </c>
      <c r="AE937" s="23" t="e">
        <f>IF(DATA[[#This Row],[MONEDA]]="USD",VLOOKUP(DATA[[#This Row],[COMBINADA]],#REF!,11,0),1)</f>
        <v>#REF!</v>
      </c>
      <c r="AF937" s="39" t="str">
        <f>IF(DATA[[#This Row],[SERIE2]]="-","NO CORRESPONDE",IF(W937="NO CORRESPONDE","NO CORRESPONDE",IF(Z937&gt;0,"FACTURADO","PENDIENTE")))</f>
        <v>FACTURADO</v>
      </c>
      <c r="AG937" s="133">
        <f>IFERROR(VLOOKUP(DATA[[#This Row],[COMBINADA]],#REF!,6,0),0)</f>
        <v>0</v>
      </c>
      <c r="AH937" s="125">
        <f>IFERROR(VLOOKUP(DATA[[#This Row],[COMBINADA]],#REF!,9,0),0)/COUNTIFS(DATA[COMBINADA],DATA[[#This Row],[COMBINADA]])</f>
        <v>0</v>
      </c>
      <c r="AI937" s="136">
        <f>IFERROR(VLOOKUP(DATA[[#This Row],[COMBINADA]],#REF!,6,0),0)</f>
        <v>0</v>
      </c>
      <c r="AJ937" s="132">
        <f>IFERROR(VLOOKUP(DATA[[#This Row],[COMBINADA]],#REF!,9,0),0)/COUNTIFS(DATA[COMBINADA],DATA[[#This Row],[COMBINADA]])</f>
        <v>0</v>
      </c>
      <c r="AK937" s="408">
        <f>IFERROR(VLOOKUP(DATA[[#This Row],[COMBINADA]],#REF!,6,0),0)</f>
        <v>0</v>
      </c>
      <c r="AL937" s="125">
        <f>IFERROR(VLOOKUP(DATA[[#This Row],[COMBINADA]],#REF!,9,0),0)/COUNTIFS(DATA[COMBINADA],DATA[[#This Row],[COMBINADA]])</f>
        <v>0</v>
      </c>
      <c r="AM937" s="147">
        <f>IFERROR(VLOOKUP(DATA[[#This Row],[COMBINADA]],#REF!,6,0),0)</f>
        <v>0</v>
      </c>
      <c r="AN937" s="125">
        <f>IFERROR(VLOOKUP(DATA[[#This Row],[COMBINADA]],#REF!,9,0),0)/COUNTIFS(DATA[COMBINADA],DATA[[#This Row],[COMBINADA]])</f>
        <v>0</v>
      </c>
      <c r="AO937" s="27">
        <f>IFERROR(VLOOKUP(DATA[[#This Row],[COMBINADA]],#REF!,6,0),0)</f>
        <v>0</v>
      </c>
      <c r="AP937" s="132">
        <f>IFERROR(VLOOKUP(DATA[[#This Row],[COMBINADA]],#REF!,9,0),0)/COUNTIFS(DATA[COMBINADA],DATA[[#This Row],[COMBINADA]])</f>
        <v>0</v>
      </c>
      <c r="AQ93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799.26461538461524</v>
      </c>
      <c r="AR937" s="26" t="str">
        <f>IFERROR(IF(DATA[[#This Row],[estado_fact]]="FACTURADO",VLOOKUP(DATA[[#This Row],[SERIE2]]&amp;"-"&amp;DATA[[#This Row],[NUMERO]],#REF!,34,0),"NO CORRESPONDE"),"NO CORRESPONDE")</f>
        <v>NO CORRESPONDE</v>
      </c>
      <c r="AS937" s="22" t="str">
        <f>IF(DATA[[#This Row],[fecha_fs]]&gt;0,TEXT(DATA[[#This Row],[fecha_fs]],"Mmmm"),0)</f>
        <v>Julio</v>
      </c>
      <c r="AT937" s="22" t="str">
        <f>DATA[[#This Row],[SERIE2]]&amp;"-"&amp;DATA[[#This Row],[NUMERO]]</f>
        <v>FF01-189</v>
      </c>
      <c r="AU937" s="28" t="e">
        <f>DATA[[#This Row],[TOTAL]]*DATA[[#This Row],[T.C.]]</f>
        <v>#REF!</v>
      </c>
      <c r="AV937" s="6">
        <f>DATA[[#This Row],[FECHA DE VAL.]]</f>
        <v>45863</v>
      </c>
      <c r="AW937" s="6">
        <f>DATA[[#This Row],[FECHA DE EMISION]]</f>
        <v>45869</v>
      </c>
      <c r="AX937" s="6">
        <f>DATA[[#This Row],[F1]]</f>
        <v>0</v>
      </c>
      <c r="AY937" s="20">
        <f>IF(AV937-DATA[[#This Row],[fecha_fs]]&lt;0,0,AV937-DATA[[#This Row],[fecha_fs]])</f>
        <v>7</v>
      </c>
      <c r="AZ937" s="20">
        <f t="shared" si="97"/>
        <v>6</v>
      </c>
      <c r="BA937" s="20">
        <f t="shared" si="98"/>
        <v>0</v>
      </c>
      <c r="BB937" s="195">
        <f>IFERROR(SUM(DATA[[#This Row],[fs_val_ttf]:[fact_pago_ttf]]),0)</f>
        <v>13</v>
      </c>
      <c r="BC937" s="185">
        <v>45874</v>
      </c>
      <c r="BD937" s="185">
        <v>45887</v>
      </c>
      <c r="BE937" s="185">
        <v>45888</v>
      </c>
      <c r="BF937" s="185">
        <v>45909</v>
      </c>
      <c r="BG937" s="20">
        <f>IFERROR(IF(BC937-DATA[[#This Row],[fecha_fs]]&lt;0,0,BC937-DATA[[#This Row],[fecha_fs]]),0)</f>
        <v>18</v>
      </c>
      <c r="BH937" s="20">
        <f t="shared" si="99"/>
        <v>13</v>
      </c>
      <c r="BI937" s="20">
        <f t="shared" si="100"/>
        <v>1</v>
      </c>
      <c r="BJ937" s="20">
        <f t="shared" si="101"/>
        <v>21</v>
      </c>
      <c r="BK937" s="218">
        <f>IFERROR(SUM(DATA[[#This Row],[fs_fd_ttd]:[fend_fenf_ttd]]),0)</f>
        <v>53</v>
      </c>
      <c r="BL937" s="20" t="str">
        <f>IF(DATA[[#This Row],[fecha_fs]]&gt;0,TEXT(DATA[[#This Row],[fecha_fs]],"YYYY"),0)</f>
        <v>2025</v>
      </c>
      <c r="BM937" s="221" t="b">
        <v>1</v>
      </c>
      <c r="BN937" s="278">
        <f>COUNTIF(DATA[[#This Row],[tiempo_td]], "&lt;=15")</f>
        <v>0</v>
      </c>
      <c r="BO937" s="222"/>
    </row>
    <row r="938" spans="1:67" ht="30.6" customHeight="1" x14ac:dyDescent="0.25">
      <c r="A938" s="213">
        <v>20100192064</v>
      </c>
      <c r="B938" s="214" t="s">
        <v>60</v>
      </c>
      <c r="C938" s="52" t="s">
        <v>65</v>
      </c>
      <c r="D938" s="213" t="s">
        <v>120</v>
      </c>
      <c r="E938" s="5" t="s">
        <v>3</v>
      </c>
      <c r="F938" s="24">
        <v>45855</v>
      </c>
      <c r="G938" s="7" t="s">
        <v>142</v>
      </c>
      <c r="H938" s="25">
        <f>IF(G938="","",IF(G938="LIM",2,1))</f>
        <v>2</v>
      </c>
      <c r="I938" s="67">
        <v>1114</v>
      </c>
      <c r="J938" s="8" t="s">
        <v>115</v>
      </c>
      <c r="K938" s="215" t="s">
        <v>121</v>
      </c>
      <c r="L938" s="10" t="s">
        <v>117</v>
      </c>
      <c r="M938" s="11">
        <v>730</v>
      </c>
      <c r="N938" s="12" t="s">
        <v>180</v>
      </c>
      <c r="O938" s="216">
        <v>45863</v>
      </c>
      <c r="P938" s="207">
        <v>3563</v>
      </c>
      <c r="Q938" s="217" t="s">
        <v>123</v>
      </c>
      <c r="R938" s="206">
        <f>(DATA[[#This Row],[cantidad_fs]]/1000)*(37+81.01)</f>
        <v>86.147300000000001</v>
      </c>
      <c r="S938" s="206">
        <v>103.6</v>
      </c>
      <c r="T938" s="15">
        <f>DATA[[#This Row],[C. DF]]+DATA[[#This Row],[C.OPE.]]</f>
        <v>189.7473</v>
      </c>
      <c r="U938" s="15">
        <f>DATA[[#This Row],[SUB TOTAL]]*0.18</f>
        <v>34.154513999999999</v>
      </c>
      <c r="V938" s="15">
        <f>IFERROR(ROUND(DATA[[#This Row],[SUB TOTAL]]+DATA[[#This Row],[IGV]],2),0)</f>
        <v>223.9</v>
      </c>
      <c r="W938" s="16" t="str">
        <f>IF(DATA[[#This Row],[VALORIZACIÓN ]]="-","NO CORRESPONDE",IF(OR(A938=20558226979,A938=10470707866,A938=20111157058,A938=20100226902),"NO CORRESPONDE",IF(J938="Emitida",IF(P938&gt;0,"EMITIDA","PENDIENTE"),"NO CORRESPONDE")))</f>
        <v>EMITIDA</v>
      </c>
      <c r="X938" s="29"/>
      <c r="Y938" s="17" t="s">
        <v>118</v>
      </c>
      <c r="Z938" s="30">
        <v>45869</v>
      </c>
      <c r="AA938" s="10" t="s">
        <v>150</v>
      </c>
      <c r="AB938" s="19">
        <v>190</v>
      </c>
      <c r="AC938" s="20">
        <v>30</v>
      </c>
      <c r="AD938" s="18">
        <f>DATA[[#This Row],[FECHA DE EMISION]]+DATA[[#This Row],[CONDICION DE PAGO]]</f>
        <v>45899</v>
      </c>
      <c r="AE938" s="23" t="e">
        <f>IF(DATA[[#This Row],[MONEDA]]="USD",VLOOKUP(DATA[[#This Row],[COMBINADA]],#REF!,11,0),1)</f>
        <v>#REF!</v>
      </c>
      <c r="AF938" s="39" t="str">
        <f>IF(DATA[[#This Row],[SERIE2]]="-","NO CORRESPONDE",IF(W938="NO CORRESPONDE","NO CORRESPONDE",IF(Z938&gt;0,"FACTURADO","PENDIENTE")))</f>
        <v>FACTURADO</v>
      </c>
      <c r="AG938" s="133">
        <f>IFERROR(VLOOKUP(DATA[[#This Row],[COMBINADA]],#REF!,6,0),0)</f>
        <v>0</v>
      </c>
      <c r="AH938" s="125">
        <f>IFERROR(VLOOKUP(DATA[[#This Row],[COMBINADA]],#REF!,9,0),0)/COUNTIFS(DATA[COMBINADA],DATA[[#This Row],[COMBINADA]])</f>
        <v>0</v>
      </c>
      <c r="AI938" s="136">
        <f>IFERROR(VLOOKUP(DATA[[#This Row],[COMBINADA]],#REF!,6,0),0)</f>
        <v>0</v>
      </c>
      <c r="AJ938" s="132">
        <f>IFERROR(VLOOKUP(DATA[[#This Row],[COMBINADA]],#REF!,9,0),0)/COUNTIFS(DATA[COMBINADA],DATA[[#This Row],[COMBINADA]])</f>
        <v>0</v>
      </c>
      <c r="AK938" s="408">
        <f>IFERROR(VLOOKUP(DATA[[#This Row],[COMBINADA]],#REF!,6,0),0)</f>
        <v>0</v>
      </c>
      <c r="AL938" s="125">
        <f>IFERROR(VLOOKUP(DATA[[#This Row],[COMBINADA]],#REF!,9,0),0)/COUNTIFS(DATA[COMBINADA],DATA[[#This Row],[COMBINADA]])</f>
        <v>0</v>
      </c>
      <c r="AM938" s="147">
        <f>IFERROR(VLOOKUP(DATA[[#This Row],[COMBINADA]],#REF!,6,0),0)</f>
        <v>0</v>
      </c>
      <c r="AN938" s="125">
        <f>IFERROR(VLOOKUP(DATA[[#This Row],[COMBINADA]],#REF!,9,0),0)/COUNTIFS(DATA[COMBINADA],DATA[[#This Row],[COMBINADA]])</f>
        <v>0</v>
      </c>
      <c r="AO938" s="27">
        <f>IFERROR(VLOOKUP(DATA[[#This Row],[COMBINADA]],#REF!,6,0),0)</f>
        <v>0</v>
      </c>
      <c r="AP938" s="132">
        <f>IFERROR(VLOOKUP(DATA[[#This Row],[COMBINADA]],#REF!,9,0),0)/COUNTIFS(DATA[COMBINADA],DATA[[#This Row],[COMBINADA]])</f>
        <v>0</v>
      </c>
      <c r="AQ93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681.36900000000003</v>
      </c>
      <c r="AR938" s="26" t="str">
        <f>IFERROR(IF(DATA[[#This Row],[estado_fact]]="FACTURADO",VLOOKUP(DATA[[#This Row],[SERIE2]]&amp;"-"&amp;DATA[[#This Row],[NUMERO]],#REF!,34,0),"NO CORRESPONDE"),"NO CORRESPONDE")</f>
        <v>NO CORRESPONDE</v>
      </c>
      <c r="AS938" s="22" t="str">
        <f>IF(DATA[[#This Row],[fecha_fs]]&gt;0,TEXT(DATA[[#This Row],[fecha_fs]],"Mmmm"),0)</f>
        <v>Julio</v>
      </c>
      <c r="AT938" s="22" t="str">
        <f>DATA[[#This Row],[SERIE2]]&amp;"-"&amp;DATA[[#This Row],[NUMERO]]</f>
        <v>FF01-190</v>
      </c>
      <c r="AU938" s="28" t="e">
        <f>DATA[[#This Row],[TOTAL]]*DATA[[#This Row],[T.C.]]</f>
        <v>#REF!</v>
      </c>
      <c r="AV938" s="6">
        <f>DATA[[#This Row],[FECHA DE VAL.]]</f>
        <v>45863</v>
      </c>
      <c r="AW938" s="6">
        <f>DATA[[#This Row],[FECHA DE EMISION]]</f>
        <v>45869</v>
      </c>
      <c r="AX938" s="6">
        <f>DATA[[#This Row],[F1]]</f>
        <v>0</v>
      </c>
      <c r="AY938" s="20">
        <f>IF(AV938-DATA[[#This Row],[fecha_fs]]&lt;0,0,AV938-DATA[[#This Row],[fecha_fs]])</f>
        <v>8</v>
      </c>
      <c r="AZ938" s="20">
        <f>IF(AW938-AV938&lt;0,0,AW938-AV938)</f>
        <v>6</v>
      </c>
      <c r="BA938" s="53">
        <f>IF(AX938-AW938&lt;0,0,AX938-AW938)</f>
        <v>0</v>
      </c>
      <c r="BB938" s="195">
        <f>IFERROR(SUM(DATA[[#This Row],[fs_val_ttf]:[fact_pago_ttf]]),0)</f>
        <v>14</v>
      </c>
      <c r="BC938" s="185">
        <v>45855</v>
      </c>
      <c r="BD938" s="185">
        <v>45876</v>
      </c>
      <c r="BE938" s="185">
        <v>45877</v>
      </c>
      <c r="BF938" s="185">
        <v>45909</v>
      </c>
      <c r="BG938" s="20">
        <f>IFERROR(IF(BC938-DATA[[#This Row],[fecha_fs]]&lt;0,0,BC938-DATA[[#This Row],[fecha_fs]]),0)</f>
        <v>0</v>
      </c>
      <c r="BH938" s="20">
        <f t="shared" ref="BH938:BJ938" si="107">IFERROR(IF(BD938-BC938&lt;0,0,BD938-BC938),0)</f>
        <v>21</v>
      </c>
      <c r="BI938" s="20">
        <f t="shared" si="107"/>
        <v>1</v>
      </c>
      <c r="BJ938" s="20">
        <f t="shared" si="107"/>
        <v>32</v>
      </c>
      <c r="BK938" s="218">
        <f>IFERROR(SUM(DATA[[#This Row],[fs_fd_ttd]:[fend_fenf_ttd]]),0)</f>
        <v>54</v>
      </c>
      <c r="BL938" s="20" t="str">
        <f>IF(DATA[[#This Row],[fecha_fs]]&gt;0,TEXT(DATA[[#This Row],[fecha_fs]],"YYYY"),0)</f>
        <v>2025</v>
      </c>
      <c r="BM938" s="221" t="b">
        <v>1</v>
      </c>
      <c r="BN938" s="278">
        <f>COUNTIF(DATA[[#This Row],[tiempo_td]], "&lt;=15")</f>
        <v>0</v>
      </c>
      <c r="BO938" s="222"/>
    </row>
    <row r="939" spans="1:67" ht="30.6" customHeight="1" x14ac:dyDescent="0.25">
      <c r="A939" s="4">
        <v>20454186002</v>
      </c>
      <c r="B939" s="5" t="s">
        <v>25</v>
      </c>
      <c r="C939" s="52" t="s">
        <v>18</v>
      </c>
      <c r="D939" s="4" t="s">
        <v>120</v>
      </c>
      <c r="E939" s="5" t="s">
        <v>3</v>
      </c>
      <c r="F939" s="24">
        <v>45855</v>
      </c>
      <c r="G939" s="7" t="s">
        <v>113</v>
      </c>
      <c r="H939" s="25">
        <f t="shared" si="106"/>
        <v>1</v>
      </c>
      <c r="I939" s="67">
        <v>4763</v>
      </c>
      <c r="J939" s="8" t="s">
        <v>115</v>
      </c>
      <c r="K939" s="9" t="s">
        <v>121</v>
      </c>
      <c r="L939" s="10" t="s">
        <v>117</v>
      </c>
      <c r="M939" s="11">
        <v>3770</v>
      </c>
      <c r="N939" s="12" t="s">
        <v>129</v>
      </c>
      <c r="O939" s="6">
        <v>45856</v>
      </c>
      <c r="P939" s="13">
        <v>3552</v>
      </c>
      <c r="Q939" s="14" t="s">
        <v>85</v>
      </c>
      <c r="R939" s="15">
        <f>1485.02+((DATA[[#This Row],[cantidad_fs]]-3000)*0.49)</f>
        <v>1862.32</v>
      </c>
      <c r="S939" s="206"/>
      <c r="T939" s="15">
        <f>DATA[[#This Row],[C. DF]]+DATA[[#This Row],[C.OPE.]]</f>
        <v>1862.32</v>
      </c>
      <c r="U939" s="15">
        <f>DATA[[#This Row],[SUB TOTAL]]*0.18</f>
        <v>335.2176</v>
      </c>
      <c r="V939" s="15">
        <f>IFERROR(ROUND(DATA[[#This Row],[SUB TOTAL]]+DATA[[#This Row],[IGV]],2),0)</f>
        <v>2197.54</v>
      </c>
      <c r="W939" s="16" t="str">
        <f>IF(DATA[[#This Row],[VALORIZACIÓN ]]="-","NO CORRESPONDE",IF(OR(A939=20558226979,A939=10470707866,A939=20111157058,A939=20100226902),"NO CORRESPONDE",IF(J939="Emitida",IF(P939&gt;0,"EMITIDA","PENDIENTE"),"NO CORRESPONDE")))</f>
        <v>EMITIDA</v>
      </c>
      <c r="X939" s="29"/>
      <c r="Y939" s="17" t="s">
        <v>118</v>
      </c>
      <c r="Z939" s="30">
        <v>45860</v>
      </c>
      <c r="AA939" s="10" t="s">
        <v>150</v>
      </c>
      <c r="AB939" s="19">
        <v>182</v>
      </c>
      <c r="AC939" s="20">
        <v>7</v>
      </c>
      <c r="AD939" s="18">
        <f>DATA[[#This Row],[FECHA DE EMISION]]+DATA[[#This Row],[CONDICION DE PAGO]]</f>
        <v>45867</v>
      </c>
      <c r="AE939" s="23">
        <f>IF(DATA[[#This Row],[MONEDA]]="USD",VLOOKUP(DATA[[#This Row],[COMBINADA]],#REF!,11,0),1)</f>
        <v>1</v>
      </c>
      <c r="AF939" s="129" t="str">
        <f>IF(DATA[[#This Row],[SERIE2]]="-","NO CORRESPONDE",IF(W939="NO CORRESPONDE","NO CORRESPONDE",IF(Z939&gt;0,"FACTURADO","PENDIENTE")))</f>
        <v>FACTURADO</v>
      </c>
      <c r="AG939" s="133">
        <f>IFERROR(VLOOKUP(DATA[[#This Row],[COMBINADA]],#REF!,6,0),0)</f>
        <v>0</v>
      </c>
      <c r="AH939" s="125">
        <f>IFERROR(VLOOKUP(DATA[[#This Row],[COMBINADA]],#REF!,9,0),0)/COUNTIFS(DATA[COMBINADA],DATA[[#This Row],[COMBINADA]])</f>
        <v>0</v>
      </c>
      <c r="AI939" s="136">
        <f>IFERROR(VLOOKUP(DATA[[#This Row],[COMBINADA]],#REF!,6,0),0)</f>
        <v>0</v>
      </c>
      <c r="AJ939" s="132">
        <f>IFERROR(VLOOKUP(DATA[[#This Row],[COMBINADA]],#REF!,9,0),0)/COUNTIFS(DATA[COMBINADA],DATA[[#This Row],[COMBINADA]])</f>
        <v>0</v>
      </c>
      <c r="AK939" s="408">
        <f>IFERROR(VLOOKUP(DATA[[#This Row],[COMBINADA]],#REF!,6,0),0)</f>
        <v>0</v>
      </c>
      <c r="AL939" s="125">
        <f>IFERROR(VLOOKUP(DATA[[#This Row],[COMBINADA]],#REF!,9,0),0)/COUNTIFS(DATA[COMBINADA],DATA[[#This Row],[COMBINADA]])</f>
        <v>0</v>
      </c>
      <c r="AM939" s="147">
        <f>IFERROR(VLOOKUP(DATA[[#This Row],[COMBINADA]],#REF!,6,0),0)</f>
        <v>0</v>
      </c>
      <c r="AN939" s="125">
        <f>IFERROR(VLOOKUP(DATA[[#This Row],[COMBINADA]],#REF!,9,0),0)/COUNTIFS(DATA[COMBINADA],DATA[[#This Row],[COMBINADA]])</f>
        <v>0</v>
      </c>
      <c r="AO939" s="27">
        <f>IFERROR(VLOOKUP(DATA[[#This Row],[COMBINADA]],#REF!,6,0),0)</f>
        <v>0</v>
      </c>
      <c r="AP939" s="132">
        <f>IFERROR(VLOOKUP(DATA[[#This Row],[COMBINADA]],#REF!,9,0),0)/COUNTIFS(DATA[COMBINADA],DATA[[#This Row],[COMBINADA]])</f>
        <v>0</v>
      </c>
      <c r="AQ93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2197.54</v>
      </c>
      <c r="AR939" s="26" t="str">
        <f>IFERROR(IF(DATA[[#This Row],[estado_fact]]="FACTURADO",VLOOKUP(DATA[[#This Row],[SERIE2]]&amp;"-"&amp;DATA[[#This Row],[NUMERO]],#REF!,34,0),"NO CORRESPONDE"),"NO CORRESPONDE")</f>
        <v>NO CORRESPONDE</v>
      </c>
      <c r="AS939" s="22" t="str">
        <f>IF(DATA[[#This Row],[fecha_fs]]&gt;0,TEXT(DATA[[#This Row],[fecha_fs]],"Mmmm"),0)</f>
        <v>Julio</v>
      </c>
      <c r="AT939" s="22" t="str">
        <f>DATA[[#This Row],[SERIE2]]&amp;"-"&amp;DATA[[#This Row],[NUMERO]]</f>
        <v>FF01-182</v>
      </c>
      <c r="AU939" s="28">
        <f>DATA[[#This Row],[TOTAL]]*DATA[[#This Row],[T.C.]]</f>
        <v>2197.54</v>
      </c>
      <c r="AV939" s="6">
        <f>DATA[[#This Row],[FECHA DE VAL.]]</f>
        <v>45856</v>
      </c>
      <c r="AW939" s="6">
        <f>DATA[[#This Row],[FECHA DE EMISION]]</f>
        <v>45860</v>
      </c>
      <c r="AX939" s="6">
        <f>DATA[[#This Row],[F1]]</f>
        <v>0</v>
      </c>
      <c r="AY939" s="20">
        <f>IF(AV939-DATA[[#This Row],[fecha_fs]]&lt;0,0,AV939-DATA[[#This Row],[fecha_fs]])</f>
        <v>1</v>
      </c>
      <c r="AZ939" s="20">
        <f t="shared" si="97"/>
        <v>4</v>
      </c>
      <c r="BA939" s="20">
        <f t="shared" si="98"/>
        <v>0</v>
      </c>
      <c r="BB939" s="195">
        <f>IFERROR(SUM(DATA[[#This Row],[fs_val_ttf]:[fact_pago_ttf]]),0)</f>
        <v>5</v>
      </c>
      <c r="BC939" s="185">
        <v>45855</v>
      </c>
      <c r="BD939" s="185">
        <v>45876</v>
      </c>
      <c r="BE939" s="185">
        <v>45877</v>
      </c>
      <c r="BF939" s="185">
        <v>45858</v>
      </c>
      <c r="BG939" s="20">
        <f>IFERROR(IF(BC939-DATA[[#This Row],[fecha_fs]]&lt;0,0,BC939-DATA[[#This Row],[fecha_fs]]),0)</f>
        <v>0</v>
      </c>
      <c r="BH939" s="20">
        <f t="shared" si="99"/>
        <v>21</v>
      </c>
      <c r="BI939" s="20">
        <f t="shared" si="100"/>
        <v>1</v>
      </c>
      <c r="BJ939" s="20">
        <f t="shared" si="101"/>
        <v>0</v>
      </c>
      <c r="BK939" s="218">
        <f>IFERROR(SUM(DATA[[#This Row],[fs_fd_ttd]:[fend_fenf_ttd]]),0)</f>
        <v>22</v>
      </c>
      <c r="BL939" s="20" t="str">
        <f>IF(DATA[[#This Row],[fecha_fs]]&gt;0,TEXT(DATA[[#This Row],[fecha_fs]],"YYYY"),0)</f>
        <v>2025</v>
      </c>
      <c r="BM939" s="221" t="b">
        <v>1</v>
      </c>
      <c r="BN939" s="278">
        <f>COUNTIF(DATA[[#This Row],[tiempo_td]], "&lt;=15")</f>
        <v>0</v>
      </c>
      <c r="BO939" s="222"/>
    </row>
    <row r="940" spans="1:67" ht="30.6" customHeight="1" x14ac:dyDescent="0.25">
      <c r="A940" s="4">
        <v>20505675836</v>
      </c>
      <c r="B940" s="5" t="s">
        <v>42</v>
      </c>
      <c r="C940" s="52" t="s">
        <v>43</v>
      </c>
      <c r="D940" s="4" t="s">
        <v>112</v>
      </c>
      <c r="E940" s="5" t="s">
        <v>1</v>
      </c>
      <c r="F940" s="24">
        <v>45855</v>
      </c>
      <c r="G940" s="7" t="s">
        <v>113</v>
      </c>
      <c r="H940" s="25">
        <f t="shared" ref="H940:H955" si="108">IF(G940="","",IF(G940="LIM",2,1))</f>
        <v>1</v>
      </c>
      <c r="I940" s="67">
        <v>4764</v>
      </c>
      <c r="J940" s="8" t="s">
        <v>115</v>
      </c>
      <c r="K940" s="9" t="s">
        <v>116</v>
      </c>
      <c r="L940" s="10" t="s">
        <v>117</v>
      </c>
      <c r="M940" s="11">
        <v>1250</v>
      </c>
      <c r="N940" s="12" t="s">
        <v>125</v>
      </c>
      <c r="O940" s="6">
        <v>45863</v>
      </c>
      <c r="P940" s="207">
        <v>3571</v>
      </c>
      <c r="Q940" s="14" t="s">
        <v>85</v>
      </c>
      <c r="R940" s="206">
        <f>(DATA[[#This Row],[cantidad_fs]]-600)*0.97</f>
        <v>630.5</v>
      </c>
      <c r="S940" s="206">
        <v>1427.2</v>
      </c>
      <c r="T940" s="15">
        <f>DATA[[#This Row],[C. DF]]+DATA[[#This Row],[C.OPE.]]</f>
        <v>2057.6999999999998</v>
      </c>
      <c r="U940" s="15">
        <f>DATA[[#This Row],[SUB TOTAL]]*0.18</f>
        <v>370.38599999999997</v>
      </c>
      <c r="V940" s="15">
        <f>IFERROR(ROUND(DATA[[#This Row],[SUB TOTAL]]+DATA[[#This Row],[IGV]],2),0)</f>
        <v>2428.09</v>
      </c>
      <c r="W940" s="16" t="str">
        <f>IF(DATA[[#This Row],[VALORIZACIÓN ]]="-","NO CORRESPONDE",IF(OR(A940=20558226979,A940=10470707866,A940=20111157058,A940=20100226902),"NO CORRESPONDE",IF(J940="Emitida",IF(P940&gt;0,"EMITIDA","PENDIENTE"),"NO CORRESPONDE")))</f>
        <v>EMITIDA</v>
      </c>
      <c r="X940" s="29"/>
      <c r="Y940" s="17" t="s">
        <v>118</v>
      </c>
      <c r="Z940" s="30">
        <v>45876</v>
      </c>
      <c r="AA940" s="10" t="s">
        <v>150</v>
      </c>
      <c r="AB940" s="19">
        <v>197</v>
      </c>
      <c r="AC940" s="20">
        <v>30</v>
      </c>
      <c r="AD940" s="18">
        <f>DATA[[#This Row],[FECHA DE EMISION]]+DATA[[#This Row],[CONDICION DE PAGO]]</f>
        <v>45906</v>
      </c>
      <c r="AE940" s="23">
        <f>IF(DATA[[#This Row],[MONEDA]]="USD",VLOOKUP(DATA[[#This Row],[COMBINADA]],#REF!,11,0),1)</f>
        <v>1</v>
      </c>
      <c r="AF940" s="129" t="str">
        <f>IF(DATA[[#This Row],[SERIE2]]="-","NO CORRESPONDE",IF(W940="NO CORRESPONDE","NO CORRESPONDE",IF(Z940&gt;0,"FACTURADO","PENDIENTE")))</f>
        <v>FACTURADO</v>
      </c>
      <c r="AG940" s="208">
        <f>IFERROR(VLOOKUP(DATA[[#This Row],[COMBINADA]],#REF!,6,0),0)</f>
        <v>0</v>
      </c>
      <c r="AH940" s="209">
        <f>IFERROR(VLOOKUP(DATA[[#This Row],[COMBINADA]],#REF!,9,0),0)/COUNTIFS(DATA[COMBINADA],DATA[[#This Row],[COMBINADA]])</f>
        <v>0</v>
      </c>
      <c r="AI940" s="136">
        <f>IFERROR(VLOOKUP(DATA[[#This Row],[COMBINADA]],#REF!,6,0),0)</f>
        <v>0</v>
      </c>
      <c r="AJ940" s="132">
        <f>IFERROR(VLOOKUP(DATA[[#This Row],[COMBINADA]],#REF!,9,0),0)/COUNTIFS(DATA[COMBINADA],DATA[[#This Row],[COMBINADA]])</f>
        <v>0</v>
      </c>
      <c r="AK940" s="408">
        <f>IFERROR(VLOOKUP(DATA[[#This Row],[COMBINADA]],#REF!,6,0),0)</f>
        <v>0</v>
      </c>
      <c r="AL940" s="125">
        <f>IFERROR(VLOOKUP(DATA[[#This Row],[COMBINADA]],#REF!,9,0),0)/COUNTIFS(DATA[COMBINADA],DATA[[#This Row],[COMBINADA]])</f>
        <v>0</v>
      </c>
      <c r="AM940" s="147">
        <f>IFERROR(VLOOKUP(DATA[[#This Row],[COMBINADA]],#REF!,6,0),0)</f>
        <v>0</v>
      </c>
      <c r="AN940" s="125">
        <f>IFERROR(VLOOKUP(DATA[[#This Row],[COMBINADA]],#REF!,9,0),0)/COUNTIFS(DATA[COMBINADA],DATA[[#This Row],[COMBINADA]])</f>
        <v>0</v>
      </c>
      <c r="AO940" s="27">
        <f>IFERROR(VLOOKUP(DATA[[#This Row],[COMBINADA]],#REF!,6,0),0)</f>
        <v>0</v>
      </c>
      <c r="AP940" s="132">
        <f>IFERROR(VLOOKUP(DATA[[#This Row],[COMBINADA]],#REF!,9,0),0)/COUNTIFS(DATA[COMBINADA],DATA[[#This Row],[COMBINADA]])</f>
        <v>0</v>
      </c>
      <c r="AQ94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4617.7775000000001</v>
      </c>
      <c r="AR940" s="26" t="str">
        <f>IFERROR(IF(DATA[[#This Row],[estado_fact]]="FACTURADO",VLOOKUP(DATA[[#This Row],[SERIE2]]&amp;"-"&amp;DATA[[#This Row],[NUMERO]],#REF!,34,0),"NO CORRESPONDE"),"NO CORRESPONDE")</f>
        <v>NO CORRESPONDE</v>
      </c>
      <c r="AS940" s="22" t="str">
        <f>IF(DATA[[#This Row],[fecha_fs]]&gt;0,TEXT(DATA[[#This Row],[fecha_fs]],"Mmmm"),0)</f>
        <v>Julio</v>
      </c>
      <c r="AT940" s="22" t="str">
        <f>DATA[[#This Row],[SERIE2]]&amp;"-"&amp;DATA[[#This Row],[NUMERO]]</f>
        <v>FF01-197</v>
      </c>
      <c r="AU940" s="28">
        <f>DATA[[#This Row],[TOTAL]]*DATA[[#This Row],[T.C.]]</f>
        <v>2428.09</v>
      </c>
      <c r="AV940" s="6">
        <f>DATA[[#This Row],[FECHA DE VAL.]]</f>
        <v>45863</v>
      </c>
      <c r="AW940" s="6">
        <f>DATA[[#This Row],[FECHA DE EMISION]]</f>
        <v>45876</v>
      </c>
      <c r="AX940" s="6">
        <f>DATA[[#This Row],[F1]]</f>
        <v>0</v>
      </c>
      <c r="AY940" s="20">
        <f>IF(AV940-DATA[[#This Row],[fecha_fs]]&lt;0,0,AV940-DATA[[#This Row],[fecha_fs]])</f>
        <v>8</v>
      </c>
      <c r="AZ940" s="20">
        <f t="shared" ref="AZ940:AZ955" si="109">IF(AW940-AV940&lt;0,0,AW940-AV940)</f>
        <v>13</v>
      </c>
      <c r="BA940" s="53">
        <f t="shared" si="98"/>
        <v>0</v>
      </c>
      <c r="BB940" s="195">
        <f>IFERROR(SUM(DATA[[#This Row],[fs_val_ttf]:[fact_pago_ttf]]),0)</f>
        <v>21</v>
      </c>
      <c r="BC940" s="185">
        <v>45870</v>
      </c>
      <c r="BD940" s="185">
        <v>45876</v>
      </c>
      <c r="BE940" s="185">
        <v>45877</v>
      </c>
      <c r="BF940" s="185">
        <v>45881</v>
      </c>
      <c r="BG940" s="20">
        <f>IFERROR(IF(BC940-DATA[[#This Row],[fecha_fs]]&lt;0,0,BC940-DATA[[#This Row],[fecha_fs]]),0)</f>
        <v>15</v>
      </c>
      <c r="BH940" s="20">
        <f t="shared" ref="BH940:BH955" si="110">IFERROR(IF(BD940-BC940&lt;0,0,BD940-BC940),0)</f>
        <v>6</v>
      </c>
      <c r="BI940" s="20">
        <f t="shared" si="100"/>
        <v>1</v>
      </c>
      <c r="BJ940" s="20">
        <f t="shared" si="101"/>
        <v>4</v>
      </c>
      <c r="BK940" s="279">
        <f>IFERROR(SUM(DATA[[#This Row],[fs_fd_ttd]:[fend_fenf_ttd]]),0)</f>
        <v>26</v>
      </c>
      <c r="BL940" s="20" t="str">
        <f>IF(DATA[[#This Row],[fecha_fs]]&gt;0,TEXT(DATA[[#This Row],[fecha_fs]],"YYYY"),0)</f>
        <v>2025</v>
      </c>
      <c r="BM940" s="221" t="b">
        <v>1</v>
      </c>
      <c r="BN940" s="278">
        <f>COUNTIF(DATA[[#This Row],[tiempo_td]], "&lt;=15")</f>
        <v>0</v>
      </c>
      <c r="BO940" s="222"/>
    </row>
    <row r="941" spans="1:67" ht="30.6" customHeight="1" x14ac:dyDescent="0.25">
      <c r="A941" s="4">
        <v>20558226979</v>
      </c>
      <c r="B941" s="5" t="s">
        <v>45</v>
      </c>
      <c r="C941" s="52" t="s">
        <v>18</v>
      </c>
      <c r="D941" s="4" t="s">
        <v>120</v>
      </c>
      <c r="E941" s="5" t="s">
        <v>3</v>
      </c>
      <c r="F941" s="24">
        <v>45854</v>
      </c>
      <c r="G941" s="7" t="s">
        <v>113</v>
      </c>
      <c r="H941" s="25">
        <f t="shared" si="108"/>
        <v>1</v>
      </c>
      <c r="I941" s="67">
        <v>4765</v>
      </c>
      <c r="J941" s="8" t="s">
        <v>115</v>
      </c>
      <c r="K941" s="9" t="s">
        <v>121</v>
      </c>
      <c r="L941" s="10" t="s">
        <v>117</v>
      </c>
      <c r="M941" s="11">
        <v>2840</v>
      </c>
      <c r="N941" s="12" t="s">
        <v>122</v>
      </c>
      <c r="O941" s="40"/>
      <c r="P941" s="41"/>
      <c r="Q941" s="42"/>
      <c r="R941" s="43"/>
      <c r="S941" s="43"/>
      <c r="T941" s="15">
        <f>DATA[[#This Row],[C. DF]]+DATA[[#This Row],[C.OPE.]]</f>
        <v>0</v>
      </c>
      <c r="U941" s="43">
        <f>DATA[[#This Row],[SUB TOTAL]]*0.18</f>
        <v>0</v>
      </c>
      <c r="V941" s="43">
        <f>IFERROR(ROUND(DATA[[#This Row],[SUB TOTAL]]+DATA[[#This Row],[IGV]],2),0)</f>
        <v>0</v>
      </c>
      <c r="W941" s="16" t="str">
        <f>IF(DATA[[#This Row],[VALORIZACIÓN ]]="-","NO CORRESPONDE",IF(OR(A941=20558226979,A941=10470707866,A941=20111157058,A941=20100226902),"NO CORRESPONDE",IF(J941="Emitida",IF(P941&gt;0,"EMITIDA","PENDIENTE"),"NO CORRESPONDE")))</f>
        <v>NO CORRESPONDE</v>
      </c>
      <c r="X941" s="45"/>
      <c r="Y941" s="17" t="s">
        <v>128</v>
      </c>
      <c r="Z941" s="46"/>
      <c r="AA941" s="47"/>
      <c r="AB941" s="48"/>
      <c r="AC941" s="49"/>
      <c r="AD941" s="50">
        <f>DATA[[#This Row],[FECHA DE EMISION]]+DATA[[#This Row],[CONDICION DE PAGO]]</f>
        <v>0</v>
      </c>
      <c r="AE941" s="23">
        <f>IF(DATA[[#This Row],[MONEDA]]="USD",VLOOKUP(DATA[[#This Row],[COMBINADA]],#REF!,11,0),1)</f>
        <v>1</v>
      </c>
      <c r="AF941" s="129" t="str">
        <f>IF(DATA[[#This Row],[SERIE2]]="-","NO CORRESPONDE",IF(W941="NO CORRESPONDE","NO CORRESPONDE",IF(Z941&gt;0,"FACTURADO","PENDIENTE")))</f>
        <v>NO CORRESPONDE</v>
      </c>
      <c r="AG941" s="208">
        <f>IFERROR(VLOOKUP(DATA[[#This Row],[COMBINADA]],#REF!,6,0),0)</f>
        <v>0</v>
      </c>
      <c r="AH941" s="209">
        <f>IFERROR(VLOOKUP(DATA[[#This Row],[COMBINADA]],#REF!,9,0),0)/COUNTIFS(DATA[COMBINADA],DATA[[#This Row],[COMBINADA]])</f>
        <v>0</v>
      </c>
      <c r="AI941" s="136">
        <f>IFERROR(VLOOKUP(DATA[[#This Row],[COMBINADA]],#REF!,6,0),0)</f>
        <v>0</v>
      </c>
      <c r="AJ941" s="132">
        <f>IFERROR(VLOOKUP(DATA[[#This Row],[COMBINADA]],#REF!,9,0),0)/COUNTIFS(DATA[COMBINADA],DATA[[#This Row],[COMBINADA]])</f>
        <v>0</v>
      </c>
      <c r="AK941" s="408">
        <f>IFERROR(VLOOKUP(DATA[[#This Row],[COMBINADA]],#REF!,6,0),0)</f>
        <v>0</v>
      </c>
      <c r="AL941" s="125">
        <f>IFERROR(VLOOKUP(DATA[[#This Row],[COMBINADA]],#REF!,9,0),0)/COUNTIFS(DATA[COMBINADA],DATA[[#This Row],[COMBINADA]])</f>
        <v>0</v>
      </c>
      <c r="AM941" s="147">
        <f>IFERROR(VLOOKUP(DATA[[#This Row],[COMBINADA]],#REF!,6,0),0)</f>
        <v>0</v>
      </c>
      <c r="AN941" s="125">
        <f>IFERROR(VLOOKUP(DATA[[#This Row],[COMBINADA]],#REF!,9,0),0)/COUNTIFS(DATA[COMBINADA],DATA[[#This Row],[COMBINADA]])</f>
        <v>0</v>
      </c>
      <c r="AO941" s="27">
        <f>IFERROR(VLOOKUP(DATA[[#This Row],[COMBINADA]],#REF!,6,0),0)</f>
        <v>0</v>
      </c>
      <c r="AP941" s="132">
        <f>IFERROR(VLOOKUP(DATA[[#This Row],[COMBINADA]],#REF!,9,0),0)/COUNTIFS(DATA[COMBINADA],DATA[[#This Row],[COMBINADA]])</f>
        <v>0</v>
      </c>
      <c r="AQ94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941" s="26" t="str">
        <f>IFERROR(IF(DATA[[#This Row],[estado_fact]]="FACTURADO",VLOOKUP(DATA[[#This Row],[SERIE2]]&amp;"-"&amp;DATA[[#This Row],[NUMERO]],#REF!,34,0),"NO CORRESPONDE"),"NO CORRESPONDE")</f>
        <v>NO CORRESPONDE</v>
      </c>
      <c r="AS941" s="22" t="str">
        <f>IF(DATA[[#This Row],[fecha_fs]]&gt;0,TEXT(DATA[[#This Row],[fecha_fs]],"Mmmm"),0)</f>
        <v>Julio</v>
      </c>
      <c r="AT941" s="22" t="str">
        <f>DATA[[#This Row],[SERIE2]]&amp;"-"&amp;DATA[[#This Row],[NUMERO]]</f>
        <v>-</v>
      </c>
      <c r="AU941" s="28">
        <f>DATA[[#This Row],[TOTAL]]*DATA[[#This Row],[T.C.]]</f>
        <v>0</v>
      </c>
      <c r="AV941" s="6">
        <f>DATA[[#This Row],[FECHA DE VAL.]]</f>
        <v>0</v>
      </c>
      <c r="AW941" s="6">
        <f>DATA[[#This Row],[FECHA DE EMISION]]</f>
        <v>0</v>
      </c>
      <c r="AX941" s="6">
        <f>DATA[[#This Row],[F1]]</f>
        <v>0</v>
      </c>
      <c r="AY941" s="20">
        <f>IF(AV941-DATA[[#This Row],[fecha_fs]]&lt;0,0,AV941-DATA[[#This Row],[fecha_fs]])</f>
        <v>0</v>
      </c>
      <c r="AZ941" s="20">
        <f t="shared" si="109"/>
        <v>0</v>
      </c>
      <c r="BA941" s="53">
        <f t="shared" si="98"/>
        <v>0</v>
      </c>
      <c r="BB941" s="195">
        <f>IFERROR(SUM(DATA[[#This Row],[fs_val_ttf]:[fact_pago_ttf]]),0)</f>
        <v>0</v>
      </c>
      <c r="BC941" s="185">
        <v>45854</v>
      </c>
      <c r="BD941" s="185">
        <v>45862</v>
      </c>
      <c r="BE941" s="185">
        <v>45873</v>
      </c>
      <c r="BF941" s="185">
        <v>45873</v>
      </c>
      <c r="BG941" s="20">
        <f>IFERROR(IF(BC941-DATA[[#This Row],[fecha_fs]]&lt;0,0,BC941-DATA[[#This Row],[fecha_fs]]),0)</f>
        <v>0</v>
      </c>
      <c r="BH941" s="20">
        <f t="shared" si="110"/>
        <v>8</v>
      </c>
      <c r="BI941" s="20">
        <f t="shared" si="100"/>
        <v>11</v>
      </c>
      <c r="BJ941" s="20">
        <f t="shared" si="101"/>
        <v>0</v>
      </c>
      <c r="BK941" s="279">
        <f>IFERROR(SUM(DATA[[#This Row],[fs_fd_ttd]:[fend_fenf_ttd]]),0)</f>
        <v>19</v>
      </c>
      <c r="BL941" s="20" t="str">
        <f>IF(DATA[[#This Row],[fecha_fs]]&gt;0,TEXT(DATA[[#This Row],[fecha_fs]],"YYYY"),0)</f>
        <v>2025</v>
      </c>
      <c r="BM941" s="221" t="b">
        <v>1</v>
      </c>
      <c r="BN941" s="278">
        <f>COUNTIF(DATA[[#This Row],[tiempo_td]], "&lt;=15")</f>
        <v>0</v>
      </c>
      <c r="BO941" s="222"/>
    </row>
    <row r="942" spans="1:67" ht="30.6" customHeight="1" x14ac:dyDescent="0.25">
      <c r="A942" s="4">
        <v>20505675836</v>
      </c>
      <c r="B942" s="5" t="s">
        <v>42</v>
      </c>
      <c r="C942" s="52" t="s">
        <v>43</v>
      </c>
      <c r="D942" s="4" t="s">
        <v>157</v>
      </c>
      <c r="E942" s="5" t="s">
        <v>44</v>
      </c>
      <c r="F942" s="24">
        <v>45855</v>
      </c>
      <c r="G942" s="7" t="s">
        <v>113</v>
      </c>
      <c r="H942" s="25">
        <f t="shared" si="108"/>
        <v>1</v>
      </c>
      <c r="I942" s="67">
        <v>4766</v>
      </c>
      <c r="J942" s="8" t="s">
        <v>115</v>
      </c>
      <c r="K942" s="9" t="s">
        <v>158</v>
      </c>
      <c r="L942" s="10" t="s">
        <v>137</v>
      </c>
      <c r="M942" s="11">
        <v>1</v>
      </c>
      <c r="N942" s="12" t="s">
        <v>165</v>
      </c>
      <c r="O942" s="6">
        <v>45863</v>
      </c>
      <c r="P942" s="71">
        <v>3572</v>
      </c>
      <c r="Q942" s="14" t="s">
        <v>85</v>
      </c>
      <c r="R942" s="74"/>
      <c r="S942" s="15">
        <f>3369.7/3</f>
        <v>1123.2333333333333</v>
      </c>
      <c r="T942" s="15">
        <f>DATA[[#This Row],[C. DF]]+DATA[[#This Row],[C.OPE.]]</f>
        <v>1123.2333333333333</v>
      </c>
      <c r="U942" s="15">
        <f>DATA[[#This Row],[SUB TOTAL]]*0.18</f>
        <v>202.18199999999999</v>
      </c>
      <c r="V942" s="15">
        <f>IFERROR(ROUND(DATA[[#This Row],[SUB TOTAL]]+DATA[[#This Row],[IGV]],2),0)</f>
        <v>1325.42</v>
      </c>
      <c r="W942" s="16" t="str">
        <f>IF(DATA[[#This Row],[VALORIZACIÓN ]]="-","NO CORRESPONDE",IF(OR(A942=20558226979,A942=10470707866,A942=20111157058,A942=20100226902),"NO CORRESPONDE",IF(J942="Emitida",IF(P942&gt;0,"EMITIDA","PENDIENTE"),"NO CORRESPONDE")))</f>
        <v>EMITIDA</v>
      </c>
      <c r="X942" s="29"/>
      <c r="Y942" s="17" t="s">
        <v>118</v>
      </c>
      <c r="Z942" s="30">
        <v>45876</v>
      </c>
      <c r="AA942" s="10" t="s">
        <v>150</v>
      </c>
      <c r="AB942" s="19">
        <v>199</v>
      </c>
      <c r="AC942" s="20">
        <v>30</v>
      </c>
      <c r="AD942" s="18">
        <f>DATA[[#This Row],[FECHA DE EMISION]]+DATA[[#This Row],[CONDICION DE PAGO]]</f>
        <v>45906</v>
      </c>
      <c r="AE942" s="23">
        <f>IF(DATA[[#This Row],[MONEDA]]="USD",VLOOKUP(DATA[[#This Row],[COMBINADA]],#REF!,11,0),1)</f>
        <v>1</v>
      </c>
      <c r="AF942" s="129" t="str">
        <f>IF(DATA[[#This Row],[SERIE2]]="-","NO CORRESPONDE",IF(W942="NO CORRESPONDE","NO CORRESPONDE",IF(Z942&gt;0,"FACTURADO","PENDIENTE")))</f>
        <v>FACTURADO</v>
      </c>
      <c r="AG942" s="208">
        <f>IFERROR(VLOOKUP(DATA[[#This Row],[COMBINADA]],#REF!,6,0),0)</f>
        <v>0</v>
      </c>
      <c r="AH942" s="209">
        <f>IFERROR(VLOOKUP(DATA[[#This Row],[COMBINADA]],#REF!,9,0),0)/COUNTIFS(DATA[COMBINADA],DATA[[#This Row],[COMBINADA]])</f>
        <v>0</v>
      </c>
      <c r="AI942" s="136">
        <f>IFERROR(VLOOKUP(DATA[[#This Row],[COMBINADA]],#REF!,6,0),0)</f>
        <v>0</v>
      </c>
      <c r="AJ942" s="132">
        <f>IFERROR(VLOOKUP(DATA[[#This Row],[COMBINADA]],#REF!,9,0),0)/COUNTIFS(DATA[COMBINADA],DATA[[#This Row],[COMBINADA]])</f>
        <v>0</v>
      </c>
      <c r="AK942" s="408">
        <f>IFERROR(VLOOKUP(DATA[[#This Row],[COMBINADA]],#REF!,6,0),0)</f>
        <v>0</v>
      </c>
      <c r="AL942" s="125">
        <f>IFERROR(VLOOKUP(DATA[[#This Row],[COMBINADA]],#REF!,9,0),0)/COUNTIFS(DATA[COMBINADA],DATA[[#This Row],[COMBINADA]])</f>
        <v>0</v>
      </c>
      <c r="AM942" s="147">
        <f>IFERROR(VLOOKUP(DATA[[#This Row],[COMBINADA]],#REF!,6,0),0)</f>
        <v>0</v>
      </c>
      <c r="AN942" s="125">
        <f>IFERROR(VLOOKUP(DATA[[#This Row],[COMBINADA]],#REF!,9,0),0)/COUNTIFS(DATA[COMBINADA],DATA[[#This Row],[COMBINADA]])</f>
        <v>0</v>
      </c>
      <c r="AO942" s="27">
        <f>IFERROR(VLOOKUP(DATA[[#This Row],[COMBINADA]],#REF!,6,0),0)</f>
        <v>0</v>
      </c>
      <c r="AP942" s="132">
        <f>IFERROR(VLOOKUP(DATA[[#This Row],[COMBINADA]],#REF!,9,0),0)/COUNTIFS(DATA[COMBINADA],DATA[[#This Row],[COMBINADA]])</f>
        <v>0</v>
      </c>
      <c r="AQ94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1325.42</v>
      </c>
      <c r="AR942" s="26" t="str">
        <f>IFERROR(IF(DATA[[#This Row],[estado_fact]]="FACTURADO",VLOOKUP(DATA[[#This Row],[SERIE2]]&amp;"-"&amp;DATA[[#This Row],[NUMERO]],#REF!,34,0),"NO CORRESPONDE"),"NO CORRESPONDE")</f>
        <v>NO CORRESPONDE</v>
      </c>
      <c r="AS942" s="22" t="str">
        <f>IF(DATA[[#This Row],[fecha_fs]]&gt;0,TEXT(DATA[[#This Row],[fecha_fs]],"Mmmm"),0)</f>
        <v>Julio</v>
      </c>
      <c r="AT942" s="22" t="str">
        <f>DATA[[#This Row],[SERIE2]]&amp;"-"&amp;DATA[[#This Row],[NUMERO]]</f>
        <v>FF01-199</v>
      </c>
      <c r="AU942" s="28">
        <f>DATA[[#This Row],[TOTAL]]*DATA[[#This Row],[T.C.]]</f>
        <v>1325.42</v>
      </c>
      <c r="AV942" s="6">
        <f>DATA[[#This Row],[FECHA DE VAL.]]</f>
        <v>45863</v>
      </c>
      <c r="AW942" s="6">
        <f>DATA[[#This Row],[FECHA DE EMISION]]</f>
        <v>45876</v>
      </c>
      <c r="AX942" s="6">
        <f>DATA[[#This Row],[F1]]</f>
        <v>0</v>
      </c>
      <c r="AY942" s="20">
        <f>IF(AV942-DATA[[#This Row],[fecha_fs]]&lt;0,0,AV942-DATA[[#This Row],[fecha_fs]])</f>
        <v>8</v>
      </c>
      <c r="AZ942" s="20">
        <f t="shared" si="109"/>
        <v>13</v>
      </c>
      <c r="BA942" s="53">
        <f t="shared" si="98"/>
        <v>0</v>
      </c>
      <c r="BB942" s="195">
        <f>IFERROR(SUM(DATA[[#This Row],[fs_val_ttf]:[fact_pago_ttf]]),0)</f>
        <v>21</v>
      </c>
      <c r="BC942" s="185">
        <v>45855</v>
      </c>
      <c r="BD942" s="185">
        <v>45855</v>
      </c>
      <c r="BE942" s="185">
        <v>45870</v>
      </c>
      <c r="BF942" s="185">
        <v>45870</v>
      </c>
      <c r="BG942" s="20">
        <f>IFERROR(IF(BC942-DATA[[#This Row],[fecha_fs]]&lt;0,0,BC942-DATA[[#This Row],[fecha_fs]]),0)</f>
        <v>0</v>
      </c>
      <c r="BH942" s="20">
        <f t="shared" si="110"/>
        <v>0</v>
      </c>
      <c r="BI942" s="20">
        <f t="shared" si="100"/>
        <v>15</v>
      </c>
      <c r="BJ942" s="20">
        <f t="shared" si="101"/>
        <v>0</v>
      </c>
      <c r="BK942" s="279">
        <f>IFERROR(SUM(DATA[[#This Row],[fs_fd_ttd]:[fend_fenf_ttd]]),0)</f>
        <v>15</v>
      </c>
      <c r="BL942" s="20" t="str">
        <f>IF(DATA[[#This Row],[fecha_fs]]&gt;0,TEXT(DATA[[#This Row],[fecha_fs]],"YYYY"),0)</f>
        <v>2025</v>
      </c>
      <c r="BM942" s="221" t="b">
        <v>1</v>
      </c>
      <c r="BN942" s="278">
        <f>COUNTIF(DATA[[#This Row],[tiempo_td]], "&lt;=15")</f>
        <v>1</v>
      </c>
      <c r="BO942" s="222"/>
    </row>
    <row r="943" spans="1:67" ht="30.6" customHeight="1" x14ac:dyDescent="0.25">
      <c r="A943" s="4">
        <v>20100055237</v>
      </c>
      <c r="B943" s="5" t="s">
        <v>21</v>
      </c>
      <c r="C943" s="52" t="s">
        <v>138</v>
      </c>
      <c r="D943" s="4" t="s">
        <v>139</v>
      </c>
      <c r="E943" s="5" t="s">
        <v>23</v>
      </c>
      <c r="F943" s="24">
        <v>45855</v>
      </c>
      <c r="G943" s="7" t="s">
        <v>113</v>
      </c>
      <c r="H943" s="25">
        <f t="shared" si="108"/>
        <v>1</v>
      </c>
      <c r="I943" s="67">
        <v>4767</v>
      </c>
      <c r="J943" s="8" t="s">
        <v>115</v>
      </c>
      <c r="K943" s="9" t="s">
        <v>121</v>
      </c>
      <c r="L943" s="10" t="s">
        <v>117</v>
      </c>
      <c r="M943" s="11">
        <v>30</v>
      </c>
      <c r="N943" s="12" t="s">
        <v>132</v>
      </c>
      <c r="O943" s="6">
        <v>45869</v>
      </c>
      <c r="P943" s="54">
        <v>3582</v>
      </c>
      <c r="Q943" s="14" t="s">
        <v>85</v>
      </c>
      <c r="R943" s="206"/>
      <c r="S943" s="206">
        <v>297.92</v>
      </c>
      <c r="T943" s="15">
        <f>DATA[[#This Row],[C. DF]]+DATA[[#This Row],[C.OPE.]]</f>
        <v>297.92</v>
      </c>
      <c r="U943" s="15">
        <f>DATA[[#This Row],[SUB TOTAL]]*0.18</f>
        <v>53.625599999999999</v>
      </c>
      <c r="V943" s="15">
        <f>IFERROR(ROUND(DATA[[#This Row],[SUB TOTAL]]+DATA[[#This Row],[IGV]],2),0)</f>
        <v>351.55</v>
      </c>
      <c r="W943" s="16" t="str">
        <f>IF(DATA[[#This Row],[VALORIZACIÓN ]]="-","NO CORRESPONDE",IF(OR(A943=20558226979,A943=10470707866,A943=20111157058,A943=20100226902),"NO CORRESPONDE",IF(J943="Emitida",IF(P943&gt;0,"EMITIDA","PENDIENTE"),"NO CORRESPONDE")))</f>
        <v>EMITIDA</v>
      </c>
      <c r="X943" s="29"/>
      <c r="Y943" s="17" t="s">
        <v>118</v>
      </c>
      <c r="Z943" s="30">
        <v>45883</v>
      </c>
      <c r="AA943" s="10" t="s">
        <v>150</v>
      </c>
      <c r="AB943" s="19">
        <v>205</v>
      </c>
      <c r="AC943" s="20">
        <v>30</v>
      </c>
      <c r="AD943" s="18">
        <f>DATA[[#This Row],[FECHA DE EMISION]]+DATA[[#This Row],[CONDICION DE PAGO]]</f>
        <v>45913</v>
      </c>
      <c r="AE943" s="23">
        <f>IF(DATA[[#This Row],[MONEDA]]="USD",VLOOKUP(DATA[[#This Row],[COMBINADA]],#REF!,11,0),1)</f>
        <v>1</v>
      </c>
      <c r="AF943" s="129" t="str">
        <f>IF(DATA[[#This Row],[SERIE2]]="-","NO CORRESPONDE",IF(W943="NO CORRESPONDE","NO CORRESPONDE",IF(Z943&gt;0,"FACTURADO","PENDIENTE")))</f>
        <v>FACTURADO</v>
      </c>
      <c r="AG943" s="208">
        <f>IFERROR(VLOOKUP(DATA[[#This Row],[COMBINADA]],#REF!,6,0),0)</f>
        <v>0</v>
      </c>
      <c r="AH943" s="209">
        <f>IFERROR(VLOOKUP(DATA[[#This Row],[COMBINADA]],#REF!,9,0),0)/COUNTIFS(DATA[COMBINADA],DATA[[#This Row],[COMBINADA]])</f>
        <v>0</v>
      </c>
      <c r="AI943" s="136">
        <f>IFERROR(VLOOKUP(DATA[[#This Row],[COMBINADA]],#REF!,6,0),0)</f>
        <v>0</v>
      </c>
      <c r="AJ943" s="132">
        <f>IFERROR(VLOOKUP(DATA[[#This Row],[COMBINADA]],#REF!,9,0),0)/COUNTIFS(DATA[COMBINADA],DATA[[#This Row],[COMBINADA]])</f>
        <v>0</v>
      </c>
      <c r="AK943" s="408">
        <f>IFERROR(VLOOKUP(DATA[[#This Row],[COMBINADA]],#REF!,6,0),0)</f>
        <v>0</v>
      </c>
      <c r="AL943" s="125">
        <f>IFERROR(VLOOKUP(DATA[[#This Row],[COMBINADA]],#REF!,9,0),0)/COUNTIFS(DATA[COMBINADA],DATA[[#This Row],[COMBINADA]])</f>
        <v>0</v>
      </c>
      <c r="AM943" s="147">
        <f>IFERROR(VLOOKUP(DATA[[#This Row],[COMBINADA]],#REF!,6,0),0)</f>
        <v>0</v>
      </c>
      <c r="AN943" s="125">
        <f>IFERROR(VLOOKUP(DATA[[#This Row],[COMBINADA]],#REF!,9,0),0)/COUNTIFS(DATA[COMBINADA],DATA[[#This Row],[COMBINADA]])</f>
        <v>0</v>
      </c>
      <c r="AO943" s="27">
        <f>IFERROR(VLOOKUP(DATA[[#This Row],[COMBINADA]],#REF!,6,0),0)</f>
        <v>0</v>
      </c>
      <c r="AP943" s="132">
        <f>IFERROR(VLOOKUP(DATA[[#This Row],[COMBINADA]],#REF!,9,0),0)/COUNTIFS(DATA[COMBINADA],DATA[[#This Row],[COMBINADA]])</f>
        <v>0</v>
      </c>
      <c r="AQ94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943" s="26" t="str">
        <f>IFERROR(IF(DATA[[#This Row],[estado_fact]]="FACTURADO",VLOOKUP(DATA[[#This Row],[SERIE2]]&amp;"-"&amp;DATA[[#This Row],[NUMERO]],#REF!,34,0),"NO CORRESPONDE"),"NO CORRESPONDE")</f>
        <v>NO CORRESPONDE</v>
      </c>
      <c r="AS943" s="22" t="str">
        <f>IF(DATA[[#This Row],[fecha_fs]]&gt;0,TEXT(DATA[[#This Row],[fecha_fs]],"Mmmm"),0)</f>
        <v>Julio</v>
      </c>
      <c r="AT943" s="22" t="str">
        <f>DATA[[#This Row],[SERIE2]]&amp;"-"&amp;DATA[[#This Row],[NUMERO]]</f>
        <v>FF01-205</v>
      </c>
      <c r="AU943" s="28">
        <f>DATA[[#This Row],[TOTAL]]*DATA[[#This Row],[T.C.]]</f>
        <v>351.55</v>
      </c>
      <c r="AV943" s="6">
        <f>DATA[[#This Row],[FECHA DE VAL.]]</f>
        <v>45869</v>
      </c>
      <c r="AW943" s="6">
        <f>DATA[[#This Row],[FECHA DE EMISION]]</f>
        <v>45883</v>
      </c>
      <c r="AX943" s="6">
        <f>DATA[[#This Row],[F1]]</f>
        <v>0</v>
      </c>
      <c r="AY943" s="20">
        <f>IF(AV943-DATA[[#This Row],[fecha_fs]]&lt;0,0,AV943-DATA[[#This Row],[fecha_fs]])</f>
        <v>14</v>
      </c>
      <c r="AZ943" s="20">
        <f t="shared" si="109"/>
        <v>14</v>
      </c>
      <c r="BA943" s="53">
        <f t="shared" si="98"/>
        <v>0</v>
      </c>
      <c r="BB943" s="195">
        <f>IFERROR(SUM(DATA[[#This Row],[fs_val_ttf]:[fact_pago_ttf]]),0)</f>
        <v>28</v>
      </c>
      <c r="BC943" s="185">
        <v>45855</v>
      </c>
      <c r="BD943" s="185">
        <v>45855</v>
      </c>
      <c r="BE943" s="185">
        <v>45870</v>
      </c>
      <c r="BF943" s="185">
        <v>45870</v>
      </c>
      <c r="BG943" s="20">
        <f>IFERROR(IF(BC943-DATA[[#This Row],[fecha_fs]]&lt;0,0,BC943-DATA[[#This Row],[fecha_fs]]),0)</f>
        <v>0</v>
      </c>
      <c r="BH943" s="20">
        <f t="shared" si="110"/>
        <v>0</v>
      </c>
      <c r="BI943" s="20">
        <f t="shared" si="100"/>
        <v>15</v>
      </c>
      <c r="BJ943" s="20">
        <f t="shared" si="101"/>
        <v>0</v>
      </c>
      <c r="BK943" s="279">
        <f>IFERROR(SUM(DATA[[#This Row],[fs_fd_ttd]:[fend_fenf_ttd]]),0)</f>
        <v>15</v>
      </c>
      <c r="BL943" s="20" t="str">
        <f>IF(DATA[[#This Row],[fecha_fs]]&gt;0,TEXT(DATA[[#This Row],[fecha_fs]],"YYYY"),0)</f>
        <v>2025</v>
      </c>
      <c r="BM943" s="221" t="b">
        <v>1</v>
      </c>
      <c r="BN943" s="278">
        <f>COUNTIF(DATA[[#This Row],[tiempo_td]], "&lt;=15")</f>
        <v>1</v>
      </c>
      <c r="BO943" s="222"/>
    </row>
    <row r="944" spans="1:67" ht="30.6" customHeight="1" x14ac:dyDescent="0.25">
      <c r="A944" s="4">
        <v>20505675836</v>
      </c>
      <c r="B944" s="5" t="s">
        <v>42</v>
      </c>
      <c r="C944" s="52" t="s">
        <v>43</v>
      </c>
      <c r="D944" s="4" t="s">
        <v>157</v>
      </c>
      <c r="E944" s="5" t="s">
        <v>44</v>
      </c>
      <c r="F944" s="24">
        <v>45855</v>
      </c>
      <c r="G944" s="7" t="s">
        <v>113</v>
      </c>
      <c r="H944" s="25">
        <f t="shared" si="108"/>
        <v>1</v>
      </c>
      <c r="I944" s="67">
        <v>4768</v>
      </c>
      <c r="J944" s="8" t="s">
        <v>115</v>
      </c>
      <c r="K944" s="9" t="s">
        <v>185</v>
      </c>
      <c r="L944" s="10" t="s">
        <v>137</v>
      </c>
      <c r="M944" s="11">
        <v>1</v>
      </c>
      <c r="N944" s="12" t="s">
        <v>165</v>
      </c>
      <c r="O944" s="6">
        <v>45863</v>
      </c>
      <c r="P944" s="71">
        <v>3572</v>
      </c>
      <c r="Q944" s="14" t="s">
        <v>85</v>
      </c>
      <c r="R944" s="74"/>
      <c r="S944" s="15">
        <f>3369.7/3</f>
        <v>1123.2333333333333</v>
      </c>
      <c r="T944" s="15">
        <f>DATA[[#This Row],[C. DF]]+DATA[[#This Row],[C.OPE.]]</f>
        <v>1123.2333333333333</v>
      </c>
      <c r="U944" s="15">
        <f>DATA[[#This Row],[SUB TOTAL]]*0.18</f>
        <v>202.18199999999999</v>
      </c>
      <c r="V944" s="15">
        <f>IFERROR(ROUND(DATA[[#This Row],[SUB TOTAL]]+DATA[[#This Row],[IGV]],2),0)</f>
        <v>1325.42</v>
      </c>
      <c r="W944" s="16" t="str">
        <f>IF(DATA[[#This Row],[VALORIZACIÓN ]]="-","NO CORRESPONDE",IF(OR(A944=20558226979,A944=10470707866,A944=20111157058,A944=20100226902),"NO CORRESPONDE",IF(J944="Emitida",IF(P944&gt;0,"EMITIDA","PENDIENTE"),"NO CORRESPONDE")))</f>
        <v>EMITIDA</v>
      </c>
      <c r="X944" s="29"/>
      <c r="Y944" s="17" t="s">
        <v>118</v>
      </c>
      <c r="Z944" s="30">
        <v>45876</v>
      </c>
      <c r="AA944" s="10" t="s">
        <v>150</v>
      </c>
      <c r="AB944" s="19">
        <v>199</v>
      </c>
      <c r="AC944" s="20">
        <v>30</v>
      </c>
      <c r="AD944" s="18">
        <f>DATA[[#This Row],[FECHA DE EMISION]]+DATA[[#This Row],[CONDICION DE PAGO]]</f>
        <v>45906</v>
      </c>
      <c r="AE944" s="23">
        <f>IF(DATA[[#This Row],[MONEDA]]="USD",VLOOKUP(DATA[[#This Row],[COMBINADA]],#REF!,11,0),1)</f>
        <v>1</v>
      </c>
      <c r="AF944" s="129" t="str">
        <f>IF(DATA[[#This Row],[SERIE2]]="-","NO CORRESPONDE",IF(W944="NO CORRESPONDE","NO CORRESPONDE",IF(Z944&gt;0,"FACTURADO","PENDIENTE")))</f>
        <v>FACTURADO</v>
      </c>
      <c r="AG944" s="208">
        <f>IFERROR(VLOOKUP(DATA[[#This Row],[COMBINADA]],#REF!,6,0),0)</f>
        <v>0</v>
      </c>
      <c r="AH944" s="209">
        <f>IFERROR(VLOOKUP(DATA[[#This Row],[COMBINADA]],#REF!,9,0),0)/COUNTIFS(DATA[COMBINADA],DATA[[#This Row],[COMBINADA]])</f>
        <v>0</v>
      </c>
      <c r="AI944" s="136">
        <f>IFERROR(VLOOKUP(DATA[[#This Row],[COMBINADA]],#REF!,6,0),0)</f>
        <v>0</v>
      </c>
      <c r="AJ944" s="132">
        <f>IFERROR(VLOOKUP(DATA[[#This Row],[COMBINADA]],#REF!,9,0),0)/COUNTIFS(DATA[COMBINADA],DATA[[#This Row],[COMBINADA]])</f>
        <v>0</v>
      </c>
      <c r="AK944" s="408">
        <f>IFERROR(VLOOKUP(DATA[[#This Row],[COMBINADA]],#REF!,6,0),0)</f>
        <v>0</v>
      </c>
      <c r="AL944" s="125">
        <f>IFERROR(VLOOKUP(DATA[[#This Row],[COMBINADA]],#REF!,9,0),0)/COUNTIFS(DATA[COMBINADA],DATA[[#This Row],[COMBINADA]])</f>
        <v>0</v>
      </c>
      <c r="AM944" s="147">
        <f>IFERROR(VLOOKUP(DATA[[#This Row],[COMBINADA]],#REF!,6,0),0)</f>
        <v>0</v>
      </c>
      <c r="AN944" s="125">
        <f>IFERROR(VLOOKUP(DATA[[#This Row],[COMBINADA]],#REF!,9,0),0)/COUNTIFS(DATA[COMBINADA],DATA[[#This Row],[COMBINADA]])</f>
        <v>0</v>
      </c>
      <c r="AO944" s="27">
        <f>IFERROR(VLOOKUP(DATA[[#This Row],[COMBINADA]],#REF!,6,0),0)</f>
        <v>0</v>
      </c>
      <c r="AP944" s="132">
        <f>IFERROR(VLOOKUP(DATA[[#This Row],[COMBINADA]],#REF!,9,0),0)/COUNTIFS(DATA[COMBINADA],DATA[[#This Row],[COMBINADA]])</f>
        <v>0</v>
      </c>
      <c r="AQ94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1325.42</v>
      </c>
      <c r="AR944" s="26" t="str">
        <f>IFERROR(IF(DATA[[#This Row],[estado_fact]]="FACTURADO",VLOOKUP(DATA[[#This Row],[SERIE2]]&amp;"-"&amp;DATA[[#This Row],[NUMERO]],#REF!,34,0),"NO CORRESPONDE"),"NO CORRESPONDE")</f>
        <v>NO CORRESPONDE</v>
      </c>
      <c r="AS944" s="22" t="str">
        <f>IF(DATA[[#This Row],[fecha_fs]]&gt;0,TEXT(DATA[[#This Row],[fecha_fs]],"Mmmm"),0)</f>
        <v>Julio</v>
      </c>
      <c r="AT944" s="22" t="str">
        <f>DATA[[#This Row],[SERIE2]]&amp;"-"&amp;DATA[[#This Row],[NUMERO]]</f>
        <v>FF01-199</v>
      </c>
      <c r="AU944" s="28">
        <f>DATA[[#This Row],[TOTAL]]*DATA[[#This Row],[T.C.]]</f>
        <v>1325.42</v>
      </c>
      <c r="AV944" s="6">
        <f>DATA[[#This Row],[FECHA DE VAL.]]</f>
        <v>45863</v>
      </c>
      <c r="AW944" s="6">
        <f>DATA[[#This Row],[FECHA DE EMISION]]</f>
        <v>45876</v>
      </c>
      <c r="AX944" s="6">
        <f>DATA[[#This Row],[F1]]</f>
        <v>0</v>
      </c>
      <c r="AY944" s="20">
        <f>IF(AV944-DATA[[#This Row],[fecha_fs]]&lt;0,0,AV944-DATA[[#This Row],[fecha_fs]])</f>
        <v>8</v>
      </c>
      <c r="AZ944" s="20">
        <f t="shared" si="109"/>
        <v>13</v>
      </c>
      <c r="BA944" s="53">
        <f t="shared" si="98"/>
        <v>0</v>
      </c>
      <c r="BB944" s="195">
        <f>IFERROR(SUM(DATA[[#This Row],[fs_val_ttf]:[fact_pago_ttf]]),0)</f>
        <v>21</v>
      </c>
      <c r="BC944" s="185">
        <v>45855</v>
      </c>
      <c r="BD944" s="185">
        <v>45855</v>
      </c>
      <c r="BE944" s="185">
        <v>45870</v>
      </c>
      <c r="BF944" s="185">
        <v>45870</v>
      </c>
      <c r="BG944" s="20">
        <f>IFERROR(IF(BC944-DATA[[#This Row],[fecha_fs]]&lt;0,0,BC944-DATA[[#This Row],[fecha_fs]]),0)</f>
        <v>0</v>
      </c>
      <c r="BH944" s="20">
        <f t="shared" si="110"/>
        <v>0</v>
      </c>
      <c r="BI944" s="20">
        <f t="shared" si="100"/>
        <v>15</v>
      </c>
      <c r="BJ944" s="20">
        <f t="shared" si="101"/>
        <v>0</v>
      </c>
      <c r="BK944" s="279">
        <f>IFERROR(SUM(DATA[[#This Row],[fs_fd_ttd]:[fend_fenf_ttd]]),0)</f>
        <v>15</v>
      </c>
      <c r="BL944" s="20" t="str">
        <f>IF(DATA[[#This Row],[fecha_fs]]&gt;0,TEXT(DATA[[#This Row],[fecha_fs]],"YYYY"),0)</f>
        <v>2025</v>
      </c>
      <c r="BM944" s="221" t="b">
        <v>1</v>
      </c>
      <c r="BN944" s="278">
        <f>COUNTIF(DATA[[#This Row],[tiempo_td]], "&lt;=15")</f>
        <v>1</v>
      </c>
      <c r="BO944" s="222"/>
    </row>
    <row r="945" spans="1:67" ht="30.6" customHeight="1" x14ac:dyDescent="0.25">
      <c r="A945" s="4">
        <v>20505675836</v>
      </c>
      <c r="B945" s="5" t="s">
        <v>42</v>
      </c>
      <c r="C945" s="52" t="s">
        <v>43</v>
      </c>
      <c r="D945" s="4" t="s">
        <v>157</v>
      </c>
      <c r="E945" s="5" t="s">
        <v>44</v>
      </c>
      <c r="F945" s="24">
        <v>45855</v>
      </c>
      <c r="G945" s="7" t="s">
        <v>113</v>
      </c>
      <c r="H945" s="25">
        <f t="shared" si="108"/>
        <v>1</v>
      </c>
      <c r="I945" s="67">
        <v>4769</v>
      </c>
      <c r="J945" s="8" t="s">
        <v>115</v>
      </c>
      <c r="K945" s="9" t="s">
        <v>300</v>
      </c>
      <c r="L945" s="10" t="s">
        <v>137</v>
      </c>
      <c r="M945" s="11">
        <v>1</v>
      </c>
      <c r="N945" s="12" t="s">
        <v>165</v>
      </c>
      <c r="O945" s="6">
        <v>45863</v>
      </c>
      <c r="P945" s="71">
        <v>3572</v>
      </c>
      <c r="Q945" s="14" t="s">
        <v>85</v>
      </c>
      <c r="R945" s="237"/>
      <c r="S945" s="15">
        <f>3369.7/3</f>
        <v>1123.2333333333333</v>
      </c>
      <c r="T945" s="15">
        <f>DATA[[#This Row],[C. DF]]+DATA[[#This Row],[C.OPE.]]</f>
        <v>1123.2333333333333</v>
      </c>
      <c r="U945" s="15">
        <f>DATA[[#This Row],[SUB TOTAL]]*0.18</f>
        <v>202.18199999999999</v>
      </c>
      <c r="V945" s="15">
        <f>IFERROR(ROUND(DATA[[#This Row],[SUB TOTAL]]+DATA[[#This Row],[IGV]],2),0)</f>
        <v>1325.42</v>
      </c>
      <c r="W945" s="16" t="str">
        <f>IF(DATA[[#This Row],[VALORIZACIÓN ]]="-","NO CORRESPONDE",IF(OR(A945=20558226979,A945=10470707866,A945=20111157058,A945=20100226902),"NO CORRESPONDE",IF(J945="Emitida",IF(P945&gt;0,"EMITIDA","PENDIENTE"),"NO CORRESPONDE")))</f>
        <v>EMITIDA</v>
      </c>
      <c r="X945" s="29"/>
      <c r="Y945" s="17" t="s">
        <v>118</v>
      </c>
      <c r="Z945" s="30">
        <v>45876</v>
      </c>
      <c r="AA945" s="10" t="s">
        <v>150</v>
      </c>
      <c r="AB945" s="19">
        <v>199</v>
      </c>
      <c r="AC945" s="20">
        <v>30</v>
      </c>
      <c r="AD945" s="18">
        <f>DATA[[#This Row],[FECHA DE EMISION]]+DATA[[#This Row],[CONDICION DE PAGO]]</f>
        <v>45906</v>
      </c>
      <c r="AE945" s="23">
        <f>IF(DATA[[#This Row],[MONEDA]]="USD",VLOOKUP(DATA[[#This Row],[COMBINADA]],#REF!,11,0),1)</f>
        <v>1</v>
      </c>
      <c r="AF945" s="129" t="str">
        <f>IF(DATA[[#This Row],[SERIE2]]="-","NO CORRESPONDE",IF(W945="NO CORRESPONDE","NO CORRESPONDE",IF(Z945&gt;0,"FACTURADO","PENDIENTE")))</f>
        <v>FACTURADO</v>
      </c>
      <c r="AG945" s="208">
        <f>IFERROR(VLOOKUP(DATA[[#This Row],[COMBINADA]],#REF!,6,0),0)</f>
        <v>0</v>
      </c>
      <c r="AH945" s="209">
        <f>IFERROR(VLOOKUP(DATA[[#This Row],[COMBINADA]],#REF!,9,0),0)/COUNTIFS(DATA[COMBINADA],DATA[[#This Row],[COMBINADA]])</f>
        <v>0</v>
      </c>
      <c r="AI945" s="136">
        <f>IFERROR(VLOOKUP(DATA[[#This Row],[COMBINADA]],#REF!,6,0),0)</f>
        <v>0</v>
      </c>
      <c r="AJ945" s="132">
        <f>IFERROR(VLOOKUP(DATA[[#This Row],[COMBINADA]],#REF!,9,0),0)/COUNTIFS(DATA[COMBINADA],DATA[[#This Row],[COMBINADA]])</f>
        <v>0</v>
      </c>
      <c r="AK945" s="408">
        <f>IFERROR(VLOOKUP(DATA[[#This Row],[COMBINADA]],#REF!,6,0),0)</f>
        <v>0</v>
      </c>
      <c r="AL945" s="125">
        <f>IFERROR(VLOOKUP(DATA[[#This Row],[COMBINADA]],#REF!,9,0),0)/COUNTIFS(DATA[COMBINADA],DATA[[#This Row],[COMBINADA]])</f>
        <v>0</v>
      </c>
      <c r="AM945" s="147">
        <f>IFERROR(VLOOKUP(DATA[[#This Row],[COMBINADA]],#REF!,6,0),0)</f>
        <v>0</v>
      </c>
      <c r="AN945" s="125">
        <f>IFERROR(VLOOKUP(DATA[[#This Row],[COMBINADA]],#REF!,9,0),0)/COUNTIFS(DATA[COMBINADA],DATA[[#This Row],[COMBINADA]])</f>
        <v>0</v>
      </c>
      <c r="AO945" s="27">
        <f>IFERROR(VLOOKUP(DATA[[#This Row],[COMBINADA]],#REF!,6,0),0)</f>
        <v>0</v>
      </c>
      <c r="AP945" s="132">
        <f>IFERROR(VLOOKUP(DATA[[#This Row],[COMBINADA]],#REF!,9,0),0)/COUNTIFS(DATA[COMBINADA],DATA[[#This Row],[COMBINADA]])</f>
        <v>0</v>
      </c>
      <c r="AQ94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1325.42</v>
      </c>
      <c r="AR945" s="26" t="str">
        <f>IFERROR(IF(DATA[[#This Row],[estado_fact]]="FACTURADO",VLOOKUP(DATA[[#This Row],[SERIE2]]&amp;"-"&amp;DATA[[#This Row],[NUMERO]],#REF!,34,0),"NO CORRESPONDE"),"NO CORRESPONDE")</f>
        <v>NO CORRESPONDE</v>
      </c>
      <c r="AS945" s="22" t="str">
        <f>IF(DATA[[#This Row],[fecha_fs]]&gt;0,TEXT(DATA[[#This Row],[fecha_fs]],"Mmmm"),0)</f>
        <v>Julio</v>
      </c>
      <c r="AT945" s="22" t="str">
        <f>DATA[[#This Row],[SERIE2]]&amp;"-"&amp;DATA[[#This Row],[NUMERO]]</f>
        <v>FF01-199</v>
      </c>
      <c r="AU945" s="28">
        <f>DATA[[#This Row],[TOTAL]]*DATA[[#This Row],[T.C.]]</f>
        <v>1325.42</v>
      </c>
      <c r="AV945" s="6">
        <f>DATA[[#This Row],[FECHA DE VAL.]]</f>
        <v>45863</v>
      </c>
      <c r="AW945" s="6">
        <f>DATA[[#This Row],[FECHA DE EMISION]]</f>
        <v>45876</v>
      </c>
      <c r="AX945" s="6">
        <f>DATA[[#This Row],[F1]]</f>
        <v>0</v>
      </c>
      <c r="AY945" s="20">
        <f>IF(AV945-DATA[[#This Row],[fecha_fs]]&lt;0,0,AV945-DATA[[#This Row],[fecha_fs]])</f>
        <v>8</v>
      </c>
      <c r="AZ945" s="20">
        <f t="shared" si="109"/>
        <v>13</v>
      </c>
      <c r="BA945" s="53">
        <f t="shared" si="98"/>
        <v>0</v>
      </c>
      <c r="BB945" s="195">
        <f>IFERROR(SUM(DATA[[#This Row],[fs_val_ttf]:[fact_pago_ttf]]),0)</f>
        <v>21</v>
      </c>
      <c r="BC945" s="185">
        <v>45855</v>
      </c>
      <c r="BD945" s="185">
        <v>45855</v>
      </c>
      <c r="BE945" s="185">
        <v>45870</v>
      </c>
      <c r="BF945" s="185">
        <v>45870</v>
      </c>
      <c r="BG945" s="20">
        <f>IFERROR(IF(BC945-DATA[[#This Row],[fecha_fs]]&lt;0,0,BC945-DATA[[#This Row],[fecha_fs]]),0)</f>
        <v>0</v>
      </c>
      <c r="BH945" s="20">
        <f t="shared" si="110"/>
        <v>0</v>
      </c>
      <c r="BI945" s="20">
        <f t="shared" si="100"/>
        <v>15</v>
      </c>
      <c r="BJ945" s="20">
        <f t="shared" si="101"/>
        <v>0</v>
      </c>
      <c r="BK945" s="279">
        <f>IFERROR(SUM(DATA[[#This Row],[fs_fd_ttd]:[fend_fenf_ttd]]),0)</f>
        <v>15</v>
      </c>
      <c r="BL945" s="20" t="str">
        <f>IF(DATA[[#This Row],[fecha_fs]]&gt;0,TEXT(DATA[[#This Row],[fecha_fs]],"YYYY"),0)</f>
        <v>2025</v>
      </c>
      <c r="BM945" s="221" t="b">
        <v>1</v>
      </c>
      <c r="BN945" s="278">
        <f>COUNTIF(DATA[[#This Row],[tiempo_td]], "&lt;=15")</f>
        <v>1</v>
      </c>
      <c r="BO945" s="222"/>
    </row>
    <row r="946" spans="1:67" ht="30.6" customHeight="1" x14ac:dyDescent="0.25">
      <c r="A946" s="4">
        <v>20454377011</v>
      </c>
      <c r="B946" s="5" t="s">
        <v>70</v>
      </c>
      <c r="C946" s="52" t="s">
        <v>18</v>
      </c>
      <c r="D946" s="4" t="s">
        <v>112</v>
      </c>
      <c r="E946" s="5" t="s">
        <v>1</v>
      </c>
      <c r="F946" s="24">
        <v>45856</v>
      </c>
      <c r="G946" s="7" t="s">
        <v>113</v>
      </c>
      <c r="H946" s="25">
        <f t="shared" si="108"/>
        <v>1</v>
      </c>
      <c r="I946" s="67">
        <v>4770</v>
      </c>
      <c r="J946" s="8" t="s">
        <v>115</v>
      </c>
      <c r="K946" s="9" t="s">
        <v>116</v>
      </c>
      <c r="L946" s="10" t="s">
        <v>117</v>
      </c>
      <c r="M946" s="11">
        <v>230</v>
      </c>
      <c r="N946" s="12" t="s">
        <v>114</v>
      </c>
      <c r="O946" s="6">
        <v>45859</v>
      </c>
      <c r="P946" s="238">
        <v>3554</v>
      </c>
      <c r="Q946" s="14" t="s">
        <v>85</v>
      </c>
      <c r="R946" s="206">
        <f>DATA[[#This Row],[cantidad_fs]]*0.45</f>
        <v>103.5</v>
      </c>
      <c r="S946" s="206">
        <v>2149</v>
      </c>
      <c r="T946" s="15">
        <f>DATA[[#This Row],[C. DF]]+DATA[[#This Row],[C.OPE.]]</f>
        <v>2252.5</v>
      </c>
      <c r="U946" s="15">
        <f>DATA[[#This Row],[SUB TOTAL]]*0.18</f>
        <v>405.45</v>
      </c>
      <c r="V946" s="15">
        <f>IFERROR(ROUND(DATA[[#This Row],[SUB TOTAL]]+DATA[[#This Row],[IGV]],2),0)</f>
        <v>2657.95</v>
      </c>
      <c r="W946" s="16" t="str">
        <f>IF(DATA[[#This Row],[VALORIZACIÓN ]]="-","NO CORRESPONDE",IF(OR(A946=20558226979,A946=10470707866,A946=20111157058,A946=20100226902),"NO CORRESPONDE",IF(J946="Emitida",IF(P946&gt;0,"EMITIDA","PENDIENTE"),"NO CORRESPONDE")))</f>
        <v>EMITIDA</v>
      </c>
      <c r="X946" s="29"/>
      <c r="Y946" s="17" t="s">
        <v>118</v>
      </c>
      <c r="Z946" s="30">
        <v>45869</v>
      </c>
      <c r="AA946" s="10" t="s">
        <v>150</v>
      </c>
      <c r="AB946" s="19">
        <v>188</v>
      </c>
      <c r="AC946" s="20">
        <v>15</v>
      </c>
      <c r="AD946" s="18">
        <f>DATA[[#This Row],[FECHA DE EMISION]]+DATA[[#This Row],[CONDICION DE PAGO]]</f>
        <v>45884</v>
      </c>
      <c r="AE946" s="23">
        <f>IF(DATA[[#This Row],[MONEDA]]="USD",VLOOKUP(DATA[[#This Row],[COMBINADA]],#REF!,11,0),1)</f>
        <v>1</v>
      </c>
      <c r="AF946" s="129" t="str">
        <f>IF(DATA[[#This Row],[SERIE2]]="-","NO CORRESPONDE",IF(W946="NO CORRESPONDE","NO CORRESPONDE",IF(Z946&gt;0,"FACTURADO","PENDIENTE")))</f>
        <v>FACTURADO</v>
      </c>
      <c r="AG946" s="208">
        <f>IFERROR(VLOOKUP(DATA[[#This Row],[COMBINADA]],#REF!,6,0),0)</f>
        <v>0</v>
      </c>
      <c r="AH946" s="209">
        <f>IFERROR(VLOOKUP(DATA[[#This Row],[COMBINADA]],#REF!,9,0),0)/COUNTIFS(DATA[COMBINADA],DATA[[#This Row],[COMBINADA]])</f>
        <v>0</v>
      </c>
      <c r="AI946" s="136">
        <f>IFERROR(VLOOKUP(DATA[[#This Row],[COMBINADA]],#REF!,6,0),0)</f>
        <v>0</v>
      </c>
      <c r="AJ946" s="132">
        <f>IFERROR(VLOOKUP(DATA[[#This Row],[COMBINADA]],#REF!,9,0),0)/COUNTIFS(DATA[COMBINADA],DATA[[#This Row],[COMBINADA]])</f>
        <v>0</v>
      </c>
      <c r="AK946" s="408">
        <f>IFERROR(VLOOKUP(DATA[[#This Row],[COMBINADA]],#REF!,6,0),0)</f>
        <v>0</v>
      </c>
      <c r="AL946" s="125">
        <f>IFERROR(VLOOKUP(DATA[[#This Row],[COMBINADA]],#REF!,9,0),0)/COUNTIFS(DATA[COMBINADA],DATA[[#This Row],[COMBINADA]])</f>
        <v>0</v>
      </c>
      <c r="AM946" s="147">
        <f>IFERROR(VLOOKUP(DATA[[#This Row],[COMBINADA]],#REF!,6,0),0)</f>
        <v>0</v>
      </c>
      <c r="AN946" s="125">
        <f>IFERROR(VLOOKUP(DATA[[#This Row],[COMBINADA]],#REF!,9,0),0)/COUNTIFS(DATA[COMBINADA],DATA[[#This Row],[COMBINADA]])</f>
        <v>0</v>
      </c>
      <c r="AO946" s="27">
        <f>IFERROR(VLOOKUP(DATA[[#This Row],[COMBINADA]],#REF!,6,0),0)</f>
        <v>0</v>
      </c>
      <c r="AP946" s="132">
        <f>IFERROR(VLOOKUP(DATA[[#This Row],[COMBINADA]],#REF!,9,0),0)/COUNTIFS(DATA[COMBINADA],DATA[[#This Row],[COMBINADA]])</f>
        <v>0</v>
      </c>
      <c r="AQ94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2657.95</v>
      </c>
      <c r="AR946" s="26" t="str">
        <f>IFERROR(IF(DATA[[#This Row],[estado_fact]]="FACTURADO",VLOOKUP(DATA[[#This Row],[SERIE2]]&amp;"-"&amp;DATA[[#This Row],[NUMERO]],#REF!,34,0),"NO CORRESPONDE"),"NO CORRESPONDE")</f>
        <v>NO CORRESPONDE</v>
      </c>
      <c r="AS946" s="22" t="str">
        <f>IF(DATA[[#This Row],[fecha_fs]]&gt;0,TEXT(DATA[[#This Row],[fecha_fs]],"Mmmm"),0)</f>
        <v>Julio</v>
      </c>
      <c r="AT946" s="22" t="str">
        <f>DATA[[#This Row],[SERIE2]]&amp;"-"&amp;DATA[[#This Row],[NUMERO]]</f>
        <v>FF01-188</v>
      </c>
      <c r="AU946" s="28">
        <f>DATA[[#This Row],[TOTAL]]*DATA[[#This Row],[T.C.]]</f>
        <v>2657.95</v>
      </c>
      <c r="AV946" s="6">
        <f>DATA[[#This Row],[FECHA DE VAL.]]</f>
        <v>45859</v>
      </c>
      <c r="AW946" s="6">
        <f>DATA[[#This Row],[FECHA DE EMISION]]</f>
        <v>45869</v>
      </c>
      <c r="AX946" s="6">
        <f>DATA[[#This Row],[F1]]</f>
        <v>0</v>
      </c>
      <c r="AY946" s="20">
        <f>IF(AV946-DATA[[#This Row],[fecha_fs]]&lt;0,0,AV946-DATA[[#This Row],[fecha_fs]])</f>
        <v>3</v>
      </c>
      <c r="AZ946" s="20">
        <f t="shared" si="109"/>
        <v>10</v>
      </c>
      <c r="BA946" s="53">
        <f t="shared" si="98"/>
        <v>0</v>
      </c>
      <c r="BB946" s="195">
        <f>IFERROR(SUM(DATA[[#This Row],[fs_val_ttf]:[fact_pago_ttf]]),0)</f>
        <v>13</v>
      </c>
      <c r="BC946" s="185">
        <v>45874</v>
      </c>
      <c r="BD946" s="185">
        <v>45880</v>
      </c>
      <c r="BE946" s="185">
        <v>45880</v>
      </c>
      <c r="BF946" s="185">
        <v>45882</v>
      </c>
      <c r="BG946" s="20">
        <f>IFERROR(IF(BC946-DATA[[#This Row],[fecha_fs]]&lt;0,0,BC946-DATA[[#This Row],[fecha_fs]]),0)</f>
        <v>18</v>
      </c>
      <c r="BH946" s="20">
        <f t="shared" si="110"/>
        <v>6</v>
      </c>
      <c r="BI946" s="20">
        <f t="shared" si="100"/>
        <v>0</v>
      </c>
      <c r="BJ946" s="20">
        <f t="shared" si="101"/>
        <v>2</v>
      </c>
      <c r="BK946" s="279">
        <f>IFERROR(SUM(DATA[[#This Row],[fs_fd_ttd]:[fend_fenf_ttd]]),0)</f>
        <v>26</v>
      </c>
      <c r="BL946" s="20" t="str">
        <f>IF(DATA[[#This Row],[fecha_fs]]&gt;0,TEXT(DATA[[#This Row],[fecha_fs]],"YYYY"),0)</f>
        <v>2025</v>
      </c>
      <c r="BM946" s="221" t="b">
        <v>1</v>
      </c>
      <c r="BN946" s="278">
        <f>COUNTIF(DATA[[#This Row],[tiempo_td]], "&lt;=15")</f>
        <v>0</v>
      </c>
      <c r="BO946" s="222"/>
    </row>
    <row r="947" spans="1:67" ht="30.6" customHeight="1" x14ac:dyDescent="0.25">
      <c r="A947" s="4">
        <v>20100211115</v>
      </c>
      <c r="B947" s="5" t="s">
        <v>41</v>
      </c>
      <c r="C947" s="52" t="s">
        <v>18</v>
      </c>
      <c r="D947" s="4" t="s">
        <v>120</v>
      </c>
      <c r="E947" s="5" t="s">
        <v>3</v>
      </c>
      <c r="F947" s="24">
        <v>45856</v>
      </c>
      <c r="G947" s="7" t="s">
        <v>113</v>
      </c>
      <c r="H947" s="25">
        <f t="shared" si="108"/>
        <v>1</v>
      </c>
      <c r="I947" s="67">
        <v>4771</v>
      </c>
      <c r="J947" s="8" t="s">
        <v>115</v>
      </c>
      <c r="K947" s="9" t="s">
        <v>121</v>
      </c>
      <c r="L947" s="10" t="s">
        <v>117</v>
      </c>
      <c r="M947" s="11">
        <v>90</v>
      </c>
      <c r="N947" s="12" t="s">
        <v>132</v>
      </c>
      <c r="O947" s="6">
        <v>45863</v>
      </c>
      <c r="P947" s="205">
        <v>3575</v>
      </c>
      <c r="Q947" s="14" t="s">
        <v>85</v>
      </c>
      <c r="R947" s="206"/>
      <c r="S947" s="206">
        <f>(DATA[[#This Row],[cantidad_fs]]*4.17)</f>
        <v>375.3</v>
      </c>
      <c r="T947" s="15">
        <f>DATA[[#This Row],[C. DF]]+DATA[[#This Row],[C.OPE.]]</f>
        <v>375.3</v>
      </c>
      <c r="U947" s="15">
        <f>DATA[[#This Row],[SUB TOTAL]]*0.18</f>
        <v>67.554000000000002</v>
      </c>
      <c r="V947" s="15">
        <f>IFERROR(ROUND(DATA[[#This Row],[SUB TOTAL]]+DATA[[#This Row],[IGV]],2),0)</f>
        <v>442.85</v>
      </c>
      <c r="W947" s="16" t="str">
        <f>IF(DATA[[#This Row],[VALORIZACIÓN ]]="-","NO CORRESPONDE",IF(OR(A947=20558226979,A947=10470707866,A947=20111157058,A947=20100226902),"NO CORRESPONDE",IF(J947="Emitida",IF(P947&gt;0,"EMITIDA","PENDIENTE"),"NO CORRESPONDE")))</f>
        <v>EMITIDA</v>
      </c>
      <c r="X947" s="29"/>
      <c r="Y947" s="17" t="s">
        <v>118</v>
      </c>
      <c r="Z947" s="30">
        <v>45869</v>
      </c>
      <c r="AA947" s="10" t="s">
        <v>150</v>
      </c>
      <c r="AB947" s="19">
        <v>191</v>
      </c>
      <c r="AC947" s="20">
        <v>30</v>
      </c>
      <c r="AD947" s="18">
        <f>DATA[[#This Row],[FECHA DE EMISION]]+DATA[[#This Row],[CONDICION DE PAGO]]</f>
        <v>45899</v>
      </c>
      <c r="AE947" s="23">
        <f>IF(DATA[[#This Row],[MONEDA]]="USD",VLOOKUP(DATA[[#This Row],[COMBINADA]],#REF!,11,0),1)</f>
        <v>1</v>
      </c>
      <c r="AF947" s="129" t="str">
        <f>IF(DATA[[#This Row],[SERIE2]]="-","NO CORRESPONDE",IF(W947="NO CORRESPONDE","NO CORRESPONDE",IF(Z947&gt;0,"FACTURADO","PENDIENTE")))</f>
        <v>FACTURADO</v>
      </c>
      <c r="AG947" s="208">
        <f>IFERROR(VLOOKUP(DATA[[#This Row],[COMBINADA]],#REF!,6,0),0)</f>
        <v>0</v>
      </c>
      <c r="AH947" s="209">
        <f>IFERROR(VLOOKUP(DATA[[#This Row],[COMBINADA]],#REF!,9,0),0)/COUNTIFS(DATA[COMBINADA],DATA[[#This Row],[COMBINADA]])</f>
        <v>0</v>
      </c>
      <c r="AI947" s="136">
        <f>IFERROR(VLOOKUP(DATA[[#This Row],[COMBINADA]],#REF!,6,0),0)</f>
        <v>0</v>
      </c>
      <c r="AJ947" s="132">
        <f>IFERROR(VLOOKUP(DATA[[#This Row],[COMBINADA]],#REF!,9,0),0)/COUNTIFS(DATA[COMBINADA],DATA[[#This Row],[COMBINADA]])</f>
        <v>0</v>
      </c>
      <c r="AK947" s="408">
        <f>IFERROR(VLOOKUP(DATA[[#This Row],[COMBINADA]],#REF!,6,0),0)</f>
        <v>0</v>
      </c>
      <c r="AL947" s="125">
        <f>IFERROR(VLOOKUP(DATA[[#This Row],[COMBINADA]],#REF!,9,0),0)/COUNTIFS(DATA[COMBINADA],DATA[[#This Row],[COMBINADA]])</f>
        <v>0</v>
      </c>
      <c r="AM947" s="159">
        <f>IFERROR(VLOOKUP(DATA[[#This Row],[COMBINADA]],#REF!,6,0),0)</f>
        <v>0</v>
      </c>
      <c r="AN947" s="155">
        <f>IFERROR(VLOOKUP(DATA[[#This Row],[COMBINADA]],#REF!,9,0),0)/COUNTIFS(DATA[COMBINADA],DATA[[#This Row],[COMBINADA]])</f>
        <v>0</v>
      </c>
      <c r="AO947" s="156">
        <f>IFERROR(VLOOKUP(DATA[[#This Row],[COMBINADA]],#REF!,6,0),0)</f>
        <v>0</v>
      </c>
      <c r="AP947" s="132">
        <f>IFERROR(VLOOKUP(DATA[[#This Row],[COMBINADA]],#REF!,9,0),0)/COUNTIFS(DATA[COMBINADA],DATA[[#This Row],[COMBINADA]])</f>
        <v>0</v>
      </c>
      <c r="AQ94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947" s="26" t="str">
        <f>IFERROR(IF(DATA[[#This Row],[estado_fact]]="FACTURADO",VLOOKUP(DATA[[#This Row],[SERIE2]]&amp;"-"&amp;DATA[[#This Row],[NUMERO]],#REF!,34,0),"NO CORRESPONDE"),"NO CORRESPONDE")</f>
        <v>NO CORRESPONDE</v>
      </c>
      <c r="AS947" s="22" t="str">
        <f>IF(DATA[[#This Row],[fecha_fs]]&gt;0,TEXT(DATA[[#This Row],[fecha_fs]],"Mmmm"),0)</f>
        <v>Julio</v>
      </c>
      <c r="AT947" s="22" t="str">
        <f>DATA[[#This Row],[SERIE2]]&amp;"-"&amp;DATA[[#This Row],[NUMERO]]</f>
        <v>FF01-191</v>
      </c>
      <c r="AU947" s="28">
        <f>DATA[[#This Row],[TOTAL]]*DATA[[#This Row],[T.C.]]</f>
        <v>442.85</v>
      </c>
      <c r="AV947" s="6">
        <f>DATA[[#This Row],[FECHA DE VAL.]]</f>
        <v>45863</v>
      </c>
      <c r="AW947" s="6">
        <f>DATA[[#This Row],[FECHA DE EMISION]]</f>
        <v>45869</v>
      </c>
      <c r="AX947" s="6">
        <f>DATA[[#This Row],[F1]]</f>
        <v>0</v>
      </c>
      <c r="AY947" s="20">
        <f>IF(AV947-DATA[[#This Row],[fecha_fs]]&lt;0,0,AV947-DATA[[#This Row],[fecha_fs]])</f>
        <v>7</v>
      </c>
      <c r="AZ947" s="20">
        <f t="shared" si="109"/>
        <v>6</v>
      </c>
      <c r="BA947" s="53">
        <f t="shared" si="98"/>
        <v>0</v>
      </c>
      <c r="BB947" s="195">
        <f>IFERROR(SUM(DATA[[#This Row],[fs_val_ttf]:[fact_pago_ttf]]),0)</f>
        <v>13</v>
      </c>
      <c r="BC947" s="185">
        <v>45870</v>
      </c>
      <c r="BD947" s="185">
        <v>45876</v>
      </c>
      <c r="BE947" s="185">
        <v>45882</v>
      </c>
      <c r="BF947" s="185">
        <v>45887</v>
      </c>
      <c r="BG947" s="20">
        <f>IFERROR(IF(BC947-DATA[[#This Row],[fecha_fs]]&lt;0,0,BC947-DATA[[#This Row],[fecha_fs]]),0)</f>
        <v>14</v>
      </c>
      <c r="BH947" s="20">
        <f t="shared" si="110"/>
        <v>6</v>
      </c>
      <c r="BI947" s="20">
        <f t="shared" si="100"/>
        <v>6</v>
      </c>
      <c r="BJ947" s="20">
        <f t="shared" si="101"/>
        <v>5</v>
      </c>
      <c r="BK947" s="218">
        <f>IFERROR(SUM(DATA[[#This Row],[fs_fd_ttd]:[fend_fenf_ttd]]),0)</f>
        <v>31</v>
      </c>
      <c r="BL947" s="20" t="str">
        <f>IF(DATA[[#This Row],[fecha_fs]]&gt;0,TEXT(DATA[[#This Row],[fecha_fs]],"YYYY"),0)</f>
        <v>2025</v>
      </c>
      <c r="BM947" s="221" t="b">
        <v>1</v>
      </c>
      <c r="BN947" s="278">
        <f>COUNTIF(DATA[[#This Row],[tiempo_td]], "&lt;=15")</f>
        <v>0</v>
      </c>
      <c r="BO947" s="222"/>
    </row>
    <row r="948" spans="1:67" ht="30.6" customHeight="1" x14ac:dyDescent="0.25">
      <c r="A948" s="4">
        <v>20100211115</v>
      </c>
      <c r="B948" s="5" t="s">
        <v>41</v>
      </c>
      <c r="C948" s="52" t="s">
        <v>18</v>
      </c>
      <c r="D948" s="4" t="s">
        <v>112</v>
      </c>
      <c r="E948" s="5" t="s">
        <v>1</v>
      </c>
      <c r="F948" s="24">
        <v>45856</v>
      </c>
      <c r="G948" s="7" t="s">
        <v>113</v>
      </c>
      <c r="H948" s="25">
        <f t="shared" si="108"/>
        <v>1</v>
      </c>
      <c r="I948" s="67">
        <v>4772</v>
      </c>
      <c r="J948" s="8" t="s">
        <v>115</v>
      </c>
      <c r="K948" s="9" t="s">
        <v>116</v>
      </c>
      <c r="L948" s="10" t="s">
        <v>117</v>
      </c>
      <c r="M948" s="11">
        <v>38</v>
      </c>
      <c r="N948" s="12" t="s">
        <v>132</v>
      </c>
      <c r="O948" s="6">
        <v>45863</v>
      </c>
      <c r="P948" s="205">
        <v>3577</v>
      </c>
      <c r="Q948" s="14" t="s">
        <v>85</v>
      </c>
      <c r="R948" s="206"/>
      <c r="S948" s="206">
        <f>(DATA[[#This Row],[cantidad_fs]]*4.57)</f>
        <v>173.66000000000003</v>
      </c>
      <c r="T948" s="15">
        <f>DATA[[#This Row],[C. DF]]+DATA[[#This Row],[C.OPE.]]</f>
        <v>173.66000000000003</v>
      </c>
      <c r="U948" s="15">
        <f>DATA[[#This Row],[SUB TOTAL]]*0.18</f>
        <v>31.258800000000004</v>
      </c>
      <c r="V948" s="15">
        <f>IFERROR(ROUND(DATA[[#This Row],[SUB TOTAL]]+DATA[[#This Row],[IGV]],2),0)</f>
        <v>204.92</v>
      </c>
      <c r="W948" s="16" t="str">
        <f>IF(DATA[[#This Row],[VALORIZACIÓN ]]="-","NO CORRESPONDE",IF(OR(A948=20558226979,A948=10470707866,A948=20111157058,A948=20100226902),"NO CORRESPONDE",IF(J948="Emitida",IF(P948&gt;0,"EMITIDA","PENDIENTE"),"NO CORRESPONDE")))</f>
        <v>EMITIDA</v>
      </c>
      <c r="X948" s="29"/>
      <c r="Y948" s="17" t="s">
        <v>118</v>
      </c>
      <c r="Z948" s="30">
        <v>45869</v>
      </c>
      <c r="AA948" s="10" t="s">
        <v>150</v>
      </c>
      <c r="AB948" s="19">
        <v>194</v>
      </c>
      <c r="AC948" s="20">
        <v>30</v>
      </c>
      <c r="AD948" s="18">
        <f>DATA[[#This Row],[FECHA DE EMISION]]+DATA[[#This Row],[CONDICION DE PAGO]]</f>
        <v>45899</v>
      </c>
      <c r="AE948" s="23">
        <f>IF(DATA[[#This Row],[MONEDA]]="USD",VLOOKUP(DATA[[#This Row],[COMBINADA]],#REF!,11,0),1)</f>
        <v>1</v>
      </c>
      <c r="AF948" s="129" t="str">
        <f>IF(DATA[[#This Row],[SERIE2]]="-","NO CORRESPONDE",IF(W948="NO CORRESPONDE","NO CORRESPONDE",IF(Z948&gt;0,"FACTURADO","PENDIENTE")))</f>
        <v>FACTURADO</v>
      </c>
      <c r="AG948" s="208">
        <f>IFERROR(VLOOKUP(DATA[[#This Row],[COMBINADA]],#REF!,6,0),0)</f>
        <v>0</v>
      </c>
      <c r="AH948" s="209">
        <f>IFERROR(VLOOKUP(DATA[[#This Row],[COMBINADA]],#REF!,9,0),0)/COUNTIFS(DATA[COMBINADA],DATA[[#This Row],[COMBINADA]])</f>
        <v>0</v>
      </c>
      <c r="AI948" s="136">
        <f>IFERROR(VLOOKUP(DATA[[#This Row],[COMBINADA]],#REF!,6,0),0)</f>
        <v>0</v>
      </c>
      <c r="AJ948" s="132">
        <f>IFERROR(VLOOKUP(DATA[[#This Row],[COMBINADA]],#REF!,9,0),0)/COUNTIFS(DATA[COMBINADA],DATA[[#This Row],[COMBINADA]])</f>
        <v>0</v>
      </c>
      <c r="AK948" s="408">
        <f>IFERROR(VLOOKUP(DATA[[#This Row],[COMBINADA]],#REF!,6,0),0)</f>
        <v>0</v>
      </c>
      <c r="AL948" s="125">
        <f>IFERROR(VLOOKUP(DATA[[#This Row],[COMBINADA]],#REF!,9,0),0)/COUNTIFS(DATA[COMBINADA],DATA[[#This Row],[COMBINADA]])</f>
        <v>0</v>
      </c>
      <c r="AM948" s="288">
        <f>IFERROR(VLOOKUP(DATA[[#This Row],[COMBINADA]],#REF!,6,0),0)</f>
        <v>0</v>
      </c>
      <c r="AN948" s="125">
        <f>IFERROR(VLOOKUP(DATA[[#This Row],[COMBINADA]],#REF!,9,0),0)/COUNTIFS(DATA[COMBINADA],DATA[[#This Row],[COMBINADA]])</f>
        <v>0</v>
      </c>
      <c r="AO948" s="133">
        <f>IFERROR(VLOOKUP(DATA[[#This Row],[COMBINADA]],#REF!,6,0),0)</f>
        <v>0</v>
      </c>
      <c r="AP948" s="139">
        <f>IFERROR(VLOOKUP(DATA[[#This Row],[COMBINADA]],#REF!,9,0),0)/COUNTIFS(DATA[COMBINADA],DATA[[#This Row],[COMBINADA]])</f>
        <v>0</v>
      </c>
      <c r="AQ94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98.146000000000001</v>
      </c>
      <c r="AR948" s="26" t="str">
        <f>IFERROR(IF(DATA[[#This Row],[estado_fact]]="FACTURADO",VLOOKUP(DATA[[#This Row],[SERIE2]]&amp;"-"&amp;DATA[[#This Row],[NUMERO]],#REF!,34,0),"NO CORRESPONDE"),"NO CORRESPONDE")</f>
        <v>NO CORRESPONDE</v>
      </c>
      <c r="AS948" s="22" t="str">
        <f>IF(DATA[[#This Row],[fecha_fs]]&gt;0,TEXT(DATA[[#This Row],[fecha_fs]],"Mmmm"),0)</f>
        <v>Julio</v>
      </c>
      <c r="AT948" s="22" t="str">
        <f>DATA[[#This Row],[SERIE2]]&amp;"-"&amp;DATA[[#This Row],[NUMERO]]</f>
        <v>FF01-194</v>
      </c>
      <c r="AU948" s="28">
        <f>DATA[[#This Row],[TOTAL]]*DATA[[#This Row],[T.C.]]</f>
        <v>204.92</v>
      </c>
      <c r="AV948" s="6">
        <f>DATA[[#This Row],[FECHA DE VAL.]]</f>
        <v>45863</v>
      </c>
      <c r="AW948" s="6">
        <f>DATA[[#This Row],[FECHA DE EMISION]]</f>
        <v>45869</v>
      </c>
      <c r="AX948" s="6">
        <f>DATA[[#This Row],[F1]]</f>
        <v>0</v>
      </c>
      <c r="AY948" s="20">
        <f>IF(AV948-DATA[[#This Row],[fecha_fs]]&lt;0,0,AV948-DATA[[#This Row],[fecha_fs]])</f>
        <v>7</v>
      </c>
      <c r="AZ948" s="20">
        <f t="shared" si="109"/>
        <v>6</v>
      </c>
      <c r="BA948" s="53">
        <f t="shared" si="98"/>
        <v>0</v>
      </c>
      <c r="BB948" s="195">
        <f>IFERROR(SUM(DATA[[#This Row],[fs_val_ttf]:[fact_pago_ttf]]),0)</f>
        <v>13</v>
      </c>
      <c r="BC948" s="185">
        <v>45874</v>
      </c>
      <c r="BD948" s="185">
        <v>45882</v>
      </c>
      <c r="BE948" s="185">
        <v>45882</v>
      </c>
      <c r="BF948" s="185">
        <v>45882</v>
      </c>
      <c r="BG948" s="20">
        <f>IFERROR(IF(BC948-DATA[[#This Row],[fecha_fs]]&lt;0,0,BC948-DATA[[#This Row],[fecha_fs]]),0)</f>
        <v>18</v>
      </c>
      <c r="BH948" s="20">
        <f t="shared" si="110"/>
        <v>8</v>
      </c>
      <c r="BI948" s="20">
        <f t="shared" si="100"/>
        <v>0</v>
      </c>
      <c r="BJ948" s="20">
        <f t="shared" si="101"/>
        <v>0</v>
      </c>
      <c r="BK948" s="218">
        <f>IFERROR(SUM(DATA[[#This Row],[fs_fd_ttd]:[fend_fenf_ttd]]),0)</f>
        <v>26</v>
      </c>
      <c r="BL948" s="20" t="str">
        <f>IF(DATA[[#This Row],[fecha_fs]]&gt;0,TEXT(DATA[[#This Row],[fecha_fs]],"YYYY"),0)</f>
        <v>2025</v>
      </c>
      <c r="BM948" s="221" t="b">
        <v>1</v>
      </c>
      <c r="BN948" s="278">
        <f>COUNTIF(DATA[[#This Row],[tiempo_td]], "&lt;=15")</f>
        <v>0</v>
      </c>
      <c r="BO948" s="222"/>
    </row>
    <row r="949" spans="1:67" ht="30.6" customHeight="1" x14ac:dyDescent="0.25">
      <c r="A949" s="4">
        <v>20141637941</v>
      </c>
      <c r="B949" s="5" t="s">
        <v>79</v>
      </c>
      <c r="C949" s="52" t="s">
        <v>18</v>
      </c>
      <c r="D949" s="4" t="s">
        <v>120</v>
      </c>
      <c r="E949" s="5" t="s">
        <v>3</v>
      </c>
      <c r="F949" s="24">
        <v>45856</v>
      </c>
      <c r="G949" s="7" t="s">
        <v>113</v>
      </c>
      <c r="H949" s="25">
        <f t="shared" si="108"/>
        <v>1</v>
      </c>
      <c r="I949" s="67">
        <v>4773</v>
      </c>
      <c r="J949" s="8" t="s">
        <v>115</v>
      </c>
      <c r="K949" s="9" t="s">
        <v>121</v>
      </c>
      <c r="L949" s="10" t="s">
        <v>117</v>
      </c>
      <c r="M949" s="11">
        <v>580</v>
      </c>
      <c r="N949" s="12" t="s">
        <v>125</v>
      </c>
      <c r="O949" s="6">
        <v>45856</v>
      </c>
      <c r="P949" s="110">
        <v>3553</v>
      </c>
      <c r="Q949" s="14" t="s">
        <v>85</v>
      </c>
      <c r="R949" s="206">
        <v>80</v>
      </c>
      <c r="S949" s="206">
        <v>832</v>
      </c>
      <c r="T949" s="15">
        <f>DATA[[#This Row],[C. DF]]+DATA[[#This Row],[C.OPE.]]</f>
        <v>912</v>
      </c>
      <c r="U949" s="15">
        <f>DATA[[#This Row],[SUB TOTAL]]*0.18</f>
        <v>164.16</v>
      </c>
      <c r="V949" s="15">
        <f>IFERROR(ROUND(DATA[[#This Row],[SUB TOTAL]]+DATA[[#This Row],[IGV]],2),0)</f>
        <v>1076.1600000000001</v>
      </c>
      <c r="W949" s="16" t="str">
        <f>IF(DATA[[#This Row],[VALORIZACIÓN ]]="-","NO CORRESPONDE",IF(OR(A949=20558226979,A949=10470707866,A949=20111157058,A949=20100226902),"NO CORRESPONDE",IF(J949="Emitida",IF(P949&gt;0,"EMITIDA","PENDIENTE"),"NO CORRESPONDE")))</f>
        <v>EMITIDA</v>
      </c>
      <c r="X949" s="29"/>
      <c r="Y949" s="17" t="s">
        <v>118</v>
      </c>
      <c r="Z949" s="30">
        <v>45859</v>
      </c>
      <c r="AA949" s="10" t="s">
        <v>150</v>
      </c>
      <c r="AB949" s="19">
        <v>181</v>
      </c>
      <c r="AC949" s="20">
        <v>30</v>
      </c>
      <c r="AD949" s="18">
        <f>DATA[[#This Row],[FECHA DE EMISION]]+DATA[[#This Row],[CONDICION DE PAGO]]</f>
        <v>45889</v>
      </c>
      <c r="AE949" s="23">
        <f>IF(DATA[[#This Row],[MONEDA]]="USD",VLOOKUP(DATA[[#This Row],[COMBINADA]],#REF!,11,0),1)</f>
        <v>1</v>
      </c>
      <c r="AF949" s="129" t="str">
        <f>IF(DATA[[#This Row],[SERIE2]]="-","NO CORRESPONDE",IF(W949="NO CORRESPONDE","NO CORRESPONDE",IF(Z949&gt;0,"FACTURADO","PENDIENTE")))</f>
        <v>FACTURADO</v>
      </c>
      <c r="AG949" s="208">
        <f>IFERROR(VLOOKUP(DATA[[#This Row],[COMBINADA]],#REF!,6,0),0)</f>
        <v>0</v>
      </c>
      <c r="AH949" s="209">
        <f>IFERROR(VLOOKUP(DATA[[#This Row],[COMBINADA]],#REF!,9,0),0)/COUNTIFS(DATA[COMBINADA],DATA[[#This Row],[COMBINADA]])</f>
        <v>0</v>
      </c>
      <c r="AI949" s="136">
        <f>IFERROR(VLOOKUP(DATA[[#This Row],[COMBINADA]],#REF!,6,0),0)</f>
        <v>0</v>
      </c>
      <c r="AJ949" s="132">
        <f>IFERROR(VLOOKUP(DATA[[#This Row],[COMBINADA]],#REF!,9,0),0)/COUNTIFS(DATA[COMBINADA],DATA[[#This Row],[COMBINADA]])</f>
        <v>0</v>
      </c>
      <c r="AK949" s="408">
        <f>IFERROR(VLOOKUP(DATA[[#This Row],[COMBINADA]],#REF!,6,0),0)</f>
        <v>0</v>
      </c>
      <c r="AL949" s="125">
        <f>IFERROR(VLOOKUP(DATA[[#This Row],[COMBINADA]],#REF!,9,0),0)/COUNTIFS(DATA[COMBINADA],DATA[[#This Row],[COMBINADA]])</f>
        <v>0</v>
      </c>
      <c r="AM949" s="288">
        <f>IFERROR(VLOOKUP(DATA[[#This Row],[COMBINADA]],#REF!,6,0),0)</f>
        <v>0</v>
      </c>
      <c r="AN949" s="125">
        <f>IFERROR(VLOOKUP(DATA[[#This Row],[COMBINADA]],#REF!,9,0),0)/COUNTIFS(DATA[COMBINADA],DATA[[#This Row],[COMBINADA]])</f>
        <v>0</v>
      </c>
      <c r="AO949" s="133">
        <f>IFERROR(VLOOKUP(DATA[[#This Row],[COMBINADA]],#REF!,6,0),0)</f>
        <v>0</v>
      </c>
      <c r="AP949" s="139">
        <f>IFERROR(VLOOKUP(DATA[[#This Row],[COMBINADA]],#REF!,9,0),0)/COUNTIFS(DATA[COMBINADA],DATA[[#This Row],[COMBINADA]])</f>
        <v>0</v>
      </c>
      <c r="AQ94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1076.1600000000001</v>
      </c>
      <c r="AR949" s="26" t="str">
        <f>IFERROR(IF(DATA[[#This Row],[estado_fact]]="FACTURADO",VLOOKUP(DATA[[#This Row],[SERIE2]]&amp;"-"&amp;DATA[[#This Row],[NUMERO]],#REF!,34,0),"NO CORRESPONDE"),"NO CORRESPONDE")</f>
        <v>NO CORRESPONDE</v>
      </c>
      <c r="AS949" s="22" t="str">
        <f>IF(DATA[[#This Row],[fecha_fs]]&gt;0,TEXT(DATA[[#This Row],[fecha_fs]],"Mmmm"),0)</f>
        <v>Julio</v>
      </c>
      <c r="AT949" s="22" t="str">
        <f>DATA[[#This Row],[SERIE2]]&amp;"-"&amp;DATA[[#This Row],[NUMERO]]</f>
        <v>FF01-181</v>
      </c>
      <c r="AU949" s="28">
        <f>DATA[[#This Row],[TOTAL]]*DATA[[#This Row],[T.C.]]</f>
        <v>1076.1600000000001</v>
      </c>
      <c r="AV949" s="6">
        <f>DATA[[#This Row],[FECHA DE VAL.]]</f>
        <v>45856</v>
      </c>
      <c r="AW949" s="6">
        <f>DATA[[#This Row],[FECHA DE EMISION]]</f>
        <v>45859</v>
      </c>
      <c r="AX949" s="6">
        <f>DATA[[#This Row],[F1]]</f>
        <v>0</v>
      </c>
      <c r="AY949" s="20">
        <f>IF(AV949-DATA[[#This Row],[fecha_fs]]&lt;0,0,AV949-DATA[[#This Row],[fecha_fs]])</f>
        <v>0</v>
      </c>
      <c r="AZ949" s="20">
        <f t="shared" si="109"/>
        <v>3</v>
      </c>
      <c r="BA949" s="53">
        <f t="shared" si="98"/>
        <v>0</v>
      </c>
      <c r="BB949" s="195">
        <f>IFERROR(SUM(DATA[[#This Row],[fs_val_ttf]:[fact_pago_ttf]]),0)</f>
        <v>3</v>
      </c>
      <c r="BC949" s="185">
        <v>45856</v>
      </c>
      <c r="BD949" s="185">
        <v>45862</v>
      </c>
      <c r="BE949" s="185">
        <v>45873</v>
      </c>
      <c r="BF949" s="185">
        <v>45882</v>
      </c>
      <c r="BG949" s="20">
        <f>IFERROR(IF(BC949-DATA[[#This Row],[fecha_fs]]&lt;0,0,BC949-DATA[[#This Row],[fecha_fs]]),0)</f>
        <v>0</v>
      </c>
      <c r="BH949" s="20">
        <f t="shared" si="110"/>
        <v>6</v>
      </c>
      <c r="BI949" s="20">
        <f t="shared" si="100"/>
        <v>11</v>
      </c>
      <c r="BJ949" s="20">
        <f t="shared" si="101"/>
        <v>9</v>
      </c>
      <c r="BK949" s="218">
        <f>IFERROR(SUM(DATA[[#This Row],[fs_fd_ttd]:[fend_fenf_ttd]]),0)</f>
        <v>26</v>
      </c>
      <c r="BL949" s="20" t="str">
        <f>IF(DATA[[#This Row],[fecha_fs]]&gt;0,TEXT(DATA[[#This Row],[fecha_fs]],"YYYY"),0)</f>
        <v>2025</v>
      </c>
      <c r="BM949" s="221" t="b">
        <v>1</v>
      </c>
      <c r="BN949" s="278">
        <f>COUNTIF(DATA[[#This Row],[tiempo_td]], "&lt;=15")</f>
        <v>0</v>
      </c>
      <c r="BO949" s="222"/>
    </row>
    <row r="950" spans="1:67" ht="30.6" customHeight="1" x14ac:dyDescent="0.25">
      <c r="A950" s="4">
        <v>20552714378</v>
      </c>
      <c r="B950" s="5" t="s">
        <v>288</v>
      </c>
      <c r="C950" s="52" t="s">
        <v>264</v>
      </c>
      <c r="D950" s="4" t="s">
        <v>120</v>
      </c>
      <c r="E950" s="5" t="s">
        <v>3</v>
      </c>
      <c r="F950" s="24">
        <v>45856</v>
      </c>
      <c r="G950" s="7" t="s">
        <v>113</v>
      </c>
      <c r="H950" s="25">
        <f t="shared" si="108"/>
        <v>1</v>
      </c>
      <c r="I950" s="67">
        <v>4774</v>
      </c>
      <c r="J950" s="8" t="s">
        <v>115</v>
      </c>
      <c r="K950" s="9" t="s">
        <v>121</v>
      </c>
      <c r="L950" s="10" t="s">
        <v>117</v>
      </c>
      <c r="M950" s="11">
        <v>130</v>
      </c>
      <c r="N950" s="12" t="s">
        <v>125</v>
      </c>
      <c r="O950" s="6">
        <v>45863</v>
      </c>
      <c r="P950" s="210">
        <v>3580</v>
      </c>
      <c r="Q950" s="14" t="s">
        <v>85</v>
      </c>
      <c r="R950" s="15">
        <f>80/5</f>
        <v>16</v>
      </c>
      <c r="S950" s="206">
        <v>2112.33</v>
      </c>
      <c r="T950" s="15">
        <f>DATA[[#This Row],[C. DF]]+DATA[[#This Row],[C.OPE.]]</f>
        <v>2128.33</v>
      </c>
      <c r="U950" s="15">
        <f>DATA[[#This Row],[SUB TOTAL]]*0.18</f>
        <v>383.09939999999995</v>
      </c>
      <c r="V950" s="15">
        <f>IFERROR(ROUND(DATA[[#This Row],[SUB TOTAL]]+DATA[[#This Row],[IGV]],2),0)</f>
        <v>2511.4299999999998</v>
      </c>
      <c r="W950" s="16" t="str">
        <f>IF(DATA[[#This Row],[VALORIZACIÓN ]]="-","NO CORRESPONDE",IF(OR(A950=20558226979,A950=10470707866,A950=20111157058,A950=20100226902),"NO CORRESPONDE",IF(J950="Emitida",IF(P950&gt;0,"EMITIDA","PENDIENTE"),"NO CORRESPONDE")))</f>
        <v>EMITIDA</v>
      </c>
      <c r="X950" s="29"/>
      <c r="Y950" s="17" t="s">
        <v>118</v>
      </c>
      <c r="Z950" s="30">
        <v>45905</v>
      </c>
      <c r="AA950" s="10" t="s">
        <v>150</v>
      </c>
      <c r="AB950" s="19">
        <v>242</v>
      </c>
      <c r="AC950" s="20">
        <v>60</v>
      </c>
      <c r="AD950" s="18">
        <f>DATA[[#This Row],[FECHA DE EMISION]]+DATA[[#This Row],[CONDICION DE PAGO]]</f>
        <v>45965</v>
      </c>
      <c r="AE950" s="23">
        <f>IF(DATA[[#This Row],[MONEDA]]="USD",VLOOKUP(DATA[[#This Row],[COMBINADA]],#REF!,11,0),1)</f>
        <v>1</v>
      </c>
      <c r="AF950" s="129" t="str">
        <f>IF(DATA[[#This Row],[SERIE2]]="-","NO CORRESPONDE",IF(W950="NO CORRESPONDE","NO CORRESPONDE",IF(Z950&gt;0,"FACTURADO","PENDIENTE")))</f>
        <v>FACTURADO</v>
      </c>
      <c r="AG950" s="208">
        <f>IFERROR(VLOOKUP(DATA[[#This Row],[COMBINADA]],#REF!,6,0),0)</f>
        <v>0</v>
      </c>
      <c r="AH950" s="209">
        <f>IFERROR(VLOOKUP(DATA[[#This Row],[COMBINADA]],#REF!,9,0),0)/COUNTIFS(DATA[COMBINADA],DATA[[#This Row],[COMBINADA]])</f>
        <v>0</v>
      </c>
      <c r="AI950" s="136">
        <f>IFERROR(VLOOKUP(DATA[[#This Row],[COMBINADA]],#REF!,6,0),0)</f>
        <v>0</v>
      </c>
      <c r="AJ950" s="132">
        <f>IFERROR(VLOOKUP(DATA[[#This Row],[COMBINADA]],#REF!,9,0),0)/COUNTIFS(DATA[COMBINADA],DATA[[#This Row],[COMBINADA]])</f>
        <v>0</v>
      </c>
      <c r="AK950" s="408">
        <f>IFERROR(VLOOKUP(DATA[[#This Row],[COMBINADA]],#REF!,6,0),0)</f>
        <v>0</v>
      </c>
      <c r="AL950" s="125">
        <f>IFERROR(VLOOKUP(DATA[[#This Row],[COMBINADA]],#REF!,9,0),0)/COUNTIFS(DATA[COMBINADA],DATA[[#This Row],[COMBINADA]])</f>
        <v>0</v>
      </c>
      <c r="AM950" s="288">
        <f>IFERROR(VLOOKUP(DATA[[#This Row],[COMBINADA]],#REF!,6,0),0)</f>
        <v>0</v>
      </c>
      <c r="AN950" s="125">
        <f>IFERROR(VLOOKUP(DATA[[#This Row],[COMBINADA]],#REF!,9,0),0)/COUNTIFS(DATA[COMBINADA],DATA[[#This Row],[COMBINADA]])</f>
        <v>0</v>
      </c>
      <c r="AO950" s="133">
        <f>IFERROR(VLOOKUP(DATA[[#This Row],[COMBINADA]],#REF!,6,0),0)</f>
        <v>0</v>
      </c>
      <c r="AP950" s="139">
        <f>IFERROR(VLOOKUP(DATA[[#This Row],[COMBINADA]],#REF!,9,0),0)/COUNTIFS(DATA[COMBINADA],DATA[[#This Row],[COMBINADA]])</f>
        <v>0</v>
      </c>
      <c r="AQ95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2511.4299999999998</v>
      </c>
      <c r="AR950" s="26" t="str">
        <f>IFERROR(IF(DATA[[#This Row],[estado_fact]]="FACTURADO",VLOOKUP(DATA[[#This Row],[SERIE2]]&amp;"-"&amp;DATA[[#This Row],[NUMERO]],#REF!,34,0),"NO CORRESPONDE"),"NO CORRESPONDE")</f>
        <v>NO CORRESPONDE</v>
      </c>
      <c r="AS950" s="22" t="str">
        <f>IF(DATA[[#This Row],[fecha_fs]]&gt;0,TEXT(DATA[[#This Row],[fecha_fs]],"Mmmm"),0)</f>
        <v>Julio</v>
      </c>
      <c r="AT950" s="22" t="str">
        <f>DATA[[#This Row],[SERIE2]]&amp;"-"&amp;DATA[[#This Row],[NUMERO]]</f>
        <v>FF01-242</v>
      </c>
      <c r="AU950" s="28">
        <f>DATA[[#This Row],[TOTAL]]*DATA[[#This Row],[T.C.]]</f>
        <v>2511.4299999999998</v>
      </c>
      <c r="AV950" s="6">
        <f>DATA[[#This Row],[FECHA DE VAL.]]</f>
        <v>45863</v>
      </c>
      <c r="AW950" s="6">
        <f>DATA[[#This Row],[FECHA DE EMISION]]</f>
        <v>45905</v>
      </c>
      <c r="AX950" s="6">
        <f>DATA[[#This Row],[F1]]</f>
        <v>0</v>
      </c>
      <c r="AY950" s="20">
        <f>IF(AV950-DATA[[#This Row],[fecha_fs]]&lt;0,0,AV950-DATA[[#This Row],[fecha_fs]])</f>
        <v>7</v>
      </c>
      <c r="AZ950" s="20">
        <f t="shared" si="109"/>
        <v>42</v>
      </c>
      <c r="BA950" s="53">
        <f t="shared" si="98"/>
        <v>0</v>
      </c>
      <c r="BB950" s="195">
        <f>IFERROR(SUM(DATA[[#This Row],[fs_val_ttf]:[fact_pago_ttf]]),0)</f>
        <v>49</v>
      </c>
      <c r="BC950" s="185">
        <v>45856</v>
      </c>
      <c r="BD950" s="185">
        <v>45862</v>
      </c>
      <c r="BE950" s="185">
        <v>45863</v>
      </c>
      <c r="BF950" s="185">
        <v>45883</v>
      </c>
      <c r="BG950" s="20">
        <f>IFERROR(IF(BC950-DATA[[#This Row],[fecha_fs]]&lt;0,0,BC950-DATA[[#This Row],[fecha_fs]]),0)</f>
        <v>0</v>
      </c>
      <c r="BH950" s="20">
        <f t="shared" si="110"/>
        <v>6</v>
      </c>
      <c r="BI950" s="20">
        <f t="shared" si="100"/>
        <v>1</v>
      </c>
      <c r="BJ950" s="20">
        <f t="shared" si="101"/>
        <v>20</v>
      </c>
      <c r="BK950" s="218">
        <f>IFERROR(SUM(DATA[[#This Row],[fs_fd_ttd]:[fend_fenf_ttd]]),0)</f>
        <v>27</v>
      </c>
      <c r="BL950" s="20" t="str">
        <f>IF(DATA[[#This Row],[fecha_fs]]&gt;0,TEXT(DATA[[#This Row],[fecha_fs]],"YYYY"),0)</f>
        <v>2025</v>
      </c>
      <c r="BM950" s="221" t="b">
        <v>1</v>
      </c>
      <c r="BN950" s="278">
        <f>COUNTIF(DATA[[#This Row],[tiempo_td]], "&lt;=15")</f>
        <v>0</v>
      </c>
      <c r="BO950" s="222"/>
    </row>
    <row r="951" spans="1:67" ht="30.6" customHeight="1" x14ac:dyDescent="0.25">
      <c r="A951" s="4">
        <v>20100226902</v>
      </c>
      <c r="B951" s="5" t="s">
        <v>24</v>
      </c>
      <c r="C951" s="52" t="s">
        <v>18</v>
      </c>
      <c r="D951" s="4" t="s">
        <v>120</v>
      </c>
      <c r="E951" s="5" t="s">
        <v>3</v>
      </c>
      <c r="F951" s="24">
        <v>45856</v>
      </c>
      <c r="G951" s="7" t="s">
        <v>113</v>
      </c>
      <c r="H951" s="25">
        <f t="shared" si="108"/>
        <v>1</v>
      </c>
      <c r="I951" s="67">
        <v>4775</v>
      </c>
      <c r="J951" s="8" t="s">
        <v>115</v>
      </c>
      <c r="K951" s="9" t="s">
        <v>121</v>
      </c>
      <c r="L951" s="10" t="s">
        <v>117</v>
      </c>
      <c r="M951" s="11">
        <v>730</v>
      </c>
      <c r="N951" s="12" t="s">
        <v>193</v>
      </c>
      <c r="O951" s="40"/>
      <c r="P951" s="41" t="s">
        <v>114</v>
      </c>
      <c r="Q951" s="42"/>
      <c r="R951" s="43"/>
      <c r="S951" s="43"/>
      <c r="T951" s="43">
        <f>DATA[[#This Row],[C. DF]]+DATA[[#This Row],[C.OPE.]]</f>
        <v>0</v>
      </c>
      <c r="U951" s="43">
        <f>DATA[[#This Row],[SUB TOTAL]]*0.18</f>
        <v>0</v>
      </c>
      <c r="V951" s="43">
        <f>IFERROR(ROUND(DATA[[#This Row],[SUB TOTAL]]+DATA[[#This Row],[IGV]],2),0)</f>
        <v>0</v>
      </c>
      <c r="W951" s="16" t="str">
        <f>IF(DATA[[#This Row],[VALORIZACIÓN ]]="-","NO CORRESPONDE",IF(OR(A951=20558226979,A951=10470707866,A951=20111157058,A951=20100226902),"NO CORRESPONDE",IF(J951="Emitida",IF(P951&gt;0,"EMITIDA","PENDIENTE"),"NO CORRESPONDE")))</f>
        <v>NO CORRESPONDE</v>
      </c>
      <c r="X951" s="45"/>
      <c r="Y951" s="17" t="s">
        <v>128</v>
      </c>
      <c r="Z951" s="46"/>
      <c r="AA951" s="47"/>
      <c r="AB951" s="48"/>
      <c r="AC951" s="49"/>
      <c r="AD951" s="50">
        <f>DATA[[#This Row],[FECHA DE EMISION]]+DATA[[#This Row],[CONDICION DE PAGO]]</f>
        <v>0</v>
      </c>
      <c r="AE951" s="23">
        <f>IF(DATA[[#This Row],[MONEDA]]="USD",VLOOKUP(DATA[[#This Row],[COMBINADA]],#REF!,11,0),1)</f>
        <v>1</v>
      </c>
      <c r="AF951" s="129" t="str">
        <f>IF(DATA[[#This Row],[SERIE2]]="-","NO CORRESPONDE",IF(W951="NO CORRESPONDE","NO CORRESPONDE",IF(Z951&gt;0,"FACTURADO","PENDIENTE")))</f>
        <v>NO CORRESPONDE</v>
      </c>
      <c r="AG951" s="140">
        <f>IFERROR(VLOOKUP(DATA[[#This Row],[COMBINADA]],#REF!,6,0),0)</f>
        <v>0</v>
      </c>
      <c r="AH951" s="126">
        <f>IFERROR(VLOOKUP(DATA[[#This Row],[COMBINADA]],#REF!,9,0),0)/COUNTIFS(DATA[COMBINADA],DATA[[#This Row],[COMBINADA]])</f>
        <v>0</v>
      </c>
      <c r="AI951" s="140">
        <f>IFERROR(VLOOKUP(DATA[[#This Row],[COMBINADA]],#REF!,6,0),0)</f>
        <v>0</v>
      </c>
      <c r="AJ951" s="126">
        <f>IFERROR(VLOOKUP(DATA[[#This Row],[COMBINADA]],#REF!,9,0),0)/COUNTIFS(DATA[COMBINADA],DATA[[#This Row],[COMBINADA]])</f>
        <v>0</v>
      </c>
      <c r="AK951" s="61">
        <f>IFERROR(VLOOKUP(DATA[[#This Row],[COMBINADA]],#REF!,6,0),0)</f>
        <v>0</v>
      </c>
      <c r="AL951" s="126">
        <f>IFERROR(VLOOKUP(DATA[[#This Row],[COMBINADA]],#REF!,9,0),0)/COUNTIFS(DATA[COMBINADA],DATA[[#This Row],[COMBINADA]])</f>
        <v>0</v>
      </c>
      <c r="AM951" s="287">
        <f>IFERROR(VLOOKUP(DATA[[#This Row],[COMBINADA]],#REF!,6,0),0)</f>
        <v>0</v>
      </c>
      <c r="AN951" s="126">
        <f>IFERROR(VLOOKUP(DATA[[#This Row],[COMBINADA]],#REF!,9,0),0)/COUNTIFS(DATA[COMBINADA],DATA[[#This Row],[COMBINADA]])</f>
        <v>0</v>
      </c>
      <c r="AO951" s="60">
        <f>IFERROR(VLOOKUP(DATA[[#This Row],[COMBINADA]],#REF!,6,0),0)</f>
        <v>0</v>
      </c>
      <c r="AP951" s="126">
        <f>IFERROR(VLOOKUP(DATA[[#This Row],[COMBINADA]],#REF!,9,0),0)/COUNTIFS(DATA[COMBINADA],DATA[[#This Row],[COMBINADA]])</f>
        <v>0</v>
      </c>
      <c r="AQ951"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951" s="22" t="str">
        <f>IFERROR(IF(DATA[[#This Row],[estado_fact]]="FACTURADO",VLOOKUP(DATA[[#This Row],[SERIE2]]&amp;"-"&amp;DATA[[#This Row],[NUMERO]],#REF!,34,0),"NO CORRESPONDE"),"NO CORRESPONDE")</f>
        <v>NO CORRESPONDE</v>
      </c>
      <c r="AS951" s="22" t="str">
        <f>IF(DATA[[#This Row],[fecha_fs]]&gt;0,TEXT(DATA[[#This Row],[fecha_fs]],"Mmmm"),0)</f>
        <v>Julio</v>
      </c>
      <c r="AT951" s="22" t="str">
        <f>DATA[[#This Row],[SERIE2]]&amp;"-"&amp;DATA[[#This Row],[NUMERO]]</f>
        <v>-</v>
      </c>
      <c r="AU951" s="28">
        <f>DATA[[#This Row],[TOTAL]]*DATA[[#This Row],[T.C.]]</f>
        <v>0</v>
      </c>
      <c r="AV951" s="6">
        <f>DATA[[#This Row],[FECHA DE VAL.]]</f>
        <v>0</v>
      </c>
      <c r="AW951" s="6">
        <f>DATA[[#This Row],[FECHA DE EMISION]]</f>
        <v>0</v>
      </c>
      <c r="AX951" s="6">
        <f>DATA[[#This Row],[F1]]</f>
        <v>0</v>
      </c>
      <c r="AY951" s="20">
        <f>IF(AV951-DATA[[#This Row],[fecha_fs]]&lt;0,0,AV951-DATA[[#This Row],[fecha_fs]])</f>
        <v>0</v>
      </c>
      <c r="AZ951" s="20">
        <f t="shared" si="109"/>
        <v>0</v>
      </c>
      <c r="BA951" s="53">
        <f t="shared" si="98"/>
        <v>0</v>
      </c>
      <c r="BB951" s="195">
        <f>IFERROR(SUM(DATA[[#This Row],[fs_val_ttf]:[fact_pago_ttf]]),0)</f>
        <v>0</v>
      </c>
      <c r="BC951" s="185">
        <v>45856</v>
      </c>
      <c r="BD951" s="185">
        <v>45856</v>
      </c>
      <c r="BE951" s="185">
        <v>45880</v>
      </c>
      <c r="BF951" s="185">
        <v>45880</v>
      </c>
      <c r="BG951" s="20">
        <f>IFERROR(IF(BC951-DATA[[#This Row],[fecha_fs]]&lt;0,0,BC951-DATA[[#This Row],[fecha_fs]]),0)</f>
        <v>0</v>
      </c>
      <c r="BH951" s="20">
        <f t="shared" si="110"/>
        <v>0</v>
      </c>
      <c r="BI951" s="20">
        <f t="shared" si="100"/>
        <v>24</v>
      </c>
      <c r="BJ951" s="20">
        <f t="shared" si="101"/>
        <v>0</v>
      </c>
      <c r="BK951" s="218">
        <f>IFERROR(SUM(DATA[[#This Row],[fs_fd_ttd]:[fend_fenf_ttd]]),0)</f>
        <v>24</v>
      </c>
      <c r="BL951" s="20" t="str">
        <f>IF(DATA[[#This Row],[fecha_fs]]&gt;0,TEXT(DATA[[#This Row],[fecha_fs]],"YYYY"),0)</f>
        <v>2025</v>
      </c>
      <c r="BM951" s="236" t="b">
        <v>1</v>
      </c>
      <c r="BN951" s="278">
        <f>COUNTIF(DATA[[#This Row],[tiempo_td]], "&lt;=15")</f>
        <v>0</v>
      </c>
      <c r="BO951" s="222"/>
    </row>
    <row r="952" spans="1:67" ht="30.6" customHeight="1" x14ac:dyDescent="0.25">
      <c r="A952" s="4">
        <v>20505675836</v>
      </c>
      <c r="B952" s="5" t="s">
        <v>42</v>
      </c>
      <c r="C952" s="52" t="s">
        <v>20</v>
      </c>
      <c r="D952" s="4" t="s">
        <v>120</v>
      </c>
      <c r="E952" s="5" t="s">
        <v>3</v>
      </c>
      <c r="F952" s="24">
        <v>45856</v>
      </c>
      <c r="G952" s="7" t="s">
        <v>113</v>
      </c>
      <c r="H952" s="25">
        <f t="shared" si="108"/>
        <v>1</v>
      </c>
      <c r="I952" s="67">
        <v>4776</v>
      </c>
      <c r="J952" s="8" t="s">
        <v>115</v>
      </c>
      <c r="K952" s="9" t="s">
        <v>121</v>
      </c>
      <c r="L952" s="10" t="s">
        <v>117</v>
      </c>
      <c r="M952" s="11">
        <v>410</v>
      </c>
      <c r="N952" s="12" t="s">
        <v>266</v>
      </c>
      <c r="O952" s="6">
        <v>45863</v>
      </c>
      <c r="P952" s="71">
        <v>3573</v>
      </c>
      <c r="Q952" s="14" t="s">
        <v>85</v>
      </c>
      <c r="R952" s="15">
        <f>(DATA[[#This Row],[cantidad_fs]]-150)*0.67</f>
        <v>174.20000000000002</v>
      </c>
      <c r="S952" s="15">
        <v>1387.83</v>
      </c>
      <c r="T952" s="15">
        <f>DATA[[#This Row],[C. DF]]+DATA[[#This Row],[C.OPE.]]</f>
        <v>1562.03</v>
      </c>
      <c r="U952" s="15">
        <f>DATA[[#This Row],[SUB TOTAL]]*0.18</f>
        <v>281.16539999999998</v>
      </c>
      <c r="V952" s="15">
        <f>IFERROR(ROUND(DATA[[#This Row],[SUB TOTAL]]+DATA[[#This Row],[IGV]],2),0)</f>
        <v>1843.2</v>
      </c>
      <c r="W952" s="16" t="str">
        <f>IF(DATA[[#This Row],[VALORIZACIÓN ]]="-","NO CORRESPONDE",IF(OR(A952=20558226979,A952=10470707866,A952=20111157058,A952=20100226902),"NO CORRESPONDE",IF(J952="Emitida",IF(P952&gt;0,"EMITIDA","PENDIENTE"),"NO CORRESPONDE")))</f>
        <v>EMITIDA</v>
      </c>
      <c r="X952" s="29"/>
      <c r="Y952" s="17" t="s">
        <v>118</v>
      </c>
      <c r="Z952" s="30">
        <v>45876</v>
      </c>
      <c r="AA952" s="10" t="s">
        <v>150</v>
      </c>
      <c r="AB952" s="19">
        <v>198</v>
      </c>
      <c r="AC952" s="20">
        <v>30</v>
      </c>
      <c r="AD952" s="18">
        <f>DATA[[#This Row],[FECHA DE EMISION]]+DATA[[#This Row],[CONDICION DE PAGO]]</f>
        <v>45906</v>
      </c>
      <c r="AE952" s="23">
        <f>IF(DATA[[#This Row],[MONEDA]]="USD",VLOOKUP(DATA[[#This Row],[COMBINADA]],#REF!,11,0),1)</f>
        <v>1</v>
      </c>
      <c r="AF952" s="129" t="str">
        <f>IF(DATA[[#This Row],[SERIE2]]="-","NO CORRESPONDE",IF(W952="NO CORRESPONDE","NO CORRESPONDE",IF(Z952&gt;0,"FACTURADO","PENDIENTE")))</f>
        <v>FACTURADO</v>
      </c>
      <c r="AG952" s="208">
        <f>IFERROR(VLOOKUP(DATA[[#This Row],[COMBINADA]],#REF!,6,0),0)</f>
        <v>0</v>
      </c>
      <c r="AH952" s="209">
        <f>IFERROR(VLOOKUP(DATA[[#This Row],[COMBINADA]],#REF!,9,0),0)/COUNTIFS(DATA[COMBINADA],DATA[[#This Row],[COMBINADA]])</f>
        <v>0</v>
      </c>
      <c r="AI952" s="136">
        <f>IFERROR(VLOOKUP(DATA[[#This Row],[COMBINADA]],#REF!,6,0),0)</f>
        <v>0</v>
      </c>
      <c r="AJ952" s="132">
        <f>IFERROR(VLOOKUP(DATA[[#This Row],[COMBINADA]],#REF!,9,0),0)/COUNTIFS(DATA[COMBINADA],DATA[[#This Row],[COMBINADA]])</f>
        <v>0</v>
      </c>
      <c r="AK952" s="408">
        <f>IFERROR(VLOOKUP(DATA[[#This Row],[COMBINADA]],#REF!,6,0),0)</f>
        <v>0</v>
      </c>
      <c r="AL952" s="125">
        <f>IFERROR(VLOOKUP(DATA[[#This Row],[COMBINADA]],#REF!,9,0),0)/COUNTIFS(DATA[COMBINADA],DATA[[#This Row],[COMBINADA]])</f>
        <v>0</v>
      </c>
      <c r="AM952" s="288">
        <f>IFERROR(VLOOKUP(DATA[[#This Row],[COMBINADA]],#REF!,6,0),0)</f>
        <v>0</v>
      </c>
      <c r="AN952" s="125">
        <f>IFERROR(VLOOKUP(DATA[[#This Row],[COMBINADA]],#REF!,9,0),0)/COUNTIFS(DATA[COMBINADA],DATA[[#This Row],[COMBINADA]])</f>
        <v>0</v>
      </c>
      <c r="AO952" s="133">
        <f>IFERROR(VLOOKUP(DATA[[#This Row],[COMBINADA]],#REF!,6,0),0)</f>
        <v>0</v>
      </c>
      <c r="AP952" s="139">
        <f>IFERROR(VLOOKUP(DATA[[#This Row],[COMBINADA]],#REF!,9,0),0)/COUNTIFS(DATA[COMBINADA],DATA[[#This Row],[COMBINADA]])</f>
        <v>0</v>
      </c>
      <c r="AQ95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3628.49</v>
      </c>
      <c r="AR952" s="26" t="str">
        <f>IFERROR(IF(DATA[[#This Row],[estado_fact]]="FACTURADO",VLOOKUP(DATA[[#This Row],[SERIE2]]&amp;"-"&amp;DATA[[#This Row],[NUMERO]],#REF!,34,0),"NO CORRESPONDE"),"NO CORRESPONDE")</f>
        <v>NO CORRESPONDE</v>
      </c>
      <c r="AS952" s="22" t="str">
        <f>IF(DATA[[#This Row],[fecha_fs]]&gt;0,TEXT(DATA[[#This Row],[fecha_fs]],"Mmmm"),0)</f>
        <v>Julio</v>
      </c>
      <c r="AT952" s="22" t="str">
        <f>DATA[[#This Row],[SERIE2]]&amp;"-"&amp;DATA[[#This Row],[NUMERO]]</f>
        <v>FF01-198</v>
      </c>
      <c r="AU952" s="28">
        <f>DATA[[#This Row],[TOTAL]]*DATA[[#This Row],[T.C.]]</f>
        <v>1843.2</v>
      </c>
      <c r="AV952" s="6">
        <f>DATA[[#This Row],[FECHA DE VAL.]]</f>
        <v>45863</v>
      </c>
      <c r="AW952" s="6">
        <f>DATA[[#This Row],[FECHA DE EMISION]]</f>
        <v>45876</v>
      </c>
      <c r="AX952" s="6">
        <f>DATA[[#This Row],[F1]]</f>
        <v>0</v>
      </c>
      <c r="AY952" s="20">
        <f>IF(AV952-DATA[[#This Row],[fecha_fs]]&lt;0,0,AV952-DATA[[#This Row],[fecha_fs]])</f>
        <v>7</v>
      </c>
      <c r="AZ952" s="20">
        <f t="shared" si="109"/>
        <v>13</v>
      </c>
      <c r="BA952" s="53">
        <f t="shared" si="98"/>
        <v>0</v>
      </c>
      <c r="BB952" s="195">
        <f>IFERROR(SUM(DATA[[#This Row],[fs_val_ttf]:[fact_pago_ttf]]),0)</f>
        <v>20</v>
      </c>
      <c r="BC952" s="185">
        <v>45877</v>
      </c>
      <c r="BD952" s="185">
        <v>45888</v>
      </c>
      <c r="BE952" s="185">
        <v>45888</v>
      </c>
      <c r="BF952" s="185">
        <v>45895</v>
      </c>
      <c r="BG952" s="20">
        <f>IFERROR(IF(BC952-DATA[[#This Row],[fecha_fs]]&lt;0,0,BC952-DATA[[#This Row],[fecha_fs]]),0)</f>
        <v>21</v>
      </c>
      <c r="BH952" s="20">
        <f t="shared" si="110"/>
        <v>11</v>
      </c>
      <c r="BI952" s="20">
        <f t="shared" si="100"/>
        <v>0</v>
      </c>
      <c r="BJ952" s="20">
        <f t="shared" si="101"/>
        <v>7</v>
      </c>
      <c r="BK952" s="218">
        <f>IFERROR(SUM(DATA[[#This Row],[fs_fd_ttd]:[fend_fenf_ttd]]),0)</f>
        <v>39</v>
      </c>
      <c r="BL952" s="20" t="str">
        <f>IF(DATA[[#This Row],[fecha_fs]]&gt;0,TEXT(DATA[[#This Row],[fecha_fs]],"YYYY"),0)</f>
        <v>2025</v>
      </c>
      <c r="BM952" s="236" t="b">
        <v>1</v>
      </c>
      <c r="BN952" s="278">
        <f>COUNTIF(DATA[[#This Row],[tiempo_td]], "&lt;=15")</f>
        <v>0</v>
      </c>
      <c r="BO952" s="222"/>
    </row>
    <row r="953" spans="1:67" ht="30.6" customHeight="1" x14ac:dyDescent="0.25">
      <c r="A953" s="4">
        <v>20100055237</v>
      </c>
      <c r="B953" s="5" t="s">
        <v>21</v>
      </c>
      <c r="C953" s="52" t="s">
        <v>138</v>
      </c>
      <c r="D953" s="4" t="s">
        <v>139</v>
      </c>
      <c r="E953" s="5" t="s">
        <v>23</v>
      </c>
      <c r="F953" s="24">
        <v>45856</v>
      </c>
      <c r="G953" s="7" t="s">
        <v>113</v>
      </c>
      <c r="H953" s="25">
        <f t="shared" si="108"/>
        <v>1</v>
      </c>
      <c r="I953" s="67">
        <v>4777</v>
      </c>
      <c r="J953" s="8" t="s">
        <v>115</v>
      </c>
      <c r="K953" s="9" t="s">
        <v>121</v>
      </c>
      <c r="L953" s="10" t="s">
        <v>117</v>
      </c>
      <c r="M953" s="11">
        <v>80</v>
      </c>
      <c r="N953" s="12" t="s">
        <v>266</v>
      </c>
      <c r="O953" s="6">
        <v>45869</v>
      </c>
      <c r="P953" s="54">
        <v>3582</v>
      </c>
      <c r="Q953" s="14" t="s">
        <v>85</v>
      </c>
      <c r="R953" s="206"/>
      <c r="S953" s="206">
        <v>297.92</v>
      </c>
      <c r="T953" s="15">
        <f>DATA[[#This Row],[C. DF]]+DATA[[#This Row],[C.OPE.]]</f>
        <v>297.92</v>
      </c>
      <c r="U953" s="15">
        <f>DATA[[#This Row],[SUB TOTAL]]*0.18</f>
        <v>53.625599999999999</v>
      </c>
      <c r="V953" s="15">
        <f>IFERROR(ROUND(DATA[[#This Row],[SUB TOTAL]]+DATA[[#This Row],[IGV]],2),0)</f>
        <v>351.55</v>
      </c>
      <c r="W953" s="16" t="str">
        <f>IF(DATA[[#This Row],[VALORIZACIÓN ]]="-","NO CORRESPONDE",IF(OR(A953=20558226979,A953=10470707866,A953=20111157058,A953=20100226902),"NO CORRESPONDE",IF(J953="Emitida",IF(P953&gt;0,"EMITIDA","PENDIENTE"),"NO CORRESPONDE")))</f>
        <v>EMITIDA</v>
      </c>
      <c r="X953" s="29"/>
      <c r="Y953" s="17" t="s">
        <v>118</v>
      </c>
      <c r="Z953" s="30">
        <v>45883</v>
      </c>
      <c r="AA953" s="10" t="s">
        <v>150</v>
      </c>
      <c r="AB953" s="19">
        <v>205</v>
      </c>
      <c r="AC953" s="20">
        <v>30</v>
      </c>
      <c r="AD953" s="18">
        <f>DATA[[#This Row],[FECHA DE EMISION]]+DATA[[#This Row],[CONDICION DE PAGO]]</f>
        <v>45913</v>
      </c>
      <c r="AE953" s="23">
        <f>IF(DATA[[#This Row],[MONEDA]]="USD",VLOOKUP(DATA[[#This Row],[COMBINADA]],#REF!,11,0),1)</f>
        <v>1</v>
      </c>
      <c r="AF953" s="129" t="str">
        <f>IF(DATA[[#This Row],[SERIE2]]="-","NO CORRESPONDE",IF(W953="NO CORRESPONDE","NO CORRESPONDE",IF(Z953&gt;0,"FACTURADO","PENDIENTE")))</f>
        <v>FACTURADO</v>
      </c>
      <c r="AG953" s="208">
        <f>IFERROR(VLOOKUP(DATA[[#This Row],[COMBINADA]],#REF!,6,0),0)</f>
        <v>0</v>
      </c>
      <c r="AH953" s="209">
        <f>IFERROR(VLOOKUP(DATA[[#This Row],[COMBINADA]],#REF!,9,0),0)/COUNTIFS(DATA[COMBINADA],DATA[[#This Row],[COMBINADA]])</f>
        <v>0</v>
      </c>
      <c r="AI953" s="136">
        <f>IFERROR(VLOOKUP(DATA[[#This Row],[COMBINADA]],#REF!,6,0),0)</f>
        <v>0</v>
      </c>
      <c r="AJ953" s="132">
        <f>IFERROR(VLOOKUP(DATA[[#This Row],[COMBINADA]],#REF!,9,0),0)/COUNTIFS(DATA[COMBINADA],DATA[[#This Row],[COMBINADA]])</f>
        <v>0</v>
      </c>
      <c r="AK953" s="408">
        <f>IFERROR(VLOOKUP(DATA[[#This Row],[COMBINADA]],#REF!,6,0),0)</f>
        <v>0</v>
      </c>
      <c r="AL953" s="125">
        <f>IFERROR(VLOOKUP(DATA[[#This Row],[COMBINADA]],#REF!,9,0),0)/COUNTIFS(DATA[COMBINADA],DATA[[#This Row],[COMBINADA]])</f>
        <v>0</v>
      </c>
      <c r="AM953" s="288">
        <f>IFERROR(VLOOKUP(DATA[[#This Row],[COMBINADA]],#REF!,6,0),0)</f>
        <v>0</v>
      </c>
      <c r="AN953" s="125">
        <f>IFERROR(VLOOKUP(DATA[[#This Row],[COMBINADA]],#REF!,9,0),0)/COUNTIFS(DATA[COMBINADA],DATA[[#This Row],[COMBINADA]])</f>
        <v>0</v>
      </c>
      <c r="AO953" s="133">
        <f>IFERROR(VLOOKUP(DATA[[#This Row],[COMBINADA]],#REF!,6,0),0)</f>
        <v>0</v>
      </c>
      <c r="AP953" s="139">
        <f>IFERROR(VLOOKUP(DATA[[#This Row],[COMBINADA]],#REF!,9,0),0)/COUNTIFS(DATA[COMBINADA],DATA[[#This Row],[COMBINADA]])</f>
        <v>0</v>
      </c>
      <c r="AQ95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953" s="26" t="str">
        <f>IFERROR(IF(DATA[[#This Row],[estado_fact]]="FACTURADO",VLOOKUP(DATA[[#This Row],[SERIE2]]&amp;"-"&amp;DATA[[#This Row],[NUMERO]],#REF!,34,0),"NO CORRESPONDE"),"NO CORRESPONDE")</f>
        <v>NO CORRESPONDE</v>
      </c>
      <c r="AS953" s="22" t="str">
        <f>IF(DATA[[#This Row],[fecha_fs]]&gt;0,TEXT(DATA[[#This Row],[fecha_fs]],"Mmmm"),0)</f>
        <v>Julio</v>
      </c>
      <c r="AT953" s="22" t="str">
        <f>DATA[[#This Row],[SERIE2]]&amp;"-"&amp;DATA[[#This Row],[NUMERO]]</f>
        <v>FF01-205</v>
      </c>
      <c r="AU953" s="28">
        <f>DATA[[#This Row],[TOTAL]]*DATA[[#This Row],[T.C.]]</f>
        <v>351.55</v>
      </c>
      <c r="AV953" s="6">
        <f>DATA[[#This Row],[FECHA DE VAL.]]</f>
        <v>45869</v>
      </c>
      <c r="AW953" s="6">
        <f>DATA[[#This Row],[FECHA DE EMISION]]</f>
        <v>45883</v>
      </c>
      <c r="AX953" s="6">
        <f>DATA[[#This Row],[F1]]</f>
        <v>0</v>
      </c>
      <c r="AY953" s="20">
        <f>IF(AV953-DATA[[#This Row],[fecha_fs]]&lt;0,0,AV953-DATA[[#This Row],[fecha_fs]])</f>
        <v>13</v>
      </c>
      <c r="AZ953" s="20">
        <f t="shared" si="109"/>
        <v>14</v>
      </c>
      <c r="BA953" s="53">
        <f t="shared" si="98"/>
        <v>0</v>
      </c>
      <c r="BB953" s="195">
        <f>IFERROR(SUM(DATA[[#This Row],[fs_val_ttf]:[fact_pago_ttf]]),0)</f>
        <v>27</v>
      </c>
      <c r="BC953" s="185">
        <v>45856</v>
      </c>
      <c r="BD953" s="185">
        <v>45856</v>
      </c>
      <c r="BE953" s="185">
        <v>45870</v>
      </c>
      <c r="BF953" s="185">
        <v>45870</v>
      </c>
      <c r="BG953" s="20">
        <f>IFERROR(IF(BC953-DATA[[#This Row],[fecha_fs]]&lt;0,0,BC953-DATA[[#This Row],[fecha_fs]]),0)</f>
        <v>0</v>
      </c>
      <c r="BH953" s="20">
        <f t="shared" si="110"/>
        <v>0</v>
      </c>
      <c r="BI953" s="20">
        <f t="shared" si="100"/>
        <v>14</v>
      </c>
      <c r="BJ953" s="20">
        <f t="shared" si="101"/>
        <v>0</v>
      </c>
      <c r="BK953" s="218">
        <f>IFERROR(SUM(DATA[[#This Row],[fs_fd_ttd]:[fend_fenf_ttd]]),0)</f>
        <v>14</v>
      </c>
      <c r="BL953" s="20" t="str">
        <f>IF(DATA[[#This Row],[fecha_fs]]&gt;0,TEXT(DATA[[#This Row],[fecha_fs]],"YYYY"),0)</f>
        <v>2025</v>
      </c>
      <c r="BM953" s="221" t="b">
        <v>1</v>
      </c>
      <c r="BN953" s="278">
        <f>COUNTIF(DATA[[#This Row],[tiempo_td]], "&lt;=15")</f>
        <v>1</v>
      </c>
      <c r="BO953" s="222"/>
    </row>
    <row r="954" spans="1:67" ht="30.6" customHeight="1" x14ac:dyDescent="0.25">
      <c r="A954" s="4">
        <v>20100211115</v>
      </c>
      <c r="B954" s="5" t="s">
        <v>41</v>
      </c>
      <c r="C954" s="52" t="s">
        <v>18</v>
      </c>
      <c r="D954" s="4" t="s">
        <v>120</v>
      </c>
      <c r="E954" s="5" t="s">
        <v>3</v>
      </c>
      <c r="F954" s="24">
        <v>45859</v>
      </c>
      <c r="G954" s="7" t="s">
        <v>113</v>
      </c>
      <c r="H954" s="25">
        <f t="shared" si="108"/>
        <v>1</v>
      </c>
      <c r="I954" s="67">
        <v>4778</v>
      </c>
      <c r="J954" s="8" t="s">
        <v>115</v>
      </c>
      <c r="K954" s="9" t="s">
        <v>121</v>
      </c>
      <c r="L954" s="10" t="s">
        <v>117</v>
      </c>
      <c r="M954" s="11">
        <v>90</v>
      </c>
      <c r="N954" s="12" t="s">
        <v>132</v>
      </c>
      <c r="O954" s="6">
        <v>45863</v>
      </c>
      <c r="P954" s="205">
        <v>3575</v>
      </c>
      <c r="Q954" s="14" t="s">
        <v>85</v>
      </c>
      <c r="R954" s="206"/>
      <c r="S954" s="206">
        <f>(DATA[[#This Row],[cantidad_fs]]*4.17)</f>
        <v>375.3</v>
      </c>
      <c r="T954" s="15">
        <f>DATA[[#This Row],[C. DF]]+DATA[[#This Row],[C.OPE.]]</f>
        <v>375.3</v>
      </c>
      <c r="U954" s="15">
        <f>DATA[[#This Row],[SUB TOTAL]]*0.18</f>
        <v>67.554000000000002</v>
      </c>
      <c r="V954" s="15">
        <f>IFERROR(ROUND(DATA[[#This Row],[SUB TOTAL]]+DATA[[#This Row],[IGV]],2),0)</f>
        <v>442.85</v>
      </c>
      <c r="W954" s="16" t="str">
        <f>IF(DATA[[#This Row],[VALORIZACIÓN ]]="-","NO CORRESPONDE",IF(OR(A954=20558226979,A954=10470707866,A954=20111157058,A954=20100226902),"NO CORRESPONDE",IF(J954="Emitida",IF(P954&gt;0,"EMITIDA","PENDIENTE"),"NO CORRESPONDE")))</f>
        <v>EMITIDA</v>
      </c>
      <c r="X954" s="29"/>
      <c r="Y954" s="17" t="s">
        <v>118</v>
      </c>
      <c r="Z954" s="30">
        <v>45869</v>
      </c>
      <c r="AA954" s="10" t="s">
        <v>150</v>
      </c>
      <c r="AB954" s="19">
        <v>191</v>
      </c>
      <c r="AC954" s="20">
        <v>30</v>
      </c>
      <c r="AD954" s="18">
        <f>DATA[[#This Row],[FECHA DE EMISION]]+DATA[[#This Row],[CONDICION DE PAGO]]</f>
        <v>45899</v>
      </c>
      <c r="AE954" s="23">
        <f>IF(DATA[[#This Row],[MONEDA]]="USD",VLOOKUP(DATA[[#This Row],[COMBINADA]],#REF!,11,0),1)</f>
        <v>1</v>
      </c>
      <c r="AF954" s="129" t="str">
        <f>IF(DATA[[#This Row],[SERIE2]]="-","NO CORRESPONDE",IF(W954="NO CORRESPONDE","NO CORRESPONDE",IF(Z954&gt;0,"FACTURADO","PENDIENTE")))</f>
        <v>FACTURADO</v>
      </c>
      <c r="AG954" s="133">
        <f>IFERROR(VLOOKUP(DATA[[#This Row],[COMBINADA]],#REF!,6,0),0)</f>
        <v>0</v>
      </c>
      <c r="AH954" s="125">
        <f>IFERROR(VLOOKUP(DATA[[#This Row],[COMBINADA]],#REF!,9,0),0)/COUNTIFS(DATA[COMBINADA],DATA[[#This Row],[COMBINADA]])</f>
        <v>0</v>
      </c>
      <c r="AI954" s="136">
        <f>IFERROR(VLOOKUP(DATA[[#This Row],[COMBINADA]],#REF!,6,0),0)</f>
        <v>0</v>
      </c>
      <c r="AJ954" s="132">
        <f>IFERROR(VLOOKUP(DATA[[#This Row],[COMBINADA]],#REF!,9,0),0)/COUNTIFS(DATA[COMBINADA],DATA[[#This Row],[COMBINADA]])</f>
        <v>0</v>
      </c>
      <c r="AK954" s="408">
        <f>IFERROR(VLOOKUP(DATA[[#This Row],[COMBINADA]],#REF!,6,0),0)</f>
        <v>0</v>
      </c>
      <c r="AL954" s="125">
        <f>IFERROR(VLOOKUP(DATA[[#This Row],[COMBINADA]],#REF!,9,0),0)/COUNTIFS(DATA[COMBINADA],DATA[[#This Row],[COMBINADA]])</f>
        <v>0</v>
      </c>
      <c r="AM954" s="288">
        <f>IFERROR(VLOOKUP(DATA[[#This Row],[COMBINADA]],#REF!,6,0),0)</f>
        <v>0</v>
      </c>
      <c r="AN954" s="125">
        <f>IFERROR(VLOOKUP(DATA[[#This Row],[COMBINADA]],#REF!,9,0),0)/COUNTIFS(DATA[COMBINADA],DATA[[#This Row],[COMBINADA]])</f>
        <v>0</v>
      </c>
      <c r="AO954" s="133">
        <f>IFERROR(VLOOKUP(DATA[[#This Row],[COMBINADA]],#REF!,6,0),0)</f>
        <v>0</v>
      </c>
      <c r="AP954" s="139">
        <f>IFERROR(VLOOKUP(DATA[[#This Row],[COMBINADA]],#REF!,9,0),0)/COUNTIFS(DATA[COMBINADA],DATA[[#This Row],[COMBINADA]])</f>
        <v>0</v>
      </c>
      <c r="AQ95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954" s="26" t="str">
        <f>IFERROR(IF(DATA[[#This Row],[estado_fact]]="FACTURADO",VLOOKUP(DATA[[#This Row],[SERIE2]]&amp;"-"&amp;DATA[[#This Row],[NUMERO]],#REF!,34,0),"NO CORRESPONDE"),"NO CORRESPONDE")</f>
        <v>NO CORRESPONDE</v>
      </c>
      <c r="AS954" s="22" t="str">
        <f>IF(DATA[[#This Row],[fecha_fs]]&gt;0,TEXT(DATA[[#This Row],[fecha_fs]],"Mmmm"),0)</f>
        <v>Julio</v>
      </c>
      <c r="AT954" s="22" t="str">
        <f>DATA[[#This Row],[SERIE2]]&amp;"-"&amp;DATA[[#This Row],[NUMERO]]</f>
        <v>FF01-191</v>
      </c>
      <c r="AU954" s="28">
        <f>DATA[[#This Row],[TOTAL]]*DATA[[#This Row],[T.C.]]</f>
        <v>442.85</v>
      </c>
      <c r="AV954" s="6">
        <f>DATA[[#This Row],[FECHA DE VAL.]]</f>
        <v>45863</v>
      </c>
      <c r="AW954" s="6">
        <f>DATA[[#This Row],[FECHA DE EMISION]]</f>
        <v>45869</v>
      </c>
      <c r="AX954" s="6">
        <f>DATA[[#This Row],[F1]]</f>
        <v>0</v>
      </c>
      <c r="AY954" s="20">
        <f>IF(AV954-DATA[[#This Row],[fecha_fs]]&lt;0,0,AV954-DATA[[#This Row],[fecha_fs]])</f>
        <v>4</v>
      </c>
      <c r="AZ954" s="20">
        <f t="shared" si="109"/>
        <v>6</v>
      </c>
      <c r="BA954" s="53">
        <f t="shared" si="98"/>
        <v>0</v>
      </c>
      <c r="BB954" s="195">
        <f>IFERROR(SUM(DATA[[#This Row],[fs_val_ttf]:[fact_pago_ttf]]),0)</f>
        <v>10</v>
      </c>
      <c r="BC954" s="185">
        <v>45870</v>
      </c>
      <c r="BD954" s="185">
        <v>45876</v>
      </c>
      <c r="BE954" s="185">
        <v>45882</v>
      </c>
      <c r="BF954" s="185">
        <v>45887</v>
      </c>
      <c r="BG954" s="20">
        <f>IFERROR(IF(BC954-DATA[[#This Row],[fecha_fs]]&lt;0,0,BC954-DATA[[#This Row],[fecha_fs]]),0)</f>
        <v>11</v>
      </c>
      <c r="BH954" s="20">
        <f t="shared" si="110"/>
        <v>6</v>
      </c>
      <c r="BI954" s="20">
        <f t="shared" si="100"/>
        <v>6</v>
      </c>
      <c r="BJ954" s="20">
        <f t="shared" si="101"/>
        <v>5</v>
      </c>
      <c r="BK954" s="218">
        <f>IFERROR(SUM(DATA[[#This Row],[fs_fd_ttd]:[fend_fenf_ttd]]),0)</f>
        <v>28</v>
      </c>
      <c r="BL954" s="20" t="str">
        <f>IF(DATA[[#This Row],[fecha_fs]]&gt;0,TEXT(DATA[[#This Row],[fecha_fs]],"YYYY"),0)</f>
        <v>2025</v>
      </c>
      <c r="BM954" s="236" t="b">
        <v>1</v>
      </c>
      <c r="BN954" s="278">
        <f>COUNTIF(DATA[[#This Row],[tiempo_td]], "&lt;=15")</f>
        <v>0</v>
      </c>
      <c r="BO954" s="222"/>
    </row>
    <row r="955" spans="1:67" ht="30.6" customHeight="1" x14ac:dyDescent="0.25">
      <c r="A955" s="4">
        <v>20141637941</v>
      </c>
      <c r="B955" s="5" t="s">
        <v>79</v>
      </c>
      <c r="C955" s="52" t="s">
        <v>18</v>
      </c>
      <c r="D955" s="4" t="s">
        <v>120</v>
      </c>
      <c r="E955" s="5" t="s">
        <v>3</v>
      </c>
      <c r="F955" s="24">
        <v>45859</v>
      </c>
      <c r="G955" s="7" t="s">
        <v>113</v>
      </c>
      <c r="H955" s="25">
        <f t="shared" si="108"/>
        <v>1</v>
      </c>
      <c r="I955" s="67">
        <v>4779</v>
      </c>
      <c r="J955" s="8" t="s">
        <v>115</v>
      </c>
      <c r="K955" s="9" t="s">
        <v>121</v>
      </c>
      <c r="L955" s="10" t="s">
        <v>117</v>
      </c>
      <c r="M955" s="11">
        <v>760</v>
      </c>
      <c r="N955" s="12" t="s">
        <v>125</v>
      </c>
      <c r="O955" s="6">
        <v>45869</v>
      </c>
      <c r="P955" s="110">
        <v>3583</v>
      </c>
      <c r="Q955" s="14" t="s">
        <v>85</v>
      </c>
      <c r="R955" s="206">
        <v>80</v>
      </c>
      <c r="S955" s="206">
        <v>832</v>
      </c>
      <c r="T955" s="15">
        <f>DATA[[#This Row],[C. DF]]+DATA[[#This Row],[C.OPE.]]</f>
        <v>912</v>
      </c>
      <c r="U955" s="15">
        <f>DATA[[#This Row],[SUB TOTAL]]*0.18</f>
        <v>164.16</v>
      </c>
      <c r="V955" s="15">
        <f>IFERROR(ROUND(DATA[[#This Row],[SUB TOTAL]]+DATA[[#This Row],[IGV]],2),0)</f>
        <v>1076.1600000000001</v>
      </c>
      <c r="W955" s="16" t="str">
        <f>IF(DATA[[#This Row],[VALORIZACIÓN ]]="-","NO CORRESPONDE",IF(OR(A955=20558226979,A955=10470707866,A955=20111157058,A955=20100226902),"NO CORRESPONDE",IF(J955="Emitida",IF(P955&gt;0,"EMITIDA","PENDIENTE"),"NO CORRESPONDE")))</f>
        <v>EMITIDA</v>
      </c>
      <c r="X955" s="29"/>
      <c r="Y955" s="17" t="s">
        <v>118</v>
      </c>
      <c r="Z955" s="30">
        <v>45876</v>
      </c>
      <c r="AA955" s="10" t="s">
        <v>150</v>
      </c>
      <c r="AB955" s="19">
        <v>201</v>
      </c>
      <c r="AC955" s="20">
        <v>30</v>
      </c>
      <c r="AD955" s="18">
        <f>DATA[[#This Row],[FECHA DE EMISION]]+DATA[[#This Row],[CONDICION DE PAGO]]</f>
        <v>45906</v>
      </c>
      <c r="AE955" s="23">
        <f>IF(DATA[[#This Row],[MONEDA]]="USD",VLOOKUP(DATA[[#This Row],[COMBINADA]],#REF!,11,0),1)</f>
        <v>1</v>
      </c>
      <c r="AF955" s="129" t="str">
        <f>IF(DATA[[#This Row],[SERIE2]]="-","NO CORRESPONDE",IF(W955="NO CORRESPONDE","NO CORRESPONDE",IF(Z955&gt;0,"FACTURADO","PENDIENTE")))</f>
        <v>FACTURADO</v>
      </c>
      <c r="AG955" s="133">
        <f>IFERROR(VLOOKUP(DATA[[#This Row],[COMBINADA]],#REF!,6,0),0)</f>
        <v>0</v>
      </c>
      <c r="AH955" s="125">
        <f>IFERROR(VLOOKUP(DATA[[#This Row],[COMBINADA]],#REF!,9,0),0)/COUNTIFS(DATA[COMBINADA],DATA[[#This Row],[COMBINADA]])</f>
        <v>0</v>
      </c>
      <c r="AI955" s="136">
        <f>IFERROR(VLOOKUP(DATA[[#This Row],[COMBINADA]],#REF!,6,0),0)</f>
        <v>0</v>
      </c>
      <c r="AJ955" s="132">
        <f>IFERROR(VLOOKUP(DATA[[#This Row],[COMBINADA]],#REF!,9,0),0)/COUNTIFS(DATA[COMBINADA],DATA[[#This Row],[COMBINADA]])</f>
        <v>0</v>
      </c>
      <c r="AK955" s="408">
        <f>IFERROR(VLOOKUP(DATA[[#This Row],[COMBINADA]],#REF!,6,0),0)</f>
        <v>0</v>
      </c>
      <c r="AL955" s="125">
        <f>IFERROR(VLOOKUP(DATA[[#This Row],[COMBINADA]],#REF!,9,0),0)/COUNTIFS(DATA[COMBINADA],DATA[[#This Row],[COMBINADA]])</f>
        <v>0</v>
      </c>
      <c r="AM955" s="288">
        <f>IFERROR(VLOOKUP(DATA[[#This Row],[COMBINADA]],#REF!,6,0),0)</f>
        <v>0</v>
      </c>
      <c r="AN955" s="125">
        <f>IFERROR(VLOOKUP(DATA[[#This Row],[COMBINADA]],#REF!,9,0),0)/COUNTIFS(DATA[COMBINADA],DATA[[#This Row],[COMBINADA]])</f>
        <v>0</v>
      </c>
      <c r="AO955" s="133">
        <f>IFERROR(VLOOKUP(DATA[[#This Row],[COMBINADA]],#REF!,6,0),0)</f>
        <v>0</v>
      </c>
      <c r="AP955" s="139">
        <f>IFERROR(VLOOKUP(DATA[[#This Row],[COMBINADA]],#REF!,9,0),0)/COUNTIFS(DATA[COMBINADA],DATA[[#This Row],[COMBINADA]])</f>
        <v>0</v>
      </c>
      <c r="AQ95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1103.22</v>
      </c>
      <c r="AR955" s="26" t="str">
        <f>IFERROR(IF(DATA[[#This Row],[estado_fact]]="FACTURADO",VLOOKUP(DATA[[#This Row],[SERIE2]]&amp;"-"&amp;DATA[[#This Row],[NUMERO]],#REF!,34,0),"NO CORRESPONDE"),"NO CORRESPONDE")</f>
        <v>NO CORRESPONDE</v>
      </c>
      <c r="AS955" s="22" t="str">
        <f>IF(DATA[[#This Row],[fecha_fs]]&gt;0,TEXT(DATA[[#This Row],[fecha_fs]],"Mmmm"),0)</f>
        <v>Julio</v>
      </c>
      <c r="AT955" s="22" t="str">
        <f>DATA[[#This Row],[SERIE2]]&amp;"-"&amp;DATA[[#This Row],[NUMERO]]</f>
        <v>FF01-201</v>
      </c>
      <c r="AU955" s="28">
        <f>DATA[[#This Row],[TOTAL]]*DATA[[#This Row],[T.C.]]</f>
        <v>1076.1600000000001</v>
      </c>
      <c r="AV955" s="6">
        <f>DATA[[#This Row],[FECHA DE VAL.]]</f>
        <v>45869</v>
      </c>
      <c r="AW955" s="6">
        <f>DATA[[#This Row],[FECHA DE EMISION]]</f>
        <v>45876</v>
      </c>
      <c r="AX955" s="6">
        <f>DATA[[#This Row],[F1]]</f>
        <v>0</v>
      </c>
      <c r="AY955" s="20">
        <f>IF(AV955-DATA[[#This Row],[fecha_fs]]&lt;0,0,AV955-DATA[[#This Row],[fecha_fs]])</f>
        <v>10</v>
      </c>
      <c r="AZ955" s="20">
        <f t="shared" si="109"/>
        <v>7</v>
      </c>
      <c r="BA955" s="53">
        <f t="shared" si="98"/>
        <v>0</v>
      </c>
      <c r="BB955" s="195">
        <f>IFERROR(SUM(DATA[[#This Row],[fs_val_ttf]:[fact_pago_ttf]]),0)</f>
        <v>17</v>
      </c>
      <c r="BC955" s="185">
        <v>45859</v>
      </c>
      <c r="BD955" s="185">
        <v>45876</v>
      </c>
      <c r="BE955" s="185">
        <v>45880</v>
      </c>
      <c r="BF955" s="185">
        <v>45882</v>
      </c>
      <c r="BG955" s="20">
        <f>IFERROR(IF(BC955-DATA[[#This Row],[fecha_fs]]&lt;0,0,BC955-DATA[[#This Row],[fecha_fs]]),0)</f>
        <v>0</v>
      </c>
      <c r="BH955" s="20">
        <f t="shared" si="110"/>
        <v>17</v>
      </c>
      <c r="BI955" s="20">
        <f t="shared" si="100"/>
        <v>4</v>
      </c>
      <c r="BJ955" s="20">
        <f t="shared" si="101"/>
        <v>2</v>
      </c>
      <c r="BK955" s="218">
        <f>IFERROR(SUM(DATA[[#This Row],[fs_fd_ttd]:[fend_fenf_ttd]]),0)</f>
        <v>23</v>
      </c>
      <c r="BL955" s="20" t="str">
        <f>IF(DATA[[#This Row],[fecha_fs]]&gt;0,TEXT(DATA[[#This Row],[fecha_fs]],"YYYY"),0)</f>
        <v>2025</v>
      </c>
      <c r="BM955" s="221" t="b">
        <v>1</v>
      </c>
      <c r="BN955" s="278">
        <f>COUNTIF(DATA[[#This Row],[tiempo_td]], "&lt;=15")</f>
        <v>0</v>
      </c>
      <c r="BO955" s="222"/>
    </row>
    <row r="956" spans="1:67" ht="30.6" customHeight="1" x14ac:dyDescent="0.25">
      <c r="A956" s="4">
        <v>20505675836</v>
      </c>
      <c r="B956" s="5" t="s">
        <v>42</v>
      </c>
      <c r="C956" s="52" t="s">
        <v>43</v>
      </c>
      <c r="D956" s="4" t="s">
        <v>120</v>
      </c>
      <c r="E956" s="5" t="s">
        <v>3</v>
      </c>
      <c r="F956" s="24">
        <v>45859</v>
      </c>
      <c r="G956" s="7" t="s">
        <v>113</v>
      </c>
      <c r="H956" s="25">
        <f t="shared" ref="H956:H958" si="111">IF(G956="","",IF(G956="LIM",2,1))</f>
        <v>1</v>
      </c>
      <c r="I956" s="67">
        <v>4780</v>
      </c>
      <c r="J956" s="8" t="s">
        <v>115</v>
      </c>
      <c r="K956" s="9" t="s">
        <v>121</v>
      </c>
      <c r="L956" s="10" t="s">
        <v>117</v>
      </c>
      <c r="M956" s="11">
        <v>730</v>
      </c>
      <c r="N956" s="12" t="s">
        <v>302</v>
      </c>
      <c r="O956" s="6">
        <v>45863</v>
      </c>
      <c r="P956" s="71">
        <v>3570</v>
      </c>
      <c r="Q956" s="14" t="s">
        <v>85</v>
      </c>
      <c r="R956" s="15">
        <f>(DATA[[#This Row],[cantidad_fs]]-150)*0.67</f>
        <v>388.6</v>
      </c>
      <c r="S956" s="15">
        <v>817.68</v>
      </c>
      <c r="T956" s="15">
        <f>DATA[[#This Row],[C. DF]]+DATA[[#This Row],[C.OPE.]]</f>
        <v>1206.28</v>
      </c>
      <c r="U956" s="15">
        <f>DATA[[#This Row],[SUB TOTAL]]*0.18</f>
        <v>217.13039999999998</v>
      </c>
      <c r="V956" s="15">
        <f>IFERROR(ROUND(DATA[[#This Row],[SUB TOTAL]]+DATA[[#This Row],[IGV]],2),0)</f>
        <v>1423.41</v>
      </c>
      <c r="W956" s="16" t="str">
        <f>IF(DATA[[#This Row],[VALORIZACIÓN ]]="-","NO CORRESPONDE",IF(OR(A956=20558226979,A956=10470707866,A956=20111157058,A956=20100226902),"NO CORRESPONDE",IF(J956="Emitida",IF(P956&gt;0,"EMITIDA","PENDIENTE"),"NO CORRESPONDE")))</f>
        <v>EMITIDA</v>
      </c>
      <c r="X956" s="29"/>
      <c r="Y956" s="17" t="s">
        <v>118</v>
      </c>
      <c r="Z956" s="30">
        <v>45876</v>
      </c>
      <c r="AA956" s="10" t="s">
        <v>150</v>
      </c>
      <c r="AB956" s="19">
        <v>197</v>
      </c>
      <c r="AC956" s="20">
        <v>30</v>
      </c>
      <c r="AD956" s="18">
        <f>DATA[[#This Row],[FECHA DE EMISION]]+DATA[[#This Row],[CONDICION DE PAGO]]</f>
        <v>45906</v>
      </c>
      <c r="AE956" s="23">
        <f>IF(DATA[[#This Row],[MONEDA]]="USD",VLOOKUP(DATA[[#This Row],[COMBINADA]],#REF!,11,0),1)</f>
        <v>1</v>
      </c>
      <c r="AF956" s="129" t="str">
        <f>IF(DATA[[#This Row],[SERIE2]]="-","NO CORRESPONDE",IF(W956="NO CORRESPONDE","NO CORRESPONDE",IF(Z956&gt;0,"FACTURADO","PENDIENTE")))</f>
        <v>FACTURADO</v>
      </c>
      <c r="AG956" s="133">
        <f>IFERROR(VLOOKUP(DATA[[#This Row],[COMBINADA]],#REF!,6,0),0)</f>
        <v>0</v>
      </c>
      <c r="AH956" s="125">
        <f>IFERROR(VLOOKUP(DATA[[#This Row],[COMBINADA]],#REF!,9,0),0)/COUNTIFS(DATA[COMBINADA],DATA[[#This Row],[COMBINADA]])</f>
        <v>0</v>
      </c>
      <c r="AI956" s="136">
        <f>IFERROR(VLOOKUP(DATA[[#This Row],[COMBINADA]],#REF!,6,0),0)</f>
        <v>0</v>
      </c>
      <c r="AJ956" s="132">
        <f>IFERROR(VLOOKUP(DATA[[#This Row],[COMBINADA]],#REF!,9,0),0)/COUNTIFS(DATA[COMBINADA],DATA[[#This Row],[COMBINADA]])</f>
        <v>0</v>
      </c>
      <c r="AK956" s="408">
        <f>IFERROR(VLOOKUP(DATA[[#This Row],[COMBINADA]],#REF!,6,0),0)</f>
        <v>0</v>
      </c>
      <c r="AL956" s="125">
        <f>IFERROR(VLOOKUP(DATA[[#This Row],[COMBINADA]],#REF!,9,0),0)/COUNTIFS(DATA[COMBINADA],DATA[[#This Row],[COMBINADA]])</f>
        <v>0</v>
      </c>
      <c r="AM956" s="288">
        <f>IFERROR(VLOOKUP(DATA[[#This Row],[COMBINADA]],#REF!,6,0),0)</f>
        <v>0</v>
      </c>
      <c r="AN956" s="125">
        <f>IFERROR(VLOOKUP(DATA[[#This Row],[COMBINADA]],#REF!,9,0),0)/COUNTIFS(DATA[COMBINADA],DATA[[#This Row],[COMBINADA]])</f>
        <v>0</v>
      </c>
      <c r="AO956" s="133">
        <f>IFERROR(VLOOKUP(DATA[[#This Row],[COMBINADA]],#REF!,6,0),0)</f>
        <v>0</v>
      </c>
      <c r="AP956" s="139">
        <f>IFERROR(VLOOKUP(DATA[[#This Row],[COMBINADA]],#REF!,9,0),0)/COUNTIFS(DATA[COMBINADA],DATA[[#This Row],[COMBINADA]])</f>
        <v>0</v>
      </c>
      <c r="AQ95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4617.7775000000001</v>
      </c>
      <c r="AR956" s="26" t="str">
        <f>IFERROR(IF(DATA[[#This Row],[estado_fact]]="FACTURADO",VLOOKUP(DATA[[#This Row],[SERIE2]]&amp;"-"&amp;DATA[[#This Row],[NUMERO]],#REF!,34,0),"NO CORRESPONDE"),"NO CORRESPONDE")</f>
        <v>NO CORRESPONDE</v>
      </c>
      <c r="AS956" s="22" t="str">
        <f>IF(DATA[[#This Row],[fecha_fs]]&gt;0,TEXT(DATA[[#This Row],[fecha_fs]],"Mmmm"),0)</f>
        <v>Julio</v>
      </c>
      <c r="AT956" s="22" t="str">
        <f>DATA[[#This Row],[SERIE2]]&amp;"-"&amp;DATA[[#This Row],[NUMERO]]</f>
        <v>FF01-197</v>
      </c>
      <c r="AU956" s="28">
        <f>DATA[[#This Row],[TOTAL]]*DATA[[#This Row],[T.C.]]</f>
        <v>1423.41</v>
      </c>
      <c r="AV956" s="6">
        <f>DATA[[#This Row],[FECHA DE VAL.]]</f>
        <v>45863</v>
      </c>
      <c r="AW956" s="6">
        <f>DATA[[#This Row],[FECHA DE EMISION]]</f>
        <v>45876</v>
      </c>
      <c r="AX956" s="6">
        <f>DATA[[#This Row],[F1]]</f>
        <v>0</v>
      </c>
      <c r="AY956" s="20">
        <f>IF(AV956-DATA[[#This Row],[fecha_fs]]&lt;0,0,AV956-DATA[[#This Row],[fecha_fs]])</f>
        <v>4</v>
      </c>
      <c r="AZ956" s="20">
        <f t="shared" si="97"/>
        <v>13</v>
      </c>
      <c r="BA956" s="20">
        <f t="shared" si="98"/>
        <v>0</v>
      </c>
      <c r="BB956" s="195">
        <f>IFERROR(SUM(DATA[[#This Row],[fs_val_ttf]:[fact_pago_ttf]]),0)</f>
        <v>17</v>
      </c>
      <c r="BC956" s="185">
        <v>45874</v>
      </c>
      <c r="BD956" s="185">
        <v>45887</v>
      </c>
      <c r="BE956" s="185">
        <v>45888</v>
      </c>
      <c r="BF956" s="185">
        <v>45895</v>
      </c>
      <c r="BG956" s="20">
        <f>IFERROR(IF(BC956-DATA[[#This Row],[fecha_fs]]&lt;0,0,BC956-DATA[[#This Row],[fecha_fs]]),0)</f>
        <v>15</v>
      </c>
      <c r="BH956" s="20">
        <f t="shared" si="99"/>
        <v>13</v>
      </c>
      <c r="BI956" s="20">
        <f t="shared" si="100"/>
        <v>1</v>
      </c>
      <c r="BJ956" s="20">
        <f t="shared" si="101"/>
        <v>7</v>
      </c>
      <c r="BK956" s="218">
        <f>IFERROR(SUM(DATA[[#This Row],[fs_fd_ttd]:[fend_fenf_ttd]]),0)</f>
        <v>36</v>
      </c>
      <c r="BL956" s="20" t="str">
        <f>IF(DATA[[#This Row],[fecha_fs]]&gt;0,TEXT(DATA[[#This Row],[fecha_fs]],"YYYY"),0)</f>
        <v>2025</v>
      </c>
      <c r="BM956" s="221" t="b">
        <v>1</v>
      </c>
      <c r="BN956" s="278">
        <f>COUNTIF(DATA[[#This Row],[tiempo_td]], "&lt;=15")</f>
        <v>0</v>
      </c>
      <c r="BO956" s="222"/>
    </row>
    <row r="957" spans="1:67" ht="30.6" customHeight="1" x14ac:dyDescent="0.25">
      <c r="A957" s="4">
        <v>20419158462</v>
      </c>
      <c r="B957" s="5" t="s">
        <v>2</v>
      </c>
      <c r="C957" s="52" t="s">
        <v>174</v>
      </c>
      <c r="D957" s="4" t="s">
        <v>120</v>
      </c>
      <c r="E957" s="5" t="s">
        <v>3</v>
      </c>
      <c r="F957" s="24">
        <v>45860</v>
      </c>
      <c r="G957" s="7" t="s">
        <v>113</v>
      </c>
      <c r="H957" s="25">
        <f t="shared" si="111"/>
        <v>1</v>
      </c>
      <c r="I957" s="67">
        <v>4781</v>
      </c>
      <c r="J957" s="8" t="s">
        <v>115</v>
      </c>
      <c r="K957" s="9" t="s">
        <v>156</v>
      </c>
      <c r="L957" s="10" t="s">
        <v>117</v>
      </c>
      <c r="M957" s="11">
        <v>300</v>
      </c>
      <c r="N957" s="12" t="s">
        <v>249</v>
      </c>
      <c r="O957" s="6">
        <v>45862</v>
      </c>
      <c r="P957" s="13">
        <v>3555</v>
      </c>
      <c r="Q957" s="14" t="s">
        <v>85</v>
      </c>
      <c r="R957" s="74"/>
      <c r="S957" s="15">
        <f>1429.7/2</f>
        <v>714.85</v>
      </c>
      <c r="T957" s="15">
        <f>DATA[[#This Row],[C. DF]]+DATA[[#This Row],[C.OPE.]]</f>
        <v>714.85</v>
      </c>
      <c r="U957" s="15">
        <f>DATA[[#This Row],[SUB TOTAL]]*0.18</f>
        <v>128.673</v>
      </c>
      <c r="V957" s="15">
        <f>IFERROR(ROUND(DATA[[#This Row],[SUB TOTAL]]+DATA[[#This Row],[IGV]],2),0)</f>
        <v>843.52</v>
      </c>
      <c r="W957" s="16" t="str">
        <f>IF(DATA[[#This Row],[VALORIZACIÓN ]]="-","NO CORRESPONDE",IF(OR(A957=20558226979,A957=10470707866,A957=20111157058,A957=20100226902),"NO CORRESPONDE",IF(J957="Emitida",IF(P957&gt;0,"EMITIDA","PENDIENTE"),"NO CORRESPONDE")))</f>
        <v>EMITIDA</v>
      </c>
      <c r="X957" s="29"/>
      <c r="Y957" s="17" t="s">
        <v>118</v>
      </c>
      <c r="Z957" s="30">
        <v>45916</v>
      </c>
      <c r="AA957" s="10" t="s">
        <v>150</v>
      </c>
      <c r="AB957" s="19">
        <v>256</v>
      </c>
      <c r="AC957" s="20">
        <v>2</v>
      </c>
      <c r="AD957" s="18">
        <f>DATA[[#This Row],[FECHA DE EMISION]]+DATA[[#This Row],[CONDICION DE PAGO]]</f>
        <v>45918</v>
      </c>
      <c r="AE957" s="23">
        <f>IF(DATA[[#This Row],[MONEDA]]="USD",VLOOKUP(DATA[[#This Row],[COMBINADA]],#REF!,11,0),1)</f>
        <v>1</v>
      </c>
      <c r="AF957" s="129" t="str">
        <f>IF(DATA[[#This Row],[SERIE2]]="-","NO CORRESPONDE",IF(W957="NO CORRESPONDE","NO CORRESPONDE",IF(Z957&gt;0,"FACTURADO","PENDIENTE")))</f>
        <v>FACTURADO</v>
      </c>
      <c r="AG957" s="133">
        <f>IFERROR(VLOOKUP(DATA[[#This Row],[COMBINADA]],#REF!,6,0),0)</f>
        <v>0</v>
      </c>
      <c r="AH957" s="125">
        <f>IFERROR(VLOOKUP(DATA[[#This Row],[COMBINADA]],#REF!,9,0),0)/COUNTIFS(DATA[COMBINADA],DATA[[#This Row],[COMBINADA]])</f>
        <v>0</v>
      </c>
      <c r="AI957" s="136">
        <f>IFERROR(VLOOKUP(DATA[[#This Row],[COMBINADA]],#REF!,6,0),0)</f>
        <v>0</v>
      </c>
      <c r="AJ957" s="132">
        <f>IFERROR(VLOOKUP(DATA[[#This Row],[COMBINADA]],#REF!,9,0),0)/COUNTIFS(DATA[COMBINADA],DATA[[#This Row],[COMBINADA]])</f>
        <v>0</v>
      </c>
      <c r="AK957" s="408">
        <f>IFERROR(VLOOKUP(DATA[[#This Row],[COMBINADA]],#REF!,6,0),0)</f>
        <v>0</v>
      </c>
      <c r="AL957" s="125">
        <f>IFERROR(VLOOKUP(DATA[[#This Row],[COMBINADA]],#REF!,9,0),0)/COUNTIFS(DATA[COMBINADA],DATA[[#This Row],[COMBINADA]])</f>
        <v>0</v>
      </c>
      <c r="AM957" s="288">
        <f>IFERROR(VLOOKUP(DATA[[#This Row],[COMBINADA]],#REF!,6,0),0)</f>
        <v>0</v>
      </c>
      <c r="AN957" s="125">
        <f>IFERROR(VLOOKUP(DATA[[#This Row],[COMBINADA]],#REF!,9,0),0)/COUNTIFS(DATA[COMBINADA],DATA[[#This Row],[COMBINADA]])</f>
        <v>0</v>
      </c>
      <c r="AO957" s="133">
        <f>IFERROR(VLOOKUP(DATA[[#This Row],[COMBINADA]],#REF!,6,0),0)</f>
        <v>0</v>
      </c>
      <c r="AP957" s="139">
        <f>IFERROR(VLOOKUP(DATA[[#This Row],[COMBINADA]],#REF!,9,0),0)/COUNTIFS(DATA[COMBINADA],DATA[[#This Row],[COMBINADA]])</f>
        <v>0</v>
      </c>
      <c r="AQ95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957" s="26" t="str">
        <f>IFERROR(IF(DATA[[#This Row],[estado_fact]]="FACTURADO",VLOOKUP(DATA[[#This Row],[SERIE2]]&amp;"-"&amp;DATA[[#This Row],[NUMERO]],#REF!,34,0),"NO CORRESPONDE"),"NO CORRESPONDE")</f>
        <v>NO CORRESPONDE</v>
      </c>
      <c r="AS957" s="22" t="str">
        <f>IF(DATA[[#This Row],[fecha_fs]]&gt;0,TEXT(DATA[[#This Row],[fecha_fs]],"Mmmm"),0)</f>
        <v>Julio</v>
      </c>
      <c r="AT957" s="22" t="str">
        <f>DATA[[#This Row],[SERIE2]]&amp;"-"&amp;DATA[[#This Row],[NUMERO]]</f>
        <v>FF01-256</v>
      </c>
      <c r="AU957" s="170">
        <f>DATA[[#This Row],[TOTAL]]*DATA[[#This Row],[T.C.]]</f>
        <v>843.52</v>
      </c>
      <c r="AV957" s="192">
        <f>DATA[[#This Row],[FECHA DE VAL.]]</f>
        <v>45862</v>
      </c>
      <c r="AW957" s="192">
        <f>DATA[[#This Row],[FECHA DE EMISION]]</f>
        <v>45916</v>
      </c>
      <c r="AX957" s="192">
        <f>DATA[[#This Row],[F1]]</f>
        <v>0</v>
      </c>
      <c r="AY957" s="171">
        <f>IF(AV957-DATA[[#This Row],[fecha_fs]]&lt;0,0,AV957-DATA[[#This Row],[fecha_fs]])</f>
        <v>2</v>
      </c>
      <c r="AZ957" s="171">
        <f t="shared" si="97"/>
        <v>54</v>
      </c>
      <c r="BA957" s="171">
        <f t="shared" si="98"/>
        <v>0</v>
      </c>
      <c r="BB957" s="196">
        <f>IFERROR(SUM(DATA[[#This Row],[fs_val_ttf]:[fact_pago_ttf]]),0)</f>
        <v>56</v>
      </c>
      <c r="BC957" s="185">
        <v>45860</v>
      </c>
      <c r="BD957" s="185">
        <v>45860</v>
      </c>
      <c r="BE957" s="185">
        <v>45866</v>
      </c>
      <c r="BF957" s="185">
        <v>45866</v>
      </c>
      <c r="BG957" s="171">
        <f>IFERROR(IF(BC957-DATA[[#This Row],[fecha_fs]]&lt;0,0,BC957-DATA[[#This Row],[fecha_fs]]),0)</f>
        <v>0</v>
      </c>
      <c r="BH957" s="171">
        <f t="shared" si="99"/>
        <v>0</v>
      </c>
      <c r="BI957" s="171">
        <f t="shared" si="100"/>
        <v>6</v>
      </c>
      <c r="BJ957" s="171">
        <f t="shared" si="101"/>
        <v>0</v>
      </c>
      <c r="BK957" s="219">
        <f>IFERROR(SUM(DATA[[#This Row],[fs_fd_ttd]:[fend_fenf_ttd]]),0)</f>
        <v>6</v>
      </c>
      <c r="BL957" s="20" t="str">
        <f>IF(DATA[[#This Row],[fecha_fs]]&gt;0,TEXT(DATA[[#This Row],[fecha_fs]],"YYYY"),0)</f>
        <v>2025</v>
      </c>
      <c r="BM957" s="221" t="b">
        <v>1</v>
      </c>
      <c r="BN957" s="278">
        <f>COUNTIF(DATA[[#This Row],[tiempo_td]], "&lt;=15")</f>
        <v>1</v>
      </c>
      <c r="BO957" s="222"/>
    </row>
    <row r="958" spans="1:67" ht="30.6" customHeight="1" x14ac:dyDescent="0.25">
      <c r="A958" s="4">
        <v>20419158462</v>
      </c>
      <c r="B958" s="5" t="s">
        <v>2</v>
      </c>
      <c r="C958" s="52" t="s">
        <v>9</v>
      </c>
      <c r="D958" s="4" t="s">
        <v>120</v>
      </c>
      <c r="E958" s="5" t="s">
        <v>3</v>
      </c>
      <c r="F958" s="24">
        <v>45860</v>
      </c>
      <c r="G958" s="7" t="s">
        <v>113</v>
      </c>
      <c r="H958" s="25">
        <f t="shared" si="111"/>
        <v>1</v>
      </c>
      <c r="I958" s="67">
        <v>4782</v>
      </c>
      <c r="J958" s="8" t="s">
        <v>115</v>
      </c>
      <c r="K958" s="9" t="s">
        <v>156</v>
      </c>
      <c r="L958" s="10" t="s">
        <v>117</v>
      </c>
      <c r="M958" s="11">
        <v>500</v>
      </c>
      <c r="N958" s="12" t="s">
        <v>249</v>
      </c>
      <c r="O958" s="6">
        <v>45862</v>
      </c>
      <c r="P958" s="13">
        <v>3555</v>
      </c>
      <c r="Q958" s="14" t="s">
        <v>85</v>
      </c>
      <c r="R958" s="74"/>
      <c r="S958" s="15">
        <f>1429.7/2</f>
        <v>714.85</v>
      </c>
      <c r="T958" s="15">
        <f>DATA[[#This Row],[C. DF]]+DATA[[#This Row],[C.OPE.]]</f>
        <v>714.85</v>
      </c>
      <c r="U958" s="15">
        <f>DATA[[#This Row],[SUB TOTAL]]*0.18</f>
        <v>128.673</v>
      </c>
      <c r="V958" s="15">
        <f>IFERROR(ROUND(DATA[[#This Row],[SUB TOTAL]]+DATA[[#This Row],[IGV]],2),0)</f>
        <v>843.52</v>
      </c>
      <c r="W958" s="16" t="str">
        <f>IF(DATA[[#This Row],[VALORIZACIÓN ]]="-","NO CORRESPONDE",IF(OR(A958=20558226979,A958=10470707866,A958=20111157058,A958=20100226902),"NO CORRESPONDE",IF(J958="Emitida",IF(P958&gt;0,"EMITIDA","PENDIENTE"),"NO CORRESPONDE")))</f>
        <v>EMITIDA</v>
      </c>
      <c r="X958" s="29"/>
      <c r="Y958" s="17" t="s">
        <v>118</v>
      </c>
      <c r="Z958" s="30">
        <v>45916</v>
      </c>
      <c r="AA958" s="10" t="s">
        <v>150</v>
      </c>
      <c r="AB958" s="19">
        <v>256</v>
      </c>
      <c r="AC958" s="20">
        <v>2</v>
      </c>
      <c r="AD958" s="18">
        <f>DATA[[#This Row],[FECHA DE EMISION]]+DATA[[#This Row],[CONDICION DE PAGO]]</f>
        <v>45918</v>
      </c>
      <c r="AE958" s="23">
        <f>IF(DATA[[#This Row],[MONEDA]]="USD",VLOOKUP(DATA[[#This Row],[COMBINADA]],#REF!,11,0),1)</f>
        <v>1</v>
      </c>
      <c r="AF958" s="129" t="str">
        <f>IF(DATA[[#This Row],[SERIE2]]="-","NO CORRESPONDE",IF(W958="NO CORRESPONDE","NO CORRESPONDE",IF(Z958&gt;0,"FACTURADO","PENDIENTE")))</f>
        <v>FACTURADO</v>
      </c>
      <c r="AG958" s="133">
        <f>IFERROR(VLOOKUP(DATA[[#This Row],[COMBINADA]],#REF!,6,0),0)</f>
        <v>0</v>
      </c>
      <c r="AH958" s="125">
        <f>IFERROR(VLOOKUP(DATA[[#This Row],[COMBINADA]],#REF!,9,0),0)/COUNTIFS(DATA[COMBINADA],DATA[[#This Row],[COMBINADA]])</f>
        <v>0</v>
      </c>
      <c r="AI958" s="136">
        <f>IFERROR(VLOOKUP(DATA[[#This Row],[COMBINADA]],#REF!,6,0),0)</f>
        <v>0</v>
      </c>
      <c r="AJ958" s="132">
        <f>IFERROR(VLOOKUP(DATA[[#This Row],[COMBINADA]],#REF!,9,0),0)/COUNTIFS(DATA[COMBINADA],DATA[[#This Row],[COMBINADA]])</f>
        <v>0</v>
      </c>
      <c r="AK958" s="408">
        <f>IFERROR(VLOOKUP(DATA[[#This Row],[COMBINADA]],#REF!,6,0),0)</f>
        <v>0</v>
      </c>
      <c r="AL958" s="125">
        <f>IFERROR(VLOOKUP(DATA[[#This Row],[COMBINADA]],#REF!,9,0),0)/COUNTIFS(DATA[COMBINADA],DATA[[#This Row],[COMBINADA]])</f>
        <v>0</v>
      </c>
      <c r="AM958" s="289">
        <f>IFERROR(VLOOKUP(DATA[[#This Row],[COMBINADA]],#REF!,6,0),0)</f>
        <v>0</v>
      </c>
      <c r="AN958" s="211">
        <f>IFERROR(VLOOKUP(DATA[[#This Row],[COMBINADA]],#REF!,9,0),0)/COUNTIFS(DATA[COMBINADA],DATA[[#This Row],[COMBINADA]])</f>
        <v>0</v>
      </c>
      <c r="AO958" s="212">
        <f>IFERROR(VLOOKUP(DATA[[#This Row],[COMBINADA]],#REF!,6,0),0)</f>
        <v>0</v>
      </c>
      <c r="AP958" s="132">
        <f>IFERROR(VLOOKUP(DATA[[#This Row],[COMBINADA]],#REF!,9,0),0)/COUNTIFS(DATA[COMBINADA],DATA[[#This Row],[COMBINADA]])</f>
        <v>0</v>
      </c>
      <c r="AQ95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958" s="26" t="str">
        <f>IFERROR(IF(DATA[[#This Row],[estado_fact]]="FACTURADO",VLOOKUP(DATA[[#This Row],[SERIE2]]&amp;"-"&amp;DATA[[#This Row],[NUMERO]],#REF!,34,0),"NO CORRESPONDE"),"NO CORRESPONDE")</f>
        <v>NO CORRESPONDE</v>
      </c>
      <c r="AS958" s="22" t="str">
        <f>IF(DATA[[#This Row],[fecha_fs]]&gt;0,TEXT(DATA[[#This Row],[fecha_fs]],"Mmmm"),0)</f>
        <v>Julio</v>
      </c>
      <c r="AT958" s="190" t="str">
        <f>DATA[[#This Row],[SERIE2]]&amp;"-"&amp;DATA[[#This Row],[NUMERO]]</f>
        <v>FF01-256</v>
      </c>
      <c r="AU958" s="141">
        <f>DATA[[#This Row],[TOTAL]]*DATA[[#This Row],[T.C.]]</f>
        <v>843.52</v>
      </c>
      <c r="AV958" s="6">
        <f>DATA[[#This Row],[FECHA DE VAL.]]</f>
        <v>45862</v>
      </c>
      <c r="AW958" s="6">
        <f>DATA[[#This Row],[FECHA DE EMISION]]</f>
        <v>45916</v>
      </c>
      <c r="AX958" s="6">
        <f>DATA[[#This Row],[F1]]</f>
        <v>0</v>
      </c>
      <c r="AY958" s="20">
        <f>IF(AV958-DATA[[#This Row],[fecha_fs]]&lt;0,0,AV958-DATA[[#This Row],[fecha_fs]])</f>
        <v>2</v>
      </c>
      <c r="AZ958" s="20">
        <f t="shared" si="97"/>
        <v>54</v>
      </c>
      <c r="BA958" s="20">
        <f t="shared" si="98"/>
        <v>0</v>
      </c>
      <c r="BB958" s="195">
        <f>IFERROR(SUM(DATA[[#This Row],[fs_val_ttf]:[fact_pago_ttf]]),0)</f>
        <v>56</v>
      </c>
      <c r="BC958" s="185">
        <v>45860</v>
      </c>
      <c r="BD958" s="185">
        <v>45860</v>
      </c>
      <c r="BE958" s="185">
        <v>45866</v>
      </c>
      <c r="BF958" s="185">
        <v>45866</v>
      </c>
      <c r="BG958" s="20">
        <f>IFERROR(IF(BC958-DATA[[#This Row],[fecha_fs]]&lt;0,0,BC958-DATA[[#This Row],[fecha_fs]]),0)</f>
        <v>0</v>
      </c>
      <c r="BH958" s="20">
        <f t="shared" si="99"/>
        <v>0</v>
      </c>
      <c r="BI958" s="20">
        <f t="shared" si="100"/>
        <v>6</v>
      </c>
      <c r="BJ958" s="20">
        <f t="shared" si="101"/>
        <v>0</v>
      </c>
      <c r="BK958" s="218">
        <f>IFERROR(SUM(DATA[[#This Row],[fs_fd_ttd]:[fend_fenf_ttd]]),0)</f>
        <v>6</v>
      </c>
      <c r="BL958" s="20" t="str">
        <f>IF(DATA[[#This Row],[fecha_fs]]&gt;0,TEXT(DATA[[#This Row],[fecha_fs]],"YYYY"),0)</f>
        <v>2025</v>
      </c>
      <c r="BM958" s="221" t="b">
        <v>1</v>
      </c>
      <c r="BN958" s="278">
        <f>COUNTIF(DATA[[#This Row],[tiempo_td]], "&lt;=15")</f>
        <v>1</v>
      </c>
      <c r="BO958" s="222"/>
    </row>
    <row r="959" spans="1:67" ht="30.6" customHeight="1" x14ac:dyDescent="0.25">
      <c r="A959" s="4"/>
      <c r="B959" s="5" t="s">
        <v>0</v>
      </c>
      <c r="C959" s="52"/>
      <c r="D959" s="4"/>
      <c r="E959" s="5" t="s">
        <v>0</v>
      </c>
      <c r="F959" s="24">
        <v>45860</v>
      </c>
      <c r="G959" s="7" t="s">
        <v>113</v>
      </c>
      <c r="H959" s="25">
        <f t="shared" ref="H959:H986" si="112">IF(G959="","",IF(G959="LIM",2,1))</f>
        <v>1</v>
      </c>
      <c r="I959" s="67">
        <v>4783</v>
      </c>
      <c r="J959" s="8" t="s">
        <v>173</v>
      </c>
      <c r="K959" s="9"/>
      <c r="L959" s="10"/>
      <c r="M959" s="111"/>
      <c r="N959" s="112"/>
      <c r="O959" s="6"/>
      <c r="P959" s="13"/>
      <c r="Q959" s="14"/>
      <c r="R959" s="56"/>
      <c r="S959" s="56"/>
      <c r="T959" s="56">
        <f>DATA[[#This Row],[C. DF]]+DATA[[#This Row],[C.OPE.]]</f>
        <v>0</v>
      </c>
      <c r="U959" s="56">
        <f>DATA[[#This Row],[SUB TOTAL]]*0.18</f>
        <v>0</v>
      </c>
      <c r="V959" s="56">
        <f>IFERROR(ROUND(DATA[[#This Row],[SUB TOTAL]]+DATA[[#This Row],[IGV]],2),0)</f>
        <v>0</v>
      </c>
      <c r="W959" s="73" t="str">
        <f>IF(DATA[[#This Row],[VALORIZACIÓN ]]="-","NO CORRESPONDE",IF(OR(A959=20558226979,A959=10470707866,A959=20111157058,A959=20100226902),"NO CORRESPONDE",IF(J959="Emitida",IF(P959&gt;0,"EMITIDA","PENDIENTE"),"NO CORRESPONDE")))</f>
        <v>NO CORRESPONDE</v>
      </c>
      <c r="X959" s="46"/>
      <c r="Y959" s="17" t="s">
        <v>128</v>
      </c>
      <c r="Z959" s="48"/>
      <c r="AA959" s="49"/>
      <c r="AB959" s="50"/>
      <c r="AC959" s="51"/>
      <c r="AD959" s="59">
        <f>DATA[[#This Row],[FECHA DE EMISION]]+DATA[[#This Row],[CONDICION DE PAGO]]</f>
        <v>0</v>
      </c>
      <c r="AE959" s="23">
        <f>IF(DATA[[#This Row],[MONEDA]]="USD",VLOOKUP(DATA[[#This Row],[COMBINADA]],#REF!,11,0),1)</f>
        <v>1</v>
      </c>
      <c r="AF959" s="129" t="str">
        <f>IF(DATA[[#This Row],[SERIE2]]="-","NO CORRESPONDE",IF(W959="NO CORRESPONDE","NO CORRESPONDE",IF(Z959&gt;0,"FACTURADO","PENDIENTE")))</f>
        <v>NO CORRESPONDE</v>
      </c>
      <c r="AG959" s="208">
        <f>IFERROR(VLOOKUP(DATA[[#This Row],[COMBINADA]],#REF!,6,0),0)</f>
        <v>0</v>
      </c>
      <c r="AH959" s="209">
        <f>IFERROR(VLOOKUP(DATA[[#This Row],[COMBINADA]],#REF!,9,0),0)/COUNTIFS(DATA[COMBINADA],DATA[[#This Row],[COMBINADA]])</f>
        <v>0</v>
      </c>
      <c r="AI959" s="140">
        <f>IFERROR(VLOOKUP(DATA[[#This Row],[COMBINADA]],#REF!,6,0),0)</f>
        <v>0</v>
      </c>
      <c r="AJ959" s="126">
        <f>IFERROR(VLOOKUP(DATA[[#This Row],[COMBINADA]],#REF!,9,0),0)/COUNTIFS(DATA[COMBINADA],DATA[[#This Row],[COMBINADA]])</f>
        <v>0</v>
      </c>
      <c r="AK959" s="61">
        <f>IFERROR(VLOOKUP(DATA[[#This Row],[COMBINADA]],#REF!,6,0),0)</f>
        <v>0</v>
      </c>
      <c r="AL959" s="126">
        <f>IFERROR(VLOOKUP(DATA[[#This Row],[COMBINADA]],#REF!,9,0),0)/COUNTIFS(DATA[COMBINADA],DATA[[#This Row],[COMBINADA]])</f>
        <v>0</v>
      </c>
      <c r="AM959" s="61">
        <f>IFERROR(VLOOKUP(DATA[[#This Row],[COMBINADA]],#REF!,6,0),0)</f>
        <v>0</v>
      </c>
      <c r="AN959" s="62">
        <f>IFERROR(VLOOKUP(DATA[[#This Row],[COMBINADA]],#REF!,9,0),0)/COUNTIFS(DATA[COMBINADA],DATA[[#This Row],[COMBINADA]])</f>
        <v>0</v>
      </c>
      <c r="AO959" s="61">
        <f>IFERROR(VLOOKUP(DATA[[#This Row],[COMBINADA]],#REF!,6,0),0)</f>
        <v>0</v>
      </c>
      <c r="AP959" s="62">
        <f>IFERROR(VLOOKUP(DATA[[#This Row],[COMBINADA]],#REF!,9,0),0)/COUNTIFS(DATA[COMBINADA],DATA[[#This Row],[COMBINADA]])</f>
        <v>0</v>
      </c>
      <c r="AQ959"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959" s="22" t="str">
        <f>IFERROR(IF(DATA[[#This Row],[estado_fact]]="FACTURADO",VLOOKUP(DATA[[#This Row],[SERIE2]]&amp;"-"&amp;DATA[[#This Row],[NUMERO]],#REF!,34,0),"NO CORRESPONDE"),"NO CORRESPONDE")</f>
        <v>NO CORRESPONDE</v>
      </c>
      <c r="AS959" s="198" t="str">
        <f>IF(DATA[[#This Row],[fecha_fs]]&gt;0,TEXT(DATA[[#This Row],[fecha_fs]],"Mmmm"),0)</f>
        <v>Julio</v>
      </c>
      <c r="AT959" s="199" t="str">
        <f>DATA[[#This Row],[SERIE2]]&amp;"-"&amp;DATA[[#This Row],[NUMERO]]</f>
        <v>-</v>
      </c>
      <c r="AU959" s="198">
        <f>DATA[[#This Row],[TOTAL]]*DATA[[#This Row],[T.C.]]</f>
        <v>0</v>
      </c>
      <c r="AV959" s="40">
        <f>DATA[[#This Row],[FECHA DE VAL.]]</f>
        <v>0</v>
      </c>
      <c r="AW959" s="40">
        <f>DATA[[#This Row],[FECHA DE EMISION]]</f>
        <v>0</v>
      </c>
      <c r="AX959" s="40">
        <f>DATA[[#This Row],[F1]]</f>
        <v>0</v>
      </c>
      <c r="AY959" s="49">
        <f>IF(AV959-DATA[[#This Row],[fecha_fs]]&lt;0,0,AV959-DATA[[#This Row],[fecha_fs]])</f>
        <v>0</v>
      </c>
      <c r="AZ959" s="49">
        <f t="shared" ref="AZ959:AZ986" si="113">IF(AW959-AV959&lt;0,0,AW959-AV959)</f>
        <v>0</v>
      </c>
      <c r="BA959" s="49">
        <f t="shared" ref="BA959:BA986" si="114">IF(AX959-AW959&lt;0,0,AX959-AW959)</f>
        <v>0</v>
      </c>
      <c r="BB959" s="195">
        <f>IFERROR(SUM(DATA[[#This Row],[fs_val_ttf]:[fact_pago_ttf]]),0)</f>
        <v>0</v>
      </c>
      <c r="BC959" s="276"/>
      <c r="BD959" s="276"/>
      <c r="BE959" s="276"/>
      <c r="BF959" s="276"/>
      <c r="BG959" s="49">
        <f>IFERROR(IF(BC959-DATA[[#This Row],[fecha_fs]]&lt;0,0,BC959-DATA[[#This Row],[fecha_fs]]),0)</f>
        <v>0</v>
      </c>
      <c r="BH959" s="49">
        <f t="shared" ref="BH959:BH986" si="115">IFERROR(IF(BD959-BC959&lt;0,0,BD959-BC959),0)</f>
        <v>0</v>
      </c>
      <c r="BI959" s="49">
        <f t="shared" ref="BI959:BI986" si="116">IFERROR(IF(BE959-BD959&lt;0,0,BE959-BD959),0)</f>
        <v>0</v>
      </c>
      <c r="BJ959" s="49">
        <f t="shared" ref="BJ959:BJ986" si="117">IFERROR(IF(BF959-BE959&lt;0,0,BF959-BE959),0)</f>
        <v>0</v>
      </c>
      <c r="BK959" s="218">
        <f>IFERROR(SUM(DATA[[#This Row],[fs_fd_ttd]:[fend_fenf_ttd]]),0)</f>
        <v>0</v>
      </c>
      <c r="BL959" s="20" t="str">
        <f>IF(DATA[[#This Row],[fecha_fs]]&gt;0,TEXT(DATA[[#This Row],[fecha_fs]],"YYYY"),0)</f>
        <v>2025</v>
      </c>
      <c r="BM959" s="221" t="b">
        <v>0</v>
      </c>
      <c r="BN959" s="278"/>
      <c r="BO959" s="222"/>
    </row>
    <row r="960" spans="1:67" s="380" customFormat="1" ht="30.6" customHeight="1" x14ac:dyDescent="0.25">
      <c r="A960" s="381">
        <v>20552714378</v>
      </c>
      <c r="B960" s="382" t="s">
        <v>288</v>
      </c>
      <c r="C960" s="383" t="s">
        <v>264</v>
      </c>
      <c r="D960" s="381" t="s">
        <v>112</v>
      </c>
      <c r="E960" s="382" t="s">
        <v>1</v>
      </c>
      <c r="F960" s="384">
        <v>45860</v>
      </c>
      <c r="G960" s="385" t="s">
        <v>113</v>
      </c>
      <c r="H960" s="386">
        <f t="shared" si="112"/>
        <v>1</v>
      </c>
      <c r="I960" s="387">
        <v>4784</v>
      </c>
      <c r="J960" s="388" t="s">
        <v>115</v>
      </c>
      <c r="K960" s="389" t="s">
        <v>116</v>
      </c>
      <c r="L960" s="47" t="s">
        <v>117</v>
      </c>
      <c r="M960" s="390">
        <v>30</v>
      </c>
      <c r="N960" s="391" t="s">
        <v>165</v>
      </c>
      <c r="O960" s="40">
        <v>45863</v>
      </c>
      <c r="P960" s="392">
        <v>3581</v>
      </c>
      <c r="Q960" s="42" t="s">
        <v>85</v>
      </c>
      <c r="R960" s="43">
        <f>450/3</f>
        <v>150</v>
      </c>
      <c r="S960" s="393">
        <v>2319.6999999999998</v>
      </c>
      <c r="T960" s="43">
        <f>DATA[[#This Row],[C. DF]]+DATA[[#This Row],[C.OPE.]]</f>
        <v>2469.6999999999998</v>
      </c>
      <c r="U960" s="43">
        <f>DATA[[#This Row],[SUB TOTAL]]*0.18</f>
        <v>444.54599999999994</v>
      </c>
      <c r="V960" s="43">
        <f>IFERROR(ROUND(DATA[[#This Row],[SUB TOTAL]]+DATA[[#This Row],[IGV]],2),0)</f>
        <v>2914.25</v>
      </c>
      <c r="W960" s="44" t="str">
        <f>IF(DATA[[#This Row],[VALORIZACIÓN ]]="-","NO CORRESPONDE",IF(OR(A960=20558226979,A960=10470707866,A960=20111157058,A960=20100226902),"NO CORRESPONDE",IF(J960="Emitida",IF(P960&gt;0,"EMITIDA","PENDIENTE"),"NO CORRESPONDE")))</f>
        <v>EMITIDA</v>
      </c>
      <c r="X960" s="397" t="s">
        <v>351</v>
      </c>
      <c r="Y960" s="58" t="s">
        <v>232</v>
      </c>
      <c r="Z960" s="46"/>
      <c r="AA960" s="47"/>
      <c r="AB960" s="48"/>
      <c r="AC960" s="49"/>
      <c r="AD960" s="50">
        <f>DATA[[#This Row],[FECHA DE EMISION]]+DATA[[#This Row],[CONDICION DE PAGO]]</f>
        <v>0</v>
      </c>
      <c r="AE960" s="51">
        <f>IF(DATA[[#This Row],[MONEDA]]="USD",VLOOKUP(DATA[[#This Row],[COMBINADA]],#REF!,11,0),1)</f>
        <v>1</v>
      </c>
      <c r="AF960" s="181" t="str">
        <f>IF(DATA[[#This Row],[SERIE2]]="-","NO CORRESPONDE",IF(W960="NO CORRESPONDE","NO CORRESPONDE",IF(Z960&gt;0,"FACTURADO","PENDIENTE")))</f>
        <v>PENDIENTE</v>
      </c>
      <c r="AG960" s="133">
        <f>IFERROR(VLOOKUP(DATA[[#This Row],[COMBINADA]],#REF!,6,0),0)</f>
        <v>0</v>
      </c>
      <c r="AH960" s="125">
        <f>IFERROR(VLOOKUP(DATA[[#This Row],[COMBINADA]],#REF!,9,0),0)/COUNTIFS(DATA[COMBINADA],DATA[[#This Row],[COMBINADA]])</f>
        <v>0</v>
      </c>
      <c r="AI960" s="136">
        <f>IFERROR(VLOOKUP(DATA[[#This Row],[COMBINADA]],#REF!,6,0),0)</f>
        <v>0</v>
      </c>
      <c r="AJ960" s="132">
        <f>IFERROR(VLOOKUP(DATA[[#This Row],[COMBINADA]],#REF!,9,0),0)/COUNTIFS(DATA[COMBINADA],DATA[[#This Row],[COMBINADA]])</f>
        <v>0</v>
      </c>
      <c r="AK960" s="408">
        <f>IFERROR(VLOOKUP(DATA[[#This Row],[COMBINADA]],#REF!,6,0),0)</f>
        <v>0</v>
      </c>
      <c r="AL960" s="125">
        <f>IFERROR(VLOOKUP(DATA[[#This Row],[COMBINADA]],#REF!,9,0),0)/COUNTIFS(DATA[COMBINADA],DATA[[#This Row],[COMBINADA]])</f>
        <v>0</v>
      </c>
      <c r="AM960" s="288">
        <f>IFERROR(VLOOKUP(DATA[[#This Row],[COMBINADA]],#REF!,6,0),0)</f>
        <v>0</v>
      </c>
      <c r="AN960" s="125">
        <f>IFERROR(VLOOKUP(DATA[[#This Row],[COMBINADA]],#REF!,9,0),0)/COUNTIFS(DATA[COMBINADA],DATA[[#This Row],[COMBINADA]])</f>
        <v>0</v>
      </c>
      <c r="AO960" s="147">
        <f>IFERROR(VLOOKUP(DATA[[#This Row],[COMBINADA]],#REF!,6,0),0)</f>
        <v>0</v>
      </c>
      <c r="AP960" s="132">
        <f>IFERROR(VLOOKUP(DATA[[#This Row],[COMBINADA]],#REF!,9,0),0)/COUNTIFS(DATA[COMBINADA],DATA[[#This Row],[COMBINADA]])</f>
        <v>0</v>
      </c>
      <c r="AQ960"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960" s="64" t="str">
        <f>IFERROR(IF(DATA[[#This Row],[estado_fact]]="FACTURADO",VLOOKUP(DATA[[#This Row],[SERIE2]]&amp;"-"&amp;DATA[[#This Row],[NUMERO]],#REF!,34,0),"NO CORRESPONDE"),"NO CORRESPONDE")</f>
        <v>NO CORRESPONDE</v>
      </c>
      <c r="AS960" s="199" t="str">
        <f>IF(DATA[[#This Row],[fecha_fs]]&gt;0,TEXT(DATA[[#This Row],[fecha_fs]],"Mmmm"),0)</f>
        <v>Julio</v>
      </c>
      <c r="AT960" s="199" t="str">
        <f>DATA[[#This Row],[SERIE2]]&amp;"-"&amp;DATA[[#This Row],[NUMERO]]</f>
        <v>-</v>
      </c>
      <c r="AU960" s="198">
        <f>DATA[[#This Row],[TOTAL]]*DATA[[#This Row],[T.C.]]</f>
        <v>2914.25</v>
      </c>
      <c r="AV960" s="40">
        <f>DATA[[#This Row],[FECHA DE VAL.]]</f>
        <v>45863</v>
      </c>
      <c r="AW960" s="40">
        <f>DATA[[#This Row],[FECHA DE EMISION]]</f>
        <v>0</v>
      </c>
      <c r="AX960" s="40">
        <f>DATA[[#This Row],[F1]]</f>
        <v>0</v>
      </c>
      <c r="AY960" s="49">
        <f>IF(AV960-DATA[[#This Row],[fecha_fs]]&lt;0,0,AV960-DATA[[#This Row],[fecha_fs]])</f>
        <v>3</v>
      </c>
      <c r="AZ960" s="49">
        <f t="shared" si="113"/>
        <v>0</v>
      </c>
      <c r="BA960" s="142">
        <f t="shared" si="114"/>
        <v>0</v>
      </c>
      <c r="BB960" s="144">
        <f>IFERROR(SUM(DATA[[#This Row],[fs_val_ttf]:[fact_pago_ttf]]),0)</f>
        <v>3</v>
      </c>
      <c r="BC960" s="200">
        <v>45894</v>
      </c>
      <c r="BD960" s="200">
        <v>45903</v>
      </c>
      <c r="BE960" s="200">
        <v>45909</v>
      </c>
      <c r="BF960" s="200">
        <v>45903</v>
      </c>
      <c r="BG960" s="49">
        <f>IFERROR(IF(BC960-DATA[[#This Row],[fecha_fs]]&lt;0,0,BC960-DATA[[#This Row],[fecha_fs]]),0)</f>
        <v>34</v>
      </c>
      <c r="BH960" s="49">
        <f t="shared" si="115"/>
        <v>9</v>
      </c>
      <c r="BI960" s="49">
        <f t="shared" si="116"/>
        <v>6</v>
      </c>
      <c r="BJ960" s="49">
        <f t="shared" si="117"/>
        <v>0</v>
      </c>
      <c r="BK960" s="144">
        <f>IFERROR(SUM(DATA[[#This Row],[fs_fd_ttd]:[fend_fenf_ttd]]),0)</f>
        <v>49</v>
      </c>
      <c r="BL960" s="20" t="str">
        <f>IF(DATA[[#This Row],[fecha_fs]]&gt;0,TEXT(DATA[[#This Row],[fecha_fs]],"YYYY"),0)</f>
        <v>2025</v>
      </c>
      <c r="BM960" s="394" t="b">
        <v>1</v>
      </c>
      <c r="BN960" s="395">
        <f>COUNTIF(DATA[[#This Row],[tiempo_td]], "&lt;=15")</f>
        <v>0</v>
      </c>
      <c r="BO960" s="396"/>
    </row>
    <row r="961" spans="1:67" ht="30.6" customHeight="1" x14ac:dyDescent="0.25">
      <c r="A961" s="4">
        <v>20552714378</v>
      </c>
      <c r="B961" s="5" t="s">
        <v>288</v>
      </c>
      <c r="C961" s="52" t="s">
        <v>264</v>
      </c>
      <c r="D961" s="4" t="s">
        <v>120</v>
      </c>
      <c r="E961" s="5" t="s">
        <v>3</v>
      </c>
      <c r="F961" s="24">
        <v>45860</v>
      </c>
      <c r="G961" s="7" t="s">
        <v>113</v>
      </c>
      <c r="H961" s="25">
        <f t="shared" si="112"/>
        <v>1</v>
      </c>
      <c r="I961" s="67">
        <v>4785</v>
      </c>
      <c r="J961" s="8" t="s">
        <v>115</v>
      </c>
      <c r="K961" s="9" t="s">
        <v>121</v>
      </c>
      <c r="L961" s="10" t="s">
        <v>117</v>
      </c>
      <c r="M961" s="11">
        <v>70</v>
      </c>
      <c r="N961" s="12" t="s">
        <v>200</v>
      </c>
      <c r="O961" s="6">
        <v>45863</v>
      </c>
      <c r="P961" s="109">
        <v>3622</v>
      </c>
      <c r="Q961" s="14" t="s">
        <v>85</v>
      </c>
      <c r="R961" s="15">
        <f>80/5</f>
        <v>16</v>
      </c>
      <c r="S961" s="237">
        <v>2112.33</v>
      </c>
      <c r="T961" s="15">
        <f>DATA[[#This Row],[C. DF]]+DATA[[#This Row],[C.OPE.]]</f>
        <v>2128.33</v>
      </c>
      <c r="U961" s="15">
        <f>DATA[[#This Row],[SUB TOTAL]]*0.18</f>
        <v>383.09939999999995</v>
      </c>
      <c r="V961" s="15">
        <f>IFERROR(ROUND(DATA[[#This Row],[SUB TOTAL]]+DATA[[#This Row],[IGV]],2),0)</f>
        <v>2511.4299999999998</v>
      </c>
      <c r="W961" s="16" t="str">
        <f>IF(DATA[[#This Row],[VALORIZACIÓN ]]="-","NO CORRESPONDE",IF(OR(A961=20558226979,A961=10470707866,A961=20111157058,A961=20100226902),"NO CORRESPONDE",IF(J961="Emitida",IF(P961&gt;0,"EMITIDA","PENDIENTE"),"NO CORRESPONDE")))</f>
        <v>EMITIDA</v>
      </c>
      <c r="X961" s="29"/>
      <c r="Y961" s="17" t="s">
        <v>118</v>
      </c>
      <c r="Z961" s="30">
        <v>45912</v>
      </c>
      <c r="AA961" s="10" t="s">
        <v>150</v>
      </c>
      <c r="AB961" s="19">
        <v>253</v>
      </c>
      <c r="AC961" s="20">
        <v>60</v>
      </c>
      <c r="AD961" s="18">
        <f>DATA[[#This Row],[FECHA DE EMISION]]+DATA[[#This Row],[CONDICION DE PAGO]]</f>
        <v>45972</v>
      </c>
      <c r="AE961" s="23">
        <f>IF(DATA[[#This Row],[MONEDA]]="USD",VLOOKUP(DATA[[#This Row],[COMBINADA]],#REF!,11,0),1)</f>
        <v>1</v>
      </c>
      <c r="AF961" s="129" t="str">
        <f>IF(DATA[[#This Row],[SERIE2]]="-","NO CORRESPONDE",IF(W961="NO CORRESPONDE","NO CORRESPONDE",IF(Z961&gt;0,"FACTURADO","PENDIENTE")))</f>
        <v>FACTURADO</v>
      </c>
      <c r="AG961" s="133">
        <f>IFERROR(VLOOKUP(DATA[[#This Row],[COMBINADA]],#REF!,6,0),0)</f>
        <v>0</v>
      </c>
      <c r="AH961" s="125">
        <f>IFERROR(VLOOKUP(DATA[[#This Row],[COMBINADA]],#REF!,9,0),0)/COUNTIFS(DATA[COMBINADA],DATA[[#This Row],[COMBINADA]])</f>
        <v>0</v>
      </c>
      <c r="AI961" s="136">
        <f>IFERROR(VLOOKUP(DATA[[#This Row],[COMBINADA]],#REF!,6,0),0)</f>
        <v>0</v>
      </c>
      <c r="AJ961" s="132">
        <f>IFERROR(VLOOKUP(DATA[[#This Row],[COMBINADA]],#REF!,9,0),0)/COUNTIFS(DATA[COMBINADA],DATA[[#This Row],[COMBINADA]])</f>
        <v>0</v>
      </c>
      <c r="AK961" s="408">
        <f>IFERROR(VLOOKUP(DATA[[#This Row],[COMBINADA]],#REF!,6,0),0)</f>
        <v>0</v>
      </c>
      <c r="AL961" s="125">
        <f>IFERROR(VLOOKUP(DATA[[#This Row],[COMBINADA]],#REF!,9,0),0)/COUNTIFS(DATA[COMBINADA],DATA[[#This Row],[COMBINADA]])</f>
        <v>0</v>
      </c>
      <c r="AM961" s="288">
        <f>IFERROR(VLOOKUP(DATA[[#This Row],[COMBINADA]],#REF!,6,0),0)</f>
        <v>0</v>
      </c>
      <c r="AN961" s="125">
        <f>IFERROR(VLOOKUP(DATA[[#This Row],[COMBINADA]],#REF!,9,0),0)/COUNTIFS(DATA[COMBINADA],DATA[[#This Row],[COMBINADA]])</f>
        <v>0</v>
      </c>
      <c r="AO961" s="147">
        <f>IFERROR(VLOOKUP(DATA[[#This Row],[COMBINADA]],#REF!,6,0),0)</f>
        <v>0</v>
      </c>
      <c r="AP961" s="132">
        <f>IFERROR(VLOOKUP(DATA[[#This Row],[COMBINADA]],#REF!,9,0),0)/COUNTIFS(DATA[COMBINADA],DATA[[#This Row],[COMBINADA]])</f>
        <v>0</v>
      </c>
      <c r="AQ96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2511.4299999999998</v>
      </c>
      <c r="AR961" s="26" t="str">
        <f>IFERROR(IF(DATA[[#This Row],[estado_fact]]="FACTURADO",VLOOKUP(DATA[[#This Row],[SERIE2]]&amp;"-"&amp;DATA[[#This Row],[NUMERO]],#REF!,34,0),"NO CORRESPONDE"),"NO CORRESPONDE")</f>
        <v>NO CORRESPONDE</v>
      </c>
      <c r="AS961" s="22" t="str">
        <f>IF(DATA[[#This Row],[fecha_fs]]&gt;0,TEXT(DATA[[#This Row],[fecha_fs]],"Mmmm"),0)</f>
        <v>Julio</v>
      </c>
      <c r="AT961" s="22" t="str">
        <f>DATA[[#This Row],[SERIE2]]&amp;"-"&amp;DATA[[#This Row],[NUMERO]]</f>
        <v>FF01-253</v>
      </c>
      <c r="AU961" s="28">
        <f>DATA[[#This Row],[TOTAL]]*DATA[[#This Row],[T.C.]]</f>
        <v>2511.4299999999998</v>
      </c>
      <c r="AV961" s="6">
        <f>DATA[[#This Row],[FECHA DE VAL.]]</f>
        <v>45863</v>
      </c>
      <c r="AW961" s="6">
        <f>DATA[[#This Row],[FECHA DE EMISION]]</f>
        <v>45912</v>
      </c>
      <c r="AX961" s="6">
        <f>DATA[[#This Row],[F1]]</f>
        <v>0</v>
      </c>
      <c r="AY961" s="20">
        <f>IF(AV961-DATA[[#This Row],[fecha_fs]]&lt;0,0,AV961-DATA[[#This Row],[fecha_fs]])</f>
        <v>3</v>
      </c>
      <c r="AZ961" s="20">
        <f t="shared" si="113"/>
        <v>49</v>
      </c>
      <c r="BA961" s="53">
        <f t="shared" si="114"/>
        <v>0</v>
      </c>
      <c r="BB961" s="195">
        <f>IFERROR(SUM(DATA[[#This Row],[fs_val_ttf]:[fact_pago_ttf]]),0)</f>
        <v>52</v>
      </c>
      <c r="BC961" s="185">
        <v>45889</v>
      </c>
      <c r="BD961" s="185">
        <v>45895</v>
      </c>
      <c r="BE961" s="185">
        <v>45897</v>
      </c>
      <c r="BF961" s="185">
        <v>45903</v>
      </c>
      <c r="BG961" s="20">
        <f>IFERROR(IF(BC961-DATA[[#This Row],[fecha_fs]]&lt;0,0,BC961-DATA[[#This Row],[fecha_fs]]),0)</f>
        <v>29</v>
      </c>
      <c r="BH961" s="20">
        <f t="shared" si="115"/>
        <v>6</v>
      </c>
      <c r="BI961" s="20">
        <f t="shared" si="116"/>
        <v>2</v>
      </c>
      <c r="BJ961" s="20">
        <f t="shared" si="117"/>
        <v>6</v>
      </c>
      <c r="BK961" s="282">
        <f>IFERROR(SUM(DATA[[#This Row],[fs_fd_ttd]:[fend_fenf_ttd]]),0)</f>
        <v>43</v>
      </c>
      <c r="BL961" s="20" t="str">
        <f>IF(DATA[[#This Row],[fecha_fs]]&gt;0,TEXT(DATA[[#This Row],[fecha_fs]],"YYYY"),0)</f>
        <v>2025</v>
      </c>
      <c r="BM961" s="236" t="b">
        <v>1</v>
      </c>
      <c r="BN961" s="278">
        <f>COUNTIF(DATA[[#This Row],[tiempo_td]], "&lt;=15")</f>
        <v>0</v>
      </c>
      <c r="BO961" s="222"/>
    </row>
    <row r="962" spans="1:67" ht="30.6" customHeight="1" x14ac:dyDescent="0.25">
      <c r="A962" s="4">
        <v>20505675836</v>
      </c>
      <c r="B962" s="5" t="s">
        <v>42</v>
      </c>
      <c r="C962" s="52" t="s">
        <v>43</v>
      </c>
      <c r="D962" s="4" t="s">
        <v>112</v>
      </c>
      <c r="E962" s="5" t="s">
        <v>1</v>
      </c>
      <c r="F962" s="24">
        <v>45860</v>
      </c>
      <c r="G962" s="7" t="s">
        <v>113</v>
      </c>
      <c r="H962" s="25">
        <f t="shared" si="112"/>
        <v>1</v>
      </c>
      <c r="I962" s="67">
        <v>4786</v>
      </c>
      <c r="J962" s="8" t="s">
        <v>115</v>
      </c>
      <c r="K962" s="9" t="s">
        <v>116</v>
      </c>
      <c r="L962" s="10" t="s">
        <v>117</v>
      </c>
      <c r="M962" s="11">
        <v>3080</v>
      </c>
      <c r="N962" s="12"/>
      <c r="O962" s="6">
        <v>45863</v>
      </c>
      <c r="P962" s="71">
        <v>3571</v>
      </c>
      <c r="Q962" s="14" t="s">
        <v>85</v>
      </c>
      <c r="R962" s="237">
        <f>(DATA[[#This Row],[cantidad_fs]]-600)*0.97</f>
        <v>2405.6</v>
      </c>
      <c r="S962" s="237">
        <v>1427.2</v>
      </c>
      <c r="T962" s="15">
        <f>DATA[[#This Row],[C. DF]]+DATA[[#This Row],[C.OPE.]]</f>
        <v>3832.8</v>
      </c>
      <c r="U962" s="15">
        <f>DATA[[#This Row],[SUB TOTAL]]*0.18</f>
        <v>689.904</v>
      </c>
      <c r="V962" s="15">
        <f>IFERROR(ROUND(DATA[[#This Row],[SUB TOTAL]]+DATA[[#This Row],[IGV]],2),0)</f>
        <v>4522.7</v>
      </c>
      <c r="W962" s="16" t="str">
        <f>IF(DATA[[#This Row],[VALORIZACIÓN ]]="-","NO CORRESPONDE",IF(OR(A962=20558226979,A962=10470707866,A962=20111157058,A962=20100226902),"NO CORRESPONDE",IF(J962="Emitida",IF(P962&gt;0,"EMITIDA","PENDIENTE"),"NO CORRESPONDE")))</f>
        <v>EMITIDA</v>
      </c>
      <c r="X962" s="29"/>
      <c r="Y962" s="17" t="s">
        <v>118</v>
      </c>
      <c r="Z962" s="30">
        <v>45876</v>
      </c>
      <c r="AA962" s="10" t="s">
        <v>150</v>
      </c>
      <c r="AB962" s="19">
        <v>197</v>
      </c>
      <c r="AC962" s="20">
        <v>30</v>
      </c>
      <c r="AD962" s="18">
        <f>DATA[[#This Row],[FECHA DE EMISION]]+DATA[[#This Row],[CONDICION DE PAGO]]</f>
        <v>45906</v>
      </c>
      <c r="AE962" s="23">
        <f>IF(DATA[[#This Row],[MONEDA]]="USD",VLOOKUP(DATA[[#This Row],[COMBINADA]],#REF!,11,0),1)</f>
        <v>1</v>
      </c>
      <c r="AF962" s="129" t="str">
        <f>IF(DATA[[#This Row],[SERIE2]]="-","NO CORRESPONDE",IF(W962="NO CORRESPONDE","NO CORRESPONDE",IF(Z962&gt;0,"FACTURADO","PENDIENTE")))</f>
        <v>FACTURADO</v>
      </c>
      <c r="AG962" s="133">
        <f>IFERROR(VLOOKUP(DATA[[#This Row],[COMBINADA]],#REF!,6,0),0)</f>
        <v>0</v>
      </c>
      <c r="AH962" s="125">
        <f>IFERROR(VLOOKUP(DATA[[#This Row],[COMBINADA]],#REF!,9,0),0)/COUNTIFS(DATA[COMBINADA],DATA[[#This Row],[COMBINADA]])</f>
        <v>0</v>
      </c>
      <c r="AI962" s="136">
        <f>IFERROR(VLOOKUP(DATA[[#This Row],[COMBINADA]],#REF!,6,0),0)</f>
        <v>0</v>
      </c>
      <c r="AJ962" s="132">
        <f>IFERROR(VLOOKUP(DATA[[#This Row],[COMBINADA]],#REF!,9,0),0)/COUNTIFS(DATA[COMBINADA],DATA[[#This Row],[COMBINADA]])</f>
        <v>0</v>
      </c>
      <c r="AK962" s="408">
        <f>IFERROR(VLOOKUP(DATA[[#This Row],[COMBINADA]],#REF!,6,0),0)</f>
        <v>0</v>
      </c>
      <c r="AL962" s="125">
        <f>IFERROR(VLOOKUP(DATA[[#This Row],[COMBINADA]],#REF!,9,0),0)/COUNTIFS(DATA[COMBINADA],DATA[[#This Row],[COMBINADA]])</f>
        <v>0</v>
      </c>
      <c r="AM962" s="288">
        <f>IFERROR(VLOOKUP(DATA[[#This Row],[COMBINADA]],#REF!,6,0),0)</f>
        <v>0</v>
      </c>
      <c r="AN962" s="125">
        <f>IFERROR(VLOOKUP(DATA[[#This Row],[COMBINADA]],#REF!,9,0),0)/COUNTIFS(DATA[COMBINADA],DATA[[#This Row],[COMBINADA]])</f>
        <v>0</v>
      </c>
      <c r="AO962" s="147">
        <f>IFERROR(VLOOKUP(DATA[[#This Row],[COMBINADA]],#REF!,6,0),0)</f>
        <v>0</v>
      </c>
      <c r="AP962" s="132">
        <f>IFERROR(VLOOKUP(DATA[[#This Row],[COMBINADA]],#REF!,9,0),0)/COUNTIFS(DATA[COMBINADA],DATA[[#This Row],[COMBINADA]])</f>
        <v>0</v>
      </c>
      <c r="AQ96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4617.7775000000001</v>
      </c>
      <c r="AR962" s="26" t="str">
        <f>IFERROR(IF(DATA[[#This Row],[estado_fact]]="FACTURADO",VLOOKUP(DATA[[#This Row],[SERIE2]]&amp;"-"&amp;DATA[[#This Row],[NUMERO]],#REF!,34,0),"NO CORRESPONDE"),"NO CORRESPONDE")</f>
        <v>NO CORRESPONDE</v>
      </c>
      <c r="AS962" s="22" t="str">
        <f>IF(DATA[[#This Row],[fecha_fs]]&gt;0,TEXT(DATA[[#This Row],[fecha_fs]],"Mmmm"),0)</f>
        <v>Julio</v>
      </c>
      <c r="AT962" s="22" t="str">
        <f>DATA[[#This Row],[SERIE2]]&amp;"-"&amp;DATA[[#This Row],[NUMERO]]</f>
        <v>FF01-197</v>
      </c>
      <c r="AU962" s="28">
        <f>DATA[[#This Row],[TOTAL]]*DATA[[#This Row],[T.C.]]</f>
        <v>4522.7</v>
      </c>
      <c r="AV962" s="6">
        <f>DATA[[#This Row],[FECHA DE VAL.]]</f>
        <v>45863</v>
      </c>
      <c r="AW962" s="6">
        <f>DATA[[#This Row],[FECHA DE EMISION]]</f>
        <v>45876</v>
      </c>
      <c r="AX962" s="6">
        <f>DATA[[#This Row],[F1]]</f>
        <v>0</v>
      </c>
      <c r="AY962" s="20">
        <f>IF(AV962-DATA[[#This Row],[fecha_fs]]&lt;0,0,AV962-DATA[[#This Row],[fecha_fs]])</f>
        <v>3</v>
      </c>
      <c r="AZ962" s="20">
        <f t="shared" si="113"/>
        <v>13</v>
      </c>
      <c r="BA962" s="53">
        <f t="shared" si="114"/>
        <v>0</v>
      </c>
      <c r="BB962" s="195">
        <f>IFERROR(SUM(DATA[[#This Row],[fs_val_ttf]:[fact_pago_ttf]]),0)</f>
        <v>16</v>
      </c>
      <c r="BC962" s="185">
        <v>45870</v>
      </c>
      <c r="BD962" s="185">
        <v>45876</v>
      </c>
      <c r="BE962" s="185">
        <v>45877</v>
      </c>
      <c r="BF962" s="185">
        <v>45881</v>
      </c>
      <c r="BG962" s="20">
        <f>IFERROR(IF(BC962-DATA[[#This Row],[fecha_fs]]&lt;0,0,BC962-DATA[[#This Row],[fecha_fs]]),0)</f>
        <v>10</v>
      </c>
      <c r="BH962" s="20">
        <f t="shared" si="115"/>
        <v>6</v>
      </c>
      <c r="BI962" s="20">
        <f t="shared" si="116"/>
        <v>1</v>
      </c>
      <c r="BJ962" s="20">
        <f t="shared" si="117"/>
        <v>4</v>
      </c>
      <c r="BK962" s="282">
        <f>IFERROR(SUM(DATA[[#This Row],[fs_fd_ttd]:[fend_fenf_ttd]]),0)</f>
        <v>21</v>
      </c>
      <c r="BL962" s="20" t="str">
        <f>IF(DATA[[#This Row],[fecha_fs]]&gt;0,TEXT(DATA[[#This Row],[fecha_fs]],"YYYY"),0)</f>
        <v>2025</v>
      </c>
      <c r="BM962" s="236" t="b">
        <v>1</v>
      </c>
      <c r="BN962" s="278">
        <f>COUNTIF(DATA[[#This Row],[tiempo_td]], "&lt;=15")</f>
        <v>0</v>
      </c>
      <c r="BO962" s="222"/>
    </row>
    <row r="963" spans="1:67" ht="30.6" customHeight="1" x14ac:dyDescent="0.25">
      <c r="A963" s="4">
        <v>20603536569</v>
      </c>
      <c r="B963" s="5" t="s">
        <v>27</v>
      </c>
      <c r="C963" s="52" t="s">
        <v>295</v>
      </c>
      <c r="D963" s="4" t="s">
        <v>120</v>
      </c>
      <c r="E963" s="5" t="s">
        <v>3</v>
      </c>
      <c r="F963" s="24">
        <v>45862</v>
      </c>
      <c r="G963" s="7" t="s">
        <v>113</v>
      </c>
      <c r="H963" s="25">
        <f t="shared" si="112"/>
        <v>1</v>
      </c>
      <c r="I963" s="67">
        <v>4787</v>
      </c>
      <c r="J963" s="8" t="s">
        <v>115</v>
      </c>
      <c r="K963" s="9" t="s">
        <v>121</v>
      </c>
      <c r="L963" s="10" t="s">
        <v>117</v>
      </c>
      <c r="M963" s="11">
        <v>720</v>
      </c>
      <c r="N963" s="12" t="s">
        <v>167</v>
      </c>
      <c r="O963" s="6">
        <v>45863</v>
      </c>
      <c r="P963" s="13">
        <v>3557</v>
      </c>
      <c r="Q963" s="14" t="s">
        <v>85</v>
      </c>
      <c r="R963" s="237">
        <f>192+((DATA[[#This Row],[cantidad_fs]]-300)*0.64)</f>
        <v>460.8</v>
      </c>
      <c r="S963" s="237">
        <v>7556.9</v>
      </c>
      <c r="T963" s="15">
        <f>DATA[[#This Row],[C. DF]]+DATA[[#This Row],[C.OPE.]]</f>
        <v>8017.7</v>
      </c>
      <c r="U963" s="15">
        <f>DATA[[#This Row],[SUB TOTAL]]*0.18</f>
        <v>1443.1859999999999</v>
      </c>
      <c r="V963" s="15">
        <f>IFERROR(ROUND(DATA[[#This Row],[SUB TOTAL]]+DATA[[#This Row],[IGV]],2),0)</f>
        <v>9460.89</v>
      </c>
      <c r="W963" s="16" t="str">
        <f>IF(DATA[[#This Row],[VALORIZACIÓN ]]="-","NO CORRESPONDE",IF(OR(A963=20558226979,A963=10470707866,A963=20111157058,A963=20100226902),"NO CORRESPONDE",IF(J963="Emitida",IF(P963&gt;0,"EMITIDA","PENDIENTE"),"NO CORRESPONDE")))</f>
        <v>EMITIDA</v>
      </c>
      <c r="X963" s="29"/>
      <c r="Y963" s="17" t="s">
        <v>118</v>
      </c>
      <c r="Z963" s="30">
        <v>45883</v>
      </c>
      <c r="AA963" s="10" t="s">
        <v>150</v>
      </c>
      <c r="AB963" s="19">
        <v>206</v>
      </c>
      <c r="AC963" s="20">
        <v>15</v>
      </c>
      <c r="AD963" s="18">
        <f>DATA[[#This Row],[FECHA DE EMISION]]+DATA[[#This Row],[CONDICION DE PAGO]]</f>
        <v>45898</v>
      </c>
      <c r="AE963" s="23">
        <f>IF(DATA[[#This Row],[MONEDA]]="USD",VLOOKUP(DATA[[#This Row],[COMBINADA]],#REF!,11,0),1)</f>
        <v>1</v>
      </c>
      <c r="AF963" s="129" t="str">
        <f>IF(DATA[[#This Row],[SERIE2]]="-","NO CORRESPONDE",IF(W963="NO CORRESPONDE","NO CORRESPONDE",IF(Z963&gt;0,"FACTURADO","PENDIENTE")))</f>
        <v>FACTURADO</v>
      </c>
      <c r="AG963" s="133">
        <f>IFERROR(VLOOKUP(DATA[[#This Row],[COMBINADA]],#REF!,6,0),0)</f>
        <v>0</v>
      </c>
      <c r="AH963" s="125">
        <f>IFERROR(VLOOKUP(DATA[[#This Row],[COMBINADA]],#REF!,9,0),0)/COUNTIFS(DATA[COMBINADA],DATA[[#This Row],[COMBINADA]])</f>
        <v>0</v>
      </c>
      <c r="AI963" s="136">
        <f>IFERROR(VLOOKUP(DATA[[#This Row],[COMBINADA]],#REF!,6,0),0)</f>
        <v>0</v>
      </c>
      <c r="AJ963" s="132">
        <f>IFERROR(VLOOKUP(DATA[[#This Row],[COMBINADA]],#REF!,9,0),0)/COUNTIFS(DATA[COMBINADA],DATA[[#This Row],[COMBINADA]])</f>
        <v>0</v>
      </c>
      <c r="AK963" s="408">
        <f>IFERROR(VLOOKUP(DATA[[#This Row],[COMBINADA]],#REF!,6,0),0)</f>
        <v>0</v>
      </c>
      <c r="AL963" s="125">
        <f>IFERROR(VLOOKUP(DATA[[#This Row],[COMBINADA]],#REF!,9,0),0)/COUNTIFS(DATA[COMBINADA],DATA[[#This Row],[COMBINADA]])</f>
        <v>0</v>
      </c>
      <c r="AM963" s="288">
        <f>IFERROR(VLOOKUP(DATA[[#This Row],[COMBINADA]],#REF!,6,0),0)</f>
        <v>0</v>
      </c>
      <c r="AN963" s="125">
        <f>IFERROR(VLOOKUP(DATA[[#This Row],[COMBINADA]],#REF!,9,0),0)/COUNTIFS(DATA[COMBINADA],DATA[[#This Row],[COMBINADA]])</f>
        <v>0</v>
      </c>
      <c r="AO963" s="147">
        <f>IFERROR(VLOOKUP(DATA[[#This Row],[COMBINADA]],#REF!,6,0),0)</f>
        <v>0</v>
      </c>
      <c r="AP963" s="132">
        <f>IFERROR(VLOOKUP(DATA[[#This Row],[COMBINADA]],#REF!,9,0),0)/COUNTIFS(DATA[COMBINADA],DATA[[#This Row],[COMBINADA]])</f>
        <v>0</v>
      </c>
      <c r="AQ96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9460.89</v>
      </c>
      <c r="AR963" s="26" t="str">
        <f>IFERROR(IF(DATA[[#This Row],[estado_fact]]="FACTURADO",VLOOKUP(DATA[[#This Row],[SERIE2]]&amp;"-"&amp;DATA[[#This Row],[NUMERO]],#REF!,34,0),"NO CORRESPONDE"),"NO CORRESPONDE")</f>
        <v>NO CORRESPONDE</v>
      </c>
      <c r="AS963" s="22" t="str">
        <f>IF(DATA[[#This Row],[fecha_fs]]&gt;0,TEXT(DATA[[#This Row],[fecha_fs]],"Mmmm"),0)</f>
        <v>Julio</v>
      </c>
      <c r="AT963" s="22" t="str">
        <f>DATA[[#This Row],[SERIE2]]&amp;"-"&amp;DATA[[#This Row],[NUMERO]]</f>
        <v>FF01-206</v>
      </c>
      <c r="AU963" s="28">
        <f>DATA[[#This Row],[TOTAL]]*DATA[[#This Row],[T.C.]]</f>
        <v>9460.89</v>
      </c>
      <c r="AV963" s="6">
        <f>DATA[[#This Row],[FECHA DE VAL.]]</f>
        <v>45863</v>
      </c>
      <c r="AW963" s="6">
        <f>DATA[[#This Row],[FECHA DE EMISION]]</f>
        <v>45883</v>
      </c>
      <c r="AX963" s="6">
        <f>DATA[[#This Row],[F1]]</f>
        <v>0</v>
      </c>
      <c r="AY963" s="20">
        <f>IF(AV963-DATA[[#This Row],[fecha_fs]]&lt;0,0,AV963-DATA[[#This Row],[fecha_fs]])</f>
        <v>1</v>
      </c>
      <c r="AZ963" s="20">
        <f t="shared" si="113"/>
        <v>20</v>
      </c>
      <c r="BA963" s="53">
        <f t="shared" si="114"/>
        <v>0</v>
      </c>
      <c r="BB963" s="195">
        <f>IFERROR(SUM(DATA[[#This Row],[fs_val_ttf]:[fact_pago_ttf]]),0)</f>
        <v>21</v>
      </c>
      <c r="BC963" s="185">
        <v>45869</v>
      </c>
      <c r="BD963" s="185">
        <v>45876</v>
      </c>
      <c r="BE963" s="185">
        <v>45876</v>
      </c>
      <c r="BF963" s="185" t="s">
        <v>270</v>
      </c>
      <c r="BG963" s="20">
        <f>IFERROR(IF(BC963-DATA[[#This Row],[fecha_fs]]&lt;0,0,BC963-DATA[[#This Row],[fecha_fs]]),0)</f>
        <v>7</v>
      </c>
      <c r="BH963" s="20">
        <f t="shared" si="115"/>
        <v>7</v>
      </c>
      <c r="BI963" s="20">
        <f t="shared" si="116"/>
        <v>0</v>
      </c>
      <c r="BJ963" s="20">
        <f t="shared" si="117"/>
        <v>0</v>
      </c>
      <c r="BK963" s="282">
        <f>IFERROR(SUM(DATA[[#This Row],[fs_fd_ttd]:[fend_fenf_ttd]]),0)</f>
        <v>14</v>
      </c>
      <c r="BL963" s="20" t="str">
        <f>IF(DATA[[#This Row],[fecha_fs]]&gt;0,TEXT(DATA[[#This Row],[fecha_fs]],"YYYY"),0)</f>
        <v>2025</v>
      </c>
      <c r="BM963" s="236" t="b">
        <v>0</v>
      </c>
      <c r="BN963" s="278">
        <f>COUNTIF(DATA[[#This Row],[tiempo_td]], "&lt;=15")</f>
        <v>1</v>
      </c>
      <c r="BO963" s="222"/>
    </row>
    <row r="964" spans="1:67" ht="30.6" customHeight="1" x14ac:dyDescent="0.25">
      <c r="A964" s="4"/>
      <c r="B964" s="5" t="s">
        <v>0</v>
      </c>
      <c r="C964" s="52"/>
      <c r="D964" s="4"/>
      <c r="E964" s="5" t="s">
        <v>0</v>
      </c>
      <c r="F964" s="24">
        <v>45869</v>
      </c>
      <c r="G964" s="7" t="s">
        <v>113</v>
      </c>
      <c r="H964" s="25">
        <f t="shared" si="112"/>
        <v>1</v>
      </c>
      <c r="I964" s="67">
        <v>4788</v>
      </c>
      <c r="J964" s="8" t="s">
        <v>173</v>
      </c>
      <c r="K964" s="9"/>
      <c r="L964" s="10"/>
      <c r="M964" s="111"/>
      <c r="N964" s="112"/>
      <c r="O964" s="6"/>
      <c r="P964" s="13"/>
      <c r="Q964" s="14"/>
      <c r="R964" s="56"/>
      <c r="S964" s="56"/>
      <c r="T964" s="56">
        <f>DATA[[#This Row],[C. DF]]+DATA[[#This Row],[C.OPE.]]</f>
        <v>0</v>
      </c>
      <c r="U964" s="56">
        <f>DATA[[#This Row],[SUB TOTAL]]*0.18</f>
        <v>0</v>
      </c>
      <c r="V964" s="56">
        <f>IFERROR(ROUND(DATA[[#This Row],[SUB TOTAL]]+DATA[[#This Row],[IGV]],2),0)</f>
        <v>0</v>
      </c>
      <c r="W964" s="73" t="str">
        <f>IF(DATA[[#This Row],[VALORIZACIÓN ]]="-","NO CORRESPONDE",IF(OR(A964=20558226979,A964=10470707866,A964=20111157058,A964=20100226902),"NO CORRESPONDE",IF(J964="Emitida",IF(P964&gt;0,"EMITIDA","PENDIENTE"),"NO CORRESPONDE")))</f>
        <v>NO CORRESPONDE</v>
      </c>
      <c r="X964" s="46"/>
      <c r="Y964" s="17" t="s">
        <v>128</v>
      </c>
      <c r="Z964" s="48"/>
      <c r="AA964" s="49"/>
      <c r="AB964" s="50"/>
      <c r="AC964" s="51"/>
      <c r="AD964" s="59">
        <f>DATA[[#This Row],[FECHA DE EMISION]]+DATA[[#This Row],[CONDICION DE PAGO]]</f>
        <v>0</v>
      </c>
      <c r="AE964" s="23">
        <f>IF(DATA[[#This Row],[MONEDA]]="USD",VLOOKUP(DATA[[#This Row],[COMBINADA]],#REF!,11,0),1)</f>
        <v>1</v>
      </c>
      <c r="AF964" s="129" t="str">
        <f>IF(DATA[[#This Row],[SERIE2]]="-","NO CORRESPONDE",IF(W964="NO CORRESPONDE","NO CORRESPONDE",IF(Z964&gt;0,"FACTURADO","PENDIENTE")))</f>
        <v>NO CORRESPONDE</v>
      </c>
      <c r="AG964" s="208">
        <f>IFERROR(VLOOKUP(DATA[[#This Row],[COMBINADA]],#REF!,6,0),0)</f>
        <v>0</v>
      </c>
      <c r="AH964" s="209">
        <f>IFERROR(VLOOKUP(DATA[[#This Row],[COMBINADA]],#REF!,9,0),0)/COUNTIFS(DATA[COMBINADA],DATA[[#This Row],[COMBINADA]])</f>
        <v>0</v>
      </c>
      <c r="AI964" s="140">
        <f>IFERROR(VLOOKUP(DATA[[#This Row],[COMBINADA]],#REF!,6,0),0)</f>
        <v>0</v>
      </c>
      <c r="AJ964" s="126">
        <f>IFERROR(VLOOKUP(DATA[[#This Row],[COMBINADA]],#REF!,9,0),0)/COUNTIFS(DATA[COMBINADA],DATA[[#This Row],[COMBINADA]])</f>
        <v>0</v>
      </c>
      <c r="AK964" s="61">
        <f>IFERROR(VLOOKUP(DATA[[#This Row],[COMBINADA]],#REF!,6,0),0)</f>
        <v>0</v>
      </c>
      <c r="AL964" s="126">
        <f>IFERROR(VLOOKUP(DATA[[#This Row],[COMBINADA]],#REF!,9,0),0)/COUNTIFS(DATA[COMBINADA],DATA[[#This Row],[COMBINADA]])</f>
        <v>0</v>
      </c>
      <c r="AM964" s="61">
        <f>IFERROR(VLOOKUP(DATA[[#This Row],[COMBINADA]],#REF!,6,0),0)</f>
        <v>0</v>
      </c>
      <c r="AN964" s="62">
        <f>IFERROR(VLOOKUP(DATA[[#This Row],[COMBINADA]],#REF!,9,0),0)/COUNTIFS(DATA[COMBINADA],DATA[[#This Row],[COMBINADA]])</f>
        <v>0</v>
      </c>
      <c r="AO964" s="61">
        <f>IFERROR(VLOOKUP(DATA[[#This Row],[COMBINADA]],#REF!,6,0),0)</f>
        <v>0</v>
      </c>
      <c r="AP964" s="62">
        <f>IFERROR(VLOOKUP(DATA[[#This Row],[COMBINADA]],#REF!,9,0),0)/COUNTIFS(DATA[COMBINADA],DATA[[#This Row],[COMBINADA]])</f>
        <v>0</v>
      </c>
      <c r="AQ964"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964" s="22" t="str">
        <f>IFERROR(IF(DATA[[#This Row],[estado_fact]]="FACTURADO",VLOOKUP(DATA[[#This Row],[SERIE2]]&amp;"-"&amp;DATA[[#This Row],[NUMERO]],#REF!,34,0),"NO CORRESPONDE"),"NO CORRESPONDE")</f>
        <v>NO CORRESPONDE</v>
      </c>
      <c r="AS964" s="198" t="str">
        <f>IF(DATA[[#This Row],[fecha_fs]]&gt;0,TEXT(DATA[[#This Row],[fecha_fs]],"Mmmm"),0)</f>
        <v>Julio</v>
      </c>
      <c r="AT964" s="199" t="str">
        <f>DATA[[#This Row],[SERIE2]]&amp;"-"&amp;DATA[[#This Row],[NUMERO]]</f>
        <v>-</v>
      </c>
      <c r="AU964" s="198">
        <f>DATA[[#This Row],[TOTAL]]*DATA[[#This Row],[T.C.]]</f>
        <v>0</v>
      </c>
      <c r="AV964" s="40">
        <f>DATA[[#This Row],[FECHA DE VAL.]]</f>
        <v>0</v>
      </c>
      <c r="AW964" s="40">
        <f>DATA[[#This Row],[FECHA DE EMISION]]</f>
        <v>0</v>
      </c>
      <c r="AX964" s="40">
        <f>DATA[[#This Row],[F1]]</f>
        <v>0</v>
      </c>
      <c r="AY964" s="49">
        <f>IF(AV964-DATA[[#This Row],[fecha_fs]]&lt;0,0,AV964-DATA[[#This Row],[fecha_fs]])</f>
        <v>0</v>
      </c>
      <c r="AZ964" s="49">
        <f t="shared" si="113"/>
        <v>0</v>
      </c>
      <c r="BA964" s="49">
        <f t="shared" si="114"/>
        <v>0</v>
      </c>
      <c r="BB964" s="195">
        <f>IFERROR(SUM(DATA[[#This Row],[fs_val_ttf]:[fact_pago_ttf]]),0)</f>
        <v>0</v>
      </c>
      <c r="BC964" s="276"/>
      <c r="BD964" s="276"/>
      <c r="BE964" s="276"/>
      <c r="BF964" s="276"/>
      <c r="BG964" s="49">
        <f>IFERROR(IF(BC964-DATA[[#This Row],[fecha_fs]]&lt;0,0,BC964-DATA[[#This Row],[fecha_fs]]),0)</f>
        <v>0</v>
      </c>
      <c r="BH964" s="49">
        <f t="shared" si="115"/>
        <v>0</v>
      </c>
      <c r="BI964" s="49">
        <f t="shared" si="116"/>
        <v>0</v>
      </c>
      <c r="BJ964" s="49">
        <f t="shared" si="117"/>
        <v>0</v>
      </c>
      <c r="BK964" s="218">
        <f>IFERROR(SUM(DATA[[#This Row],[fs_fd_ttd]:[fend_fenf_ttd]]),0)</f>
        <v>0</v>
      </c>
      <c r="BL964" s="20" t="str">
        <f>IF(DATA[[#This Row],[fecha_fs]]&gt;0,TEXT(DATA[[#This Row],[fecha_fs]],"YYYY"),0)</f>
        <v>2025</v>
      </c>
      <c r="BM964" s="221" t="b">
        <v>0</v>
      </c>
      <c r="BN964" s="278"/>
      <c r="BO964" s="222"/>
    </row>
    <row r="965" spans="1:67" ht="30.6" customHeight="1" x14ac:dyDescent="0.25">
      <c r="A965" s="4">
        <v>20454186002</v>
      </c>
      <c r="B965" s="5" t="s">
        <v>25</v>
      </c>
      <c r="C965" s="52" t="s">
        <v>18</v>
      </c>
      <c r="D965" s="4" t="s">
        <v>120</v>
      </c>
      <c r="E965" s="5" t="s">
        <v>3</v>
      </c>
      <c r="F965" s="24">
        <v>45860</v>
      </c>
      <c r="G965" s="7" t="s">
        <v>113</v>
      </c>
      <c r="H965" s="25">
        <f t="shared" si="112"/>
        <v>1</v>
      </c>
      <c r="I965" s="67">
        <v>4789</v>
      </c>
      <c r="J965" s="8" t="s">
        <v>115</v>
      </c>
      <c r="K965" s="9" t="s">
        <v>121</v>
      </c>
      <c r="L965" s="10" t="s">
        <v>117</v>
      </c>
      <c r="M965" s="11">
        <v>3000</v>
      </c>
      <c r="N965" s="12" t="s">
        <v>188</v>
      </c>
      <c r="O965" s="6">
        <v>45862</v>
      </c>
      <c r="P965" s="13">
        <v>3556</v>
      </c>
      <c r="Q965" s="14" t="s">
        <v>85</v>
      </c>
      <c r="R965" s="237"/>
      <c r="S965" s="237">
        <v>1485.02</v>
      </c>
      <c r="T965" s="15">
        <f>DATA[[#This Row],[C. DF]]+DATA[[#This Row],[C.OPE.]]</f>
        <v>1485.02</v>
      </c>
      <c r="U965" s="15">
        <f>DATA[[#This Row],[SUB TOTAL]]*0.18</f>
        <v>267.30359999999996</v>
      </c>
      <c r="V965" s="15">
        <f>IFERROR(ROUND(DATA[[#This Row],[SUB TOTAL]]+DATA[[#This Row],[IGV]],2),0)</f>
        <v>1752.32</v>
      </c>
      <c r="W965" s="16" t="str">
        <f>IF(DATA[[#This Row],[VALORIZACIÓN ]]="-","NO CORRESPONDE",IF(OR(A965=20558226979,A965=10470707866,A965=20111157058,A965=20100226902),"NO CORRESPONDE",IF(J965="Emitida",IF(P965&gt;0,"EMITIDA","PENDIENTE"),"NO CORRESPONDE")))</f>
        <v>EMITIDA</v>
      </c>
      <c r="X965" s="29" t="s">
        <v>301</v>
      </c>
      <c r="Y965" s="17" t="s">
        <v>118</v>
      </c>
      <c r="Z965" s="30">
        <v>45860</v>
      </c>
      <c r="AA965" s="10" t="s">
        <v>150</v>
      </c>
      <c r="AB965" s="19">
        <v>183</v>
      </c>
      <c r="AC965" s="20">
        <v>7</v>
      </c>
      <c r="AD965" s="18">
        <f>DATA[[#This Row],[FECHA DE EMISION]]+DATA[[#This Row],[CONDICION DE PAGO]]</f>
        <v>45867</v>
      </c>
      <c r="AE965" s="23">
        <f>IF(DATA[[#This Row],[MONEDA]]="USD",VLOOKUP(DATA[[#This Row],[COMBINADA]],#REF!,11,0),1)</f>
        <v>1</v>
      </c>
      <c r="AF965" s="129" t="str">
        <f>IF(DATA[[#This Row],[SERIE2]]="-","NO CORRESPONDE",IF(W965="NO CORRESPONDE","NO CORRESPONDE",IF(Z965&gt;0,"FACTURADO","PENDIENTE")))</f>
        <v>FACTURADO</v>
      </c>
      <c r="AG965" s="133">
        <f>IFERROR(VLOOKUP(DATA[[#This Row],[COMBINADA]],#REF!,6,0),0)</f>
        <v>0</v>
      </c>
      <c r="AH965" s="125">
        <f>IFERROR(VLOOKUP(DATA[[#This Row],[COMBINADA]],#REF!,9,0),0)/COUNTIFS(DATA[COMBINADA],DATA[[#This Row],[COMBINADA]])</f>
        <v>0</v>
      </c>
      <c r="AI965" s="136">
        <f>IFERROR(VLOOKUP(DATA[[#This Row],[COMBINADA]],#REF!,6,0),0)</f>
        <v>0</v>
      </c>
      <c r="AJ965" s="132">
        <f>IFERROR(VLOOKUP(DATA[[#This Row],[COMBINADA]],#REF!,9,0),0)/COUNTIFS(DATA[COMBINADA],DATA[[#This Row],[COMBINADA]])</f>
        <v>0</v>
      </c>
      <c r="AK965" s="408">
        <f>IFERROR(VLOOKUP(DATA[[#This Row],[COMBINADA]],#REF!,6,0),0)</f>
        <v>0</v>
      </c>
      <c r="AL965" s="125">
        <f>IFERROR(VLOOKUP(DATA[[#This Row],[COMBINADA]],#REF!,9,0),0)/COUNTIFS(DATA[COMBINADA],DATA[[#This Row],[COMBINADA]])</f>
        <v>0</v>
      </c>
      <c r="AM965" s="288">
        <f>IFERROR(VLOOKUP(DATA[[#This Row],[COMBINADA]],#REF!,6,0),0)</f>
        <v>0</v>
      </c>
      <c r="AN965" s="125">
        <f>IFERROR(VLOOKUP(DATA[[#This Row],[COMBINADA]],#REF!,9,0),0)/COUNTIFS(DATA[COMBINADA],DATA[[#This Row],[COMBINADA]])</f>
        <v>0</v>
      </c>
      <c r="AO965" s="147">
        <f>IFERROR(VLOOKUP(DATA[[#This Row],[COMBINADA]],#REF!,6,0),0)</f>
        <v>0</v>
      </c>
      <c r="AP965" s="132">
        <f>IFERROR(VLOOKUP(DATA[[#This Row],[COMBINADA]],#REF!,9,0),0)/COUNTIFS(DATA[COMBINADA],DATA[[#This Row],[COMBINADA]])</f>
        <v>0</v>
      </c>
      <c r="AQ96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1752.32</v>
      </c>
      <c r="AR965" s="26" t="str">
        <f>IFERROR(IF(DATA[[#This Row],[estado_fact]]="FACTURADO",VLOOKUP(DATA[[#This Row],[SERIE2]]&amp;"-"&amp;DATA[[#This Row],[NUMERO]],#REF!,34,0),"NO CORRESPONDE"),"NO CORRESPONDE")</f>
        <v>NO CORRESPONDE</v>
      </c>
      <c r="AS965" s="22" t="str">
        <f>IF(DATA[[#This Row],[fecha_fs]]&gt;0,TEXT(DATA[[#This Row],[fecha_fs]],"Mmmm"),0)</f>
        <v>Julio</v>
      </c>
      <c r="AT965" s="22" t="str">
        <f>DATA[[#This Row],[SERIE2]]&amp;"-"&amp;DATA[[#This Row],[NUMERO]]</f>
        <v>FF01-183</v>
      </c>
      <c r="AU965" s="28">
        <f>DATA[[#This Row],[TOTAL]]*DATA[[#This Row],[T.C.]]</f>
        <v>1752.32</v>
      </c>
      <c r="AV965" s="6">
        <f>DATA[[#This Row],[FECHA DE VAL.]]</f>
        <v>45862</v>
      </c>
      <c r="AW965" s="6">
        <f>DATA[[#This Row],[FECHA DE EMISION]]</f>
        <v>45860</v>
      </c>
      <c r="AX965" s="6">
        <f>DATA[[#This Row],[F1]]</f>
        <v>0</v>
      </c>
      <c r="AY965" s="20">
        <f>IF(AV965-DATA[[#This Row],[fecha_fs]]&lt;0,0,AV965-DATA[[#This Row],[fecha_fs]])</f>
        <v>2</v>
      </c>
      <c r="AZ965" s="20">
        <f t="shared" si="113"/>
        <v>0</v>
      </c>
      <c r="BA965" s="53">
        <f t="shared" si="114"/>
        <v>0</v>
      </c>
      <c r="BB965" s="195">
        <f>IFERROR(SUM(DATA[[#This Row],[fs_val_ttf]:[fact_pago_ttf]]),0)</f>
        <v>2</v>
      </c>
      <c r="BC965" s="185">
        <v>45870</v>
      </c>
      <c r="BD965" s="185">
        <v>45876</v>
      </c>
      <c r="BE965" s="185">
        <v>45877</v>
      </c>
      <c r="BF965" s="185">
        <v>45858</v>
      </c>
      <c r="BG965" s="20">
        <f>IFERROR(IF(BC965-DATA[[#This Row],[fecha_fs]]&lt;0,0,BC965-DATA[[#This Row],[fecha_fs]]),0)</f>
        <v>10</v>
      </c>
      <c r="BH965" s="20">
        <f t="shared" si="115"/>
        <v>6</v>
      </c>
      <c r="BI965" s="20">
        <f t="shared" si="116"/>
        <v>1</v>
      </c>
      <c r="BJ965" s="20">
        <f t="shared" si="117"/>
        <v>0</v>
      </c>
      <c r="BK965" s="282">
        <f>IFERROR(SUM(DATA[[#This Row],[fs_fd_ttd]:[fend_fenf_ttd]]),0)</f>
        <v>17</v>
      </c>
      <c r="BL965" s="20" t="str">
        <f>IF(DATA[[#This Row],[fecha_fs]]&gt;0,TEXT(DATA[[#This Row],[fecha_fs]],"YYYY"),0)</f>
        <v>2025</v>
      </c>
      <c r="BM965" s="221" t="b">
        <v>1</v>
      </c>
      <c r="BN965" s="278">
        <f>COUNTIF(DATA[[#This Row],[tiempo_td]], "&lt;=15")</f>
        <v>0</v>
      </c>
      <c r="BO965" s="222"/>
    </row>
    <row r="966" spans="1:67" ht="30.6" customHeight="1" x14ac:dyDescent="0.25">
      <c r="A966" s="4">
        <v>20505675836</v>
      </c>
      <c r="B966" s="5" t="s">
        <v>42</v>
      </c>
      <c r="C966" s="52" t="s">
        <v>43</v>
      </c>
      <c r="D966" s="4" t="s">
        <v>157</v>
      </c>
      <c r="E966" s="5" t="s">
        <v>44</v>
      </c>
      <c r="F966" s="24">
        <v>45860</v>
      </c>
      <c r="G966" s="7" t="s">
        <v>113</v>
      </c>
      <c r="H966" s="25">
        <f t="shared" si="112"/>
        <v>1</v>
      </c>
      <c r="I966" s="67">
        <v>4790</v>
      </c>
      <c r="J966" s="8" t="s">
        <v>115</v>
      </c>
      <c r="K966" s="9" t="s">
        <v>166</v>
      </c>
      <c r="L966" s="10" t="s">
        <v>137</v>
      </c>
      <c r="M966" s="11">
        <v>1</v>
      </c>
      <c r="N966" s="12" t="s">
        <v>200</v>
      </c>
      <c r="O966" s="6">
        <v>45863</v>
      </c>
      <c r="P966" s="71">
        <v>3574</v>
      </c>
      <c r="Q966" s="14" t="s">
        <v>85</v>
      </c>
      <c r="R966" s="237"/>
      <c r="S966" s="237">
        <v>7390</v>
      </c>
      <c r="T966" s="15">
        <f>DATA[[#This Row],[C. DF]]+DATA[[#This Row],[C.OPE.]]</f>
        <v>7390</v>
      </c>
      <c r="U966" s="15">
        <f>DATA[[#This Row],[SUB TOTAL]]*0.18</f>
        <v>1330.2</v>
      </c>
      <c r="V966" s="15">
        <f>IFERROR(ROUND(DATA[[#This Row],[SUB TOTAL]]+DATA[[#This Row],[IGV]],2),0)</f>
        <v>8720.2000000000007</v>
      </c>
      <c r="W966" s="16" t="str">
        <f>IF(DATA[[#This Row],[VALORIZACIÓN ]]="-","NO CORRESPONDE",IF(OR(A966=20558226979,A966=10470707866,A966=20111157058,A966=20100226902),"NO CORRESPONDE",IF(J966="Emitida",IF(P966&gt;0,"EMITIDA","PENDIENTE"),"NO CORRESPONDE")))</f>
        <v>EMITIDA</v>
      </c>
      <c r="X966" s="29"/>
      <c r="Y966" s="17" t="s">
        <v>118</v>
      </c>
      <c r="Z966" s="30">
        <v>45876</v>
      </c>
      <c r="AA966" s="10" t="s">
        <v>150</v>
      </c>
      <c r="AB966" s="19">
        <v>200</v>
      </c>
      <c r="AC966" s="20">
        <v>30</v>
      </c>
      <c r="AD966" s="18">
        <f>DATA[[#This Row],[FECHA DE EMISION]]+DATA[[#This Row],[CONDICION DE PAGO]]</f>
        <v>45906</v>
      </c>
      <c r="AE966" s="23">
        <f>IF(DATA[[#This Row],[MONEDA]]="USD",VLOOKUP(DATA[[#This Row],[COMBINADA]],#REF!,11,0),1)</f>
        <v>1</v>
      </c>
      <c r="AF966" s="129" t="str">
        <f>IF(DATA[[#This Row],[SERIE2]]="-","NO CORRESPONDE",IF(W966="NO CORRESPONDE","NO CORRESPONDE",IF(Z966&gt;0,"FACTURADO","PENDIENTE")))</f>
        <v>FACTURADO</v>
      </c>
      <c r="AG966" s="133">
        <f>IFERROR(VLOOKUP(DATA[[#This Row],[COMBINADA]],#REF!,6,0),0)</f>
        <v>0</v>
      </c>
      <c r="AH966" s="125">
        <f>IFERROR(VLOOKUP(DATA[[#This Row],[COMBINADA]],#REF!,9,0),0)/COUNTIFS(DATA[COMBINADA],DATA[[#This Row],[COMBINADA]])</f>
        <v>0</v>
      </c>
      <c r="AI966" s="136">
        <f>IFERROR(VLOOKUP(DATA[[#This Row],[COMBINADA]],#REF!,6,0),0)</f>
        <v>0</v>
      </c>
      <c r="AJ966" s="132">
        <f>IFERROR(VLOOKUP(DATA[[#This Row],[COMBINADA]],#REF!,9,0),0)/COUNTIFS(DATA[COMBINADA],DATA[[#This Row],[COMBINADA]])</f>
        <v>0</v>
      </c>
      <c r="AK966" s="408">
        <f>IFERROR(VLOOKUP(DATA[[#This Row],[COMBINADA]],#REF!,6,0),0)</f>
        <v>0</v>
      </c>
      <c r="AL966" s="125">
        <f>IFERROR(VLOOKUP(DATA[[#This Row],[COMBINADA]],#REF!,9,0),0)/COUNTIFS(DATA[COMBINADA],DATA[[#This Row],[COMBINADA]])</f>
        <v>0</v>
      </c>
      <c r="AM966" s="288">
        <f>IFERROR(VLOOKUP(DATA[[#This Row],[COMBINADA]],#REF!,6,0),0)</f>
        <v>0</v>
      </c>
      <c r="AN966" s="125">
        <f>IFERROR(VLOOKUP(DATA[[#This Row],[COMBINADA]],#REF!,9,0),0)/COUNTIFS(DATA[COMBINADA],DATA[[#This Row],[COMBINADA]])</f>
        <v>0</v>
      </c>
      <c r="AO966" s="147">
        <f>IFERROR(VLOOKUP(DATA[[#This Row],[COMBINADA]],#REF!,6,0),0)</f>
        <v>0</v>
      </c>
      <c r="AP966" s="132">
        <f>IFERROR(VLOOKUP(DATA[[#This Row],[COMBINADA]],#REF!,9,0),0)/COUNTIFS(DATA[COMBINADA],DATA[[#This Row],[COMBINADA]])</f>
        <v>0</v>
      </c>
      <c r="AQ96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8720.2000000000007</v>
      </c>
      <c r="AR966" s="26" t="str">
        <f>IFERROR(IF(DATA[[#This Row],[estado_fact]]="FACTURADO",VLOOKUP(DATA[[#This Row],[SERIE2]]&amp;"-"&amp;DATA[[#This Row],[NUMERO]],#REF!,34,0),"NO CORRESPONDE"),"NO CORRESPONDE")</f>
        <v>NO CORRESPONDE</v>
      </c>
      <c r="AS966" s="22" t="str">
        <f>IF(DATA[[#This Row],[fecha_fs]]&gt;0,TEXT(DATA[[#This Row],[fecha_fs]],"Mmmm"),0)</f>
        <v>Julio</v>
      </c>
      <c r="AT966" s="22" t="str">
        <f>DATA[[#This Row],[SERIE2]]&amp;"-"&amp;DATA[[#This Row],[NUMERO]]</f>
        <v>FF01-200</v>
      </c>
      <c r="AU966" s="28">
        <f>DATA[[#This Row],[TOTAL]]*DATA[[#This Row],[T.C.]]</f>
        <v>8720.2000000000007</v>
      </c>
      <c r="AV966" s="6">
        <f>DATA[[#This Row],[FECHA DE VAL.]]</f>
        <v>45863</v>
      </c>
      <c r="AW966" s="6">
        <f>DATA[[#This Row],[FECHA DE EMISION]]</f>
        <v>45876</v>
      </c>
      <c r="AX966" s="6">
        <f>DATA[[#This Row],[F1]]</f>
        <v>0</v>
      </c>
      <c r="AY966" s="20">
        <f>IF(AV966-DATA[[#This Row],[fecha_fs]]&lt;0,0,AV966-DATA[[#This Row],[fecha_fs]])</f>
        <v>3</v>
      </c>
      <c r="AZ966" s="20">
        <f t="shared" si="113"/>
        <v>13</v>
      </c>
      <c r="BA966" s="53">
        <f t="shared" si="114"/>
        <v>0</v>
      </c>
      <c r="BB966" s="195">
        <f>IFERROR(SUM(DATA[[#This Row],[fs_val_ttf]:[fact_pago_ttf]]),0)</f>
        <v>16</v>
      </c>
      <c r="BC966" s="185" t="s">
        <v>270</v>
      </c>
      <c r="BD966" s="185" t="s">
        <v>270</v>
      </c>
      <c r="BE966" s="185" t="s">
        <v>270</v>
      </c>
      <c r="BF966" s="185" t="s">
        <v>270</v>
      </c>
      <c r="BG966" s="20">
        <f>IFERROR(IF(BC966-DATA[[#This Row],[fecha_fs]]&lt;0,0,BC966-DATA[[#This Row],[fecha_fs]]),0)</f>
        <v>0</v>
      </c>
      <c r="BH966" s="20">
        <f t="shared" si="115"/>
        <v>0</v>
      </c>
      <c r="BI966" s="20">
        <f t="shared" si="116"/>
        <v>0</v>
      </c>
      <c r="BJ966" s="20">
        <f t="shared" si="117"/>
        <v>0</v>
      </c>
      <c r="BK966" s="282">
        <f>IFERROR(SUM(DATA[[#This Row],[fs_fd_ttd]:[fend_fenf_ttd]]),0)</f>
        <v>0</v>
      </c>
      <c r="BL966" s="20" t="str">
        <f>IF(DATA[[#This Row],[fecha_fs]]&gt;0,TEXT(DATA[[#This Row],[fecha_fs]],"YYYY"),0)</f>
        <v>2025</v>
      </c>
      <c r="BM966" s="236" t="b">
        <v>0</v>
      </c>
      <c r="BN966" s="278">
        <f>COUNTIF(DATA[[#This Row],[tiempo_td]], "&lt;=15")</f>
        <v>1</v>
      </c>
      <c r="BO966" s="222"/>
    </row>
    <row r="967" spans="1:67" ht="30.6" customHeight="1" x14ac:dyDescent="0.25">
      <c r="A967" s="4">
        <v>20100055237</v>
      </c>
      <c r="B967" s="5" t="s">
        <v>21</v>
      </c>
      <c r="C967" s="52" t="s">
        <v>138</v>
      </c>
      <c r="D967" s="4" t="s">
        <v>139</v>
      </c>
      <c r="E967" s="5" t="s">
        <v>23</v>
      </c>
      <c r="F967" s="24">
        <v>45862</v>
      </c>
      <c r="G967" s="7" t="s">
        <v>113</v>
      </c>
      <c r="H967" s="25">
        <f t="shared" si="112"/>
        <v>1</v>
      </c>
      <c r="I967" s="67">
        <v>4791</v>
      </c>
      <c r="J967" s="8" t="s">
        <v>115</v>
      </c>
      <c r="K967" s="9" t="s">
        <v>121</v>
      </c>
      <c r="L967" s="10" t="s">
        <v>117</v>
      </c>
      <c r="M967" s="11">
        <v>10</v>
      </c>
      <c r="N967" s="12" t="s">
        <v>249</v>
      </c>
      <c r="O967" s="6">
        <v>45869</v>
      </c>
      <c r="P967" s="54">
        <v>3582</v>
      </c>
      <c r="Q967" s="14" t="s">
        <v>85</v>
      </c>
      <c r="R967" s="237"/>
      <c r="S967" s="237">
        <v>297.92</v>
      </c>
      <c r="T967" s="15">
        <f>DATA[[#This Row],[C. DF]]+DATA[[#This Row],[C.OPE.]]</f>
        <v>297.92</v>
      </c>
      <c r="U967" s="15">
        <f>DATA[[#This Row],[SUB TOTAL]]*0.18</f>
        <v>53.625599999999999</v>
      </c>
      <c r="V967" s="15">
        <f>IFERROR(ROUND(DATA[[#This Row],[SUB TOTAL]]+DATA[[#This Row],[IGV]],2),0)</f>
        <v>351.55</v>
      </c>
      <c r="W967" s="16" t="str">
        <f>IF(DATA[[#This Row],[VALORIZACIÓN ]]="-","NO CORRESPONDE",IF(OR(A967=20558226979,A967=10470707866,A967=20111157058,A967=20100226902),"NO CORRESPONDE",IF(J967="Emitida",IF(P967&gt;0,"EMITIDA","PENDIENTE"),"NO CORRESPONDE")))</f>
        <v>EMITIDA</v>
      </c>
      <c r="X967" s="29"/>
      <c r="Y967" s="17" t="s">
        <v>118</v>
      </c>
      <c r="Z967" s="30">
        <v>45883</v>
      </c>
      <c r="AA967" s="10" t="s">
        <v>150</v>
      </c>
      <c r="AB967" s="19">
        <v>205</v>
      </c>
      <c r="AC967" s="20">
        <v>30</v>
      </c>
      <c r="AD967" s="18">
        <f>DATA[[#This Row],[FECHA DE EMISION]]+DATA[[#This Row],[CONDICION DE PAGO]]</f>
        <v>45913</v>
      </c>
      <c r="AE967" s="23">
        <f>IF(DATA[[#This Row],[MONEDA]]="USD",VLOOKUP(DATA[[#This Row],[COMBINADA]],#REF!,11,0),1)</f>
        <v>1</v>
      </c>
      <c r="AF967" s="129" t="str">
        <f>IF(DATA[[#This Row],[SERIE2]]="-","NO CORRESPONDE",IF(W967="NO CORRESPONDE","NO CORRESPONDE",IF(Z967&gt;0,"FACTURADO","PENDIENTE")))</f>
        <v>FACTURADO</v>
      </c>
      <c r="AG967" s="133">
        <f>IFERROR(VLOOKUP(DATA[[#This Row],[COMBINADA]],#REF!,6,0),0)</f>
        <v>0</v>
      </c>
      <c r="AH967" s="125">
        <f>IFERROR(VLOOKUP(DATA[[#This Row],[COMBINADA]],#REF!,9,0),0)/COUNTIFS(DATA[COMBINADA],DATA[[#This Row],[COMBINADA]])</f>
        <v>0</v>
      </c>
      <c r="AI967" s="136">
        <f>IFERROR(VLOOKUP(DATA[[#This Row],[COMBINADA]],#REF!,6,0),0)</f>
        <v>0</v>
      </c>
      <c r="AJ967" s="132">
        <f>IFERROR(VLOOKUP(DATA[[#This Row],[COMBINADA]],#REF!,9,0),0)/COUNTIFS(DATA[COMBINADA],DATA[[#This Row],[COMBINADA]])</f>
        <v>0</v>
      </c>
      <c r="AK967" s="408">
        <f>IFERROR(VLOOKUP(DATA[[#This Row],[COMBINADA]],#REF!,6,0),0)</f>
        <v>0</v>
      </c>
      <c r="AL967" s="125">
        <f>IFERROR(VLOOKUP(DATA[[#This Row],[COMBINADA]],#REF!,9,0),0)/COUNTIFS(DATA[COMBINADA],DATA[[#This Row],[COMBINADA]])</f>
        <v>0</v>
      </c>
      <c r="AM967" s="288">
        <f>IFERROR(VLOOKUP(DATA[[#This Row],[COMBINADA]],#REF!,6,0),0)</f>
        <v>0</v>
      </c>
      <c r="AN967" s="125">
        <f>IFERROR(VLOOKUP(DATA[[#This Row],[COMBINADA]],#REF!,9,0),0)/COUNTIFS(DATA[COMBINADA],DATA[[#This Row],[COMBINADA]])</f>
        <v>0</v>
      </c>
      <c r="AO967" s="147">
        <f>IFERROR(VLOOKUP(DATA[[#This Row],[COMBINADA]],#REF!,6,0),0)</f>
        <v>0</v>
      </c>
      <c r="AP967" s="132">
        <f>IFERROR(VLOOKUP(DATA[[#This Row],[COMBINADA]],#REF!,9,0),0)/COUNTIFS(DATA[COMBINADA],DATA[[#This Row],[COMBINADA]])</f>
        <v>0</v>
      </c>
      <c r="AQ96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967" s="26" t="str">
        <f>IFERROR(IF(DATA[[#This Row],[estado_fact]]="FACTURADO",VLOOKUP(DATA[[#This Row],[SERIE2]]&amp;"-"&amp;DATA[[#This Row],[NUMERO]],#REF!,34,0),"NO CORRESPONDE"),"NO CORRESPONDE")</f>
        <v>NO CORRESPONDE</v>
      </c>
      <c r="AS967" s="22" t="str">
        <f>IF(DATA[[#This Row],[fecha_fs]]&gt;0,TEXT(DATA[[#This Row],[fecha_fs]],"Mmmm"),0)</f>
        <v>Julio</v>
      </c>
      <c r="AT967" s="22" t="str">
        <f>DATA[[#This Row],[SERIE2]]&amp;"-"&amp;DATA[[#This Row],[NUMERO]]</f>
        <v>FF01-205</v>
      </c>
      <c r="AU967" s="28">
        <f>DATA[[#This Row],[TOTAL]]*DATA[[#This Row],[T.C.]]</f>
        <v>351.55</v>
      </c>
      <c r="AV967" s="6">
        <f>DATA[[#This Row],[FECHA DE VAL.]]</f>
        <v>45869</v>
      </c>
      <c r="AW967" s="6">
        <f>DATA[[#This Row],[FECHA DE EMISION]]</f>
        <v>45883</v>
      </c>
      <c r="AX967" s="6">
        <f>DATA[[#This Row],[F1]]</f>
        <v>0</v>
      </c>
      <c r="AY967" s="20">
        <f>IF(AV967-DATA[[#This Row],[fecha_fs]]&lt;0,0,AV967-DATA[[#This Row],[fecha_fs]])</f>
        <v>7</v>
      </c>
      <c r="AZ967" s="20">
        <f t="shared" si="113"/>
        <v>14</v>
      </c>
      <c r="BA967" s="53">
        <f t="shared" si="114"/>
        <v>0</v>
      </c>
      <c r="BB967" s="195">
        <f>IFERROR(SUM(DATA[[#This Row],[fs_val_ttf]:[fact_pago_ttf]]),0)</f>
        <v>21</v>
      </c>
      <c r="BC967" s="185">
        <v>45862</v>
      </c>
      <c r="BD967" s="185">
        <v>45862</v>
      </c>
      <c r="BE967" s="185">
        <v>45870</v>
      </c>
      <c r="BF967" s="185">
        <v>45870</v>
      </c>
      <c r="BG967" s="20">
        <f>IFERROR(IF(BC967-DATA[[#This Row],[fecha_fs]]&lt;0,0,BC967-DATA[[#This Row],[fecha_fs]]),0)</f>
        <v>0</v>
      </c>
      <c r="BH967" s="20">
        <f t="shared" si="115"/>
        <v>0</v>
      </c>
      <c r="BI967" s="20">
        <f t="shared" si="116"/>
        <v>8</v>
      </c>
      <c r="BJ967" s="20">
        <f t="shared" si="117"/>
        <v>0</v>
      </c>
      <c r="BK967" s="282">
        <f>IFERROR(SUM(DATA[[#This Row],[fs_fd_ttd]:[fend_fenf_ttd]]),0)</f>
        <v>8</v>
      </c>
      <c r="BL967" s="20" t="str">
        <f>IF(DATA[[#This Row],[fecha_fs]]&gt;0,TEXT(DATA[[#This Row],[fecha_fs]],"YYYY"),0)</f>
        <v>2025</v>
      </c>
      <c r="BM967" s="236" t="b">
        <v>1</v>
      </c>
      <c r="BN967" s="278">
        <f>COUNTIF(DATA[[#This Row],[tiempo_td]], "&lt;=15")</f>
        <v>1</v>
      </c>
      <c r="BO967" s="222"/>
    </row>
    <row r="968" spans="1:67" ht="30.6" customHeight="1" x14ac:dyDescent="0.25">
      <c r="A968" s="240">
        <v>20100192064</v>
      </c>
      <c r="B968" s="241" t="s">
        <v>60</v>
      </c>
      <c r="C968" s="52" t="s">
        <v>65</v>
      </c>
      <c r="D968" s="240" t="s">
        <v>112</v>
      </c>
      <c r="E968" s="5" t="s">
        <v>1</v>
      </c>
      <c r="F968" s="24">
        <v>45863</v>
      </c>
      <c r="G968" s="7" t="s">
        <v>142</v>
      </c>
      <c r="H968" s="25">
        <f>IF(G968="","",IF(G968="LIM",2,1))</f>
        <v>2</v>
      </c>
      <c r="I968" s="242">
        <v>1115</v>
      </c>
      <c r="J968" s="8" t="s">
        <v>115</v>
      </c>
      <c r="K968" s="9" t="s">
        <v>116</v>
      </c>
      <c r="L968" s="10" t="s">
        <v>117</v>
      </c>
      <c r="M968" s="11">
        <v>4490</v>
      </c>
      <c r="N968" s="12" t="s">
        <v>180</v>
      </c>
      <c r="O968" s="243">
        <v>45863</v>
      </c>
      <c r="P968" s="244">
        <v>3564</v>
      </c>
      <c r="Q968" s="245" t="s">
        <v>123</v>
      </c>
      <c r="R968" s="237">
        <f>(DATA[[#This Row],[cantidad_fs]]/1000)*(147+81.01)</f>
        <v>1023.7649</v>
      </c>
      <c r="S968" s="237">
        <v>103.6</v>
      </c>
      <c r="T968" s="15">
        <f>DATA[[#This Row],[C. DF]]+DATA[[#This Row],[C.OPE.]]</f>
        <v>1127.3649</v>
      </c>
      <c r="U968" s="15">
        <f>DATA[[#This Row],[SUB TOTAL]]*0.18</f>
        <v>202.92568199999999</v>
      </c>
      <c r="V968" s="15">
        <f>IFERROR(ROUND(DATA[[#This Row],[SUB TOTAL]]+DATA[[#This Row],[IGV]],2),0)</f>
        <v>1330.29</v>
      </c>
      <c r="W968" s="16" t="str">
        <f>IF(DATA[[#This Row],[VALORIZACIÓN ]]="-","NO CORRESPONDE",IF(OR(A968=20558226979,A968=10470707866,A968=20111157058,A968=20100226902),"NO CORRESPONDE",IF(J968="Emitida",IF(P968&gt;0,"EMITIDA","PENDIENTE"),"NO CORRESPONDE")))</f>
        <v>EMITIDA</v>
      </c>
      <c r="X968" s="29"/>
      <c r="Y968" s="17" t="s">
        <v>118</v>
      </c>
      <c r="Z968" s="30">
        <v>45869</v>
      </c>
      <c r="AA968" s="10" t="s">
        <v>150</v>
      </c>
      <c r="AB968" s="19">
        <v>190</v>
      </c>
      <c r="AC968" s="20">
        <v>30</v>
      </c>
      <c r="AD968" s="18">
        <f>DATA[[#This Row],[FECHA DE EMISION]]+DATA[[#This Row],[CONDICION DE PAGO]]</f>
        <v>45899</v>
      </c>
      <c r="AE968" s="23" t="e">
        <f>IF(DATA[[#This Row],[MONEDA]]="USD",VLOOKUP(DATA[[#This Row],[COMBINADA]],#REF!,11,0),1)</f>
        <v>#REF!</v>
      </c>
      <c r="AF968" s="39" t="str">
        <f>IF(DATA[[#This Row],[SERIE2]]="-","NO CORRESPONDE",IF(W968="NO CORRESPONDE","NO CORRESPONDE",IF(Z968&gt;0,"FACTURADO","PENDIENTE")))</f>
        <v>FACTURADO</v>
      </c>
      <c r="AG968" s="133">
        <f>IFERROR(VLOOKUP(DATA[[#This Row],[COMBINADA]],#REF!,6,0),0)</f>
        <v>0</v>
      </c>
      <c r="AH968" s="125">
        <f>IFERROR(VLOOKUP(DATA[[#This Row],[COMBINADA]],#REF!,9,0),0)/COUNTIFS(DATA[COMBINADA],DATA[[#This Row],[COMBINADA]])</f>
        <v>0</v>
      </c>
      <c r="AI968" s="136">
        <f>IFERROR(VLOOKUP(DATA[[#This Row],[COMBINADA]],#REF!,6,0),0)</f>
        <v>0</v>
      </c>
      <c r="AJ968" s="132">
        <f>IFERROR(VLOOKUP(DATA[[#This Row],[COMBINADA]],#REF!,9,0),0)/COUNTIFS(DATA[COMBINADA],DATA[[#This Row],[COMBINADA]])</f>
        <v>0</v>
      </c>
      <c r="AK968" s="408">
        <f>IFERROR(VLOOKUP(DATA[[#This Row],[COMBINADA]],#REF!,6,0),0)</f>
        <v>0</v>
      </c>
      <c r="AL968" s="125">
        <f>IFERROR(VLOOKUP(DATA[[#This Row],[COMBINADA]],#REF!,9,0),0)/COUNTIFS(DATA[COMBINADA],DATA[[#This Row],[COMBINADA]])</f>
        <v>0</v>
      </c>
      <c r="AM968" s="288">
        <f>IFERROR(VLOOKUP(DATA[[#This Row],[COMBINADA]],#REF!,6,0),0)</f>
        <v>0</v>
      </c>
      <c r="AN968" s="125">
        <f>IFERROR(VLOOKUP(DATA[[#This Row],[COMBINADA]],#REF!,9,0),0)/COUNTIFS(DATA[COMBINADA],DATA[[#This Row],[COMBINADA]])</f>
        <v>0</v>
      </c>
      <c r="AO968" s="147">
        <f>IFERROR(VLOOKUP(DATA[[#This Row],[COMBINADA]],#REF!,6,0),0)</f>
        <v>0</v>
      </c>
      <c r="AP968" s="132">
        <f>IFERROR(VLOOKUP(DATA[[#This Row],[COMBINADA]],#REF!,9,0),0)/COUNTIFS(DATA[COMBINADA],DATA[[#This Row],[COMBINADA]])</f>
        <v>0</v>
      </c>
      <c r="AQ96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681.36900000000003</v>
      </c>
      <c r="AR968" s="26" t="str">
        <f>IFERROR(IF(DATA[[#This Row],[estado_fact]]="FACTURADO",VLOOKUP(DATA[[#This Row],[SERIE2]]&amp;"-"&amp;DATA[[#This Row],[NUMERO]],#REF!,34,0),"NO CORRESPONDE"),"NO CORRESPONDE")</f>
        <v>NO CORRESPONDE</v>
      </c>
      <c r="AS968" s="22" t="str">
        <f>IF(DATA[[#This Row],[fecha_fs]]&gt;0,TEXT(DATA[[#This Row],[fecha_fs]],"Mmmm"),0)</f>
        <v>Julio</v>
      </c>
      <c r="AT968" s="22" t="str">
        <f>DATA[[#This Row],[SERIE2]]&amp;"-"&amp;DATA[[#This Row],[NUMERO]]</f>
        <v>FF01-190</v>
      </c>
      <c r="AU968" s="28" t="e">
        <f>DATA[[#This Row],[TOTAL]]*DATA[[#This Row],[T.C.]]</f>
        <v>#REF!</v>
      </c>
      <c r="AV968" s="6">
        <f>DATA[[#This Row],[FECHA DE VAL.]]</f>
        <v>45863</v>
      </c>
      <c r="AW968" s="6">
        <f>DATA[[#This Row],[FECHA DE EMISION]]</f>
        <v>45869</v>
      </c>
      <c r="AX968" s="6">
        <f>DATA[[#This Row],[F1]]</f>
        <v>0</v>
      </c>
      <c r="AY968" s="20">
        <f>IF(AV968-DATA[[#This Row],[fecha_fs]]&lt;0,0,AV968-DATA[[#This Row],[fecha_fs]])</f>
        <v>0</v>
      </c>
      <c r="AZ968" s="20">
        <f t="shared" si="113"/>
        <v>6</v>
      </c>
      <c r="BA968" s="53">
        <f t="shared" si="114"/>
        <v>0</v>
      </c>
      <c r="BB968" s="195">
        <f>IFERROR(SUM(DATA[[#This Row],[fs_val_ttf]:[fact_pago_ttf]]),0)</f>
        <v>6</v>
      </c>
      <c r="BC968" s="185">
        <v>45863</v>
      </c>
      <c r="BD968" s="185">
        <v>45869</v>
      </c>
      <c r="BE968" s="185">
        <v>45870</v>
      </c>
      <c r="BF968" s="185">
        <v>45909</v>
      </c>
      <c r="BG968" s="20">
        <f>IFERROR(IF(BC968-DATA[[#This Row],[fecha_fs]]&lt;0,0,BC968-DATA[[#This Row],[fecha_fs]]),0)</f>
        <v>0</v>
      </c>
      <c r="BH968" s="20">
        <f t="shared" si="115"/>
        <v>6</v>
      </c>
      <c r="BI968" s="20">
        <f t="shared" si="116"/>
        <v>1</v>
      </c>
      <c r="BJ968" s="20">
        <f t="shared" si="117"/>
        <v>39</v>
      </c>
      <c r="BK968" s="282">
        <f>IFERROR(SUM(DATA[[#This Row],[fs_fd_ttd]:[fend_fenf_ttd]]),0)</f>
        <v>46</v>
      </c>
      <c r="BL968" s="20" t="str">
        <f>IF(DATA[[#This Row],[fecha_fs]]&gt;0,TEXT(DATA[[#This Row],[fecha_fs]],"YYYY"),0)</f>
        <v>2025</v>
      </c>
      <c r="BM968" s="236" t="b">
        <v>1</v>
      </c>
      <c r="BN968" s="278">
        <f>COUNTIF(DATA[[#This Row],[tiempo_td]], "&lt;=15")</f>
        <v>0</v>
      </c>
      <c r="BO968" s="222"/>
    </row>
    <row r="969" spans="1:67" ht="30.6" customHeight="1" x14ac:dyDescent="0.25">
      <c r="A969" s="240">
        <v>20100192064</v>
      </c>
      <c r="B969" s="241" t="s">
        <v>60</v>
      </c>
      <c r="C969" s="52" t="s">
        <v>65</v>
      </c>
      <c r="D969" s="4" t="s">
        <v>183</v>
      </c>
      <c r="E969" s="5" t="s">
        <v>61</v>
      </c>
      <c r="F969" s="24">
        <v>45863</v>
      </c>
      <c r="G969" s="7" t="s">
        <v>142</v>
      </c>
      <c r="H969" s="25">
        <f>IF(G969="","",IF(G969="LIM",2,1))</f>
        <v>2</v>
      </c>
      <c r="I969" s="242">
        <v>1116</v>
      </c>
      <c r="J969" s="8" t="s">
        <v>115</v>
      </c>
      <c r="K969" s="9" t="s">
        <v>184</v>
      </c>
      <c r="L969" s="10" t="s">
        <v>117</v>
      </c>
      <c r="M969" s="11">
        <v>71730</v>
      </c>
      <c r="N969" s="12" t="s">
        <v>114</v>
      </c>
      <c r="O969" s="6">
        <v>45863</v>
      </c>
      <c r="P969" s="71">
        <v>3565</v>
      </c>
      <c r="Q969" s="14" t="s">
        <v>123</v>
      </c>
      <c r="R969" s="74"/>
      <c r="S969" s="15">
        <f>(DATA[[#This Row],[cantidad_fs]]/1000)*19</f>
        <v>1362.8700000000001</v>
      </c>
      <c r="T969" s="15">
        <f>DATA[[#This Row],[C. DF]]+DATA[[#This Row],[C.OPE.]]</f>
        <v>1362.8700000000001</v>
      </c>
      <c r="U969" s="15">
        <f>DATA[[#This Row],[SUB TOTAL]]*0.18</f>
        <v>245.31660000000002</v>
      </c>
      <c r="V969" s="15">
        <f>IFERROR(ROUND(DATA[[#This Row],[SUB TOTAL]]+DATA[[#This Row],[IGV]],2),0)</f>
        <v>1608.19</v>
      </c>
      <c r="W969" s="16" t="str">
        <f>IF(DATA[[#This Row],[VALORIZACIÓN ]]="-","NO CORRESPONDE",IF(OR(A969=20558226979,A969=10470707866,A969=20111157058,A969=20100226902),"NO CORRESPONDE",IF(J969="Emitida",IF(P969&gt;0,"EMITIDA","PENDIENTE"),"NO CORRESPONDE")))</f>
        <v>EMITIDA</v>
      </c>
      <c r="X969" s="29"/>
      <c r="Y969" s="17" t="s">
        <v>118</v>
      </c>
      <c r="Z969" s="30">
        <v>45869</v>
      </c>
      <c r="AA969" s="10" t="s">
        <v>150</v>
      </c>
      <c r="AB969" s="19">
        <v>190</v>
      </c>
      <c r="AC969" s="20">
        <v>30</v>
      </c>
      <c r="AD969" s="18">
        <f>DATA[[#This Row],[FECHA DE EMISION]]+DATA[[#This Row],[CONDICION DE PAGO]]</f>
        <v>45899</v>
      </c>
      <c r="AE969" s="23" t="e">
        <f>IF(DATA[[#This Row],[MONEDA]]="USD",VLOOKUP(DATA[[#This Row],[COMBINADA]],#REF!,11,0),1)</f>
        <v>#REF!</v>
      </c>
      <c r="AF969" s="39" t="str">
        <f>IF(DATA[[#This Row],[SERIE2]]="-","NO CORRESPONDE",IF(W969="NO CORRESPONDE","NO CORRESPONDE",IF(Z969&gt;0,"FACTURADO","PENDIENTE")))</f>
        <v>FACTURADO</v>
      </c>
      <c r="AG969" s="133">
        <f>IFERROR(VLOOKUP(DATA[[#This Row],[COMBINADA]],#REF!,6,0),0)</f>
        <v>0</v>
      </c>
      <c r="AH969" s="125">
        <f>IFERROR(VLOOKUP(DATA[[#This Row],[COMBINADA]],#REF!,9,0),0)/COUNTIFS(DATA[COMBINADA],DATA[[#This Row],[COMBINADA]])</f>
        <v>0</v>
      </c>
      <c r="AI969" s="136">
        <f>IFERROR(VLOOKUP(DATA[[#This Row],[COMBINADA]],#REF!,6,0),0)</f>
        <v>0</v>
      </c>
      <c r="AJ969" s="132">
        <f>IFERROR(VLOOKUP(DATA[[#This Row],[COMBINADA]],#REF!,9,0),0)/COUNTIFS(DATA[COMBINADA],DATA[[#This Row],[COMBINADA]])</f>
        <v>0</v>
      </c>
      <c r="AK969" s="408">
        <f>IFERROR(VLOOKUP(DATA[[#This Row],[COMBINADA]],#REF!,6,0),0)</f>
        <v>0</v>
      </c>
      <c r="AL969" s="125">
        <f>IFERROR(VLOOKUP(DATA[[#This Row],[COMBINADA]],#REF!,9,0),0)/COUNTIFS(DATA[COMBINADA],DATA[[#This Row],[COMBINADA]])</f>
        <v>0</v>
      </c>
      <c r="AM969" s="288">
        <f>IFERROR(VLOOKUP(DATA[[#This Row],[COMBINADA]],#REF!,6,0),0)</f>
        <v>0</v>
      </c>
      <c r="AN969" s="125">
        <f>IFERROR(VLOOKUP(DATA[[#This Row],[COMBINADA]],#REF!,9,0),0)/COUNTIFS(DATA[COMBINADA],DATA[[#This Row],[COMBINADA]])</f>
        <v>0</v>
      </c>
      <c r="AO969" s="147">
        <f>IFERROR(VLOOKUP(DATA[[#This Row],[COMBINADA]],#REF!,6,0),0)</f>
        <v>0</v>
      </c>
      <c r="AP969" s="132">
        <f>IFERROR(VLOOKUP(DATA[[#This Row],[COMBINADA]],#REF!,9,0),0)/COUNTIFS(DATA[COMBINADA],DATA[[#This Row],[COMBINADA]])</f>
        <v>0</v>
      </c>
      <c r="AQ96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681.36900000000003</v>
      </c>
      <c r="AR969" s="26" t="str">
        <f>IFERROR(IF(DATA[[#This Row],[estado_fact]]="FACTURADO",VLOOKUP(DATA[[#This Row],[SERIE2]]&amp;"-"&amp;DATA[[#This Row],[NUMERO]],#REF!,34,0),"NO CORRESPONDE"),"NO CORRESPONDE")</f>
        <v>NO CORRESPONDE</v>
      </c>
      <c r="AS969" s="22" t="str">
        <f>IF(DATA[[#This Row],[fecha_fs]]&gt;0,TEXT(DATA[[#This Row],[fecha_fs]],"Mmmm"),0)</f>
        <v>Julio</v>
      </c>
      <c r="AT969" s="22" t="str">
        <f>DATA[[#This Row],[SERIE2]]&amp;"-"&amp;DATA[[#This Row],[NUMERO]]</f>
        <v>FF01-190</v>
      </c>
      <c r="AU969" s="28" t="e">
        <f>DATA[[#This Row],[TOTAL]]*DATA[[#This Row],[T.C.]]</f>
        <v>#REF!</v>
      </c>
      <c r="AV969" s="6">
        <f>DATA[[#This Row],[FECHA DE VAL.]]</f>
        <v>45863</v>
      </c>
      <c r="AW969" s="6">
        <f>DATA[[#This Row],[FECHA DE EMISION]]</f>
        <v>45869</v>
      </c>
      <c r="AX969" s="6">
        <f>DATA[[#This Row],[F1]]</f>
        <v>0</v>
      </c>
      <c r="AY969" s="20">
        <f>IF(AV969-DATA[[#This Row],[fecha_fs]]&lt;0,0,AV969-DATA[[#This Row],[fecha_fs]])</f>
        <v>0</v>
      </c>
      <c r="AZ969" s="20">
        <f>IF(AW969-AV969&lt;0,0,AW969-AV969)</f>
        <v>6</v>
      </c>
      <c r="BA969" s="53">
        <f>IF(AX969-AW969&lt;0,0,AX969-AW969)</f>
        <v>0</v>
      </c>
      <c r="BB969" s="195">
        <f>IFERROR(SUM(DATA[[#This Row],[fs_val_ttf]:[fact_pago_ttf]]),0)</f>
        <v>6</v>
      </c>
      <c r="BC969" s="185" t="s">
        <v>292</v>
      </c>
      <c r="BD969" s="185" t="s">
        <v>292</v>
      </c>
      <c r="BE969" s="185" t="s">
        <v>292</v>
      </c>
      <c r="BF969" s="185" t="s">
        <v>292</v>
      </c>
      <c r="BG969" s="20">
        <f>IFERROR(IF(BC969-DATA[[#This Row],[fecha_fs]]&lt;0,0,BC969-DATA[[#This Row],[fecha_fs]]),0)</f>
        <v>0</v>
      </c>
      <c r="BH969" s="20">
        <f>IFERROR(IF(BD969-BC969&lt;0,0,BD969-BC969),0)</f>
        <v>0</v>
      </c>
      <c r="BI969" s="20">
        <f>IFERROR(IF(BE969-BD969&lt;0,0,BE969-BD969),0)</f>
        <v>0</v>
      </c>
      <c r="BJ969" s="20">
        <f>IFERROR(IF(BF969-BE969&lt;0,0,BF969-BE969),0)</f>
        <v>0</v>
      </c>
      <c r="BK969" s="218">
        <f>IFERROR(SUM(DATA[[#This Row],[fs_fd_ttd]:[fend_fenf_ttd]]),0)</f>
        <v>0</v>
      </c>
      <c r="BL969" s="20" t="str">
        <f>IF(DATA[[#This Row],[fecha_fs]]&gt;0,TEXT(DATA[[#This Row],[fecha_fs]],"YYYY"),0)</f>
        <v>2025</v>
      </c>
      <c r="BM969" s="236" t="b">
        <v>1</v>
      </c>
      <c r="BN969" s="278">
        <f>COUNTIF(DATA[[#This Row],[tiempo_td]], "&lt;=15")</f>
        <v>1</v>
      </c>
      <c r="BO969" s="222"/>
    </row>
    <row r="970" spans="1:67" ht="30.6" customHeight="1" x14ac:dyDescent="0.25">
      <c r="A970" s="240">
        <v>20558226979</v>
      </c>
      <c r="B970" s="241" t="s">
        <v>45</v>
      </c>
      <c r="C970" s="52" t="s">
        <v>18</v>
      </c>
      <c r="D970" s="4" t="s">
        <v>120</v>
      </c>
      <c r="E970" s="241" t="s">
        <v>3</v>
      </c>
      <c r="F970" s="248">
        <v>45863</v>
      </c>
      <c r="G970" s="249" t="s">
        <v>113</v>
      </c>
      <c r="H970" s="250">
        <f t="shared" si="112"/>
        <v>1</v>
      </c>
      <c r="I970" s="242">
        <v>4792</v>
      </c>
      <c r="J970" s="8" t="s">
        <v>115</v>
      </c>
      <c r="K970" s="9" t="s">
        <v>121</v>
      </c>
      <c r="L970" s="10" t="s">
        <v>117</v>
      </c>
      <c r="M970" s="253">
        <v>3640</v>
      </c>
      <c r="N970" s="112" t="s">
        <v>114</v>
      </c>
      <c r="O970" s="40"/>
      <c r="P970" s="41"/>
      <c r="Q970" s="42"/>
      <c r="R970" s="43"/>
      <c r="S970" s="43"/>
      <c r="T970" s="15">
        <f>DATA[[#This Row],[C. DF]]+DATA[[#This Row],[C.OPE.]]</f>
        <v>0</v>
      </c>
      <c r="U970" s="43">
        <f>DATA[[#This Row],[SUB TOTAL]]*0.18</f>
        <v>0</v>
      </c>
      <c r="V970" s="43">
        <f>IFERROR(ROUND(DATA[[#This Row],[SUB TOTAL]]+DATA[[#This Row],[IGV]],2),0)</f>
        <v>0</v>
      </c>
      <c r="W970" s="256" t="str">
        <f>IF(DATA[[#This Row],[VALORIZACIÓN ]]="-","NO CORRESPONDE",IF(OR(A970=20558226979,A970=10470707866,A970=20111157058,A970=20100226902),"NO CORRESPONDE",IF(J970="Emitida",IF(P970&gt;0,"EMITIDA","PENDIENTE"),"NO CORRESPONDE")))</f>
        <v>NO CORRESPONDE</v>
      </c>
      <c r="X970" s="257"/>
      <c r="Y970" s="17" t="s">
        <v>128</v>
      </c>
      <c r="Z970" s="258"/>
      <c r="AA970" s="259"/>
      <c r="AB970" s="260"/>
      <c r="AC970" s="261"/>
      <c r="AD970" s="262">
        <f>DATA[[#This Row],[FECHA DE EMISION]]+DATA[[#This Row],[CONDICION DE PAGO]]</f>
        <v>0</v>
      </c>
      <c r="AE970" s="263">
        <f>IF(DATA[[#This Row],[MONEDA]]="USD",VLOOKUP(DATA[[#This Row],[COMBINADA]],#REF!,11,0),1)</f>
        <v>1</v>
      </c>
      <c r="AF970" s="264" t="str">
        <f>IF(DATA[[#This Row],[SERIE2]]="-","NO CORRESPONDE",IF(W970="NO CORRESPONDE","NO CORRESPONDE",IF(Z970&gt;0,"FACTURADO","PENDIENTE")))</f>
        <v>NO CORRESPONDE</v>
      </c>
      <c r="AG970" s="265">
        <f>IFERROR(VLOOKUP(DATA[[#This Row],[COMBINADA]],#REF!,6,0),0)</f>
        <v>0</v>
      </c>
      <c r="AH970" s="266">
        <f>IFERROR(VLOOKUP(DATA[[#This Row],[COMBINADA]],#REF!,9,0),0)/COUNTIFS(DATA[COMBINADA],DATA[[#This Row],[COMBINADA]])</f>
        <v>0</v>
      </c>
      <c r="AI970" s="267">
        <f>IFERROR(VLOOKUP(DATA[[#This Row],[COMBINADA]],#REF!,6,0),0)</f>
        <v>0</v>
      </c>
      <c r="AJ970" s="268">
        <f>IFERROR(VLOOKUP(DATA[[#This Row],[COMBINADA]],#REF!,9,0),0)/COUNTIFS(DATA[COMBINADA],DATA[[#This Row],[COMBINADA]])</f>
        <v>0</v>
      </c>
      <c r="AK970" s="270">
        <f>IFERROR(VLOOKUP(DATA[[#This Row],[COMBINADA]],#REF!,6,0),0)</f>
        <v>0</v>
      </c>
      <c r="AL970" s="268">
        <f>IFERROR(VLOOKUP(DATA[[#This Row],[COMBINADA]],#REF!,9,0),0)/COUNTIFS(DATA[COMBINADA],DATA[[#This Row],[COMBINADA]])</f>
        <v>0</v>
      </c>
      <c r="AM970" s="270">
        <f>IFERROR(VLOOKUP(DATA[[#This Row],[COMBINADA]],#REF!,6,0),0)</f>
        <v>0</v>
      </c>
      <c r="AN970" s="268">
        <f>IFERROR(VLOOKUP(DATA[[#This Row],[COMBINADA]],#REF!,9,0),0)/COUNTIFS(DATA[COMBINADA],DATA[[#This Row],[COMBINADA]])</f>
        <v>0</v>
      </c>
      <c r="AO970" s="270">
        <f>IFERROR(VLOOKUP(DATA[[#This Row],[COMBINADA]],#REF!,6,0),0)</f>
        <v>0</v>
      </c>
      <c r="AP970" s="269">
        <f>IFERROR(VLOOKUP(DATA[[#This Row],[COMBINADA]],#REF!,9,0),0)/COUNTIFS(DATA[COMBINADA],DATA[[#This Row],[COMBINADA]])</f>
        <v>0</v>
      </c>
      <c r="AQ970" s="27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970" s="272" t="str">
        <f>IFERROR(IF(DATA[[#This Row],[estado_fact]]="FACTURADO",VLOOKUP(DATA[[#This Row],[SERIE2]]&amp;"-"&amp;DATA[[#This Row],[NUMERO]],#REF!,34,0),"NO CORRESPONDE"),"NO CORRESPONDE")</f>
        <v>NO CORRESPONDE</v>
      </c>
      <c r="AS970" s="273" t="str">
        <f>IF(DATA[[#This Row],[fecha_fs]]&gt;0,TEXT(DATA[[#This Row],[fecha_fs]],"Mmmm"),0)</f>
        <v>Julio</v>
      </c>
      <c r="AT970" s="274" t="str">
        <f>DATA[[#This Row],[SERIE2]]&amp;"-"&amp;DATA[[#This Row],[NUMERO]]</f>
        <v>-</v>
      </c>
      <c r="AU970" s="273">
        <f>DATA[[#This Row],[TOTAL]]*DATA[[#This Row],[T.C.]]</f>
        <v>0</v>
      </c>
      <c r="AV970" s="275">
        <f>DATA[[#This Row],[FECHA DE VAL.]]</f>
        <v>0</v>
      </c>
      <c r="AW970" s="275">
        <f>DATA[[#This Row],[FECHA DE EMISION]]</f>
        <v>0</v>
      </c>
      <c r="AX970" s="275">
        <f>DATA[[#This Row],[F1]]</f>
        <v>0</v>
      </c>
      <c r="AY970" s="259">
        <f>IF(AV970-DATA[[#This Row],[fecha_fs]]&lt;0,0,AV970-DATA[[#This Row],[fecha_fs]])</f>
        <v>0</v>
      </c>
      <c r="AZ970" s="259">
        <f t="shared" si="113"/>
        <v>0</v>
      </c>
      <c r="BA970" s="259">
        <f t="shared" si="114"/>
        <v>0</v>
      </c>
      <c r="BB970" s="195">
        <f>IFERROR(SUM(DATA[[#This Row],[fs_val_ttf]:[fact_pago_ttf]]),0)</f>
        <v>0</v>
      </c>
      <c r="BC970" s="233">
        <v>45868</v>
      </c>
      <c r="BD970" s="233">
        <v>45882</v>
      </c>
      <c r="BE970" s="185">
        <v>45889</v>
      </c>
      <c r="BF970" s="185">
        <v>45889</v>
      </c>
      <c r="BG970" s="291">
        <f>IFERROR(IF(BC970-DATA[[#This Row],[fecha_fs]]&lt;0,0,BC970-DATA[[#This Row],[fecha_fs]]),0)</f>
        <v>5</v>
      </c>
      <c r="BH970" s="291">
        <f t="shared" si="115"/>
        <v>14</v>
      </c>
      <c r="BI970" s="291">
        <f t="shared" si="116"/>
        <v>7</v>
      </c>
      <c r="BJ970" s="291">
        <f t="shared" si="117"/>
        <v>0</v>
      </c>
      <c r="BK970" s="218">
        <f>IFERROR(SUM(DATA[[#This Row],[fs_fd_ttd]:[fend_fenf_ttd]]),0)</f>
        <v>26</v>
      </c>
      <c r="BL970" s="20" t="str">
        <f>IF(DATA[[#This Row],[fecha_fs]]&gt;0,TEXT(DATA[[#This Row],[fecha_fs]],"YYYY"),0)</f>
        <v>2025</v>
      </c>
      <c r="BM970" s="236" t="b">
        <v>1</v>
      </c>
      <c r="BN970" s="278">
        <f>COUNTIF(DATA[[#This Row],[tiempo_td]], "&lt;=15")</f>
        <v>0</v>
      </c>
      <c r="BO970" s="239"/>
    </row>
    <row r="971" spans="1:67" ht="30.6" customHeight="1" x14ac:dyDescent="0.25">
      <c r="A971" s="4">
        <v>20505675836</v>
      </c>
      <c r="B971" s="5" t="s">
        <v>42</v>
      </c>
      <c r="C971" s="52" t="s">
        <v>43</v>
      </c>
      <c r="D971" s="4" t="s">
        <v>112</v>
      </c>
      <c r="E971" s="5" t="s">
        <v>1</v>
      </c>
      <c r="F971" s="24">
        <v>45863</v>
      </c>
      <c r="G971" s="7" t="s">
        <v>113</v>
      </c>
      <c r="H971" s="25">
        <f t="shared" si="112"/>
        <v>1</v>
      </c>
      <c r="I971" s="242">
        <v>4793</v>
      </c>
      <c r="J971" s="8" t="s">
        <v>115</v>
      </c>
      <c r="K971" s="9" t="s">
        <v>116</v>
      </c>
      <c r="L971" s="10" t="s">
        <v>117</v>
      </c>
      <c r="M971" s="11">
        <v>7950</v>
      </c>
      <c r="N971" s="12" t="s">
        <v>135</v>
      </c>
      <c r="O971" s="6">
        <v>45863</v>
      </c>
      <c r="P971" s="244">
        <v>3571</v>
      </c>
      <c r="Q971" s="14" t="s">
        <v>85</v>
      </c>
      <c r="R971" s="237">
        <f>(DATA[[#This Row],[cantidad_fs]]-600)*0.97</f>
        <v>7129.5</v>
      </c>
      <c r="S971" s="237">
        <v>1427.2</v>
      </c>
      <c r="T971" s="15">
        <f>DATA[[#This Row],[C. DF]]+DATA[[#This Row],[C.OPE.]]</f>
        <v>8556.7000000000007</v>
      </c>
      <c r="U971" s="15">
        <f>DATA[[#This Row],[SUB TOTAL]]*0.18</f>
        <v>1540.2060000000001</v>
      </c>
      <c r="V971" s="15">
        <f>IFERROR(ROUND(DATA[[#This Row],[SUB TOTAL]]+DATA[[#This Row],[IGV]],2),0)</f>
        <v>10096.91</v>
      </c>
      <c r="W971" s="16" t="str">
        <f>IF(DATA[[#This Row],[VALORIZACIÓN ]]="-","NO CORRESPONDE",IF(OR(A971=20558226979,A971=10470707866,A971=20111157058,A971=20100226902),"NO CORRESPONDE",IF(J971="Emitida",IF(P971&gt;0,"EMITIDA","PENDIENTE"),"NO CORRESPONDE")))</f>
        <v>EMITIDA</v>
      </c>
      <c r="X971" s="29"/>
      <c r="Y971" s="17" t="s">
        <v>118</v>
      </c>
      <c r="Z971" s="30">
        <v>45876</v>
      </c>
      <c r="AA971" s="10" t="s">
        <v>150</v>
      </c>
      <c r="AB971" s="19">
        <v>197</v>
      </c>
      <c r="AC971" s="20">
        <v>30</v>
      </c>
      <c r="AD971" s="18">
        <f>DATA[[#This Row],[FECHA DE EMISION]]+DATA[[#This Row],[CONDICION DE PAGO]]</f>
        <v>45906</v>
      </c>
      <c r="AE971" s="23">
        <f>IF(DATA[[#This Row],[MONEDA]]="USD",VLOOKUP(DATA[[#This Row],[COMBINADA]],#REF!,11,0),1)</f>
        <v>1</v>
      </c>
      <c r="AF971" s="129" t="str">
        <f>IF(DATA[[#This Row],[SERIE2]]="-","NO CORRESPONDE",IF(W971="NO CORRESPONDE","NO CORRESPONDE",IF(Z971&gt;0,"FACTURADO","PENDIENTE")))</f>
        <v>FACTURADO</v>
      </c>
      <c r="AG971" s="133">
        <f>IFERROR(VLOOKUP(DATA[[#This Row],[COMBINADA]],#REF!,6,0),0)</f>
        <v>0</v>
      </c>
      <c r="AH971" s="125">
        <f>IFERROR(VLOOKUP(DATA[[#This Row],[COMBINADA]],#REF!,9,0),0)/COUNTIFS(DATA[COMBINADA],DATA[[#This Row],[COMBINADA]])</f>
        <v>0</v>
      </c>
      <c r="AI971" s="136">
        <f>IFERROR(VLOOKUP(DATA[[#This Row],[COMBINADA]],#REF!,6,0),0)</f>
        <v>0</v>
      </c>
      <c r="AJ971" s="132">
        <f>IFERROR(VLOOKUP(DATA[[#This Row],[COMBINADA]],#REF!,9,0),0)/COUNTIFS(DATA[COMBINADA],DATA[[#This Row],[COMBINADA]])</f>
        <v>0</v>
      </c>
      <c r="AK971" s="408">
        <f>IFERROR(VLOOKUP(DATA[[#This Row],[COMBINADA]],#REF!,6,0),0)</f>
        <v>0</v>
      </c>
      <c r="AL971" s="125">
        <f>IFERROR(VLOOKUP(DATA[[#This Row],[COMBINADA]],#REF!,9,0),0)/COUNTIFS(DATA[COMBINADA],DATA[[#This Row],[COMBINADA]])</f>
        <v>0</v>
      </c>
      <c r="AM971" s="288">
        <f>IFERROR(VLOOKUP(DATA[[#This Row],[COMBINADA]],#REF!,6,0),0)</f>
        <v>0</v>
      </c>
      <c r="AN971" s="125">
        <f>IFERROR(VLOOKUP(DATA[[#This Row],[COMBINADA]],#REF!,9,0),0)/COUNTIFS(DATA[COMBINADA],DATA[[#This Row],[COMBINADA]])</f>
        <v>0</v>
      </c>
      <c r="AO971" s="147">
        <f>IFERROR(VLOOKUP(DATA[[#This Row],[COMBINADA]],#REF!,6,0),0)</f>
        <v>0</v>
      </c>
      <c r="AP971" s="132">
        <f>IFERROR(VLOOKUP(DATA[[#This Row],[COMBINADA]],#REF!,9,0),0)/COUNTIFS(DATA[COMBINADA],DATA[[#This Row],[COMBINADA]])</f>
        <v>0</v>
      </c>
      <c r="AQ97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4617.7775000000001</v>
      </c>
      <c r="AR971" s="26" t="str">
        <f>IFERROR(IF(DATA[[#This Row],[estado_fact]]="FACTURADO",VLOOKUP(DATA[[#This Row],[SERIE2]]&amp;"-"&amp;DATA[[#This Row],[NUMERO]],#REF!,34,0),"NO CORRESPONDE"),"NO CORRESPONDE")</f>
        <v>NO CORRESPONDE</v>
      </c>
      <c r="AS971" s="22" t="str">
        <f>IF(DATA[[#This Row],[fecha_fs]]&gt;0,TEXT(DATA[[#This Row],[fecha_fs]],"Mmmm"),0)</f>
        <v>Julio</v>
      </c>
      <c r="AT971" s="22" t="str">
        <f>DATA[[#This Row],[SERIE2]]&amp;"-"&amp;DATA[[#This Row],[NUMERO]]</f>
        <v>FF01-197</v>
      </c>
      <c r="AU971" s="28">
        <f>DATA[[#This Row],[TOTAL]]*DATA[[#This Row],[T.C.]]</f>
        <v>10096.91</v>
      </c>
      <c r="AV971" s="6">
        <f>DATA[[#This Row],[FECHA DE VAL.]]</f>
        <v>45863</v>
      </c>
      <c r="AW971" s="6">
        <f>DATA[[#This Row],[FECHA DE EMISION]]</f>
        <v>45876</v>
      </c>
      <c r="AX971" s="6">
        <f>DATA[[#This Row],[F1]]</f>
        <v>0</v>
      </c>
      <c r="AY971" s="20">
        <f>IF(AV971-DATA[[#This Row],[fecha_fs]]&lt;0,0,AV971-DATA[[#This Row],[fecha_fs]])</f>
        <v>0</v>
      </c>
      <c r="AZ971" s="20">
        <f t="shared" si="113"/>
        <v>13</v>
      </c>
      <c r="BA971" s="53">
        <f t="shared" si="114"/>
        <v>0</v>
      </c>
      <c r="BB971" s="195">
        <f>IFERROR(SUM(DATA[[#This Row],[fs_val_ttf]:[fact_pago_ttf]]),0)</f>
        <v>13</v>
      </c>
      <c r="BC971" s="185">
        <v>45873</v>
      </c>
      <c r="BD971" s="185">
        <v>45887</v>
      </c>
      <c r="BE971" s="185">
        <v>45888</v>
      </c>
      <c r="BF971" s="185">
        <v>45895</v>
      </c>
      <c r="BG971" s="20">
        <f>IFERROR(IF(BC971-DATA[[#This Row],[fecha_fs]]&lt;0,0,BC971-DATA[[#This Row],[fecha_fs]]),0)</f>
        <v>10</v>
      </c>
      <c r="BH971" s="20">
        <f t="shared" si="115"/>
        <v>14</v>
      </c>
      <c r="BI971" s="20">
        <f t="shared" si="116"/>
        <v>1</v>
      </c>
      <c r="BJ971" s="20">
        <f t="shared" si="117"/>
        <v>7</v>
      </c>
      <c r="BK971" s="282">
        <f>IFERROR(SUM(DATA[[#This Row],[fs_fd_ttd]:[fend_fenf_ttd]]),0)</f>
        <v>32</v>
      </c>
      <c r="BL971" s="20" t="str">
        <f>IF(DATA[[#This Row],[fecha_fs]]&gt;0,TEXT(DATA[[#This Row],[fecha_fs]],"YYYY"),0)</f>
        <v>2025</v>
      </c>
      <c r="BM971" s="236" t="b">
        <v>1</v>
      </c>
      <c r="BN971" s="278">
        <f>COUNTIF(DATA[[#This Row],[tiempo_td]], "&lt;=15")</f>
        <v>0</v>
      </c>
      <c r="BO971" s="222"/>
    </row>
    <row r="972" spans="1:67" ht="30.6" customHeight="1" x14ac:dyDescent="0.25">
      <c r="A972" s="4">
        <v>20100211115</v>
      </c>
      <c r="B972" s="5" t="s">
        <v>41</v>
      </c>
      <c r="C972" s="52" t="s">
        <v>18</v>
      </c>
      <c r="D972" s="4" t="s">
        <v>120</v>
      </c>
      <c r="E972" s="5" t="s">
        <v>3</v>
      </c>
      <c r="F972" s="24">
        <v>45868</v>
      </c>
      <c r="G972" s="7" t="s">
        <v>113</v>
      </c>
      <c r="H972" s="25">
        <f t="shared" si="112"/>
        <v>1</v>
      </c>
      <c r="I972" s="242">
        <v>4794</v>
      </c>
      <c r="J972" s="8" t="s">
        <v>115</v>
      </c>
      <c r="K972" s="9" t="s">
        <v>121</v>
      </c>
      <c r="L972" s="10" t="s">
        <v>117</v>
      </c>
      <c r="M972" s="11">
        <v>90</v>
      </c>
      <c r="N972" s="12" t="s">
        <v>167</v>
      </c>
      <c r="O972" s="6">
        <v>45869</v>
      </c>
      <c r="P972" s="205">
        <v>3589</v>
      </c>
      <c r="Q972" s="14" t="s">
        <v>85</v>
      </c>
      <c r="R972" s="206"/>
      <c r="S972" s="206">
        <f>(DATA[[#This Row],[cantidad_fs]]*4.17)</f>
        <v>375.3</v>
      </c>
      <c r="T972" s="15">
        <f>DATA[[#This Row],[C. DF]]+DATA[[#This Row],[C.OPE.]]</f>
        <v>375.3</v>
      </c>
      <c r="U972" s="15">
        <f>DATA[[#This Row],[SUB TOTAL]]*0.18</f>
        <v>67.554000000000002</v>
      </c>
      <c r="V972" s="15">
        <f>IFERROR(ROUND(DATA[[#This Row],[SUB TOTAL]]+DATA[[#This Row],[IGV]],2),0)</f>
        <v>442.85</v>
      </c>
      <c r="W972" s="16" t="str">
        <f>IF(DATA[[#This Row],[VALORIZACIÓN ]]="-","NO CORRESPONDE",IF(OR(A972=20558226979,A972=10470707866,A972=20111157058,A972=20100226902),"NO CORRESPONDE",IF(J972="Emitida",IF(P972&gt;0,"EMITIDA","PENDIENTE"),"NO CORRESPONDE")))</f>
        <v>EMITIDA</v>
      </c>
      <c r="X972" s="29"/>
      <c r="Y972" s="17" t="s">
        <v>118</v>
      </c>
      <c r="Z972" s="30">
        <v>45896</v>
      </c>
      <c r="AA972" s="10" t="s">
        <v>150</v>
      </c>
      <c r="AB972" s="19">
        <v>224</v>
      </c>
      <c r="AC972" s="20">
        <v>30</v>
      </c>
      <c r="AD972" s="18">
        <f>DATA[[#This Row],[FECHA DE EMISION]]+DATA[[#This Row],[CONDICION DE PAGO]]</f>
        <v>45926</v>
      </c>
      <c r="AE972" s="23">
        <f>IF(DATA[[#This Row],[MONEDA]]="USD",VLOOKUP(DATA[[#This Row],[COMBINADA]],#REF!,11,0),1)</f>
        <v>1</v>
      </c>
      <c r="AF972" s="129" t="str">
        <f>IF(DATA[[#This Row],[SERIE2]]="-","NO CORRESPONDE",IF(W972="NO CORRESPONDE","NO CORRESPONDE",IF(Z972&gt;0,"FACTURADO","PENDIENTE")))</f>
        <v>FACTURADO</v>
      </c>
      <c r="AG972" s="133">
        <f>IFERROR(VLOOKUP(DATA[[#This Row],[COMBINADA]],#REF!,6,0),0)</f>
        <v>0</v>
      </c>
      <c r="AH972" s="125">
        <f>IFERROR(VLOOKUP(DATA[[#This Row],[COMBINADA]],#REF!,9,0),0)/COUNTIFS(DATA[COMBINADA],DATA[[#This Row],[COMBINADA]])</f>
        <v>0</v>
      </c>
      <c r="AI972" s="136">
        <f>IFERROR(VLOOKUP(DATA[[#This Row],[COMBINADA]],#REF!,6,0),0)</f>
        <v>0</v>
      </c>
      <c r="AJ972" s="132">
        <f>IFERROR(VLOOKUP(DATA[[#This Row],[COMBINADA]],#REF!,9,0),0)/COUNTIFS(DATA[COMBINADA],DATA[[#This Row],[COMBINADA]])</f>
        <v>0</v>
      </c>
      <c r="AK972" s="408">
        <f>IFERROR(VLOOKUP(DATA[[#This Row],[COMBINADA]],#REF!,6,0),0)</f>
        <v>0</v>
      </c>
      <c r="AL972" s="125">
        <f>IFERROR(VLOOKUP(DATA[[#This Row],[COMBINADA]],#REF!,9,0),0)/COUNTIFS(DATA[COMBINADA],DATA[[#This Row],[COMBINADA]])</f>
        <v>0</v>
      </c>
      <c r="AM972" s="288">
        <f>IFERROR(VLOOKUP(DATA[[#This Row],[COMBINADA]],#REF!,6,0),0)</f>
        <v>0</v>
      </c>
      <c r="AN972" s="125">
        <f>IFERROR(VLOOKUP(DATA[[#This Row],[COMBINADA]],#REF!,9,0),0)/COUNTIFS(DATA[COMBINADA],DATA[[#This Row],[COMBINADA]])</f>
        <v>0</v>
      </c>
      <c r="AO972" s="147">
        <f>IFERROR(VLOOKUP(DATA[[#This Row],[COMBINADA]],#REF!,6,0),0)</f>
        <v>0</v>
      </c>
      <c r="AP972" s="132">
        <f>IFERROR(VLOOKUP(DATA[[#This Row],[COMBINADA]],#REF!,9,0),0)/COUNTIFS(DATA[COMBINADA],DATA[[#This Row],[COMBINADA]])</f>
        <v>0</v>
      </c>
      <c r="AQ97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v>
      </c>
      <c r="AR972" s="26" t="str">
        <f>IFERROR(IF(DATA[[#This Row],[estado_fact]]="FACTURADO",VLOOKUP(DATA[[#This Row],[SERIE2]]&amp;"-"&amp;DATA[[#This Row],[NUMERO]],#REF!,34,0),"NO CORRESPONDE"),"NO CORRESPONDE")</f>
        <v>NO CORRESPONDE</v>
      </c>
      <c r="AS972" s="22" t="str">
        <f>IF(DATA[[#This Row],[fecha_fs]]&gt;0,TEXT(DATA[[#This Row],[fecha_fs]],"Mmmm"),0)</f>
        <v>Julio</v>
      </c>
      <c r="AT972" s="22" t="str">
        <f>DATA[[#This Row],[SERIE2]]&amp;"-"&amp;DATA[[#This Row],[NUMERO]]</f>
        <v>FF01-224</v>
      </c>
      <c r="AU972" s="28">
        <f>DATA[[#This Row],[TOTAL]]*DATA[[#This Row],[T.C.]]</f>
        <v>442.85</v>
      </c>
      <c r="AV972" s="6">
        <f>DATA[[#This Row],[FECHA DE VAL.]]</f>
        <v>45869</v>
      </c>
      <c r="AW972" s="6">
        <f>DATA[[#This Row],[FECHA DE EMISION]]</f>
        <v>45896</v>
      </c>
      <c r="AX972" s="6">
        <f>DATA[[#This Row],[F1]]</f>
        <v>0</v>
      </c>
      <c r="AY972" s="20">
        <f>IF(AV972-DATA[[#This Row],[fecha_fs]]&lt;0,0,AV972-DATA[[#This Row],[fecha_fs]])</f>
        <v>1</v>
      </c>
      <c r="AZ972" s="20">
        <f t="shared" si="113"/>
        <v>27</v>
      </c>
      <c r="BA972" s="53">
        <f t="shared" si="114"/>
        <v>0</v>
      </c>
      <c r="BB972" s="195">
        <f>IFERROR(SUM(DATA[[#This Row],[fs_val_ttf]:[fact_pago_ttf]]),0)</f>
        <v>28</v>
      </c>
      <c r="BC972" s="233">
        <v>45903</v>
      </c>
      <c r="BD972" s="233">
        <v>45905</v>
      </c>
      <c r="BE972" s="233">
        <v>45908</v>
      </c>
      <c r="BF972" s="185">
        <v>45911</v>
      </c>
      <c r="BG972" s="20">
        <f>IFERROR(IF(BC972-DATA[[#This Row],[fecha_fs]]&lt;0,0,BC972-DATA[[#This Row],[fecha_fs]]),0)</f>
        <v>35</v>
      </c>
      <c r="BH972" s="20">
        <f t="shared" si="115"/>
        <v>2</v>
      </c>
      <c r="BI972" s="20">
        <f t="shared" si="116"/>
        <v>3</v>
      </c>
      <c r="BJ972" s="20">
        <f t="shared" si="117"/>
        <v>3</v>
      </c>
      <c r="BK972" s="282">
        <f>IFERROR(SUM(DATA[[#This Row],[fs_fd_ttd]:[fend_fenf_ttd]]),0)</f>
        <v>43</v>
      </c>
      <c r="BL972" s="20" t="str">
        <f>IF(DATA[[#This Row],[fecha_fs]]&gt;0,TEXT(DATA[[#This Row],[fecha_fs]],"YYYY"),0)</f>
        <v>2025</v>
      </c>
      <c r="BM972" s="236" t="b">
        <v>1</v>
      </c>
      <c r="BN972" s="278">
        <f>COUNTIF(DATA[[#This Row],[tiempo_td]], "&lt;=15")</f>
        <v>0</v>
      </c>
      <c r="BO972" s="222"/>
    </row>
    <row r="973" spans="1:67" ht="30.6" customHeight="1" x14ac:dyDescent="0.25">
      <c r="A973" s="240">
        <v>20100192064</v>
      </c>
      <c r="B973" s="5" t="s">
        <v>60</v>
      </c>
      <c r="C973" s="52" t="s">
        <v>64</v>
      </c>
      <c r="D973" s="4" t="s">
        <v>112</v>
      </c>
      <c r="E973" s="5" t="s">
        <v>1</v>
      </c>
      <c r="F973" s="24">
        <v>45863</v>
      </c>
      <c r="G973" s="7" t="s">
        <v>113</v>
      </c>
      <c r="H973" s="25">
        <f t="shared" si="112"/>
        <v>1</v>
      </c>
      <c r="I973" s="242">
        <v>4795</v>
      </c>
      <c r="J973" s="8" t="s">
        <v>115</v>
      </c>
      <c r="K973" s="9" t="s">
        <v>136</v>
      </c>
      <c r="L973" s="10" t="s">
        <v>137</v>
      </c>
      <c r="M973" s="11">
        <v>36</v>
      </c>
      <c r="N973" s="12" t="s">
        <v>135</v>
      </c>
      <c r="O973" s="6">
        <v>45863</v>
      </c>
      <c r="P973" s="71">
        <v>3562</v>
      </c>
      <c r="Q973" s="14" t="s">
        <v>123</v>
      </c>
      <c r="R973" s="15">
        <f>DATA[[#This Row],[cantidad_fs]]*33.34</f>
        <v>1200.2400000000002</v>
      </c>
      <c r="S973" s="237"/>
      <c r="T973" s="15">
        <f>DATA[[#This Row],[C. DF]]+DATA[[#This Row],[C.OPE.]]</f>
        <v>1200.2400000000002</v>
      </c>
      <c r="U973" s="15">
        <f>DATA[[#This Row],[SUB TOTAL]]*0.18</f>
        <v>216.04320000000004</v>
      </c>
      <c r="V973" s="15">
        <f>IFERROR(ROUND(DATA[[#This Row],[SUB TOTAL]]+DATA[[#This Row],[IGV]],2),0)</f>
        <v>1416.28</v>
      </c>
      <c r="W973" s="16" t="str">
        <f>IF(DATA[[#This Row],[VALORIZACIÓN ]]="-","NO CORRESPONDE",IF(OR(A973=20558226979,A973=10470707866,A973=20111157058,A973=20100226902),"NO CORRESPONDE",IF(J973="Emitida",IF(P973&gt;0,"EMITIDA","PENDIENTE"),"NO CORRESPONDE")))</f>
        <v>EMITIDA</v>
      </c>
      <c r="X973" s="29"/>
      <c r="Y973" s="17" t="s">
        <v>118</v>
      </c>
      <c r="Z973" s="30">
        <v>45869</v>
      </c>
      <c r="AA973" s="10" t="s">
        <v>150</v>
      </c>
      <c r="AB973" s="19">
        <v>189</v>
      </c>
      <c r="AC973" s="20">
        <v>30</v>
      </c>
      <c r="AD973" s="18">
        <f>DATA[[#This Row],[FECHA DE EMISION]]+DATA[[#This Row],[CONDICION DE PAGO]]</f>
        <v>45899</v>
      </c>
      <c r="AE973" s="23" t="e">
        <f>IF(DATA[[#This Row],[MONEDA]]="USD",VLOOKUP(DATA[[#This Row],[COMBINADA]],#REF!,11,0),1)</f>
        <v>#REF!</v>
      </c>
      <c r="AF973" s="39" t="str">
        <f>IF(DATA[[#This Row],[SERIE2]]="-","NO CORRESPONDE",IF(W973="NO CORRESPONDE","NO CORRESPONDE",IF(Z973&gt;0,"FACTURADO","PENDIENTE")))</f>
        <v>FACTURADO</v>
      </c>
      <c r="AG973" s="133">
        <f>IFERROR(VLOOKUP(DATA[[#This Row],[COMBINADA]],#REF!,6,0),0)</f>
        <v>0</v>
      </c>
      <c r="AH973" s="125">
        <f>IFERROR(VLOOKUP(DATA[[#This Row],[COMBINADA]],#REF!,9,0),0)/COUNTIFS(DATA[COMBINADA],DATA[[#This Row],[COMBINADA]])</f>
        <v>0</v>
      </c>
      <c r="AI973" s="136">
        <f>IFERROR(VLOOKUP(DATA[[#This Row],[COMBINADA]],#REF!,6,0),0)</f>
        <v>0</v>
      </c>
      <c r="AJ973" s="132">
        <f>IFERROR(VLOOKUP(DATA[[#This Row],[COMBINADA]],#REF!,9,0),0)/COUNTIFS(DATA[COMBINADA],DATA[[#This Row],[COMBINADA]])</f>
        <v>0</v>
      </c>
      <c r="AK973" s="408">
        <f>IFERROR(VLOOKUP(DATA[[#This Row],[COMBINADA]],#REF!,6,0),0)</f>
        <v>0</v>
      </c>
      <c r="AL973" s="125">
        <f>IFERROR(VLOOKUP(DATA[[#This Row],[COMBINADA]],#REF!,9,0),0)/COUNTIFS(DATA[COMBINADA],DATA[[#This Row],[COMBINADA]])</f>
        <v>0</v>
      </c>
      <c r="AM973" s="288">
        <f>IFERROR(VLOOKUP(DATA[[#This Row],[COMBINADA]],#REF!,6,0),0)</f>
        <v>0</v>
      </c>
      <c r="AN973" s="125">
        <f>IFERROR(VLOOKUP(DATA[[#This Row],[COMBINADA]],#REF!,9,0),0)/COUNTIFS(DATA[COMBINADA],DATA[[#This Row],[COMBINADA]])</f>
        <v>0</v>
      </c>
      <c r="AO973" s="147">
        <f>IFERROR(VLOOKUP(DATA[[#This Row],[COMBINADA]],#REF!,6,0),0)</f>
        <v>0</v>
      </c>
      <c r="AP973" s="132">
        <f>IFERROR(VLOOKUP(DATA[[#This Row],[COMBINADA]],#REF!,9,0),0)/COUNTIFS(DATA[COMBINADA],DATA[[#This Row],[COMBINADA]])</f>
        <v>0</v>
      </c>
      <c r="AQ97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799.26461538461524</v>
      </c>
      <c r="AR973" s="26" t="str">
        <f>IFERROR(IF(DATA[[#This Row],[estado_fact]]="FACTURADO",VLOOKUP(DATA[[#This Row],[SERIE2]]&amp;"-"&amp;DATA[[#This Row],[NUMERO]],#REF!,34,0),"NO CORRESPONDE"),"NO CORRESPONDE")</f>
        <v>NO CORRESPONDE</v>
      </c>
      <c r="AS973" s="22" t="str">
        <f>IF(DATA[[#This Row],[fecha_fs]]&gt;0,TEXT(DATA[[#This Row],[fecha_fs]],"Mmmm"),0)</f>
        <v>Julio</v>
      </c>
      <c r="AT973" s="22" t="str">
        <f>DATA[[#This Row],[SERIE2]]&amp;"-"&amp;DATA[[#This Row],[NUMERO]]</f>
        <v>FF01-189</v>
      </c>
      <c r="AU973" s="28" t="e">
        <f>DATA[[#This Row],[TOTAL]]*DATA[[#This Row],[T.C.]]</f>
        <v>#REF!</v>
      </c>
      <c r="AV973" s="6">
        <f>DATA[[#This Row],[FECHA DE VAL.]]</f>
        <v>45863</v>
      </c>
      <c r="AW973" s="6">
        <f>DATA[[#This Row],[FECHA DE EMISION]]</f>
        <v>45869</v>
      </c>
      <c r="AX973" s="6">
        <f>DATA[[#This Row],[F1]]</f>
        <v>0</v>
      </c>
      <c r="AY973" s="20">
        <f>IF(AV973-DATA[[#This Row],[fecha_fs]]&lt;0,0,AV973-DATA[[#This Row],[fecha_fs]])</f>
        <v>0</v>
      </c>
      <c r="AZ973" s="20">
        <f t="shared" si="113"/>
        <v>6</v>
      </c>
      <c r="BA973" s="53">
        <f t="shared" si="114"/>
        <v>0</v>
      </c>
      <c r="BB973" s="195">
        <f>IFERROR(SUM(DATA[[#This Row],[fs_val_ttf]:[fact_pago_ttf]]),0)</f>
        <v>6</v>
      </c>
      <c r="BC973" s="185">
        <v>45869</v>
      </c>
      <c r="BD973" s="185">
        <v>45876</v>
      </c>
      <c r="BE973" s="185">
        <v>45877</v>
      </c>
      <c r="BF973" s="185">
        <v>45909</v>
      </c>
      <c r="BG973" s="20">
        <f>IFERROR(IF(BC973-DATA[[#This Row],[fecha_fs]]&lt;0,0,BC973-DATA[[#This Row],[fecha_fs]]),0)</f>
        <v>6</v>
      </c>
      <c r="BH973" s="20">
        <f t="shared" si="115"/>
        <v>7</v>
      </c>
      <c r="BI973" s="20">
        <f t="shared" si="116"/>
        <v>1</v>
      </c>
      <c r="BJ973" s="20">
        <f t="shared" si="117"/>
        <v>32</v>
      </c>
      <c r="BK973" s="282">
        <f>IFERROR(SUM(DATA[[#This Row],[fs_fd_ttd]:[fend_fenf_ttd]]),0)</f>
        <v>46</v>
      </c>
      <c r="BL973" s="20" t="str">
        <f>IF(DATA[[#This Row],[fecha_fs]]&gt;0,TEXT(DATA[[#This Row],[fecha_fs]],"YYYY"),0)</f>
        <v>2025</v>
      </c>
      <c r="BM973" s="236" t="b">
        <v>1</v>
      </c>
      <c r="BN973" s="278">
        <f>COUNTIF(DATA[[#This Row],[tiempo_td]], "&lt;=15")</f>
        <v>0</v>
      </c>
      <c r="BO973" s="222"/>
    </row>
    <row r="974" spans="1:67" ht="30.6" customHeight="1" x14ac:dyDescent="0.25">
      <c r="A974" s="240">
        <v>20100192064</v>
      </c>
      <c r="B974" s="5" t="s">
        <v>60</v>
      </c>
      <c r="C974" s="52" t="s">
        <v>64</v>
      </c>
      <c r="D974" s="4" t="s">
        <v>112</v>
      </c>
      <c r="E974" s="5" t="s">
        <v>1</v>
      </c>
      <c r="F974" s="24">
        <v>45863</v>
      </c>
      <c r="G974" s="7" t="s">
        <v>113</v>
      </c>
      <c r="H974" s="25">
        <f t="shared" si="112"/>
        <v>1</v>
      </c>
      <c r="I974" s="242">
        <v>4796</v>
      </c>
      <c r="J974" s="8" t="s">
        <v>115</v>
      </c>
      <c r="K974" s="9" t="s">
        <v>136</v>
      </c>
      <c r="L974" s="10" t="s">
        <v>137</v>
      </c>
      <c r="M974" s="11">
        <v>36</v>
      </c>
      <c r="N974" s="12" t="s">
        <v>135</v>
      </c>
      <c r="O974" s="6">
        <v>45863</v>
      </c>
      <c r="P974" s="71">
        <v>3562</v>
      </c>
      <c r="Q974" s="14" t="s">
        <v>123</v>
      </c>
      <c r="R974" s="15">
        <f>DATA[[#This Row],[cantidad_fs]]*33.34</f>
        <v>1200.2400000000002</v>
      </c>
      <c r="S974" s="237"/>
      <c r="T974" s="15">
        <f>DATA[[#This Row],[C. DF]]+DATA[[#This Row],[C.OPE.]]</f>
        <v>1200.2400000000002</v>
      </c>
      <c r="U974" s="15">
        <f>DATA[[#This Row],[SUB TOTAL]]*0.18</f>
        <v>216.04320000000004</v>
      </c>
      <c r="V974" s="15">
        <f>IFERROR(ROUND(DATA[[#This Row],[SUB TOTAL]]+DATA[[#This Row],[IGV]],2),0)</f>
        <v>1416.28</v>
      </c>
      <c r="W974" s="16" t="str">
        <f>IF(DATA[[#This Row],[VALORIZACIÓN ]]="-","NO CORRESPONDE",IF(OR(A974=20558226979,A974=10470707866,A974=20111157058,A974=20100226902),"NO CORRESPONDE",IF(J974="Emitida",IF(P974&gt;0,"EMITIDA","PENDIENTE"),"NO CORRESPONDE")))</f>
        <v>EMITIDA</v>
      </c>
      <c r="X974" s="29"/>
      <c r="Y974" s="17" t="s">
        <v>118</v>
      </c>
      <c r="Z974" s="30">
        <v>45869</v>
      </c>
      <c r="AA974" s="10" t="s">
        <v>150</v>
      </c>
      <c r="AB974" s="19">
        <v>189</v>
      </c>
      <c r="AC974" s="20">
        <v>30</v>
      </c>
      <c r="AD974" s="18">
        <f>DATA[[#This Row],[FECHA DE EMISION]]+DATA[[#This Row],[CONDICION DE PAGO]]</f>
        <v>45899</v>
      </c>
      <c r="AE974" s="23" t="e">
        <f>IF(DATA[[#This Row],[MONEDA]]="USD",VLOOKUP(DATA[[#This Row],[COMBINADA]],#REF!,11,0),1)</f>
        <v>#REF!</v>
      </c>
      <c r="AF974" s="39" t="str">
        <f>IF(DATA[[#This Row],[SERIE2]]="-","NO CORRESPONDE",IF(W974="NO CORRESPONDE","NO CORRESPONDE",IF(Z974&gt;0,"FACTURADO","PENDIENTE")))</f>
        <v>FACTURADO</v>
      </c>
      <c r="AG974" s="133">
        <f>IFERROR(VLOOKUP(DATA[[#This Row],[COMBINADA]],#REF!,6,0),0)</f>
        <v>0</v>
      </c>
      <c r="AH974" s="125">
        <f>IFERROR(VLOOKUP(DATA[[#This Row],[COMBINADA]],#REF!,9,0),0)/COUNTIFS(DATA[COMBINADA],DATA[[#This Row],[COMBINADA]])</f>
        <v>0</v>
      </c>
      <c r="AI974" s="136">
        <f>IFERROR(VLOOKUP(DATA[[#This Row],[COMBINADA]],#REF!,6,0),0)</f>
        <v>0</v>
      </c>
      <c r="AJ974" s="132">
        <f>IFERROR(VLOOKUP(DATA[[#This Row],[COMBINADA]],#REF!,9,0),0)/COUNTIFS(DATA[COMBINADA],DATA[[#This Row],[COMBINADA]])</f>
        <v>0</v>
      </c>
      <c r="AK974" s="408">
        <f>IFERROR(VLOOKUP(DATA[[#This Row],[COMBINADA]],#REF!,6,0),0)</f>
        <v>0</v>
      </c>
      <c r="AL974" s="125">
        <f>IFERROR(VLOOKUP(DATA[[#This Row],[COMBINADA]],#REF!,9,0),0)/COUNTIFS(DATA[COMBINADA],DATA[[#This Row],[COMBINADA]])</f>
        <v>0</v>
      </c>
      <c r="AM974" s="288">
        <f>IFERROR(VLOOKUP(DATA[[#This Row],[COMBINADA]],#REF!,6,0),0)</f>
        <v>0</v>
      </c>
      <c r="AN974" s="125">
        <f>IFERROR(VLOOKUP(DATA[[#This Row],[COMBINADA]],#REF!,9,0),0)/COUNTIFS(DATA[COMBINADA],DATA[[#This Row],[COMBINADA]])</f>
        <v>0</v>
      </c>
      <c r="AO974" s="147">
        <f>IFERROR(VLOOKUP(DATA[[#This Row],[COMBINADA]],#REF!,6,0),0)</f>
        <v>0</v>
      </c>
      <c r="AP974" s="132">
        <f>IFERROR(VLOOKUP(DATA[[#This Row],[COMBINADA]],#REF!,9,0),0)/COUNTIFS(DATA[COMBINADA],DATA[[#This Row],[COMBINADA]])</f>
        <v>0</v>
      </c>
      <c r="AQ97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799.26461538461524</v>
      </c>
      <c r="AR974" s="26" t="str">
        <f>IFERROR(IF(DATA[[#This Row],[estado_fact]]="FACTURADO",VLOOKUP(DATA[[#This Row],[SERIE2]]&amp;"-"&amp;DATA[[#This Row],[NUMERO]],#REF!,34,0),"NO CORRESPONDE"),"NO CORRESPONDE")</f>
        <v>NO CORRESPONDE</v>
      </c>
      <c r="AS974" s="22" t="str">
        <f>IF(DATA[[#This Row],[fecha_fs]]&gt;0,TEXT(DATA[[#This Row],[fecha_fs]],"Mmmm"),0)</f>
        <v>Julio</v>
      </c>
      <c r="AT974" s="22" t="str">
        <f>DATA[[#This Row],[SERIE2]]&amp;"-"&amp;DATA[[#This Row],[NUMERO]]</f>
        <v>FF01-189</v>
      </c>
      <c r="AU974" s="28" t="e">
        <f>DATA[[#This Row],[TOTAL]]*DATA[[#This Row],[T.C.]]</f>
        <v>#REF!</v>
      </c>
      <c r="AV974" s="6">
        <f>DATA[[#This Row],[FECHA DE VAL.]]</f>
        <v>45863</v>
      </c>
      <c r="AW974" s="6">
        <f>DATA[[#This Row],[FECHA DE EMISION]]</f>
        <v>45869</v>
      </c>
      <c r="AX974" s="6">
        <f>DATA[[#This Row],[F1]]</f>
        <v>0</v>
      </c>
      <c r="AY974" s="20">
        <f>IF(AV974-DATA[[#This Row],[fecha_fs]]&lt;0,0,AV974-DATA[[#This Row],[fecha_fs]])</f>
        <v>0</v>
      </c>
      <c r="AZ974" s="20">
        <f t="shared" si="113"/>
        <v>6</v>
      </c>
      <c r="BA974" s="53">
        <f t="shared" si="114"/>
        <v>0</v>
      </c>
      <c r="BB974" s="195">
        <f>IFERROR(SUM(DATA[[#This Row],[fs_val_ttf]:[fact_pago_ttf]]),0)</f>
        <v>6</v>
      </c>
      <c r="BC974" s="185">
        <v>45869</v>
      </c>
      <c r="BD974" s="185">
        <v>45876</v>
      </c>
      <c r="BE974" s="185">
        <v>45877</v>
      </c>
      <c r="BF974" s="185">
        <v>45909</v>
      </c>
      <c r="BG974" s="20">
        <f>IFERROR(IF(BC974-DATA[[#This Row],[fecha_fs]]&lt;0,0,BC974-DATA[[#This Row],[fecha_fs]]),0)</f>
        <v>6</v>
      </c>
      <c r="BH974" s="20">
        <f t="shared" si="115"/>
        <v>7</v>
      </c>
      <c r="BI974" s="20">
        <f t="shared" si="116"/>
        <v>1</v>
      </c>
      <c r="BJ974" s="20">
        <f t="shared" si="117"/>
        <v>32</v>
      </c>
      <c r="BK974" s="282">
        <f>IFERROR(SUM(DATA[[#This Row],[fs_fd_ttd]:[fend_fenf_ttd]]),0)</f>
        <v>46</v>
      </c>
      <c r="BL974" s="20" t="str">
        <f>IF(DATA[[#This Row],[fecha_fs]]&gt;0,TEXT(DATA[[#This Row],[fecha_fs]],"YYYY"),0)</f>
        <v>2025</v>
      </c>
      <c r="BM974" s="236" t="b">
        <v>1</v>
      </c>
      <c r="BN974" s="278">
        <f>COUNTIF(DATA[[#This Row],[tiempo_td]], "&lt;=15")</f>
        <v>0</v>
      </c>
      <c r="BO974" s="222"/>
    </row>
    <row r="975" spans="1:67" ht="30.6" customHeight="1" x14ac:dyDescent="0.25">
      <c r="A975" s="4">
        <v>20141637941</v>
      </c>
      <c r="B975" s="5" t="s">
        <v>79</v>
      </c>
      <c r="C975" s="52" t="s">
        <v>18</v>
      </c>
      <c r="D975" s="4" t="s">
        <v>120</v>
      </c>
      <c r="E975" s="5" t="s">
        <v>3</v>
      </c>
      <c r="F975" s="24">
        <v>45863</v>
      </c>
      <c r="G975" s="7" t="s">
        <v>113</v>
      </c>
      <c r="H975" s="25">
        <f t="shared" si="112"/>
        <v>1</v>
      </c>
      <c r="I975" s="242">
        <v>4797</v>
      </c>
      <c r="J975" s="8" t="s">
        <v>115</v>
      </c>
      <c r="K975" s="9" t="s">
        <v>121</v>
      </c>
      <c r="L975" s="10" t="s">
        <v>117</v>
      </c>
      <c r="M975" s="11">
        <v>1860</v>
      </c>
      <c r="N975" s="12" t="s">
        <v>303</v>
      </c>
      <c r="O975" s="6">
        <v>45869</v>
      </c>
      <c r="P975" s="110">
        <v>3583</v>
      </c>
      <c r="Q975" s="14" t="s">
        <v>85</v>
      </c>
      <c r="R975" s="237">
        <f>80+((DATA[[#This Row],[cantidad_fs]]-1000)*0.08)</f>
        <v>148.80000000000001</v>
      </c>
      <c r="S975" s="237">
        <v>832</v>
      </c>
      <c r="T975" s="15">
        <f>DATA[[#This Row],[C. DF]]+DATA[[#This Row],[C.OPE.]]</f>
        <v>980.8</v>
      </c>
      <c r="U975" s="15">
        <f>DATA[[#This Row],[SUB TOTAL]]*0.18</f>
        <v>176.54399999999998</v>
      </c>
      <c r="V975" s="15">
        <f>IFERROR(ROUND(DATA[[#This Row],[SUB TOTAL]]+DATA[[#This Row],[IGV]],2),0)</f>
        <v>1157.3399999999999</v>
      </c>
      <c r="W975" s="16" t="str">
        <f>IF(DATA[[#This Row],[VALORIZACIÓN ]]="-","NO CORRESPONDE",IF(OR(A975=20558226979,A975=10470707866,A975=20111157058,A975=20100226902),"NO CORRESPONDE",IF(J975="Emitida",IF(P975&gt;0,"EMITIDA","PENDIENTE"),"NO CORRESPONDE")))</f>
        <v>EMITIDA</v>
      </c>
      <c r="X975" s="29"/>
      <c r="Y975" s="17" t="s">
        <v>118</v>
      </c>
      <c r="Z975" s="30">
        <v>45876</v>
      </c>
      <c r="AA975" s="10" t="s">
        <v>150</v>
      </c>
      <c r="AB975" s="19">
        <v>201</v>
      </c>
      <c r="AC975" s="20">
        <v>30</v>
      </c>
      <c r="AD975" s="18">
        <f>DATA[[#This Row],[FECHA DE EMISION]]+DATA[[#This Row],[CONDICION DE PAGO]]</f>
        <v>45906</v>
      </c>
      <c r="AE975" s="23">
        <f>IF(DATA[[#This Row],[MONEDA]]="USD",VLOOKUP(DATA[[#This Row],[COMBINADA]],#REF!,11,0),1)</f>
        <v>1</v>
      </c>
      <c r="AF975" s="129" t="str">
        <f>IF(DATA[[#This Row],[SERIE2]]="-","NO CORRESPONDE",IF(W975="NO CORRESPONDE","NO CORRESPONDE",IF(Z975&gt;0,"FACTURADO","PENDIENTE")))</f>
        <v>FACTURADO</v>
      </c>
      <c r="AG975" s="133">
        <f>IFERROR(VLOOKUP(DATA[[#This Row],[COMBINADA]],#REF!,6,0),0)</f>
        <v>0</v>
      </c>
      <c r="AH975" s="125">
        <f>IFERROR(VLOOKUP(DATA[[#This Row],[COMBINADA]],#REF!,9,0),0)/COUNTIFS(DATA[COMBINADA],DATA[[#This Row],[COMBINADA]])</f>
        <v>0</v>
      </c>
      <c r="AI975" s="136">
        <f>IFERROR(VLOOKUP(DATA[[#This Row],[COMBINADA]],#REF!,6,0),0)</f>
        <v>0</v>
      </c>
      <c r="AJ975" s="132">
        <f>IFERROR(VLOOKUP(DATA[[#This Row],[COMBINADA]],#REF!,9,0),0)/COUNTIFS(DATA[COMBINADA],DATA[[#This Row],[COMBINADA]])</f>
        <v>0</v>
      </c>
      <c r="AK975" s="408">
        <f>IFERROR(VLOOKUP(DATA[[#This Row],[COMBINADA]],#REF!,6,0),0)</f>
        <v>0</v>
      </c>
      <c r="AL975" s="125">
        <f>IFERROR(VLOOKUP(DATA[[#This Row],[COMBINADA]],#REF!,9,0),0)/COUNTIFS(DATA[COMBINADA],DATA[[#This Row],[COMBINADA]])</f>
        <v>0</v>
      </c>
      <c r="AM975" s="288">
        <f>IFERROR(VLOOKUP(DATA[[#This Row],[COMBINADA]],#REF!,6,0),0)</f>
        <v>0</v>
      </c>
      <c r="AN975" s="125">
        <f>IFERROR(VLOOKUP(DATA[[#This Row],[COMBINADA]],#REF!,9,0),0)/COUNTIFS(DATA[COMBINADA],DATA[[#This Row],[COMBINADA]])</f>
        <v>0</v>
      </c>
      <c r="AO975" s="147">
        <f>IFERROR(VLOOKUP(DATA[[#This Row],[COMBINADA]],#REF!,6,0),0)</f>
        <v>0</v>
      </c>
      <c r="AP975" s="132">
        <f>IFERROR(VLOOKUP(DATA[[#This Row],[COMBINADA]],#REF!,9,0),0)/COUNTIFS(DATA[COMBINADA],DATA[[#This Row],[COMBINADA]])</f>
        <v>0</v>
      </c>
      <c r="AQ97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1103.22</v>
      </c>
      <c r="AR975" s="26" t="str">
        <f>IFERROR(IF(DATA[[#This Row],[estado_fact]]="FACTURADO",VLOOKUP(DATA[[#This Row],[SERIE2]]&amp;"-"&amp;DATA[[#This Row],[NUMERO]],#REF!,34,0),"NO CORRESPONDE"),"NO CORRESPONDE")</f>
        <v>NO CORRESPONDE</v>
      </c>
      <c r="AS975" s="22" t="str">
        <f>IF(DATA[[#This Row],[fecha_fs]]&gt;0,TEXT(DATA[[#This Row],[fecha_fs]],"Mmmm"),0)</f>
        <v>Julio</v>
      </c>
      <c r="AT975" s="22" t="str">
        <f>DATA[[#This Row],[SERIE2]]&amp;"-"&amp;DATA[[#This Row],[NUMERO]]</f>
        <v>FF01-201</v>
      </c>
      <c r="AU975" s="28">
        <f>DATA[[#This Row],[TOTAL]]*DATA[[#This Row],[T.C.]]</f>
        <v>1157.3399999999999</v>
      </c>
      <c r="AV975" s="6">
        <f>DATA[[#This Row],[FECHA DE VAL.]]</f>
        <v>45869</v>
      </c>
      <c r="AW975" s="6">
        <f>DATA[[#This Row],[FECHA DE EMISION]]</f>
        <v>45876</v>
      </c>
      <c r="AX975" s="6">
        <f>DATA[[#This Row],[F1]]</f>
        <v>0</v>
      </c>
      <c r="AY975" s="20">
        <f>IF(AV975-DATA[[#This Row],[fecha_fs]]&lt;0,0,AV975-DATA[[#This Row],[fecha_fs]])</f>
        <v>6</v>
      </c>
      <c r="AZ975" s="20">
        <f t="shared" si="113"/>
        <v>7</v>
      </c>
      <c r="BA975" s="53">
        <f t="shared" si="114"/>
        <v>0</v>
      </c>
      <c r="BB975" s="195">
        <f>IFERROR(SUM(DATA[[#This Row],[fs_val_ttf]:[fact_pago_ttf]]),0)</f>
        <v>13</v>
      </c>
      <c r="BC975" s="185">
        <v>45869</v>
      </c>
      <c r="BD975" s="185">
        <v>45876</v>
      </c>
      <c r="BE975" s="185">
        <v>45880</v>
      </c>
      <c r="BF975" s="185">
        <v>45882</v>
      </c>
      <c r="BG975" s="20">
        <f>IFERROR(IF(BC975-DATA[[#This Row],[fecha_fs]]&lt;0,0,BC975-DATA[[#This Row],[fecha_fs]]),0)</f>
        <v>6</v>
      </c>
      <c r="BH975" s="20">
        <f t="shared" si="115"/>
        <v>7</v>
      </c>
      <c r="BI975" s="20">
        <f t="shared" si="116"/>
        <v>4</v>
      </c>
      <c r="BJ975" s="20">
        <f t="shared" si="117"/>
        <v>2</v>
      </c>
      <c r="BK975" s="282">
        <f>IFERROR(SUM(DATA[[#This Row],[fs_fd_ttd]:[fend_fenf_ttd]]),0)</f>
        <v>19</v>
      </c>
      <c r="BL975" s="20" t="str">
        <f>IF(DATA[[#This Row],[fecha_fs]]&gt;0,TEXT(DATA[[#This Row],[fecha_fs]],"YYYY"),0)</f>
        <v>2025</v>
      </c>
      <c r="BM975" s="236" t="b">
        <v>1</v>
      </c>
      <c r="BN975" s="278">
        <f>COUNTIF(DATA[[#This Row],[tiempo_td]], "&lt;=15")</f>
        <v>0</v>
      </c>
      <c r="BO975" s="222"/>
    </row>
    <row r="976" spans="1:67" ht="30.6" customHeight="1" x14ac:dyDescent="0.25">
      <c r="A976" s="4">
        <v>20100211115</v>
      </c>
      <c r="B976" s="5" t="s">
        <v>41</v>
      </c>
      <c r="C976" s="52" t="s">
        <v>18</v>
      </c>
      <c r="D976" s="4" t="s">
        <v>120</v>
      </c>
      <c r="E976" s="5" t="s">
        <v>3</v>
      </c>
      <c r="F976" s="24">
        <v>45863</v>
      </c>
      <c r="G976" s="7" t="s">
        <v>113</v>
      </c>
      <c r="H976" s="25">
        <f t="shared" si="112"/>
        <v>1</v>
      </c>
      <c r="I976" s="242">
        <v>4798</v>
      </c>
      <c r="J976" s="8" t="s">
        <v>115</v>
      </c>
      <c r="K976" s="9" t="s">
        <v>121</v>
      </c>
      <c r="L976" s="10" t="s">
        <v>117</v>
      </c>
      <c r="M976" s="11">
        <v>90</v>
      </c>
      <c r="N976" s="12" t="s">
        <v>200</v>
      </c>
      <c r="O976" s="6">
        <v>45863</v>
      </c>
      <c r="P976" s="246">
        <v>3575</v>
      </c>
      <c r="Q976" s="14" t="s">
        <v>85</v>
      </c>
      <c r="R976" s="237"/>
      <c r="S976" s="237">
        <f>(DATA[[#This Row],[cantidad_fs]]*4.17)</f>
        <v>375.3</v>
      </c>
      <c r="T976" s="15">
        <f>DATA[[#This Row],[C. DF]]+DATA[[#This Row],[C.OPE.]]</f>
        <v>375.3</v>
      </c>
      <c r="U976" s="15">
        <f>DATA[[#This Row],[SUB TOTAL]]*0.18</f>
        <v>67.554000000000002</v>
      </c>
      <c r="V976" s="15">
        <f>IFERROR(ROUND(DATA[[#This Row],[SUB TOTAL]]+DATA[[#This Row],[IGV]],2),0)</f>
        <v>442.85</v>
      </c>
      <c r="W976" s="16" t="str">
        <f>IF(DATA[[#This Row],[VALORIZACIÓN ]]="-","NO CORRESPONDE",IF(OR(A976=20558226979,A976=10470707866,A976=20111157058,A976=20100226902),"NO CORRESPONDE",IF(J976="Emitida",IF(P976&gt;0,"EMITIDA","PENDIENTE"),"NO CORRESPONDE")))</f>
        <v>EMITIDA</v>
      </c>
      <c r="X976" s="29"/>
      <c r="Y976" s="17" t="s">
        <v>118</v>
      </c>
      <c r="Z976" s="30">
        <v>45869</v>
      </c>
      <c r="AA976" s="10" t="s">
        <v>150</v>
      </c>
      <c r="AB976" s="19">
        <v>191</v>
      </c>
      <c r="AC976" s="20">
        <v>30</v>
      </c>
      <c r="AD976" s="18">
        <f>DATA[[#This Row],[FECHA DE EMISION]]+DATA[[#This Row],[CONDICION DE PAGO]]</f>
        <v>45899</v>
      </c>
      <c r="AE976" s="23">
        <f>IF(DATA[[#This Row],[MONEDA]]="USD",VLOOKUP(DATA[[#This Row],[COMBINADA]],#REF!,11,0),1)</f>
        <v>1</v>
      </c>
      <c r="AF976" s="129" t="str">
        <f>IF(DATA[[#This Row],[SERIE2]]="-","NO CORRESPONDE",IF(W976="NO CORRESPONDE","NO CORRESPONDE",IF(Z976&gt;0,"FACTURADO","PENDIENTE")))</f>
        <v>FACTURADO</v>
      </c>
      <c r="AG976" s="133">
        <f>IFERROR(VLOOKUP(DATA[[#This Row],[COMBINADA]],#REF!,6,0),0)</f>
        <v>0</v>
      </c>
      <c r="AH976" s="125">
        <f>IFERROR(VLOOKUP(DATA[[#This Row],[COMBINADA]],#REF!,9,0),0)/COUNTIFS(DATA[COMBINADA],DATA[[#This Row],[COMBINADA]])</f>
        <v>0</v>
      </c>
      <c r="AI976" s="136">
        <f>IFERROR(VLOOKUP(DATA[[#This Row],[COMBINADA]],#REF!,6,0),0)</f>
        <v>0</v>
      </c>
      <c r="AJ976" s="132">
        <f>IFERROR(VLOOKUP(DATA[[#This Row],[COMBINADA]],#REF!,9,0),0)/COUNTIFS(DATA[COMBINADA],DATA[[#This Row],[COMBINADA]])</f>
        <v>0</v>
      </c>
      <c r="AK976" s="408">
        <f>IFERROR(VLOOKUP(DATA[[#This Row],[COMBINADA]],#REF!,6,0),0)</f>
        <v>0</v>
      </c>
      <c r="AL976" s="125">
        <f>IFERROR(VLOOKUP(DATA[[#This Row],[COMBINADA]],#REF!,9,0),0)/COUNTIFS(DATA[COMBINADA],DATA[[#This Row],[COMBINADA]])</f>
        <v>0</v>
      </c>
      <c r="AM976" s="288">
        <f>IFERROR(VLOOKUP(DATA[[#This Row],[COMBINADA]],#REF!,6,0),0)</f>
        <v>0</v>
      </c>
      <c r="AN976" s="125">
        <f>IFERROR(VLOOKUP(DATA[[#This Row],[COMBINADA]],#REF!,9,0),0)/COUNTIFS(DATA[COMBINADA],DATA[[#This Row],[COMBINADA]])</f>
        <v>0</v>
      </c>
      <c r="AO976" s="147">
        <f>IFERROR(VLOOKUP(DATA[[#This Row],[COMBINADA]],#REF!,6,0),0)</f>
        <v>0</v>
      </c>
      <c r="AP976" s="132">
        <f>IFERROR(VLOOKUP(DATA[[#This Row],[COMBINADA]],#REF!,9,0),0)/COUNTIFS(DATA[COMBINADA],DATA[[#This Row],[COMBINADA]])</f>
        <v>0</v>
      </c>
      <c r="AQ97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976" s="26" t="str">
        <f>IFERROR(IF(DATA[[#This Row],[estado_fact]]="FACTURADO",VLOOKUP(DATA[[#This Row],[SERIE2]]&amp;"-"&amp;DATA[[#This Row],[NUMERO]],#REF!,34,0),"NO CORRESPONDE"),"NO CORRESPONDE")</f>
        <v>NO CORRESPONDE</v>
      </c>
      <c r="AS976" s="22" t="str">
        <f>IF(DATA[[#This Row],[fecha_fs]]&gt;0,TEXT(DATA[[#This Row],[fecha_fs]],"Mmmm"),0)</f>
        <v>Julio</v>
      </c>
      <c r="AT976" s="22" t="str">
        <f>DATA[[#This Row],[SERIE2]]&amp;"-"&amp;DATA[[#This Row],[NUMERO]]</f>
        <v>FF01-191</v>
      </c>
      <c r="AU976" s="28">
        <f>DATA[[#This Row],[TOTAL]]*DATA[[#This Row],[T.C.]]</f>
        <v>442.85</v>
      </c>
      <c r="AV976" s="6">
        <f>DATA[[#This Row],[FECHA DE VAL.]]</f>
        <v>45863</v>
      </c>
      <c r="AW976" s="6">
        <f>DATA[[#This Row],[FECHA DE EMISION]]</f>
        <v>45869</v>
      </c>
      <c r="AX976" s="6">
        <f>DATA[[#This Row],[F1]]</f>
        <v>0</v>
      </c>
      <c r="AY976" s="20">
        <f>IF(AV976-DATA[[#This Row],[fecha_fs]]&lt;0,0,AV976-DATA[[#This Row],[fecha_fs]])</f>
        <v>0</v>
      </c>
      <c r="AZ976" s="20">
        <f t="shared" si="113"/>
        <v>6</v>
      </c>
      <c r="BA976" s="53">
        <f t="shared" si="114"/>
        <v>0</v>
      </c>
      <c r="BB976" s="195">
        <f>IFERROR(SUM(DATA[[#This Row],[fs_val_ttf]:[fact_pago_ttf]]),0)</f>
        <v>6</v>
      </c>
      <c r="BC976" s="185">
        <v>45870</v>
      </c>
      <c r="BD976" s="185">
        <v>45876</v>
      </c>
      <c r="BE976" s="185">
        <v>45882</v>
      </c>
      <c r="BF976" s="185">
        <v>45887</v>
      </c>
      <c r="BG976" s="20">
        <f>IFERROR(IF(BC976-DATA[[#This Row],[fecha_fs]]&lt;0,0,BC976-DATA[[#This Row],[fecha_fs]]),0)</f>
        <v>7</v>
      </c>
      <c r="BH976" s="20">
        <f t="shared" si="115"/>
        <v>6</v>
      </c>
      <c r="BI976" s="20">
        <f t="shared" si="116"/>
        <v>6</v>
      </c>
      <c r="BJ976" s="20">
        <f t="shared" si="117"/>
        <v>5</v>
      </c>
      <c r="BK976" s="282">
        <f>IFERROR(SUM(DATA[[#This Row],[fs_fd_ttd]:[fend_fenf_ttd]]),0)</f>
        <v>24</v>
      </c>
      <c r="BL976" s="20" t="str">
        <f>IF(DATA[[#This Row],[fecha_fs]]&gt;0,TEXT(DATA[[#This Row],[fecha_fs]],"YYYY"),0)</f>
        <v>2025</v>
      </c>
      <c r="BM976" s="236" t="b">
        <v>1</v>
      </c>
      <c r="BN976" s="278">
        <f>COUNTIF(DATA[[#This Row],[tiempo_td]], "&lt;=15")</f>
        <v>0</v>
      </c>
      <c r="BO976" s="222"/>
    </row>
    <row r="977" spans="1:67" ht="30.6" customHeight="1" x14ac:dyDescent="0.25">
      <c r="A977" s="4">
        <v>20100211115</v>
      </c>
      <c r="B977" s="5" t="s">
        <v>41</v>
      </c>
      <c r="C977" s="52" t="s">
        <v>18</v>
      </c>
      <c r="D977" s="4" t="s">
        <v>112</v>
      </c>
      <c r="E977" s="5" t="s">
        <v>1</v>
      </c>
      <c r="F977" s="24">
        <v>45863</v>
      </c>
      <c r="G977" s="7" t="s">
        <v>113</v>
      </c>
      <c r="H977" s="25">
        <f t="shared" si="112"/>
        <v>1</v>
      </c>
      <c r="I977" s="242">
        <v>4799</v>
      </c>
      <c r="J977" s="8" t="s">
        <v>115</v>
      </c>
      <c r="K977" s="9" t="s">
        <v>116</v>
      </c>
      <c r="L977" s="10" t="s">
        <v>117</v>
      </c>
      <c r="M977" s="11">
        <v>23</v>
      </c>
      <c r="N977" s="12" t="s">
        <v>200</v>
      </c>
      <c r="O977" s="6">
        <v>45863</v>
      </c>
      <c r="P977" s="246">
        <v>3577</v>
      </c>
      <c r="Q977" s="14" t="s">
        <v>85</v>
      </c>
      <c r="R977" s="237"/>
      <c r="S977" s="237">
        <f>(DATA[[#This Row],[cantidad_fs]]*4.57)</f>
        <v>105.11000000000001</v>
      </c>
      <c r="T977" s="15">
        <f>DATA[[#This Row],[C. DF]]+DATA[[#This Row],[C.OPE.]]</f>
        <v>105.11000000000001</v>
      </c>
      <c r="U977" s="15">
        <f>DATA[[#This Row],[SUB TOTAL]]*0.18</f>
        <v>18.919800000000002</v>
      </c>
      <c r="V977" s="15">
        <f>IFERROR(ROUND(DATA[[#This Row],[SUB TOTAL]]+DATA[[#This Row],[IGV]],2),0)</f>
        <v>124.03</v>
      </c>
      <c r="W977" s="16" t="str">
        <f>IF(DATA[[#This Row],[VALORIZACIÓN ]]="-","NO CORRESPONDE",IF(OR(A977=20558226979,A977=10470707866,A977=20111157058,A977=20100226902),"NO CORRESPONDE",IF(J977="Emitida",IF(P977&gt;0,"EMITIDA","PENDIENTE"),"NO CORRESPONDE")))</f>
        <v>EMITIDA</v>
      </c>
      <c r="X977" s="29"/>
      <c r="Y977" s="17" t="s">
        <v>118</v>
      </c>
      <c r="Z977" s="30">
        <v>45869</v>
      </c>
      <c r="AA977" s="10" t="s">
        <v>150</v>
      </c>
      <c r="AB977" s="19">
        <v>194</v>
      </c>
      <c r="AC977" s="20">
        <v>30</v>
      </c>
      <c r="AD977" s="18">
        <f>DATA[[#This Row],[FECHA DE EMISION]]+DATA[[#This Row],[CONDICION DE PAGO]]</f>
        <v>45899</v>
      </c>
      <c r="AE977" s="23">
        <f>IF(DATA[[#This Row],[MONEDA]]="USD",VLOOKUP(DATA[[#This Row],[COMBINADA]],#REF!,11,0),1)</f>
        <v>1</v>
      </c>
      <c r="AF977" s="129" t="str">
        <f>IF(DATA[[#This Row],[SERIE2]]="-","NO CORRESPONDE",IF(W977="NO CORRESPONDE","NO CORRESPONDE",IF(Z977&gt;0,"FACTURADO","PENDIENTE")))</f>
        <v>FACTURADO</v>
      </c>
      <c r="AG977" s="133">
        <f>IFERROR(VLOOKUP(DATA[[#This Row],[COMBINADA]],#REF!,6,0),0)</f>
        <v>0</v>
      </c>
      <c r="AH977" s="125">
        <f>IFERROR(VLOOKUP(DATA[[#This Row],[COMBINADA]],#REF!,9,0),0)/COUNTIFS(DATA[COMBINADA],DATA[[#This Row],[COMBINADA]])</f>
        <v>0</v>
      </c>
      <c r="AI977" s="136">
        <f>IFERROR(VLOOKUP(DATA[[#This Row],[COMBINADA]],#REF!,6,0),0)</f>
        <v>0</v>
      </c>
      <c r="AJ977" s="132">
        <f>IFERROR(VLOOKUP(DATA[[#This Row],[COMBINADA]],#REF!,9,0),0)/COUNTIFS(DATA[COMBINADA],DATA[[#This Row],[COMBINADA]])</f>
        <v>0</v>
      </c>
      <c r="AK977" s="408">
        <f>IFERROR(VLOOKUP(DATA[[#This Row],[COMBINADA]],#REF!,6,0),0)</f>
        <v>0</v>
      </c>
      <c r="AL977" s="125">
        <f>IFERROR(VLOOKUP(DATA[[#This Row],[COMBINADA]],#REF!,9,0),0)/COUNTIFS(DATA[COMBINADA],DATA[[#This Row],[COMBINADA]])</f>
        <v>0</v>
      </c>
      <c r="AM977" s="288">
        <f>IFERROR(VLOOKUP(DATA[[#This Row],[COMBINADA]],#REF!,6,0),0)</f>
        <v>0</v>
      </c>
      <c r="AN977" s="125">
        <f>IFERROR(VLOOKUP(DATA[[#This Row],[COMBINADA]],#REF!,9,0),0)/COUNTIFS(DATA[COMBINADA],DATA[[#This Row],[COMBINADA]])</f>
        <v>0</v>
      </c>
      <c r="AO977" s="147">
        <f>IFERROR(VLOOKUP(DATA[[#This Row],[COMBINADA]],#REF!,6,0),0)</f>
        <v>0</v>
      </c>
      <c r="AP977" s="132">
        <f>IFERROR(VLOOKUP(DATA[[#This Row],[COMBINADA]],#REF!,9,0),0)/COUNTIFS(DATA[COMBINADA],DATA[[#This Row],[COMBINADA]])</f>
        <v>0</v>
      </c>
      <c r="AQ97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98.146000000000001</v>
      </c>
      <c r="AR977" s="26" t="str">
        <f>IFERROR(IF(DATA[[#This Row],[estado_fact]]="FACTURADO",VLOOKUP(DATA[[#This Row],[SERIE2]]&amp;"-"&amp;DATA[[#This Row],[NUMERO]],#REF!,34,0),"NO CORRESPONDE"),"NO CORRESPONDE")</f>
        <v>NO CORRESPONDE</v>
      </c>
      <c r="AS977" s="22" t="str">
        <f>IF(DATA[[#This Row],[fecha_fs]]&gt;0,TEXT(DATA[[#This Row],[fecha_fs]],"Mmmm"),0)</f>
        <v>Julio</v>
      </c>
      <c r="AT977" s="22" t="str">
        <f>DATA[[#This Row],[SERIE2]]&amp;"-"&amp;DATA[[#This Row],[NUMERO]]</f>
        <v>FF01-194</v>
      </c>
      <c r="AU977" s="28">
        <f>DATA[[#This Row],[TOTAL]]*DATA[[#This Row],[T.C.]]</f>
        <v>124.03</v>
      </c>
      <c r="AV977" s="6">
        <f>DATA[[#This Row],[FECHA DE VAL.]]</f>
        <v>45863</v>
      </c>
      <c r="AW977" s="6">
        <f>DATA[[#This Row],[FECHA DE EMISION]]</f>
        <v>45869</v>
      </c>
      <c r="AX977" s="6">
        <f>DATA[[#This Row],[F1]]</f>
        <v>0</v>
      </c>
      <c r="AY977" s="20">
        <f>IF(AV977-DATA[[#This Row],[fecha_fs]]&lt;0,0,AV977-DATA[[#This Row],[fecha_fs]])</f>
        <v>0</v>
      </c>
      <c r="AZ977" s="20">
        <f t="shared" si="113"/>
        <v>6</v>
      </c>
      <c r="BA977" s="53">
        <f t="shared" si="114"/>
        <v>0</v>
      </c>
      <c r="BB977" s="195">
        <f>IFERROR(SUM(DATA[[#This Row],[fs_val_ttf]:[fact_pago_ttf]]),0)</f>
        <v>6</v>
      </c>
      <c r="BC977" s="185">
        <v>45874</v>
      </c>
      <c r="BD977" s="185">
        <v>45882</v>
      </c>
      <c r="BE977" s="185">
        <v>45882</v>
      </c>
      <c r="BF977" s="185">
        <v>45882</v>
      </c>
      <c r="BG977" s="20">
        <f>IFERROR(IF(BC977-DATA[[#This Row],[fecha_fs]]&lt;0,0,BC977-DATA[[#This Row],[fecha_fs]]),0)</f>
        <v>11</v>
      </c>
      <c r="BH977" s="20">
        <f t="shared" si="115"/>
        <v>8</v>
      </c>
      <c r="BI977" s="20">
        <f t="shared" si="116"/>
        <v>0</v>
      </c>
      <c r="BJ977" s="20">
        <f t="shared" si="117"/>
        <v>0</v>
      </c>
      <c r="BK977" s="282">
        <f>IFERROR(SUM(DATA[[#This Row],[fs_fd_ttd]:[fend_fenf_ttd]]),0)</f>
        <v>19</v>
      </c>
      <c r="BL977" s="20" t="str">
        <f>IF(DATA[[#This Row],[fecha_fs]]&gt;0,TEXT(DATA[[#This Row],[fecha_fs]],"YYYY"),0)</f>
        <v>2025</v>
      </c>
      <c r="BM977" s="236" t="b">
        <v>1</v>
      </c>
      <c r="BN977" s="278">
        <f>COUNTIF(DATA[[#This Row],[tiempo_td]], "&lt;=15")</f>
        <v>0</v>
      </c>
      <c r="BO977" s="222"/>
    </row>
    <row r="978" spans="1:67" ht="30.6" customHeight="1" x14ac:dyDescent="0.25">
      <c r="A978" s="240"/>
      <c r="B978" s="241"/>
      <c r="C978" s="247"/>
      <c r="D978" s="240"/>
      <c r="E978" s="241"/>
      <c r="F978" s="248">
        <v>45863</v>
      </c>
      <c r="G978" s="249" t="s">
        <v>113</v>
      </c>
      <c r="H978" s="250">
        <f t="shared" ref="H978:H985" si="118">IF(G978="","",IF(G978="LIM",2,1))</f>
        <v>1</v>
      </c>
      <c r="I978" s="242">
        <v>4800</v>
      </c>
      <c r="J978" s="251" t="s">
        <v>151</v>
      </c>
      <c r="K978" s="252"/>
      <c r="L978" s="234"/>
      <c r="M978" s="253"/>
      <c r="N978" s="254"/>
      <c r="O978" s="243"/>
      <c r="P978" s="255"/>
      <c r="Q978" s="245"/>
      <c r="R978" s="237"/>
      <c r="S978" s="237"/>
      <c r="T978" s="237">
        <f>DATA[[#This Row],[C. DF]]+DATA[[#This Row],[C.OPE.]]</f>
        <v>0</v>
      </c>
      <c r="U978" s="237">
        <f>DATA[[#This Row],[SUB TOTAL]]*0.18</f>
        <v>0</v>
      </c>
      <c r="V978" s="237">
        <f>IFERROR(ROUND(DATA[[#This Row],[SUB TOTAL]]+DATA[[#This Row],[IGV]],2),0)</f>
        <v>0</v>
      </c>
      <c r="W978" s="256" t="str">
        <f>IF(DATA[[#This Row],[VALORIZACIÓN ]]="-","NO CORRESPONDE",IF(OR(A978=20558226979,A978=10470707866,A978=20111157058,A978=20100226902),"NO CORRESPONDE",IF(J978="Emitida",IF(P978&gt;0,"EMITIDA","PENDIENTE"),"NO CORRESPONDE")))</f>
        <v>NO CORRESPONDE</v>
      </c>
      <c r="X978" s="257"/>
      <c r="Y978" s="17" t="s">
        <v>128</v>
      </c>
      <c r="Z978" s="258"/>
      <c r="AA978" s="259"/>
      <c r="AB978" s="260"/>
      <c r="AC978" s="261"/>
      <c r="AD978" s="262">
        <f>DATA[[#This Row],[FECHA DE EMISION]]+DATA[[#This Row],[CONDICION DE PAGO]]</f>
        <v>0</v>
      </c>
      <c r="AE978" s="263">
        <f>IF(DATA[[#This Row],[MONEDA]]="USD",VLOOKUP(DATA[[#This Row],[COMBINADA]],#REF!,11,0),1)</f>
        <v>1</v>
      </c>
      <c r="AF978" s="264" t="str">
        <f>IF(DATA[[#This Row],[SERIE2]]="-","NO CORRESPONDE",IF(W978="NO CORRESPONDE","NO CORRESPONDE",IF(Z978&gt;0,"FACTURADO","PENDIENTE")))</f>
        <v>NO CORRESPONDE</v>
      </c>
      <c r="AG978" s="265">
        <f>IFERROR(VLOOKUP(DATA[[#This Row],[COMBINADA]],#REF!,6,0),0)</f>
        <v>0</v>
      </c>
      <c r="AH978" s="266">
        <f>IFERROR(VLOOKUP(DATA[[#This Row],[COMBINADA]],#REF!,9,0),0)/COUNTIFS(DATA[COMBINADA],DATA[[#This Row],[COMBINADA]])</f>
        <v>0</v>
      </c>
      <c r="AI978" s="267">
        <f>IFERROR(VLOOKUP(DATA[[#This Row],[COMBINADA]],#REF!,6,0),0)</f>
        <v>0</v>
      </c>
      <c r="AJ978" s="268">
        <f>IFERROR(VLOOKUP(DATA[[#This Row],[COMBINADA]],#REF!,9,0),0)/COUNTIFS(DATA[COMBINADA],DATA[[#This Row],[COMBINADA]])</f>
        <v>0</v>
      </c>
      <c r="AK978" s="270">
        <f>IFERROR(VLOOKUP(DATA[[#This Row],[COMBINADA]],#REF!,6,0),0)</f>
        <v>0</v>
      </c>
      <c r="AL978" s="268">
        <f>IFERROR(VLOOKUP(DATA[[#This Row],[COMBINADA]],#REF!,9,0),0)/COUNTIFS(DATA[COMBINADA],DATA[[#This Row],[COMBINADA]])</f>
        <v>0</v>
      </c>
      <c r="AM978" s="270">
        <f>IFERROR(VLOOKUP(DATA[[#This Row],[COMBINADA]],#REF!,6,0),0)</f>
        <v>0</v>
      </c>
      <c r="AN978" s="268">
        <f>IFERROR(VLOOKUP(DATA[[#This Row],[COMBINADA]],#REF!,9,0),0)/COUNTIFS(DATA[COMBINADA],DATA[[#This Row],[COMBINADA]])</f>
        <v>0</v>
      </c>
      <c r="AO978" s="270">
        <f>IFERROR(VLOOKUP(DATA[[#This Row],[COMBINADA]],#REF!,6,0),0)</f>
        <v>0</v>
      </c>
      <c r="AP978" s="269">
        <f>IFERROR(VLOOKUP(DATA[[#This Row],[COMBINADA]],#REF!,9,0),0)/COUNTIFS(DATA[COMBINADA],DATA[[#This Row],[COMBINADA]])</f>
        <v>0</v>
      </c>
      <c r="AQ978" s="27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978" s="272" t="str">
        <f>IFERROR(IF(DATA[[#This Row],[estado_fact]]="FACTURADO",VLOOKUP(DATA[[#This Row],[SERIE2]]&amp;"-"&amp;DATA[[#This Row],[NUMERO]],#REF!,34,0),"NO CORRESPONDE"),"NO CORRESPONDE")</f>
        <v>NO CORRESPONDE</v>
      </c>
      <c r="AS978" s="273" t="str">
        <f>IF(DATA[[#This Row],[fecha_fs]]&gt;0,TEXT(DATA[[#This Row],[fecha_fs]],"Mmmm"),0)</f>
        <v>Julio</v>
      </c>
      <c r="AT978" s="274" t="str">
        <f>DATA[[#This Row],[SERIE2]]&amp;"-"&amp;DATA[[#This Row],[NUMERO]]</f>
        <v>-</v>
      </c>
      <c r="AU978" s="273">
        <f>DATA[[#This Row],[TOTAL]]*DATA[[#This Row],[T.C.]]</f>
        <v>0</v>
      </c>
      <c r="AV978" s="275">
        <f>DATA[[#This Row],[FECHA DE VAL.]]</f>
        <v>0</v>
      </c>
      <c r="AW978" s="275">
        <f>DATA[[#This Row],[FECHA DE EMISION]]</f>
        <v>0</v>
      </c>
      <c r="AX978" s="275">
        <f>DATA[[#This Row],[F1]]</f>
        <v>0</v>
      </c>
      <c r="AY978" s="259">
        <f>IF(AV978-DATA[[#This Row],[fecha_fs]]&lt;0,0,AV978-DATA[[#This Row],[fecha_fs]])</f>
        <v>0</v>
      </c>
      <c r="AZ978" s="259">
        <f t="shared" si="113"/>
        <v>0</v>
      </c>
      <c r="BA978" s="259">
        <f t="shared" si="114"/>
        <v>0</v>
      </c>
      <c r="BB978" s="195">
        <f>IFERROR(SUM(DATA[[#This Row],[fs_val_ttf]:[fact_pago_ttf]]),0)</f>
        <v>0</v>
      </c>
      <c r="BC978" s="276"/>
      <c r="BD978" s="276"/>
      <c r="BE978" s="276"/>
      <c r="BF978" s="276"/>
      <c r="BG978" s="259">
        <f>IFERROR(IF(BC978-DATA[[#This Row],[fecha_fs]]&lt;0,0,BC978-DATA[[#This Row],[fecha_fs]]),0)</f>
        <v>0</v>
      </c>
      <c r="BH978" s="259">
        <f t="shared" si="115"/>
        <v>0</v>
      </c>
      <c r="BI978" s="259">
        <f t="shared" si="116"/>
        <v>0</v>
      </c>
      <c r="BJ978" s="259">
        <f t="shared" si="117"/>
        <v>0</v>
      </c>
      <c r="BK978" s="218">
        <f>IFERROR(SUM(DATA[[#This Row],[fs_fd_ttd]:[fend_fenf_ttd]]),0)</f>
        <v>0</v>
      </c>
      <c r="BL978" s="20" t="str">
        <f>IF(DATA[[#This Row],[fecha_fs]]&gt;0,TEXT(DATA[[#This Row],[fecha_fs]],"YYYY"),0)</f>
        <v>2025</v>
      </c>
      <c r="BM978" s="236" t="b">
        <v>0</v>
      </c>
      <c r="BN978" s="278"/>
      <c r="BO978" s="239"/>
    </row>
    <row r="979" spans="1:67" ht="30.6" customHeight="1" x14ac:dyDescent="0.25">
      <c r="A979" s="240">
        <v>20100192064</v>
      </c>
      <c r="B979" s="5" t="s">
        <v>60</v>
      </c>
      <c r="C979" s="52" t="s">
        <v>43</v>
      </c>
      <c r="D979" s="4" t="s">
        <v>183</v>
      </c>
      <c r="E979" s="5" t="s">
        <v>61</v>
      </c>
      <c r="F979" s="24">
        <v>45863</v>
      </c>
      <c r="G979" s="7" t="s">
        <v>113</v>
      </c>
      <c r="H979" s="25">
        <f t="shared" si="118"/>
        <v>1</v>
      </c>
      <c r="I979" s="67">
        <v>4801</v>
      </c>
      <c r="J979" s="8" t="s">
        <v>115</v>
      </c>
      <c r="K979" s="9" t="s">
        <v>184</v>
      </c>
      <c r="L979" s="10" t="s">
        <v>117</v>
      </c>
      <c r="M979" s="11">
        <v>37800</v>
      </c>
      <c r="N979" s="12" t="s">
        <v>114</v>
      </c>
      <c r="O979" s="6">
        <v>45863</v>
      </c>
      <c r="P979" s="71">
        <v>3560</v>
      </c>
      <c r="Q979" s="14" t="s">
        <v>123</v>
      </c>
      <c r="R979" s="74"/>
      <c r="S979" s="15">
        <f>(DATA[[#This Row],[cantidad_fs]]/1000)*22</f>
        <v>831.59999999999991</v>
      </c>
      <c r="T979" s="237">
        <f>DATA[[#This Row],[C. DF]]+DATA[[#This Row],[C.OPE.]]</f>
        <v>831.59999999999991</v>
      </c>
      <c r="U979" s="15">
        <f>DATA[[#This Row],[SUB TOTAL]]*0.18</f>
        <v>149.68799999999999</v>
      </c>
      <c r="V979" s="15">
        <f>IFERROR(ROUND(DATA[[#This Row],[SUB TOTAL]]+DATA[[#This Row],[IGV]],2),0)</f>
        <v>981.29</v>
      </c>
      <c r="W979" s="16" t="str">
        <f>IF(DATA[[#This Row],[VALORIZACIÓN ]]="-","NO CORRESPONDE",IF(OR(A979=20558226979,A979=10470707866,A979=20111157058,A979=20100226902),"NO CORRESPONDE",IF(J979="Emitida",IF(P979&gt;0,"EMITIDA","PENDIENTE"),"NO CORRESPONDE")))</f>
        <v>EMITIDA</v>
      </c>
      <c r="X979" s="29"/>
      <c r="Y979" s="17" t="s">
        <v>118</v>
      </c>
      <c r="Z979" s="30">
        <v>45869</v>
      </c>
      <c r="AA979" s="10" t="s">
        <v>150</v>
      </c>
      <c r="AB979" s="19">
        <v>189</v>
      </c>
      <c r="AC979" s="20">
        <v>30</v>
      </c>
      <c r="AD979" s="18">
        <f>DATA[[#This Row],[FECHA DE EMISION]]+DATA[[#This Row],[CONDICION DE PAGO]]</f>
        <v>45899</v>
      </c>
      <c r="AE979" s="23" t="e">
        <f>IF(DATA[[#This Row],[MONEDA]]="USD",VLOOKUP(DATA[[#This Row],[COMBINADA]],#REF!,11,0),1)</f>
        <v>#REF!</v>
      </c>
      <c r="AF979" s="129" t="str">
        <f>IF(DATA[[#This Row],[SERIE2]]="-","NO CORRESPONDE",IF(W979="NO CORRESPONDE","NO CORRESPONDE",IF(Z979&gt;0,"FACTURADO","PENDIENTE")))</f>
        <v>FACTURADO</v>
      </c>
      <c r="AG979" s="133">
        <f>IFERROR(VLOOKUP(DATA[[#This Row],[COMBINADA]],#REF!,6,0),0)</f>
        <v>0</v>
      </c>
      <c r="AH979" s="125">
        <f>IFERROR(VLOOKUP(DATA[[#This Row],[COMBINADA]],#REF!,9,0),0)/COUNTIFS(DATA[COMBINADA],DATA[[#This Row],[COMBINADA]])</f>
        <v>0</v>
      </c>
      <c r="AI979" s="146">
        <f>IFERROR(VLOOKUP(DATA[[#This Row],[COMBINADA]],#REF!,6,0),0)</f>
        <v>0</v>
      </c>
      <c r="AJ979" s="145">
        <f>IFERROR(VLOOKUP(DATA[[#This Row],[COMBINADA]],#REF!,9,0),0)/COUNTIFS(DATA[COMBINADA],DATA[[#This Row],[COMBINADA]])</f>
        <v>0</v>
      </c>
      <c r="AK979" s="411">
        <f>IFERROR(VLOOKUP(DATA[[#This Row],[COMBINADA]],#REF!,6,0),0)</f>
        <v>0</v>
      </c>
      <c r="AL979" s="125">
        <f>IFERROR(VLOOKUP(DATA[[#This Row],[COMBINADA]],#REF!,9,0),0)/COUNTIFS(DATA[COMBINADA],DATA[[#This Row],[COMBINADA]])</f>
        <v>0</v>
      </c>
      <c r="AM979" s="61">
        <f>IFERROR(VLOOKUP(DATA[[#This Row],[COMBINADA]],#REF!,6,0),0)</f>
        <v>0</v>
      </c>
      <c r="AN979" s="126">
        <f>IFERROR(VLOOKUP(DATA[[#This Row],[COMBINADA]],#REF!,9,0),0)/COUNTIFS(DATA[COMBINADA],DATA[[#This Row],[COMBINADA]])</f>
        <v>0</v>
      </c>
      <c r="AO979" s="147">
        <f>IFERROR(VLOOKUP(DATA[[#This Row],[COMBINADA]],#REF!,6,0),0)</f>
        <v>0</v>
      </c>
      <c r="AP979" s="145">
        <f>IFERROR(VLOOKUP(DATA[[#This Row],[COMBINADA]],#REF!,9,0),0)/COUNTIFS(DATA[COMBINADA],DATA[[#This Row],[COMBINADA]])</f>
        <v>0</v>
      </c>
      <c r="AQ979" s="117">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799.26461538461524</v>
      </c>
      <c r="AR979" s="118" t="str">
        <f>IFERROR(IF(DATA[[#This Row],[estado_fact]]="FACTURADO",VLOOKUP(DATA[[#This Row],[SERIE2]]&amp;"-"&amp;DATA[[#This Row],[NUMERO]],#REF!,34,0),"NO CORRESPONDE"),"NO CORRESPONDE")</f>
        <v>NO CORRESPONDE</v>
      </c>
      <c r="AS979" s="72" t="str">
        <f>IF(DATA[[#This Row],[fecha_fs]]&gt;0,TEXT(DATA[[#This Row],[fecha_fs]],"Mmmm"),0)</f>
        <v>Julio</v>
      </c>
      <c r="AT979" s="22" t="str">
        <f>DATA[[#This Row],[SERIE2]]&amp;"-"&amp;DATA[[#This Row],[NUMERO]]</f>
        <v>FF01-189</v>
      </c>
      <c r="AU979" s="28" t="e">
        <f>DATA[[#This Row],[TOTAL]]*DATA[[#This Row],[T.C.]]</f>
        <v>#REF!</v>
      </c>
      <c r="AV979" s="6">
        <f>DATA[[#This Row],[FECHA DE VAL.]]</f>
        <v>45863</v>
      </c>
      <c r="AW979" s="6">
        <f>DATA[[#This Row],[FECHA DE EMISION]]</f>
        <v>45869</v>
      </c>
      <c r="AX979" s="6">
        <f>DATA[[#This Row],[F1]]</f>
        <v>0</v>
      </c>
      <c r="AY979" s="20">
        <f>IF(AV979-DATA[[#This Row],[fecha_fs]]&lt;0,0,AV979-DATA[[#This Row],[fecha_fs]])</f>
        <v>0</v>
      </c>
      <c r="AZ979" s="20">
        <f t="shared" ref="AZ979:BA985" si="119">IF(AW979-AV979&lt;0,0,AW979-AV979)</f>
        <v>6</v>
      </c>
      <c r="BA979" s="53">
        <f t="shared" si="119"/>
        <v>0</v>
      </c>
      <c r="BB979" s="195">
        <f>IFERROR(SUM(DATA[[#This Row],[fs_val_ttf]:[fact_pago_ttf]]),0)</f>
        <v>6</v>
      </c>
      <c r="BC979" s="185" t="s">
        <v>292</v>
      </c>
      <c r="BD979" s="185" t="s">
        <v>292</v>
      </c>
      <c r="BE979" s="185" t="s">
        <v>292</v>
      </c>
      <c r="BF979" s="185" t="s">
        <v>292</v>
      </c>
      <c r="BG979" s="20">
        <f>IFERROR(IF(BC979-DATA[[#This Row],[fecha_fs]]&lt;0,0,BC979-DATA[[#This Row],[fecha_fs]]),0)</f>
        <v>0</v>
      </c>
      <c r="BH979" s="20">
        <f t="shared" ref="BH979:BJ985" si="120">IFERROR(IF(BD979-BC979&lt;0,0,BD979-BC979),0)</f>
        <v>0</v>
      </c>
      <c r="BI979" s="20">
        <f t="shared" si="120"/>
        <v>0</v>
      </c>
      <c r="BJ979" s="20">
        <f t="shared" si="120"/>
        <v>0</v>
      </c>
      <c r="BK979" s="282">
        <f>IFERROR(SUM(DATA[[#This Row],[fs_fd_ttd]:[fend_fenf_ttd]]),0)</f>
        <v>0</v>
      </c>
      <c r="BL979" s="20" t="str">
        <f>IF(DATA[[#This Row],[fecha_fs]]&gt;0,TEXT(DATA[[#This Row],[fecha_fs]],"YYYY"),0)</f>
        <v>2025</v>
      </c>
      <c r="BM979" s="236" t="b">
        <v>1</v>
      </c>
      <c r="BN979" s="278">
        <f>COUNTIF(DATA[[#This Row],[tiempo_td]], "&lt;=15")</f>
        <v>1</v>
      </c>
      <c r="BO979" s="239"/>
    </row>
    <row r="980" spans="1:67" ht="30.6" customHeight="1" x14ac:dyDescent="0.25">
      <c r="A980" s="4">
        <v>20100192064</v>
      </c>
      <c r="B980" s="5" t="s">
        <v>60</v>
      </c>
      <c r="C980" s="52" t="s">
        <v>43</v>
      </c>
      <c r="D980" s="4" t="s">
        <v>120</v>
      </c>
      <c r="E980" s="5" t="s">
        <v>3</v>
      </c>
      <c r="F980" s="24">
        <v>45863</v>
      </c>
      <c r="G980" s="7" t="s">
        <v>113</v>
      </c>
      <c r="H980" s="25">
        <f t="shared" si="118"/>
        <v>1</v>
      </c>
      <c r="I980" s="67">
        <v>4802</v>
      </c>
      <c r="J980" s="8" t="s">
        <v>115</v>
      </c>
      <c r="K980" s="9" t="s">
        <v>121</v>
      </c>
      <c r="L980" s="10" t="s">
        <v>117</v>
      </c>
      <c r="M980" s="11">
        <v>700</v>
      </c>
      <c r="N980" s="12" t="s">
        <v>122</v>
      </c>
      <c r="O980" s="6">
        <v>45863</v>
      </c>
      <c r="P980" s="207">
        <v>3558</v>
      </c>
      <c r="Q980" s="14" t="s">
        <v>123</v>
      </c>
      <c r="R980" s="206">
        <f>(DATA[[#This Row],[cantidad_fs]]/1000)*(47+174.34)</f>
        <v>154.93799999999999</v>
      </c>
      <c r="S980" s="206">
        <v>137</v>
      </c>
      <c r="T980" s="237">
        <f>DATA[[#This Row],[C. DF]]+DATA[[#This Row],[C.OPE.]]</f>
        <v>291.93799999999999</v>
      </c>
      <c r="U980" s="15">
        <f>DATA[[#This Row],[SUB TOTAL]]*0.18</f>
        <v>52.548839999999998</v>
      </c>
      <c r="V980" s="15">
        <f>IFERROR(ROUND(DATA[[#This Row],[SUB TOTAL]]+DATA[[#This Row],[IGV]],2),0)</f>
        <v>344.49</v>
      </c>
      <c r="W980" s="16" t="str">
        <f>IF(DATA[[#This Row],[VALORIZACIÓN ]]="-","NO CORRESPONDE",IF(OR(A980=20558226979,A980=10470707866,A980=20111157058,A980=20100226902),"NO CORRESPONDE",IF(J980="Emitida",IF(P980&gt;0,"EMITIDA","PENDIENTE"),"NO CORRESPONDE")))</f>
        <v>EMITIDA</v>
      </c>
      <c r="X980" s="29"/>
      <c r="Y980" s="17" t="s">
        <v>118</v>
      </c>
      <c r="Z980" s="30">
        <v>45869</v>
      </c>
      <c r="AA980" s="10" t="s">
        <v>150</v>
      </c>
      <c r="AB980" s="19">
        <v>189</v>
      </c>
      <c r="AC980" s="20">
        <v>30</v>
      </c>
      <c r="AD980" s="18">
        <f>DATA[[#This Row],[FECHA DE EMISION]]+DATA[[#This Row],[CONDICION DE PAGO]]</f>
        <v>45899</v>
      </c>
      <c r="AE980" s="23" t="e">
        <f>IF(DATA[[#This Row],[MONEDA]]="USD",VLOOKUP(DATA[[#This Row],[COMBINADA]],#REF!,11,0),1)</f>
        <v>#REF!</v>
      </c>
      <c r="AF980" s="39" t="str">
        <f>IF(DATA[[#This Row],[SERIE2]]="-","NO CORRESPONDE",IF(W980="NO CORRESPONDE","NO CORRESPONDE",IF(Z980&gt;0,"FACTURADO","PENDIENTE")))</f>
        <v>FACTURADO</v>
      </c>
      <c r="AG980" s="133">
        <f>IFERROR(VLOOKUP(DATA[[#This Row],[COMBINADA]],#REF!,6,0),0)</f>
        <v>0</v>
      </c>
      <c r="AH980" s="125">
        <f>IFERROR(VLOOKUP(DATA[[#This Row],[COMBINADA]],#REF!,9,0),0)/COUNTIFS(DATA[COMBINADA],DATA[[#This Row],[COMBINADA]])</f>
        <v>0</v>
      </c>
      <c r="AI980" s="146">
        <f>IFERROR(VLOOKUP(DATA[[#This Row],[COMBINADA]],#REF!,6,0),0)</f>
        <v>0</v>
      </c>
      <c r="AJ980" s="145">
        <f>IFERROR(VLOOKUP(DATA[[#This Row],[COMBINADA]],#REF!,9,0),0)/COUNTIFS(DATA[COMBINADA],DATA[[#This Row],[COMBINADA]])</f>
        <v>0</v>
      </c>
      <c r="AK980" s="411">
        <f>IFERROR(VLOOKUP(DATA[[#This Row],[COMBINADA]],#REF!,6,0),0)</f>
        <v>0</v>
      </c>
      <c r="AL980" s="125">
        <f>IFERROR(VLOOKUP(DATA[[#This Row],[COMBINADA]],#REF!,9,0),0)/COUNTIFS(DATA[COMBINADA],DATA[[#This Row],[COMBINADA]])</f>
        <v>0</v>
      </c>
      <c r="AM980" s="61">
        <f>IFERROR(VLOOKUP(DATA[[#This Row],[COMBINADA]],#REF!,6,0),0)</f>
        <v>0</v>
      </c>
      <c r="AN980" s="126">
        <f>IFERROR(VLOOKUP(DATA[[#This Row],[COMBINADA]],#REF!,9,0),0)/COUNTIFS(DATA[COMBINADA],DATA[[#This Row],[COMBINADA]])</f>
        <v>0</v>
      </c>
      <c r="AO980" s="147">
        <f>IFERROR(VLOOKUP(DATA[[#This Row],[COMBINADA]],#REF!,6,0),0)</f>
        <v>0</v>
      </c>
      <c r="AP980" s="145">
        <f>IFERROR(VLOOKUP(DATA[[#This Row],[COMBINADA]],#REF!,9,0),0)/COUNTIFS(DATA[COMBINADA],DATA[[#This Row],[COMBINADA]])</f>
        <v>0</v>
      </c>
      <c r="AQ980" s="117">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799.26461538461524</v>
      </c>
      <c r="AR980" s="118" t="str">
        <f>IFERROR(IF(DATA[[#This Row],[estado_fact]]="FACTURADO",VLOOKUP(DATA[[#This Row],[SERIE2]]&amp;"-"&amp;DATA[[#This Row],[NUMERO]],#REF!,34,0),"NO CORRESPONDE"),"NO CORRESPONDE")</f>
        <v>NO CORRESPONDE</v>
      </c>
      <c r="AS980" s="72" t="str">
        <f>IF(DATA[[#This Row],[fecha_fs]]&gt;0,TEXT(DATA[[#This Row],[fecha_fs]],"Mmmm"),0)</f>
        <v>Julio</v>
      </c>
      <c r="AT980" s="22" t="str">
        <f>DATA[[#This Row],[SERIE2]]&amp;"-"&amp;DATA[[#This Row],[NUMERO]]</f>
        <v>FF01-189</v>
      </c>
      <c r="AU980" s="28" t="e">
        <f>DATA[[#This Row],[TOTAL]]*DATA[[#This Row],[T.C.]]</f>
        <v>#REF!</v>
      </c>
      <c r="AV980" s="6">
        <f>DATA[[#This Row],[FECHA DE VAL.]]</f>
        <v>45863</v>
      </c>
      <c r="AW980" s="6">
        <f>DATA[[#This Row],[FECHA DE EMISION]]</f>
        <v>45869</v>
      </c>
      <c r="AX980" s="6">
        <f>DATA[[#This Row],[F1]]</f>
        <v>0</v>
      </c>
      <c r="AY980" s="20">
        <f>IF(AV980-DATA[[#This Row],[fecha_fs]]&lt;0,0,AV980-DATA[[#This Row],[fecha_fs]])</f>
        <v>0</v>
      </c>
      <c r="AZ980" s="20">
        <f t="shared" si="119"/>
        <v>6</v>
      </c>
      <c r="BA980" s="53">
        <f t="shared" si="119"/>
        <v>0</v>
      </c>
      <c r="BB980" s="195">
        <f>IFERROR(SUM(DATA[[#This Row],[fs_val_ttf]:[fact_pago_ttf]]),0)</f>
        <v>6</v>
      </c>
      <c r="BC980" s="233">
        <v>45874</v>
      </c>
      <c r="BD980" s="185">
        <v>45887</v>
      </c>
      <c r="BE980" s="185">
        <v>45888</v>
      </c>
      <c r="BF980" s="233">
        <v>45909</v>
      </c>
      <c r="BG980" s="20">
        <f>IFERROR(IF(BC980-DATA[[#This Row],[fecha_fs]]&lt;0,0,BC980-DATA[[#This Row],[fecha_fs]]),0)</f>
        <v>11</v>
      </c>
      <c r="BH980" s="20">
        <f t="shared" si="120"/>
        <v>13</v>
      </c>
      <c r="BI980" s="20">
        <f t="shared" si="120"/>
        <v>1</v>
      </c>
      <c r="BJ980" s="20">
        <f t="shared" si="120"/>
        <v>21</v>
      </c>
      <c r="BK980" s="282">
        <f>IFERROR(SUM(DATA[[#This Row],[fs_fd_ttd]:[fend_fenf_ttd]]),0)</f>
        <v>46</v>
      </c>
      <c r="BL980" s="20" t="str">
        <f>IF(DATA[[#This Row],[fecha_fs]]&gt;0,TEXT(DATA[[#This Row],[fecha_fs]],"YYYY"),0)</f>
        <v>2025</v>
      </c>
      <c r="BM980" s="236" t="b">
        <v>1</v>
      </c>
      <c r="BN980" s="278">
        <f>COUNTIF(DATA[[#This Row],[tiempo_td]], "&lt;=15")</f>
        <v>0</v>
      </c>
      <c r="BO980" s="239"/>
    </row>
    <row r="981" spans="1:67" ht="30.6" customHeight="1" x14ac:dyDescent="0.25">
      <c r="A981" s="4">
        <v>20141637941</v>
      </c>
      <c r="B981" s="5" t="s">
        <v>79</v>
      </c>
      <c r="C981" s="52" t="s">
        <v>18</v>
      </c>
      <c r="D981" s="4" t="s">
        <v>120</v>
      </c>
      <c r="E981" s="5" t="s">
        <v>3</v>
      </c>
      <c r="F981" s="24">
        <v>45868</v>
      </c>
      <c r="G981" s="7" t="s">
        <v>113</v>
      </c>
      <c r="H981" s="25">
        <f t="shared" si="118"/>
        <v>1</v>
      </c>
      <c r="I981" s="67">
        <v>4803</v>
      </c>
      <c r="J981" s="8" t="s">
        <v>115</v>
      </c>
      <c r="K981" s="9" t="s">
        <v>121</v>
      </c>
      <c r="L981" s="10" t="s">
        <v>117</v>
      </c>
      <c r="M981" s="11">
        <v>530</v>
      </c>
      <c r="N981" s="12" t="s">
        <v>249</v>
      </c>
      <c r="O981" s="6">
        <v>45869</v>
      </c>
      <c r="P981" s="110">
        <v>3583</v>
      </c>
      <c r="Q981" s="14" t="s">
        <v>85</v>
      </c>
      <c r="R981" s="206">
        <v>80</v>
      </c>
      <c r="S981" s="206">
        <v>832</v>
      </c>
      <c r="T981" s="237">
        <f>DATA[[#This Row],[C. DF]]+DATA[[#This Row],[C.OPE.]]</f>
        <v>912</v>
      </c>
      <c r="U981" s="15">
        <f>DATA[[#This Row],[SUB TOTAL]]*0.18</f>
        <v>164.16</v>
      </c>
      <c r="V981" s="15">
        <f>IFERROR(ROUND(DATA[[#This Row],[SUB TOTAL]]+DATA[[#This Row],[IGV]],2),0)</f>
        <v>1076.1600000000001</v>
      </c>
      <c r="W981" s="16" t="str">
        <f>IF(DATA[[#This Row],[VALORIZACIÓN ]]="-","NO CORRESPONDE",IF(OR(A981=20558226979,A981=10470707866,A981=20111157058,A981=20100226902),"NO CORRESPONDE",IF(J981="Emitida",IF(P981&gt;0,"EMITIDA","PENDIENTE"),"NO CORRESPONDE")))</f>
        <v>EMITIDA</v>
      </c>
      <c r="X981" s="29"/>
      <c r="Y981" s="17" t="s">
        <v>118</v>
      </c>
      <c r="Z981" s="280">
        <v>45876</v>
      </c>
      <c r="AA981" s="281" t="s">
        <v>150</v>
      </c>
      <c r="AB981" s="19">
        <v>201</v>
      </c>
      <c r="AC981" s="20">
        <v>30</v>
      </c>
      <c r="AD981" s="18">
        <f>DATA[[#This Row],[FECHA DE EMISION]]+DATA[[#This Row],[CONDICION DE PAGO]]</f>
        <v>45906</v>
      </c>
      <c r="AE981" s="23">
        <f>IF(DATA[[#This Row],[MONEDA]]="USD",VLOOKUP(DATA[[#This Row],[COMBINADA]],#REF!,11,0),1)</f>
        <v>1</v>
      </c>
      <c r="AF981" s="129" t="str">
        <f>IF(DATA[[#This Row],[SERIE2]]="-","NO CORRESPONDE",IF(W981="NO CORRESPONDE","NO CORRESPONDE",IF(Z981&gt;0,"FACTURADO","PENDIENTE")))</f>
        <v>FACTURADO</v>
      </c>
      <c r="AG981" s="133">
        <f>IFERROR(VLOOKUP(DATA[[#This Row],[COMBINADA]],#REF!,6,0),0)</f>
        <v>0</v>
      </c>
      <c r="AH981" s="125">
        <f>IFERROR(VLOOKUP(DATA[[#This Row],[COMBINADA]],#REF!,9,0),0)/COUNTIFS(DATA[COMBINADA],DATA[[#This Row],[COMBINADA]])</f>
        <v>0</v>
      </c>
      <c r="AI981" s="146">
        <f>IFERROR(VLOOKUP(DATA[[#This Row],[COMBINADA]],#REF!,6,0),0)</f>
        <v>0</v>
      </c>
      <c r="AJ981" s="145">
        <f>IFERROR(VLOOKUP(DATA[[#This Row],[COMBINADA]],#REF!,9,0),0)/COUNTIFS(DATA[COMBINADA],DATA[[#This Row],[COMBINADA]])</f>
        <v>0</v>
      </c>
      <c r="AK981" s="411">
        <f>IFERROR(VLOOKUP(DATA[[#This Row],[COMBINADA]],#REF!,6,0),0)</f>
        <v>0</v>
      </c>
      <c r="AL981" s="125">
        <f>IFERROR(VLOOKUP(DATA[[#This Row],[COMBINADA]],#REF!,9,0),0)/COUNTIFS(DATA[COMBINADA],DATA[[#This Row],[COMBINADA]])</f>
        <v>0</v>
      </c>
      <c r="AM981" s="61">
        <f>IFERROR(VLOOKUP(DATA[[#This Row],[COMBINADA]],#REF!,6,0),0)</f>
        <v>0</v>
      </c>
      <c r="AN981" s="126">
        <f>IFERROR(VLOOKUP(DATA[[#This Row],[COMBINADA]],#REF!,9,0),0)/COUNTIFS(DATA[COMBINADA],DATA[[#This Row],[COMBINADA]])</f>
        <v>0</v>
      </c>
      <c r="AO981" s="147">
        <f>IFERROR(VLOOKUP(DATA[[#This Row],[COMBINADA]],#REF!,6,0),0)</f>
        <v>0</v>
      </c>
      <c r="AP981" s="145">
        <f>IFERROR(VLOOKUP(DATA[[#This Row],[COMBINADA]],#REF!,9,0),0)/COUNTIFS(DATA[COMBINADA],DATA[[#This Row],[COMBINADA]])</f>
        <v>0</v>
      </c>
      <c r="AQ981" s="117">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1103.22</v>
      </c>
      <c r="AR981" s="118" t="str">
        <f>IFERROR(IF(DATA[[#This Row],[estado_fact]]="FACTURADO",VLOOKUP(DATA[[#This Row],[SERIE2]]&amp;"-"&amp;DATA[[#This Row],[NUMERO]],#REF!,34,0),"NO CORRESPONDE"),"NO CORRESPONDE")</f>
        <v>NO CORRESPONDE</v>
      </c>
      <c r="AS981" s="72" t="str">
        <f>IF(DATA[[#This Row],[fecha_fs]]&gt;0,TEXT(DATA[[#This Row],[fecha_fs]],"Mmmm"),0)</f>
        <v>Julio</v>
      </c>
      <c r="AT981" s="22" t="str">
        <f>DATA[[#This Row],[SERIE2]]&amp;"-"&amp;DATA[[#This Row],[NUMERO]]</f>
        <v>FF01-201</v>
      </c>
      <c r="AU981" s="28">
        <f>DATA[[#This Row],[TOTAL]]*DATA[[#This Row],[T.C.]]</f>
        <v>1076.1600000000001</v>
      </c>
      <c r="AV981" s="6">
        <f>DATA[[#This Row],[FECHA DE VAL.]]</f>
        <v>45869</v>
      </c>
      <c r="AW981" s="6">
        <f>DATA[[#This Row],[FECHA DE EMISION]]</f>
        <v>45876</v>
      </c>
      <c r="AX981" s="6">
        <f>DATA[[#This Row],[F1]]</f>
        <v>0</v>
      </c>
      <c r="AY981" s="20">
        <f>IF(AV981-DATA[[#This Row],[fecha_fs]]&lt;0,0,AV981-DATA[[#This Row],[fecha_fs]])</f>
        <v>1</v>
      </c>
      <c r="AZ981" s="20">
        <f t="shared" si="119"/>
        <v>7</v>
      </c>
      <c r="BA981" s="53">
        <f t="shared" si="119"/>
        <v>0</v>
      </c>
      <c r="BB981" s="195">
        <f>IFERROR(SUM(DATA[[#This Row],[fs_val_ttf]:[fact_pago_ttf]]),0)</f>
        <v>8</v>
      </c>
      <c r="BC981" s="233">
        <v>45868</v>
      </c>
      <c r="BD981" s="233">
        <v>45876</v>
      </c>
      <c r="BE981" s="185">
        <v>45880</v>
      </c>
      <c r="BF981" s="185">
        <v>45882</v>
      </c>
      <c r="BG981" s="20">
        <f>IFERROR(IF(BC981-DATA[[#This Row],[fecha_fs]]&lt;0,0,BC981-DATA[[#This Row],[fecha_fs]]),0)</f>
        <v>0</v>
      </c>
      <c r="BH981" s="20">
        <f t="shared" si="120"/>
        <v>8</v>
      </c>
      <c r="BI981" s="20">
        <f t="shared" si="120"/>
        <v>4</v>
      </c>
      <c r="BJ981" s="20">
        <f t="shared" si="120"/>
        <v>2</v>
      </c>
      <c r="BK981" s="282">
        <f>IFERROR(SUM(DATA[[#This Row],[fs_fd_ttd]:[fend_fenf_ttd]]),0)</f>
        <v>14</v>
      </c>
      <c r="BL981" s="20" t="str">
        <f>IF(DATA[[#This Row],[fecha_fs]]&gt;0,TEXT(DATA[[#This Row],[fecha_fs]],"YYYY"),0)</f>
        <v>2025</v>
      </c>
      <c r="BM981" s="236" t="b">
        <v>1</v>
      </c>
      <c r="BN981" s="278">
        <f>COUNTIF(DATA[[#This Row],[tiempo_td]], "&lt;=15")</f>
        <v>1</v>
      </c>
      <c r="BO981" s="239"/>
    </row>
    <row r="982" spans="1:67" ht="30.6" customHeight="1" x14ac:dyDescent="0.25">
      <c r="A982" s="4">
        <v>20419158462</v>
      </c>
      <c r="B982" s="5" t="s">
        <v>2</v>
      </c>
      <c r="C982" s="52" t="s">
        <v>7</v>
      </c>
      <c r="D982" s="4" t="s">
        <v>120</v>
      </c>
      <c r="E982" s="5" t="s">
        <v>3</v>
      </c>
      <c r="F982" s="24">
        <v>45868</v>
      </c>
      <c r="G982" s="7" t="s">
        <v>113</v>
      </c>
      <c r="H982" s="25">
        <f t="shared" si="118"/>
        <v>1</v>
      </c>
      <c r="I982" s="67">
        <v>4804</v>
      </c>
      <c r="J982" s="8" t="s">
        <v>115</v>
      </c>
      <c r="K982" s="9" t="s">
        <v>156</v>
      </c>
      <c r="L982" s="10" t="s">
        <v>117</v>
      </c>
      <c r="M982" s="11">
        <v>450</v>
      </c>
      <c r="N982" s="12" t="s">
        <v>249</v>
      </c>
      <c r="O982" s="6">
        <v>45869</v>
      </c>
      <c r="P982" s="13">
        <v>3584</v>
      </c>
      <c r="Q982" s="14" t="s">
        <v>85</v>
      </c>
      <c r="R982" s="74"/>
      <c r="S982" s="15">
        <f>1429.7</f>
        <v>1429.7</v>
      </c>
      <c r="T982" s="237">
        <f>DATA[[#This Row],[C. DF]]+DATA[[#This Row],[C.OPE.]]</f>
        <v>1429.7</v>
      </c>
      <c r="U982" s="15">
        <f>DATA[[#This Row],[SUB TOTAL]]*0.18</f>
        <v>257.346</v>
      </c>
      <c r="V982" s="15">
        <f>IFERROR(ROUND(DATA[[#This Row],[SUB TOTAL]]+DATA[[#This Row],[IGV]],2),0)</f>
        <v>1687.05</v>
      </c>
      <c r="W982" s="16" t="str">
        <f>IF(DATA[[#This Row],[VALORIZACIÓN ]]="-","NO CORRESPONDE",IF(OR(A982=20558226979,A982=10470707866,A982=20111157058,A982=20100226902),"NO CORRESPONDE",IF(J982="Emitida",IF(P982&gt;0,"EMITIDA","PENDIENTE"),"NO CORRESPONDE")))</f>
        <v>EMITIDA</v>
      </c>
      <c r="X982" s="29"/>
      <c r="Y982" s="17" t="s">
        <v>118</v>
      </c>
      <c r="Z982" s="277">
        <v>45965</v>
      </c>
      <c r="AA982" s="20" t="s">
        <v>150</v>
      </c>
      <c r="AB982" s="19">
        <v>321</v>
      </c>
      <c r="AC982" s="20">
        <v>2</v>
      </c>
      <c r="AD982" s="18">
        <f>DATA[[#This Row],[FECHA DE EMISION]]+DATA[[#This Row],[CONDICION DE PAGO]]</f>
        <v>45967</v>
      </c>
      <c r="AE982" s="23">
        <f>IF(DATA[[#This Row],[MONEDA]]="USD",VLOOKUP(DATA[[#This Row],[COMBINADA]],#REF!,11,0),1)</f>
        <v>1</v>
      </c>
      <c r="AF982" s="129" t="str">
        <f>IF(DATA[[#This Row],[SERIE2]]="-","NO CORRESPONDE",IF(W982="NO CORRESPONDE","NO CORRESPONDE",IF(Z982&gt;0,"FACTURADO","PENDIENTE")))</f>
        <v>FACTURADO</v>
      </c>
      <c r="AG982" s="133">
        <f>IFERROR(VLOOKUP(DATA[[#This Row],[COMBINADA]],#REF!,6,0),0)</f>
        <v>0</v>
      </c>
      <c r="AH982" s="125">
        <f>IFERROR(VLOOKUP(DATA[[#This Row],[COMBINADA]],#REF!,9,0),0)/COUNTIFS(DATA[COMBINADA],DATA[[#This Row],[COMBINADA]])</f>
        <v>0</v>
      </c>
      <c r="AI982" s="146">
        <f>IFERROR(VLOOKUP(DATA[[#This Row],[COMBINADA]],#REF!,6,0),0)</f>
        <v>0</v>
      </c>
      <c r="AJ982" s="145">
        <f>IFERROR(VLOOKUP(DATA[[#This Row],[COMBINADA]],#REF!,9,0),0)/COUNTIFS(DATA[COMBINADA],DATA[[#This Row],[COMBINADA]])</f>
        <v>0</v>
      </c>
      <c r="AK982" s="411">
        <f>IFERROR(VLOOKUP(DATA[[#This Row],[COMBINADA]],#REF!,6,0),0)</f>
        <v>0</v>
      </c>
      <c r="AL982" s="125">
        <f>IFERROR(VLOOKUP(DATA[[#This Row],[COMBINADA]],#REF!,9,0),0)/COUNTIFS(DATA[COMBINADA],DATA[[#This Row],[COMBINADA]])</f>
        <v>0</v>
      </c>
      <c r="AM982" s="61">
        <f>IFERROR(VLOOKUP(DATA[[#This Row],[COMBINADA]],#REF!,6,0),0)</f>
        <v>0</v>
      </c>
      <c r="AN982" s="126">
        <f>IFERROR(VLOOKUP(DATA[[#This Row],[COMBINADA]],#REF!,9,0),0)/COUNTIFS(DATA[COMBINADA],DATA[[#This Row],[COMBINADA]])</f>
        <v>0</v>
      </c>
      <c r="AO982" s="147">
        <f>IFERROR(VLOOKUP(DATA[[#This Row],[COMBINADA]],#REF!,6,0),0)</f>
        <v>0</v>
      </c>
      <c r="AP982" s="145">
        <f>IFERROR(VLOOKUP(DATA[[#This Row],[COMBINADA]],#REF!,9,0),0)/COUNTIFS(DATA[COMBINADA],DATA[[#This Row],[COMBINADA]])</f>
        <v>0</v>
      </c>
      <c r="AQ982" s="117">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1687.05</v>
      </c>
      <c r="AR982" s="118" t="str">
        <f>IFERROR(IF(DATA[[#This Row],[estado_fact]]="FACTURADO",VLOOKUP(DATA[[#This Row],[SERIE2]]&amp;"-"&amp;DATA[[#This Row],[NUMERO]],#REF!,34,0),"NO CORRESPONDE"),"NO CORRESPONDE")</f>
        <v>NO CORRESPONDE</v>
      </c>
      <c r="AS982" s="72" t="str">
        <f>IF(DATA[[#This Row],[fecha_fs]]&gt;0,TEXT(DATA[[#This Row],[fecha_fs]],"Mmmm"),0)</f>
        <v>Julio</v>
      </c>
      <c r="AT982" s="22" t="str">
        <f>DATA[[#This Row],[SERIE2]]&amp;"-"&amp;DATA[[#This Row],[NUMERO]]</f>
        <v>FF01-321</v>
      </c>
      <c r="AU982" s="28">
        <f>DATA[[#This Row],[TOTAL]]*DATA[[#This Row],[T.C.]]</f>
        <v>1687.05</v>
      </c>
      <c r="AV982" s="6">
        <f>DATA[[#This Row],[FECHA DE VAL.]]</f>
        <v>45869</v>
      </c>
      <c r="AW982" s="6">
        <f>DATA[[#This Row],[FECHA DE EMISION]]</f>
        <v>45965</v>
      </c>
      <c r="AX982" s="6">
        <f>DATA[[#This Row],[F1]]</f>
        <v>0</v>
      </c>
      <c r="AY982" s="20">
        <f>IF(AV982-DATA[[#This Row],[fecha_fs]]&lt;0,0,AV982-DATA[[#This Row],[fecha_fs]])</f>
        <v>1</v>
      </c>
      <c r="AZ982" s="20">
        <f t="shared" si="119"/>
        <v>96</v>
      </c>
      <c r="BA982" s="53">
        <f t="shared" si="119"/>
        <v>0</v>
      </c>
      <c r="BB982" s="195">
        <f>IFERROR(SUM(DATA[[#This Row],[fs_val_ttf]:[fact_pago_ttf]]),0)</f>
        <v>97</v>
      </c>
      <c r="BC982" s="233">
        <v>45868</v>
      </c>
      <c r="BD982" s="233">
        <v>45868</v>
      </c>
      <c r="BE982" s="233">
        <v>45874</v>
      </c>
      <c r="BF982" s="233">
        <v>45874</v>
      </c>
      <c r="BG982" s="20">
        <f>IFERROR(IF(BC982-DATA[[#This Row],[fecha_fs]]&lt;0,0,BC982-DATA[[#This Row],[fecha_fs]]),0)</f>
        <v>0</v>
      </c>
      <c r="BH982" s="20">
        <f t="shared" si="120"/>
        <v>0</v>
      </c>
      <c r="BI982" s="20">
        <f t="shared" si="120"/>
        <v>6</v>
      </c>
      <c r="BJ982" s="20">
        <f t="shared" si="120"/>
        <v>0</v>
      </c>
      <c r="BK982" s="282">
        <f>IFERROR(SUM(DATA[[#This Row],[fs_fd_ttd]:[fend_fenf_ttd]]),0)</f>
        <v>6</v>
      </c>
      <c r="BL982" s="20" t="str">
        <f>IF(DATA[[#This Row],[fecha_fs]]&gt;0,TEXT(DATA[[#This Row],[fecha_fs]],"YYYY"),0)</f>
        <v>2025</v>
      </c>
      <c r="BM982" s="236" t="b">
        <v>1</v>
      </c>
      <c r="BN982" s="278">
        <f>COUNTIF(DATA[[#This Row],[tiempo_td]], "&lt;=15")</f>
        <v>1</v>
      </c>
      <c r="BO982" s="239"/>
    </row>
    <row r="983" spans="1:67" ht="30.6" customHeight="1" x14ac:dyDescent="0.25">
      <c r="A983" s="4">
        <v>20100226902</v>
      </c>
      <c r="B983" s="5" t="s">
        <v>24</v>
      </c>
      <c r="C983" s="52" t="s">
        <v>18</v>
      </c>
      <c r="D983" s="4" t="s">
        <v>120</v>
      </c>
      <c r="E983" s="5" t="s">
        <v>3</v>
      </c>
      <c r="F983" s="24">
        <v>45868</v>
      </c>
      <c r="G983" s="7" t="s">
        <v>113</v>
      </c>
      <c r="H983" s="25">
        <f t="shared" si="118"/>
        <v>1</v>
      </c>
      <c r="I983" s="67">
        <v>4805</v>
      </c>
      <c r="J983" s="8" t="s">
        <v>115</v>
      </c>
      <c r="K983" s="9" t="s">
        <v>121</v>
      </c>
      <c r="L983" s="10" t="s">
        <v>117</v>
      </c>
      <c r="M983" s="11">
        <v>830</v>
      </c>
      <c r="N983" s="12" t="s">
        <v>187</v>
      </c>
      <c r="O983" s="40"/>
      <c r="P983" s="41" t="s">
        <v>114</v>
      </c>
      <c r="Q983" s="42"/>
      <c r="R983" s="43"/>
      <c r="S983" s="43"/>
      <c r="T983" s="43">
        <f>DATA[[#This Row],[C. DF]]+DATA[[#This Row],[C.OPE.]]</f>
        <v>0</v>
      </c>
      <c r="U983" s="43">
        <f>DATA[[#This Row],[SUB TOTAL]]*0.18</f>
        <v>0</v>
      </c>
      <c r="V983" s="43">
        <f>IFERROR(ROUND(DATA[[#This Row],[SUB TOTAL]]+DATA[[#This Row],[IGV]],2),0)</f>
        <v>0</v>
      </c>
      <c r="W983" s="16" t="str">
        <f>IF(DATA[[#This Row],[VALORIZACIÓN ]]="-","NO CORRESPONDE",IF(OR(A983=20558226979,A983=10470707866,A983=20111157058,A983=20100226902),"NO CORRESPONDE",IF(J983="Emitida",IF(P983&gt;0,"EMITIDA","PENDIENTE"),"NO CORRESPONDE")))</f>
        <v>NO CORRESPONDE</v>
      </c>
      <c r="X983" s="45"/>
      <c r="Y983" s="17" t="s">
        <v>128</v>
      </c>
      <c r="Z983" s="46"/>
      <c r="AA983" s="47"/>
      <c r="AB983" s="48"/>
      <c r="AC983" s="49"/>
      <c r="AD983" s="50">
        <f>DATA[[#This Row],[FECHA DE EMISION]]+DATA[[#This Row],[CONDICION DE PAGO]]</f>
        <v>0</v>
      </c>
      <c r="AE983" s="23">
        <f>IF(DATA[[#This Row],[MONEDA]]="USD",VLOOKUP(DATA[[#This Row],[COMBINADA]],#REF!,11,0),1)</f>
        <v>1</v>
      </c>
      <c r="AF983" s="129" t="str">
        <f>IF(DATA[[#This Row],[SERIE2]]="-","NO CORRESPONDE",IF(W983="NO CORRESPONDE","NO CORRESPONDE",IF(Z983&gt;0,"FACTURADO","PENDIENTE")))</f>
        <v>NO CORRESPONDE</v>
      </c>
      <c r="AG983" s="140">
        <f>IFERROR(VLOOKUP(DATA[[#This Row],[COMBINADA]],#REF!,6,0),0)</f>
        <v>0</v>
      </c>
      <c r="AH983" s="126">
        <f>IFERROR(VLOOKUP(DATA[[#This Row],[COMBINADA]],#REF!,9,0),0)/COUNTIFS(DATA[COMBINADA],DATA[[#This Row],[COMBINADA]])</f>
        <v>0</v>
      </c>
      <c r="AI983" s="140">
        <f>IFERROR(VLOOKUP(DATA[[#This Row],[COMBINADA]],#REF!,6,0),0)</f>
        <v>0</v>
      </c>
      <c r="AJ983" s="126">
        <f>IFERROR(VLOOKUP(DATA[[#This Row],[COMBINADA]],#REF!,9,0),0)/COUNTIFS(DATA[COMBINADA],DATA[[#This Row],[COMBINADA]])</f>
        <v>0</v>
      </c>
      <c r="AK983" s="61">
        <f>IFERROR(VLOOKUP(DATA[[#This Row],[COMBINADA]],#REF!,6,0),0)</f>
        <v>0</v>
      </c>
      <c r="AL983" s="126">
        <f>IFERROR(VLOOKUP(DATA[[#This Row],[COMBINADA]],#REF!,9,0),0)/COUNTIFS(DATA[COMBINADA],DATA[[#This Row],[COMBINADA]])</f>
        <v>0</v>
      </c>
      <c r="AM983" s="287">
        <f>IFERROR(VLOOKUP(DATA[[#This Row],[COMBINADA]],#REF!,6,0),0)</f>
        <v>0</v>
      </c>
      <c r="AN983" s="126">
        <f>IFERROR(VLOOKUP(DATA[[#This Row],[COMBINADA]],#REF!,9,0),0)/COUNTIFS(DATA[COMBINADA],DATA[[#This Row],[COMBINADA]])</f>
        <v>0</v>
      </c>
      <c r="AO983" s="60">
        <f>IFERROR(VLOOKUP(DATA[[#This Row],[COMBINADA]],#REF!,6,0),0)</f>
        <v>0</v>
      </c>
      <c r="AP983" s="126">
        <f>IFERROR(VLOOKUP(DATA[[#This Row],[COMBINADA]],#REF!,9,0),0)/COUNTIFS(DATA[COMBINADA],DATA[[#This Row],[COMBINADA]])</f>
        <v>0</v>
      </c>
      <c r="AQ983"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983" s="22" t="str">
        <f>IFERROR(IF(DATA[[#This Row],[estado_fact]]="FACTURADO",VLOOKUP(DATA[[#This Row],[SERIE2]]&amp;"-"&amp;DATA[[#This Row],[NUMERO]],#REF!,34,0),"NO CORRESPONDE"),"NO CORRESPONDE")</f>
        <v>NO CORRESPONDE</v>
      </c>
      <c r="AS983" s="72" t="str">
        <f>IF(DATA[[#This Row],[fecha_fs]]&gt;0,TEXT(DATA[[#This Row],[fecha_fs]],"Mmmm"),0)</f>
        <v>Julio</v>
      </c>
      <c r="AT983" s="22" t="str">
        <f>DATA[[#This Row],[SERIE2]]&amp;"-"&amp;DATA[[#This Row],[NUMERO]]</f>
        <v>-</v>
      </c>
      <c r="AU983" s="28">
        <f>DATA[[#This Row],[TOTAL]]*DATA[[#This Row],[T.C.]]</f>
        <v>0</v>
      </c>
      <c r="AV983" s="6">
        <f>DATA[[#This Row],[FECHA DE VAL.]]</f>
        <v>0</v>
      </c>
      <c r="AW983" s="6">
        <f>DATA[[#This Row],[FECHA DE EMISION]]</f>
        <v>0</v>
      </c>
      <c r="AX983" s="6">
        <f>DATA[[#This Row],[F1]]</f>
        <v>0</v>
      </c>
      <c r="AY983" s="20">
        <f>IF(AV983-DATA[[#This Row],[fecha_fs]]&lt;0,0,AV983-DATA[[#This Row],[fecha_fs]])</f>
        <v>0</v>
      </c>
      <c r="AZ983" s="20">
        <f t="shared" si="119"/>
        <v>0</v>
      </c>
      <c r="BA983" s="53">
        <f t="shared" si="119"/>
        <v>0</v>
      </c>
      <c r="BB983" s="195">
        <f>IFERROR(SUM(DATA[[#This Row],[fs_val_ttf]:[fact_pago_ttf]]),0)</f>
        <v>0</v>
      </c>
      <c r="BC983" s="233">
        <v>45868</v>
      </c>
      <c r="BD983" s="233">
        <v>45868</v>
      </c>
      <c r="BE983" s="185">
        <v>45880</v>
      </c>
      <c r="BF983" s="185">
        <v>45880</v>
      </c>
      <c r="BG983" s="20">
        <f>IFERROR(IF(BC983-DATA[[#This Row],[fecha_fs]]&lt;0,0,BC983-DATA[[#This Row],[fecha_fs]]),0)</f>
        <v>0</v>
      </c>
      <c r="BH983" s="20">
        <f t="shared" si="120"/>
        <v>0</v>
      </c>
      <c r="BI983" s="20">
        <f t="shared" si="120"/>
        <v>12</v>
      </c>
      <c r="BJ983" s="20">
        <f t="shared" si="120"/>
        <v>0</v>
      </c>
      <c r="BK983" s="282">
        <f>IFERROR(SUM(DATA[[#This Row],[fs_fd_ttd]:[fend_fenf_ttd]]),0)</f>
        <v>12</v>
      </c>
      <c r="BL983" s="20" t="str">
        <f>IF(DATA[[#This Row],[fecha_fs]]&gt;0,TEXT(DATA[[#This Row],[fecha_fs]],"YYYY"),0)</f>
        <v>2025</v>
      </c>
      <c r="BM983" s="236" t="b">
        <v>1</v>
      </c>
      <c r="BN983" s="278">
        <f>COUNTIF(DATA[[#This Row],[tiempo_td]], "&lt;=15")</f>
        <v>1</v>
      </c>
      <c r="BO983" s="239"/>
    </row>
    <row r="984" spans="1:67" ht="30.6" customHeight="1" x14ac:dyDescent="0.25">
      <c r="A984" s="240">
        <v>20100192064</v>
      </c>
      <c r="B984" s="5" t="s">
        <v>60</v>
      </c>
      <c r="C984" s="52" t="s">
        <v>43</v>
      </c>
      <c r="D984" s="4" t="s">
        <v>189</v>
      </c>
      <c r="E984" s="5" t="s">
        <v>62</v>
      </c>
      <c r="F984" s="24">
        <v>45863</v>
      </c>
      <c r="G984" s="7" t="s">
        <v>113</v>
      </c>
      <c r="H984" s="25">
        <f t="shared" si="118"/>
        <v>1</v>
      </c>
      <c r="I984" s="67">
        <v>4806</v>
      </c>
      <c r="J984" s="8" t="s">
        <v>115</v>
      </c>
      <c r="K984" s="9" t="s">
        <v>190</v>
      </c>
      <c r="L984" s="10" t="s">
        <v>117</v>
      </c>
      <c r="M984" s="11">
        <v>32400</v>
      </c>
      <c r="N984" s="12" t="s">
        <v>114</v>
      </c>
      <c r="O984" s="6">
        <v>45863</v>
      </c>
      <c r="P984" s="71">
        <v>3561</v>
      </c>
      <c r="Q984" s="14" t="s">
        <v>123</v>
      </c>
      <c r="R984" s="74"/>
      <c r="S984" s="15">
        <f>(DATA[[#This Row],[cantidad_fs]]/1000)*17</f>
        <v>550.79999999999995</v>
      </c>
      <c r="T984" s="237">
        <f>DATA[[#This Row],[C. DF]]+DATA[[#This Row],[C.OPE.]]</f>
        <v>550.79999999999995</v>
      </c>
      <c r="U984" s="15">
        <f>DATA[[#This Row],[SUB TOTAL]]*0.18</f>
        <v>99.143999999999991</v>
      </c>
      <c r="V984" s="15">
        <f>IFERROR(ROUND(DATA[[#This Row],[SUB TOTAL]]+DATA[[#This Row],[IGV]],2),0)</f>
        <v>649.94000000000005</v>
      </c>
      <c r="W984" s="16" t="str">
        <f>IF(DATA[[#This Row],[VALORIZACIÓN ]]="-","NO CORRESPONDE",IF(OR(A984=20558226979,A984=10470707866,A984=20111157058,A984=20100226902),"NO CORRESPONDE",IF(J984="Emitida",IF(P984&gt;0,"EMITIDA","PENDIENTE"),"NO CORRESPONDE")))</f>
        <v>EMITIDA</v>
      </c>
      <c r="X984" s="29"/>
      <c r="Y984" s="17" t="s">
        <v>118</v>
      </c>
      <c r="Z984" s="30">
        <v>45869</v>
      </c>
      <c r="AA984" s="10" t="s">
        <v>150</v>
      </c>
      <c r="AB984" s="19">
        <v>189</v>
      </c>
      <c r="AC984" s="20">
        <v>30</v>
      </c>
      <c r="AD984" s="18">
        <f>DATA[[#This Row],[FECHA DE EMISION]]+DATA[[#This Row],[CONDICION DE PAGO]]</f>
        <v>45899</v>
      </c>
      <c r="AE984" s="23" t="e">
        <f>IF(DATA[[#This Row],[MONEDA]]="USD",VLOOKUP(DATA[[#This Row],[COMBINADA]],#REF!,11,0),1)</f>
        <v>#REF!</v>
      </c>
      <c r="AF984" s="129" t="str">
        <f>IF(DATA[[#This Row],[SERIE2]]="-","NO CORRESPONDE",IF(W984="NO CORRESPONDE","NO CORRESPONDE",IF(Z984&gt;0,"FACTURADO","PENDIENTE")))</f>
        <v>FACTURADO</v>
      </c>
      <c r="AG984" s="133">
        <f>IFERROR(VLOOKUP(DATA[[#This Row],[COMBINADA]],#REF!,6,0),0)</f>
        <v>0</v>
      </c>
      <c r="AH984" s="125">
        <f>IFERROR(VLOOKUP(DATA[[#This Row],[COMBINADA]],#REF!,9,0),0)/COUNTIFS(DATA[COMBINADA],DATA[[#This Row],[COMBINADA]])</f>
        <v>0</v>
      </c>
      <c r="AI984" s="146">
        <f>IFERROR(VLOOKUP(DATA[[#This Row],[COMBINADA]],#REF!,6,0),0)</f>
        <v>0</v>
      </c>
      <c r="AJ984" s="145">
        <f>IFERROR(VLOOKUP(DATA[[#This Row],[COMBINADA]],#REF!,9,0),0)/COUNTIFS(DATA[COMBINADA],DATA[[#This Row],[COMBINADA]])</f>
        <v>0</v>
      </c>
      <c r="AK984" s="411">
        <f>IFERROR(VLOOKUP(DATA[[#This Row],[COMBINADA]],#REF!,6,0),0)</f>
        <v>0</v>
      </c>
      <c r="AL984" s="125">
        <f>IFERROR(VLOOKUP(DATA[[#This Row],[COMBINADA]],#REF!,9,0),0)/COUNTIFS(DATA[COMBINADA],DATA[[#This Row],[COMBINADA]])</f>
        <v>0</v>
      </c>
      <c r="AM984" s="61">
        <f>IFERROR(VLOOKUP(DATA[[#This Row],[COMBINADA]],#REF!,6,0),0)</f>
        <v>0</v>
      </c>
      <c r="AN984" s="126">
        <f>IFERROR(VLOOKUP(DATA[[#This Row],[COMBINADA]],#REF!,9,0),0)/COUNTIFS(DATA[COMBINADA],DATA[[#This Row],[COMBINADA]])</f>
        <v>0</v>
      </c>
      <c r="AO984" s="147">
        <f>IFERROR(VLOOKUP(DATA[[#This Row],[COMBINADA]],#REF!,6,0),0)</f>
        <v>0</v>
      </c>
      <c r="AP984" s="145">
        <f>IFERROR(VLOOKUP(DATA[[#This Row],[COMBINADA]],#REF!,9,0),0)/COUNTIFS(DATA[COMBINADA],DATA[[#This Row],[COMBINADA]])</f>
        <v>0</v>
      </c>
      <c r="AQ984" s="117">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799.26461538461524</v>
      </c>
      <c r="AR984" s="118" t="str">
        <f>IFERROR(IF(DATA[[#This Row],[estado_fact]]="FACTURADO",VLOOKUP(DATA[[#This Row],[SERIE2]]&amp;"-"&amp;DATA[[#This Row],[NUMERO]],#REF!,34,0),"NO CORRESPONDE"),"NO CORRESPONDE")</f>
        <v>NO CORRESPONDE</v>
      </c>
      <c r="AS984" s="72" t="str">
        <f>IF(DATA[[#This Row],[fecha_fs]]&gt;0,TEXT(DATA[[#This Row],[fecha_fs]],"Mmmm"),0)</f>
        <v>Julio</v>
      </c>
      <c r="AT984" s="22" t="str">
        <f>DATA[[#This Row],[SERIE2]]&amp;"-"&amp;DATA[[#This Row],[NUMERO]]</f>
        <v>FF01-189</v>
      </c>
      <c r="AU984" s="28" t="e">
        <f>DATA[[#This Row],[TOTAL]]*DATA[[#This Row],[T.C.]]</f>
        <v>#REF!</v>
      </c>
      <c r="AV984" s="6">
        <f>DATA[[#This Row],[FECHA DE VAL.]]</f>
        <v>45863</v>
      </c>
      <c r="AW984" s="6">
        <f>DATA[[#This Row],[FECHA DE EMISION]]</f>
        <v>45869</v>
      </c>
      <c r="AX984" s="6">
        <f>DATA[[#This Row],[F1]]</f>
        <v>0</v>
      </c>
      <c r="AY984" s="20">
        <f>IF(AV984-DATA[[#This Row],[fecha_fs]]&lt;0,0,AV984-DATA[[#This Row],[fecha_fs]])</f>
        <v>0</v>
      </c>
      <c r="AZ984" s="20">
        <f t="shared" si="119"/>
        <v>6</v>
      </c>
      <c r="BA984" s="53">
        <f t="shared" si="119"/>
        <v>0</v>
      </c>
      <c r="BB984" s="195">
        <f>IFERROR(SUM(DATA[[#This Row],[fs_val_ttf]:[fact_pago_ttf]]),0)</f>
        <v>6</v>
      </c>
      <c r="BC984" s="185" t="s">
        <v>292</v>
      </c>
      <c r="BD984" s="185" t="s">
        <v>292</v>
      </c>
      <c r="BE984" s="185" t="s">
        <v>292</v>
      </c>
      <c r="BF984" s="185" t="s">
        <v>292</v>
      </c>
      <c r="BG984" s="20">
        <f>IFERROR(IF(BC984-DATA[[#This Row],[fecha_fs]]&lt;0,0,BC984-DATA[[#This Row],[fecha_fs]]),0)</f>
        <v>0</v>
      </c>
      <c r="BH984" s="20">
        <f t="shared" si="120"/>
        <v>0</v>
      </c>
      <c r="BI984" s="20">
        <f t="shared" si="120"/>
        <v>0</v>
      </c>
      <c r="BJ984" s="20">
        <f t="shared" si="120"/>
        <v>0</v>
      </c>
      <c r="BK984" s="282">
        <f>IFERROR(SUM(DATA[[#This Row],[fs_fd_ttd]:[fend_fenf_ttd]]),0)</f>
        <v>0</v>
      </c>
      <c r="BL984" s="20" t="str">
        <f>IF(DATA[[#This Row],[fecha_fs]]&gt;0,TEXT(DATA[[#This Row],[fecha_fs]],"YYYY"),0)</f>
        <v>2025</v>
      </c>
      <c r="BM984" s="236" t="b">
        <v>1</v>
      </c>
      <c r="BN984" s="278">
        <f>COUNTIF(DATA[[#This Row],[tiempo_td]], "&lt;=15")</f>
        <v>1</v>
      </c>
      <c r="BO984" s="239"/>
    </row>
    <row r="985" spans="1:67" ht="30.6" customHeight="1" x14ac:dyDescent="0.25">
      <c r="A985" s="240">
        <v>20100192064</v>
      </c>
      <c r="B985" s="5" t="s">
        <v>60</v>
      </c>
      <c r="C985" s="52" t="s">
        <v>43</v>
      </c>
      <c r="D985" s="4" t="s">
        <v>112</v>
      </c>
      <c r="E985" s="5" t="s">
        <v>1</v>
      </c>
      <c r="F985" s="24">
        <v>45870</v>
      </c>
      <c r="G985" s="7" t="s">
        <v>113</v>
      </c>
      <c r="H985" s="25">
        <f t="shared" si="118"/>
        <v>1</v>
      </c>
      <c r="I985" s="67">
        <v>4807</v>
      </c>
      <c r="J985" s="8" t="s">
        <v>115</v>
      </c>
      <c r="K985" s="9" t="s">
        <v>116</v>
      </c>
      <c r="L985" s="10" t="s">
        <v>117</v>
      </c>
      <c r="M985" s="11">
        <v>1020</v>
      </c>
      <c r="N985" s="12" t="s">
        <v>167</v>
      </c>
      <c r="O985" s="6">
        <v>45894</v>
      </c>
      <c r="P985" s="71">
        <v>3611</v>
      </c>
      <c r="Q985" s="14" t="s">
        <v>123</v>
      </c>
      <c r="R985" s="15">
        <f>(DATA[[#This Row],[cantidad_fs]]/1000)*(143+175.34)</f>
        <v>324.70680000000004</v>
      </c>
      <c r="S985" s="15">
        <v>137</v>
      </c>
      <c r="T985" s="237">
        <f>DATA[[#This Row],[C. DF]]+DATA[[#This Row],[C.OPE.]]</f>
        <v>461.70680000000004</v>
      </c>
      <c r="U985" s="15">
        <f>DATA[[#This Row],[SUB TOTAL]]*0.18</f>
        <v>83.107224000000002</v>
      </c>
      <c r="V985" s="15">
        <f>IFERROR(ROUND(DATA[[#This Row],[SUB TOTAL]]+DATA[[#This Row],[IGV]],2),0)</f>
        <v>544.80999999999995</v>
      </c>
      <c r="W985" s="16" t="str">
        <f>IF(DATA[[#This Row],[VALORIZACIÓN ]]="-","NO CORRESPONDE",IF(OR(A985=20558226979,A985=10470707866,A985=20111157058,A985=20100226902),"NO CORRESPONDE",IF(J985="Emitida",IF(P985&gt;0,"EMITIDA","PENDIENTE"),"NO CORRESPONDE")))</f>
        <v>EMITIDA</v>
      </c>
      <c r="X985" s="29" t="s">
        <v>322</v>
      </c>
      <c r="Y985" s="17" t="s">
        <v>118</v>
      </c>
      <c r="Z985" s="277">
        <v>45898</v>
      </c>
      <c r="AA985" s="20" t="s">
        <v>150</v>
      </c>
      <c r="AB985" s="19">
        <v>229</v>
      </c>
      <c r="AC985" s="20">
        <v>30</v>
      </c>
      <c r="AD985" s="18">
        <f>DATA[[#This Row],[FECHA DE EMISION]]+DATA[[#This Row],[CONDICION DE PAGO]]</f>
        <v>45928</v>
      </c>
      <c r="AE985" s="23" t="e">
        <f>IF(DATA[[#This Row],[MONEDA]]="USD",VLOOKUP(DATA[[#This Row],[COMBINADA]],#REF!,11,0),1)</f>
        <v>#REF!</v>
      </c>
      <c r="AF985" s="39" t="str">
        <f>IF(DATA[[#This Row],[SERIE2]]="-","NO CORRESPONDE",IF(W985="NO CORRESPONDE","NO CORRESPONDE",IF(Z985&gt;0,"FACTURADO","PENDIENTE")))</f>
        <v>FACTURADO</v>
      </c>
      <c r="AG985" s="133">
        <f>IFERROR(VLOOKUP(DATA[[#This Row],[COMBINADA]],#REF!,6,0),0)</f>
        <v>0</v>
      </c>
      <c r="AH985" s="125">
        <f>IFERROR(VLOOKUP(DATA[[#This Row],[COMBINADA]],#REF!,9,0),0)/COUNTIFS(DATA[COMBINADA],DATA[[#This Row],[COMBINADA]])</f>
        <v>0</v>
      </c>
      <c r="AI985" s="146">
        <f>IFERROR(VLOOKUP(DATA[[#This Row],[COMBINADA]],#REF!,6,0),0)</f>
        <v>0</v>
      </c>
      <c r="AJ985" s="145">
        <f>IFERROR(VLOOKUP(DATA[[#This Row],[COMBINADA]],#REF!,9,0),0)/COUNTIFS(DATA[COMBINADA],DATA[[#This Row],[COMBINADA]])</f>
        <v>0</v>
      </c>
      <c r="AK985" s="411">
        <f>IFERROR(VLOOKUP(DATA[[#This Row],[COMBINADA]],#REF!,6,0),0)</f>
        <v>0</v>
      </c>
      <c r="AL985" s="125">
        <f>IFERROR(VLOOKUP(DATA[[#This Row],[COMBINADA]],#REF!,9,0),0)/COUNTIFS(DATA[COMBINADA],DATA[[#This Row],[COMBINADA]])</f>
        <v>0</v>
      </c>
      <c r="AM985" s="61">
        <f>IFERROR(VLOOKUP(DATA[[#This Row],[COMBINADA]],#REF!,6,0),0)</f>
        <v>0</v>
      </c>
      <c r="AN985" s="126">
        <f>IFERROR(VLOOKUP(DATA[[#This Row],[COMBINADA]],#REF!,9,0),0)/COUNTIFS(DATA[COMBINADA],DATA[[#This Row],[COMBINADA]])</f>
        <v>0</v>
      </c>
      <c r="AO985" s="147">
        <f>IFERROR(VLOOKUP(DATA[[#This Row],[COMBINADA]],#REF!,6,0),0)</f>
        <v>0</v>
      </c>
      <c r="AP985" s="145">
        <f>IFERROR(VLOOKUP(DATA[[#This Row],[COMBINADA]],#REF!,9,0),0)/COUNTIFS(DATA[COMBINADA],DATA[[#This Row],[COMBINADA]])</f>
        <v>0</v>
      </c>
      <c r="AQ985" s="117">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587.06100000000004</v>
      </c>
      <c r="AR985" s="118" t="str">
        <f>IFERROR(IF(DATA[[#This Row],[estado_fact]]="FACTURADO",VLOOKUP(DATA[[#This Row],[SERIE2]]&amp;"-"&amp;DATA[[#This Row],[NUMERO]],#REF!,34,0),"NO CORRESPONDE"),"NO CORRESPONDE")</f>
        <v>NO CORRESPONDE</v>
      </c>
      <c r="AS985" s="72" t="str">
        <f>IF(DATA[[#This Row],[fecha_fs]]&gt;0,TEXT(DATA[[#This Row],[fecha_fs]],"Mmmm"),0)</f>
        <v>Agosto</v>
      </c>
      <c r="AT985" s="22" t="str">
        <f>DATA[[#This Row],[SERIE2]]&amp;"-"&amp;DATA[[#This Row],[NUMERO]]</f>
        <v>FF01-229</v>
      </c>
      <c r="AU985" s="28" t="e">
        <f>DATA[[#This Row],[TOTAL]]*DATA[[#This Row],[T.C.]]</f>
        <v>#REF!</v>
      </c>
      <c r="AV985" s="6">
        <f>DATA[[#This Row],[FECHA DE VAL.]]</f>
        <v>45894</v>
      </c>
      <c r="AW985" s="6">
        <f>DATA[[#This Row],[FECHA DE EMISION]]</f>
        <v>45898</v>
      </c>
      <c r="AX985" s="6">
        <f>DATA[[#This Row],[F1]]</f>
        <v>0</v>
      </c>
      <c r="AY985" s="20">
        <f>IF(AV985-DATA[[#This Row],[fecha_fs]]&lt;0,0,AV985-DATA[[#This Row],[fecha_fs]])</f>
        <v>24</v>
      </c>
      <c r="AZ985" s="20">
        <f t="shared" si="119"/>
        <v>4</v>
      </c>
      <c r="BA985" s="53">
        <f t="shared" si="119"/>
        <v>0</v>
      </c>
      <c r="BB985" s="195">
        <f>IFERROR(SUM(DATA[[#This Row],[fs_val_ttf]:[fact_pago_ttf]]),0)</f>
        <v>28</v>
      </c>
      <c r="BC985" s="233">
        <v>45876</v>
      </c>
      <c r="BD985" s="233">
        <v>45887</v>
      </c>
      <c r="BE985" s="233">
        <v>45901</v>
      </c>
      <c r="BF985" s="233">
        <v>45909</v>
      </c>
      <c r="BG985" s="20">
        <f>IFERROR(IF(BC985-DATA[[#This Row],[fecha_fs]]&lt;0,0,BC985-DATA[[#This Row],[fecha_fs]]),0)</f>
        <v>6</v>
      </c>
      <c r="BH985" s="20">
        <f t="shared" si="120"/>
        <v>11</v>
      </c>
      <c r="BI985" s="20">
        <f t="shared" si="120"/>
        <v>14</v>
      </c>
      <c r="BJ985" s="20">
        <f t="shared" si="120"/>
        <v>8</v>
      </c>
      <c r="BK985" s="282">
        <f>IFERROR(SUM(DATA[[#This Row],[fs_fd_ttd]:[fend_fenf_ttd]]),0)</f>
        <v>39</v>
      </c>
      <c r="BL985" s="20" t="str">
        <f>IF(DATA[[#This Row],[fecha_fs]]&gt;0,TEXT(DATA[[#This Row],[fecha_fs]],"YYYY"),0)</f>
        <v>2025</v>
      </c>
      <c r="BM985" s="236" t="b">
        <v>1</v>
      </c>
      <c r="BN985" s="278">
        <f>COUNTIF(DATA[[#This Row],[tiempo_td]], "&lt;=15")</f>
        <v>0</v>
      </c>
      <c r="BO985" s="239"/>
    </row>
    <row r="986" spans="1:67" ht="30.6" customHeight="1" x14ac:dyDescent="0.25">
      <c r="A986" s="4">
        <v>20552714378</v>
      </c>
      <c r="B986" s="5" t="s">
        <v>288</v>
      </c>
      <c r="C986" s="52" t="s">
        <v>264</v>
      </c>
      <c r="D986" s="4" t="s">
        <v>112</v>
      </c>
      <c r="E986" s="5" t="s">
        <v>1</v>
      </c>
      <c r="F986" s="24">
        <v>45868</v>
      </c>
      <c r="G986" s="7" t="s">
        <v>113</v>
      </c>
      <c r="H986" s="25">
        <f t="shared" si="112"/>
        <v>1</v>
      </c>
      <c r="I986" s="67">
        <v>4808</v>
      </c>
      <c r="J986" s="8" t="s">
        <v>115</v>
      </c>
      <c r="K986" s="9" t="s">
        <v>116</v>
      </c>
      <c r="L986" s="10" t="s">
        <v>117</v>
      </c>
      <c r="M986" s="11">
        <v>70</v>
      </c>
      <c r="N986" s="12" t="s">
        <v>165</v>
      </c>
      <c r="O986" s="6">
        <v>45863</v>
      </c>
      <c r="P986" s="109">
        <v>3623</v>
      </c>
      <c r="Q986" s="14" t="s">
        <v>85</v>
      </c>
      <c r="R986" s="15">
        <f>DATA[[#This Row],[cantidad_fs]]*0.45</f>
        <v>31.5</v>
      </c>
      <c r="S986" s="237">
        <v>2319.6999999999998</v>
      </c>
      <c r="T986" s="237">
        <f>DATA[[#This Row],[C. DF]]+DATA[[#This Row],[C.OPE.]]</f>
        <v>2351.1999999999998</v>
      </c>
      <c r="U986" s="15">
        <f>DATA[[#This Row],[SUB TOTAL]]*0.18</f>
        <v>423.21599999999995</v>
      </c>
      <c r="V986" s="15">
        <f>IFERROR(ROUND(DATA[[#This Row],[SUB TOTAL]]+DATA[[#This Row],[IGV]],2),0)</f>
        <v>2774.42</v>
      </c>
      <c r="W986" s="16" t="str">
        <f>IF(DATA[[#This Row],[VALORIZACIÓN ]]="-","NO CORRESPONDE",IF(OR(A986=20558226979,A986=10470707866,A986=20111157058,A986=20100226902),"NO CORRESPONDE",IF(J986="Emitida",IF(P986&gt;0,"EMITIDA","PENDIENTE"),"NO CORRESPONDE")))</f>
        <v>EMITIDA</v>
      </c>
      <c r="X986" s="29" t="s">
        <v>324</v>
      </c>
      <c r="Y986" s="17" t="s">
        <v>118</v>
      </c>
      <c r="Z986" s="30">
        <v>45912</v>
      </c>
      <c r="AA986" s="10" t="s">
        <v>150</v>
      </c>
      <c r="AB986" s="19">
        <v>254</v>
      </c>
      <c r="AC986" s="20">
        <v>60</v>
      </c>
      <c r="AD986" s="18">
        <f>DATA[[#This Row],[FECHA DE EMISION]]+DATA[[#This Row],[CONDICION DE PAGO]]</f>
        <v>45972</v>
      </c>
      <c r="AE986" s="23">
        <f>IF(DATA[[#This Row],[MONEDA]]="USD",VLOOKUP(DATA[[#This Row],[COMBINADA]],#REF!,11,0),1)</f>
        <v>1</v>
      </c>
      <c r="AF986" s="129" t="str">
        <f>IF(DATA[[#This Row],[SERIE2]]="-","NO CORRESPONDE",IF(W986="NO CORRESPONDE","NO CORRESPONDE",IF(Z986&gt;0,"FACTURADO","PENDIENTE")))</f>
        <v>FACTURADO</v>
      </c>
      <c r="AG986" s="133">
        <f>IFERROR(VLOOKUP(DATA[[#This Row],[COMBINADA]],#REF!,6,0),0)</f>
        <v>0</v>
      </c>
      <c r="AH986" s="125">
        <f>IFERROR(VLOOKUP(DATA[[#This Row],[COMBINADA]],#REF!,9,0),0)/COUNTIFS(DATA[COMBINADA],DATA[[#This Row],[COMBINADA]])</f>
        <v>0</v>
      </c>
      <c r="AI986" s="136">
        <f>IFERROR(VLOOKUP(DATA[[#This Row],[COMBINADA]],#REF!,6,0),0)</f>
        <v>0</v>
      </c>
      <c r="AJ986" s="132">
        <f>IFERROR(VLOOKUP(DATA[[#This Row],[COMBINADA]],#REF!,9,0),0)/COUNTIFS(DATA[COMBINADA],DATA[[#This Row],[COMBINADA]])</f>
        <v>0</v>
      </c>
      <c r="AK986" s="408">
        <f>IFERROR(VLOOKUP(DATA[[#This Row],[COMBINADA]],#REF!,6,0),0)</f>
        <v>0</v>
      </c>
      <c r="AL986" s="125">
        <f>IFERROR(VLOOKUP(DATA[[#This Row],[COMBINADA]],#REF!,9,0),0)/COUNTIFS(DATA[COMBINADA],DATA[[#This Row],[COMBINADA]])</f>
        <v>0</v>
      </c>
      <c r="AM986" s="288">
        <f>IFERROR(VLOOKUP(DATA[[#This Row],[COMBINADA]],#REF!,6,0),0)</f>
        <v>0</v>
      </c>
      <c r="AN986" s="125">
        <f>IFERROR(VLOOKUP(DATA[[#This Row],[COMBINADA]],#REF!,9,0),0)/COUNTIFS(DATA[COMBINADA],DATA[[#This Row],[COMBINADA]])</f>
        <v>0</v>
      </c>
      <c r="AO986" s="147">
        <f>IFERROR(VLOOKUP(DATA[[#This Row],[COMBINADA]],#REF!,6,0),0)</f>
        <v>0</v>
      </c>
      <c r="AP986" s="132">
        <f>IFERROR(VLOOKUP(DATA[[#This Row],[COMBINADA]],#REF!,9,0),0)/COUNTIFS(DATA[COMBINADA],DATA[[#This Row],[COMBINADA]])</f>
        <v>0</v>
      </c>
      <c r="AQ98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3034.61</v>
      </c>
      <c r="AR986" s="26" t="str">
        <f>IFERROR(IF(DATA[[#This Row],[estado_fact]]="FACTURADO",VLOOKUP(DATA[[#This Row],[SERIE2]]&amp;"-"&amp;DATA[[#This Row],[NUMERO]],#REF!,34,0),"NO CORRESPONDE"),"NO CORRESPONDE")</f>
        <v>NO CORRESPONDE</v>
      </c>
      <c r="AS986" s="22" t="str">
        <f>IF(DATA[[#This Row],[fecha_fs]]&gt;0,TEXT(DATA[[#This Row],[fecha_fs]],"Mmmm"),0)</f>
        <v>Julio</v>
      </c>
      <c r="AT986" s="22" t="str">
        <f>DATA[[#This Row],[SERIE2]]&amp;"-"&amp;DATA[[#This Row],[NUMERO]]</f>
        <v>FF01-254</v>
      </c>
      <c r="AU986" s="28">
        <f>DATA[[#This Row],[TOTAL]]*DATA[[#This Row],[T.C.]]</f>
        <v>2774.42</v>
      </c>
      <c r="AV986" s="6">
        <f>DATA[[#This Row],[FECHA DE VAL.]]</f>
        <v>45863</v>
      </c>
      <c r="AW986" s="6">
        <f>DATA[[#This Row],[FECHA DE EMISION]]</f>
        <v>45912</v>
      </c>
      <c r="AX986" s="6">
        <f>DATA[[#This Row],[F1]]</f>
        <v>0</v>
      </c>
      <c r="AY986" s="20">
        <f>IF(AV986-DATA[[#This Row],[fecha_fs]]&lt;0,0,AV986-DATA[[#This Row],[fecha_fs]])</f>
        <v>0</v>
      </c>
      <c r="AZ986" s="20">
        <f t="shared" si="113"/>
        <v>49</v>
      </c>
      <c r="BA986" s="53">
        <f t="shared" si="114"/>
        <v>0</v>
      </c>
      <c r="BB986" s="195">
        <f>IFERROR(SUM(DATA[[#This Row],[fs_val_ttf]:[fact_pago_ttf]]),0)</f>
        <v>49</v>
      </c>
      <c r="BC986" s="185">
        <v>45894</v>
      </c>
      <c r="BD986" s="185">
        <v>45903</v>
      </c>
      <c r="BE986" s="185">
        <v>45909</v>
      </c>
      <c r="BF986" s="185">
        <v>45903</v>
      </c>
      <c r="BG986" s="20">
        <f>IFERROR(IF(BC986-DATA[[#This Row],[fecha_fs]]&lt;0,0,BC986-DATA[[#This Row],[fecha_fs]]),0)</f>
        <v>26</v>
      </c>
      <c r="BH986" s="20">
        <f t="shared" si="115"/>
        <v>9</v>
      </c>
      <c r="BI986" s="20">
        <f t="shared" si="116"/>
        <v>6</v>
      </c>
      <c r="BJ986" s="20">
        <f t="shared" si="117"/>
        <v>0</v>
      </c>
      <c r="BK986" s="282">
        <f>IFERROR(SUM(DATA[[#This Row],[fs_fd_ttd]:[fend_fenf_ttd]]),0)</f>
        <v>41</v>
      </c>
      <c r="BL986" s="20" t="str">
        <f>IF(DATA[[#This Row],[fecha_fs]]&gt;0,TEXT(DATA[[#This Row],[fecha_fs]],"YYYY"),0)</f>
        <v>2025</v>
      </c>
      <c r="BM986" s="236" t="b">
        <v>1</v>
      </c>
      <c r="BN986" s="278">
        <f>COUNTIF(DATA[[#This Row],[tiempo_td]], "&lt;=15")</f>
        <v>0</v>
      </c>
      <c r="BO986" s="222"/>
    </row>
    <row r="987" spans="1:67" ht="30.6" customHeight="1" x14ac:dyDescent="0.25">
      <c r="A987" s="4">
        <v>20552714378</v>
      </c>
      <c r="B987" s="5" t="s">
        <v>288</v>
      </c>
      <c r="C987" s="52" t="s">
        <v>264</v>
      </c>
      <c r="D987" s="4" t="s">
        <v>120</v>
      </c>
      <c r="E987" s="5" t="s">
        <v>3</v>
      </c>
      <c r="F987" s="24">
        <v>45868</v>
      </c>
      <c r="G987" s="7" t="s">
        <v>113</v>
      </c>
      <c r="H987" s="25">
        <f t="shared" ref="H987:H1003" si="121">IF(G987="","",IF(G987="LIM",2,1))</f>
        <v>1</v>
      </c>
      <c r="I987" s="67">
        <v>4809</v>
      </c>
      <c r="J987" s="8" t="s">
        <v>115</v>
      </c>
      <c r="K987" s="9" t="s">
        <v>121</v>
      </c>
      <c r="L987" s="10" t="s">
        <v>117</v>
      </c>
      <c r="M987" s="11">
        <v>10</v>
      </c>
      <c r="N987" s="12" t="s">
        <v>200</v>
      </c>
      <c r="O987" s="6">
        <v>45863</v>
      </c>
      <c r="P987" s="109">
        <v>3622</v>
      </c>
      <c r="Q987" s="14" t="s">
        <v>85</v>
      </c>
      <c r="R987" s="15">
        <f>80/5</f>
        <v>16</v>
      </c>
      <c r="S987" s="237">
        <v>2112.33</v>
      </c>
      <c r="T987" s="237">
        <f>DATA[[#This Row],[C. DF]]+DATA[[#This Row],[C.OPE.]]</f>
        <v>2128.33</v>
      </c>
      <c r="U987" s="15">
        <f>DATA[[#This Row],[SUB TOTAL]]*0.18</f>
        <v>383.09939999999995</v>
      </c>
      <c r="V987" s="15">
        <f>IFERROR(ROUND(DATA[[#This Row],[SUB TOTAL]]+DATA[[#This Row],[IGV]],2),0)</f>
        <v>2511.4299999999998</v>
      </c>
      <c r="W987" s="16" t="str">
        <f>IF(DATA[[#This Row],[VALORIZACIÓN ]]="-","NO CORRESPONDE",IF(OR(A987=20558226979,A987=10470707866,A987=20111157058,A987=20100226902),"NO CORRESPONDE",IF(J987="Emitida",IF(P987&gt;0,"EMITIDA","PENDIENTE"),"NO CORRESPONDE")))</f>
        <v>EMITIDA</v>
      </c>
      <c r="X987" s="29"/>
      <c r="Y987" s="17" t="s">
        <v>118</v>
      </c>
      <c r="Z987" s="30">
        <v>45912</v>
      </c>
      <c r="AA987" s="10" t="s">
        <v>150</v>
      </c>
      <c r="AB987" s="19">
        <v>253</v>
      </c>
      <c r="AC987" s="20">
        <v>60</v>
      </c>
      <c r="AD987" s="18">
        <f>DATA[[#This Row],[FECHA DE EMISION]]+DATA[[#This Row],[CONDICION DE PAGO]]</f>
        <v>45972</v>
      </c>
      <c r="AE987" s="23">
        <f>IF(DATA[[#This Row],[MONEDA]]="USD",VLOOKUP(DATA[[#This Row],[COMBINADA]],#REF!,11,0),1)</f>
        <v>1</v>
      </c>
      <c r="AF987" s="129" t="str">
        <f>IF(DATA[[#This Row],[SERIE2]]="-","NO CORRESPONDE",IF(W987="NO CORRESPONDE","NO CORRESPONDE",IF(Z987&gt;0,"FACTURADO","PENDIENTE")))</f>
        <v>FACTURADO</v>
      </c>
      <c r="AG987" s="133">
        <f>IFERROR(VLOOKUP(DATA[[#This Row],[COMBINADA]],#REF!,6,0),0)</f>
        <v>0</v>
      </c>
      <c r="AH987" s="125">
        <f>IFERROR(VLOOKUP(DATA[[#This Row],[COMBINADA]],#REF!,9,0),0)/COUNTIFS(DATA[COMBINADA],DATA[[#This Row],[COMBINADA]])</f>
        <v>0</v>
      </c>
      <c r="AI987" s="136">
        <f>IFERROR(VLOOKUP(DATA[[#This Row],[COMBINADA]],#REF!,6,0),0)</f>
        <v>0</v>
      </c>
      <c r="AJ987" s="132">
        <f>IFERROR(VLOOKUP(DATA[[#This Row],[COMBINADA]],#REF!,9,0),0)/COUNTIFS(DATA[COMBINADA],DATA[[#This Row],[COMBINADA]])</f>
        <v>0</v>
      </c>
      <c r="AK987" s="408">
        <f>IFERROR(VLOOKUP(DATA[[#This Row],[COMBINADA]],#REF!,6,0),0)</f>
        <v>0</v>
      </c>
      <c r="AL987" s="125">
        <f>IFERROR(VLOOKUP(DATA[[#This Row],[COMBINADA]],#REF!,9,0),0)/COUNTIFS(DATA[COMBINADA],DATA[[#This Row],[COMBINADA]])</f>
        <v>0</v>
      </c>
      <c r="AM987" s="147">
        <f>IFERROR(VLOOKUP(DATA[[#This Row],[COMBINADA]],#REF!,6,0),0)</f>
        <v>0</v>
      </c>
      <c r="AN987" s="125">
        <f>IFERROR(VLOOKUP(DATA[[#This Row],[COMBINADA]],#REF!,9,0),0)/COUNTIFS(DATA[COMBINADA],DATA[[#This Row],[COMBINADA]])</f>
        <v>0</v>
      </c>
      <c r="AO987" s="27">
        <f>IFERROR(VLOOKUP(DATA[[#This Row],[COMBINADA]],#REF!,6,0),0)</f>
        <v>0</v>
      </c>
      <c r="AP987" s="132">
        <f>IFERROR(VLOOKUP(DATA[[#This Row],[COMBINADA]],#REF!,9,0),0)/COUNTIFS(DATA[COMBINADA],DATA[[#This Row],[COMBINADA]])</f>
        <v>0</v>
      </c>
      <c r="AQ98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2511.4299999999998</v>
      </c>
      <c r="AR987" s="26" t="str">
        <f>IFERROR(IF(DATA[[#This Row],[estado_fact]]="FACTURADO",VLOOKUP(DATA[[#This Row],[SERIE2]]&amp;"-"&amp;DATA[[#This Row],[NUMERO]],#REF!,34,0),"NO CORRESPONDE"),"NO CORRESPONDE")</f>
        <v>NO CORRESPONDE</v>
      </c>
      <c r="AS987" s="22" t="str">
        <f>IF(DATA[[#This Row],[fecha_fs]]&gt;0,TEXT(DATA[[#This Row],[fecha_fs]],"Mmmm"),0)</f>
        <v>Julio</v>
      </c>
      <c r="AT987" s="22" t="str">
        <f>DATA[[#This Row],[SERIE2]]&amp;"-"&amp;DATA[[#This Row],[NUMERO]]</f>
        <v>FF01-253</v>
      </c>
      <c r="AU987" s="28">
        <f>DATA[[#This Row],[TOTAL]]*DATA[[#This Row],[T.C.]]</f>
        <v>2511.4299999999998</v>
      </c>
      <c r="AV987" s="6">
        <f>DATA[[#This Row],[FECHA DE VAL.]]</f>
        <v>45863</v>
      </c>
      <c r="AW987" s="6">
        <f>DATA[[#This Row],[FECHA DE EMISION]]</f>
        <v>45912</v>
      </c>
      <c r="AX987" s="6">
        <f>DATA[[#This Row],[F1]]</f>
        <v>0</v>
      </c>
      <c r="AY987" s="20">
        <f>IF(AV987-DATA[[#This Row],[fecha_fs]]&lt;0,0,AV987-DATA[[#This Row],[fecha_fs]])</f>
        <v>0</v>
      </c>
      <c r="AZ987" s="20">
        <f t="shared" ref="AZ987:AZ1003" si="122">IF(AW987-AV987&lt;0,0,AW987-AV987)</f>
        <v>49</v>
      </c>
      <c r="BA987" s="53">
        <f t="shared" ref="BA987:BA1003" si="123">IF(AX987-AW987&lt;0,0,AX987-AW987)</f>
        <v>0</v>
      </c>
      <c r="BB987" s="195">
        <f>IFERROR(SUM(DATA[[#This Row],[fs_val_ttf]:[fact_pago_ttf]]),0)</f>
        <v>49</v>
      </c>
      <c r="BC987" s="185">
        <v>45889</v>
      </c>
      <c r="BD987" s="185">
        <v>45895</v>
      </c>
      <c r="BE987" s="185">
        <v>45897</v>
      </c>
      <c r="BF987" s="185">
        <v>45903</v>
      </c>
      <c r="BG987" s="20">
        <f>IFERROR(IF(BC987-DATA[[#This Row],[fecha_fs]]&lt;0,0,BC987-DATA[[#This Row],[fecha_fs]]),0)</f>
        <v>21</v>
      </c>
      <c r="BH987" s="20">
        <f t="shared" ref="BH987:BH1003" si="124">IFERROR(IF(BD987-BC987&lt;0,0,BD987-BC987),0)</f>
        <v>6</v>
      </c>
      <c r="BI987" s="20">
        <f t="shared" ref="BI987:BI1003" si="125">IFERROR(IF(BE987-BD987&lt;0,0,BE987-BD987),0)</f>
        <v>2</v>
      </c>
      <c r="BJ987" s="20">
        <f t="shared" ref="BJ987:BJ1003" si="126">IFERROR(IF(BF987-BE987&lt;0,0,BF987-BE987),0)</f>
        <v>6</v>
      </c>
      <c r="BK987" s="282">
        <f>IFERROR(SUM(DATA[[#This Row],[fs_fd_ttd]:[fend_fenf_ttd]]),0)</f>
        <v>35</v>
      </c>
      <c r="BL987" s="20" t="str">
        <f>IF(DATA[[#This Row],[fecha_fs]]&gt;0,TEXT(DATA[[#This Row],[fecha_fs]],"YYYY"),0)</f>
        <v>2025</v>
      </c>
      <c r="BM987" s="236" t="b">
        <v>1</v>
      </c>
      <c r="BN987" s="278">
        <f>COUNTIF(DATA[[#This Row],[tiempo_td]], "&lt;=15")</f>
        <v>0</v>
      </c>
      <c r="BO987" s="222"/>
    </row>
    <row r="988" spans="1:67" ht="30.6" customHeight="1" x14ac:dyDescent="0.25">
      <c r="A988" s="4">
        <v>20419158462</v>
      </c>
      <c r="B988" s="5" t="s">
        <v>2</v>
      </c>
      <c r="C988" s="52" t="s">
        <v>8</v>
      </c>
      <c r="D988" s="4" t="s">
        <v>120</v>
      </c>
      <c r="E988" s="5" t="s">
        <v>3</v>
      </c>
      <c r="F988" s="24">
        <v>45869</v>
      </c>
      <c r="G988" s="7" t="s">
        <v>113</v>
      </c>
      <c r="H988" s="25">
        <f t="shared" si="121"/>
        <v>1</v>
      </c>
      <c r="I988" s="67">
        <v>4810</v>
      </c>
      <c r="J988" s="8" t="s">
        <v>115</v>
      </c>
      <c r="K988" s="9" t="s">
        <v>156</v>
      </c>
      <c r="L988" s="10" t="s">
        <v>117</v>
      </c>
      <c r="M988" s="11">
        <v>650</v>
      </c>
      <c r="N988" s="12" t="s">
        <v>188</v>
      </c>
      <c r="O988" s="6">
        <v>45869</v>
      </c>
      <c r="P988" s="13">
        <v>3586</v>
      </c>
      <c r="Q988" s="14" t="s">
        <v>85</v>
      </c>
      <c r="R988" s="74"/>
      <c r="S988" s="237">
        <v>1429.7</v>
      </c>
      <c r="T988" s="237">
        <f>DATA[[#This Row],[C. DF]]+DATA[[#This Row],[C.OPE.]]</f>
        <v>1429.7</v>
      </c>
      <c r="U988" s="15">
        <f>DATA[[#This Row],[SUB TOTAL]]*0.18</f>
        <v>257.346</v>
      </c>
      <c r="V988" s="15">
        <f>IFERROR(ROUND(DATA[[#This Row],[SUB TOTAL]]+DATA[[#This Row],[IGV]],2),0)</f>
        <v>1687.05</v>
      </c>
      <c r="W988" s="16" t="str">
        <f>IF(DATA[[#This Row],[VALORIZACIÓN ]]="-","NO CORRESPONDE",IF(OR(A988=20558226979,A988=10470707866,A988=20111157058,A988=20100226902),"NO CORRESPONDE",IF(J988="Emitida",IF(P988&gt;0,"EMITIDA","PENDIENTE"),"NO CORRESPONDE")))</f>
        <v>EMITIDA</v>
      </c>
      <c r="X988" s="29"/>
      <c r="Y988" s="17" t="s">
        <v>118</v>
      </c>
      <c r="Z988" s="30">
        <v>45965</v>
      </c>
      <c r="AA988" s="10" t="s">
        <v>150</v>
      </c>
      <c r="AB988" s="19">
        <v>323</v>
      </c>
      <c r="AC988" s="20">
        <v>2</v>
      </c>
      <c r="AD988" s="18">
        <f>DATA[[#This Row],[FECHA DE EMISION]]+DATA[[#This Row],[CONDICION DE PAGO]]</f>
        <v>45967</v>
      </c>
      <c r="AE988" s="23">
        <f>IF(DATA[[#This Row],[MONEDA]]="USD",VLOOKUP(DATA[[#This Row],[COMBINADA]],#REF!,11,0),1)</f>
        <v>1</v>
      </c>
      <c r="AF988" s="129" t="str">
        <f>IF(DATA[[#This Row],[SERIE2]]="-","NO CORRESPONDE",IF(W988="NO CORRESPONDE","NO CORRESPONDE",IF(Z988&gt;0,"FACTURADO","PENDIENTE")))</f>
        <v>FACTURADO</v>
      </c>
      <c r="AG988" s="133">
        <f>IFERROR(VLOOKUP(DATA[[#This Row],[COMBINADA]],#REF!,6,0),0)</f>
        <v>0</v>
      </c>
      <c r="AH988" s="125">
        <f>IFERROR(VLOOKUP(DATA[[#This Row],[COMBINADA]],#REF!,9,0),0)/COUNTIFS(DATA[COMBINADA],DATA[[#This Row],[COMBINADA]])</f>
        <v>0</v>
      </c>
      <c r="AI988" s="136">
        <f>IFERROR(VLOOKUP(DATA[[#This Row],[COMBINADA]],#REF!,6,0),0)</f>
        <v>0</v>
      </c>
      <c r="AJ988" s="132">
        <f>IFERROR(VLOOKUP(DATA[[#This Row],[COMBINADA]],#REF!,9,0),0)/COUNTIFS(DATA[COMBINADA],DATA[[#This Row],[COMBINADA]])</f>
        <v>0</v>
      </c>
      <c r="AK988" s="408">
        <f>IFERROR(VLOOKUP(DATA[[#This Row],[COMBINADA]],#REF!,6,0),0)</f>
        <v>0</v>
      </c>
      <c r="AL988" s="125">
        <f>IFERROR(VLOOKUP(DATA[[#This Row],[COMBINADA]],#REF!,9,0),0)/COUNTIFS(DATA[COMBINADA],DATA[[#This Row],[COMBINADA]])</f>
        <v>0</v>
      </c>
      <c r="AM988" s="147">
        <f>IFERROR(VLOOKUP(DATA[[#This Row],[COMBINADA]],#REF!,6,0),0)</f>
        <v>0</v>
      </c>
      <c r="AN988" s="125">
        <f>IFERROR(VLOOKUP(DATA[[#This Row],[COMBINADA]],#REF!,9,0),0)/COUNTIFS(DATA[COMBINADA],DATA[[#This Row],[COMBINADA]])</f>
        <v>0</v>
      </c>
      <c r="AO988" s="27">
        <f>IFERROR(VLOOKUP(DATA[[#This Row],[COMBINADA]],#REF!,6,0),0)</f>
        <v>0</v>
      </c>
      <c r="AP988" s="132">
        <f>IFERROR(VLOOKUP(DATA[[#This Row],[COMBINADA]],#REF!,9,0),0)/COUNTIFS(DATA[COMBINADA],DATA[[#This Row],[COMBINADA]])</f>
        <v>0</v>
      </c>
      <c r="AQ98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1687.05</v>
      </c>
      <c r="AR988" s="26" t="str">
        <f>IFERROR(IF(DATA[[#This Row],[estado_fact]]="FACTURADO",VLOOKUP(DATA[[#This Row],[SERIE2]]&amp;"-"&amp;DATA[[#This Row],[NUMERO]],#REF!,34,0),"NO CORRESPONDE"),"NO CORRESPONDE")</f>
        <v>NO CORRESPONDE</v>
      </c>
      <c r="AS988" s="22" t="str">
        <f>IF(DATA[[#This Row],[fecha_fs]]&gt;0,TEXT(DATA[[#This Row],[fecha_fs]],"Mmmm"),0)</f>
        <v>Julio</v>
      </c>
      <c r="AT988" s="22" t="str">
        <f>DATA[[#This Row],[SERIE2]]&amp;"-"&amp;DATA[[#This Row],[NUMERO]]</f>
        <v>FF01-323</v>
      </c>
      <c r="AU988" s="28">
        <f>DATA[[#This Row],[TOTAL]]*DATA[[#This Row],[T.C.]]</f>
        <v>1687.05</v>
      </c>
      <c r="AV988" s="6">
        <f>DATA[[#This Row],[FECHA DE VAL.]]</f>
        <v>45869</v>
      </c>
      <c r="AW988" s="6">
        <f>DATA[[#This Row],[FECHA DE EMISION]]</f>
        <v>45965</v>
      </c>
      <c r="AX988" s="6">
        <f>DATA[[#This Row],[F1]]</f>
        <v>0</v>
      </c>
      <c r="AY988" s="20">
        <f>IF(AV988-DATA[[#This Row],[fecha_fs]]&lt;0,0,AV988-DATA[[#This Row],[fecha_fs]])</f>
        <v>0</v>
      </c>
      <c r="AZ988" s="20">
        <f t="shared" si="122"/>
        <v>96</v>
      </c>
      <c r="BA988" s="53">
        <f t="shared" si="123"/>
        <v>0</v>
      </c>
      <c r="BB988" s="195">
        <f>IFERROR(SUM(DATA[[#This Row],[fs_val_ttf]:[fact_pago_ttf]]),0)</f>
        <v>96</v>
      </c>
      <c r="BC988" s="233">
        <v>45869</v>
      </c>
      <c r="BD988" s="233">
        <v>45869</v>
      </c>
      <c r="BE988" s="233">
        <v>45874</v>
      </c>
      <c r="BF988" s="233">
        <v>45874</v>
      </c>
      <c r="BG988" s="20">
        <f>IFERROR(IF(BC988-DATA[[#This Row],[fecha_fs]]&lt;0,0,BC988-DATA[[#This Row],[fecha_fs]]),0)</f>
        <v>0</v>
      </c>
      <c r="BH988" s="20">
        <f t="shared" si="124"/>
        <v>0</v>
      </c>
      <c r="BI988" s="20">
        <f t="shared" si="125"/>
        <v>5</v>
      </c>
      <c r="BJ988" s="20">
        <f t="shared" si="126"/>
        <v>0</v>
      </c>
      <c r="BK988" s="282">
        <f>IFERROR(SUM(DATA[[#This Row],[fs_fd_ttd]:[fend_fenf_ttd]]),0)</f>
        <v>5</v>
      </c>
      <c r="BL988" s="20" t="str">
        <f>IF(DATA[[#This Row],[fecha_fs]]&gt;0,TEXT(DATA[[#This Row],[fecha_fs]],"YYYY"),0)</f>
        <v>2025</v>
      </c>
      <c r="BM988" s="236" t="b">
        <v>1</v>
      </c>
      <c r="BN988" s="278">
        <f>COUNTIF(DATA[[#This Row],[tiempo_td]], "&lt;=15")</f>
        <v>1</v>
      </c>
      <c r="BO988" s="222"/>
    </row>
    <row r="989" spans="1:67" ht="30.6" customHeight="1" x14ac:dyDescent="0.25">
      <c r="A989" s="4">
        <v>20159473148</v>
      </c>
      <c r="B989" s="5" t="s">
        <v>280</v>
      </c>
      <c r="C989" s="52" t="s">
        <v>20</v>
      </c>
      <c r="D989" s="4" t="s">
        <v>120</v>
      </c>
      <c r="E989" s="5" t="s">
        <v>3</v>
      </c>
      <c r="F989" s="24">
        <v>45869</v>
      </c>
      <c r="G989" s="7" t="s">
        <v>113</v>
      </c>
      <c r="H989" s="25">
        <f t="shared" si="121"/>
        <v>1</v>
      </c>
      <c r="I989" s="67">
        <v>4811</v>
      </c>
      <c r="J989" s="8" t="s">
        <v>115</v>
      </c>
      <c r="K989" s="9" t="s">
        <v>121</v>
      </c>
      <c r="L989" s="10" t="s">
        <v>117</v>
      </c>
      <c r="M989" s="11">
        <v>390</v>
      </c>
      <c r="N989" s="12" t="s">
        <v>249</v>
      </c>
      <c r="O989" s="6">
        <v>45869</v>
      </c>
      <c r="P989" s="83">
        <v>3579</v>
      </c>
      <c r="Q989" s="14" t="s">
        <v>85</v>
      </c>
      <c r="R989" s="15">
        <f>DATA[[#This Row],[cantidad_fs]]*0.08</f>
        <v>31.2</v>
      </c>
      <c r="S989" s="15">
        <v>908.43</v>
      </c>
      <c r="T989" s="237">
        <f>DATA[[#This Row],[C. DF]]+DATA[[#This Row],[C.OPE.]]</f>
        <v>939.63</v>
      </c>
      <c r="U989" s="15">
        <f>DATA[[#This Row],[SUB TOTAL]]*0.18</f>
        <v>169.13339999999999</v>
      </c>
      <c r="V989" s="15">
        <f>IFERROR(ROUND(DATA[[#This Row],[SUB TOTAL]]+DATA[[#This Row],[IGV]],2),0)</f>
        <v>1108.76</v>
      </c>
      <c r="W989" s="16" t="str">
        <f>IF(DATA[[#This Row],[VALORIZACIÓN ]]="-","NO CORRESPONDE",IF(OR(A989=20558226979,A989=10470707866,A989=20111157058,A989=20100226902),"NO CORRESPONDE",IF(J989="Emitida",IF(P989&gt;0,"EMITIDA","PENDIENTE"),"NO CORRESPONDE")))</f>
        <v>EMITIDA</v>
      </c>
      <c r="X989" s="29" t="s">
        <v>310</v>
      </c>
      <c r="Y989" s="17" t="s">
        <v>118</v>
      </c>
      <c r="Z989" s="30">
        <v>45902</v>
      </c>
      <c r="AA989" s="10" t="s">
        <v>150</v>
      </c>
      <c r="AB989" s="19">
        <v>233</v>
      </c>
      <c r="AC989" s="20">
        <v>15</v>
      </c>
      <c r="AD989" s="18">
        <f>DATA[[#This Row],[FECHA DE EMISION]]+DATA[[#This Row],[CONDICION DE PAGO]]</f>
        <v>45917</v>
      </c>
      <c r="AE989" s="23">
        <f>IF(DATA[[#This Row],[MONEDA]]="USD",VLOOKUP(DATA[[#This Row],[COMBINADA]],#REF!,11,0),1)</f>
        <v>1</v>
      </c>
      <c r="AF989" s="129" t="str">
        <f>IF(DATA[[#This Row],[SERIE2]]="-","NO CORRESPONDE",IF(W989="NO CORRESPONDE","NO CORRESPONDE",IF(Z989&gt;0,"FACTURADO","PENDIENTE")))</f>
        <v>FACTURADO</v>
      </c>
      <c r="AG989" s="133">
        <f>IFERROR(VLOOKUP(DATA[[#This Row],[COMBINADA]],#REF!,6,0),0)</f>
        <v>0</v>
      </c>
      <c r="AH989" s="125">
        <f>IFERROR(VLOOKUP(DATA[[#This Row],[COMBINADA]],#REF!,9,0),0)/COUNTIFS(DATA[COMBINADA],DATA[[#This Row],[COMBINADA]])</f>
        <v>0</v>
      </c>
      <c r="AI989" s="136">
        <f>IFERROR(VLOOKUP(DATA[[#This Row],[COMBINADA]],#REF!,6,0),0)</f>
        <v>0</v>
      </c>
      <c r="AJ989" s="132">
        <f>IFERROR(VLOOKUP(DATA[[#This Row],[COMBINADA]],#REF!,9,0),0)/COUNTIFS(DATA[COMBINADA],DATA[[#This Row],[COMBINADA]])</f>
        <v>0</v>
      </c>
      <c r="AK989" s="408">
        <f>IFERROR(VLOOKUP(DATA[[#This Row],[COMBINADA]],#REF!,6,0),0)</f>
        <v>0</v>
      </c>
      <c r="AL989" s="125">
        <f>IFERROR(VLOOKUP(DATA[[#This Row],[COMBINADA]],#REF!,9,0),0)/COUNTIFS(DATA[COMBINADA],DATA[[#This Row],[COMBINADA]])</f>
        <v>0</v>
      </c>
      <c r="AM989" s="147">
        <f>IFERROR(VLOOKUP(DATA[[#This Row],[COMBINADA]],#REF!,6,0),0)</f>
        <v>0</v>
      </c>
      <c r="AN989" s="125">
        <f>IFERROR(VLOOKUP(DATA[[#This Row],[COMBINADA]],#REF!,9,0),0)/COUNTIFS(DATA[COMBINADA],DATA[[#This Row],[COMBINADA]])</f>
        <v>0</v>
      </c>
      <c r="AO989" s="27">
        <f>IFERROR(VLOOKUP(DATA[[#This Row],[COMBINADA]],#REF!,6,0),0)</f>
        <v>0</v>
      </c>
      <c r="AP989" s="132">
        <f>IFERROR(VLOOKUP(DATA[[#This Row],[COMBINADA]],#REF!,9,0),0)/COUNTIFS(DATA[COMBINADA],DATA[[#This Row],[COMBINADA]])</f>
        <v>0</v>
      </c>
      <c r="AQ98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1154.7825</v>
      </c>
      <c r="AR989" s="26" t="str">
        <f>IFERROR(IF(DATA[[#This Row],[estado_fact]]="FACTURADO",VLOOKUP(DATA[[#This Row],[SERIE2]]&amp;"-"&amp;DATA[[#This Row],[NUMERO]],#REF!,34,0),"NO CORRESPONDE"),"NO CORRESPONDE")</f>
        <v>NO CORRESPONDE</v>
      </c>
      <c r="AS989" s="22" t="str">
        <f>IF(DATA[[#This Row],[fecha_fs]]&gt;0,TEXT(DATA[[#This Row],[fecha_fs]],"Mmmm"),0)</f>
        <v>Julio</v>
      </c>
      <c r="AT989" s="22" t="str">
        <f>DATA[[#This Row],[SERIE2]]&amp;"-"&amp;DATA[[#This Row],[NUMERO]]</f>
        <v>FF01-233</v>
      </c>
      <c r="AU989" s="28">
        <f>DATA[[#This Row],[TOTAL]]*DATA[[#This Row],[T.C.]]</f>
        <v>1108.76</v>
      </c>
      <c r="AV989" s="6">
        <f>DATA[[#This Row],[FECHA DE VAL.]]</f>
        <v>45869</v>
      </c>
      <c r="AW989" s="6">
        <f>DATA[[#This Row],[FECHA DE EMISION]]</f>
        <v>45902</v>
      </c>
      <c r="AX989" s="6">
        <f>DATA[[#This Row],[F1]]</f>
        <v>0</v>
      </c>
      <c r="AY989" s="20">
        <f>IF(AV989-DATA[[#This Row],[fecha_fs]]&lt;0,0,AV989-DATA[[#This Row],[fecha_fs]])</f>
        <v>0</v>
      </c>
      <c r="AZ989" s="20">
        <f t="shared" si="122"/>
        <v>33</v>
      </c>
      <c r="BA989" s="53">
        <f t="shared" si="123"/>
        <v>0</v>
      </c>
      <c r="BB989" s="195">
        <f>IFERROR(SUM(DATA[[#This Row],[fs_val_ttf]:[fact_pago_ttf]]),0)</f>
        <v>33</v>
      </c>
      <c r="BC989" s="233">
        <v>45869</v>
      </c>
      <c r="BD989" s="233">
        <v>45876</v>
      </c>
      <c r="BE989" s="233">
        <v>45880</v>
      </c>
      <c r="BF989" s="233">
        <v>45883</v>
      </c>
      <c r="BG989" s="20">
        <f>IFERROR(IF(BC989-DATA[[#This Row],[fecha_fs]]&lt;0,0,BC989-DATA[[#This Row],[fecha_fs]]),0)</f>
        <v>0</v>
      </c>
      <c r="BH989" s="20">
        <f t="shared" si="124"/>
        <v>7</v>
      </c>
      <c r="BI989" s="20">
        <f t="shared" si="125"/>
        <v>4</v>
      </c>
      <c r="BJ989" s="20">
        <f t="shared" si="126"/>
        <v>3</v>
      </c>
      <c r="BK989" s="282">
        <f>IFERROR(SUM(DATA[[#This Row],[fs_fd_ttd]:[fend_fenf_ttd]]),0)</f>
        <v>14</v>
      </c>
      <c r="BL989" s="20" t="str">
        <f>IF(DATA[[#This Row],[fecha_fs]]&gt;0,TEXT(DATA[[#This Row],[fecha_fs]],"YYYY"),0)</f>
        <v>2025</v>
      </c>
      <c r="BM989" s="236" t="b">
        <v>1</v>
      </c>
      <c r="BN989" s="278">
        <f>COUNTIF(DATA[[#This Row],[tiempo_td]], "&lt;=15")</f>
        <v>1</v>
      </c>
      <c r="BO989" s="222"/>
    </row>
    <row r="990" spans="1:67" ht="30.6" customHeight="1" x14ac:dyDescent="0.25">
      <c r="A990" s="4">
        <v>20120788389</v>
      </c>
      <c r="B990" s="5" t="s">
        <v>283</v>
      </c>
      <c r="C990" s="52" t="s">
        <v>304</v>
      </c>
      <c r="D990" s="4" t="s">
        <v>120</v>
      </c>
      <c r="E990" s="5" t="s">
        <v>3</v>
      </c>
      <c r="F990" s="24">
        <v>45868</v>
      </c>
      <c r="G990" s="7" t="s">
        <v>113</v>
      </c>
      <c r="H990" s="25">
        <f t="shared" si="121"/>
        <v>1</v>
      </c>
      <c r="I990" s="67">
        <v>4812</v>
      </c>
      <c r="J990" s="8" t="s">
        <v>115</v>
      </c>
      <c r="K990" s="9" t="s">
        <v>121</v>
      </c>
      <c r="L990" s="10" t="s">
        <v>117</v>
      </c>
      <c r="M990" s="11">
        <v>10</v>
      </c>
      <c r="N990" s="12" t="s">
        <v>200</v>
      </c>
      <c r="O990" s="6">
        <v>45869</v>
      </c>
      <c r="P990" s="13">
        <v>3585</v>
      </c>
      <c r="Q990" s="14" t="s">
        <v>85</v>
      </c>
      <c r="R990" s="74"/>
      <c r="S990" s="15">
        <v>670.43</v>
      </c>
      <c r="T990" s="237">
        <f>DATA[[#This Row],[C. DF]]+DATA[[#This Row],[C.OPE.]]</f>
        <v>670.43</v>
      </c>
      <c r="U990" s="15">
        <f>DATA[[#This Row],[SUB TOTAL]]*0.18</f>
        <v>120.67739999999999</v>
      </c>
      <c r="V990" s="15">
        <f>IFERROR(ROUND(DATA[[#This Row],[SUB TOTAL]]+DATA[[#This Row],[IGV]],2),0)</f>
        <v>791.11</v>
      </c>
      <c r="W990" s="16" t="str">
        <f>IF(DATA[[#This Row],[VALORIZACIÓN ]]="-","NO CORRESPONDE",IF(OR(A990=20558226979,A990=10470707866,A990=20111157058,A990=20100226902),"NO CORRESPONDE",IF(J990="Emitida",IF(P990&gt;0,"EMITIDA","PENDIENTE"),"NO CORRESPONDE")))</f>
        <v>EMITIDA</v>
      </c>
      <c r="X990" s="29"/>
      <c r="Y990" s="17" t="s">
        <v>118</v>
      </c>
      <c r="Z990" s="30">
        <v>45876</v>
      </c>
      <c r="AA990" s="10" t="s">
        <v>150</v>
      </c>
      <c r="AB990" s="19">
        <v>202</v>
      </c>
      <c r="AC990" s="20">
        <v>15</v>
      </c>
      <c r="AD990" s="18">
        <f>DATA[[#This Row],[FECHA DE EMISION]]+DATA[[#This Row],[CONDICION DE PAGO]]</f>
        <v>45891</v>
      </c>
      <c r="AE990" s="23">
        <f>IF(DATA[[#This Row],[MONEDA]]="USD",VLOOKUP(DATA[[#This Row],[COMBINADA]],#REF!,11,0),1)</f>
        <v>1</v>
      </c>
      <c r="AF990" s="129" t="str">
        <f>IF(DATA[[#This Row],[SERIE2]]="-","NO CORRESPONDE",IF(W990="NO CORRESPONDE","NO CORRESPONDE",IF(Z990&gt;0,"FACTURADO","PENDIENTE")))</f>
        <v>FACTURADO</v>
      </c>
      <c r="AG990" s="133">
        <f>IFERROR(VLOOKUP(DATA[[#This Row],[COMBINADA]],#REF!,6,0),0)</f>
        <v>0</v>
      </c>
      <c r="AH990" s="125">
        <f>IFERROR(VLOOKUP(DATA[[#This Row],[COMBINADA]],#REF!,9,0),0)/COUNTIFS(DATA[COMBINADA],DATA[[#This Row],[COMBINADA]])</f>
        <v>0</v>
      </c>
      <c r="AI990" s="136">
        <f>IFERROR(VLOOKUP(DATA[[#This Row],[COMBINADA]],#REF!,6,0),0)</f>
        <v>0</v>
      </c>
      <c r="AJ990" s="132">
        <f>IFERROR(VLOOKUP(DATA[[#This Row],[COMBINADA]],#REF!,9,0),0)/COUNTIFS(DATA[COMBINADA],DATA[[#This Row],[COMBINADA]])</f>
        <v>0</v>
      </c>
      <c r="AK990" s="408">
        <f>IFERROR(VLOOKUP(DATA[[#This Row],[COMBINADA]],#REF!,6,0),0)</f>
        <v>0</v>
      </c>
      <c r="AL990" s="125">
        <f>IFERROR(VLOOKUP(DATA[[#This Row],[COMBINADA]],#REF!,9,0),0)/COUNTIFS(DATA[COMBINADA],DATA[[#This Row],[COMBINADA]])</f>
        <v>0</v>
      </c>
      <c r="AM990" s="147">
        <f>IFERROR(VLOOKUP(DATA[[#This Row],[COMBINADA]],#REF!,6,0),0)</f>
        <v>0</v>
      </c>
      <c r="AN990" s="125">
        <f>IFERROR(VLOOKUP(DATA[[#This Row],[COMBINADA]],#REF!,9,0),0)/COUNTIFS(DATA[COMBINADA],DATA[[#This Row],[COMBINADA]])</f>
        <v>0</v>
      </c>
      <c r="AO990" s="27">
        <f>IFERROR(VLOOKUP(DATA[[#This Row],[COMBINADA]],#REF!,6,0),0)</f>
        <v>0</v>
      </c>
      <c r="AP990" s="132">
        <f>IFERROR(VLOOKUP(DATA[[#This Row],[COMBINADA]],#REF!,9,0),0)/COUNTIFS(DATA[COMBINADA],DATA[[#This Row],[COMBINADA]])</f>
        <v>0</v>
      </c>
      <c r="AQ99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791.11</v>
      </c>
      <c r="AR990" s="26" t="str">
        <f>IFERROR(IF(DATA[[#This Row],[estado_fact]]="FACTURADO",VLOOKUP(DATA[[#This Row],[SERIE2]]&amp;"-"&amp;DATA[[#This Row],[NUMERO]],#REF!,34,0),"NO CORRESPONDE"),"NO CORRESPONDE")</f>
        <v>NO CORRESPONDE</v>
      </c>
      <c r="AS990" s="22" t="str">
        <f>IF(DATA[[#This Row],[fecha_fs]]&gt;0,TEXT(DATA[[#This Row],[fecha_fs]],"Mmmm"),0)</f>
        <v>Julio</v>
      </c>
      <c r="AT990" s="22" t="str">
        <f>DATA[[#This Row],[SERIE2]]&amp;"-"&amp;DATA[[#This Row],[NUMERO]]</f>
        <v>FF01-202</v>
      </c>
      <c r="AU990" s="28">
        <f>DATA[[#This Row],[TOTAL]]*DATA[[#This Row],[T.C.]]</f>
        <v>791.11</v>
      </c>
      <c r="AV990" s="6">
        <f>DATA[[#This Row],[FECHA DE VAL.]]</f>
        <v>45869</v>
      </c>
      <c r="AW990" s="6">
        <f>DATA[[#This Row],[FECHA DE EMISION]]</f>
        <v>45876</v>
      </c>
      <c r="AX990" s="6">
        <f>DATA[[#This Row],[F1]]</f>
        <v>0</v>
      </c>
      <c r="AY990" s="20">
        <f>IF(AV990-DATA[[#This Row],[fecha_fs]]&lt;0,0,AV990-DATA[[#This Row],[fecha_fs]])</f>
        <v>1</v>
      </c>
      <c r="AZ990" s="20">
        <f t="shared" si="122"/>
        <v>7</v>
      </c>
      <c r="BA990" s="53">
        <f t="shared" si="123"/>
        <v>0</v>
      </c>
      <c r="BB990" s="195">
        <f>IFERROR(SUM(DATA[[#This Row],[fs_val_ttf]:[fact_pago_ttf]]),0)</f>
        <v>8</v>
      </c>
      <c r="BC990" s="233">
        <v>45873</v>
      </c>
      <c r="BD990" s="233">
        <v>45882</v>
      </c>
      <c r="BE990" s="233">
        <v>45887</v>
      </c>
      <c r="BF990" s="233">
        <v>45904</v>
      </c>
      <c r="BG990" s="20">
        <f>IFERROR(IF(BC990-DATA[[#This Row],[fecha_fs]]&lt;0,0,BC990-DATA[[#This Row],[fecha_fs]]),0)</f>
        <v>5</v>
      </c>
      <c r="BH990" s="20">
        <f t="shared" si="124"/>
        <v>9</v>
      </c>
      <c r="BI990" s="20">
        <f t="shared" si="125"/>
        <v>5</v>
      </c>
      <c r="BJ990" s="20">
        <f t="shared" si="126"/>
        <v>17</v>
      </c>
      <c r="BK990" s="282">
        <f>IFERROR(SUM(DATA[[#This Row],[fs_fd_ttd]:[fend_fenf_ttd]]),0)</f>
        <v>36</v>
      </c>
      <c r="BL990" s="20" t="str">
        <f>IF(DATA[[#This Row],[fecha_fs]]&gt;0,TEXT(DATA[[#This Row],[fecha_fs]],"YYYY"),0)</f>
        <v>2025</v>
      </c>
      <c r="BM990" s="236" t="b">
        <v>1</v>
      </c>
      <c r="BN990" s="278">
        <f>COUNTIF(DATA[[#This Row],[tiempo_td]], "&lt;=15")</f>
        <v>0</v>
      </c>
      <c r="BO990" s="222"/>
    </row>
    <row r="991" spans="1:67" ht="30.6" customHeight="1" x14ac:dyDescent="0.25">
      <c r="A991" s="240"/>
      <c r="B991" s="241" t="s">
        <v>0</v>
      </c>
      <c r="C991" s="247"/>
      <c r="D991" s="240"/>
      <c r="E991" s="241" t="s">
        <v>0</v>
      </c>
      <c r="F991" s="248">
        <v>45868</v>
      </c>
      <c r="G991" s="249" t="s">
        <v>113</v>
      </c>
      <c r="H991" s="250">
        <f t="shared" si="121"/>
        <v>1</v>
      </c>
      <c r="I991" s="242">
        <v>4813</v>
      </c>
      <c r="J991" s="251" t="s">
        <v>151</v>
      </c>
      <c r="K991" s="252"/>
      <c r="L991" s="234"/>
      <c r="M991" s="253"/>
      <c r="N991" s="254"/>
      <c r="O991" s="243"/>
      <c r="P991" s="255"/>
      <c r="Q991" s="245"/>
      <c r="R991" s="237"/>
      <c r="S991" s="237"/>
      <c r="T991" s="237">
        <f>DATA[[#This Row],[C. DF]]+DATA[[#This Row],[C.OPE.]]</f>
        <v>0</v>
      </c>
      <c r="U991" s="237">
        <f>DATA[[#This Row],[SUB TOTAL]]*0.18</f>
        <v>0</v>
      </c>
      <c r="V991" s="237">
        <f>IFERROR(ROUND(DATA[[#This Row],[SUB TOTAL]]+DATA[[#This Row],[IGV]],2),0)</f>
        <v>0</v>
      </c>
      <c r="W991" s="256" t="str">
        <f>IF(DATA[[#This Row],[VALORIZACIÓN ]]="-","NO CORRESPONDE",IF(OR(A991=20558226979,A991=10470707866,A991=20111157058,A991=20100226902),"NO CORRESPONDE",IF(J991="Emitida",IF(P991&gt;0,"EMITIDA","PENDIENTE"),"NO CORRESPONDE")))</f>
        <v>NO CORRESPONDE</v>
      </c>
      <c r="X991" s="257"/>
      <c r="Y991" s="17" t="s">
        <v>128</v>
      </c>
      <c r="Z991" s="258"/>
      <c r="AA991" s="259"/>
      <c r="AB991" s="260"/>
      <c r="AC991" s="261"/>
      <c r="AD991" s="262">
        <f>DATA[[#This Row],[FECHA DE EMISION]]+DATA[[#This Row],[CONDICION DE PAGO]]</f>
        <v>0</v>
      </c>
      <c r="AE991" s="263">
        <f>IF(DATA[[#This Row],[MONEDA]]="USD",VLOOKUP(DATA[[#This Row],[COMBINADA]],#REF!,11,0),1)</f>
        <v>1</v>
      </c>
      <c r="AF991" s="264" t="str">
        <f>IF(DATA[[#This Row],[SERIE2]]="-","NO CORRESPONDE",IF(W991="NO CORRESPONDE","NO CORRESPONDE",IF(Z991&gt;0,"FACTURADO","PENDIENTE")))</f>
        <v>NO CORRESPONDE</v>
      </c>
      <c r="AG991" s="265">
        <f>IFERROR(VLOOKUP(DATA[[#This Row],[COMBINADA]],#REF!,6,0),0)</f>
        <v>0</v>
      </c>
      <c r="AH991" s="266">
        <f>IFERROR(VLOOKUP(DATA[[#This Row],[COMBINADA]],#REF!,9,0),0)/COUNTIFS(DATA[COMBINADA],DATA[[#This Row],[COMBINADA]])</f>
        <v>0</v>
      </c>
      <c r="AI991" s="267">
        <f>IFERROR(VLOOKUP(DATA[[#This Row],[COMBINADA]],#REF!,6,0),0)</f>
        <v>0</v>
      </c>
      <c r="AJ991" s="268">
        <f>IFERROR(VLOOKUP(DATA[[#This Row],[COMBINADA]],#REF!,9,0),0)/COUNTIFS(DATA[COMBINADA],DATA[[#This Row],[COMBINADA]])</f>
        <v>0</v>
      </c>
      <c r="AK991" s="270">
        <f>IFERROR(VLOOKUP(DATA[[#This Row],[COMBINADA]],#REF!,6,0),0)</f>
        <v>0</v>
      </c>
      <c r="AL991" s="268">
        <f>IFERROR(VLOOKUP(DATA[[#This Row],[COMBINADA]],#REF!,9,0),0)/COUNTIFS(DATA[COMBINADA],DATA[[#This Row],[COMBINADA]])</f>
        <v>0</v>
      </c>
      <c r="AM991" s="270">
        <f>IFERROR(VLOOKUP(DATA[[#This Row],[COMBINADA]],#REF!,6,0),0)</f>
        <v>0</v>
      </c>
      <c r="AN991" s="268">
        <f>IFERROR(VLOOKUP(DATA[[#This Row],[COMBINADA]],#REF!,9,0),0)/COUNTIFS(DATA[COMBINADA],DATA[[#This Row],[COMBINADA]])</f>
        <v>0</v>
      </c>
      <c r="AO991" s="270">
        <f>IFERROR(VLOOKUP(DATA[[#This Row],[COMBINADA]],#REF!,6,0),0)</f>
        <v>0</v>
      </c>
      <c r="AP991" s="269">
        <f>IFERROR(VLOOKUP(DATA[[#This Row],[COMBINADA]],#REF!,9,0),0)/COUNTIFS(DATA[COMBINADA],DATA[[#This Row],[COMBINADA]])</f>
        <v>0</v>
      </c>
      <c r="AQ991" s="27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991" s="272" t="str">
        <f>IFERROR(IF(DATA[[#This Row],[estado_fact]]="FACTURADO",VLOOKUP(DATA[[#This Row],[SERIE2]]&amp;"-"&amp;DATA[[#This Row],[NUMERO]],#REF!,34,0),"NO CORRESPONDE"),"NO CORRESPONDE")</f>
        <v>NO CORRESPONDE</v>
      </c>
      <c r="AS991" s="273" t="str">
        <f>IF(DATA[[#This Row],[fecha_fs]]&gt;0,TEXT(DATA[[#This Row],[fecha_fs]],"Mmmm"),0)</f>
        <v>Julio</v>
      </c>
      <c r="AT991" s="274" t="str">
        <f>DATA[[#This Row],[SERIE2]]&amp;"-"&amp;DATA[[#This Row],[NUMERO]]</f>
        <v>-</v>
      </c>
      <c r="AU991" s="273">
        <f>DATA[[#This Row],[TOTAL]]*DATA[[#This Row],[T.C.]]</f>
        <v>0</v>
      </c>
      <c r="AV991" s="275">
        <f>DATA[[#This Row],[FECHA DE VAL.]]</f>
        <v>0</v>
      </c>
      <c r="AW991" s="275">
        <f>DATA[[#This Row],[FECHA DE EMISION]]</f>
        <v>0</v>
      </c>
      <c r="AX991" s="275">
        <f>DATA[[#This Row],[F1]]</f>
        <v>0</v>
      </c>
      <c r="AY991" s="259">
        <f>IF(AV991-DATA[[#This Row],[fecha_fs]]&lt;0,0,AV991-DATA[[#This Row],[fecha_fs]])</f>
        <v>0</v>
      </c>
      <c r="AZ991" s="259">
        <f t="shared" si="122"/>
        <v>0</v>
      </c>
      <c r="BA991" s="259">
        <f t="shared" si="123"/>
        <v>0</v>
      </c>
      <c r="BB991" s="195">
        <f>IFERROR(SUM(DATA[[#This Row],[fs_val_ttf]:[fact_pago_ttf]]),0)</f>
        <v>0</v>
      </c>
      <c r="BC991" s="276"/>
      <c r="BD991" s="276"/>
      <c r="BE991" s="276"/>
      <c r="BF991" s="276"/>
      <c r="BG991" s="259">
        <f>IFERROR(IF(BC991-DATA[[#This Row],[fecha_fs]]&lt;0,0,BC991-DATA[[#This Row],[fecha_fs]]),0)</f>
        <v>0</v>
      </c>
      <c r="BH991" s="259">
        <f t="shared" si="124"/>
        <v>0</v>
      </c>
      <c r="BI991" s="259">
        <f t="shared" si="125"/>
        <v>0</v>
      </c>
      <c r="BJ991" s="259">
        <f t="shared" si="126"/>
        <v>0</v>
      </c>
      <c r="BK991" s="218">
        <f>IFERROR(SUM(DATA[[#This Row],[fs_fd_ttd]:[fend_fenf_ttd]]),0)</f>
        <v>0</v>
      </c>
      <c r="BL991" s="20" t="str">
        <f>IF(DATA[[#This Row],[fecha_fs]]&gt;0,TEXT(DATA[[#This Row],[fecha_fs]],"YYYY"),0)</f>
        <v>2025</v>
      </c>
      <c r="BM991" s="236" t="b">
        <v>0</v>
      </c>
      <c r="BN991" s="278"/>
      <c r="BO991" s="239"/>
    </row>
    <row r="992" spans="1:67" ht="30.6" customHeight="1" x14ac:dyDescent="0.25">
      <c r="A992" s="4">
        <v>20419158462</v>
      </c>
      <c r="B992" s="5" t="s">
        <v>2</v>
      </c>
      <c r="C992" s="52" t="s">
        <v>147</v>
      </c>
      <c r="D992" s="4" t="s">
        <v>120</v>
      </c>
      <c r="E992" s="5" t="s">
        <v>3</v>
      </c>
      <c r="F992" s="24">
        <v>45868</v>
      </c>
      <c r="G992" s="7" t="s">
        <v>113</v>
      </c>
      <c r="H992" s="25">
        <f t="shared" si="121"/>
        <v>1</v>
      </c>
      <c r="I992" s="67">
        <v>4814</v>
      </c>
      <c r="J992" s="8" t="s">
        <v>115</v>
      </c>
      <c r="K992" s="9" t="s">
        <v>148</v>
      </c>
      <c r="L992" s="10" t="s">
        <v>117</v>
      </c>
      <c r="M992" s="11">
        <v>3640</v>
      </c>
      <c r="N992" s="12" t="s">
        <v>122</v>
      </c>
      <c r="O992" s="6">
        <v>45873</v>
      </c>
      <c r="P992" s="13">
        <v>3590</v>
      </c>
      <c r="Q992" s="14" t="s">
        <v>85</v>
      </c>
      <c r="R992" s="74"/>
      <c r="S992" s="56">
        <v>2597.6999999999998</v>
      </c>
      <c r="T992" s="237">
        <f>DATA[[#This Row],[C. DF]]+DATA[[#This Row],[C.OPE.]]</f>
        <v>2597.6999999999998</v>
      </c>
      <c r="U992" s="15">
        <f>DATA[[#This Row],[SUB TOTAL]]*0.18</f>
        <v>467.58599999999996</v>
      </c>
      <c r="V992" s="15">
        <f>IFERROR(ROUND(DATA[[#This Row],[SUB TOTAL]]+DATA[[#This Row],[IGV]],2),0)</f>
        <v>3065.29</v>
      </c>
      <c r="W992" s="16" t="str">
        <f>IF(DATA[[#This Row],[VALORIZACIÓN ]]="-","NO CORRESPONDE",IF(OR(A992=20558226979,A992=10470707866,A992=20111157058,A992=20100226902),"NO CORRESPONDE",IF(J992="Emitida",IF(P992&gt;0,"EMITIDA","PENDIENTE"),"NO CORRESPONDE")))</f>
        <v>EMITIDA</v>
      </c>
      <c r="X992" s="29"/>
      <c r="Y992" s="17" t="s">
        <v>232</v>
      </c>
      <c r="Z992" s="30"/>
      <c r="AA992" s="10"/>
      <c r="AB992" s="19"/>
      <c r="AC992" s="20"/>
      <c r="AD992" s="18">
        <f>DATA[[#This Row],[FECHA DE EMISION]]+DATA[[#This Row],[CONDICION DE PAGO]]</f>
        <v>0</v>
      </c>
      <c r="AE992" s="23">
        <f>IF(DATA[[#This Row],[MONEDA]]="USD",VLOOKUP(DATA[[#This Row],[COMBINADA]],#REF!,11,0),1)</f>
        <v>1</v>
      </c>
      <c r="AF992" s="129" t="str">
        <f>IF(DATA[[#This Row],[SERIE2]]="-","NO CORRESPONDE",IF(W992="NO CORRESPONDE","NO CORRESPONDE",IF(Z992&gt;0,"FACTURADO","PENDIENTE")))</f>
        <v>PENDIENTE</v>
      </c>
      <c r="AG992" s="133">
        <f>IFERROR(VLOOKUP(DATA[[#This Row],[COMBINADA]],#REF!,6,0),0)</f>
        <v>0</v>
      </c>
      <c r="AH992" s="125">
        <f>IFERROR(VLOOKUP(DATA[[#This Row],[COMBINADA]],#REF!,9,0),0)/COUNTIFS(DATA[COMBINADA],DATA[[#This Row],[COMBINADA]])</f>
        <v>0</v>
      </c>
      <c r="AI992" s="136">
        <f>IFERROR(VLOOKUP(DATA[[#This Row],[COMBINADA]],#REF!,6,0),0)</f>
        <v>0</v>
      </c>
      <c r="AJ992" s="132">
        <f>IFERROR(VLOOKUP(DATA[[#This Row],[COMBINADA]],#REF!,9,0),0)/COUNTIFS(DATA[COMBINADA],DATA[[#This Row],[COMBINADA]])</f>
        <v>0</v>
      </c>
      <c r="AK992" s="408">
        <f>IFERROR(VLOOKUP(DATA[[#This Row],[COMBINADA]],#REF!,6,0),0)</f>
        <v>0</v>
      </c>
      <c r="AL992" s="125">
        <f>IFERROR(VLOOKUP(DATA[[#This Row],[COMBINADA]],#REF!,9,0),0)/COUNTIFS(DATA[COMBINADA],DATA[[#This Row],[COMBINADA]])</f>
        <v>0</v>
      </c>
      <c r="AM992" s="147">
        <f>IFERROR(VLOOKUP(DATA[[#This Row],[COMBINADA]],#REF!,6,0),0)</f>
        <v>0</v>
      </c>
      <c r="AN992" s="125">
        <f>IFERROR(VLOOKUP(DATA[[#This Row],[COMBINADA]],#REF!,9,0),0)/COUNTIFS(DATA[COMBINADA],DATA[[#This Row],[COMBINADA]])</f>
        <v>0</v>
      </c>
      <c r="AO992" s="27">
        <f>IFERROR(VLOOKUP(DATA[[#This Row],[COMBINADA]],#REF!,6,0),0)</f>
        <v>0</v>
      </c>
      <c r="AP992" s="132">
        <f>IFERROR(VLOOKUP(DATA[[#This Row],[COMBINADA]],#REF!,9,0),0)/COUNTIFS(DATA[COMBINADA],DATA[[#This Row],[COMBINADA]])</f>
        <v>0</v>
      </c>
      <c r="AQ99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992" s="26" t="str">
        <f>IFERROR(IF(DATA[[#This Row],[estado_fact]]="FACTURADO",VLOOKUP(DATA[[#This Row],[SERIE2]]&amp;"-"&amp;DATA[[#This Row],[NUMERO]],#REF!,34,0),"NO CORRESPONDE"),"NO CORRESPONDE")</f>
        <v>NO CORRESPONDE</v>
      </c>
      <c r="AS992" s="22" t="str">
        <f>IF(DATA[[#This Row],[fecha_fs]]&gt;0,TEXT(DATA[[#This Row],[fecha_fs]],"Mmmm"),0)</f>
        <v>Julio</v>
      </c>
      <c r="AT992" s="22" t="str">
        <f>DATA[[#This Row],[SERIE2]]&amp;"-"&amp;DATA[[#This Row],[NUMERO]]</f>
        <v>-</v>
      </c>
      <c r="AU992" s="28">
        <f>DATA[[#This Row],[TOTAL]]*DATA[[#This Row],[T.C.]]</f>
        <v>3065.29</v>
      </c>
      <c r="AV992" s="6">
        <f>DATA[[#This Row],[FECHA DE VAL.]]</f>
        <v>45873</v>
      </c>
      <c r="AW992" s="6">
        <f>DATA[[#This Row],[FECHA DE EMISION]]</f>
        <v>0</v>
      </c>
      <c r="AX992" s="6">
        <f>DATA[[#This Row],[F1]]</f>
        <v>0</v>
      </c>
      <c r="AY992" s="20">
        <f>IF(AV992-DATA[[#This Row],[fecha_fs]]&lt;0,0,AV992-DATA[[#This Row],[fecha_fs]])</f>
        <v>5</v>
      </c>
      <c r="AZ992" s="20">
        <f t="shared" si="122"/>
        <v>0</v>
      </c>
      <c r="BA992" s="53">
        <f t="shared" si="123"/>
        <v>0</v>
      </c>
      <c r="BB992" s="195">
        <f>IFERROR(SUM(DATA[[#This Row],[fs_val_ttf]:[fact_pago_ttf]]),0)</f>
        <v>5</v>
      </c>
      <c r="BC992" s="233">
        <v>45870</v>
      </c>
      <c r="BD992" s="233">
        <v>45870</v>
      </c>
      <c r="BE992" s="233">
        <v>45880</v>
      </c>
      <c r="BF992" s="233">
        <v>45880</v>
      </c>
      <c r="BG992" s="20">
        <f>IFERROR(IF(BC992-DATA[[#This Row],[fecha_fs]]&lt;0,0,BC992-DATA[[#This Row],[fecha_fs]]),0)</f>
        <v>2</v>
      </c>
      <c r="BH992" s="20">
        <f t="shared" si="124"/>
        <v>0</v>
      </c>
      <c r="BI992" s="20">
        <f t="shared" si="125"/>
        <v>10</v>
      </c>
      <c r="BJ992" s="20">
        <f t="shared" si="126"/>
        <v>0</v>
      </c>
      <c r="BK992" s="282">
        <f>IFERROR(SUM(DATA[[#This Row],[fs_fd_ttd]:[fend_fenf_ttd]]),0)</f>
        <v>12</v>
      </c>
      <c r="BL992" s="20" t="str">
        <f>IF(DATA[[#This Row],[fecha_fs]]&gt;0,TEXT(DATA[[#This Row],[fecha_fs]],"YYYY"),0)</f>
        <v>2025</v>
      </c>
      <c r="BM992" s="236" t="b">
        <v>1</v>
      </c>
      <c r="BN992" s="278">
        <f>COUNTIF(DATA[[#This Row],[tiempo_td]], "&lt;=15")</f>
        <v>1</v>
      </c>
      <c r="BO992" s="222"/>
    </row>
    <row r="993" spans="1:67" ht="30.6" customHeight="1" x14ac:dyDescent="0.25">
      <c r="A993" s="4">
        <v>20100055237</v>
      </c>
      <c r="B993" s="5" t="s">
        <v>21</v>
      </c>
      <c r="C993" s="52" t="s">
        <v>138</v>
      </c>
      <c r="D993" s="4" t="s">
        <v>139</v>
      </c>
      <c r="E993" s="5" t="s">
        <v>23</v>
      </c>
      <c r="F993" s="24">
        <v>45869</v>
      </c>
      <c r="G993" s="7" t="s">
        <v>113</v>
      </c>
      <c r="H993" s="25">
        <f t="shared" si="121"/>
        <v>1</v>
      </c>
      <c r="I993" s="67">
        <v>4815</v>
      </c>
      <c r="J993" s="8" t="s">
        <v>115</v>
      </c>
      <c r="K993" s="9" t="s">
        <v>121</v>
      </c>
      <c r="L993" s="10" t="s">
        <v>117</v>
      </c>
      <c r="M993" s="11">
        <v>60</v>
      </c>
      <c r="N993" s="12" t="s">
        <v>167</v>
      </c>
      <c r="O993" s="6">
        <v>45869</v>
      </c>
      <c r="P993" s="54">
        <v>3582</v>
      </c>
      <c r="Q993" s="14" t="s">
        <v>85</v>
      </c>
      <c r="R993" s="74"/>
      <c r="S993" s="237">
        <v>297.92</v>
      </c>
      <c r="T993" s="237">
        <f>DATA[[#This Row],[C. DF]]+DATA[[#This Row],[C.OPE.]]</f>
        <v>297.92</v>
      </c>
      <c r="U993" s="15">
        <f>DATA[[#This Row],[SUB TOTAL]]*0.18</f>
        <v>53.625599999999999</v>
      </c>
      <c r="V993" s="15">
        <f>IFERROR(ROUND(DATA[[#This Row],[SUB TOTAL]]+DATA[[#This Row],[IGV]],2),0)</f>
        <v>351.55</v>
      </c>
      <c r="W993" s="16" t="str">
        <f>IF(DATA[[#This Row],[VALORIZACIÓN ]]="-","NO CORRESPONDE",IF(OR(A993=20558226979,A993=10470707866,A993=20111157058,A993=20100226902),"NO CORRESPONDE",IF(J993="Emitida",IF(P993&gt;0,"EMITIDA","PENDIENTE"),"NO CORRESPONDE")))</f>
        <v>EMITIDA</v>
      </c>
      <c r="X993" s="29"/>
      <c r="Y993" s="17" t="s">
        <v>118</v>
      </c>
      <c r="Z993" s="30">
        <v>45883</v>
      </c>
      <c r="AA993" s="10" t="s">
        <v>150</v>
      </c>
      <c r="AB993" s="19">
        <v>205</v>
      </c>
      <c r="AC993" s="20">
        <v>30</v>
      </c>
      <c r="AD993" s="18">
        <f>DATA[[#This Row],[FECHA DE EMISION]]+DATA[[#This Row],[CONDICION DE PAGO]]</f>
        <v>45913</v>
      </c>
      <c r="AE993" s="23">
        <f>IF(DATA[[#This Row],[MONEDA]]="USD",VLOOKUP(DATA[[#This Row],[COMBINADA]],#REF!,11,0),1)</f>
        <v>1</v>
      </c>
      <c r="AF993" s="129" t="str">
        <f>IF(DATA[[#This Row],[SERIE2]]="-","NO CORRESPONDE",IF(W993="NO CORRESPONDE","NO CORRESPONDE",IF(Z993&gt;0,"FACTURADO","PENDIENTE")))</f>
        <v>FACTURADO</v>
      </c>
      <c r="AG993" s="133">
        <f>IFERROR(VLOOKUP(DATA[[#This Row],[COMBINADA]],#REF!,6,0),0)</f>
        <v>0</v>
      </c>
      <c r="AH993" s="125">
        <f>IFERROR(VLOOKUP(DATA[[#This Row],[COMBINADA]],#REF!,9,0),0)/COUNTIFS(DATA[COMBINADA],DATA[[#This Row],[COMBINADA]])</f>
        <v>0</v>
      </c>
      <c r="AI993" s="136">
        <f>IFERROR(VLOOKUP(DATA[[#This Row],[COMBINADA]],#REF!,6,0),0)</f>
        <v>0</v>
      </c>
      <c r="AJ993" s="132">
        <f>IFERROR(VLOOKUP(DATA[[#This Row],[COMBINADA]],#REF!,9,0),0)/COUNTIFS(DATA[COMBINADA],DATA[[#This Row],[COMBINADA]])</f>
        <v>0</v>
      </c>
      <c r="AK993" s="408">
        <f>IFERROR(VLOOKUP(DATA[[#This Row],[COMBINADA]],#REF!,6,0),0)</f>
        <v>0</v>
      </c>
      <c r="AL993" s="125">
        <f>IFERROR(VLOOKUP(DATA[[#This Row],[COMBINADA]],#REF!,9,0),0)/COUNTIFS(DATA[COMBINADA],DATA[[#This Row],[COMBINADA]])</f>
        <v>0</v>
      </c>
      <c r="AM993" s="147">
        <f>IFERROR(VLOOKUP(DATA[[#This Row],[COMBINADA]],#REF!,6,0),0)</f>
        <v>0</v>
      </c>
      <c r="AN993" s="125">
        <f>IFERROR(VLOOKUP(DATA[[#This Row],[COMBINADA]],#REF!,9,0),0)/COUNTIFS(DATA[COMBINADA],DATA[[#This Row],[COMBINADA]])</f>
        <v>0</v>
      </c>
      <c r="AO993" s="27">
        <f>IFERROR(VLOOKUP(DATA[[#This Row],[COMBINADA]],#REF!,6,0),0)</f>
        <v>0</v>
      </c>
      <c r="AP993" s="132">
        <f>IFERROR(VLOOKUP(DATA[[#This Row],[COMBINADA]],#REF!,9,0),0)/COUNTIFS(DATA[COMBINADA],DATA[[#This Row],[COMBINADA]])</f>
        <v>0</v>
      </c>
      <c r="AQ99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993" s="26" t="str">
        <f>IFERROR(IF(DATA[[#This Row],[estado_fact]]="FACTURADO",VLOOKUP(DATA[[#This Row],[SERIE2]]&amp;"-"&amp;DATA[[#This Row],[NUMERO]],#REF!,34,0),"NO CORRESPONDE"),"NO CORRESPONDE")</f>
        <v>NO CORRESPONDE</v>
      </c>
      <c r="AS993" s="22" t="str">
        <f>IF(DATA[[#This Row],[fecha_fs]]&gt;0,TEXT(DATA[[#This Row],[fecha_fs]],"Mmmm"),0)</f>
        <v>Julio</v>
      </c>
      <c r="AT993" s="22" t="str">
        <f>DATA[[#This Row],[SERIE2]]&amp;"-"&amp;DATA[[#This Row],[NUMERO]]</f>
        <v>FF01-205</v>
      </c>
      <c r="AU993" s="28">
        <f>DATA[[#This Row],[TOTAL]]*DATA[[#This Row],[T.C.]]</f>
        <v>351.55</v>
      </c>
      <c r="AV993" s="6">
        <f>DATA[[#This Row],[FECHA DE VAL.]]</f>
        <v>45869</v>
      </c>
      <c r="AW993" s="6">
        <f>DATA[[#This Row],[FECHA DE EMISION]]</f>
        <v>45883</v>
      </c>
      <c r="AX993" s="6">
        <f>DATA[[#This Row],[F1]]</f>
        <v>0</v>
      </c>
      <c r="AY993" s="20">
        <f>IF(AV993-DATA[[#This Row],[fecha_fs]]&lt;0,0,AV993-DATA[[#This Row],[fecha_fs]])</f>
        <v>0</v>
      </c>
      <c r="AZ993" s="20">
        <f t="shared" si="122"/>
        <v>14</v>
      </c>
      <c r="BA993" s="53">
        <f t="shared" si="123"/>
        <v>0</v>
      </c>
      <c r="BB993" s="195">
        <f>IFERROR(SUM(DATA[[#This Row],[fs_val_ttf]:[fact_pago_ttf]]),0)</f>
        <v>14</v>
      </c>
      <c r="BC993" s="233">
        <v>45869</v>
      </c>
      <c r="BD993" s="233">
        <v>45869</v>
      </c>
      <c r="BE993" s="185">
        <v>45870</v>
      </c>
      <c r="BF993" s="185">
        <v>45870</v>
      </c>
      <c r="BG993" s="20">
        <f>IFERROR(IF(BC993-DATA[[#This Row],[fecha_fs]]&lt;0,0,BC993-DATA[[#This Row],[fecha_fs]]),0)</f>
        <v>0</v>
      </c>
      <c r="BH993" s="20">
        <f t="shared" si="124"/>
        <v>0</v>
      </c>
      <c r="BI993" s="20">
        <f t="shared" si="125"/>
        <v>1</v>
      </c>
      <c r="BJ993" s="20">
        <f t="shared" si="126"/>
        <v>0</v>
      </c>
      <c r="BK993" s="282">
        <f>IFERROR(SUM(DATA[[#This Row],[fs_fd_ttd]:[fend_fenf_ttd]]),0)</f>
        <v>1</v>
      </c>
      <c r="BL993" s="20" t="str">
        <f>IF(DATA[[#This Row],[fecha_fs]]&gt;0,TEXT(DATA[[#This Row],[fecha_fs]],"YYYY"),0)</f>
        <v>2025</v>
      </c>
      <c r="BM993" s="236" t="b">
        <v>1</v>
      </c>
      <c r="BN993" s="278">
        <f>COUNTIF(DATA[[#This Row],[tiempo_td]], "&lt;=15")</f>
        <v>1</v>
      </c>
      <c r="BO993" s="222"/>
    </row>
    <row r="994" spans="1:67" ht="30.6" customHeight="1" x14ac:dyDescent="0.25">
      <c r="A994" s="4">
        <v>20462509236</v>
      </c>
      <c r="B994" s="5" t="s">
        <v>81</v>
      </c>
      <c r="C994" s="52" t="s">
        <v>328</v>
      </c>
      <c r="D994" s="4" t="s">
        <v>290</v>
      </c>
      <c r="E994" s="5" t="s">
        <v>294</v>
      </c>
      <c r="F994" s="24">
        <v>45869</v>
      </c>
      <c r="G994" s="7" t="s">
        <v>113</v>
      </c>
      <c r="H994" s="25">
        <f t="shared" si="121"/>
        <v>1</v>
      </c>
      <c r="I994" s="67">
        <v>4816</v>
      </c>
      <c r="J994" s="8" t="s">
        <v>115</v>
      </c>
      <c r="K994" s="9" t="s">
        <v>195</v>
      </c>
      <c r="L994" s="10" t="s">
        <v>117</v>
      </c>
      <c r="M994" s="11">
        <v>1890</v>
      </c>
      <c r="N994" s="12" t="s">
        <v>167</v>
      </c>
      <c r="O994" s="6">
        <v>45869</v>
      </c>
      <c r="P994" s="13">
        <v>3587</v>
      </c>
      <c r="Q994" s="14" t="s">
        <v>85</v>
      </c>
      <c r="R994" s="74"/>
      <c r="S994" s="15">
        <v>1726.99</v>
      </c>
      <c r="T994" s="237">
        <f>DATA[[#This Row],[C. DF]]+DATA[[#This Row],[C.OPE.]]</f>
        <v>1726.99</v>
      </c>
      <c r="U994" s="15">
        <f>DATA[[#This Row],[SUB TOTAL]]*0.18</f>
        <v>310.85820000000001</v>
      </c>
      <c r="V994" s="15">
        <f>IFERROR(ROUND(DATA[[#This Row],[SUB TOTAL]]+DATA[[#This Row],[IGV]],2),0)</f>
        <v>2037.85</v>
      </c>
      <c r="W994" s="16" t="str">
        <f>IF(DATA[[#This Row],[VALORIZACIÓN ]]="-","NO CORRESPONDE",IF(OR(A994=20558226979,A994=10470707866,A994=20111157058,A994=20100226902),"NO CORRESPONDE",IF(J994="Emitida",IF(P994&gt;0,"EMITIDA","PENDIENTE"),"NO CORRESPONDE")))</f>
        <v>EMITIDA</v>
      </c>
      <c r="X994" s="29"/>
      <c r="Y994" s="17" t="s">
        <v>118</v>
      </c>
      <c r="Z994" s="30">
        <v>45912</v>
      </c>
      <c r="AA994" s="10" t="s">
        <v>150</v>
      </c>
      <c r="AB994" s="19">
        <v>250</v>
      </c>
      <c r="AC994" s="20">
        <v>60</v>
      </c>
      <c r="AD994" s="18">
        <f>DATA[[#This Row],[FECHA DE EMISION]]+DATA[[#This Row],[CONDICION DE PAGO]]</f>
        <v>45972</v>
      </c>
      <c r="AE994" s="23">
        <f>IF(DATA[[#This Row],[MONEDA]]="USD",VLOOKUP(DATA[[#This Row],[COMBINADA]],#REF!,11,0),1)</f>
        <v>1</v>
      </c>
      <c r="AF994" s="129" t="str">
        <f>IF(DATA[[#This Row],[SERIE2]]="-","NO CORRESPONDE",IF(W994="NO CORRESPONDE","NO CORRESPONDE",IF(Z994&gt;0,"FACTURADO","PENDIENTE")))</f>
        <v>FACTURADO</v>
      </c>
      <c r="AG994" s="133">
        <f>IFERROR(VLOOKUP(DATA[[#This Row],[COMBINADA]],#REF!,6,0),0)</f>
        <v>0</v>
      </c>
      <c r="AH994" s="125">
        <f>IFERROR(VLOOKUP(DATA[[#This Row],[COMBINADA]],#REF!,9,0),0)/COUNTIFS(DATA[COMBINADA],DATA[[#This Row],[COMBINADA]])</f>
        <v>0</v>
      </c>
      <c r="AI994" s="136">
        <f>IFERROR(VLOOKUP(DATA[[#This Row],[COMBINADA]],#REF!,6,0),0)</f>
        <v>0</v>
      </c>
      <c r="AJ994" s="132">
        <f>IFERROR(VLOOKUP(DATA[[#This Row],[COMBINADA]],#REF!,9,0),0)/COUNTIFS(DATA[COMBINADA],DATA[[#This Row],[COMBINADA]])</f>
        <v>0</v>
      </c>
      <c r="AK994" s="408">
        <f>IFERROR(VLOOKUP(DATA[[#This Row],[COMBINADA]],#REF!,6,0),0)</f>
        <v>0</v>
      </c>
      <c r="AL994" s="125">
        <f>IFERROR(VLOOKUP(DATA[[#This Row],[COMBINADA]],#REF!,9,0),0)/COUNTIFS(DATA[COMBINADA],DATA[[#This Row],[COMBINADA]])</f>
        <v>0</v>
      </c>
      <c r="AM994" s="147">
        <f>IFERROR(VLOOKUP(DATA[[#This Row],[COMBINADA]],#REF!,6,0),0)</f>
        <v>0</v>
      </c>
      <c r="AN994" s="125">
        <f>IFERROR(VLOOKUP(DATA[[#This Row],[COMBINADA]],#REF!,9,0),0)/COUNTIFS(DATA[COMBINADA],DATA[[#This Row],[COMBINADA]])</f>
        <v>0</v>
      </c>
      <c r="AO994" s="27">
        <f>IFERROR(VLOOKUP(DATA[[#This Row],[COMBINADA]],#REF!,6,0),0)</f>
        <v>0</v>
      </c>
      <c r="AP994" s="132">
        <f>IFERROR(VLOOKUP(DATA[[#This Row],[COMBINADA]],#REF!,9,0),0)/COUNTIFS(DATA[COMBINADA],DATA[[#This Row],[COMBINADA]])</f>
        <v>0</v>
      </c>
      <c r="AQ99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2037.85</v>
      </c>
      <c r="AR994" s="26" t="str">
        <f>IFERROR(IF(DATA[[#This Row],[estado_fact]]="FACTURADO",VLOOKUP(DATA[[#This Row],[SERIE2]]&amp;"-"&amp;DATA[[#This Row],[NUMERO]],#REF!,34,0),"NO CORRESPONDE"),"NO CORRESPONDE")</f>
        <v>NO CORRESPONDE</v>
      </c>
      <c r="AS994" s="22" t="str">
        <f>IF(DATA[[#This Row],[fecha_fs]]&gt;0,TEXT(DATA[[#This Row],[fecha_fs]],"Mmmm"),0)</f>
        <v>Julio</v>
      </c>
      <c r="AT994" s="22" t="str">
        <f>DATA[[#This Row],[SERIE2]]&amp;"-"&amp;DATA[[#This Row],[NUMERO]]</f>
        <v>FF01-250</v>
      </c>
      <c r="AU994" s="28">
        <f>DATA[[#This Row],[TOTAL]]*DATA[[#This Row],[T.C.]]</f>
        <v>2037.85</v>
      </c>
      <c r="AV994" s="6">
        <f>DATA[[#This Row],[FECHA DE VAL.]]</f>
        <v>45869</v>
      </c>
      <c r="AW994" s="6">
        <f>DATA[[#This Row],[FECHA DE EMISION]]</f>
        <v>45912</v>
      </c>
      <c r="AX994" s="6">
        <f>DATA[[#This Row],[F1]]</f>
        <v>0</v>
      </c>
      <c r="AY994" s="20">
        <f>IF(AV994-DATA[[#This Row],[fecha_fs]]&lt;0,0,AV994-DATA[[#This Row],[fecha_fs]])</f>
        <v>0</v>
      </c>
      <c r="AZ994" s="20">
        <f t="shared" si="122"/>
        <v>43</v>
      </c>
      <c r="BA994" s="53">
        <f t="shared" si="123"/>
        <v>0</v>
      </c>
      <c r="BB994" s="195">
        <f>IFERROR(SUM(DATA[[#This Row],[fs_val_ttf]:[fact_pago_ttf]]),0)</f>
        <v>43</v>
      </c>
      <c r="BC994" s="233">
        <v>45873</v>
      </c>
      <c r="BD994" s="233">
        <v>45882</v>
      </c>
      <c r="BE994" s="233">
        <v>45890</v>
      </c>
      <c r="BF994" s="233">
        <v>45904</v>
      </c>
      <c r="BG994" s="20">
        <f>IFERROR(IF(BC994-DATA[[#This Row],[fecha_fs]]&lt;0,0,BC994-DATA[[#This Row],[fecha_fs]]),0)</f>
        <v>4</v>
      </c>
      <c r="BH994" s="20">
        <f t="shared" si="124"/>
        <v>9</v>
      </c>
      <c r="BI994" s="20">
        <f t="shared" si="125"/>
        <v>8</v>
      </c>
      <c r="BJ994" s="20">
        <f t="shared" si="126"/>
        <v>14</v>
      </c>
      <c r="BK994" s="282">
        <f>IFERROR(SUM(DATA[[#This Row],[fs_fd_ttd]:[fend_fenf_ttd]]),0)</f>
        <v>35</v>
      </c>
      <c r="BL994" s="20" t="str">
        <f>IF(DATA[[#This Row],[fecha_fs]]&gt;0,TEXT(DATA[[#This Row],[fecha_fs]],"YYYY"),0)</f>
        <v>2025</v>
      </c>
      <c r="BM994" s="236" t="b">
        <v>1</v>
      </c>
      <c r="BN994" s="278">
        <f>COUNTIF(DATA[[#This Row],[tiempo_td]], "&lt;=15")</f>
        <v>0</v>
      </c>
      <c r="BO994" s="294" t="s">
        <v>316</v>
      </c>
    </row>
    <row r="995" spans="1:67" ht="30.6" customHeight="1" x14ac:dyDescent="0.25">
      <c r="A995" s="4">
        <v>20462509236</v>
      </c>
      <c r="B995" s="5" t="s">
        <v>81</v>
      </c>
      <c r="C995" s="52" t="s">
        <v>263</v>
      </c>
      <c r="D995" s="4" t="s">
        <v>290</v>
      </c>
      <c r="E995" s="5" t="s">
        <v>294</v>
      </c>
      <c r="F995" s="24">
        <v>45869</v>
      </c>
      <c r="G995" s="7" t="s">
        <v>113</v>
      </c>
      <c r="H995" s="25">
        <f t="shared" si="121"/>
        <v>1</v>
      </c>
      <c r="I995" s="67">
        <v>4817</v>
      </c>
      <c r="J995" s="8" t="s">
        <v>115</v>
      </c>
      <c r="K995" s="9" t="s">
        <v>195</v>
      </c>
      <c r="L995" s="10" t="s">
        <v>117</v>
      </c>
      <c r="M995" s="11">
        <v>570</v>
      </c>
      <c r="N995" s="12" t="s">
        <v>167</v>
      </c>
      <c r="O995" s="6">
        <v>45869</v>
      </c>
      <c r="P995" s="13">
        <v>3588</v>
      </c>
      <c r="Q995" s="14" t="s">
        <v>85</v>
      </c>
      <c r="R995" s="74"/>
      <c r="S995" s="15">
        <v>1726.99</v>
      </c>
      <c r="T995" s="237">
        <f>DATA[[#This Row],[C. DF]]+DATA[[#This Row],[C.OPE.]]</f>
        <v>1726.99</v>
      </c>
      <c r="U995" s="15">
        <f>DATA[[#This Row],[SUB TOTAL]]*0.18</f>
        <v>310.85820000000001</v>
      </c>
      <c r="V995" s="15">
        <f>IFERROR(ROUND(DATA[[#This Row],[SUB TOTAL]]+DATA[[#This Row],[IGV]],2),0)</f>
        <v>2037.85</v>
      </c>
      <c r="W995" s="16" t="str">
        <f>IF(DATA[[#This Row],[VALORIZACIÓN ]]="-","NO CORRESPONDE",IF(OR(A995=20558226979,A995=10470707866,A995=20111157058,A995=20100226902),"NO CORRESPONDE",IF(J995="Emitida",IF(P995&gt;0,"EMITIDA","PENDIENTE"),"NO CORRESPONDE")))</f>
        <v>EMITIDA</v>
      </c>
      <c r="X995" s="29"/>
      <c r="Y995" s="17" t="s">
        <v>118</v>
      </c>
      <c r="Z995" s="30">
        <v>45912</v>
      </c>
      <c r="AA995" s="10" t="s">
        <v>150</v>
      </c>
      <c r="AB995" s="19">
        <v>252</v>
      </c>
      <c r="AC995" s="20">
        <v>60</v>
      </c>
      <c r="AD995" s="18">
        <f>DATA[[#This Row],[FECHA DE EMISION]]+DATA[[#This Row],[CONDICION DE PAGO]]</f>
        <v>45972</v>
      </c>
      <c r="AE995" s="23">
        <f>IF(DATA[[#This Row],[MONEDA]]="USD",VLOOKUP(DATA[[#This Row],[COMBINADA]],#REF!,11,0),1)</f>
        <v>1</v>
      </c>
      <c r="AF995" s="129" t="str">
        <f>IF(DATA[[#This Row],[SERIE2]]="-","NO CORRESPONDE",IF(W995="NO CORRESPONDE","NO CORRESPONDE",IF(Z995&gt;0,"FACTURADO","PENDIENTE")))</f>
        <v>FACTURADO</v>
      </c>
      <c r="AG995" s="133">
        <f>IFERROR(VLOOKUP(DATA[[#This Row],[COMBINADA]],#REF!,6,0),0)</f>
        <v>0</v>
      </c>
      <c r="AH995" s="125">
        <f>IFERROR(VLOOKUP(DATA[[#This Row],[COMBINADA]],#REF!,9,0),0)/COUNTIFS(DATA[COMBINADA],DATA[[#This Row],[COMBINADA]])</f>
        <v>0</v>
      </c>
      <c r="AI995" s="136">
        <f>IFERROR(VLOOKUP(DATA[[#This Row],[COMBINADA]],#REF!,6,0),0)</f>
        <v>0</v>
      </c>
      <c r="AJ995" s="132">
        <f>IFERROR(VLOOKUP(DATA[[#This Row],[COMBINADA]],#REF!,9,0),0)/COUNTIFS(DATA[COMBINADA],DATA[[#This Row],[COMBINADA]])</f>
        <v>0</v>
      </c>
      <c r="AK995" s="408">
        <f>IFERROR(VLOOKUP(DATA[[#This Row],[COMBINADA]],#REF!,6,0),0)</f>
        <v>0</v>
      </c>
      <c r="AL995" s="125">
        <f>IFERROR(VLOOKUP(DATA[[#This Row],[COMBINADA]],#REF!,9,0),0)/COUNTIFS(DATA[COMBINADA],DATA[[#This Row],[COMBINADA]])</f>
        <v>0</v>
      </c>
      <c r="AM995" s="147">
        <f>IFERROR(VLOOKUP(DATA[[#This Row],[COMBINADA]],#REF!,6,0),0)</f>
        <v>0</v>
      </c>
      <c r="AN995" s="125">
        <f>IFERROR(VLOOKUP(DATA[[#This Row],[COMBINADA]],#REF!,9,0),0)/COUNTIFS(DATA[COMBINADA],DATA[[#This Row],[COMBINADA]])</f>
        <v>0</v>
      </c>
      <c r="AO995" s="27">
        <f>IFERROR(VLOOKUP(DATA[[#This Row],[COMBINADA]],#REF!,6,0),0)</f>
        <v>0</v>
      </c>
      <c r="AP995" s="132">
        <f>IFERROR(VLOOKUP(DATA[[#This Row],[COMBINADA]],#REF!,9,0),0)/COUNTIFS(DATA[COMBINADA],DATA[[#This Row],[COMBINADA]])</f>
        <v>0</v>
      </c>
      <c r="AQ99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2037.85</v>
      </c>
      <c r="AR995" s="26" t="str">
        <f>IFERROR(IF(DATA[[#This Row],[estado_fact]]="FACTURADO",VLOOKUP(DATA[[#This Row],[SERIE2]]&amp;"-"&amp;DATA[[#This Row],[NUMERO]],#REF!,34,0),"NO CORRESPONDE"),"NO CORRESPONDE")</f>
        <v>NO CORRESPONDE</v>
      </c>
      <c r="AS995" s="22" t="str">
        <f>IF(DATA[[#This Row],[fecha_fs]]&gt;0,TEXT(DATA[[#This Row],[fecha_fs]],"Mmmm"),0)</f>
        <v>Julio</v>
      </c>
      <c r="AT995" s="22" t="str">
        <f>DATA[[#This Row],[SERIE2]]&amp;"-"&amp;DATA[[#This Row],[NUMERO]]</f>
        <v>FF01-252</v>
      </c>
      <c r="AU995" s="28">
        <f>DATA[[#This Row],[TOTAL]]*DATA[[#This Row],[T.C.]]</f>
        <v>2037.85</v>
      </c>
      <c r="AV995" s="6">
        <f>DATA[[#This Row],[FECHA DE VAL.]]</f>
        <v>45869</v>
      </c>
      <c r="AW995" s="6">
        <f>DATA[[#This Row],[FECHA DE EMISION]]</f>
        <v>45912</v>
      </c>
      <c r="AX995" s="6">
        <f>DATA[[#This Row],[F1]]</f>
        <v>0</v>
      </c>
      <c r="AY995" s="20">
        <f>IF(AV995-DATA[[#This Row],[fecha_fs]]&lt;0,0,AV995-DATA[[#This Row],[fecha_fs]])</f>
        <v>0</v>
      </c>
      <c r="AZ995" s="20">
        <f t="shared" si="122"/>
        <v>43</v>
      </c>
      <c r="BA995" s="53">
        <f t="shared" si="123"/>
        <v>0</v>
      </c>
      <c r="BB995" s="195">
        <f>IFERROR(SUM(DATA[[#This Row],[fs_val_ttf]:[fact_pago_ttf]]),0)</f>
        <v>43</v>
      </c>
      <c r="BC995" s="233">
        <v>45873</v>
      </c>
      <c r="BD995" s="233">
        <v>45882</v>
      </c>
      <c r="BE995" s="233">
        <v>45890</v>
      </c>
      <c r="BF995" s="233">
        <v>45904</v>
      </c>
      <c r="BG995" s="20">
        <f>IFERROR(IF(BC995-DATA[[#This Row],[fecha_fs]]&lt;0,0,BC995-DATA[[#This Row],[fecha_fs]]),0)</f>
        <v>4</v>
      </c>
      <c r="BH995" s="20">
        <f t="shared" si="124"/>
        <v>9</v>
      </c>
      <c r="BI995" s="20">
        <f t="shared" si="125"/>
        <v>8</v>
      </c>
      <c r="BJ995" s="20">
        <f t="shared" si="126"/>
        <v>14</v>
      </c>
      <c r="BK995" s="282">
        <f>IFERROR(SUM(DATA[[#This Row],[fs_fd_ttd]:[fend_fenf_ttd]]),0)</f>
        <v>35</v>
      </c>
      <c r="BL995" s="20" t="str">
        <f>IF(DATA[[#This Row],[fecha_fs]]&gt;0,TEXT(DATA[[#This Row],[fecha_fs]],"YYYY"),0)</f>
        <v>2025</v>
      </c>
      <c r="BM995" s="236" t="b">
        <v>1</v>
      </c>
      <c r="BN995" s="278">
        <f>COUNTIF(DATA[[#This Row],[tiempo_td]], "&lt;=15")</f>
        <v>0</v>
      </c>
      <c r="BO995" s="294" t="s">
        <v>316</v>
      </c>
    </row>
    <row r="996" spans="1:67" ht="30.6" customHeight="1" x14ac:dyDescent="0.25">
      <c r="A996" s="4">
        <v>20100192064</v>
      </c>
      <c r="B996" s="5" t="s">
        <v>60</v>
      </c>
      <c r="C996" s="52" t="s">
        <v>65</v>
      </c>
      <c r="D996" s="4" t="s">
        <v>120</v>
      </c>
      <c r="E996" s="5" t="s">
        <v>3</v>
      </c>
      <c r="F996" s="24">
        <v>45870</v>
      </c>
      <c r="G996" s="7" t="s">
        <v>142</v>
      </c>
      <c r="H996" s="25">
        <f>IF(G996="","",IF(G996="LIM",2,1))</f>
        <v>2</v>
      </c>
      <c r="I996" s="67">
        <v>1117</v>
      </c>
      <c r="J996" s="8" t="s">
        <v>115</v>
      </c>
      <c r="K996" s="9" t="s">
        <v>121</v>
      </c>
      <c r="L996" s="10" t="s">
        <v>117</v>
      </c>
      <c r="M996" s="11">
        <v>660</v>
      </c>
      <c r="N996" s="12" t="s">
        <v>180</v>
      </c>
      <c r="O996" s="6">
        <v>45894</v>
      </c>
      <c r="P996" s="71">
        <v>3616</v>
      </c>
      <c r="Q996" s="14" t="s">
        <v>123</v>
      </c>
      <c r="R996" s="206">
        <f>(DATA[[#This Row],[cantidad_fs]]/1000)*(37+81.01)</f>
        <v>77.886600000000001</v>
      </c>
      <c r="S996" s="206">
        <v>103.6</v>
      </c>
      <c r="T996" s="237">
        <f>DATA[[#This Row],[C. DF]]+DATA[[#This Row],[C.OPE.]]</f>
        <v>181.48660000000001</v>
      </c>
      <c r="U996" s="15">
        <f>DATA[[#This Row],[SUB TOTAL]]*0.18</f>
        <v>32.667588000000002</v>
      </c>
      <c r="V996" s="15">
        <f>IFERROR(ROUND(DATA[[#This Row],[SUB TOTAL]]+DATA[[#This Row],[IGV]],2),0)</f>
        <v>214.15</v>
      </c>
      <c r="W996" s="16" t="str">
        <f>IF(DATA[[#This Row],[VALORIZACIÓN ]]="-","NO CORRESPONDE",IF(OR(A996=20558226979,A996=10470707866,A996=20111157058,A996=20100226902),"NO CORRESPONDE",IF(J996="Emitida",IF(P996&gt;0,"EMITIDA","PENDIENTE"),"NO CORRESPONDE")))</f>
        <v>EMITIDA</v>
      </c>
      <c r="X996" s="29"/>
      <c r="Y996" s="17" t="s">
        <v>118</v>
      </c>
      <c r="Z996" s="30">
        <v>45895</v>
      </c>
      <c r="AA996" s="10" t="s">
        <v>150</v>
      </c>
      <c r="AB996" s="19">
        <v>220</v>
      </c>
      <c r="AC996" s="20">
        <v>30</v>
      </c>
      <c r="AD996" s="18">
        <f>DATA[[#This Row],[FECHA DE EMISION]]+DATA[[#This Row],[CONDICION DE PAGO]]</f>
        <v>45925</v>
      </c>
      <c r="AE996" s="23" t="e">
        <f>IF(DATA[[#This Row],[MONEDA]]="USD",VLOOKUP(DATA[[#This Row],[COMBINADA]],#REF!,11,0),1)</f>
        <v>#REF!</v>
      </c>
      <c r="AF996" s="39" t="str">
        <f>IF(DATA[[#This Row],[SERIE2]]="-","NO CORRESPONDE",IF(W996="NO CORRESPONDE","NO CORRESPONDE",IF(Z996&gt;0,"FACTURADO","PENDIENTE")))</f>
        <v>FACTURADO</v>
      </c>
      <c r="AG996" s="133">
        <f>IFERROR(VLOOKUP(DATA[[#This Row],[COMBINADA]],#REF!,6,0),0)</f>
        <v>0</v>
      </c>
      <c r="AH996" s="125">
        <f>IFERROR(VLOOKUP(DATA[[#This Row],[COMBINADA]],#REF!,9,0),0)/COUNTIFS(DATA[COMBINADA],DATA[[#This Row],[COMBINADA]])</f>
        <v>0</v>
      </c>
      <c r="AI996" s="136">
        <f>IFERROR(VLOOKUP(DATA[[#This Row],[COMBINADA]],#REF!,6,0),0)</f>
        <v>0</v>
      </c>
      <c r="AJ996" s="132">
        <f>IFERROR(VLOOKUP(DATA[[#This Row],[COMBINADA]],#REF!,9,0),0)/COUNTIFS(DATA[COMBINADA],DATA[[#This Row],[COMBINADA]])</f>
        <v>0</v>
      </c>
      <c r="AK996" s="408">
        <f>IFERROR(VLOOKUP(DATA[[#This Row],[COMBINADA]],#REF!,6,0),0)</f>
        <v>0</v>
      </c>
      <c r="AL996" s="125">
        <f>IFERROR(VLOOKUP(DATA[[#This Row],[COMBINADA]],#REF!,9,0),0)/COUNTIFS(DATA[COMBINADA],DATA[[#This Row],[COMBINADA]])</f>
        <v>0</v>
      </c>
      <c r="AM996" s="147">
        <f>IFERROR(VLOOKUP(DATA[[#This Row],[COMBINADA]],#REF!,6,0),0)</f>
        <v>0</v>
      </c>
      <c r="AN996" s="125">
        <f>IFERROR(VLOOKUP(DATA[[#This Row],[COMBINADA]],#REF!,9,0),0)/COUNTIFS(DATA[COMBINADA],DATA[[#This Row],[COMBINADA]])</f>
        <v>0</v>
      </c>
      <c r="AO996" s="27">
        <f>IFERROR(VLOOKUP(DATA[[#This Row],[COMBINADA]],#REF!,6,0),0)</f>
        <v>0</v>
      </c>
      <c r="AP996" s="132">
        <f>IFERROR(VLOOKUP(DATA[[#This Row],[COMBINADA]],#REF!,9,0),0)/COUNTIFS(DATA[COMBINADA],DATA[[#This Row],[COMBINADA]])</f>
        <v>0</v>
      </c>
      <c r="AQ99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572.11888888888882</v>
      </c>
      <c r="AR996" s="26" t="str">
        <f>IFERROR(IF(DATA[[#This Row],[estado_fact]]="FACTURADO",VLOOKUP(DATA[[#This Row],[SERIE2]]&amp;"-"&amp;DATA[[#This Row],[NUMERO]],#REF!,34,0),"NO CORRESPONDE"),"NO CORRESPONDE")</f>
        <v>NO CORRESPONDE</v>
      </c>
      <c r="AS996" s="22" t="str">
        <f>IF(DATA[[#This Row],[fecha_fs]]&gt;0,TEXT(DATA[[#This Row],[fecha_fs]],"Mmmm"),0)</f>
        <v>Agosto</v>
      </c>
      <c r="AT996" s="22" t="str">
        <f>DATA[[#This Row],[SERIE2]]&amp;"-"&amp;DATA[[#This Row],[NUMERO]]</f>
        <v>FF01-220</v>
      </c>
      <c r="AU996" s="28" t="e">
        <f>DATA[[#This Row],[TOTAL]]*DATA[[#This Row],[T.C.]]</f>
        <v>#REF!</v>
      </c>
      <c r="AV996" s="6">
        <f>DATA[[#This Row],[FECHA DE VAL.]]</f>
        <v>45894</v>
      </c>
      <c r="AW996" s="6">
        <f>DATA[[#This Row],[FECHA DE EMISION]]</f>
        <v>45895</v>
      </c>
      <c r="AX996" s="6">
        <f>DATA[[#This Row],[F1]]</f>
        <v>0</v>
      </c>
      <c r="AY996" s="20">
        <f>IF(AV996-DATA[[#This Row],[fecha_fs]]&lt;0,0,AV996-DATA[[#This Row],[fecha_fs]])</f>
        <v>24</v>
      </c>
      <c r="AZ996" s="20">
        <f>IF(AW996-AV996&lt;0,0,AW996-AV996)</f>
        <v>1</v>
      </c>
      <c r="BA996" s="53">
        <f>IF(AX996-AW996&lt;0,0,AX996-AW996)</f>
        <v>0</v>
      </c>
      <c r="BB996" s="195">
        <f>IFERROR(SUM(DATA[[#This Row],[fs_val_ttf]:[fact_pago_ttf]]),0)</f>
        <v>25</v>
      </c>
      <c r="BC996" s="185">
        <v>45876</v>
      </c>
      <c r="BD996" s="233">
        <v>45903</v>
      </c>
      <c r="BE996" s="233">
        <v>45904</v>
      </c>
      <c r="BF996" s="233">
        <v>45945</v>
      </c>
      <c r="BG996" s="20">
        <f>IFERROR(IF(BC996-DATA[[#This Row],[fecha_fs]]&lt;0,0,BC996-DATA[[#This Row],[fecha_fs]]),0)</f>
        <v>6</v>
      </c>
      <c r="BH996" s="20">
        <f>IFERROR(IF(BD996-BC996&lt;0,0,BD996-BC996),0)</f>
        <v>27</v>
      </c>
      <c r="BI996" s="20">
        <f>IFERROR(IF(BE996-BD996&lt;0,0,BE996-BD996),0)</f>
        <v>1</v>
      </c>
      <c r="BJ996" s="20">
        <f>IFERROR(IF(BF996-BE996&lt;0,0,BF996-BE996),0)</f>
        <v>41</v>
      </c>
      <c r="BK996" s="282">
        <f>IFERROR(SUM(DATA[[#This Row],[fs_fd_ttd]:[fend_fenf_ttd]]),0)</f>
        <v>75</v>
      </c>
      <c r="BL996" s="20" t="str">
        <f>IF(DATA[[#This Row],[fecha_fs]]&gt;0,TEXT(DATA[[#This Row],[fecha_fs]],"YYYY"),0)</f>
        <v>2025</v>
      </c>
      <c r="BM996" s="236" t="b">
        <v>1</v>
      </c>
      <c r="BN996" s="278">
        <f>COUNTIF(DATA[[#This Row],[tiempo_td]], "&lt;=15")</f>
        <v>0</v>
      </c>
      <c r="BO996" s="222"/>
    </row>
    <row r="997" spans="1:67" ht="30.6" customHeight="1" x14ac:dyDescent="0.25">
      <c r="A997" s="4">
        <v>20100211115</v>
      </c>
      <c r="B997" s="5" t="s">
        <v>41</v>
      </c>
      <c r="C997" s="52" t="s">
        <v>18</v>
      </c>
      <c r="D997" s="4" t="s">
        <v>120</v>
      </c>
      <c r="E997" s="5" t="s">
        <v>3</v>
      </c>
      <c r="F997" s="24">
        <v>45870</v>
      </c>
      <c r="G997" s="7" t="s">
        <v>113</v>
      </c>
      <c r="H997" s="25">
        <f t="shared" si="121"/>
        <v>1</v>
      </c>
      <c r="I997" s="67">
        <v>4818</v>
      </c>
      <c r="J997" s="8" t="s">
        <v>115</v>
      </c>
      <c r="K997" s="9" t="s">
        <v>121</v>
      </c>
      <c r="L997" s="10" t="s">
        <v>117</v>
      </c>
      <c r="M997" s="11">
        <v>90</v>
      </c>
      <c r="N997" s="12" t="s">
        <v>167</v>
      </c>
      <c r="O997" s="6">
        <v>45894</v>
      </c>
      <c r="P997" s="115">
        <v>3625</v>
      </c>
      <c r="Q997" s="14" t="s">
        <v>85</v>
      </c>
      <c r="R997" s="74"/>
      <c r="S997" s="237">
        <f>(DATA[[#This Row],[cantidad_fs]]*4.17)</f>
        <v>375.3</v>
      </c>
      <c r="T997" s="237">
        <f>DATA[[#This Row],[C. DF]]+DATA[[#This Row],[C.OPE.]]</f>
        <v>375.3</v>
      </c>
      <c r="U997" s="15">
        <f>DATA[[#This Row],[SUB TOTAL]]*0.18</f>
        <v>67.554000000000002</v>
      </c>
      <c r="V997" s="15">
        <f>IFERROR(ROUND(DATA[[#This Row],[SUB TOTAL]]+DATA[[#This Row],[IGV]],2),0)</f>
        <v>442.85</v>
      </c>
      <c r="W997" s="16" t="str">
        <f>IF(DATA[[#This Row],[VALORIZACIÓN ]]="-","NO CORRESPONDE",IF(OR(A997=20558226979,A997=10470707866,A997=20111157058,A997=20100226902),"NO CORRESPONDE",IF(J997="Emitida",IF(P997&gt;0,"EMITIDA","PENDIENTE"),"NO CORRESPONDE")))</f>
        <v>EMITIDA</v>
      </c>
      <c r="X997" s="29"/>
      <c r="Y997" s="17" t="s">
        <v>118</v>
      </c>
      <c r="Z997" s="30">
        <v>45896</v>
      </c>
      <c r="AA997" s="10" t="s">
        <v>150</v>
      </c>
      <c r="AB997" s="19">
        <v>224</v>
      </c>
      <c r="AC997" s="20">
        <v>30</v>
      </c>
      <c r="AD997" s="18">
        <f>DATA[[#This Row],[FECHA DE EMISION]]+DATA[[#This Row],[CONDICION DE PAGO]]</f>
        <v>45926</v>
      </c>
      <c r="AE997" s="23">
        <f>IF(DATA[[#This Row],[MONEDA]]="USD",VLOOKUP(DATA[[#This Row],[COMBINADA]],#REF!,11,0),1)</f>
        <v>1</v>
      </c>
      <c r="AF997" s="129" t="str">
        <f>IF(DATA[[#This Row],[SERIE2]]="-","NO CORRESPONDE",IF(W997="NO CORRESPONDE","NO CORRESPONDE",IF(Z997&gt;0,"FACTURADO","PENDIENTE")))</f>
        <v>FACTURADO</v>
      </c>
      <c r="AG997" s="133">
        <f>IFERROR(VLOOKUP(DATA[[#This Row],[COMBINADA]],#REF!,6,0),0)</f>
        <v>0</v>
      </c>
      <c r="AH997" s="125">
        <f>IFERROR(VLOOKUP(DATA[[#This Row],[COMBINADA]],#REF!,9,0),0)/COUNTIFS(DATA[COMBINADA],DATA[[#This Row],[COMBINADA]])</f>
        <v>0</v>
      </c>
      <c r="AI997" s="136">
        <f>IFERROR(VLOOKUP(DATA[[#This Row],[COMBINADA]],#REF!,6,0),0)</f>
        <v>0</v>
      </c>
      <c r="AJ997" s="132">
        <f>IFERROR(VLOOKUP(DATA[[#This Row],[COMBINADA]],#REF!,9,0),0)/COUNTIFS(DATA[COMBINADA],DATA[[#This Row],[COMBINADA]])</f>
        <v>0</v>
      </c>
      <c r="AK997" s="408">
        <f>IFERROR(VLOOKUP(DATA[[#This Row],[COMBINADA]],#REF!,6,0),0)</f>
        <v>0</v>
      </c>
      <c r="AL997" s="125">
        <f>IFERROR(VLOOKUP(DATA[[#This Row],[COMBINADA]],#REF!,9,0),0)/COUNTIFS(DATA[COMBINADA],DATA[[#This Row],[COMBINADA]])</f>
        <v>0</v>
      </c>
      <c r="AM997" s="147">
        <f>IFERROR(VLOOKUP(DATA[[#This Row],[COMBINADA]],#REF!,6,0),0)</f>
        <v>0</v>
      </c>
      <c r="AN997" s="125">
        <f>IFERROR(VLOOKUP(DATA[[#This Row],[COMBINADA]],#REF!,9,0),0)/COUNTIFS(DATA[COMBINADA],DATA[[#This Row],[COMBINADA]])</f>
        <v>0</v>
      </c>
      <c r="AO997" s="27">
        <f>IFERROR(VLOOKUP(DATA[[#This Row],[COMBINADA]],#REF!,6,0),0)</f>
        <v>0</v>
      </c>
      <c r="AP997" s="132">
        <f>IFERROR(VLOOKUP(DATA[[#This Row],[COMBINADA]],#REF!,9,0),0)/COUNTIFS(DATA[COMBINADA],DATA[[#This Row],[COMBINADA]])</f>
        <v>0</v>
      </c>
      <c r="AQ99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v>
      </c>
      <c r="AR997" s="26" t="str">
        <f>IFERROR(IF(DATA[[#This Row],[estado_fact]]="FACTURADO",VLOOKUP(DATA[[#This Row],[SERIE2]]&amp;"-"&amp;DATA[[#This Row],[NUMERO]],#REF!,34,0),"NO CORRESPONDE"),"NO CORRESPONDE")</f>
        <v>NO CORRESPONDE</v>
      </c>
      <c r="AS997" s="22" t="str">
        <f>IF(DATA[[#This Row],[fecha_fs]]&gt;0,TEXT(DATA[[#This Row],[fecha_fs]],"Mmmm"),0)</f>
        <v>Agosto</v>
      </c>
      <c r="AT997" s="22" t="str">
        <f>DATA[[#This Row],[SERIE2]]&amp;"-"&amp;DATA[[#This Row],[NUMERO]]</f>
        <v>FF01-224</v>
      </c>
      <c r="AU997" s="28">
        <f>DATA[[#This Row],[TOTAL]]*DATA[[#This Row],[T.C.]]</f>
        <v>442.85</v>
      </c>
      <c r="AV997" s="6">
        <f>DATA[[#This Row],[FECHA DE VAL.]]</f>
        <v>45894</v>
      </c>
      <c r="AW997" s="6">
        <f>DATA[[#This Row],[FECHA DE EMISION]]</f>
        <v>45896</v>
      </c>
      <c r="AX997" s="6">
        <f>DATA[[#This Row],[F1]]</f>
        <v>0</v>
      </c>
      <c r="AY997" s="20">
        <f>IF(AV997-DATA[[#This Row],[fecha_fs]]&lt;0,0,AV997-DATA[[#This Row],[fecha_fs]])</f>
        <v>24</v>
      </c>
      <c r="AZ997" s="20">
        <f t="shared" si="122"/>
        <v>2</v>
      </c>
      <c r="BA997" s="53">
        <f t="shared" si="123"/>
        <v>0</v>
      </c>
      <c r="BB997" s="195">
        <f>IFERROR(SUM(DATA[[#This Row],[fs_val_ttf]:[fact_pago_ttf]]),0)</f>
        <v>26</v>
      </c>
      <c r="BC997" s="233">
        <v>45903</v>
      </c>
      <c r="BD997" s="233">
        <v>45905</v>
      </c>
      <c r="BE997" s="233">
        <v>45908</v>
      </c>
      <c r="BF997" s="185">
        <v>45911</v>
      </c>
      <c r="BG997" s="20">
        <f>IFERROR(IF(BC997-DATA[[#This Row],[fecha_fs]]&lt;0,0,BC997-DATA[[#This Row],[fecha_fs]]),0)</f>
        <v>33</v>
      </c>
      <c r="BH997" s="20">
        <f t="shared" si="124"/>
        <v>2</v>
      </c>
      <c r="BI997" s="20">
        <f t="shared" si="125"/>
        <v>3</v>
      </c>
      <c r="BJ997" s="20">
        <f t="shared" si="126"/>
        <v>3</v>
      </c>
      <c r="BK997" s="282">
        <f>IFERROR(SUM(DATA[[#This Row],[fs_fd_ttd]:[fend_fenf_ttd]]),0)</f>
        <v>41</v>
      </c>
      <c r="BL997" s="20" t="str">
        <f>IF(DATA[[#This Row],[fecha_fs]]&gt;0,TEXT(DATA[[#This Row],[fecha_fs]],"YYYY"),0)</f>
        <v>2025</v>
      </c>
      <c r="BM997" s="236" t="b">
        <v>1</v>
      </c>
      <c r="BN997" s="278">
        <f>COUNTIF(DATA[[#This Row],[tiempo_td]], "&lt;=15")</f>
        <v>0</v>
      </c>
      <c r="BO997" s="222"/>
    </row>
    <row r="998" spans="1:67" ht="30.6" customHeight="1" x14ac:dyDescent="0.25">
      <c r="A998" s="4">
        <v>20100211115</v>
      </c>
      <c r="B998" s="5" t="s">
        <v>41</v>
      </c>
      <c r="C998" s="52" t="s">
        <v>18</v>
      </c>
      <c r="D998" s="4" t="s">
        <v>112</v>
      </c>
      <c r="E998" s="5" t="s">
        <v>1</v>
      </c>
      <c r="F998" s="24">
        <v>45870</v>
      </c>
      <c r="G998" s="7" t="s">
        <v>113</v>
      </c>
      <c r="H998" s="25">
        <f t="shared" si="121"/>
        <v>1</v>
      </c>
      <c r="I998" s="67">
        <v>4819</v>
      </c>
      <c r="J998" s="8" t="s">
        <v>115</v>
      </c>
      <c r="K998" s="9" t="s">
        <v>116</v>
      </c>
      <c r="L998" s="10" t="s">
        <v>117</v>
      </c>
      <c r="M998" s="11">
        <v>6</v>
      </c>
      <c r="N998" s="12" t="s">
        <v>167</v>
      </c>
      <c r="O998" s="6">
        <v>45898</v>
      </c>
      <c r="P998" s="115">
        <v>3627</v>
      </c>
      <c r="Q998" s="14" t="s">
        <v>85</v>
      </c>
      <c r="R998" s="74"/>
      <c r="S998" s="237">
        <f>(DATA[[#This Row],[cantidad_fs]]*4.57)</f>
        <v>27.42</v>
      </c>
      <c r="T998" s="237">
        <f>DATA[[#This Row],[C. DF]]+DATA[[#This Row],[C.OPE.]]</f>
        <v>27.42</v>
      </c>
      <c r="U998" s="15">
        <f>DATA[[#This Row],[SUB TOTAL]]*0.18</f>
        <v>4.9356</v>
      </c>
      <c r="V998" s="15">
        <f>IFERROR(ROUND(DATA[[#This Row],[SUB TOTAL]]+DATA[[#This Row],[IGV]],2),0)</f>
        <v>32.36</v>
      </c>
      <c r="W998" s="16" t="str">
        <f>IF(DATA[[#This Row],[VALORIZACIÓN ]]="-","NO CORRESPONDE",IF(OR(A998=20558226979,A998=10470707866,A998=20111157058,A998=20100226902),"NO CORRESPONDE",IF(J998="Emitida",IF(P998&gt;0,"EMITIDA","PENDIENTE"),"NO CORRESPONDE")))</f>
        <v>EMITIDA</v>
      </c>
      <c r="X998" s="29"/>
      <c r="Y998" s="17" t="s">
        <v>118</v>
      </c>
      <c r="Z998" s="30">
        <v>45896</v>
      </c>
      <c r="AA998" s="10" t="s">
        <v>150</v>
      </c>
      <c r="AB998" s="19">
        <v>225</v>
      </c>
      <c r="AC998" s="20">
        <v>30</v>
      </c>
      <c r="AD998" s="18">
        <f>DATA[[#This Row],[FECHA DE EMISION]]+DATA[[#This Row],[CONDICION DE PAGO]]</f>
        <v>45926</v>
      </c>
      <c r="AE998" s="23">
        <f>IF(DATA[[#This Row],[MONEDA]]="USD",VLOOKUP(DATA[[#This Row],[COMBINADA]],#REF!,11,0),1)</f>
        <v>1</v>
      </c>
      <c r="AF998" s="129" t="str">
        <f>IF(DATA[[#This Row],[SERIE2]]="-","NO CORRESPONDE",IF(W998="NO CORRESPONDE","NO CORRESPONDE",IF(Z998&gt;0,"FACTURADO","PENDIENTE")))</f>
        <v>FACTURADO</v>
      </c>
      <c r="AG998" s="133">
        <f>IFERROR(VLOOKUP(DATA[[#This Row],[COMBINADA]],#REF!,6,0),0)</f>
        <v>0</v>
      </c>
      <c r="AH998" s="125">
        <f>IFERROR(VLOOKUP(DATA[[#This Row],[COMBINADA]],#REF!,9,0),0)/COUNTIFS(DATA[COMBINADA],DATA[[#This Row],[COMBINADA]])</f>
        <v>0</v>
      </c>
      <c r="AI998" s="136">
        <f>IFERROR(VLOOKUP(DATA[[#This Row],[COMBINADA]],#REF!,6,0),0)</f>
        <v>0</v>
      </c>
      <c r="AJ998" s="132">
        <f>IFERROR(VLOOKUP(DATA[[#This Row],[COMBINADA]],#REF!,9,0),0)/COUNTIFS(DATA[COMBINADA],DATA[[#This Row],[COMBINADA]])</f>
        <v>0</v>
      </c>
      <c r="AK998" s="408">
        <f>IFERROR(VLOOKUP(DATA[[#This Row],[COMBINADA]],#REF!,6,0),0)</f>
        <v>0</v>
      </c>
      <c r="AL998" s="125">
        <f>IFERROR(VLOOKUP(DATA[[#This Row],[COMBINADA]],#REF!,9,0),0)/COUNTIFS(DATA[COMBINADA],DATA[[#This Row],[COMBINADA]])</f>
        <v>0</v>
      </c>
      <c r="AM998" s="147">
        <f>IFERROR(VLOOKUP(DATA[[#This Row],[COMBINADA]],#REF!,6,0),0)</f>
        <v>0</v>
      </c>
      <c r="AN998" s="125">
        <f>IFERROR(VLOOKUP(DATA[[#This Row],[COMBINADA]],#REF!,9,0),0)/COUNTIFS(DATA[COMBINADA],DATA[[#This Row],[COMBINADA]])</f>
        <v>0</v>
      </c>
      <c r="AO998" s="27">
        <f>IFERROR(VLOOKUP(DATA[[#This Row],[COMBINADA]],#REF!,6,0),0)</f>
        <v>0</v>
      </c>
      <c r="AP998" s="132">
        <f>IFERROR(VLOOKUP(DATA[[#This Row],[COMBINADA]],#REF!,9,0),0)/COUNTIFS(DATA[COMBINADA],DATA[[#This Row],[COMBINADA]])</f>
        <v>0</v>
      </c>
      <c r="AQ99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1878.4266666666665</v>
      </c>
      <c r="AR998" s="26" t="str">
        <f>IFERROR(IF(DATA[[#This Row],[estado_fact]]="FACTURADO",VLOOKUP(DATA[[#This Row],[SERIE2]]&amp;"-"&amp;DATA[[#This Row],[NUMERO]],#REF!,34,0),"NO CORRESPONDE"),"NO CORRESPONDE")</f>
        <v>NO CORRESPONDE</v>
      </c>
      <c r="AS998" s="22" t="str">
        <f>IF(DATA[[#This Row],[fecha_fs]]&gt;0,TEXT(DATA[[#This Row],[fecha_fs]],"Mmmm"),0)</f>
        <v>Agosto</v>
      </c>
      <c r="AT998" s="22" t="str">
        <f>DATA[[#This Row],[SERIE2]]&amp;"-"&amp;DATA[[#This Row],[NUMERO]]</f>
        <v>FF01-225</v>
      </c>
      <c r="AU998" s="28">
        <f>DATA[[#This Row],[TOTAL]]*DATA[[#This Row],[T.C.]]</f>
        <v>32.36</v>
      </c>
      <c r="AV998" s="6">
        <f>DATA[[#This Row],[FECHA DE VAL.]]</f>
        <v>45898</v>
      </c>
      <c r="AW998" s="6">
        <f>DATA[[#This Row],[FECHA DE EMISION]]</f>
        <v>45896</v>
      </c>
      <c r="AX998" s="6">
        <f>DATA[[#This Row],[F1]]</f>
        <v>0</v>
      </c>
      <c r="AY998" s="20">
        <f>IF(AV998-DATA[[#This Row],[fecha_fs]]&lt;0,0,AV998-DATA[[#This Row],[fecha_fs]])</f>
        <v>28</v>
      </c>
      <c r="AZ998" s="20">
        <f t="shared" si="122"/>
        <v>0</v>
      </c>
      <c r="BA998" s="53">
        <f t="shared" si="123"/>
        <v>0</v>
      </c>
      <c r="BB998" s="195">
        <f>IFERROR(SUM(DATA[[#This Row],[fs_val_ttf]:[fact_pago_ttf]]),0)</f>
        <v>28</v>
      </c>
      <c r="BC998" s="233">
        <v>45902</v>
      </c>
      <c r="BD998" s="233">
        <v>45910</v>
      </c>
      <c r="BE998" s="233">
        <v>45911</v>
      </c>
      <c r="BF998" s="233">
        <v>45911</v>
      </c>
      <c r="BG998" s="20">
        <f>IFERROR(IF(BC998-DATA[[#This Row],[fecha_fs]]&lt;0,0,BC998-DATA[[#This Row],[fecha_fs]]),0)</f>
        <v>32</v>
      </c>
      <c r="BH998" s="20">
        <f t="shared" si="124"/>
        <v>8</v>
      </c>
      <c r="BI998" s="20">
        <f t="shared" si="125"/>
        <v>1</v>
      </c>
      <c r="BJ998" s="20">
        <f t="shared" si="126"/>
        <v>0</v>
      </c>
      <c r="BK998" s="282">
        <f>IFERROR(SUM(DATA[[#This Row],[fs_fd_ttd]:[fend_fenf_ttd]]),0)</f>
        <v>41</v>
      </c>
      <c r="BL998" s="20" t="str">
        <f>IF(DATA[[#This Row],[fecha_fs]]&gt;0,TEXT(DATA[[#This Row],[fecha_fs]],"YYYY"),0)</f>
        <v>2025</v>
      </c>
      <c r="BM998" s="236" t="b">
        <v>1</v>
      </c>
      <c r="BN998" s="278">
        <f>COUNTIF(DATA[[#This Row],[tiempo_td]], "&lt;=15")</f>
        <v>0</v>
      </c>
      <c r="BO998" s="222"/>
    </row>
    <row r="999" spans="1:67" ht="30.6" customHeight="1" x14ac:dyDescent="0.25">
      <c r="A999" s="4">
        <v>20552714378</v>
      </c>
      <c r="B999" s="5" t="s">
        <v>288</v>
      </c>
      <c r="C999" s="52" t="s">
        <v>264</v>
      </c>
      <c r="D999" s="4" t="s">
        <v>112</v>
      </c>
      <c r="E999" s="5" t="s">
        <v>1</v>
      </c>
      <c r="F999" s="24">
        <v>45870</v>
      </c>
      <c r="G999" s="7" t="s">
        <v>113</v>
      </c>
      <c r="H999" s="25">
        <f t="shared" si="121"/>
        <v>1</v>
      </c>
      <c r="I999" s="67">
        <v>4820</v>
      </c>
      <c r="J999" s="8" t="s">
        <v>115</v>
      </c>
      <c r="K999" s="9" t="s">
        <v>116</v>
      </c>
      <c r="L999" s="10" t="s">
        <v>117</v>
      </c>
      <c r="M999" s="11">
        <v>1050</v>
      </c>
      <c r="N999" s="12" t="s">
        <v>167</v>
      </c>
      <c r="O999" s="6">
        <v>45894</v>
      </c>
      <c r="P999" s="109">
        <v>3623</v>
      </c>
      <c r="Q999" s="14" t="s">
        <v>85</v>
      </c>
      <c r="R999" s="15">
        <f>450+((DATA[[#This Row],[cantidad_fs]]-1000)*0.45)</f>
        <v>472.5</v>
      </c>
      <c r="S999" s="237">
        <v>2319.6999999999998</v>
      </c>
      <c r="T999" s="237">
        <f>DATA[[#This Row],[C. DF]]+DATA[[#This Row],[C.OPE.]]</f>
        <v>2792.2</v>
      </c>
      <c r="U999" s="15">
        <f>DATA[[#This Row],[SUB TOTAL]]*0.18</f>
        <v>502.59599999999995</v>
      </c>
      <c r="V999" s="15">
        <f>IFERROR(ROUND(DATA[[#This Row],[SUB TOTAL]]+DATA[[#This Row],[IGV]],2),0)</f>
        <v>3294.8</v>
      </c>
      <c r="W999" s="16" t="str">
        <f>IF(DATA[[#This Row],[VALORIZACIÓN ]]="-","NO CORRESPONDE",IF(OR(A999=20558226979,A999=10470707866,A999=20111157058,A999=20100226902),"NO CORRESPONDE",IF(J999="Emitida",IF(P999&gt;0,"EMITIDA","PENDIENTE"),"NO CORRESPONDE")))</f>
        <v>EMITIDA</v>
      </c>
      <c r="X999" s="29" t="s">
        <v>324</v>
      </c>
      <c r="Y999" s="17" t="s">
        <v>118</v>
      </c>
      <c r="Z999" s="30">
        <v>45912</v>
      </c>
      <c r="AA999" s="10" t="s">
        <v>150</v>
      </c>
      <c r="AB999" s="19">
        <v>254</v>
      </c>
      <c r="AC999" s="20">
        <v>60</v>
      </c>
      <c r="AD999" s="18">
        <f>DATA[[#This Row],[FECHA DE EMISION]]+DATA[[#This Row],[CONDICION DE PAGO]]</f>
        <v>45972</v>
      </c>
      <c r="AE999" s="23">
        <f>IF(DATA[[#This Row],[MONEDA]]="USD",VLOOKUP(DATA[[#This Row],[COMBINADA]],#REF!,11,0),1)</f>
        <v>1</v>
      </c>
      <c r="AF999" s="129" t="str">
        <f>IF(DATA[[#This Row],[SERIE2]]="-","NO CORRESPONDE",IF(W999="NO CORRESPONDE","NO CORRESPONDE",IF(Z999&gt;0,"FACTURADO","PENDIENTE")))</f>
        <v>FACTURADO</v>
      </c>
      <c r="AG999" s="133">
        <f>IFERROR(VLOOKUP(DATA[[#This Row],[COMBINADA]],#REF!,6,0),0)</f>
        <v>0</v>
      </c>
      <c r="AH999" s="125">
        <f>IFERROR(VLOOKUP(DATA[[#This Row],[COMBINADA]],#REF!,9,0),0)/COUNTIFS(DATA[COMBINADA],DATA[[#This Row],[COMBINADA]])</f>
        <v>0</v>
      </c>
      <c r="AI999" s="136">
        <f>IFERROR(VLOOKUP(DATA[[#This Row],[COMBINADA]],#REF!,6,0),0)</f>
        <v>0</v>
      </c>
      <c r="AJ999" s="132">
        <f>IFERROR(VLOOKUP(DATA[[#This Row],[COMBINADA]],#REF!,9,0),0)/COUNTIFS(DATA[COMBINADA],DATA[[#This Row],[COMBINADA]])</f>
        <v>0</v>
      </c>
      <c r="AK999" s="408">
        <f>IFERROR(VLOOKUP(DATA[[#This Row],[COMBINADA]],#REF!,6,0),0)</f>
        <v>0</v>
      </c>
      <c r="AL999" s="125">
        <f>IFERROR(VLOOKUP(DATA[[#This Row],[COMBINADA]],#REF!,9,0),0)/COUNTIFS(DATA[COMBINADA],DATA[[#This Row],[COMBINADA]])</f>
        <v>0</v>
      </c>
      <c r="AM999" s="147">
        <f>IFERROR(VLOOKUP(DATA[[#This Row],[COMBINADA]],#REF!,6,0),0)</f>
        <v>0</v>
      </c>
      <c r="AN999" s="125">
        <f>IFERROR(VLOOKUP(DATA[[#This Row],[COMBINADA]],#REF!,9,0),0)/COUNTIFS(DATA[COMBINADA],DATA[[#This Row],[COMBINADA]])</f>
        <v>0</v>
      </c>
      <c r="AO999" s="27">
        <f>IFERROR(VLOOKUP(DATA[[#This Row],[COMBINADA]],#REF!,6,0),0)</f>
        <v>0</v>
      </c>
      <c r="AP999" s="132">
        <f>IFERROR(VLOOKUP(DATA[[#This Row],[COMBINADA]],#REF!,9,0),0)/COUNTIFS(DATA[COMBINADA],DATA[[#This Row],[COMBINADA]])</f>
        <v>0</v>
      </c>
      <c r="AQ99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3034.61</v>
      </c>
      <c r="AR999" s="26" t="str">
        <f>IFERROR(IF(DATA[[#This Row],[estado_fact]]="FACTURADO",VLOOKUP(DATA[[#This Row],[SERIE2]]&amp;"-"&amp;DATA[[#This Row],[NUMERO]],#REF!,34,0),"NO CORRESPONDE"),"NO CORRESPONDE")</f>
        <v>NO CORRESPONDE</v>
      </c>
      <c r="AS999" s="22" t="str">
        <f>IF(DATA[[#This Row],[fecha_fs]]&gt;0,TEXT(DATA[[#This Row],[fecha_fs]],"Mmmm"),0)</f>
        <v>Agosto</v>
      </c>
      <c r="AT999" s="22" t="str">
        <f>DATA[[#This Row],[SERIE2]]&amp;"-"&amp;DATA[[#This Row],[NUMERO]]</f>
        <v>FF01-254</v>
      </c>
      <c r="AU999" s="28">
        <f>DATA[[#This Row],[TOTAL]]*DATA[[#This Row],[T.C.]]</f>
        <v>3294.8</v>
      </c>
      <c r="AV999" s="6">
        <f>DATA[[#This Row],[FECHA DE VAL.]]</f>
        <v>45894</v>
      </c>
      <c r="AW999" s="6">
        <f>DATA[[#This Row],[FECHA DE EMISION]]</f>
        <v>45912</v>
      </c>
      <c r="AX999" s="6">
        <f>DATA[[#This Row],[F1]]</f>
        <v>0</v>
      </c>
      <c r="AY999" s="20">
        <f>IF(AV999-DATA[[#This Row],[fecha_fs]]&lt;0,0,AV999-DATA[[#This Row],[fecha_fs]])</f>
        <v>24</v>
      </c>
      <c r="AZ999" s="20">
        <f t="shared" si="122"/>
        <v>18</v>
      </c>
      <c r="BA999" s="53">
        <f t="shared" si="123"/>
        <v>0</v>
      </c>
      <c r="BB999" s="195">
        <f>IFERROR(SUM(DATA[[#This Row],[fs_val_ttf]:[fact_pago_ttf]]),0)</f>
        <v>42</v>
      </c>
      <c r="BC999" s="185">
        <v>45894</v>
      </c>
      <c r="BD999" s="185">
        <v>45903</v>
      </c>
      <c r="BE999" s="185">
        <v>45909</v>
      </c>
      <c r="BF999" s="185">
        <v>45903</v>
      </c>
      <c r="BG999" s="20">
        <f>IFERROR(IF(BC999-DATA[[#This Row],[fecha_fs]]&lt;0,0,BC999-DATA[[#This Row],[fecha_fs]]),0)</f>
        <v>24</v>
      </c>
      <c r="BH999" s="20">
        <f t="shared" si="124"/>
        <v>9</v>
      </c>
      <c r="BI999" s="20">
        <f t="shared" si="125"/>
        <v>6</v>
      </c>
      <c r="BJ999" s="20">
        <f t="shared" si="126"/>
        <v>0</v>
      </c>
      <c r="BK999" s="282">
        <f>IFERROR(SUM(DATA[[#This Row],[fs_fd_ttd]:[fend_fenf_ttd]]),0)</f>
        <v>39</v>
      </c>
      <c r="BL999" s="20" t="str">
        <f>IF(DATA[[#This Row],[fecha_fs]]&gt;0,TEXT(DATA[[#This Row],[fecha_fs]],"YYYY"),0)</f>
        <v>2025</v>
      </c>
      <c r="BM999" s="236" t="b">
        <v>1</v>
      </c>
      <c r="BN999" s="278">
        <f>COUNTIF(DATA[[#This Row],[tiempo_td]], "&lt;=15")</f>
        <v>0</v>
      </c>
      <c r="BO999" s="222"/>
    </row>
    <row r="1000" spans="1:67" ht="30.6" customHeight="1" x14ac:dyDescent="0.25">
      <c r="A1000" s="4">
        <v>20141637941</v>
      </c>
      <c r="B1000" s="5" t="s">
        <v>79</v>
      </c>
      <c r="C1000" s="52" t="s">
        <v>18</v>
      </c>
      <c r="D1000" s="4" t="s">
        <v>120</v>
      </c>
      <c r="E1000" s="5" t="s">
        <v>3</v>
      </c>
      <c r="F1000" s="24">
        <v>45870</v>
      </c>
      <c r="G1000" s="7" t="s">
        <v>113</v>
      </c>
      <c r="H1000" s="25">
        <f t="shared" si="121"/>
        <v>1</v>
      </c>
      <c r="I1000" s="67">
        <v>4821</v>
      </c>
      <c r="J1000" s="8" t="s">
        <v>115</v>
      </c>
      <c r="K1000" s="9" t="s">
        <v>121</v>
      </c>
      <c r="L1000" s="10" t="s">
        <v>117</v>
      </c>
      <c r="M1000" s="11">
        <v>510</v>
      </c>
      <c r="N1000" s="12" t="s">
        <v>249</v>
      </c>
      <c r="O1000" s="6">
        <v>45880</v>
      </c>
      <c r="P1000" s="110">
        <v>3597</v>
      </c>
      <c r="Q1000" s="14" t="s">
        <v>85</v>
      </c>
      <c r="R1000" s="206">
        <v>80</v>
      </c>
      <c r="S1000" s="206">
        <v>832</v>
      </c>
      <c r="T1000" s="237">
        <f>DATA[[#This Row],[C. DF]]+DATA[[#This Row],[C.OPE.]]</f>
        <v>912</v>
      </c>
      <c r="U1000" s="15">
        <f>DATA[[#This Row],[SUB TOTAL]]*0.18</f>
        <v>164.16</v>
      </c>
      <c r="V1000" s="15">
        <f>IFERROR(ROUND(DATA[[#This Row],[SUB TOTAL]]+DATA[[#This Row],[IGV]],2),0)</f>
        <v>1076.1600000000001</v>
      </c>
      <c r="W1000" s="16" t="str">
        <f>IF(DATA[[#This Row],[VALORIZACIÓN ]]="-","NO CORRESPONDE",IF(OR(A1000=20558226979,A1000=10470707866,A1000=20111157058,A1000=20100226902),"NO CORRESPONDE",IF(J1000="Emitida",IF(P1000&gt;0,"EMITIDA","PENDIENTE"),"NO CORRESPONDE")))</f>
        <v>EMITIDA</v>
      </c>
      <c r="X1000" s="29"/>
      <c r="Y1000" s="17" t="s">
        <v>118</v>
      </c>
      <c r="Z1000" s="30">
        <v>45881</v>
      </c>
      <c r="AA1000" s="10" t="s">
        <v>150</v>
      </c>
      <c r="AB1000" s="19">
        <v>204</v>
      </c>
      <c r="AC1000" s="20">
        <v>30</v>
      </c>
      <c r="AD1000" s="18">
        <f>DATA[[#This Row],[FECHA DE EMISION]]+DATA[[#This Row],[CONDICION DE PAGO]]</f>
        <v>45911</v>
      </c>
      <c r="AE1000" s="23">
        <f>IF(DATA[[#This Row],[MONEDA]]="USD",VLOOKUP(DATA[[#This Row],[COMBINADA]],#REF!,11,0),1)</f>
        <v>1</v>
      </c>
      <c r="AF1000" s="129" t="str">
        <f>IF(DATA[[#This Row],[SERIE2]]="-","NO CORRESPONDE",IF(W1000="NO CORRESPONDE","NO CORRESPONDE",IF(Z1000&gt;0,"FACTURADO","PENDIENTE")))</f>
        <v>FACTURADO</v>
      </c>
      <c r="AG1000" s="133">
        <f>IFERROR(VLOOKUP(DATA[[#This Row],[COMBINADA]],#REF!,6,0),0)</f>
        <v>0</v>
      </c>
      <c r="AH1000" s="125">
        <f>IFERROR(VLOOKUP(DATA[[#This Row],[COMBINADA]],#REF!,9,0),0)/COUNTIFS(DATA[COMBINADA],DATA[[#This Row],[COMBINADA]])</f>
        <v>0</v>
      </c>
      <c r="AI1000" s="136">
        <f>IFERROR(VLOOKUP(DATA[[#This Row],[COMBINADA]],#REF!,6,0),0)</f>
        <v>0</v>
      </c>
      <c r="AJ1000" s="132">
        <f>IFERROR(VLOOKUP(DATA[[#This Row],[COMBINADA]],#REF!,9,0),0)/COUNTIFS(DATA[COMBINADA],DATA[[#This Row],[COMBINADA]])</f>
        <v>0</v>
      </c>
      <c r="AK1000" s="408">
        <f>IFERROR(VLOOKUP(DATA[[#This Row],[COMBINADA]],#REF!,6,0),0)</f>
        <v>0</v>
      </c>
      <c r="AL1000" s="125">
        <f>IFERROR(VLOOKUP(DATA[[#This Row],[COMBINADA]],#REF!,9,0),0)/COUNTIFS(DATA[COMBINADA],DATA[[#This Row],[COMBINADA]])</f>
        <v>0</v>
      </c>
      <c r="AM1000" s="147">
        <f>IFERROR(VLOOKUP(DATA[[#This Row],[COMBINADA]],#REF!,6,0),0)</f>
        <v>0</v>
      </c>
      <c r="AN1000" s="125">
        <f>IFERROR(VLOOKUP(DATA[[#This Row],[COMBINADA]],#REF!,9,0),0)/COUNTIFS(DATA[COMBINADA],DATA[[#This Row],[COMBINADA]])</f>
        <v>0</v>
      </c>
      <c r="AO1000" s="27">
        <f>IFERROR(VLOOKUP(DATA[[#This Row],[COMBINADA]],#REF!,6,0),0)</f>
        <v>0</v>
      </c>
      <c r="AP1000" s="132">
        <f>IFERROR(VLOOKUP(DATA[[#This Row],[COMBINADA]],#REF!,9,0),0)/COUNTIFS(DATA[COMBINADA],DATA[[#This Row],[COMBINADA]])</f>
        <v>0</v>
      </c>
      <c r="AQ100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1076.1600000000001</v>
      </c>
      <c r="AR1000" s="26" t="str">
        <f>IFERROR(IF(DATA[[#This Row],[estado_fact]]="FACTURADO",VLOOKUP(DATA[[#This Row],[SERIE2]]&amp;"-"&amp;DATA[[#This Row],[NUMERO]],#REF!,34,0),"NO CORRESPONDE"),"NO CORRESPONDE")</f>
        <v>NO CORRESPONDE</v>
      </c>
      <c r="AS1000" s="22" t="str">
        <f>IF(DATA[[#This Row],[fecha_fs]]&gt;0,TEXT(DATA[[#This Row],[fecha_fs]],"Mmmm"),0)</f>
        <v>Agosto</v>
      </c>
      <c r="AT1000" s="22" t="str">
        <f>DATA[[#This Row],[SERIE2]]&amp;"-"&amp;DATA[[#This Row],[NUMERO]]</f>
        <v>FF01-204</v>
      </c>
      <c r="AU1000" s="28">
        <f>DATA[[#This Row],[TOTAL]]*DATA[[#This Row],[T.C.]]</f>
        <v>1076.1600000000001</v>
      </c>
      <c r="AV1000" s="6">
        <f>DATA[[#This Row],[FECHA DE VAL.]]</f>
        <v>45880</v>
      </c>
      <c r="AW1000" s="6">
        <f>DATA[[#This Row],[FECHA DE EMISION]]</f>
        <v>45881</v>
      </c>
      <c r="AX1000" s="6">
        <f>DATA[[#This Row],[F1]]</f>
        <v>0</v>
      </c>
      <c r="AY1000" s="20">
        <f>IF(AV1000-DATA[[#This Row],[fecha_fs]]&lt;0,0,AV1000-DATA[[#This Row],[fecha_fs]])</f>
        <v>10</v>
      </c>
      <c r="AZ1000" s="20">
        <f t="shared" si="122"/>
        <v>1</v>
      </c>
      <c r="BA1000" s="53">
        <f t="shared" si="123"/>
        <v>0</v>
      </c>
      <c r="BB1000" s="195">
        <f>IFERROR(SUM(DATA[[#This Row],[fs_val_ttf]:[fact_pago_ttf]]),0)</f>
        <v>11</v>
      </c>
      <c r="BC1000" s="233">
        <v>45890</v>
      </c>
      <c r="BD1000" s="233">
        <v>45895</v>
      </c>
      <c r="BE1000" s="233">
        <v>45901</v>
      </c>
      <c r="BF1000" s="233">
        <v>45904</v>
      </c>
      <c r="BG1000" s="20">
        <f>IFERROR(IF(BC1000-DATA[[#This Row],[fecha_fs]]&lt;0,0,BC1000-DATA[[#This Row],[fecha_fs]]),0)</f>
        <v>20</v>
      </c>
      <c r="BH1000" s="20">
        <f t="shared" si="124"/>
        <v>5</v>
      </c>
      <c r="BI1000" s="20">
        <f t="shared" si="125"/>
        <v>6</v>
      </c>
      <c r="BJ1000" s="20">
        <f t="shared" si="126"/>
        <v>3</v>
      </c>
      <c r="BK1000" s="282">
        <f>IFERROR(SUM(DATA[[#This Row],[fs_fd_ttd]:[fend_fenf_ttd]]),0)</f>
        <v>34</v>
      </c>
      <c r="BL1000" s="20" t="str">
        <f>IF(DATA[[#This Row],[fecha_fs]]&gt;0,TEXT(DATA[[#This Row],[fecha_fs]],"YYYY"),0)</f>
        <v>2025</v>
      </c>
      <c r="BM1000" s="236" t="b">
        <v>1</v>
      </c>
      <c r="BN1000" s="278">
        <f>COUNTIF(DATA[[#This Row],[tiempo_td]], "&lt;=15")</f>
        <v>0</v>
      </c>
      <c r="BO1000" s="222"/>
    </row>
    <row r="1001" spans="1:67" ht="30.6" customHeight="1" x14ac:dyDescent="0.25">
      <c r="A1001" s="4">
        <v>20100192064</v>
      </c>
      <c r="B1001" s="5" t="s">
        <v>60</v>
      </c>
      <c r="C1001" s="52" t="s">
        <v>43</v>
      </c>
      <c r="D1001" s="4" t="s">
        <v>120</v>
      </c>
      <c r="E1001" s="5" t="s">
        <v>3</v>
      </c>
      <c r="F1001" s="24">
        <v>45870</v>
      </c>
      <c r="G1001" s="7" t="s">
        <v>113</v>
      </c>
      <c r="H1001" s="25">
        <f t="shared" si="121"/>
        <v>1</v>
      </c>
      <c r="I1001" s="67">
        <v>4822</v>
      </c>
      <c r="J1001" s="8" t="s">
        <v>115</v>
      </c>
      <c r="K1001" s="9" t="s">
        <v>121</v>
      </c>
      <c r="L1001" s="10" t="s">
        <v>117</v>
      </c>
      <c r="M1001" s="11">
        <v>510</v>
      </c>
      <c r="N1001" s="12" t="s">
        <v>249</v>
      </c>
      <c r="O1001" s="6">
        <v>45894</v>
      </c>
      <c r="P1001" s="71">
        <v>3610</v>
      </c>
      <c r="Q1001" s="14" t="s">
        <v>123</v>
      </c>
      <c r="R1001" s="206">
        <f>(DATA[[#This Row],[cantidad_fs]]/1000)*(47+174.34)</f>
        <v>112.88340000000001</v>
      </c>
      <c r="S1001" s="206">
        <v>137</v>
      </c>
      <c r="T1001" s="237">
        <f>DATA[[#This Row],[C. DF]]+DATA[[#This Row],[C.OPE.]]</f>
        <v>249.88339999999999</v>
      </c>
      <c r="U1001" s="15">
        <f>DATA[[#This Row],[SUB TOTAL]]*0.18</f>
        <v>44.979011999999997</v>
      </c>
      <c r="V1001" s="15">
        <f>IFERROR(ROUND(DATA[[#This Row],[SUB TOTAL]]+DATA[[#This Row],[IGV]],2),0)</f>
        <v>294.86</v>
      </c>
      <c r="W1001" s="16" t="str">
        <f>IF(DATA[[#This Row],[VALORIZACIÓN ]]="-","NO CORRESPONDE",IF(OR(A1001=20558226979,A1001=10470707866,A1001=20111157058,A1001=20100226902),"NO CORRESPONDE",IF(J1001="Emitida",IF(P1001&gt;0,"EMITIDA","PENDIENTE"),"NO CORRESPONDE")))</f>
        <v>EMITIDA</v>
      </c>
      <c r="X1001" s="29" t="s">
        <v>322</v>
      </c>
      <c r="Y1001" s="17" t="s">
        <v>118</v>
      </c>
      <c r="Z1001" s="277">
        <v>45898</v>
      </c>
      <c r="AA1001" s="20" t="s">
        <v>150</v>
      </c>
      <c r="AB1001" s="19">
        <v>229</v>
      </c>
      <c r="AC1001" s="20">
        <v>30</v>
      </c>
      <c r="AD1001" s="18">
        <f>DATA[[#This Row],[FECHA DE EMISION]]+DATA[[#This Row],[CONDICION DE PAGO]]</f>
        <v>45928</v>
      </c>
      <c r="AE1001" s="23" t="e">
        <f>IF(DATA[[#This Row],[MONEDA]]="USD",VLOOKUP(DATA[[#This Row],[COMBINADA]],#REF!,11,0),1)</f>
        <v>#REF!</v>
      </c>
      <c r="AF1001" s="129" t="str">
        <f>IF(DATA[[#This Row],[SERIE2]]="-","NO CORRESPONDE",IF(W1001="NO CORRESPONDE","NO CORRESPONDE",IF(Z1001&gt;0,"FACTURADO","PENDIENTE")))</f>
        <v>FACTURADO</v>
      </c>
      <c r="AG1001" s="133">
        <f>IFERROR(VLOOKUP(DATA[[#This Row],[COMBINADA]],#REF!,6,0),0)</f>
        <v>0</v>
      </c>
      <c r="AH1001" s="125">
        <f>IFERROR(VLOOKUP(DATA[[#This Row],[COMBINADA]],#REF!,9,0),0)/COUNTIFS(DATA[COMBINADA],DATA[[#This Row],[COMBINADA]])</f>
        <v>0</v>
      </c>
      <c r="AI1001" s="136">
        <f>IFERROR(VLOOKUP(DATA[[#This Row],[COMBINADA]],#REF!,6,0),0)</f>
        <v>0</v>
      </c>
      <c r="AJ1001" s="132">
        <f>IFERROR(VLOOKUP(DATA[[#This Row],[COMBINADA]],#REF!,9,0),0)/COUNTIFS(DATA[COMBINADA],DATA[[#This Row],[COMBINADA]])</f>
        <v>0</v>
      </c>
      <c r="AK1001" s="408">
        <f>IFERROR(VLOOKUP(DATA[[#This Row],[COMBINADA]],#REF!,6,0),0)</f>
        <v>0</v>
      </c>
      <c r="AL1001" s="125">
        <f>IFERROR(VLOOKUP(DATA[[#This Row],[COMBINADA]],#REF!,9,0),0)/COUNTIFS(DATA[COMBINADA],DATA[[#This Row],[COMBINADA]])</f>
        <v>0</v>
      </c>
      <c r="AM1001" s="147">
        <f>IFERROR(VLOOKUP(DATA[[#This Row],[COMBINADA]],#REF!,6,0),0)</f>
        <v>0</v>
      </c>
      <c r="AN1001" s="125">
        <f>IFERROR(VLOOKUP(DATA[[#This Row],[COMBINADA]],#REF!,9,0),0)/COUNTIFS(DATA[COMBINADA],DATA[[#This Row],[COMBINADA]])</f>
        <v>0</v>
      </c>
      <c r="AO1001" s="27">
        <f>IFERROR(VLOOKUP(DATA[[#This Row],[COMBINADA]],#REF!,6,0),0)</f>
        <v>0</v>
      </c>
      <c r="AP1001" s="132">
        <f>IFERROR(VLOOKUP(DATA[[#This Row],[COMBINADA]],#REF!,9,0),0)/COUNTIFS(DATA[COMBINADA],DATA[[#This Row],[COMBINADA]])</f>
        <v>0</v>
      </c>
      <c r="AQ100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587.06100000000004</v>
      </c>
      <c r="AR1001" s="26" t="str">
        <f>IFERROR(IF(DATA[[#This Row],[estado_fact]]="FACTURADO",VLOOKUP(DATA[[#This Row],[SERIE2]]&amp;"-"&amp;DATA[[#This Row],[NUMERO]],#REF!,34,0),"NO CORRESPONDE"),"NO CORRESPONDE")</f>
        <v>NO CORRESPONDE</v>
      </c>
      <c r="AS1001" s="22" t="str">
        <f>IF(DATA[[#This Row],[fecha_fs]]&gt;0,TEXT(DATA[[#This Row],[fecha_fs]],"Mmmm"),0)</f>
        <v>Agosto</v>
      </c>
      <c r="AT1001" s="22" t="str">
        <f>DATA[[#This Row],[SERIE2]]&amp;"-"&amp;DATA[[#This Row],[NUMERO]]</f>
        <v>FF01-229</v>
      </c>
      <c r="AU1001" s="28" t="e">
        <f>DATA[[#This Row],[TOTAL]]*DATA[[#This Row],[T.C.]]</f>
        <v>#REF!</v>
      </c>
      <c r="AV1001" s="6">
        <f>DATA[[#This Row],[FECHA DE VAL.]]</f>
        <v>45894</v>
      </c>
      <c r="AW1001" s="6">
        <f>DATA[[#This Row],[FECHA DE EMISION]]</f>
        <v>45898</v>
      </c>
      <c r="AX1001" s="6">
        <f>DATA[[#This Row],[F1]]</f>
        <v>0</v>
      </c>
      <c r="AY1001" s="20">
        <f>IF(AV1001-DATA[[#This Row],[fecha_fs]]&lt;0,0,AV1001-DATA[[#This Row],[fecha_fs]])</f>
        <v>24</v>
      </c>
      <c r="AZ1001" s="20">
        <f t="shared" si="122"/>
        <v>4</v>
      </c>
      <c r="BA1001" s="53">
        <f t="shared" si="123"/>
        <v>0</v>
      </c>
      <c r="BB1001" s="195">
        <f>IFERROR(SUM(DATA[[#This Row],[fs_val_ttf]:[fact_pago_ttf]]),0)</f>
        <v>28</v>
      </c>
      <c r="BC1001" s="233">
        <v>45895</v>
      </c>
      <c r="BD1001" s="233">
        <v>45903</v>
      </c>
      <c r="BE1001" s="233">
        <v>45904</v>
      </c>
      <c r="BF1001" s="233">
        <v>45945</v>
      </c>
      <c r="BG1001" s="20">
        <f>IFERROR(IF(BC1001-DATA[[#This Row],[fecha_fs]]&lt;0,0,BC1001-DATA[[#This Row],[fecha_fs]]),0)</f>
        <v>25</v>
      </c>
      <c r="BH1001" s="20">
        <f t="shared" si="124"/>
        <v>8</v>
      </c>
      <c r="BI1001" s="20">
        <f t="shared" si="125"/>
        <v>1</v>
      </c>
      <c r="BJ1001" s="20">
        <f t="shared" si="126"/>
        <v>41</v>
      </c>
      <c r="BK1001" s="282">
        <f>IFERROR(SUM(DATA[[#This Row],[fs_fd_ttd]:[fend_fenf_ttd]]),0)</f>
        <v>75</v>
      </c>
      <c r="BL1001" s="20" t="str">
        <f>IF(DATA[[#This Row],[fecha_fs]]&gt;0,TEXT(DATA[[#This Row],[fecha_fs]],"YYYY"),0)</f>
        <v>2025</v>
      </c>
      <c r="BM1001" s="236" t="b">
        <v>1</v>
      </c>
      <c r="BN1001" s="278">
        <f>COUNTIF(DATA[[#This Row],[tiempo_td]], "&lt;=15")</f>
        <v>0</v>
      </c>
      <c r="BO1001" s="222"/>
    </row>
    <row r="1002" spans="1:67" ht="30.6" customHeight="1" x14ac:dyDescent="0.25">
      <c r="A1002" s="4">
        <v>20100226902</v>
      </c>
      <c r="B1002" s="5" t="s">
        <v>24</v>
      </c>
      <c r="C1002" s="52" t="s">
        <v>18</v>
      </c>
      <c r="D1002" s="4" t="s">
        <v>120</v>
      </c>
      <c r="E1002" s="5" t="s">
        <v>3</v>
      </c>
      <c r="F1002" s="24">
        <v>45870</v>
      </c>
      <c r="G1002" s="7" t="s">
        <v>113</v>
      </c>
      <c r="H1002" s="25">
        <f t="shared" si="121"/>
        <v>1</v>
      </c>
      <c r="I1002" s="67">
        <v>4823</v>
      </c>
      <c r="J1002" s="8" t="s">
        <v>115</v>
      </c>
      <c r="K1002" s="9" t="s">
        <v>121</v>
      </c>
      <c r="L1002" s="10" t="s">
        <v>117</v>
      </c>
      <c r="M1002" s="11">
        <v>570</v>
      </c>
      <c r="N1002" s="12" t="s">
        <v>187</v>
      </c>
      <c r="O1002" s="40"/>
      <c r="P1002" s="41" t="s">
        <v>114</v>
      </c>
      <c r="Q1002" s="42"/>
      <c r="R1002" s="43"/>
      <c r="S1002" s="43"/>
      <c r="T1002" s="43">
        <f>DATA[[#This Row],[C. DF]]+DATA[[#This Row],[C.OPE.]]</f>
        <v>0</v>
      </c>
      <c r="U1002" s="43">
        <f>DATA[[#This Row],[SUB TOTAL]]*0.18</f>
        <v>0</v>
      </c>
      <c r="V1002" s="43">
        <f>IFERROR(ROUND(DATA[[#This Row],[SUB TOTAL]]+DATA[[#This Row],[IGV]],2),0)</f>
        <v>0</v>
      </c>
      <c r="W1002" s="16" t="str">
        <f>IF(DATA[[#This Row],[VALORIZACIÓN ]]="-","NO CORRESPONDE",IF(OR(A1002=20558226979,A1002=10470707866,A1002=20111157058,A1002=20100226902),"NO CORRESPONDE",IF(J1002="Emitida",IF(P1002&gt;0,"EMITIDA","PENDIENTE"),"NO CORRESPONDE")))</f>
        <v>NO CORRESPONDE</v>
      </c>
      <c r="X1002" s="45"/>
      <c r="Y1002" s="17" t="s">
        <v>128</v>
      </c>
      <c r="Z1002" s="46"/>
      <c r="AA1002" s="47"/>
      <c r="AB1002" s="48"/>
      <c r="AC1002" s="49"/>
      <c r="AD1002" s="50">
        <f>DATA[[#This Row],[FECHA DE EMISION]]+DATA[[#This Row],[CONDICION DE PAGO]]</f>
        <v>0</v>
      </c>
      <c r="AE1002" s="23">
        <f>IF(DATA[[#This Row],[MONEDA]]="USD",VLOOKUP(DATA[[#This Row],[COMBINADA]],#REF!,11,0),1)</f>
        <v>1</v>
      </c>
      <c r="AF1002" s="129" t="str">
        <f>IF(DATA[[#This Row],[SERIE2]]="-","NO CORRESPONDE",IF(W1002="NO CORRESPONDE","NO CORRESPONDE",IF(Z1002&gt;0,"FACTURADO","PENDIENTE")))</f>
        <v>NO CORRESPONDE</v>
      </c>
      <c r="AG1002" s="140">
        <f>IFERROR(VLOOKUP(DATA[[#This Row],[COMBINADA]],#REF!,6,0),0)</f>
        <v>0</v>
      </c>
      <c r="AH1002" s="126">
        <f>IFERROR(VLOOKUP(DATA[[#This Row],[COMBINADA]],#REF!,9,0),0)/COUNTIFS(DATA[COMBINADA],DATA[[#This Row],[COMBINADA]])</f>
        <v>0</v>
      </c>
      <c r="AI1002" s="140">
        <f>IFERROR(VLOOKUP(DATA[[#This Row],[COMBINADA]],#REF!,6,0),0)</f>
        <v>0</v>
      </c>
      <c r="AJ1002" s="126">
        <f>IFERROR(VLOOKUP(DATA[[#This Row],[COMBINADA]],#REF!,9,0),0)/COUNTIFS(DATA[COMBINADA],DATA[[#This Row],[COMBINADA]])</f>
        <v>0</v>
      </c>
      <c r="AK1002" s="61">
        <f>IFERROR(VLOOKUP(DATA[[#This Row],[COMBINADA]],#REF!,6,0),0)</f>
        <v>0</v>
      </c>
      <c r="AL1002" s="126">
        <f>IFERROR(VLOOKUP(DATA[[#This Row],[COMBINADA]],#REF!,9,0),0)/COUNTIFS(DATA[COMBINADA],DATA[[#This Row],[COMBINADA]])</f>
        <v>0</v>
      </c>
      <c r="AM1002" s="287">
        <f>IFERROR(VLOOKUP(DATA[[#This Row],[COMBINADA]],#REF!,6,0),0)</f>
        <v>0</v>
      </c>
      <c r="AN1002" s="126">
        <f>IFERROR(VLOOKUP(DATA[[#This Row],[COMBINADA]],#REF!,9,0),0)/COUNTIFS(DATA[COMBINADA],DATA[[#This Row],[COMBINADA]])</f>
        <v>0</v>
      </c>
      <c r="AO1002" s="60">
        <f>IFERROR(VLOOKUP(DATA[[#This Row],[COMBINADA]],#REF!,6,0),0)</f>
        <v>0</v>
      </c>
      <c r="AP1002" s="126">
        <f>IFERROR(VLOOKUP(DATA[[#This Row],[COMBINADA]],#REF!,9,0),0)/COUNTIFS(DATA[COMBINADA],DATA[[#This Row],[COMBINADA]])</f>
        <v>0</v>
      </c>
      <c r="AQ1002"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002" s="22" t="str">
        <f>IFERROR(IF(DATA[[#This Row],[estado_fact]]="FACTURADO",VLOOKUP(DATA[[#This Row],[SERIE2]]&amp;"-"&amp;DATA[[#This Row],[NUMERO]],#REF!,34,0),"NO CORRESPONDE"),"NO CORRESPONDE")</f>
        <v>NO CORRESPONDE</v>
      </c>
      <c r="AS1002" s="22" t="str">
        <f>IF(DATA[[#This Row],[fecha_fs]]&gt;0,TEXT(DATA[[#This Row],[fecha_fs]],"Mmmm"),0)</f>
        <v>Agosto</v>
      </c>
      <c r="AT1002" s="22" t="str">
        <f>DATA[[#This Row],[SERIE2]]&amp;"-"&amp;DATA[[#This Row],[NUMERO]]</f>
        <v>-</v>
      </c>
      <c r="AU1002" s="28">
        <f>DATA[[#This Row],[TOTAL]]*DATA[[#This Row],[T.C.]]</f>
        <v>0</v>
      </c>
      <c r="AV1002" s="6">
        <f>DATA[[#This Row],[FECHA DE VAL.]]</f>
        <v>0</v>
      </c>
      <c r="AW1002" s="6">
        <f>DATA[[#This Row],[FECHA DE EMISION]]</f>
        <v>0</v>
      </c>
      <c r="AX1002" s="6">
        <f>DATA[[#This Row],[F1]]</f>
        <v>0</v>
      </c>
      <c r="AY1002" s="20">
        <f>IF(AV1002-DATA[[#This Row],[fecha_fs]]&lt;0,0,AV1002-DATA[[#This Row],[fecha_fs]])</f>
        <v>0</v>
      </c>
      <c r="AZ1002" s="20">
        <f t="shared" si="122"/>
        <v>0</v>
      </c>
      <c r="BA1002" s="53">
        <f t="shared" si="123"/>
        <v>0</v>
      </c>
      <c r="BB1002" s="195">
        <f>IFERROR(SUM(DATA[[#This Row],[fs_val_ttf]:[fact_pago_ttf]]),0)</f>
        <v>0</v>
      </c>
      <c r="BC1002" s="233">
        <v>45870</v>
      </c>
      <c r="BD1002" s="233">
        <v>45870</v>
      </c>
      <c r="BE1002" s="233">
        <v>45901</v>
      </c>
      <c r="BF1002" s="233">
        <v>45901</v>
      </c>
      <c r="BG1002" s="20">
        <f>IFERROR(IF(BC1002-DATA[[#This Row],[fecha_fs]]&lt;0,0,BC1002-DATA[[#This Row],[fecha_fs]]),0)</f>
        <v>0</v>
      </c>
      <c r="BH1002" s="20">
        <f t="shared" si="124"/>
        <v>0</v>
      </c>
      <c r="BI1002" s="20">
        <f t="shared" si="125"/>
        <v>31</v>
      </c>
      <c r="BJ1002" s="20">
        <f t="shared" si="126"/>
        <v>0</v>
      </c>
      <c r="BK1002" s="282">
        <f>IFERROR(SUM(DATA[[#This Row],[fs_fd_ttd]:[fend_fenf_ttd]]),0)</f>
        <v>31</v>
      </c>
      <c r="BL1002" s="20" t="str">
        <f>IF(DATA[[#This Row],[fecha_fs]]&gt;0,TEXT(DATA[[#This Row],[fecha_fs]],"YYYY"),0)</f>
        <v>2025</v>
      </c>
      <c r="BM1002" s="236" t="b">
        <v>1</v>
      </c>
      <c r="BN1002" s="278">
        <f>COUNTIF(DATA[[#This Row],[tiempo_td]], "&lt;=15")</f>
        <v>0</v>
      </c>
      <c r="BO1002" s="222"/>
    </row>
    <row r="1003" spans="1:67" ht="30.6" customHeight="1" x14ac:dyDescent="0.25">
      <c r="A1003" s="4">
        <v>20100211115</v>
      </c>
      <c r="B1003" s="5" t="s">
        <v>41</v>
      </c>
      <c r="C1003" s="52" t="s">
        <v>18</v>
      </c>
      <c r="D1003" s="4" t="s">
        <v>120</v>
      </c>
      <c r="E1003" s="5" t="s">
        <v>3</v>
      </c>
      <c r="F1003" s="24">
        <v>45873</v>
      </c>
      <c r="G1003" s="7" t="s">
        <v>113</v>
      </c>
      <c r="H1003" s="25">
        <f t="shared" si="121"/>
        <v>1</v>
      </c>
      <c r="I1003" s="67">
        <v>4824</v>
      </c>
      <c r="J1003" s="8" t="s">
        <v>115</v>
      </c>
      <c r="K1003" s="9" t="s">
        <v>121</v>
      </c>
      <c r="L1003" s="10" t="s">
        <v>117</v>
      </c>
      <c r="M1003" s="11">
        <v>90</v>
      </c>
      <c r="N1003" s="12" t="s">
        <v>167</v>
      </c>
      <c r="O1003" s="6">
        <v>45894</v>
      </c>
      <c r="P1003" s="115">
        <v>3625</v>
      </c>
      <c r="Q1003" s="14" t="s">
        <v>85</v>
      </c>
      <c r="R1003" s="74"/>
      <c r="S1003" s="237">
        <f>(DATA[[#This Row],[cantidad_fs]]*4.17)</f>
        <v>375.3</v>
      </c>
      <c r="T1003" s="237">
        <f>DATA[[#This Row],[C. DF]]+DATA[[#This Row],[C.OPE.]]</f>
        <v>375.3</v>
      </c>
      <c r="U1003" s="15">
        <f>DATA[[#This Row],[SUB TOTAL]]*0.18</f>
        <v>67.554000000000002</v>
      </c>
      <c r="V1003" s="15">
        <f>IFERROR(ROUND(DATA[[#This Row],[SUB TOTAL]]+DATA[[#This Row],[IGV]],2),0)</f>
        <v>442.85</v>
      </c>
      <c r="W1003" s="16" t="str">
        <f>IF(DATA[[#This Row],[VALORIZACIÓN ]]="-","NO CORRESPONDE",IF(OR(A1003=20558226979,A1003=10470707866,A1003=20111157058,A1003=20100226902),"NO CORRESPONDE",IF(J1003="Emitida",IF(P1003&gt;0,"EMITIDA","PENDIENTE"),"NO CORRESPONDE")))</f>
        <v>EMITIDA</v>
      </c>
      <c r="X1003" s="29"/>
      <c r="Y1003" s="17" t="s">
        <v>118</v>
      </c>
      <c r="Z1003" s="30">
        <v>45896</v>
      </c>
      <c r="AA1003" s="10" t="s">
        <v>150</v>
      </c>
      <c r="AB1003" s="19">
        <v>224</v>
      </c>
      <c r="AC1003" s="20">
        <v>30</v>
      </c>
      <c r="AD1003" s="18">
        <f>DATA[[#This Row],[FECHA DE EMISION]]+DATA[[#This Row],[CONDICION DE PAGO]]</f>
        <v>45926</v>
      </c>
      <c r="AE1003" s="23">
        <f>IF(DATA[[#This Row],[MONEDA]]="USD",VLOOKUP(DATA[[#This Row],[COMBINADA]],#REF!,11,0),1)</f>
        <v>1</v>
      </c>
      <c r="AF1003" s="129" t="str">
        <f>IF(DATA[[#This Row],[SERIE2]]="-","NO CORRESPONDE",IF(W1003="NO CORRESPONDE","NO CORRESPONDE",IF(Z1003&gt;0,"FACTURADO","PENDIENTE")))</f>
        <v>FACTURADO</v>
      </c>
      <c r="AG1003" s="133">
        <f>IFERROR(VLOOKUP(DATA[[#This Row],[COMBINADA]],#REF!,6,0),0)</f>
        <v>0</v>
      </c>
      <c r="AH1003" s="125">
        <f>IFERROR(VLOOKUP(DATA[[#This Row],[COMBINADA]],#REF!,9,0),0)/COUNTIFS(DATA[COMBINADA],DATA[[#This Row],[COMBINADA]])</f>
        <v>0</v>
      </c>
      <c r="AI1003" s="136">
        <f>IFERROR(VLOOKUP(DATA[[#This Row],[COMBINADA]],#REF!,6,0),0)</f>
        <v>0</v>
      </c>
      <c r="AJ1003" s="132">
        <f>IFERROR(VLOOKUP(DATA[[#This Row],[COMBINADA]],#REF!,9,0),0)/COUNTIFS(DATA[COMBINADA],DATA[[#This Row],[COMBINADA]])</f>
        <v>0</v>
      </c>
      <c r="AK1003" s="408">
        <f>IFERROR(VLOOKUP(DATA[[#This Row],[COMBINADA]],#REF!,6,0),0)</f>
        <v>0</v>
      </c>
      <c r="AL1003" s="125">
        <f>IFERROR(VLOOKUP(DATA[[#This Row],[COMBINADA]],#REF!,9,0),0)/COUNTIFS(DATA[COMBINADA],DATA[[#This Row],[COMBINADA]])</f>
        <v>0</v>
      </c>
      <c r="AM1003" s="147">
        <f>IFERROR(VLOOKUP(DATA[[#This Row],[COMBINADA]],#REF!,6,0),0)</f>
        <v>0</v>
      </c>
      <c r="AN1003" s="125">
        <f>IFERROR(VLOOKUP(DATA[[#This Row],[COMBINADA]],#REF!,9,0),0)/COUNTIFS(DATA[COMBINADA],DATA[[#This Row],[COMBINADA]])</f>
        <v>0</v>
      </c>
      <c r="AO1003" s="27">
        <f>IFERROR(VLOOKUP(DATA[[#This Row],[COMBINADA]],#REF!,6,0),0)</f>
        <v>0</v>
      </c>
      <c r="AP1003" s="132">
        <f>IFERROR(VLOOKUP(DATA[[#This Row],[COMBINADA]],#REF!,9,0),0)/COUNTIFS(DATA[COMBINADA],DATA[[#This Row],[COMBINADA]])</f>
        <v>0</v>
      </c>
      <c r="AQ100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v>
      </c>
      <c r="AR1003" s="26" t="str">
        <f>IFERROR(IF(DATA[[#This Row],[estado_fact]]="FACTURADO",VLOOKUP(DATA[[#This Row],[SERIE2]]&amp;"-"&amp;DATA[[#This Row],[NUMERO]],#REF!,34,0),"NO CORRESPONDE"),"NO CORRESPONDE")</f>
        <v>NO CORRESPONDE</v>
      </c>
      <c r="AS1003" s="22" t="str">
        <f>IF(DATA[[#This Row],[fecha_fs]]&gt;0,TEXT(DATA[[#This Row],[fecha_fs]],"Mmmm"),0)</f>
        <v>Agosto</v>
      </c>
      <c r="AT1003" s="22" t="str">
        <f>DATA[[#This Row],[SERIE2]]&amp;"-"&amp;DATA[[#This Row],[NUMERO]]</f>
        <v>FF01-224</v>
      </c>
      <c r="AU1003" s="28">
        <f>DATA[[#This Row],[TOTAL]]*DATA[[#This Row],[T.C.]]</f>
        <v>442.85</v>
      </c>
      <c r="AV1003" s="6">
        <f>DATA[[#This Row],[FECHA DE VAL.]]</f>
        <v>45894</v>
      </c>
      <c r="AW1003" s="6">
        <f>DATA[[#This Row],[FECHA DE EMISION]]</f>
        <v>45896</v>
      </c>
      <c r="AX1003" s="6">
        <f>DATA[[#This Row],[F1]]</f>
        <v>0</v>
      </c>
      <c r="AY1003" s="20">
        <f>IF(AV1003-DATA[[#This Row],[fecha_fs]]&lt;0,0,AV1003-DATA[[#This Row],[fecha_fs]])</f>
        <v>21</v>
      </c>
      <c r="AZ1003" s="20">
        <f t="shared" si="122"/>
        <v>2</v>
      </c>
      <c r="BA1003" s="53">
        <f t="shared" si="123"/>
        <v>0</v>
      </c>
      <c r="BB1003" s="195">
        <f>IFERROR(SUM(DATA[[#This Row],[fs_val_ttf]:[fact_pago_ttf]]),0)</f>
        <v>23</v>
      </c>
      <c r="BC1003" s="233">
        <v>45903</v>
      </c>
      <c r="BD1003" s="233">
        <v>45905</v>
      </c>
      <c r="BE1003" s="233">
        <v>45908</v>
      </c>
      <c r="BF1003" s="185">
        <v>45911</v>
      </c>
      <c r="BG1003" s="20">
        <f>IFERROR(IF(BC1003-DATA[[#This Row],[fecha_fs]]&lt;0,0,BC1003-DATA[[#This Row],[fecha_fs]]),0)</f>
        <v>30</v>
      </c>
      <c r="BH1003" s="20">
        <f t="shared" si="124"/>
        <v>2</v>
      </c>
      <c r="BI1003" s="20">
        <f t="shared" si="125"/>
        <v>3</v>
      </c>
      <c r="BJ1003" s="20">
        <f t="shared" si="126"/>
        <v>3</v>
      </c>
      <c r="BK1003" s="282">
        <f>IFERROR(SUM(DATA[[#This Row],[fs_fd_ttd]:[fend_fenf_ttd]]),0)</f>
        <v>38</v>
      </c>
      <c r="BL1003" s="20" t="str">
        <f>IF(DATA[[#This Row],[fecha_fs]]&gt;0,TEXT(DATA[[#This Row],[fecha_fs]],"YYYY"),0)</f>
        <v>2025</v>
      </c>
      <c r="BM1003" s="236" t="b">
        <v>1</v>
      </c>
      <c r="BN1003" s="278">
        <f>COUNTIF(DATA[[#This Row],[tiempo_td]], "&lt;=15")</f>
        <v>0</v>
      </c>
      <c r="BO1003" s="222"/>
    </row>
    <row r="1004" spans="1:67" ht="30.6" customHeight="1" x14ac:dyDescent="0.25">
      <c r="A1004" s="4">
        <v>20100211115</v>
      </c>
      <c r="B1004" s="5" t="s">
        <v>41</v>
      </c>
      <c r="C1004" s="52" t="s">
        <v>18</v>
      </c>
      <c r="D1004" s="4" t="s">
        <v>120</v>
      </c>
      <c r="E1004" s="5" t="s">
        <v>3</v>
      </c>
      <c r="F1004" s="24">
        <v>45873</v>
      </c>
      <c r="G1004" s="7" t="s">
        <v>113</v>
      </c>
      <c r="H1004" s="25">
        <f t="shared" ref="H1004:H1014" si="127">IF(G1004="","",IF(G1004="LIM",2,1))</f>
        <v>1</v>
      </c>
      <c r="I1004" s="67">
        <v>4825</v>
      </c>
      <c r="J1004" s="8" t="s">
        <v>115</v>
      </c>
      <c r="K1004" s="9" t="s">
        <v>163</v>
      </c>
      <c r="L1004" s="10" t="s">
        <v>117</v>
      </c>
      <c r="M1004" s="11">
        <v>1182</v>
      </c>
      <c r="N1004" s="12" t="s">
        <v>167</v>
      </c>
      <c r="O1004" s="6">
        <v>45894</v>
      </c>
      <c r="P1004" s="115">
        <v>3626</v>
      </c>
      <c r="Q1004" s="14" t="s">
        <v>85</v>
      </c>
      <c r="R1004" s="74"/>
      <c r="S1004" s="15">
        <f>DATA[[#This Row],[cantidad_fs]]*0.72</f>
        <v>851.04</v>
      </c>
      <c r="T1004" s="237">
        <f>DATA[[#This Row],[C. DF]]+DATA[[#This Row],[C.OPE.]]</f>
        <v>851.04</v>
      </c>
      <c r="U1004" s="15">
        <f>DATA[[#This Row],[SUB TOTAL]]*0.18</f>
        <v>153.18719999999999</v>
      </c>
      <c r="V1004" s="15">
        <f>IFERROR(ROUND(DATA[[#This Row],[SUB TOTAL]]+DATA[[#This Row],[IGV]],2),0)</f>
        <v>1004.23</v>
      </c>
      <c r="W1004" s="16" t="str">
        <f>IF(DATA[[#This Row],[VALORIZACIÓN ]]="-","NO CORRESPONDE",IF(OR(A1004=20558226979,A1004=10470707866,A1004=20111157058,A1004=20100226902),"NO CORRESPONDE",IF(J1004="Emitida",IF(P1004&gt;0,"EMITIDA","PENDIENTE"),"NO CORRESPONDE")))</f>
        <v>EMITIDA</v>
      </c>
      <c r="X1004" s="29"/>
      <c r="Y1004" s="17" t="s">
        <v>118</v>
      </c>
      <c r="Z1004" s="30">
        <v>45896</v>
      </c>
      <c r="AA1004" s="10" t="s">
        <v>150</v>
      </c>
      <c r="AB1004" s="19">
        <v>226</v>
      </c>
      <c r="AC1004" s="20">
        <v>30</v>
      </c>
      <c r="AD1004" s="18">
        <f>DATA[[#This Row],[FECHA DE EMISION]]+DATA[[#This Row],[CONDICION DE PAGO]]</f>
        <v>45926</v>
      </c>
      <c r="AE1004" s="23">
        <f>IF(DATA[[#This Row],[MONEDA]]="USD",VLOOKUP(DATA[[#This Row],[COMBINADA]],#REF!,11,0),1)</f>
        <v>1</v>
      </c>
      <c r="AF1004" s="129" t="str">
        <f>IF(DATA[[#This Row],[SERIE2]]="-","NO CORRESPONDE",IF(W1004="NO CORRESPONDE","NO CORRESPONDE",IF(Z1004&gt;0,"FACTURADO","PENDIENTE")))</f>
        <v>FACTURADO</v>
      </c>
      <c r="AG1004" s="133">
        <f>IFERROR(VLOOKUP(DATA[[#This Row],[COMBINADA]],#REF!,6,0),0)</f>
        <v>0</v>
      </c>
      <c r="AH1004" s="125">
        <f>IFERROR(VLOOKUP(DATA[[#This Row],[COMBINADA]],#REF!,9,0),0)/COUNTIFS(DATA[COMBINADA],DATA[[#This Row],[COMBINADA]])</f>
        <v>0</v>
      </c>
      <c r="AI1004" s="136">
        <f>IFERROR(VLOOKUP(DATA[[#This Row],[COMBINADA]],#REF!,6,0),0)</f>
        <v>0</v>
      </c>
      <c r="AJ1004" s="132">
        <f>IFERROR(VLOOKUP(DATA[[#This Row],[COMBINADA]],#REF!,9,0),0)/COUNTIFS(DATA[COMBINADA],DATA[[#This Row],[COMBINADA]])</f>
        <v>0</v>
      </c>
      <c r="AK1004" s="408">
        <f>IFERROR(VLOOKUP(DATA[[#This Row],[COMBINADA]],#REF!,6,0),0)</f>
        <v>0</v>
      </c>
      <c r="AL1004" s="125">
        <f>IFERROR(VLOOKUP(DATA[[#This Row],[COMBINADA]],#REF!,9,0),0)/COUNTIFS(DATA[COMBINADA],DATA[[#This Row],[COMBINADA]])</f>
        <v>0</v>
      </c>
      <c r="AM1004" s="147">
        <f>IFERROR(VLOOKUP(DATA[[#This Row],[COMBINADA]],#REF!,6,0),0)</f>
        <v>0</v>
      </c>
      <c r="AN1004" s="125">
        <f>IFERROR(VLOOKUP(DATA[[#This Row],[COMBINADA]],#REF!,9,0),0)/COUNTIFS(DATA[COMBINADA],DATA[[#This Row],[COMBINADA]])</f>
        <v>0</v>
      </c>
      <c r="AO1004" s="27">
        <f>IFERROR(VLOOKUP(DATA[[#This Row],[COMBINADA]],#REF!,6,0),0)</f>
        <v>0</v>
      </c>
      <c r="AP1004" s="132">
        <f>IFERROR(VLOOKUP(DATA[[#This Row],[COMBINADA]],#REF!,9,0),0)/COUNTIFS(DATA[COMBINADA],DATA[[#This Row],[COMBINADA]])</f>
        <v>0</v>
      </c>
      <c r="AQ100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820.71500000000003</v>
      </c>
      <c r="AR1004" s="26" t="str">
        <f>IFERROR(IF(DATA[[#This Row],[estado_fact]]="FACTURADO",VLOOKUP(DATA[[#This Row],[SERIE2]]&amp;"-"&amp;DATA[[#This Row],[NUMERO]],#REF!,34,0),"NO CORRESPONDE"),"NO CORRESPONDE")</f>
        <v>NO CORRESPONDE</v>
      </c>
      <c r="AS1004" s="22" t="str">
        <f>IF(DATA[[#This Row],[fecha_fs]]&gt;0,TEXT(DATA[[#This Row],[fecha_fs]],"Mmmm"),0)</f>
        <v>Agosto</v>
      </c>
      <c r="AT1004" s="22" t="str">
        <f>DATA[[#This Row],[SERIE2]]&amp;"-"&amp;DATA[[#This Row],[NUMERO]]</f>
        <v>FF01-226</v>
      </c>
      <c r="AU1004" s="28">
        <f>DATA[[#This Row],[TOTAL]]*DATA[[#This Row],[T.C.]]</f>
        <v>1004.23</v>
      </c>
      <c r="AV1004" s="6">
        <f>DATA[[#This Row],[FECHA DE VAL.]]</f>
        <v>45894</v>
      </c>
      <c r="AW1004" s="6">
        <f>DATA[[#This Row],[FECHA DE EMISION]]</f>
        <v>45896</v>
      </c>
      <c r="AX1004" s="6">
        <f>DATA[[#This Row],[F1]]</f>
        <v>0</v>
      </c>
      <c r="AY1004" s="20">
        <f>IF(AV1004-DATA[[#This Row],[fecha_fs]]&lt;0,0,AV1004-DATA[[#This Row],[fecha_fs]])</f>
        <v>21</v>
      </c>
      <c r="AZ1004" s="20">
        <f t="shared" ref="AZ1004:AZ1021" si="128">IF(AW1004-AV1004&lt;0,0,AW1004-AV1004)</f>
        <v>2</v>
      </c>
      <c r="BA1004" s="53">
        <f t="shared" ref="BA1004:BA1021" si="129">IF(AX1004-AW1004&lt;0,0,AX1004-AW1004)</f>
        <v>0</v>
      </c>
      <c r="BB1004" s="195">
        <f>IFERROR(SUM(DATA[[#This Row],[fs_val_ttf]:[fact_pago_ttf]]),0)</f>
        <v>23</v>
      </c>
      <c r="BC1004" s="233">
        <v>45903</v>
      </c>
      <c r="BD1004" s="233">
        <v>45905</v>
      </c>
      <c r="BE1004" s="233">
        <v>45908</v>
      </c>
      <c r="BF1004" s="233">
        <v>45911</v>
      </c>
      <c r="BG1004" s="20">
        <f>IFERROR(IF(BC1004-DATA[[#This Row],[fecha_fs]]&lt;0,0,BC1004-DATA[[#This Row],[fecha_fs]]),0)</f>
        <v>30</v>
      </c>
      <c r="BH1004" s="20">
        <f t="shared" ref="BH1004:BH1021" si="130">IFERROR(IF(BD1004-BC1004&lt;0,0,BD1004-BC1004),0)</f>
        <v>2</v>
      </c>
      <c r="BI1004" s="20">
        <f t="shared" ref="BI1004:BI1021" si="131">IFERROR(IF(BE1004-BD1004&lt;0,0,BE1004-BD1004),0)</f>
        <v>3</v>
      </c>
      <c r="BJ1004" s="20">
        <f t="shared" ref="BJ1004:BJ1021" si="132">IFERROR(IF(BF1004-BE1004&lt;0,0,BF1004-BE1004),0)</f>
        <v>3</v>
      </c>
      <c r="BK1004" s="282">
        <f>IFERROR(SUM(DATA[[#This Row],[fs_fd_ttd]:[fend_fenf_ttd]]),0)</f>
        <v>38</v>
      </c>
      <c r="BL1004" s="20" t="str">
        <f>IF(DATA[[#This Row],[fecha_fs]]&gt;0,TEXT(DATA[[#This Row],[fecha_fs]],"YYYY"),0)</f>
        <v>2025</v>
      </c>
      <c r="BM1004" s="236" t="b">
        <v>1</v>
      </c>
      <c r="BN1004" s="278">
        <f>COUNTIF(DATA[[#This Row],[tiempo_td]], "&lt;=15")</f>
        <v>0</v>
      </c>
      <c r="BO1004" s="222"/>
    </row>
    <row r="1005" spans="1:67" ht="30.6" customHeight="1" x14ac:dyDescent="0.25">
      <c r="A1005" s="4">
        <v>20141637941</v>
      </c>
      <c r="B1005" s="5" t="s">
        <v>79</v>
      </c>
      <c r="C1005" s="52" t="s">
        <v>18</v>
      </c>
      <c r="D1005" s="4" t="s">
        <v>120</v>
      </c>
      <c r="E1005" s="5" t="s">
        <v>3</v>
      </c>
      <c r="F1005" s="24">
        <v>45873</v>
      </c>
      <c r="G1005" s="7" t="s">
        <v>113</v>
      </c>
      <c r="H1005" s="25">
        <f t="shared" si="127"/>
        <v>1</v>
      </c>
      <c r="I1005" s="67">
        <v>4826</v>
      </c>
      <c r="J1005" s="8" t="s">
        <v>115</v>
      </c>
      <c r="K1005" s="9" t="s">
        <v>121</v>
      </c>
      <c r="L1005" s="10" t="s">
        <v>117</v>
      </c>
      <c r="M1005" s="11">
        <v>560</v>
      </c>
      <c r="N1005" s="12" t="s">
        <v>249</v>
      </c>
      <c r="O1005" s="6">
        <v>45880</v>
      </c>
      <c r="P1005" s="110">
        <v>3597</v>
      </c>
      <c r="Q1005" s="14" t="s">
        <v>85</v>
      </c>
      <c r="R1005" s="206">
        <v>80</v>
      </c>
      <c r="S1005" s="206">
        <v>832</v>
      </c>
      <c r="T1005" s="237">
        <f>DATA[[#This Row],[C. DF]]+DATA[[#This Row],[C.OPE.]]</f>
        <v>912</v>
      </c>
      <c r="U1005" s="15">
        <f>DATA[[#This Row],[SUB TOTAL]]*0.18</f>
        <v>164.16</v>
      </c>
      <c r="V1005" s="15">
        <f>IFERROR(ROUND(DATA[[#This Row],[SUB TOTAL]]+DATA[[#This Row],[IGV]],2),0)</f>
        <v>1076.1600000000001</v>
      </c>
      <c r="W1005" s="16" t="str">
        <f>IF(DATA[[#This Row],[VALORIZACIÓN ]]="-","NO CORRESPONDE",IF(OR(A1005=20558226979,A1005=10470707866,A1005=20111157058,A1005=20100226902),"NO CORRESPONDE",IF(J1005="Emitida",IF(P1005&gt;0,"EMITIDA","PENDIENTE"),"NO CORRESPONDE")))</f>
        <v>EMITIDA</v>
      </c>
      <c r="X1005" s="29"/>
      <c r="Y1005" s="17" t="s">
        <v>118</v>
      </c>
      <c r="Z1005" s="30">
        <v>45881</v>
      </c>
      <c r="AA1005" s="10" t="s">
        <v>150</v>
      </c>
      <c r="AB1005" s="19">
        <v>204</v>
      </c>
      <c r="AC1005" s="20">
        <v>30</v>
      </c>
      <c r="AD1005" s="18">
        <f>DATA[[#This Row],[FECHA DE EMISION]]+DATA[[#This Row],[CONDICION DE PAGO]]</f>
        <v>45911</v>
      </c>
      <c r="AE1005" s="23">
        <f>IF(DATA[[#This Row],[MONEDA]]="USD",VLOOKUP(DATA[[#This Row],[COMBINADA]],#REF!,11,0),1)</f>
        <v>1</v>
      </c>
      <c r="AF1005" s="129" t="str">
        <f>IF(DATA[[#This Row],[SERIE2]]="-","NO CORRESPONDE",IF(W1005="NO CORRESPONDE","NO CORRESPONDE",IF(Z1005&gt;0,"FACTURADO","PENDIENTE")))</f>
        <v>FACTURADO</v>
      </c>
      <c r="AG1005" s="133">
        <f>IFERROR(VLOOKUP(DATA[[#This Row],[COMBINADA]],#REF!,6,0),0)</f>
        <v>0</v>
      </c>
      <c r="AH1005" s="125">
        <f>IFERROR(VLOOKUP(DATA[[#This Row],[COMBINADA]],#REF!,9,0),0)/COUNTIFS(DATA[COMBINADA],DATA[[#This Row],[COMBINADA]])</f>
        <v>0</v>
      </c>
      <c r="AI1005" s="136">
        <f>IFERROR(VLOOKUP(DATA[[#This Row],[COMBINADA]],#REF!,6,0),0)</f>
        <v>0</v>
      </c>
      <c r="AJ1005" s="132">
        <f>IFERROR(VLOOKUP(DATA[[#This Row],[COMBINADA]],#REF!,9,0),0)/COUNTIFS(DATA[COMBINADA],DATA[[#This Row],[COMBINADA]])</f>
        <v>0</v>
      </c>
      <c r="AK1005" s="408">
        <f>IFERROR(VLOOKUP(DATA[[#This Row],[COMBINADA]],#REF!,6,0),0)</f>
        <v>0</v>
      </c>
      <c r="AL1005" s="125">
        <f>IFERROR(VLOOKUP(DATA[[#This Row],[COMBINADA]],#REF!,9,0),0)/COUNTIFS(DATA[COMBINADA],DATA[[#This Row],[COMBINADA]])</f>
        <v>0</v>
      </c>
      <c r="AM1005" s="147">
        <f>IFERROR(VLOOKUP(DATA[[#This Row],[COMBINADA]],#REF!,6,0),0)</f>
        <v>0</v>
      </c>
      <c r="AN1005" s="125">
        <f>IFERROR(VLOOKUP(DATA[[#This Row],[COMBINADA]],#REF!,9,0),0)/COUNTIFS(DATA[COMBINADA],DATA[[#This Row],[COMBINADA]])</f>
        <v>0</v>
      </c>
      <c r="AO1005" s="27">
        <f>IFERROR(VLOOKUP(DATA[[#This Row],[COMBINADA]],#REF!,6,0),0)</f>
        <v>0</v>
      </c>
      <c r="AP1005" s="132">
        <f>IFERROR(VLOOKUP(DATA[[#This Row],[COMBINADA]],#REF!,9,0),0)/COUNTIFS(DATA[COMBINADA],DATA[[#This Row],[COMBINADA]])</f>
        <v>0</v>
      </c>
      <c r="AQ100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1076.1600000000001</v>
      </c>
      <c r="AR1005" s="26" t="str">
        <f>IFERROR(IF(DATA[[#This Row],[estado_fact]]="FACTURADO",VLOOKUP(DATA[[#This Row],[SERIE2]]&amp;"-"&amp;DATA[[#This Row],[NUMERO]],#REF!,34,0),"NO CORRESPONDE"),"NO CORRESPONDE")</f>
        <v>NO CORRESPONDE</v>
      </c>
      <c r="AS1005" s="22" t="str">
        <f>IF(DATA[[#This Row],[fecha_fs]]&gt;0,TEXT(DATA[[#This Row],[fecha_fs]],"Mmmm"),0)</f>
        <v>Agosto</v>
      </c>
      <c r="AT1005" s="22" t="str">
        <f>DATA[[#This Row],[SERIE2]]&amp;"-"&amp;DATA[[#This Row],[NUMERO]]</f>
        <v>FF01-204</v>
      </c>
      <c r="AU1005" s="28">
        <f>DATA[[#This Row],[TOTAL]]*DATA[[#This Row],[T.C.]]</f>
        <v>1076.1600000000001</v>
      </c>
      <c r="AV1005" s="6">
        <f>DATA[[#This Row],[FECHA DE VAL.]]</f>
        <v>45880</v>
      </c>
      <c r="AW1005" s="6">
        <f>DATA[[#This Row],[FECHA DE EMISION]]</f>
        <v>45881</v>
      </c>
      <c r="AX1005" s="6">
        <f>DATA[[#This Row],[F1]]</f>
        <v>0</v>
      </c>
      <c r="AY1005" s="20">
        <f>IF(AV1005-DATA[[#This Row],[fecha_fs]]&lt;0,0,AV1005-DATA[[#This Row],[fecha_fs]])</f>
        <v>7</v>
      </c>
      <c r="AZ1005" s="20">
        <f t="shared" si="128"/>
        <v>1</v>
      </c>
      <c r="BA1005" s="53">
        <f t="shared" si="129"/>
        <v>0</v>
      </c>
      <c r="BB1005" s="195">
        <f>IFERROR(SUM(DATA[[#This Row],[fs_val_ttf]:[fact_pago_ttf]]),0)</f>
        <v>8</v>
      </c>
      <c r="BC1005" s="293">
        <v>45873</v>
      </c>
      <c r="BD1005" s="233">
        <v>45876</v>
      </c>
      <c r="BE1005" s="233">
        <v>45901</v>
      </c>
      <c r="BF1005" s="233">
        <v>45904</v>
      </c>
      <c r="BG1005" s="20">
        <f>IFERROR(IF(BC1005-DATA[[#This Row],[fecha_fs]]&lt;0,0,BC1005-DATA[[#This Row],[fecha_fs]]),0)</f>
        <v>0</v>
      </c>
      <c r="BH1005" s="20">
        <f t="shared" si="130"/>
        <v>3</v>
      </c>
      <c r="BI1005" s="20">
        <f t="shared" si="131"/>
        <v>25</v>
      </c>
      <c r="BJ1005" s="20">
        <f t="shared" si="132"/>
        <v>3</v>
      </c>
      <c r="BK1005" s="282">
        <f>IFERROR(SUM(DATA[[#This Row],[fs_fd_ttd]:[fend_fenf_ttd]]),0)</f>
        <v>31</v>
      </c>
      <c r="BL1005" s="20" t="str">
        <f>IF(DATA[[#This Row],[fecha_fs]]&gt;0,TEXT(DATA[[#This Row],[fecha_fs]],"YYYY"),0)</f>
        <v>2025</v>
      </c>
      <c r="BM1005" s="236" t="b">
        <v>1</v>
      </c>
      <c r="BN1005" s="278">
        <f>COUNTIF(DATA[[#This Row],[tiempo_td]], "&lt;=15")</f>
        <v>0</v>
      </c>
      <c r="BO1005" s="222"/>
    </row>
    <row r="1006" spans="1:67" ht="30.6" customHeight="1" x14ac:dyDescent="0.25">
      <c r="A1006" s="240">
        <v>20100192064</v>
      </c>
      <c r="B1006" s="5" t="s">
        <v>60</v>
      </c>
      <c r="C1006" s="52" t="s">
        <v>64</v>
      </c>
      <c r="D1006" s="4" t="s">
        <v>112</v>
      </c>
      <c r="E1006" s="5" t="s">
        <v>1</v>
      </c>
      <c r="F1006" s="24">
        <v>45873</v>
      </c>
      <c r="G1006" s="7" t="s">
        <v>113</v>
      </c>
      <c r="H1006" s="25">
        <f t="shared" si="127"/>
        <v>1</v>
      </c>
      <c r="I1006" s="67">
        <v>4827</v>
      </c>
      <c r="J1006" s="8" t="s">
        <v>115</v>
      </c>
      <c r="K1006" s="9" t="s">
        <v>116</v>
      </c>
      <c r="L1006" s="10" t="s">
        <v>117</v>
      </c>
      <c r="M1006" s="11">
        <v>200</v>
      </c>
      <c r="N1006" s="12" t="s">
        <v>122</v>
      </c>
      <c r="O1006" s="6">
        <v>45894</v>
      </c>
      <c r="P1006" s="71">
        <v>3615</v>
      </c>
      <c r="Q1006" s="14" t="s">
        <v>123</v>
      </c>
      <c r="R1006" s="15">
        <f>(DATA[[#This Row],[cantidad_fs]]/1000)*(143+175.34)</f>
        <v>63.668000000000006</v>
      </c>
      <c r="S1006" s="15">
        <v>137</v>
      </c>
      <c r="T1006" s="237">
        <f>DATA[[#This Row],[C. DF]]+DATA[[#This Row],[C.OPE.]]</f>
        <v>200.66800000000001</v>
      </c>
      <c r="U1006" s="15">
        <f>DATA[[#This Row],[SUB TOTAL]]*0.18</f>
        <v>36.120240000000003</v>
      </c>
      <c r="V1006" s="15">
        <f>IFERROR(ROUND(DATA[[#This Row],[SUB TOTAL]]+DATA[[#This Row],[IGV]],2),0)</f>
        <v>236.79</v>
      </c>
      <c r="W1006" s="16" t="str">
        <f>IF(DATA[[#This Row],[VALORIZACIÓN ]]="-","NO CORRESPONDE",IF(OR(A1006=20558226979,A1006=10470707866,A1006=20111157058,A1006=20100226902),"NO CORRESPONDE",IF(J1006="Emitida",IF(P1006&gt;0,"EMITIDA","PENDIENTE"),"NO CORRESPONDE")))</f>
        <v>EMITIDA</v>
      </c>
      <c r="X1006" s="29" t="s">
        <v>347</v>
      </c>
      <c r="Y1006" s="17" t="s">
        <v>118</v>
      </c>
      <c r="Z1006" s="30">
        <v>45930</v>
      </c>
      <c r="AA1006" s="10" t="s">
        <v>349</v>
      </c>
      <c r="AB1006" s="19">
        <v>4</v>
      </c>
      <c r="AC1006" s="20">
        <v>30</v>
      </c>
      <c r="AD1006" s="18">
        <f>DATA[[#This Row],[FECHA DE EMISION]]+DATA[[#This Row],[CONDICION DE PAGO]]</f>
        <v>45960</v>
      </c>
      <c r="AE1006" s="23" t="e">
        <f>IF(DATA[[#This Row],[MONEDA]]="USD",VLOOKUP(DATA[[#This Row],[COMBINADA]],#REF!,11,0),1)</f>
        <v>#REF!</v>
      </c>
      <c r="AF1006" s="129" t="str">
        <f>IF(DATA[[#This Row],[SERIE2]]="-","NO CORRESPONDE",IF(W1006="NO CORRESPONDE","NO CORRESPONDE",IF(Z1006&gt;0,"FACTURADO","PENDIENTE")))</f>
        <v>FACTURADO</v>
      </c>
      <c r="AG1006" s="133">
        <f>IFERROR(VLOOKUP(DATA[[#This Row],[COMBINADA]],#REF!,6,0),0)</f>
        <v>0</v>
      </c>
      <c r="AH1006" s="125">
        <f>IFERROR(VLOOKUP(DATA[[#This Row],[COMBINADA]],#REF!,9,0),0)/COUNTIFS(DATA[COMBINADA],DATA[[#This Row],[COMBINADA]])</f>
        <v>0</v>
      </c>
      <c r="AI1006" s="136">
        <f>IFERROR(VLOOKUP(DATA[[#This Row],[COMBINADA]],#REF!,6,0),0)</f>
        <v>0</v>
      </c>
      <c r="AJ1006" s="132">
        <f>IFERROR(VLOOKUP(DATA[[#This Row],[COMBINADA]],#REF!,9,0),0)/COUNTIFS(DATA[COMBINADA],DATA[[#This Row],[COMBINADA]])</f>
        <v>0</v>
      </c>
      <c r="AK1006" s="408">
        <f>IFERROR(VLOOKUP(DATA[[#This Row],[COMBINADA]],#REF!,6,0),0)</f>
        <v>0</v>
      </c>
      <c r="AL1006" s="125">
        <f>IFERROR(VLOOKUP(DATA[[#This Row],[COMBINADA]],#REF!,9,0),0)/COUNTIFS(DATA[COMBINADA],DATA[[#This Row],[COMBINADA]])</f>
        <v>0</v>
      </c>
      <c r="AM1006" s="147">
        <f>IFERROR(VLOOKUP(DATA[[#This Row],[COMBINADA]],#REF!,6,0),0)</f>
        <v>0</v>
      </c>
      <c r="AN1006" s="125">
        <f>IFERROR(VLOOKUP(DATA[[#This Row],[COMBINADA]],#REF!,9,0),0)/COUNTIFS(DATA[COMBINADA],DATA[[#This Row],[COMBINADA]])</f>
        <v>0</v>
      </c>
      <c r="AO1006" s="27">
        <f>IFERROR(VLOOKUP(DATA[[#This Row],[COMBINADA]],#REF!,6,0),0)</f>
        <v>0</v>
      </c>
      <c r="AP1006" s="132">
        <f>IFERROR(VLOOKUP(DATA[[#This Row],[COMBINADA]],#REF!,9,0),0)/COUNTIFS(DATA[COMBINADA],DATA[[#This Row],[COMBINADA]])</f>
        <v>0</v>
      </c>
      <c r="AQ100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642.19333333333327</v>
      </c>
      <c r="AR1006" s="26" t="str">
        <f>IFERROR(IF(DATA[[#This Row],[estado_fact]]="FACTURADO",VLOOKUP(DATA[[#This Row],[SERIE2]]&amp;"-"&amp;DATA[[#This Row],[NUMERO]],#REF!,34,0),"NO CORRESPONDE"),"NO CORRESPONDE")</f>
        <v>NO CORRESPONDE</v>
      </c>
      <c r="AS1006" s="22" t="str">
        <f>IF(DATA[[#This Row],[fecha_fs]]&gt;0,TEXT(DATA[[#This Row],[fecha_fs]],"Mmmm"),0)</f>
        <v>Agosto</v>
      </c>
      <c r="AT1006" s="22" t="str">
        <f>DATA[[#This Row],[SERIE2]]&amp;"-"&amp;DATA[[#This Row],[NUMERO]]</f>
        <v>FF04-4</v>
      </c>
      <c r="AU1006" s="28" t="e">
        <f>DATA[[#This Row],[TOTAL]]*DATA[[#This Row],[T.C.]]</f>
        <v>#REF!</v>
      </c>
      <c r="AV1006" s="6">
        <f>DATA[[#This Row],[FECHA DE VAL.]]</f>
        <v>45894</v>
      </c>
      <c r="AW1006" s="6">
        <f>DATA[[#This Row],[FECHA DE EMISION]]</f>
        <v>45930</v>
      </c>
      <c r="AX1006" s="6">
        <f>DATA[[#This Row],[F1]]</f>
        <v>0</v>
      </c>
      <c r="AY1006" s="20">
        <f>IF(AV1006-DATA[[#This Row],[fecha_fs]]&lt;0,0,AV1006-DATA[[#This Row],[fecha_fs]])</f>
        <v>21</v>
      </c>
      <c r="AZ1006" s="20">
        <f t="shared" si="128"/>
        <v>36</v>
      </c>
      <c r="BA1006" s="53">
        <f t="shared" si="129"/>
        <v>0</v>
      </c>
      <c r="BB1006" s="195">
        <f>IFERROR(SUM(DATA[[#This Row],[fs_val_ttf]:[fact_pago_ttf]]),0)</f>
        <v>57</v>
      </c>
      <c r="BC1006" s="293">
        <v>45876</v>
      </c>
      <c r="BD1006" s="293">
        <v>45887</v>
      </c>
      <c r="BE1006" s="233">
        <v>45901</v>
      </c>
      <c r="BF1006" s="233">
        <v>45909</v>
      </c>
      <c r="BG1006" s="20">
        <f>IFERROR(IF(BC1006-DATA[[#This Row],[fecha_fs]]&lt;0,0,BC1006-DATA[[#This Row],[fecha_fs]]),0)</f>
        <v>3</v>
      </c>
      <c r="BH1006" s="20">
        <f t="shared" si="130"/>
        <v>11</v>
      </c>
      <c r="BI1006" s="20">
        <f t="shared" si="131"/>
        <v>14</v>
      </c>
      <c r="BJ1006" s="20">
        <f t="shared" si="132"/>
        <v>8</v>
      </c>
      <c r="BK1006" s="282">
        <f>IFERROR(SUM(DATA[[#This Row],[fs_fd_ttd]:[fend_fenf_ttd]]),0)</f>
        <v>36</v>
      </c>
      <c r="BL1006" s="20" t="str">
        <f>IF(DATA[[#This Row],[fecha_fs]]&gt;0,TEXT(DATA[[#This Row],[fecha_fs]],"YYYY"),0)</f>
        <v>2025</v>
      </c>
      <c r="BM1006" s="236" t="b">
        <v>1</v>
      </c>
      <c r="BN1006" s="278">
        <f>COUNTIF(DATA[[#This Row],[tiempo_td]], "&lt;=15")</f>
        <v>0</v>
      </c>
      <c r="BO1006" s="222"/>
    </row>
    <row r="1007" spans="1:67" ht="30.6" customHeight="1" x14ac:dyDescent="0.25">
      <c r="A1007" s="4">
        <v>20419158462</v>
      </c>
      <c r="B1007" s="5" t="s">
        <v>2</v>
      </c>
      <c r="C1007" s="52" t="s">
        <v>12</v>
      </c>
      <c r="D1007" s="4" t="s">
        <v>120</v>
      </c>
      <c r="E1007" s="5" t="s">
        <v>3</v>
      </c>
      <c r="F1007" s="24">
        <v>45873</v>
      </c>
      <c r="G1007" s="7" t="s">
        <v>113</v>
      </c>
      <c r="H1007" s="25">
        <f t="shared" si="127"/>
        <v>1</v>
      </c>
      <c r="I1007" s="67">
        <v>4828</v>
      </c>
      <c r="J1007" s="8" t="s">
        <v>115</v>
      </c>
      <c r="K1007" s="9" t="s">
        <v>156</v>
      </c>
      <c r="L1007" s="10" t="s">
        <v>117</v>
      </c>
      <c r="M1007" s="11">
        <v>940</v>
      </c>
      <c r="N1007" s="12" t="s">
        <v>249</v>
      </c>
      <c r="O1007" s="6">
        <v>45874</v>
      </c>
      <c r="P1007" s="13">
        <v>3591</v>
      </c>
      <c r="Q1007" s="14" t="s">
        <v>85</v>
      </c>
      <c r="R1007" s="74"/>
      <c r="S1007" s="237">
        <v>1429.7</v>
      </c>
      <c r="T1007" s="237">
        <f>DATA[[#This Row],[C. DF]]+DATA[[#This Row],[C.OPE.]]</f>
        <v>1429.7</v>
      </c>
      <c r="U1007" s="15">
        <f>DATA[[#This Row],[SUB TOTAL]]*0.18</f>
        <v>257.346</v>
      </c>
      <c r="V1007" s="15">
        <f>IFERROR(ROUND(DATA[[#This Row],[SUB TOTAL]]+DATA[[#This Row],[IGV]],2),0)</f>
        <v>1687.05</v>
      </c>
      <c r="W1007" s="16" t="str">
        <f>IF(DATA[[#This Row],[VALORIZACIÓN ]]="-","NO CORRESPONDE",IF(OR(A1007=20558226979,A1007=10470707866,A1007=20111157058,A1007=20100226902),"NO CORRESPONDE",IF(J1007="Emitida",IF(P1007&gt;0,"EMITIDA","PENDIENTE"),"NO CORRESPONDE")))</f>
        <v>EMITIDA</v>
      </c>
      <c r="X1007" s="29"/>
      <c r="Y1007" s="17" t="s">
        <v>118</v>
      </c>
      <c r="Z1007" s="30">
        <v>45965</v>
      </c>
      <c r="AA1007" s="10" t="s">
        <v>150</v>
      </c>
      <c r="AB1007" s="19">
        <v>324</v>
      </c>
      <c r="AC1007" s="20">
        <v>2</v>
      </c>
      <c r="AD1007" s="18">
        <f>DATA[[#This Row],[FECHA DE EMISION]]+DATA[[#This Row],[CONDICION DE PAGO]]</f>
        <v>45967</v>
      </c>
      <c r="AE1007" s="23">
        <f>IF(DATA[[#This Row],[MONEDA]]="USD",VLOOKUP(DATA[[#This Row],[COMBINADA]],#REF!,11,0),1)</f>
        <v>1</v>
      </c>
      <c r="AF1007" s="129" t="str">
        <f>IF(DATA[[#This Row],[SERIE2]]="-","NO CORRESPONDE",IF(W1007="NO CORRESPONDE","NO CORRESPONDE",IF(Z1007&gt;0,"FACTURADO","PENDIENTE")))</f>
        <v>FACTURADO</v>
      </c>
      <c r="AG1007" s="133">
        <f>IFERROR(VLOOKUP(DATA[[#This Row],[COMBINADA]],#REF!,6,0),0)</f>
        <v>0</v>
      </c>
      <c r="AH1007" s="125">
        <f>IFERROR(VLOOKUP(DATA[[#This Row],[COMBINADA]],#REF!,9,0),0)/COUNTIFS(DATA[COMBINADA],DATA[[#This Row],[COMBINADA]])</f>
        <v>0</v>
      </c>
      <c r="AI1007" s="136">
        <f>IFERROR(VLOOKUP(DATA[[#This Row],[COMBINADA]],#REF!,6,0),0)</f>
        <v>0</v>
      </c>
      <c r="AJ1007" s="132">
        <f>IFERROR(VLOOKUP(DATA[[#This Row],[COMBINADA]],#REF!,9,0),0)/COUNTIFS(DATA[COMBINADA],DATA[[#This Row],[COMBINADA]])</f>
        <v>0</v>
      </c>
      <c r="AK1007" s="408">
        <f>IFERROR(VLOOKUP(DATA[[#This Row],[COMBINADA]],#REF!,6,0),0)</f>
        <v>0</v>
      </c>
      <c r="AL1007" s="125">
        <f>IFERROR(VLOOKUP(DATA[[#This Row],[COMBINADA]],#REF!,9,0),0)/COUNTIFS(DATA[COMBINADA],DATA[[#This Row],[COMBINADA]])</f>
        <v>0</v>
      </c>
      <c r="AM1007" s="147">
        <f>IFERROR(VLOOKUP(DATA[[#This Row],[COMBINADA]],#REF!,6,0),0)</f>
        <v>0</v>
      </c>
      <c r="AN1007" s="125">
        <f>IFERROR(VLOOKUP(DATA[[#This Row],[COMBINADA]],#REF!,9,0),0)/COUNTIFS(DATA[COMBINADA],DATA[[#This Row],[COMBINADA]])</f>
        <v>0</v>
      </c>
      <c r="AO1007" s="27">
        <f>IFERROR(VLOOKUP(DATA[[#This Row],[COMBINADA]],#REF!,6,0),0)</f>
        <v>0</v>
      </c>
      <c r="AP1007" s="132">
        <f>IFERROR(VLOOKUP(DATA[[#This Row],[COMBINADA]],#REF!,9,0),0)/COUNTIFS(DATA[COMBINADA],DATA[[#This Row],[COMBINADA]])</f>
        <v>0</v>
      </c>
      <c r="AQ100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1687.05</v>
      </c>
      <c r="AR1007" s="26" t="str">
        <f>IFERROR(IF(DATA[[#This Row],[estado_fact]]="FACTURADO",VLOOKUP(DATA[[#This Row],[SERIE2]]&amp;"-"&amp;DATA[[#This Row],[NUMERO]],#REF!,34,0),"NO CORRESPONDE"),"NO CORRESPONDE")</f>
        <v>NO CORRESPONDE</v>
      </c>
      <c r="AS1007" s="22" t="str">
        <f>IF(DATA[[#This Row],[fecha_fs]]&gt;0,TEXT(DATA[[#This Row],[fecha_fs]],"Mmmm"),0)</f>
        <v>Agosto</v>
      </c>
      <c r="AT1007" s="22" t="str">
        <f>DATA[[#This Row],[SERIE2]]&amp;"-"&amp;DATA[[#This Row],[NUMERO]]</f>
        <v>FF01-324</v>
      </c>
      <c r="AU1007" s="28">
        <f>DATA[[#This Row],[TOTAL]]*DATA[[#This Row],[T.C.]]</f>
        <v>1687.05</v>
      </c>
      <c r="AV1007" s="6">
        <f>DATA[[#This Row],[FECHA DE VAL.]]</f>
        <v>45874</v>
      </c>
      <c r="AW1007" s="6">
        <f>DATA[[#This Row],[FECHA DE EMISION]]</f>
        <v>45965</v>
      </c>
      <c r="AX1007" s="6">
        <f>DATA[[#This Row],[F1]]</f>
        <v>0</v>
      </c>
      <c r="AY1007" s="20">
        <f>IF(AV1007-DATA[[#This Row],[fecha_fs]]&lt;0,0,AV1007-DATA[[#This Row],[fecha_fs]])</f>
        <v>1</v>
      </c>
      <c r="AZ1007" s="20">
        <f t="shared" si="128"/>
        <v>91</v>
      </c>
      <c r="BA1007" s="53">
        <f t="shared" si="129"/>
        <v>0</v>
      </c>
      <c r="BB1007" s="195">
        <f>IFERROR(SUM(DATA[[#This Row],[fs_val_ttf]:[fact_pago_ttf]]),0)</f>
        <v>92</v>
      </c>
      <c r="BC1007" s="233">
        <v>45873</v>
      </c>
      <c r="BD1007" s="233">
        <v>45873</v>
      </c>
      <c r="BE1007" s="233">
        <v>45880</v>
      </c>
      <c r="BF1007" s="233">
        <v>45880</v>
      </c>
      <c r="BG1007" s="20">
        <f>IFERROR(IF(BC1007-DATA[[#This Row],[fecha_fs]]&lt;0,0,BC1007-DATA[[#This Row],[fecha_fs]]),0)</f>
        <v>0</v>
      </c>
      <c r="BH1007" s="20">
        <f t="shared" si="130"/>
        <v>0</v>
      </c>
      <c r="BI1007" s="20">
        <f t="shared" si="131"/>
        <v>7</v>
      </c>
      <c r="BJ1007" s="20">
        <f t="shared" si="132"/>
        <v>0</v>
      </c>
      <c r="BK1007" s="282">
        <f>IFERROR(SUM(DATA[[#This Row],[fs_fd_ttd]:[fend_fenf_ttd]]),0)</f>
        <v>7</v>
      </c>
      <c r="BL1007" s="20" t="str">
        <f>IF(DATA[[#This Row],[fecha_fs]]&gt;0,TEXT(DATA[[#This Row],[fecha_fs]],"YYYY"),0)</f>
        <v>2025</v>
      </c>
      <c r="BM1007" s="236" t="b">
        <v>1</v>
      </c>
      <c r="BN1007" s="278">
        <f>COUNTIF(DATA[[#This Row],[tiempo_td]], "&lt;=15")</f>
        <v>1</v>
      </c>
      <c r="BO1007" s="222"/>
    </row>
    <row r="1008" spans="1:67" ht="30.6" customHeight="1" x14ac:dyDescent="0.25">
      <c r="A1008" s="4">
        <v>20505675836</v>
      </c>
      <c r="B1008" s="5" t="s">
        <v>42</v>
      </c>
      <c r="C1008" s="52" t="s">
        <v>20</v>
      </c>
      <c r="D1008" s="4" t="s">
        <v>112</v>
      </c>
      <c r="E1008" s="5" t="s">
        <v>1</v>
      </c>
      <c r="F1008" s="24">
        <v>45873</v>
      </c>
      <c r="G1008" s="7" t="s">
        <v>113</v>
      </c>
      <c r="H1008" s="25">
        <f t="shared" si="127"/>
        <v>1</v>
      </c>
      <c r="I1008" s="67">
        <v>4829</v>
      </c>
      <c r="J1008" s="8" t="s">
        <v>115</v>
      </c>
      <c r="K1008" s="9" t="s">
        <v>116</v>
      </c>
      <c r="L1008" s="10" t="s">
        <v>117</v>
      </c>
      <c r="M1008" s="11">
        <v>380</v>
      </c>
      <c r="N1008" s="12" t="s">
        <v>305</v>
      </c>
      <c r="O1008" s="6">
        <v>45896</v>
      </c>
      <c r="P1008" s="71">
        <v>3631</v>
      </c>
      <c r="Q1008" s="14" t="s">
        <v>85</v>
      </c>
      <c r="R1008" s="15"/>
      <c r="S1008" s="56">
        <v>1988.35</v>
      </c>
      <c r="T1008" s="237">
        <f>DATA[[#This Row],[C. DF]]+DATA[[#This Row],[C.OPE.]]</f>
        <v>1988.35</v>
      </c>
      <c r="U1008" s="15">
        <f>DATA[[#This Row],[SUB TOTAL]]*0.18</f>
        <v>357.90299999999996</v>
      </c>
      <c r="V1008" s="15">
        <f>IFERROR(ROUND(DATA[[#This Row],[SUB TOTAL]]+DATA[[#This Row],[IGV]],2),0)</f>
        <v>2346.25</v>
      </c>
      <c r="W1008" s="16" t="str">
        <f>IF(DATA[[#This Row],[VALORIZACIÓN ]]="-","NO CORRESPONDE",IF(OR(A1008=20558226979,A1008=10470707866,A1008=20111157058,A1008=20100226902),"NO CORRESPONDE",IF(J1008="Emitida",IF(P1008&gt;0,"EMITIDA","PENDIENTE"),"NO CORRESPONDE")))</f>
        <v>EMITIDA</v>
      </c>
      <c r="X1008" s="29"/>
      <c r="Y1008" s="17" t="s">
        <v>118</v>
      </c>
      <c r="Z1008" s="30">
        <v>45922</v>
      </c>
      <c r="AA1008" s="10" t="s">
        <v>150</v>
      </c>
      <c r="AB1008" s="19">
        <v>261</v>
      </c>
      <c r="AC1008" s="20">
        <v>30</v>
      </c>
      <c r="AD1008" s="18">
        <f>DATA[[#This Row],[FECHA DE EMISION]]+DATA[[#This Row],[CONDICION DE PAGO]]</f>
        <v>45952</v>
      </c>
      <c r="AE1008" s="23">
        <f>IF(DATA[[#This Row],[MONEDA]]="USD",VLOOKUP(DATA[[#This Row],[COMBINADA]],#REF!,11,0),1)</f>
        <v>1</v>
      </c>
      <c r="AF1008" s="129" t="str">
        <f>IF(DATA[[#This Row],[SERIE2]]="-","NO CORRESPONDE",IF(W1008="NO CORRESPONDE","NO CORRESPONDE",IF(Z1008&gt;0,"FACTURADO","PENDIENTE")))</f>
        <v>FACTURADO</v>
      </c>
      <c r="AG1008" s="133">
        <f>IFERROR(VLOOKUP(DATA[[#This Row],[COMBINADA]],#REF!,6,0),0)</f>
        <v>0</v>
      </c>
      <c r="AH1008" s="125">
        <f>IFERROR(VLOOKUP(DATA[[#This Row],[COMBINADA]],#REF!,9,0),0)/COUNTIFS(DATA[COMBINADA],DATA[[#This Row],[COMBINADA]])</f>
        <v>0</v>
      </c>
      <c r="AI1008" s="136">
        <f>IFERROR(VLOOKUP(DATA[[#This Row],[COMBINADA]],#REF!,6,0),0)</f>
        <v>0</v>
      </c>
      <c r="AJ1008" s="132">
        <f>IFERROR(VLOOKUP(DATA[[#This Row],[COMBINADA]],#REF!,9,0),0)/COUNTIFS(DATA[COMBINADA],DATA[[#This Row],[COMBINADA]])</f>
        <v>0</v>
      </c>
      <c r="AK1008" s="408">
        <f>IFERROR(VLOOKUP(DATA[[#This Row],[COMBINADA]],#REF!,6,0),0)</f>
        <v>0</v>
      </c>
      <c r="AL1008" s="125">
        <f>IFERROR(VLOOKUP(DATA[[#This Row],[COMBINADA]],#REF!,9,0),0)/COUNTIFS(DATA[COMBINADA],DATA[[#This Row],[COMBINADA]])</f>
        <v>0</v>
      </c>
      <c r="AM1008" s="147">
        <f>IFERROR(VLOOKUP(DATA[[#This Row],[COMBINADA]],#REF!,6,0),0)</f>
        <v>0</v>
      </c>
      <c r="AN1008" s="125">
        <f>IFERROR(VLOOKUP(DATA[[#This Row],[COMBINADA]],#REF!,9,0),0)/COUNTIFS(DATA[COMBINADA],DATA[[#This Row],[COMBINADA]])</f>
        <v>0</v>
      </c>
      <c r="AO1008" s="27">
        <f>IFERROR(VLOOKUP(DATA[[#This Row],[COMBINADA]],#REF!,6,0),0)</f>
        <v>0</v>
      </c>
      <c r="AP1008" s="132">
        <f>IFERROR(VLOOKUP(DATA[[#This Row],[COMBINADA]],#REF!,9,0),0)/COUNTIFS(DATA[COMBINADA],DATA[[#This Row],[COMBINADA]])</f>
        <v>0</v>
      </c>
      <c r="AQ100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2110.0466666666666</v>
      </c>
      <c r="AR1008" s="26" t="str">
        <f>IFERROR(IF(DATA[[#This Row],[estado_fact]]="FACTURADO",VLOOKUP(DATA[[#This Row],[SERIE2]]&amp;"-"&amp;DATA[[#This Row],[NUMERO]],#REF!,34,0),"NO CORRESPONDE"),"NO CORRESPONDE")</f>
        <v>NO CORRESPONDE</v>
      </c>
      <c r="AS1008" s="22" t="str">
        <f>IF(DATA[[#This Row],[fecha_fs]]&gt;0,TEXT(DATA[[#This Row],[fecha_fs]],"Mmmm"),0)</f>
        <v>Agosto</v>
      </c>
      <c r="AT1008" s="22" t="str">
        <f>DATA[[#This Row],[SERIE2]]&amp;"-"&amp;DATA[[#This Row],[NUMERO]]</f>
        <v>FF01-261</v>
      </c>
      <c r="AU1008" s="28">
        <f>DATA[[#This Row],[TOTAL]]*DATA[[#This Row],[T.C.]]</f>
        <v>2346.25</v>
      </c>
      <c r="AV1008" s="6">
        <f>DATA[[#This Row],[FECHA DE VAL.]]</f>
        <v>45896</v>
      </c>
      <c r="AW1008" s="6">
        <f>DATA[[#This Row],[FECHA DE EMISION]]</f>
        <v>45922</v>
      </c>
      <c r="AX1008" s="6">
        <f>DATA[[#This Row],[F1]]</f>
        <v>0</v>
      </c>
      <c r="AY1008" s="20">
        <f>IF(AV1008-DATA[[#This Row],[fecha_fs]]&lt;0,0,AV1008-DATA[[#This Row],[fecha_fs]])</f>
        <v>23</v>
      </c>
      <c r="AZ1008" s="20">
        <f t="shared" si="128"/>
        <v>26</v>
      </c>
      <c r="BA1008" s="53">
        <f t="shared" si="129"/>
        <v>0</v>
      </c>
      <c r="BB1008" s="195">
        <f>IFERROR(SUM(DATA[[#This Row],[fs_val_ttf]:[fact_pago_ttf]]),0)</f>
        <v>49</v>
      </c>
      <c r="BC1008" s="293">
        <v>45876</v>
      </c>
      <c r="BD1008" s="293">
        <v>45887</v>
      </c>
      <c r="BE1008" s="233">
        <v>45904</v>
      </c>
      <c r="BF1008" s="233">
        <v>45924</v>
      </c>
      <c r="BG1008" s="20">
        <f>IFERROR(IF(BC1008-DATA[[#This Row],[fecha_fs]]&lt;0,0,BC1008-DATA[[#This Row],[fecha_fs]]),0)</f>
        <v>3</v>
      </c>
      <c r="BH1008" s="20">
        <f t="shared" si="130"/>
        <v>11</v>
      </c>
      <c r="BI1008" s="20">
        <f t="shared" si="131"/>
        <v>17</v>
      </c>
      <c r="BJ1008" s="20">
        <f t="shared" si="132"/>
        <v>20</v>
      </c>
      <c r="BK1008" s="282">
        <f>IFERROR(SUM(DATA[[#This Row],[fs_fd_ttd]:[fend_fenf_ttd]]),0)</f>
        <v>51</v>
      </c>
      <c r="BL1008" s="20" t="str">
        <f>IF(DATA[[#This Row],[fecha_fs]]&gt;0,TEXT(DATA[[#This Row],[fecha_fs]],"YYYY"),0)</f>
        <v>2025</v>
      </c>
      <c r="BM1008" s="236" t="b">
        <v>1</v>
      </c>
      <c r="BN1008" s="278">
        <f>COUNTIF(DATA[[#This Row],[tiempo_td]], "&lt;=15")</f>
        <v>0</v>
      </c>
      <c r="BO1008" s="222"/>
    </row>
    <row r="1009" spans="1:67" ht="30.6" customHeight="1" x14ac:dyDescent="0.25">
      <c r="A1009" s="4">
        <v>20100383919</v>
      </c>
      <c r="B1009" s="5" t="s">
        <v>72</v>
      </c>
      <c r="C1009" s="52" t="s">
        <v>43</v>
      </c>
      <c r="D1009" s="4" t="s">
        <v>112</v>
      </c>
      <c r="E1009" s="5" t="s">
        <v>1</v>
      </c>
      <c r="F1009" s="24">
        <v>45874</v>
      </c>
      <c r="G1009" s="7" t="s">
        <v>113</v>
      </c>
      <c r="H1009" s="25">
        <f t="shared" si="127"/>
        <v>1</v>
      </c>
      <c r="I1009" s="67">
        <v>4830</v>
      </c>
      <c r="J1009" s="8" t="s">
        <v>115</v>
      </c>
      <c r="K1009" s="9" t="s">
        <v>116</v>
      </c>
      <c r="L1009" s="10" t="s">
        <v>117</v>
      </c>
      <c r="M1009" s="11">
        <v>340</v>
      </c>
      <c r="N1009" s="12" t="s">
        <v>167</v>
      </c>
      <c r="O1009" s="6">
        <v>45876</v>
      </c>
      <c r="P1009" s="13">
        <v>3592</v>
      </c>
      <c r="Q1009" s="14" t="s">
        <v>85</v>
      </c>
      <c r="R1009" s="15">
        <f>DATA[[#This Row],[cantidad_fs]]*0.97</f>
        <v>329.8</v>
      </c>
      <c r="S1009" s="15">
        <v>699</v>
      </c>
      <c r="T1009" s="237">
        <f>DATA[[#This Row],[C. DF]]+DATA[[#This Row],[C.OPE.]]</f>
        <v>1028.8</v>
      </c>
      <c r="U1009" s="15">
        <f>DATA[[#This Row],[SUB TOTAL]]*0.18</f>
        <v>185.184</v>
      </c>
      <c r="V1009" s="15">
        <f>IFERROR(ROUND(DATA[[#This Row],[SUB TOTAL]]+DATA[[#This Row],[IGV]],2),0)</f>
        <v>1213.98</v>
      </c>
      <c r="W1009" s="16" t="str">
        <f>IF(DATA[[#This Row],[VALORIZACIÓN ]]="-","NO CORRESPONDE",IF(OR(A1009=20558226979,A1009=10470707866,A1009=20111157058,A1009=20100226902),"NO CORRESPONDE",IF(J1009="Emitida",IF(P1009&gt;0,"EMITIDA","PENDIENTE"),"NO CORRESPONDE")))</f>
        <v>EMITIDA</v>
      </c>
      <c r="X1009" s="29"/>
      <c r="Y1009" s="17" t="s">
        <v>118</v>
      </c>
      <c r="Z1009" s="30">
        <v>45888</v>
      </c>
      <c r="AA1009" s="10" t="s">
        <v>150</v>
      </c>
      <c r="AB1009" s="19">
        <v>208</v>
      </c>
      <c r="AC1009" s="20">
        <v>15</v>
      </c>
      <c r="AD1009" s="18">
        <f>DATA[[#This Row],[FECHA DE EMISION]]+DATA[[#This Row],[CONDICION DE PAGO]]</f>
        <v>45903</v>
      </c>
      <c r="AE1009" s="23">
        <f>IF(DATA[[#This Row],[MONEDA]]="USD",VLOOKUP(DATA[[#This Row],[COMBINADA]],#REF!,11,0),1)</f>
        <v>1</v>
      </c>
      <c r="AF1009" s="129" t="str">
        <f>IF(DATA[[#This Row],[SERIE2]]="-","NO CORRESPONDE",IF(W1009="NO CORRESPONDE","NO CORRESPONDE",IF(Z1009&gt;0,"FACTURADO","PENDIENTE")))</f>
        <v>FACTURADO</v>
      </c>
      <c r="AG1009" s="133">
        <f>IFERROR(VLOOKUP(DATA[[#This Row],[COMBINADA]],#REF!,6,0),0)</f>
        <v>0</v>
      </c>
      <c r="AH1009" s="125">
        <f>IFERROR(VLOOKUP(DATA[[#This Row],[COMBINADA]],#REF!,9,0),0)/COUNTIFS(DATA[COMBINADA],DATA[[#This Row],[COMBINADA]])</f>
        <v>0</v>
      </c>
      <c r="AI1009" s="136">
        <f>IFERROR(VLOOKUP(DATA[[#This Row],[COMBINADA]],#REF!,6,0),0)</f>
        <v>0</v>
      </c>
      <c r="AJ1009" s="132">
        <f>IFERROR(VLOOKUP(DATA[[#This Row],[COMBINADA]],#REF!,9,0),0)/COUNTIFS(DATA[COMBINADA],DATA[[#This Row],[COMBINADA]])</f>
        <v>0</v>
      </c>
      <c r="AK1009" s="408">
        <f>IFERROR(VLOOKUP(DATA[[#This Row],[COMBINADA]],#REF!,6,0),0)</f>
        <v>0</v>
      </c>
      <c r="AL1009" s="125">
        <f>IFERROR(VLOOKUP(DATA[[#This Row],[COMBINADA]],#REF!,9,0),0)/COUNTIFS(DATA[COMBINADA],DATA[[#This Row],[COMBINADA]])</f>
        <v>0</v>
      </c>
      <c r="AM1009" s="147">
        <f>IFERROR(VLOOKUP(DATA[[#This Row],[COMBINADA]],#REF!,6,0),0)</f>
        <v>0</v>
      </c>
      <c r="AN1009" s="125">
        <f>IFERROR(VLOOKUP(DATA[[#This Row],[COMBINADA]],#REF!,9,0),0)/COUNTIFS(DATA[COMBINADA],DATA[[#This Row],[COMBINADA]])</f>
        <v>0</v>
      </c>
      <c r="AO1009" s="27">
        <f>IFERROR(VLOOKUP(DATA[[#This Row],[COMBINADA]],#REF!,6,0),0)</f>
        <v>0</v>
      </c>
      <c r="AP1009" s="132">
        <f>IFERROR(VLOOKUP(DATA[[#This Row],[COMBINADA]],#REF!,9,0),0)/COUNTIFS(DATA[COMBINADA],DATA[[#This Row],[COMBINADA]])</f>
        <v>0</v>
      </c>
      <c r="AQ100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1213.98</v>
      </c>
      <c r="AR1009" s="26" t="str">
        <f>IFERROR(IF(DATA[[#This Row],[estado_fact]]="FACTURADO",VLOOKUP(DATA[[#This Row],[SERIE2]]&amp;"-"&amp;DATA[[#This Row],[NUMERO]],#REF!,34,0),"NO CORRESPONDE"),"NO CORRESPONDE")</f>
        <v>NO CORRESPONDE</v>
      </c>
      <c r="AS1009" s="22" t="str">
        <f>IF(DATA[[#This Row],[fecha_fs]]&gt;0,TEXT(DATA[[#This Row],[fecha_fs]],"Mmmm"),0)</f>
        <v>Agosto</v>
      </c>
      <c r="AT1009" s="22" t="str">
        <f>DATA[[#This Row],[SERIE2]]&amp;"-"&amp;DATA[[#This Row],[NUMERO]]</f>
        <v>FF01-208</v>
      </c>
      <c r="AU1009" s="28">
        <f>DATA[[#This Row],[TOTAL]]*DATA[[#This Row],[T.C.]]</f>
        <v>1213.98</v>
      </c>
      <c r="AV1009" s="6">
        <f>DATA[[#This Row],[FECHA DE VAL.]]</f>
        <v>45876</v>
      </c>
      <c r="AW1009" s="6">
        <f>DATA[[#This Row],[FECHA DE EMISION]]</f>
        <v>45888</v>
      </c>
      <c r="AX1009" s="6">
        <f>DATA[[#This Row],[F1]]</f>
        <v>0</v>
      </c>
      <c r="AY1009" s="20">
        <f>IF(AV1009-DATA[[#This Row],[fecha_fs]]&lt;0,0,AV1009-DATA[[#This Row],[fecha_fs]])</f>
        <v>2</v>
      </c>
      <c r="AZ1009" s="20">
        <f t="shared" si="128"/>
        <v>12</v>
      </c>
      <c r="BA1009" s="53">
        <f t="shared" si="129"/>
        <v>0</v>
      </c>
      <c r="BB1009" s="195">
        <f>IFERROR(SUM(DATA[[#This Row],[fs_val_ttf]:[fact_pago_ttf]]),0)</f>
        <v>14</v>
      </c>
      <c r="BC1009" s="233">
        <v>45882</v>
      </c>
      <c r="BD1009" s="233">
        <v>45888</v>
      </c>
      <c r="BE1009" s="233">
        <v>45888</v>
      </c>
      <c r="BF1009" s="398">
        <v>45891</v>
      </c>
      <c r="BG1009" s="20">
        <f>IFERROR(IF(BC1009-DATA[[#This Row],[fecha_fs]]&lt;0,0,BC1009-DATA[[#This Row],[fecha_fs]]),0)</f>
        <v>8</v>
      </c>
      <c r="BH1009" s="20">
        <f t="shared" si="130"/>
        <v>6</v>
      </c>
      <c r="BI1009" s="20">
        <f t="shared" si="131"/>
        <v>0</v>
      </c>
      <c r="BJ1009" s="20">
        <f t="shared" si="132"/>
        <v>3</v>
      </c>
      <c r="BK1009" s="282">
        <f>IFERROR(SUM(DATA[[#This Row],[fs_fd_ttd]:[fend_fenf_ttd]]),0)</f>
        <v>17</v>
      </c>
      <c r="BL1009" s="20" t="str">
        <f>IF(DATA[[#This Row],[fecha_fs]]&gt;0,TEXT(DATA[[#This Row],[fecha_fs]],"YYYY"),0)</f>
        <v>2025</v>
      </c>
      <c r="BM1009" s="236" t="b">
        <v>1</v>
      </c>
      <c r="BN1009" s="278">
        <f>COUNTIF(DATA[[#This Row],[tiempo_td]], "&lt;=15")</f>
        <v>0</v>
      </c>
      <c r="BO1009" s="222"/>
    </row>
    <row r="1010" spans="1:67" ht="30.6" customHeight="1" x14ac:dyDescent="0.25">
      <c r="A1010" s="4">
        <v>20100055237</v>
      </c>
      <c r="B1010" s="5" t="s">
        <v>21</v>
      </c>
      <c r="C1010" s="52" t="s">
        <v>138</v>
      </c>
      <c r="D1010" s="4" t="s">
        <v>139</v>
      </c>
      <c r="E1010" s="5" t="s">
        <v>23</v>
      </c>
      <c r="F1010" s="24">
        <v>45874</v>
      </c>
      <c r="G1010" s="7" t="s">
        <v>113</v>
      </c>
      <c r="H1010" s="25">
        <f t="shared" si="127"/>
        <v>1</v>
      </c>
      <c r="I1010" s="67">
        <v>4831</v>
      </c>
      <c r="J1010" s="8" t="s">
        <v>115</v>
      </c>
      <c r="K1010" s="9" t="s">
        <v>121</v>
      </c>
      <c r="L1010" s="10" t="s">
        <v>117</v>
      </c>
      <c r="M1010" s="11">
        <v>70</v>
      </c>
      <c r="N1010" s="12" t="s">
        <v>167</v>
      </c>
      <c r="O1010" s="6">
        <v>45898</v>
      </c>
      <c r="P1010" s="54">
        <v>3640</v>
      </c>
      <c r="Q1010" s="14" t="s">
        <v>85</v>
      </c>
      <c r="R1010" s="74"/>
      <c r="S1010" s="237">
        <v>297.92</v>
      </c>
      <c r="T1010" s="237">
        <f>DATA[[#This Row],[C. DF]]+DATA[[#This Row],[C.OPE.]]</f>
        <v>297.92</v>
      </c>
      <c r="U1010" s="15">
        <f>DATA[[#This Row],[SUB TOTAL]]*0.18</f>
        <v>53.625599999999999</v>
      </c>
      <c r="V1010" s="15">
        <f>IFERROR(ROUND(DATA[[#This Row],[SUB TOTAL]]+DATA[[#This Row],[IGV]],2),0)</f>
        <v>351.55</v>
      </c>
      <c r="W1010" s="16" t="str">
        <f>IF(DATA[[#This Row],[VALORIZACIÓN ]]="-","NO CORRESPONDE",IF(OR(A1010=20558226979,A1010=10470707866,A1010=20111157058,A1010=20100226902),"NO CORRESPONDE",IF(J1010="Emitida",IF(P1010&gt;0,"EMITIDA","PENDIENTE"),"NO CORRESPONDE")))</f>
        <v>EMITIDA</v>
      </c>
      <c r="X1010" s="29" t="s">
        <v>379</v>
      </c>
      <c r="Y1010" s="17" t="s">
        <v>118</v>
      </c>
      <c r="Z1010" s="30">
        <v>45971</v>
      </c>
      <c r="AA1010" s="10" t="s">
        <v>150</v>
      </c>
      <c r="AB1010" s="19">
        <v>350</v>
      </c>
      <c r="AC1010" s="20">
        <v>30</v>
      </c>
      <c r="AD1010" s="18">
        <f>DATA[[#This Row],[FECHA DE EMISION]]+DATA[[#This Row],[CONDICION DE PAGO]]</f>
        <v>46001</v>
      </c>
      <c r="AE1010" s="23">
        <f>IF(DATA[[#This Row],[MONEDA]]="USD",VLOOKUP(DATA[[#This Row],[COMBINADA]],#REF!,11,0),1)</f>
        <v>1</v>
      </c>
      <c r="AF1010" s="129" t="str">
        <f>IF(DATA[[#This Row],[SERIE2]]="-","NO CORRESPONDE",IF(W1010="NO CORRESPONDE","NO CORRESPONDE",IF(Z1010&gt;0,"FACTURADO","PENDIENTE")))</f>
        <v>FACTURADO</v>
      </c>
      <c r="AG1010" s="133">
        <f>IFERROR(VLOOKUP(DATA[[#This Row],[COMBINADA]],#REF!,6,0),0)</f>
        <v>0</v>
      </c>
      <c r="AH1010" s="125">
        <f>IFERROR(VLOOKUP(DATA[[#This Row],[COMBINADA]],#REF!,9,0),0)/COUNTIFS(DATA[COMBINADA],DATA[[#This Row],[COMBINADA]])</f>
        <v>0</v>
      </c>
      <c r="AI1010" s="136">
        <f>IFERROR(VLOOKUP(DATA[[#This Row],[COMBINADA]],#REF!,6,0),0)</f>
        <v>0</v>
      </c>
      <c r="AJ1010" s="132">
        <f>IFERROR(VLOOKUP(DATA[[#This Row],[COMBINADA]],#REF!,9,0),0)/COUNTIFS(DATA[COMBINADA],DATA[[#This Row],[COMBINADA]])</f>
        <v>0</v>
      </c>
      <c r="AK1010" s="408">
        <f>IFERROR(VLOOKUP(DATA[[#This Row],[COMBINADA]],#REF!,6,0),0)</f>
        <v>0</v>
      </c>
      <c r="AL1010" s="125">
        <f>IFERROR(VLOOKUP(DATA[[#This Row],[COMBINADA]],#REF!,9,0),0)/COUNTIFS(DATA[COMBINADA],DATA[[#This Row],[COMBINADA]])</f>
        <v>0</v>
      </c>
      <c r="AM1010" s="147">
        <f>IFERROR(VLOOKUP(DATA[[#This Row],[COMBINADA]],#REF!,6,0),0)</f>
        <v>0</v>
      </c>
      <c r="AN1010" s="125">
        <f>IFERROR(VLOOKUP(DATA[[#This Row],[COMBINADA]],#REF!,9,0),0)/COUNTIFS(DATA[COMBINADA],DATA[[#This Row],[COMBINADA]])</f>
        <v>0</v>
      </c>
      <c r="AO1010" s="27">
        <f>IFERROR(VLOOKUP(DATA[[#This Row],[COMBINADA]],#REF!,6,0),0)</f>
        <v>0</v>
      </c>
      <c r="AP1010" s="132">
        <f>IFERROR(VLOOKUP(DATA[[#This Row],[COMBINADA]],#REF!,9,0),0)/COUNTIFS(DATA[COMBINADA],DATA[[#This Row],[COMBINADA]])</f>
        <v>0</v>
      </c>
      <c r="AQ101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010" s="26" t="str">
        <f>IFERROR(IF(DATA[[#This Row],[estado_fact]]="FACTURADO",VLOOKUP(DATA[[#This Row],[SERIE2]]&amp;"-"&amp;DATA[[#This Row],[NUMERO]],#REF!,34,0),"NO CORRESPONDE"),"NO CORRESPONDE")</f>
        <v>NO CORRESPONDE</v>
      </c>
      <c r="AS1010" s="22" t="str">
        <f>IF(DATA[[#This Row],[fecha_fs]]&gt;0,TEXT(DATA[[#This Row],[fecha_fs]],"Mmmm"),0)</f>
        <v>Agosto</v>
      </c>
      <c r="AT1010" s="22" t="str">
        <f>DATA[[#This Row],[SERIE2]]&amp;"-"&amp;DATA[[#This Row],[NUMERO]]</f>
        <v>FF01-350</v>
      </c>
      <c r="AU1010" s="28">
        <f>DATA[[#This Row],[TOTAL]]*DATA[[#This Row],[T.C.]]</f>
        <v>351.55</v>
      </c>
      <c r="AV1010" s="6">
        <f>DATA[[#This Row],[FECHA DE VAL.]]</f>
        <v>45898</v>
      </c>
      <c r="AW1010" s="6">
        <f>DATA[[#This Row],[FECHA DE EMISION]]</f>
        <v>45971</v>
      </c>
      <c r="AX1010" s="6">
        <f>DATA[[#This Row],[F1]]</f>
        <v>0</v>
      </c>
      <c r="AY1010" s="20">
        <f>IF(AV1010-DATA[[#This Row],[fecha_fs]]&lt;0,0,AV1010-DATA[[#This Row],[fecha_fs]])</f>
        <v>24</v>
      </c>
      <c r="AZ1010" s="20">
        <f t="shared" si="128"/>
        <v>73</v>
      </c>
      <c r="BA1010" s="53">
        <f t="shared" si="129"/>
        <v>0</v>
      </c>
      <c r="BB1010" s="195">
        <f>IFERROR(SUM(DATA[[#This Row],[fs_val_ttf]:[fact_pago_ttf]]),0)</f>
        <v>97</v>
      </c>
      <c r="BC1010" s="233">
        <v>45874</v>
      </c>
      <c r="BD1010" s="233">
        <v>45874</v>
      </c>
      <c r="BE1010" s="233">
        <v>45898</v>
      </c>
      <c r="BF1010" s="233">
        <v>45898</v>
      </c>
      <c r="BG1010" s="20">
        <f>IFERROR(IF(BC1010-DATA[[#This Row],[fecha_fs]]&lt;0,0,BC1010-DATA[[#This Row],[fecha_fs]]),0)</f>
        <v>0</v>
      </c>
      <c r="BH1010" s="20">
        <f t="shared" si="130"/>
        <v>0</v>
      </c>
      <c r="BI1010" s="20">
        <f t="shared" si="131"/>
        <v>24</v>
      </c>
      <c r="BJ1010" s="20">
        <f t="shared" si="132"/>
        <v>0</v>
      </c>
      <c r="BK1010" s="282">
        <f>IFERROR(SUM(DATA[[#This Row],[fs_fd_ttd]:[fend_fenf_ttd]]),0)</f>
        <v>24</v>
      </c>
      <c r="BL1010" s="20" t="str">
        <f>IF(DATA[[#This Row],[fecha_fs]]&gt;0,TEXT(DATA[[#This Row],[fecha_fs]],"YYYY"),0)</f>
        <v>2025</v>
      </c>
      <c r="BM1010" s="236" t="b">
        <v>1</v>
      </c>
      <c r="BN1010" s="278">
        <f>COUNTIF(DATA[[#This Row],[tiempo_td]], "&lt;=15")</f>
        <v>0</v>
      </c>
      <c r="BO1010" s="222"/>
    </row>
    <row r="1011" spans="1:67" ht="30.6" customHeight="1" x14ac:dyDescent="0.25">
      <c r="A1011" s="4">
        <v>20558226979</v>
      </c>
      <c r="B1011" s="5" t="s">
        <v>45</v>
      </c>
      <c r="C1011" s="52" t="s">
        <v>18</v>
      </c>
      <c r="D1011" s="4" t="s">
        <v>120</v>
      </c>
      <c r="E1011" s="5" t="s">
        <v>3</v>
      </c>
      <c r="F1011" s="24">
        <v>45873</v>
      </c>
      <c r="G1011" s="7" t="s">
        <v>113</v>
      </c>
      <c r="H1011" s="25">
        <f t="shared" si="127"/>
        <v>1</v>
      </c>
      <c r="I1011" s="67">
        <v>4832</v>
      </c>
      <c r="J1011" s="8" t="s">
        <v>115</v>
      </c>
      <c r="K1011" s="9" t="s">
        <v>121</v>
      </c>
      <c r="L1011" s="10" t="s">
        <v>117</v>
      </c>
      <c r="M1011" s="11">
        <v>3950</v>
      </c>
      <c r="N1011" s="12" t="s">
        <v>135</v>
      </c>
      <c r="O1011" s="40"/>
      <c r="P1011" s="41" t="s">
        <v>114</v>
      </c>
      <c r="Q1011" s="42"/>
      <c r="R1011" s="43"/>
      <c r="S1011" s="43"/>
      <c r="T1011" s="43">
        <f>DATA[[#This Row],[C. DF]]+DATA[[#This Row],[C.OPE.]]</f>
        <v>0</v>
      </c>
      <c r="U1011" s="43">
        <f>DATA[[#This Row],[SUB TOTAL]]*0.18</f>
        <v>0</v>
      </c>
      <c r="V1011" s="43">
        <f>IFERROR(ROUND(DATA[[#This Row],[SUB TOTAL]]+DATA[[#This Row],[IGV]],2),0)</f>
        <v>0</v>
      </c>
      <c r="W1011" s="16" t="str">
        <f>IF(DATA[[#This Row],[VALORIZACIÓN ]]="-","NO CORRESPONDE",IF(OR(A1011=20558226979,A1011=10470707866,A1011=20111157058,A1011=20100226902),"NO CORRESPONDE",IF(J1011="Emitida",IF(P1011&gt;0,"EMITIDA","PENDIENTE"),"NO CORRESPONDE")))</f>
        <v>NO CORRESPONDE</v>
      </c>
      <c r="X1011" s="45"/>
      <c r="Y1011" s="17" t="s">
        <v>128</v>
      </c>
      <c r="Z1011" s="46"/>
      <c r="AA1011" s="47"/>
      <c r="AB1011" s="48"/>
      <c r="AC1011" s="49"/>
      <c r="AD1011" s="50">
        <f>DATA[[#This Row],[FECHA DE EMISION]]+DATA[[#This Row],[CONDICION DE PAGO]]</f>
        <v>0</v>
      </c>
      <c r="AE1011" s="23">
        <f>IF(DATA[[#This Row],[MONEDA]]="USD",VLOOKUP(DATA[[#This Row],[COMBINADA]],#REF!,11,0),1)</f>
        <v>1</v>
      </c>
      <c r="AF1011" s="129" t="str">
        <f>IF(DATA[[#This Row],[SERIE2]]="-","NO CORRESPONDE",IF(W1011="NO CORRESPONDE","NO CORRESPONDE",IF(Z1011&gt;0,"FACTURADO","PENDIENTE")))</f>
        <v>NO CORRESPONDE</v>
      </c>
      <c r="AG1011" s="133">
        <f>IFERROR(VLOOKUP(DATA[[#This Row],[COMBINADA]],#REF!,6,0),0)</f>
        <v>0</v>
      </c>
      <c r="AH1011" s="125">
        <f>IFERROR(VLOOKUP(DATA[[#This Row],[COMBINADA]],#REF!,9,0),0)/COUNTIFS(DATA[COMBINADA],DATA[[#This Row],[COMBINADA]])</f>
        <v>0</v>
      </c>
      <c r="AI1011" s="136">
        <f>IFERROR(VLOOKUP(DATA[[#This Row],[COMBINADA]],#REF!,6,0),0)</f>
        <v>0</v>
      </c>
      <c r="AJ1011" s="132">
        <f>IFERROR(VLOOKUP(DATA[[#This Row],[COMBINADA]],#REF!,9,0),0)/COUNTIFS(DATA[COMBINADA],DATA[[#This Row],[COMBINADA]])</f>
        <v>0</v>
      </c>
      <c r="AK1011" s="408">
        <f>IFERROR(VLOOKUP(DATA[[#This Row],[COMBINADA]],#REF!,6,0),0)</f>
        <v>0</v>
      </c>
      <c r="AL1011" s="125">
        <f>IFERROR(VLOOKUP(DATA[[#This Row],[COMBINADA]],#REF!,9,0),0)/COUNTIFS(DATA[COMBINADA],DATA[[#This Row],[COMBINADA]])</f>
        <v>0</v>
      </c>
      <c r="AM1011" s="147">
        <f>IFERROR(VLOOKUP(DATA[[#This Row],[COMBINADA]],#REF!,6,0),0)</f>
        <v>0</v>
      </c>
      <c r="AN1011" s="125">
        <f>IFERROR(VLOOKUP(DATA[[#This Row],[COMBINADA]],#REF!,9,0),0)/COUNTIFS(DATA[COMBINADA],DATA[[#This Row],[COMBINADA]])</f>
        <v>0</v>
      </c>
      <c r="AO1011" s="27">
        <f>IFERROR(VLOOKUP(DATA[[#This Row],[COMBINADA]],#REF!,6,0),0)</f>
        <v>0</v>
      </c>
      <c r="AP1011" s="132">
        <f>IFERROR(VLOOKUP(DATA[[#This Row],[COMBINADA]],#REF!,9,0),0)/COUNTIFS(DATA[COMBINADA],DATA[[#This Row],[COMBINADA]])</f>
        <v>0</v>
      </c>
      <c r="AQ101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011" s="26" t="str">
        <f>IFERROR(IF(DATA[[#This Row],[estado_fact]]="FACTURADO",VLOOKUP(DATA[[#This Row],[SERIE2]]&amp;"-"&amp;DATA[[#This Row],[NUMERO]],#REF!,34,0),"NO CORRESPONDE"),"NO CORRESPONDE")</f>
        <v>NO CORRESPONDE</v>
      </c>
      <c r="AS1011" s="22" t="str">
        <f>IF(DATA[[#This Row],[fecha_fs]]&gt;0,TEXT(DATA[[#This Row],[fecha_fs]],"Mmmm"),0)</f>
        <v>Agosto</v>
      </c>
      <c r="AT1011" s="22" t="str">
        <f>DATA[[#This Row],[SERIE2]]&amp;"-"&amp;DATA[[#This Row],[NUMERO]]</f>
        <v>-</v>
      </c>
      <c r="AU1011" s="28">
        <f>DATA[[#This Row],[TOTAL]]*DATA[[#This Row],[T.C.]]</f>
        <v>0</v>
      </c>
      <c r="AV1011" s="6">
        <f>DATA[[#This Row],[FECHA DE VAL.]]</f>
        <v>0</v>
      </c>
      <c r="AW1011" s="6">
        <f>DATA[[#This Row],[FECHA DE EMISION]]</f>
        <v>0</v>
      </c>
      <c r="AX1011" s="6">
        <f>DATA[[#This Row],[F1]]</f>
        <v>0</v>
      </c>
      <c r="AY1011" s="20">
        <f>IF(AV1011-DATA[[#This Row],[fecha_fs]]&lt;0,0,AV1011-DATA[[#This Row],[fecha_fs]])</f>
        <v>0</v>
      </c>
      <c r="AZ1011" s="20">
        <f t="shared" si="128"/>
        <v>0</v>
      </c>
      <c r="BA1011" s="53">
        <f t="shared" si="129"/>
        <v>0</v>
      </c>
      <c r="BB1011" s="195">
        <f>IFERROR(SUM(DATA[[#This Row],[fs_val_ttf]:[fact_pago_ttf]]),0)</f>
        <v>0</v>
      </c>
      <c r="BC1011" s="233">
        <v>45873</v>
      </c>
      <c r="BD1011" s="233">
        <v>45882</v>
      </c>
      <c r="BE1011" s="233">
        <v>45889</v>
      </c>
      <c r="BF1011" s="233">
        <v>45889</v>
      </c>
      <c r="BG1011" s="20">
        <f>IFERROR(IF(BC1011-DATA[[#This Row],[fecha_fs]]&lt;0,0,BC1011-DATA[[#This Row],[fecha_fs]]),0)</f>
        <v>0</v>
      </c>
      <c r="BH1011" s="20">
        <f t="shared" si="130"/>
        <v>9</v>
      </c>
      <c r="BI1011" s="20">
        <f t="shared" si="131"/>
        <v>7</v>
      </c>
      <c r="BJ1011" s="20">
        <f t="shared" si="132"/>
        <v>0</v>
      </c>
      <c r="BK1011" s="282">
        <f>IFERROR(SUM(DATA[[#This Row],[fs_fd_ttd]:[fend_fenf_ttd]]),0)</f>
        <v>16</v>
      </c>
      <c r="BL1011" s="20" t="str">
        <f>IF(DATA[[#This Row],[fecha_fs]]&gt;0,TEXT(DATA[[#This Row],[fecha_fs]],"YYYY"),0)</f>
        <v>2025</v>
      </c>
      <c r="BM1011" s="236" t="b">
        <v>1</v>
      </c>
      <c r="BN1011" s="278">
        <f>COUNTIF(DATA[[#This Row],[tiempo_td]], "&lt;=15")</f>
        <v>0</v>
      </c>
      <c r="BO1011" s="222"/>
    </row>
    <row r="1012" spans="1:67" ht="30.6" customHeight="1" x14ac:dyDescent="0.25">
      <c r="A1012" s="4">
        <v>20161541991</v>
      </c>
      <c r="B1012" s="5" t="s">
        <v>28</v>
      </c>
      <c r="C1012" s="52" t="s">
        <v>18</v>
      </c>
      <c r="D1012" s="4" t="s">
        <v>112</v>
      </c>
      <c r="E1012" s="5" t="s">
        <v>1</v>
      </c>
      <c r="F1012" s="24">
        <v>45874</v>
      </c>
      <c r="G1012" s="7" t="s">
        <v>113</v>
      </c>
      <c r="H1012" s="25">
        <f t="shared" si="127"/>
        <v>1</v>
      </c>
      <c r="I1012" s="67">
        <v>4833</v>
      </c>
      <c r="J1012" s="8" t="s">
        <v>115</v>
      </c>
      <c r="K1012" s="9" t="s">
        <v>153</v>
      </c>
      <c r="L1012" s="10" t="s">
        <v>117</v>
      </c>
      <c r="M1012" s="11">
        <v>70</v>
      </c>
      <c r="N1012" s="12" t="s">
        <v>249</v>
      </c>
      <c r="O1012" s="6">
        <v>45876</v>
      </c>
      <c r="P1012" s="13">
        <v>3593</v>
      </c>
      <c r="Q1012" s="14" t="s">
        <v>85</v>
      </c>
      <c r="R1012" s="74"/>
      <c r="S1012" s="15">
        <v>199</v>
      </c>
      <c r="T1012" s="237">
        <f>DATA[[#This Row],[C. DF]]+DATA[[#This Row],[C.OPE.]]</f>
        <v>199</v>
      </c>
      <c r="U1012" s="15">
        <f>DATA[[#This Row],[SUB TOTAL]]*0.18</f>
        <v>35.82</v>
      </c>
      <c r="V1012" s="15">
        <f>IFERROR(ROUND(DATA[[#This Row],[SUB TOTAL]]+DATA[[#This Row],[IGV]],2),0)</f>
        <v>234.82</v>
      </c>
      <c r="W1012" s="16" t="str">
        <f>IF(DATA[[#This Row],[VALORIZACIÓN ]]="-","NO CORRESPONDE",IF(OR(A1012=20558226979,A1012=10470707866,A1012=20111157058,A1012=20100226902),"NO CORRESPONDE",IF(J1012="Emitida",IF(P1012&gt;0,"EMITIDA","PENDIENTE"),"NO CORRESPONDE")))</f>
        <v>EMITIDA</v>
      </c>
      <c r="X1012" s="29"/>
      <c r="Y1012" s="17" t="s">
        <v>118</v>
      </c>
      <c r="Z1012" s="30">
        <v>45894</v>
      </c>
      <c r="AA1012" s="10" t="s">
        <v>150</v>
      </c>
      <c r="AB1012" s="19">
        <v>217</v>
      </c>
      <c r="AC1012" s="20">
        <v>30</v>
      </c>
      <c r="AD1012" s="18">
        <f>DATA[[#This Row],[FECHA DE EMISION]]+DATA[[#This Row],[CONDICION DE PAGO]]</f>
        <v>45924</v>
      </c>
      <c r="AE1012" s="23">
        <f>IF(DATA[[#This Row],[MONEDA]]="USD",VLOOKUP(DATA[[#This Row],[COMBINADA]],#REF!,11,0),1)</f>
        <v>1</v>
      </c>
      <c r="AF1012" s="129" t="str">
        <f>IF(DATA[[#This Row],[SERIE2]]="-","NO CORRESPONDE",IF(W1012="NO CORRESPONDE","NO CORRESPONDE",IF(Z1012&gt;0,"FACTURADO","PENDIENTE")))</f>
        <v>FACTURADO</v>
      </c>
      <c r="AG1012" s="133">
        <f>IFERROR(VLOOKUP(DATA[[#This Row],[COMBINADA]],#REF!,6,0),0)</f>
        <v>0</v>
      </c>
      <c r="AH1012" s="125">
        <f>IFERROR(VLOOKUP(DATA[[#This Row],[COMBINADA]],#REF!,9,0),0)/COUNTIFS(DATA[COMBINADA],DATA[[#This Row],[COMBINADA]])</f>
        <v>0</v>
      </c>
      <c r="AI1012" s="136">
        <f>IFERROR(VLOOKUP(DATA[[#This Row],[COMBINADA]],#REF!,6,0),0)</f>
        <v>0</v>
      </c>
      <c r="AJ1012" s="132">
        <f>IFERROR(VLOOKUP(DATA[[#This Row],[COMBINADA]],#REF!,9,0),0)/COUNTIFS(DATA[COMBINADA],DATA[[#This Row],[COMBINADA]])</f>
        <v>0</v>
      </c>
      <c r="AK1012" s="408">
        <f>IFERROR(VLOOKUP(DATA[[#This Row],[COMBINADA]],#REF!,6,0),0)</f>
        <v>0</v>
      </c>
      <c r="AL1012" s="125">
        <f>IFERROR(VLOOKUP(DATA[[#This Row],[COMBINADA]],#REF!,9,0),0)/COUNTIFS(DATA[COMBINADA],DATA[[#This Row],[COMBINADA]])</f>
        <v>0</v>
      </c>
      <c r="AM1012" s="147">
        <f>IFERROR(VLOOKUP(DATA[[#This Row],[COMBINADA]],#REF!,6,0),0)</f>
        <v>0</v>
      </c>
      <c r="AN1012" s="125">
        <f>IFERROR(VLOOKUP(DATA[[#This Row],[COMBINADA]],#REF!,9,0),0)/COUNTIFS(DATA[COMBINADA],DATA[[#This Row],[COMBINADA]])</f>
        <v>0</v>
      </c>
      <c r="AO1012" s="27">
        <f>IFERROR(VLOOKUP(DATA[[#This Row],[COMBINADA]],#REF!,6,0),0)</f>
        <v>0</v>
      </c>
      <c r="AP1012" s="132">
        <f>IFERROR(VLOOKUP(DATA[[#This Row],[COMBINADA]],#REF!,9,0),0)/COUNTIFS(DATA[COMBINADA],DATA[[#This Row],[COMBINADA]])</f>
        <v>0</v>
      </c>
      <c r="AQ101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234.82</v>
      </c>
      <c r="AR1012" s="26" t="str">
        <f>IFERROR(IF(DATA[[#This Row],[estado_fact]]="FACTURADO",VLOOKUP(DATA[[#This Row],[SERIE2]]&amp;"-"&amp;DATA[[#This Row],[NUMERO]],#REF!,34,0),"NO CORRESPONDE"),"NO CORRESPONDE")</f>
        <v>NO CORRESPONDE</v>
      </c>
      <c r="AS1012" s="22" t="str">
        <f>IF(DATA[[#This Row],[fecha_fs]]&gt;0,TEXT(DATA[[#This Row],[fecha_fs]],"Mmmm"),0)</f>
        <v>Agosto</v>
      </c>
      <c r="AT1012" s="22" t="str">
        <f>DATA[[#This Row],[SERIE2]]&amp;"-"&amp;DATA[[#This Row],[NUMERO]]</f>
        <v>FF01-217</v>
      </c>
      <c r="AU1012" s="28">
        <f>DATA[[#This Row],[TOTAL]]*DATA[[#This Row],[T.C.]]</f>
        <v>234.82</v>
      </c>
      <c r="AV1012" s="6">
        <f>DATA[[#This Row],[FECHA DE VAL.]]</f>
        <v>45876</v>
      </c>
      <c r="AW1012" s="6">
        <f>DATA[[#This Row],[FECHA DE EMISION]]</f>
        <v>45894</v>
      </c>
      <c r="AX1012" s="6">
        <f>DATA[[#This Row],[F1]]</f>
        <v>0</v>
      </c>
      <c r="AY1012" s="20">
        <f>IF(AV1012-DATA[[#This Row],[fecha_fs]]&lt;0,0,AV1012-DATA[[#This Row],[fecha_fs]])</f>
        <v>2</v>
      </c>
      <c r="AZ1012" s="20">
        <f t="shared" si="128"/>
        <v>18</v>
      </c>
      <c r="BA1012" s="53">
        <f t="shared" si="129"/>
        <v>0</v>
      </c>
      <c r="BB1012" s="195">
        <f>IFERROR(SUM(DATA[[#This Row],[fs_val_ttf]:[fact_pago_ttf]]),0)</f>
        <v>20</v>
      </c>
      <c r="BC1012" s="233">
        <v>45892</v>
      </c>
      <c r="BD1012" s="233">
        <v>45897</v>
      </c>
      <c r="BE1012" s="233">
        <v>45897</v>
      </c>
      <c r="BF1012" s="233">
        <v>45904</v>
      </c>
      <c r="BG1012" s="20">
        <f>IFERROR(IF(BC1012-DATA[[#This Row],[fecha_fs]]&lt;0,0,BC1012-DATA[[#This Row],[fecha_fs]]),0)</f>
        <v>18</v>
      </c>
      <c r="BH1012" s="20">
        <f t="shared" si="130"/>
        <v>5</v>
      </c>
      <c r="BI1012" s="20">
        <f t="shared" si="131"/>
        <v>0</v>
      </c>
      <c r="BJ1012" s="20">
        <f t="shared" si="132"/>
        <v>7</v>
      </c>
      <c r="BK1012" s="282">
        <f>IFERROR(SUM(DATA[[#This Row],[fs_fd_ttd]:[fend_fenf_ttd]]),0)</f>
        <v>30</v>
      </c>
      <c r="BL1012" s="20" t="str">
        <f>IF(DATA[[#This Row],[fecha_fs]]&gt;0,TEXT(DATA[[#This Row],[fecha_fs]],"YYYY"),0)</f>
        <v>2025</v>
      </c>
      <c r="BM1012" s="236" t="b">
        <v>1</v>
      </c>
      <c r="BN1012" s="278">
        <f>COUNTIF(DATA[[#This Row],[tiempo_td]], "&lt;=15")</f>
        <v>0</v>
      </c>
      <c r="BO1012" s="222"/>
    </row>
    <row r="1013" spans="1:67" ht="30.6" customHeight="1" x14ac:dyDescent="0.25">
      <c r="A1013" s="4">
        <v>20161541991</v>
      </c>
      <c r="B1013" s="5" t="s">
        <v>28</v>
      </c>
      <c r="C1013" s="52" t="s">
        <v>18</v>
      </c>
      <c r="D1013" s="4" t="s">
        <v>112</v>
      </c>
      <c r="E1013" s="5" t="s">
        <v>1</v>
      </c>
      <c r="F1013" s="24">
        <v>45874</v>
      </c>
      <c r="G1013" s="7" t="s">
        <v>113</v>
      </c>
      <c r="H1013" s="25">
        <f t="shared" si="127"/>
        <v>1</v>
      </c>
      <c r="I1013" s="67">
        <v>4834</v>
      </c>
      <c r="J1013" s="8" t="s">
        <v>115</v>
      </c>
      <c r="K1013" s="9" t="s">
        <v>116</v>
      </c>
      <c r="L1013" s="10" t="s">
        <v>117</v>
      </c>
      <c r="M1013" s="11">
        <v>640</v>
      </c>
      <c r="N1013" s="12" t="s">
        <v>249</v>
      </c>
      <c r="O1013" s="6">
        <v>45876</v>
      </c>
      <c r="P1013" s="13">
        <v>3594</v>
      </c>
      <c r="Q1013" s="14" t="s">
        <v>85</v>
      </c>
      <c r="R1013" s="15">
        <f>DATA[[#This Row],[cantidad_fs]]*0.67</f>
        <v>428.8</v>
      </c>
      <c r="S1013" s="15">
        <v>592.4</v>
      </c>
      <c r="T1013" s="237">
        <f>DATA[[#This Row],[C. DF]]+DATA[[#This Row],[C.OPE.]]</f>
        <v>1021.2</v>
      </c>
      <c r="U1013" s="15">
        <f>DATA[[#This Row],[SUB TOTAL]]*0.18</f>
        <v>183.816</v>
      </c>
      <c r="V1013" s="15">
        <f>IFERROR(ROUND(DATA[[#This Row],[SUB TOTAL]]+DATA[[#This Row],[IGV]],2),0)</f>
        <v>1205.02</v>
      </c>
      <c r="W1013" s="16" t="str">
        <f>IF(DATA[[#This Row],[VALORIZACIÓN ]]="-","NO CORRESPONDE",IF(OR(A1013=20558226979,A1013=10470707866,A1013=20111157058,A1013=20100226902),"NO CORRESPONDE",IF(J1013="Emitida",IF(P1013&gt;0,"EMITIDA","PENDIENTE"),"NO CORRESPONDE")))</f>
        <v>EMITIDA</v>
      </c>
      <c r="X1013" s="29"/>
      <c r="Y1013" s="17" t="s">
        <v>118</v>
      </c>
      <c r="Z1013" s="30">
        <v>45894</v>
      </c>
      <c r="AA1013" s="10" t="s">
        <v>150</v>
      </c>
      <c r="AB1013" s="19">
        <v>216</v>
      </c>
      <c r="AC1013" s="20">
        <v>30</v>
      </c>
      <c r="AD1013" s="18">
        <f>DATA[[#This Row],[FECHA DE EMISION]]+DATA[[#This Row],[CONDICION DE PAGO]]</f>
        <v>45924</v>
      </c>
      <c r="AE1013" s="23">
        <f>IF(DATA[[#This Row],[MONEDA]]="USD",VLOOKUP(DATA[[#This Row],[COMBINADA]],#REF!,11,0),1)</f>
        <v>1</v>
      </c>
      <c r="AF1013" s="129" t="str">
        <f>IF(DATA[[#This Row],[SERIE2]]="-","NO CORRESPONDE",IF(W1013="NO CORRESPONDE","NO CORRESPONDE",IF(Z1013&gt;0,"FACTURADO","PENDIENTE")))</f>
        <v>FACTURADO</v>
      </c>
      <c r="AG1013" s="133">
        <f>IFERROR(VLOOKUP(DATA[[#This Row],[COMBINADA]],#REF!,6,0),0)</f>
        <v>0</v>
      </c>
      <c r="AH1013" s="125">
        <f>IFERROR(VLOOKUP(DATA[[#This Row],[COMBINADA]],#REF!,9,0),0)/COUNTIFS(DATA[COMBINADA],DATA[[#This Row],[COMBINADA]])</f>
        <v>0</v>
      </c>
      <c r="AI1013" s="136">
        <f>IFERROR(VLOOKUP(DATA[[#This Row],[COMBINADA]],#REF!,6,0),0)</f>
        <v>0</v>
      </c>
      <c r="AJ1013" s="132">
        <f>IFERROR(VLOOKUP(DATA[[#This Row],[COMBINADA]],#REF!,9,0),0)/COUNTIFS(DATA[COMBINADA],DATA[[#This Row],[COMBINADA]])</f>
        <v>0</v>
      </c>
      <c r="AK1013" s="408">
        <f>IFERROR(VLOOKUP(DATA[[#This Row],[COMBINADA]],#REF!,6,0),0)</f>
        <v>0</v>
      </c>
      <c r="AL1013" s="125">
        <f>IFERROR(VLOOKUP(DATA[[#This Row],[COMBINADA]],#REF!,9,0),0)/COUNTIFS(DATA[COMBINADA],DATA[[#This Row],[COMBINADA]])</f>
        <v>0</v>
      </c>
      <c r="AM1013" s="147">
        <f>IFERROR(VLOOKUP(DATA[[#This Row],[COMBINADA]],#REF!,6,0),0)</f>
        <v>0</v>
      </c>
      <c r="AN1013" s="125">
        <f>IFERROR(VLOOKUP(DATA[[#This Row],[COMBINADA]],#REF!,9,0),0)/COUNTIFS(DATA[COMBINADA],DATA[[#This Row],[COMBINADA]])</f>
        <v>0</v>
      </c>
      <c r="AO1013" s="27">
        <f>IFERROR(VLOOKUP(DATA[[#This Row],[COMBINADA]],#REF!,6,0),0)</f>
        <v>0</v>
      </c>
      <c r="AP1013" s="132">
        <f>IFERROR(VLOOKUP(DATA[[#This Row],[COMBINADA]],#REF!,9,0),0)/COUNTIFS(DATA[COMBINADA],DATA[[#This Row],[COMBINADA]])</f>
        <v>0</v>
      </c>
      <c r="AQ101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1205.02</v>
      </c>
      <c r="AR1013" s="26" t="str">
        <f>IFERROR(IF(DATA[[#This Row],[estado_fact]]="FACTURADO",VLOOKUP(DATA[[#This Row],[SERIE2]]&amp;"-"&amp;DATA[[#This Row],[NUMERO]],#REF!,34,0),"NO CORRESPONDE"),"NO CORRESPONDE")</f>
        <v>NO CORRESPONDE</v>
      </c>
      <c r="AS1013" s="22" t="str">
        <f>IF(DATA[[#This Row],[fecha_fs]]&gt;0,TEXT(DATA[[#This Row],[fecha_fs]],"Mmmm"),0)</f>
        <v>Agosto</v>
      </c>
      <c r="AT1013" s="22" t="str">
        <f>DATA[[#This Row],[SERIE2]]&amp;"-"&amp;DATA[[#This Row],[NUMERO]]</f>
        <v>FF01-216</v>
      </c>
      <c r="AU1013" s="28">
        <f>DATA[[#This Row],[TOTAL]]*DATA[[#This Row],[T.C.]]</f>
        <v>1205.02</v>
      </c>
      <c r="AV1013" s="6">
        <f>DATA[[#This Row],[FECHA DE VAL.]]</f>
        <v>45876</v>
      </c>
      <c r="AW1013" s="6">
        <f>DATA[[#This Row],[FECHA DE EMISION]]</f>
        <v>45894</v>
      </c>
      <c r="AX1013" s="6">
        <f>DATA[[#This Row],[F1]]</f>
        <v>0</v>
      </c>
      <c r="AY1013" s="20">
        <f>IF(AV1013-DATA[[#This Row],[fecha_fs]]&lt;0,0,AV1013-DATA[[#This Row],[fecha_fs]])</f>
        <v>2</v>
      </c>
      <c r="AZ1013" s="20">
        <f t="shared" si="128"/>
        <v>18</v>
      </c>
      <c r="BA1013" s="53">
        <f t="shared" si="129"/>
        <v>0</v>
      </c>
      <c r="BB1013" s="195">
        <f>IFERROR(SUM(DATA[[#This Row],[fs_val_ttf]:[fact_pago_ttf]]),0)</f>
        <v>20</v>
      </c>
      <c r="BC1013" s="233">
        <v>45881</v>
      </c>
      <c r="BD1013" s="233">
        <v>45888</v>
      </c>
      <c r="BE1013" s="233">
        <v>45891</v>
      </c>
      <c r="BF1013" s="233">
        <v>45904</v>
      </c>
      <c r="BG1013" s="20">
        <f>IFERROR(IF(BC1013-DATA[[#This Row],[fecha_fs]]&lt;0,0,BC1013-DATA[[#This Row],[fecha_fs]]),0)</f>
        <v>7</v>
      </c>
      <c r="BH1013" s="20">
        <f t="shared" si="130"/>
        <v>7</v>
      </c>
      <c r="BI1013" s="20">
        <f t="shared" si="131"/>
        <v>3</v>
      </c>
      <c r="BJ1013" s="20">
        <f t="shared" si="132"/>
        <v>13</v>
      </c>
      <c r="BK1013" s="282">
        <f>IFERROR(SUM(DATA[[#This Row],[fs_fd_ttd]:[fend_fenf_ttd]]),0)</f>
        <v>30</v>
      </c>
      <c r="BL1013" s="20" t="str">
        <f>IF(DATA[[#This Row],[fecha_fs]]&gt;0,TEXT(DATA[[#This Row],[fecha_fs]],"YYYY"),0)</f>
        <v>2025</v>
      </c>
      <c r="BM1013" s="236" t="b">
        <v>1</v>
      </c>
      <c r="BN1013" s="278">
        <f>COUNTIF(DATA[[#This Row],[tiempo_td]], "&lt;=15")</f>
        <v>0</v>
      </c>
      <c r="BO1013" s="222"/>
    </row>
    <row r="1014" spans="1:67" ht="30.6" customHeight="1" x14ac:dyDescent="0.25">
      <c r="A1014" s="4">
        <v>20552714378</v>
      </c>
      <c r="B1014" s="5" t="s">
        <v>288</v>
      </c>
      <c r="C1014" s="52" t="s">
        <v>264</v>
      </c>
      <c r="D1014" s="4" t="s">
        <v>120</v>
      </c>
      <c r="E1014" s="5" t="s">
        <v>3</v>
      </c>
      <c r="F1014" s="24">
        <v>45874</v>
      </c>
      <c r="G1014" s="7" t="s">
        <v>113</v>
      </c>
      <c r="H1014" s="25">
        <f t="shared" si="127"/>
        <v>1</v>
      </c>
      <c r="I1014" s="67">
        <v>4835</v>
      </c>
      <c r="J1014" s="8" t="s">
        <v>115</v>
      </c>
      <c r="K1014" s="9" t="s">
        <v>121</v>
      </c>
      <c r="L1014" s="10" t="s">
        <v>117</v>
      </c>
      <c r="M1014" s="11">
        <v>60</v>
      </c>
      <c r="N1014" s="12" t="s">
        <v>165</v>
      </c>
      <c r="O1014" s="6">
        <v>45894</v>
      </c>
      <c r="P1014" s="109">
        <v>3622</v>
      </c>
      <c r="Q1014" s="14" t="s">
        <v>85</v>
      </c>
      <c r="R1014" s="15">
        <f>80/5</f>
        <v>16</v>
      </c>
      <c r="S1014" s="237">
        <v>2112.33</v>
      </c>
      <c r="T1014" s="237">
        <f>DATA[[#This Row],[C. DF]]+DATA[[#This Row],[C.OPE.]]</f>
        <v>2128.33</v>
      </c>
      <c r="U1014" s="15">
        <f>DATA[[#This Row],[SUB TOTAL]]*0.18</f>
        <v>383.09939999999995</v>
      </c>
      <c r="V1014" s="15">
        <f>IFERROR(ROUND(DATA[[#This Row],[SUB TOTAL]]+DATA[[#This Row],[IGV]],2),0)</f>
        <v>2511.4299999999998</v>
      </c>
      <c r="W1014" s="16" t="str">
        <f>IF(DATA[[#This Row],[VALORIZACIÓN ]]="-","NO CORRESPONDE",IF(OR(A1014=20558226979,A1014=10470707866,A1014=20111157058,A1014=20100226902),"NO CORRESPONDE",IF(J1014="Emitida",IF(P1014&gt;0,"EMITIDA","PENDIENTE"),"NO CORRESPONDE")))</f>
        <v>EMITIDA</v>
      </c>
      <c r="X1014" s="29"/>
      <c r="Y1014" s="17" t="s">
        <v>118</v>
      </c>
      <c r="Z1014" s="30">
        <v>45912</v>
      </c>
      <c r="AA1014" s="10" t="s">
        <v>150</v>
      </c>
      <c r="AB1014" s="19">
        <v>253</v>
      </c>
      <c r="AC1014" s="20">
        <v>60</v>
      </c>
      <c r="AD1014" s="18">
        <f>DATA[[#This Row],[FECHA DE EMISION]]+DATA[[#This Row],[CONDICION DE PAGO]]</f>
        <v>45972</v>
      </c>
      <c r="AE1014" s="23">
        <f>IF(DATA[[#This Row],[MONEDA]]="USD",VLOOKUP(DATA[[#This Row],[COMBINADA]],#REF!,11,0),1)</f>
        <v>1</v>
      </c>
      <c r="AF1014" s="129" t="str">
        <f>IF(DATA[[#This Row],[SERIE2]]="-","NO CORRESPONDE",IF(W1014="NO CORRESPONDE","NO CORRESPONDE",IF(Z1014&gt;0,"FACTURADO","PENDIENTE")))</f>
        <v>FACTURADO</v>
      </c>
      <c r="AG1014" s="133">
        <f>IFERROR(VLOOKUP(DATA[[#This Row],[COMBINADA]],#REF!,6,0),0)</f>
        <v>0</v>
      </c>
      <c r="AH1014" s="125">
        <f>IFERROR(VLOOKUP(DATA[[#This Row],[COMBINADA]],#REF!,9,0),0)/COUNTIFS(DATA[COMBINADA],DATA[[#This Row],[COMBINADA]])</f>
        <v>0</v>
      </c>
      <c r="AI1014" s="136">
        <f>IFERROR(VLOOKUP(DATA[[#This Row],[COMBINADA]],#REF!,6,0),0)</f>
        <v>0</v>
      </c>
      <c r="AJ1014" s="132">
        <f>IFERROR(VLOOKUP(DATA[[#This Row],[COMBINADA]],#REF!,9,0),0)/COUNTIFS(DATA[COMBINADA],DATA[[#This Row],[COMBINADA]])</f>
        <v>0</v>
      </c>
      <c r="AK1014" s="408">
        <f>IFERROR(VLOOKUP(DATA[[#This Row],[COMBINADA]],#REF!,6,0),0)</f>
        <v>0</v>
      </c>
      <c r="AL1014" s="125">
        <f>IFERROR(VLOOKUP(DATA[[#This Row],[COMBINADA]],#REF!,9,0),0)/COUNTIFS(DATA[COMBINADA],DATA[[#This Row],[COMBINADA]])</f>
        <v>0</v>
      </c>
      <c r="AM1014" s="147">
        <f>IFERROR(VLOOKUP(DATA[[#This Row],[COMBINADA]],#REF!,6,0),0)</f>
        <v>0</v>
      </c>
      <c r="AN1014" s="125">
        <f>IFERROR(VLOOKUP(DATA[[#This Row],[COMBINADA]],#REF!,9,0),0)/COUNTIFS(DATA[COMBINADA],DATA[[#This Row],[COMBINADA]])</f>
        <v>0</v>
      </c>
      <c r="AO1014" s="27">
        <f>IFERROR(VLOOKUP(DATA[[#This Row],[COMBINADA]],#REF!,6,0),0)</f>
        <v>0</v>
      </c>
      <c r="AP1014" s="132">
        <f>IFERROR(VLOOKUP(DATA[[#This Row],[COMBINADA]],#REF!,9,0),0)/COUNTIFS(DATA[COMBINADA],DATA[[#This Row],[COMBINADA]])</f>
        <v>0</v>
      </c>
      <c r="AQ101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2511.4299999999998</v>
      </c>
      <c r="AR1014" s="26" t="str">
        <f>IFERROR(IF(DATA[[#This Row],[estado_fact]]="FACTURADO",VLOOKUP(DATA[[#This Row],[SERIE2]]&amp;"-"&amp;DATA[[#This Row],[NUMERO]],#REF!,34,0),"NO CORRESPONDE"),"NO CORRESPONDE")</f>
        <v>NO CORRESPONDE</v>
      </c>
      <c r="AS1014" s="22" t="str">
        <f>IF(DATA[[#This Row],[fecha_fs]]&gt;0,TEXT(DATA[[#This Row],[fecha_fs]],"Mmmm"),0)</f>
        <v>Agosto</v>
      </c>
      <c r="AT1014" s="22" t="str">
        <f>DATA[[#This Row],[SERIE2]]&amp;"-"&amp;DATA[[#This Row],[NUMERO]]</f>
        <v>FF01-253</v>
      </c>
      <c r="AU1014" s="28">
        <f>DATA[[#This Row],[TOTAL]]*DATA[[#This Row],[T.C.]]</f>
        <v>2511.4299999999998</v>
      </c>
      <c r="AV1014" s="6">
        <f>DATA[[#This Row],[FECHA DE VAL.]]</f>
        <v>45894</v>
      </c>
      <c r="AW1014" s="6">
        <f>DATA[[#This Row],[FECHA DE EMISION]]</f>
        <v>45912</v>
      </c>
      <c r="AX1014" s="6">
        <f>DATA[[#This Row],[F1]]</f>
        <v>0</v>
      </c>
      <c r="AY1014" s="20">
        <f>IF(AV1014-DATA[[#This Row],[fecha_fs]]&lt;0,0,AV1014-DATA[[#This Row],[fecha_fs]])</f>
        <v>20</v>
      </c>
      <c r="AZ1014" s="20">
        <f t="shared" si="128"/>
        <v>18</v>
      </c>
      <c r="BA1014" s="53">
        <f t="shared" si="129"/>
        <v>0</v>
      </c>
      <c r="BB1014" s="195">
        <f>IFERROR(SUM(DATA[[#This Row],[fs_val_ttf]:[fact_pago_ttf]]),0)</f>
        <v>38</v>
      </c>
      <c r="BC1014" s="185">
        <v>45889</v>
      </c>
      <c r="BD1014" s="185">
        <v>45895</v>
      </c>
      <c r="BE1014" s="185">
        <v>45897</v>
      </c>
      <c r="BF1014" s="233">
        <v>45903</v>
      </c>
      <c r="BG1014" s="20">
        <f>IFERROR(IF(BC1014-DATA[[#This Row],[fecha_fs]]&lt;0,0,BC1014-DATA[[#This Row],[fecha_fs]]),0)</f>
        <v>15</v>
      </c>
      <c r="BH1014" s="20">
        <f t="shared" si="130"/>
        <v>6</v>
      </c>
      <c r="BI1014" s="20">
        <f t="shared" si="131"/>
        <v>2</v>
      </c>
      <c r="BJ1014" s="20">
        <f t="shared" si="132"/>
        <v>6</v>
      </c>
      <c r="BK1014" s="282">
        <f>IFERROR(SUM(DATA[[#This Row],[fs_fd_ttd]:[fend_fenf_ttd]]),0)</f>
        <v>29</v>
      </c>
      <c r="BL1014" s="20" t="str">
        <f>IF(DATA[[#This Row],[fecha_fs]]&gt;0,TEXT(DATA[[#This Row],[fecha_fs]],"YYYY"),0)</f>
        <v>2025</v>
      </c>
      <c r="BM1014" s="236" t="b">
        <v>1</v>
      </c>
      <c r="BN1014" s="278">
        <f>COUNTIF(DATA[[#This Row],[tiempo_td]], "&lt;=15")</f>
        <v>0</v>
      </c>
      <c r="BO1014" s="222"/>
    </row>
    <row r="1015" spans="1:67" ht="30.6" customHeight="1" x14ac:dyDescent="0.25">
      <c r="A1015" s="4">
        <v>20100192064</v>
      </c>
      <c r="B1015" s="5" t="s">
        <v>60</v>
      </c>
      <c r="C1015" s="52" t="s">
        <v>59</v>
      </c>
      <c r="D1015" s="4" t="s">
        <v>120</v>
      </c>
      <c r="E1015" s="5" t="s">
        <v>3</v>
      </c>
      <c r="F1015" s="24">
        <v>45877</v>
      </c>
      <c r="G1015" s="7" t="s">
        <v>113</v>
      </c>
      <c r="H1015" s="25">
        <f t="shared" ref="H1015:H1021" si="133">IF(G1015="","",IF(G1015="LIM",2,1))</f>
        <v>1</v>
      </c>
      <c r="I1015" s="67">
        <v>4836</v>
      </c>
      <c r="J1015" s="8" t="s">
        <v>115</v>
      </c>
      <c r="K1015" s="9" t="s">
        <v>121</v>
      </c>
      <c r="L1015" s="10" t="s">
        <v>117</v>
      </c>
      <c r="M1015" s="11">
        <v>760</v>
      </c>
      <c r="N1015" s="12" t="s">
        <v>122</v>
      </c>
      <c r="O1015" s="6">
        <v>45894</v>
      </c>
      <c r="P1015" s="71">
        <v>3609</v>
      </c>
      <c r="Q1015" s="14" t="s">
        <v>123</v>
      </c>
      <c r="R1015" s="15">
        <f>(DATA[[#This Row],[cantidad_fs]]/1000)*(47+169.83)</f>
        <v>164.79080000000002</v>
      </c>
      <c r="S1015" s="15">
        <v>67</v>
      </c>
      <c r="T1015" s="237">
        <f>DATA[[#This Row],[C. DF]]+DATA[[#This Row],[C.OPE.]]</f>
        <v>231.79080000000002</v>
      </c>
      <c r="U1015" s="15">
        <f>DATA[[#This Row],[SUB TOTAL]]*0.18</f>
        <v>41.722344</v>
      </c>
      <c r="V1015" s="15">
        <f>IFERROR(ROUND(DATA[[#This Row],[SUB TOTAL]]+DATA[[#This Row],[IGV]],2),0)</f>
        <v>273.51</v>
      </c>
      <c r="W1015" s="16" t="str">
        <f>IF(DATA[[#This Row],[VALORIZACIÓN ]]="-","NO CORRESPONDE",IF(OR(A1015=20558226979,A1015=10470707866,A1015=20111157058,A1015=20100226902),"NO CORRESPONDE",IF(J1015="Emitida",IF(P1015&gt;0,"EMITIDA","PENDIENTE"),"NO CORRESPONDE")))</f>
        <v>EMITIDA</v>
      </c>
      <c r="X1015" s="29" t="s">
        <v>347</v>
      </c>
      <c r="Y1015" s="17" t="s">
        <v>118</v>
      </c>
      <c r="Z1015" s="30">
        <v>45930</v>
      </c>
      <c r="AA1015" s="10" t="s">
        <v>349</v>
      </c>
      <c r="AB1015" s="19">
        <v>4</v>
      </c>
      <c r="AC1015" s="20">
        <v>30</v>
      </c>
      <c r="AD1015" s="18">
        <f>DATA[[#This Row],[FECHA DE EMISION]]+DATA[[#This Row],[CONDICION DE PAGO]]</f>
        <v>45960</v>
      </c>
      <c r="AE1015" s="23" t="e">
        <f>IF(DATA[[#This Row],[MONEDA]]="USD",VLOOKUP(DATA[[#This Row],[COMBINADA]],#REF!,11,0),1)</f>
        <v>#REF!</v>
      </c>
      <c r="AF1015" s="129" t="str">
        <f>IF(DATA[[#This Row],[SERIE2]]="-","NO CORRESPONDE",IF(W1015="NO CORRESPONDE","NO CORRESPONDE",IF(Z1015&gt;0,"FACTURADO","PENDIENTE")))</f>
        <v>FACTURADO</v>
      </c>
      <c r="AG1015" s="133">
        <f>IFERROR(VLOOKUP(DATA[[#This Row],[COMBINADA]],#REF!,6,0),0)</f>
        <v>0</v>
      </c>
      <c r="AH1015" s="125">
        <f>IFERROR(VLOOKUP(DATA[[#This Row],[COMBINADA]],#REF!,9,0),0)/COUNTIFS(DATA[COMBINADA],DATA[[#This Row],[COMBINADA]])</f>
        <v>0</v>
      </c>
      <c r="AI1015" s="136">
        <f>IFERROR(VLOOKUP(DATA[[#This Row],[COMBINADA]],#REF!,6,0),0)</f>
        <v>0</v>
      </c>
      <c r="AJ1015" s="132">
        <f>IFERROR(VLOOKUP(DATA[[#This Row],[COMBINADA]],#REF!,9,0),0)/COUNTIFS(DATA[COMBINADA],DATA[[#This Row],[COMBINADA]])</f>
        <v>0</v>
      </c>
      <c r="AK1015" s="408">
        <f>IFERROR(VLOOKUP(DATA[[#This Row],[COMBINADA]],#REF!,6,0),0)</f>
        <v>0</v>
      </c>
      <c r="AL1015" s="125">
        <f>IFERROR(VLOOKUP(DATA[[#This Row],[COMBINADA]],#REF!,9,0),0)/COUNTIFS(DATA[COMBINADA],DATA[[#This Row],[COMBINADA]])</f>
        <v>0</v>
      </c>
      <c r="AM1015" s="147">
        <f>IFERROR(VLOOKUP(DATA[[#This Row],[COMBINADA]],#REF!,6,0),0)</f>
        <v>0</v>
      </c>
      <c r="AN1015" s="125">
        <f>IFERROR(VLOOKUP(DATA[[#This Row],[COMBINADA]],#REF!,9,0),0)/COUNTIFS(DATA[COMBINADA],DATA[[#This Row],[COMBINADA]])</f>
        <v>0</v>
      </c>
      <c r="AO1015" s="27">
        <f>IFERROR(VLOOKUP(DATA[[#This Row],[COMBINADA]],#REF!,6,0),0)</f>
        <v>0</v>
      </c>
      <c r="AP1015" s="132">
        <f>IFERROR(VLOOKUP(DATA[[#This Row],[COMBINADA]],#REF!,9,0),0)/COUNTIFS(DATA[COMBINADA],DATA[[#This Row],[COMBINADA]])</f>
        <v>0</v>
      </c>
      <c r="AQ101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642.19333333333327</v>
      </c>
      <c r="AR1015" s="26" t="str">
        <f>IFERROR(IF(DATA[[#This Row],[estado_fact]]="FACTURADO",VLOOKUP(DATA[[#This Row],[SERIE2]]&amp;"-"&amp;DATA[[#This Row],[NUMERO]],#REF!,34,0),"NO CORRESPONDE"),"NO CORRESPONDE")</f>
        <v>NO CORRESPONDE</v>
      </c>
      <c r="AS1015" s="22" t="str">
        <f>IF(DATA[[#This Row],[fecha_fs]]&gt;0,TEXT(DATA[[#This Row],[fecha_fs]],"Mmmm"),0)</f>
        <v>Agosto</v>
      </c>
      <c r="AT1015" s="22" t="str">
        <f>DATA[[#This Row],[SERIE2]]&amp;"-"&amp;DATA[[#This Row],[NUMERO]]</f>
        <v>FF04-4</v>
      </c>
      <c r="AU1015" s="28" t="e">
        <f>DATA[[#This Row],[TOTAL]]*DATA[[#This Row],[T.C.]]</f>
        <v>#REF!</v>
      </c>
      <c r="AV1015" s="6">
        <f>DATA[[#This Row],[FECHA DE VAL.]]</f>
        <v>45894</v>
      </c>
      <c r="AW1015" s="6">
        <f>DATA[[#This Row],[FECHA DE EMISION]]</f>
        <v>45930</v>
      </c>
      <c r="AX1015" s="6">
        <f>DATA[[#This Row],[F1]]</f>
        <v>0</v>
      </c>
      <c r="AY1015" s="20">
        <f>IF(AV1015-DATA[[#This Row],[fecha_fs]]&lt;0,0,AV1015-DATA[[#This Row],[fecha_fs]])</f>
        <v>17</v>
      </c>
      <c r="AZ1015" s="20">
        <f t="shared" si="128"/>
        <v>36</v>
      </c>
      <c r="BA1015" s="53">
        <f t="shared" si="129"/>
        <v>0</v>
      </c>
      <c r="BB1015" s="195">
        <f>IFERROR(SUM(DATA[[#This Row],[fs_val_ttf]:[fact_pago_ttf]]),0)</f>
        <v>53</v>
      </c>
      <c r="BC1015" s="233">
        <v>45898</v>
      </c>
      <c r="BD1015" s="233">
        <v>45903</v>
      </c>
      <c r="BE1015" s="233">
        <v>45904</v>
      </c>
      <c r="BF1015" s="233">
        <v>45945</v>
      </c>
      <c r="BG1015" s="20">
        <f>IFERROR(IF(BC1015-DATA[[#This Row],[fecha_fs]]&lt;0,0,BC1015-DATA[[#This Row],[fecha_fs]]),0)</f>
        <v>21</v>
      </c>
      <c r="BH1015" s="20">
        <f t="shared" si="130"/>
        <v>5</v>
      </c>
      <c r="BI1015" s="20">
        <f t="shared" si="131"/>
        <v>1</v>
      </c>
      <c r="BJ1015" s="20">
        <f t="shared" si="132"/>
        <v>41</v>
      </c>
      <c r="BK1015" s="282">
        <f>IFERROR(SUM(DATA[[#This Row],[fs_fd_ttd]:[fend_fenf_ttd]]),0)</f>
        <v>68</v>
      </c>
      <c r="BL1015" s="20" t="str">
        <f>IF(DATA[[#This Row],[fecha_fs]]&gt;0,TEXT(DATA[[#This Row],[fecha_fs]],"YYYY"),0)</f>
        <v>2025</v>
      </c>
      <c r="BM1015" s="236" t="b">
        <v>1</v>
      </c>
      <c r="BN1015" s="278">
        <f>COUNTIF(DATA[[#This Row],[tiempo_td]], "&lt;=15")</f>
        <v>0</v>
      </c>
      <c r="BO1015" s="222"/>
    </row>
    <row r="1016" spans="1:67" ht="30.6" customHeight="1" x14ac:dyDescent="0.25">
      <c r="A1016" s="4">
        <v>20603536569</v>
      </c>
      <c r="B1016" s="5" t="s">
        <v>27</v>
      </c>
      <c r="C1016" s="52" t="s">
        <v>295</v>
      </c>
      <c r="D1016" s="4" t="s">
        <v>120</v>
      </c>
      <c r="E1016" s="5" t="s">
        <v>3</v>
      </c>
      <c r="F1016" s="24">
        <v>45876</v>
      </c>
      <c r="G1016" s="7" t="s">
        <v>113</v>
      </c>
      <c r="H1016" s="25">
        <f t="shared" si="133"/>
        <v>1</v>
      </c>
      <c r="I1016" s="67">
        <v>4837</v>
      </c>
      <c r="J1016" s="8" t="s">
        <v>115</v>
      </c>
      <c r="K1016" s="9" t="s">
        <v>121</v>
      </c>
      <c r="L1016" s="10" t="s">
        <v>117</v>
      </c>
      <c r="M1016" s="11">
        <v>550</v>
      </c>
      <c r="N1016" s="12" t="s">
        <v>167</v>
      </c>
      <c r="O1016" s="6">
        <v>45880</v>
      </c>
      <c r="P1016" s="13">
        <v>3595</v>
      </c>
      <c r="Q1016" s="14" t="s">
        <v>85</v>
      </c>
      <c r="R1016" s="15">
        <f>192+((DATA[[#This Row],[cantidad_fs]]-300)*0.64)</f>
        <v>352</v>
      </c>
      <c r="S1016" s="15">
        <v>7556.9</v>
      </c>
      <c r="T1016" s="237">
        <f>DATA[[#This Row],[C. DF]]+DATA[[#This Row],[C.OPE.]]</f>
        <v>7908.9</v>
      </c>
      <c r="U1016" s="15">
        <f>DATA[[#This Row],[SUB TOTAL]]*0.18</f>
        <v>1423.6019999999999</v>
      </c>
      <c r="V1016" s="15">
        <f>IFERROR(ROUND(DATA[[#This Row],[SUB TOTAL]]+DATA[[#This Row],[IGV]],2),0)</f>
        <v>9332.5</v>
      </c>
      <c r="W1016" s="16" t="str">
        <f>IF(DATA[[#This Row],[VALORIZACIÓN ]]="-","NO CORRESPONDE",IF(OR(A1016=20558226979,A1016=10470707866,A1016=20111157058,A1016=20100226902),"NO CORRESPONDE",IF(J1016="Emitida",IF(P1016&gt;0,"EMITIDA","PENDIENTE"),"NO CORRESPONDE")))</f>
        <v>EMITIDA</v>
      </c>
      <c r="X1016" s="29"/>
      <c r="Y1016" s="17" t="s">
        <v>118</v>
      </c>
      <c r="Z1016" s="30">
        <v>45903</v>
      </c>
      <c r="AA1016" s="10" t="s">
        <v>150</v>
      </c>
      <c r="AB1016" s="19">
        <v>238</v>
      </c>
      <c r="AC1016" s="20">
        <v>15</v>
      </c>
      <c r="AD1016" s="18">
        <f>DATA[[#This Row],[FECHA DE EMISION]]+DATA[[#This Row],[CONDICION DE PAGO]]</f>
        <v>45918</v>
      </c>
      <c r="AE1016" s="23">
        <f>IF(DATA[[#This Row],[MONEDA]]="USD",VLOOKUP(DATA[[#This Row],[COMBINADA]],#REF!,11,0),1)</f>
        <v>1</v>
      </c>
      <c r="AF1016" s="129" t="str">
        <f>IF(DATA[[#This Row],[SERIE2]]="-","NO CORRESPONDE",IF(W1016="NO CORRESPONDE","NO CORRESPONDE",IF(Z1016&gt;0,"FACTURADO","PENDIENTE")))</f>
        <v>FACTURADO</v>
      </c>
      <c r="AG1016" s="133">
        <f>IFERROR(VLOOKUP(DATA[[#This Row],[COMBINADA]],#REF!,6,0),0)</f>
        <v>0</v>
      </c>
      <c r="AH1016" s="125">
        <f>IFERROR(VLOOKUP(DATA[[#This Row],[COMBINADA]],#REF!,9,0),0)/COUNTIFS(DATA[COMBINADA],DATA[[#This Row],[COMBINADA]])</f>
        <v>0</v>
      </c>
      <c r="AI1016" s="136">
        <f>IFERROR(VLOOKUP(DATA[[#This Row],[COMBINADA]],#REF!,6,0),0)</f>
        <v>0</v>
      </c>
      <c r="AJ1016" s="132">
        <f>IFERROR(VLOOKUP(DATA[[#This Row],[COMBINADA]],#REF!,9,0),0)/COUNTIFS(DATA[COMBINADA],DATA[[#This Row],[COMBINADA]])</f>
        <v>0</v>
      </c>
      <c r="AK1016" s="408">
        <f>IFERROR(VLOOKUP(DATA[[#This Row],[COMBINADA]],#REF!,6,0),0)</f>
        <v>0</v>
      </c>
      <c r="AL1016" s="125">
        <f>IFERROR(VLOOKUP(DATA[[#This Row],[COMBINADA]],#REF!,9,0),0)/COUNTIFS(DATA[COMBINADA],DATA[[#This Row],[COMBINADA]])</f>
        <v>0</v>
      </c>
      <c r="AM1016" s="147">
        <f>IFERROR(VLOOKUP(DATA[[#This Row],[COMBINADA]],#REF!,6,0),0)</f>
        <v>0</v>
      </c>
      <c r="AN1016" s="125">
        <f>IFERROR(VLOOKUP(DATA[[#This Row],[COMBINADA]],#REF!,9,0),0)/COUNTIFS(DATA[COMBINADA],DATA[[#This Row],[COMBINADA]])</f>
        <v>0</v>
      </c>
      <c r="AO1016" s="27">
        <f>IFERROR(VLOOKUP(DATA[[#This Row],[COMBINADA]],#REF!,6,0),0)</f>
        <v>0</v>
      </c>
      <c r="AP1016" s="132">
        <f>IFERROR(VLOOKUP(DATA[[#This Row],[COMBINADA]],#REF!,9,0),0)/COUNTIFS(DATA[COMBINADA],DATA[[#This Row],[COMBINADA]])</f>
        <v>0</v>
      </c>
      <c r="AQ101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9332.5</v>
      </c>
      <c r="AR1016" s="26" t="str">
        <f>IFERROR(IF(DATA[[#This Row],[estado_fact]]="FACTURADO",VLOOKUP(DATA[[#This Row],[SERIE2]]&amp;"-"&amp;DATA[[#This Row],[NUMERO]],#REF!,34,0),"NO CORRESPONDE"),"NO CORRESPONDE")</f>
        <v>NO CORRESPONDE</v>
      </c>
      <c r="AS1016" s="22" t="str">
        <f>IF(DATA[[#This Row],[fecha_fs]]&gt;0,TEXT(DATA[[#This Row],[fecha_fs]],"Mmmm"),0)</f>
        <v>Agosto</v>
      </c>
      <c r="AT1016" s="22" t="str">
        <f>DATA[[#This Row],[SERIE2]]&amp;"-"&amp;DATA[[#This Row],[NUMERO]]</f>
        <v>FF01-238</v>
      </c>
      <c r="AU1016" s="28">
        <f>DATA[[#This Row],[TOTAL]]*DATA[[#This Row],[T.C.]]</f>
        <v>9332.5</v>
      </c>
      <c r="AV1016" s="6">
        <f>DATA[[#This Row],[FECHA DE VAL.]]</f>
        <v>45880</v>
      </c>
      <c r="AW1016" s="6">
        <f>DATA[[#This Row],[FECHA DE EMISION]]</f>
        <v>45903</v>
      </c>
      <c r="AX1016" s="6">
        <f>DATA[[#This Row],[F1]]</f>
        <v>0</v>
      </c>
      <c r="AY1016" s="20">
        <f>IF(AV1016-DATA[[#This Row],[fecha_fs]]&lt;0,0,AV1016-DATA[[#This Row],[fecha_fs]])</f>
        <v>4</v>
      </c>
      <c r="AZ1016" s="20">
        <f t="shared" si="128"/>
        <v>23</v>
      </c>
      <c r="BA1016" s="53">
        <f t="shared" si="129"/>
        <v>0</v>
      </c>
      <c r="BB1016" s="195">
        <f>IFERROR(SUM(DATA[[#This Row],[fs_val_ttf]:[fact_pago_ttf]]),0)</f>
        <v>27</v>
      </c>
      <c r="BC1016" s="233">
        <v>45881</v>
      </c>
      <c r="BD1016" s="233">
        <v>45890</v>
      </c>
      <c r="BE1016" s="233">
        <v>45890</v>
      </c>
      <c r="BF1016" s="276" t="s">
        <v>270</v>
      </c>
      <c r="BG1016" s="20">
        <f>IFERROR(IF(BC1016-DATA[[#This Row],[fecha_fs]]&lt;0,0,BC1016-DATA[[#This Row],[fecha_fs]]),0)</f>
        <v>5</v>
      </c>
      <c r="BH1016" s="20">
        <f t="shared" si="130"/>
        <v>9</v>
      </c>
      <c r="BI1016" s="20">
        <f t="shared" si="131"/>
        <v>0</v>
      </c>
      <c r="BJ1016" s="20">
        <f t="shared" si="132"/>
        <v>0</v>
      </c>
      <c r="BK1016" s="282">
        <f>IFERROR(SUM(DATA[[#This Row],[fs_fd_ttd]:[fend_fenf_ttd]]),0)</f>
        <v>14</v>
      </c>
      <c r="BL1016" s="20" t="str">
        <f>IF(DATA[[#This Row],[fecha_fs]]&gt;0,TEXT(DATA[[#This Row],[fecha_fs]],"YYYY"),0)</f>
        <v>2025</v>
      </c>
      <c r="BM1016" s="236" t="b">
        <v>0</v>
      </c>
      <c r="BN1016" s="278">
        <f>COUNTIF(DATA[[#This Row],[tiempo_td]], "&lt;=15")</f>
        <v>1</v>
      </c>
      <c r="BO1016" s="222"/>
    </row>
    <row r="1017" spans="1:67" ht="30.6" customHeight="1" x14ac:dyDescent="0.25">
      <c r="A1017" s="4"/>
      <c r="B1017" s="5" t="s">
        <v>0</v>
      </c>
      <c r="C1017" s="52"/>
      <c r="D1017" s="4"/>
      <c r="E1017" s="5" t="s">
        <v>0</v>
      </c>
      <c r="F1017" s="24">
        <v>45876</v>
      </c>
      <c r="G1017" s="7" t="s">
        <v>113</v>
      </c>
      <c r="H1017" s="25">
        <f t="shared" si="133"/>
        <v>1</v>
      </c>
      <c r="I1017" s="67">
        <v>4838</v>
      </c>
      <c r="J1017" s="8" t="s">
        <v>173</v>
      </c>
      <c r="K1017" s="9"/>
      <c r="L1017" s="10"/>
      <c r="M1017" s="111"/>
      <c r="N1017" s="112"/>
      <c r="O1017" s="6"/>
      <c r="P1017" s="13"/>
      <c r="Q1017" s="14"/>
      <c r="R1017" s="15"/>
      <c r="S1017" s="15"/>
      <c r="T1017" s="56">
        <f>DATA[[#This Row],[C. DF]]+DATA[[#This Row],[C.OPE.]]</f>
        <v>0</v>
      </c>
      <c r="U1017" s="56">
        <f>DATA[[#This Row],[SUB TOTAL]]*0.18</f>
        <v>0</v>
      </c>
      <c r="V1017" s="56">
        <f>IFERROR(ROUND(DATA[[#This Row],[SUB TOTAL]]+DATA[[#This Row],[IGV]],2),0)</f>
        <v>0</v>
      </c>
      <c r="W1017" s="73" t="str">
        <f>IF(DATA[[#This Row],[VALORIZACIÓN ]]="-","NO CORRESPONDE",IF(OR(A1017=20558226979,A1017=10470707866,A1017=20111157058,A1017=20100226902),"NO CORRESPONDE",IF(J1017="Emitida",IF(P1017&gt;0,"EMITIDA","PENDIENTE"),"NO CORRESPONDE")))</f>
        <v>NO CORRESPONDE</v>
      </c>
      <c r="X1017" s="46"/>
      <c r="Y1017" s="17" t="s">
        <v>128</v>
      </c>
      <c r="Z1017" s="48"/>
      <c r="AA1017" s="49"/>
      <c r="AB1017" s="50"/>
      <c r="AC1017" s="51"/>
      <c r="AD1017" s="59">
        <f>DATA[[#This Row],[FECHA DE EMISION]]+DATA[[#This Row],[CONDICION DE PAGO]]</f>
        <v>0</v>
      </c>
      <c r="AE1017" s="23">
        <f>IF(DATA[[#This Row],[MONEDA]]="USD",VLOOKUP(DATA[[#This Row],[COMBINADA]],#REF!,11,0),1)</f>
        <v>1</v>
      </c>
      <c r="AF1017" s="129" t="str">
        <f>IF(DATA[[#This Row],[SERIE2]]="-","NO CORRESPONDE",IF(W1017="NO CORRESPONDE","NO CORRESPONDE",IF(Z1017&gt;0,"FACTURADO","PENDIENTE")))</f>
        <v>NO CORRESPONDE</v>
      </c>
      <c r="AG1017" s="208">
        <f>IFERROR(VLOOKUP(DATA[[#This Row],[COMBINADA]],#REF!,6,0),0)</f>
        <v>0</v>
      </c>
      <c r="AH1017" s="209">
        <f>IFERROR(VLOOKUP(DATA[[#This Row],[COMBINADA]],#REF!,9,0),0)/COUNTIFS(DATA[COMBINADA],DATA[[#This Row],[COMBINADA]])</f>
        <v>0</v>
      </c>
      <c r="AI1017" s="140">
        <f>IFERROR(VLOOKUP(DATA[[#This Row],[COMBINADA]],#REF!,6,0),0)</f>
        <v>0</v>
      </c>
      <c r="AJ1017" s="126">
        <f>IFERROR(VLOOKUP(DATA[[#This Row],[COMBINADA]],#REF!,9,0),0)/COUNTIFS(DATA[COMBINADA],DATA[[#This Row],[COMBINADA]])</f>
        <v>0</v>
      </c>
      <c r="AK1017" s="61">
        <f>IFERROR(VLOOKUP(DATA[[#This Row],[COMBINADA]],#REF!,6,0),0)</f>
        <v>0</v>
      </c>
      <c r="AL1017" s="126">
        <f>IFERROR(VLOOKUP(DATA[[#This Row],[COMBINADA]],#REF!,9,0),0)/COUNTIFS(DATA[COMBINADA],DATA[[#This Row],[COMBINADA]])</f>
        <v>0</v>
      </c>
      <c r="AM1017" s="61">
        <f>IFERROR(VLOOKUP(DATA[[#This Row],[COMBINADA]],#REF!,6,0),0)</f>
        <v>0</v>
      </c>
      <c r="AN1017" s="62">
        <f>IFERROR(VLOOKUP(DATA[[#This Row],[COMBINADA]],#REF!,9,0),0)/COUNTIFS(DATA[COMBINADA],DATA[[#This Row],[COMBINADA]])</f>
        <v>0</v>
      </c>
      <c r="AO1017" s="61">
        <f>IFERROR(VLOOKUP(DATA[[#This Row],[COMBINADA]],#REF!,6,0),0)</f>
        <v>0</v>
      </c>
      <c r="AP1017" s="62">
        <f>IFERROR(VLOOKUP(DATA[[#This Row],[COMBINADA]],#REF!,9,0),0)/COUNTIFS(DATA[COMBINADA],DATA[[#This Row],[COMBINADA]])</f>
        <v>0</v>
      </c>
      <c r="AQ1017"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017" s="22" t="str">
        <f>IFERROR(IF(DATA[[#This Row],[estado_fact]]="FACTURADO",VLOOKUP(DATA[[#This Row],[SERIE2]]&amp;"-"&amp;DATA[[#This Row],[NUMERO]],#REF!,34,0),"NO CORRESPONDE"),"NO CORRESPONDE")</f>
        <v>NO CORRESPONDE</v>
      </c>
      <c r="AS1017" s="198" t="str">
        <f>IF(DATA[[#This Row],[fecha_fs]]&gt;0,TEXT(DATA[[#This Row],[fecha_fs]],"Mmmm"),0)</f>
        <v>Agosto</v>
      </c>
      <c r="AT1017" s="199" t="str">
        <f>DATA[[#This Row],[SERIE2]]&amp;"-"&amp;DATA[[#This Row],[NUMERO]]</f>
        <v>-</v>
      </c>
      <c r="AU1017" s="198">
        <f>DATA[[#This Row],[TOTAL]]*DATA[[#This Row],[T.C.]]</f>
        <v>0</v>
      </c>
      <c r="AV1017" s="40">
        <f>DATA[[#This Row],[FECHA DE VAL.]]</f>
        <v>0</v>
      </c>
      <c r="AW1017" s="40">
        <f>DATA[[#This Row],[FECHA DE EMISION]]</f>
        <v>0</v>
      </c>
      <c r="AX1017" s="40">
        <f>DATA[[#This Row],[F1]]</f>
        <v>0</v>
      </c>
      <c r="AY1017" s="49">
        <f>IF(AV1017-DATA[[#This Row],[fecha_fs]]&lt;0,0,AV1017-DATA[[#This Row],[fecha_fs]])</f>
        <v>0</v>
      </c>
      <c r="AZ1017" s="49">
        <f t="shared" si="128"/>
        <v>0</v>
      </c>
      <c r="BA1017" s="49">
        <f t="shared" si="129"/>
        <v>0</v>
      </c>
      <c r="BB1017" s="195">
        <f>IFERROR(SUM(DATA[[#This Row],[fs_val_ttf]:[fact_pago_ttf]]),0)</f>
        <v>0</v>
      </c>
      <c r="BC1017" s="276"/>
      <c r="BD1017" s="276"/>
      <c r="BE1017" s="276"/>
      <c r="BF1017" s="276"/>
      <c r="BG1017" s="49">
        <f>IFERROR(IF(BC1017-DATA[[#This Row],[fecha_fs]]&lt;0,0,BC1017-DATA[[#This Row],[fecha_fs]]),0)</f>
        <v>0</v>
      </c>
      <c r="BH1017" s="49">
        <f t="shared" si="130"/>
        <v>0</v>
      </c>
      <c r="BI1017" s="49">
        <f t="shared" si="131"/>
        <v>0</v>
      </c>
      <c r="BJ1017" s="49">
        <f t="shared" si="132"/>
        <v>0</v>
      </c>
      <c r="BK1017" s="218">
        <f>IFERROR(SUM(DATA[[#This Row],[fs_fd_ttd]:[fend_fenf_ttd]]),0)</f>
        <v>0</v>
      </c>
      <c r="BL1017" s="20" t="str">
        <f>IF(DATA[[#This Row],[fecha_fs]]&gt;0,TEXT(DATA[[#This Row],[fecha_fs]],"YYYY"),0)</f>
        <v>2025</v>
      </c>
      <c r="BM1017" s="221" t="b">
        <v>0</v>
      </c>
      <c r="BN1017" s="278"/>
      <c r="BO1017" s="222"/>
    </row>
    <row r="1018" spans="1:67" ht="30.6" customHeight="1" x14ac:dyDescent="0.25">
      <c r="A1018" s="4">
        <v>20100055237</v>
      </c>
      <c r="B1018" s="5" t="s">
        <v>21</v>
      </c>
      <c r="C1018" s="52" t="s">
        <v>138</v>
      </c>
      <c r="D1018" s="4" t="s">
        <v>139</v>
      </c>
      <c r="E1018" s="5" t="s">
        <v>23</v>
      </c>
      <c r="F1018" s="24">
        <v>45876</v>
      </c>
      <c r="G1018" s="7" t="s">
        <v>113</v>
      </c>
      <c r="H1018" s="25">
        <f t="shared" si="133"/>
        <v>1</v>
      </c>
      <c r="I1018" s="67">
        <v>4839</v>
      </c>
      <c r="J1018" s="8" t="s">
        <v>115</v>
      </c>
      <c r="K1018" s="9" t="s">
        <v>121</v>
      </c>
      <c r="L1018" s="10" t="s">
        <v>117</v>
      </c>
      <c r="M1018" s="11">
        <v>60</v>
      </c>
      <c r="N1018" s="12" t="s">
        <v>122</v>
      </c>
      <c r="O1018" s="6">
        <v>45898</v>
      </c>
      <c r="P1018" s="54">
        <v>3640</v>
      </c>
      <c r="Q1018" s="14" t="s">
        <v>85</v>
      </c>
      <c r="R1018" s="15"/>
      <c r="S1018" s="15">
        <v>297.92</v>
      </c>
      <c r="T1018" s="237">
        <f>DATA[[#This Row],[C. DF]]+DATA[[#This Row],[C.OPE.]]</f>
        <v>297.92</v>
      </c>
      <c r="U1018" s="15">
        <f>DATA[[#This Row],[SUB TOTAL]]*0.18</f>
        <v>53.625599999999999</v>
      </c>
      <c r="V1018" s="15">
        <f>IFERROR(ROUND(DATA[[#This Row],[SUB TOTAL]]+DATA[[#This Row],[IGV]],2),0)</f>
        <v>351.55</v>
      </c>
      <c r="W1018" s="16" t="str">
        <f>IF(DATA[[#This Row],[VALORIZACIÓN ]]="-","NO CORRESPONDE",IF(OR(A1018=20558226979,A1018=10470707866,A1018=20111157058,A1018=20100226902),"NO CORRESPONDE",IF(J1018="Emitida",IF(P1018&gt;0,"EMITIDA","PENDIENTE"),"NO CORRESPONDE")))</f>
        <v>EMITIDA</v>
      </c>
      <c r="X1018" s="29" t="s">
        <v>379</v>
      </c>
      <c r="Y1018" s="17" t="s">
        <v>118</v>
      </c>
      <c r="Z1018" s="30">
        <v>45971</v>
      </c>
      <c r="AA1018" s="10" t="s">
        <v>150</v>
      </c>
      <c r="AB1018" s="19">
        <v>350</v>
      </c>
      <c r="AC1018" s="20">
        <v>30</v>
      </c>
      <c r="AD1018" s="18">
        <f>DATA[[#This Row],[FECHA DE EMISION]]+DATA[[#This Row],[CONDICION DE PAGO]]</f>
        <v>46001</v>
      </c>
      <c r="AE1018" s="23">
        <f>IF(DATA[[#This Row],[MONEDA]]="USD",VLOOKUP(DATA[[#This Row],[COMBINADA]],#REF!,11,0),1)</f>
        <v>1</v>
      </c>
      <c r="AF1018" s="129" t="str">
        <f>IF(DATA[[#This Row],[SERIE2]]="-","NO CORRESPONDE",IF(W1018="NO CORRESPONDE","NO CORRESPONDE",IF(Z1018&gt;0,"FACTURADO","PENDIENTE")))</f>
        <v>FACTURADO</v>
      </c>
      <c r="AG1018" s="133">
        <f>IFERROR(VLOOKUP(DATA[[#This Row],[COMBINADA]],#REF!,6,0),0)</f>
        <v>0</v>
      </c>
      <c r="AH1018" s="125">
        <f>IFERROR(VLOOKUP(DATA[[#This Row],[COMBINADA]],#REF!,9,0),0)/COUNTIFS(DATA[COMBINADA],DATA[[#This Row],[COMBINADA]])</f>
        <v>0</v>
      </c>
      <c r="AI1018" s="136">
        <f>IFERROR(VLOOKUP(DATA[[#This Row],[COMBINADA]],#REF!,6,0),0)</f>
        <v>0</v>
      </c>
      <c r="AJ1018" s="132">
        <f>IFERROR(VLOOKUP(DATA[[#This Row],[COMBINADA]],#REF!,9,0),0)/COUNTIFS(DATA[COMBINADA],DATA[[#This Row],[COMBINADA]])</f>
        <v>0</v>
      </c>
      <c r="AK1018" s="408">
        <f>IFERROR(VLOOKUP(DATA[[#This Row],[COMBINADA]],#REF!,6,0),0)</f>
        <v>0</v>
      </c>
      <c r="AL1018" s="125">
        <f>IFERROR(VLOOKUP(DATA[[#This Row],[COMBINADA]],#REF!,9,0),0)/COUNTIFS(DATA[COMBINADA],DATA[[#This Row],[COMBINADA]])</f>
        <v>0</v>
      </c>
      <c r="AM1018" s="147">
        <f>IFERROR(VLOOKUP(DATA[[#This Row],[COMBINADA]],#REF!,6,0),0)</f>
        <v>0</v>
      </c>
      <c r="AN1018" s="125">
        <f>IFERROR(VLOOKUP(DATA[[#This Row],[COMBINADA]],#REF!,9,0),0)/COUNTIFS(DATA[COMBINADA],DATA[[#This Row],[COMBINADA]])</f>
        <v>0</v>
      </c>
      <c r="AO1018" s="27">
        <f>IFERROR(VLOOKUP(DATA[[#This Row],[COMBINADA]],#REF!,6,0),0)</f>
        <v>0</v>
      </c>
      <c r="AP1018" s="132">
        <f>IFERROR(VLOOKUP(DATA[[#This Row],[COMBINADA]],#REF!,9,0),0)/COUNTIFS(DATA[COMBINADA],DATA[[#This Row],[COMBINADA]])</f>
        <v>0</v>
      </c>
      <c r="AQ101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018" s="26" t="str">
        <f>IFERROR(IF(DATA[[#This Row],[estado_fact]]="FACTURADO",VLOOKUP(DATA[[#This Row],[SERIE2]]&amp;"-"&amp;DATA[[#This Row],[NUMERO]],#REF!,34,0),"NO CORRESPONDE"),"NO CORRESPONDE")</f>
        <v>NO CORRESPONDE</v>
      </c>
      <c r="AS1018" s="22" t="str">
        <f>IF(DATA[[#This Row],[fecha_fs]]&gt;0,TEXT(DATA[[#This Row],[fecha_fs]],"Mmmm"),0)</f>
        <v>Agosto</v>
      </c>
      <c r="AT1018" s="22" t="str">
        <f>DATA[[#This Row],[SERIE2]]&amp;"-"&amp;DATA[[#This Row],[NUMERO]]</f>
        <v>FF01-350</v>
      </c>
      <c r="AU1018" s="28">
        <f>DATA[[#This Row],[TOTAL]]*DATA[[#This Row],[T.C.]]</f>
        <v>351.55</v>
      </c>
      <c r="AV1018" s="6">
        <f>DATA[[#This Row],[FECHA DE VAL.]]</f>
        <v>45898</v>
      </c>
      <c r="AW1018" s="6">
        <f>DATA[[#This Row],[FECHA DE EMISION]]</f>
        <v>45971</v>
      </c>
      <c r="AX1018" s="6">
        <f>DATA[[#This Row],[F1]]</f>
        <v>0</v>
      </c>
      <c r="AY1018" s="20">
        <f>IF(AV1018-DATA[[#This Row],[fecha_fs]]&lt;0,0,AV1018-DATA[[#This Row],[fecha_fs]])</f>
        <v>22</v>
      </c>
      <c r="AZ1018" s="20">
        <f t="shared" si="128"/>
        <v>73</v>
      </c>
      <c r="BA1018" s="53">
        <f t="shared" si="129"/>
        <v>0</v>
      </c>
      <c r="BB1018" s="195">
        <f>IFERROR(SUM(DATA[[#This Row],[fs_val_ttf]:[fact_pago_ttf]]),0)</f>
        <v>95</v>
      </c>
      <c r="BC1018" s="233">
        <v>45876</v>
      </c>
      <c r="BD1018" s="233">
        <v>45876</v>
      </c>
      <c r="BE1018" s="233">
        <v>45898</v>
      </c>
      <c r="BF1018" s="233">
        <v>45898</v>
      </c>
      <c r="BG1018" s="20">
        <f>IFERROR(IF(BC1018-DATA[[#This Row],[fecha_fs]]&lt;0,0,BC1018-DATA[[#This Row],[fecha_fs]]),0)</f>
        <v>0</v>
      </c>
      <c r="BH1018" s="20">
        <f t="shared" si="130"/>
        <v>0</v>
      </c>
      <c r="BI1018" s="20">
        <f t="shared" si="131"/>
        <v>22</v>
      </c>
      <c r="BJ1018" s="20">
        <f t="shared" si="132"/>
        <v>0</v>
      </c>
      <c r="BK1018" s="282">
        <f>IFERROR(SUM(DATA[[#This Row],[fs_fd_ttd]:[fend_fenf_ttd]]),0)</f>
        <v>22</v>
      </c>
      <c r="BL1018" s="20" t="str">
        <f>IF(DATA[[#This Row],[fecha_fs]]&gt;0,TEXT(DATA[[#This Row],[fecha_fs]],"YYYY"),0)</f>
        <v>2025</v>
      </c>
      <c r="BM1018" s="236" t="b">
        <v>1</v>
      </c>
      <c r="BN1018" s="278">
        <f>COUNTIF(DATA[[#This Row],[tiempo_td]], "&lt;=15")</f>
        <v>0</v>
      </c>
      <c r="BO1018" s="222"/>
    </row>
    <row r="1019" spans="1:67" ht="30.6" customHeight="1" x14ac:dyDescent="0.25">
      <c r="A1019" s="4"/>
      <c r="B1019" s="5" t="s">
        <v>0</v>
      </c>
      <c r="C1019" s="52"/>
      <c r="D1019" s="4"/>
      <c r="E1019" s="5" t="s">
        <v>0</v>
      </c>
      <c r="F1019" s="24">
        <v>45877</v>
      </c>
      <c r="G1019" s="7" t="s">
        <v>142</v>
      </c>
      <c r="H1019" s="25">
        <f t="shared" ref="H1019" si="134">IF(G1019="","",IF(G1019="LIM",2,1))</f>
        <v>2</v>
      </c>
      <c r="I1019" s="67">
        <v>1118</v>
      </c>
      <c r="J1019" s="8" t="s">
        <v>151</v>
      </c>
      <c r="K1019" s="9"/>
      <c r="L1019" s="10"/>
      <c r="M1019" s="111"/>
      <c r="N1019" s="112"/>
      <c r="O1019" s="6"/>
      <c r="P1019" s="13"/>
      <c r="Q1019" s="14"/>
      <c r="R1019" s="15"/>
      <c r="S1019" s="15"/>
      <c r="T1019" s="56">
        <f>DATA[[#This Row],[C. DF]]+DATA[[#This Row],[C.OPE.]]</f>
        <v>0</v>
      </c>
      <c r="U1019" s="56">
        <f>DATA[[#This Row],[SUB TOTAL]]*0.18</f>
        <v>0</v>
      </c>
      <c r="V1019" s="56">
        <f>IFERROR(ROUND(DATA[[#This Row],[SUB TOTAL]]+DATA[[#This Row],[IGV]],2),0)</f>
        <v>0</v>
      </c>
      <c r="W1019" s="73" t="str">
        <f>IF(DATA[[#This Row],[VALORIZACIÓN ]]="-","NO CORRESPONDE",IF(OR(A1019=20558226979,A1019=10470707866,A1019=20111157058,A1019=20100226902),"NO CORRESPONDE",IF(J1019="Emitida",IF(P1019&gt;0,"EMITIDA","PENDIENTE"),"NO CORRESPONDE")))</f>
        <v>NO CORRESPONDE</v>
      </c>
      <c r="X1019" s="46"/>
      <c r="Y1019" s="17" t="s">
        <v>128</v>
      </c>
      <c r="Z1019" s="48"/>
      <c r="AA1019" s="49"/>
      <c r="AB1019" s="50"/>
      <c r="AC1019" s="51"/>
      <c r="AD1019" s="59">
        <f>DATA[[#This Row],[FECHA DE EMISION]]+DATA[[#This Row],[CONDICION DE PAGO]]</f>
        <v>0</v>
      </c>
      <c r="AE1019" s="23">
        <f>IF(DATA[[#This Row],[MONEDA]]="USD",VLOOKUP(DATA[[#This Row],[COMBINADA]],#REF!,11,0),1)</f>
        <v>1</v>
      </c>
      <c r="AF1019" s="129" t="str">
        <f>IF(DATA[[#This Row],[SERIE2]]="-","NO CORRESPONDE",IF(W1019="NO CORRESPONDE","NO CORRESPONDE",IF(Z1019&gt;0,"FACTURADO","PENDIENTE")))</f>
        <v>NO CORRESPONDE</v>
      </c>
      <c r="AG1019" s="208">
        <f>IFERROR(VLOOKUP(DATA[[#This Row],[COMBINADA]],#REF!,6,0),0)</f>
        <v>0</v>
      </c>
      <c r="AH1019" s="209">
        <f>IFERROR(VLOOKUP(DATA[[#This Row],[COMBINADA]],#REF!,9,0),0)/COUNTIFS(DATA[COMBINADA],DATA[[#This Row],[COMBINADA]])</f>
        <v>0</v>
      </c>
      <c r="AI1019" s="140">
        <f>IFERROR(VLOOKUP(DATA[[#This Row],[COMBINADA]],#REF!,6,0),0)</f>
        <v>0</v>
      </c>
      <c r="AJ1019" s="126">
        <f>IFERROR(VLOOKUP(DATA[[#This Row],[COMBINADA]],#REF!,9,0),0)/COUNTIFS(DATA[COMBINADA],DATA[[#This Row],[COMBINADA]])</f>
        <v>0</v>
      </c>
      <c r="AK1019" s="61">
        <f>IFERROR(VLOOKUP(DATA[[#This Row],[COMBINADA]],#REF!,6,0),0)</f>
        <v>0</v>
      </c>
      <c r="AL1019" s="126">
        <f>IFERROR(VLOOKUP(DATA[[#This Row],[COMBINADA]],#REF!,9,0),0)/COUNTIFS(DATA[COMBINADA],DATA[[#This Row],[COMBINADA]])</f>
        <v>0</v>
      </c>
      <c r="AM1019" s="61">
        <f>IFERROR(VLOOKUP(DATA[[#This Row],[COMBINADA]],#REF!,6,0),0)</f>
        <v>0</v>
      </c>
      <c r="AN1019" s="62">
        <f>IFERROR(VLOOKUP(DATA[[#This Row],[COMBINADA]],#REF!,9,0),0)/COUNTIFS(DATA[COMBINADA],DATA[[#This Row],[COMBINADA]])</f>
        <v>0</v>
      </c>
      <c r="AO1019" s="61">
        <f>IFERROR(VLOOKUP(DATA[[#This Row],[COMBINADA]],#REF!,6,0),0)</f>
        <v>0</v>
      </c>
      <c r="AP1019" s="62">
        <f>IFERROR(VLOOKUP(DATA[[#This Row],[COMBINADA]],#REF!,9,0),0)/COUNTIFS(DATA[COMBINADA],DATA[[#This Row],[COMBINADA]])</f>
        <v>0</v>
      </c>
      <c r="AQ1019"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019" s="22" t="str">
        <f>IFERROR(IF(DATA[[#This Row],[estado_fact]]="FACTURADO",VLOOKUP(DATA[[#This Row],[SERIE2]]&amp;"-"&amp;DATA[[#This Row],[NUMERO]],#REF!,34,0),"NO CORRESPONDE"),"NO CORRESPONDE")</f>
        <v>NO CORRESPONDE</v>
      </c>
      <c r="AS1019" s="198" t="str">
        <f>IF(DATA[[#This Row],[fecha_fs]]&gt;0,TEXT(DATA[[#This Row],[fecha_fs]],"Mmmm"),0)</f>
        <v>Agosto</v>
      </c>
      <c r="AT1019" s="199" t="str">
        <f>DATA[[#This Row],[SERIE2]]&amp;"-"&amp;DATA[[#This Row],[NUMERO]]</f>
        <v>-</v>
      </c>
      <c r="AU1019" s="198">
        <f>DATA[[#This Row],[TOTAL]]*DATA[[#This Row],[T.C.]]</f>
        <v>0</v>
      </c>
      <c r="AV1019" s="40">
        <f>DATA[[#This Row],[FECHA DE VAL.]]</f>
        <v>0</v>
      </c>
      <c r="AW1019" s="40">
        <f>DATA[[#This Row],[FECHA DE EMISION]]</f>
        <v>0</v>
      </c>
      <c r="AX1019" s="40">
        <f>DATA[[#This Row],[F1]]</f>
        <v>0</v>
      </c>
      <c r="AY1019" s="49">
        <f>IF(AV1019-DATA[[#This Row],[fecha_fs]]&lt;0,0,AV1019-DATA[[#This Row],[fecha_fs]])</f>
        <v>0</v>
      </c>
      <c r="AZ1019" s="49">
        <f>IF(AW1019-AV1019&lt;0,0,AW1019-AV1019)</f>
        <v>0</v>
      </c>
      <c r="BA1019" s="49">
        <f>IF(AX1019-AW1019&lt;0,0,AX1019-AW1019)</f>
        <v>0</v>
      </c>
      <c r="BB1019" s="195">
        <f>IFERROR(SUM(DATA[[#This Row],[fs_val_ttf]:[fact_pago_ttf]]),0)</f>
        <v>0</v>
      </c>
      <c r="BC1019" s="276"/>
      <c r="BD1019" s="276"/>
      <c r="BE1019" s="276"/>
      <c r="BF1019" s="276"/>
      <c r="BG1019" s="49">
        <f>IFERROR(IF(BC1019-DATA[[#This Row],[fecha_fs]]&lt;0,0,BC1019-DATA[[#This Row],[fecha_fs]]),0)</f>
        <v>0</v>
      </c>
      <c r="BH1019" s="49">
        <f t="shared" ref="BH1019" si="135">IFERROR(IF(BD1019-BC1019&lt;0,0,BD1019-BC1019),0)</f>
        <v>0</v>
      </c>
      <c r="BI1019" s="49">
        <f t="shared" ref="BI1019" si="136">IFERROR(IF(BE1019-BD1019&lt;0,0,BE1019-BD1019),0)</f>
        <v>0</v>
      </c>
      <c r="BJ1019" s="49">
        <f t="shared" ref="BJ1019" si="137">IFERROR(IF(BF1019-BE1019&lt;0,0,BF1019-BE1019),0)</f>
        <v>0</v>
      </c>
      <c r="BK1019" s="218">
        <f>IFERROR(SUM(DATA[[#This Row],[fs_fd_ttd]:[fend_fenf_ttd]]),0)</f>
        <v>0</v>
      </c>
      <c r="BL1019" s="20" t="str">
        <f>IF(DATA[[#This Row],[fecha_fs]]&gt;0,TEXT(DATA[[#This Row],[fecha_fs]],"YYYY"),0)</f>
        <v>2025</v>
      </c>
      <c r="BM1019" s="221" t="b">
        <v>0</v>
      </c>
      <c r="BN1019" s="278"/>
      <c r="BO1019" s="222"/>
    </row>
    <row r="1020" spans="1:67" ht="30.6" customHeight="1" x14ac:dyDescent="0.25">
      <c r="A1020" s="240">
        <v>20100192064</v>
      </c>
      <c r="B1020" s="5" t="s">
        <v>60</v>
      </c>
      <c r="C1020" s="52" t="s">
        <v>65</v>
      </c>
      <c r="D1020" s="4" t="s">
        <v>120</v>
      </c>
      <c r="E1020" s="5" t="s">
        <v>3</v>
      </c>
      <c r="F1020" s="24">
        <v>45877</v>
      </c>
      <c r="G1020" s="7" t="s">
        <v>142</v>
      </c>
      <c r="H1020" s="25">
        <f t="shared" ref="H1020" si="138">IF(G1020="","",IF(G1020="LIM",2,1))</f>
        <v>2</v>
      </c>
      <c r="I1020" s="67">
        <v>1119</v>
      </c>
      <c r="J1020" s="8" t="s">
        <v>115</v>
      </c>
      <c r="K1020" s="9" t="s">
        <v>121</v>
      </c>
      <c r="L1020" s="10" t="s">
        <v>117</v>
      </c>
      <c r="M1020" s="11">
        <v>460</v>
      </c>
      <c r="N1020" s="12" t="s">
        <v>180</v>
      </c>
      <c r="O1020" s="6">
        <v>45894</v>
      </c>
      <c r="P1020" s="71">
        <v>3616</v>
      </c>
      <c r="Q1020" s="14" t="s">
        <v>123</v>
      </c>
      <c r="R1020" s="206">
        <f>(DATA[[#This Row],[cantidad_fs]]/1000)*(37+81.01)</f>
        <v>54.284600000000005</v>
      </c>
      <c r="S1020" s="15">
        <v>103.6</v>
      </c>
      <c r="T1020" s="237">
        <f>DATA[[#This Row],[C. DF]]+DATA[[#This Row],[C.OPE.]]</f>
        <v>157.88460000000001</v>
      </c>
      <c r="U1020" s="15">
        <f>DATA[[#This Row],[SUB TOTAL]]*0.18</f>
        <v>28.419228</v>
      </c>
      <c r="V1020" s="15">
        <f>IFERROR(ROUND(DATA[[#This Row],[SUB TOTAL]]+DATA[[#This Row],[IGV]],2),0)</f>
        <v>186.3</v>
      </c>
      <c r="W1020" s="16" t="str">
        <f>IF(DATA[[#This Row],[VALORIZACIÓN ]]="-","NO CORRESPONDE",IF(OR(A1020=20558226979,A1020=10470707866,A1020=20111157058,A1020=20100226902),"NO CORRESPONDE",IF(J1020="Emitida",IF(P1020&gt;0,"EMITIDA","PENDIENTE"),"NO CORRESPONDE")))</f>
        <v>EMITIDA</v>
      </c>
      <c r="X1020" s="29"/>
      <c r="Y1020" s="17" t="s">
        <v>118</v>
      </c>
      <c r="Z1020" s="30">
        <v>45895</v>
      </c>
      <c r="AA1020" s="10" t="s">
        <v>150</v>
      </c>
      <c r="AB1020" s="19">
        <v>220</v>
      </c>
      <c r="AC1020" s="20">
        <v>30</v>
      </c>
      <c r="AD1020" s="18">
        <f>DATA[[#This Row],[FECHA DE EMISION]]+DATA[[#This Row],[CONDICION DE PAGO]]</f>
        <v>45925</v>
      </c>
      <c r="AE1020" s="23" t="e">
        <f>IF(DATA[[#This Row],[MONEDA]]="USD",VLOOKUP(DATA[[#This Row],[COMBINADA]],#REF!,11,0),1)</f>
        <v>#REF!</v>
      </c>
      <c r="AF1020" s="129" t="str">
        <f>IF(DATA[[#This Row],[SERIE2]]="-","NO CORRESPONDE",IF(W1020="NO CORRESPONDE","NO CORRESPONDE",IF(Z1020&gt;0,"FACTURADO","PENDIENTE")))</f>
        <v>FACTURADO</v>
      </c>
      <c r="AG1020" s="133">
        <f>IFERROR(VLOOKUP(DATA[[#This Row],[COMBINADA]],#REF!,6,0),0)</f>
        <v>0</v>
      </c>
      <c r="AH1020" s="125">
        <f>IFERROR(VLOOKUP(DATA[[#This Row],[COMBINADA]],#REF!,9,0),0)/COUNTIFS(DATA[COMBINADA],DATA[[#This Row],[COMBINADA]])</f>
        <v>0</v>
      </c>
      <c r="AI1020" s="136">
        <f>IFERROR(VLOOKUP(DATA[[#This Row],[COMBINADA]],#REF!,6,0),0)</f>
        <v>0</v>
      </c>
      <c r="AJ1020" s="132">
        <f>IFERROR(VLOOKUP(DATA[[#This Row],[COMBINADA]],#REF!,9,0),0)/COUNTIFS(DATA[COMBINADA],DATA[[#This Row],[COMBINADA]])</f>
        <v>0</v>
      </c>
      <c r="AK1020" s="408">
        <f>IFERROR(VLOOKUP(DATA[[#This Row],[COMBINADA]],#REF!,6,0),0)</f>
        <v>0</v>
      </c>
      <c r="AL1020" s="125">
        <f>IFERROR(VLOOKUP(DATA[[#This Row],[COMBINADA]],#REF!,9,0),0)/COUNTIFS(DATA[COMBINADA],DATA[[#This Row],[COMBINADA]])</f>
        <v>0</v>
      </c>
      <c r="AM1020" s="147">
        <f>IFERROR(VLOOKUP(DATA[[#This Row],[COMBINADA]],#REF!,6,0),0)</f>
        <v>0</v>
      </c>
      <c r="AN1020" s="125">
        <f>IFERROR(VLOOKUP(DATA[[#This Row],[COMBINADA]],#REF!,9,0),0)/COUNTIFS(DATA[COMBINADA],DATA[[#This Row],[COMBINADA]])</f>
        <v>0</v>
      </c>
      <c r="AO1020" s="27">
        <f>IFERROR(VLOOKUP(DATA[[#This Row],[COMBINADA]],#REF!,6,0),0)</f>
        <v>0</v>
      </c>
      <c r="AP1020" s="132">
        <f>IFERROR(VLOOKUP(DATA[[#This Row],[COMBINADA]],#REF!,9,0),0)/COUNTIFS(DATA[COMBINADA],DATA[[#This Row],[COMBINADA]])</f>
        <v>0</v>
      </c>
      <c r="AQ102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572.11888888888882</v>
      </c>
      <c r="AR1020" s="26" t="str">
        <f>IFERROR(IF(DATA[[#This Row],[estado_fact]]="FACTURADO",VLOOKUP(DATA[[#This Row],[SERIE2]]&amp;"-"&amp;DATA[[#This Row],[NUMERO]],#REF!,34,0),"NO CORRESPONDE"),"NO CORRESPONDE")</f>
        <v>NO CORRESPONDE</v>
      </c>
      <c r="AS1020" s="22" t="str">
        <f>IF(DATA[[#This Row],[fecha_fs]]&gt;0,TEXT(DATA[[#This Row],[fecha_fs]],"Mmmm"),0)</f>
        <v>Agosto</v>
      </c>
      <c r="AT1020" s="22" t="str">
        <f>DATA[[#This Row],[SERIE2]]&amp;"-"&amp;DATA[[#This Row],[NUMERO]]</f>
        <v>FF01-220</v>
      </c>
      <c r="AU1020" s="28" t="e">
        <f>DATA[[#This Row],[TOTAL]]*DATA[[#This Row],[T.C.]]</f>
        <v>#REF!</v>
      </c>
      <c r="AV1020" s="6">
        <f>DATA[[#This Row],[FECHA DE VAL.]]</f>
        <v>45894</v>
      </c>
      <c r="AW1020" s="6">
        <f>DATA[[#This Row],[FECHA DE EMISION]]</f>
        <v>45895</v>
      </c>
      <c r="AX1020" s="6">
        <f>DATA[[#This Row],[F1]]</f>
        <v>0</v>
      </c>
      <c r="AY1020" s="20">
        <f>IF(AV1020-DATA[[#This Row],[fecha_fs]]&lt;0,0,AV1020-DATA[[#This Row],[fecha_fs]])</f>
        <v>17</v>
      </c>
      <c r="AZ1020" s="20">
        <f>IF(AW1020-AV1020&lt;0,0,AW1020-AV1020)</f>
        <v>1</v>
      </c>
      <c r="BA1020" s="53">
        <f>IF(AX1020-AW1020&lt;0,0,AX1020-AW1020)</f>
        <v>0</v>
      </c>
      <c r="BB1020" s="195">
        <f>IFERROR(SUM(DATA[[#This Row],[fs_val_ttf]:[fact_pago_ttf]]),0)</f>
        <v>18</v>
      </c>
      <c r="BC1020" s="233">
        <v>45894</v>
      </c>
      <c r="BD1020" s="233">
        <v>45903</v>
      </c>
      <c r="BE1020" s="233">
        <v>45904</v>
      </c>
      <c r="BF1020" s="233">
        <v>45945</v>
      </c>
      <c r="BG1020" s="20">
        <f>IFERROR(IF(BC1020-DATA[[#This Row],[fecha_fs]]&lt;0,0,BC1020-DATA[[#This Row],[fecha_fs]]),0)</f>
        <v>17</v>
      </c>
      <c r="BH1020" s="20">
        <f t="shared" ref="BH1020:BJ1020" si="139">IFERROR(IF(BD1020-BC1020&lt;0,0,BD1020-BC1020),0)</f>
        <v>9</v>
      </c>
      <c r="BI1020" s="20">
        <f t="shared" si="139"/>
        <v>1</v>
      </c>
      <c r="BJ1020" s="20">
        <f t="shared" si="139"/>
        <v>41</v>
      </c>
      <c r="BK1020" s="282">
        <f>IFERROR(SUM(DATA[[#This Row],[fs_fd_ttd]:[fend_fenf_ttd]]),0)</f>
        <v>68</v>
      </c>
      <c r="BL1020" s="20" t="str">
        <f>IF(DATA[[#This Row],[fecha_fs]]&gt;0,TEXT(DATA[[#This Row],[fecha_fs]],"YYYY"),0)</f>
        <v>2025</v>
      </c>
      <c r="BM1020" s="236" t="b">
        <v>1</v>
      </c>
      <c r="BN1020" s="278">
        <f>COUNTIF(DATA[[#This Row],[tiempo_td]], "&lt;=15")</f>
        <v>0</v>
      </c>
      <c r="BO1020" s="222"/>
    </row>
    <row r="1021" spans="1:67" ht="30.6" customHeight="1" x14ac:dyDescent="0.25">
      <c r="A1021" s="4">
        <v>20141637941</v>
      </c>
      <c r="B1021" s="5" t="s">
        <v>79</v>
      </c>
      <c r="C1021" s="52" t="s">
        <v>18</v>
      </c>
      <c r="D1021" s="4" t="s">
        <v>120</v>
      </c>
      <c r="E1021" s="5" t="s">
        <v>3</v>
      </c>
      <c r="F1021" s="24">
        <v>45877</v>
      </c>
      <c r="G1021" s="7" t="s">
        <v>113</v>
      </c>
      <c r="H1021" s="25">
        <f t="shared" si="133"/>
        <v>1</v>
      </c>
      <c r="I1021" s="67">
        <v>4840</v>
      </c>
      <c r="J1021" s="8" t="s">
        <v>115</v>
      </c>
      <c r="K1021" s="9" t="s">
        <v>121</v>
      </c>
      <c r="L1021" s="10" t="s">
        <v>117</v>
      </c>
      <c r="M1021" s="11">
        <v>850</v>
      </c>
      <c r="N1021" s="12" t="s">
        <v>249</v>
      </c>
      <c r="O1021" s="6">
        <v>45880</v>
      </c>
      <c r="P1021" s="110">
        <v>3597</v>
      </c>
      <c r="Q1021" s="14" t="s">
        <v>85</v>
      </c>
      <c r="R1021" s="15">
        <v>80</v>
      </c>
      <c r="S1021" s="15">
        <v>832</v>
      </c>
      <c r="T1021" s="237">
        <f>DATA[[#This Row],[C. DF]]+DATA[[#This Row],[C.OPE.]]</f>
        <v>912</v>
      </c>
      <c r="U1021" s="15">
        <f>DATA[[#This Row],[SUB TOTAL]]*0.18</f>
        <v>164.16</v>
      </c>
      <c r="V1021" s="15">
        <f>IFERROR(ROUND(DATA[[#This Row],[SUB TOTAL]]+DATA[[#This Row],[IGV]],2),0)</f>
        <v>1076.1600000000001</v>
      </c>
      <c r="W1021" s="16" t="str">
        <f>IF(DATA[[#This Row],[VALORIZACIÓN ]]="-","NO CORRESPONDE",IF(OR(A1021=20558226979,A1021=10470707866,A1021=20111157058,A1021=20100226902),"NO CORRESPONDE",IF(J1021="Emitida",IF(P1021&gt;0,"EMITIDA","PENDIENTE"),"NO CORRESPONDE")))</f>
        <v>EMITIDA</v>
      </c>
      <c r="X1021" s="29"/>
      <c r="Y1021" s="17" t="s">
        <v>118</v>
      </c>
      <c r="Z1021" s="30">
        <v>45881</v>
      </c>
      <c r="AA1021" s="10" t="s">
        <v>150</v>
      </c>
      <c r="AB1021" s="19">
        <v>204</v>
      </c>
      <c r="AC1021" s="20">
        <v>30</v>
      </c>
      <c r="AD1021" s="18">
        <f>DATA[[#This Row],[FECHA DE EMISION]]+DATA[[#This Row],[CONDICION DE PAGO]]</f>
        <v>45911</v>
      </c>
      <c r="AE1021" s="23">
        <f>IF(DATA[[#This Row],[MONEDA]]="USD",VLOOKUP(DATA[[#This Row],[COMBINADA]],#REF!,11,0),1)</f>
        <v>1</v>
      </c>
      <c r="AF1021" s="129" t="str">
        <f>IF(DATA[[#This Row],[SERIE2]]="-","NO CORRESPONDE",IF(W1021="NO CORRESPONDE","NO CORRESPONDE",IF(Z1021&gt;0,"FACTURADO","PENDIENTE")))</f>
        <v>FACTURADO</v>
      </c>
      <c r="AG1021" s="133">
        <f>IFERROR(VLOOKUP(DATA[[#This Row],[COMBINADA]],#REF!,6,0),0)</f>
        <v>0</v>
      </c>
      <c r="AH1021" s="125">
        <f>IFERROR(VLOOKUP(DATA[[#This Row],[COMBINADA]],#REF!,9,0),0)/COUNTIFS(DATA[COMBINADA],DATA[[#This Row],[COMBINADA]])</f>
        <v>0</v>
      </c>
      <c r="AI1021" s="136">
        <f>IFERROR(VLOOKUP(DATA[[#This Row],[COMBINADA]],#REF!,6,0),0)</f>
        <v>0</v>
      </c>
      <c r="AJ1021" s="132">
        <f>IFERROR(VLOOKUP(DATA[[#This Row],[COMBINADA]],#REF!,9,0),0)/COUNTIFS(DATA[COMBINADA],DATA[[#This Row],[COMBINADA]])</f>
        <v>0</v>
      </c>
      <c r="AK1021" s="408">
        <f>IFERROR(VLOOKUP(DATA[[#This Row],[COMBINADA]],#REF!,6,0),0)</f>
        <v>0</v>
      </c>
      <c r="AL1021" s="125">
        <f>IFERROR(VLOOKUP(DATA[[#This Row],[COMBINADA]],#REF!,9,0),0)/COUNTIFS(DATA[COMBINADA],DATA[[#This Row],[COMBINADA]])</f>
        <v>0</v>
      </c>
      <c r="AM1021" s="147">
        <f>IFERROR(VLOOKUP(DATA[[#This Row],[COMBINADA]],#REF!,6,0),0)</f>
        <v>0</v>
      </c>
      <c r="AN1021" s="125">
        <f>IFERROR(VLOOKUP(DATA[[#This Row],[COMBINADA]],#REF!,9,0),0)/COUNTIFS(DATA[COMBINADA],DATA[[#This Row],[COMBINADA]])</f>
        <v>0</v>
      </c>
      <c r="AO1021" s="27">
        <f>IFERROR(VLOOKUP(DATA[[#This Row],[COMBINADA]],#REF!,6,0),0)</f>
        <v>0</v>
      </c>
      <c r="AP1021" s="132">
        <f>IFERROR(VLOOKUP(DATA[[#This Row],[COMBINADA]],#REF!,9,0),0)/COUNTIFS(DATA[COMBINADA],DATA[[#This Row],[COMBINADA]])</f>
        <v>0</v>
      </c>
      <c r="AQ102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1076.1600000000001</v>
      </c>
      <c r="AR1021" s="26" t="str">
        <f>IFERROR(IF(DATA[[#This Row],[estado_fact]]="FACTURADO",VLOOKUP(DATA[[#This Row],[SERIE2]]&amp;"-"&amp;DATA[[#This Row],[NUMERO]],#REF!,34,0),"NO CORRESPONDE"),"NO CORRESPONDE")</f>
        <v>NO CORRESPONDE</v>
      </c>
      <c r="AS1021" s="22" t="str">
        <f>IF(DATA[[#This Row],[fecha_fs]]&gt;0,TEXT(DATA[[#This Row],[fecha_fs]],"Mmmm"),0)</f>
        <v>Agosto</v>
      </c>
      <c r="AT1021" s="22" t="str">
        <f>DATA[[#This Row],[SERIE2]]&amp;"-"&amp;DATA[[#This Row],[NUMERO]]</f>
        <v>FF01-204</v>
      </c>
      <c r="AU1021" s="28">
        <f>DATA[[#This Row],[TOTAL]]*DATA[[#This Row],[T.C.]]</f>
        <v>1076.1600000000001</v>
      </c>
      <c r="AV1021" s="6">
        <f>DATA[[#This Row],[FECHA DE VAL.]]</f>
        <v>45880</v>
      </c>
      <c r="AW1021" s="6">
        <f>DATA[[#This Row],[FECHA DE EMISION]]</f>
        <v>45881</v>
      </c>
      <c r="AX1021" s="6">
        <f>DATA[[#This Row],[F1]]</f>
        <v>0</v>
      </c>
      <c r="AY1021" s="20">
        <f>IF(AV1021-DATA[[#This Row],[fecha_fs]]&lt;0,0,AV1021-DATA[[#This Row],[fecha_fs]])</f>
        <v>3</v>
      </c>
      <c r="AZ1021" s="20">
        <f t="shared" si="128"/>
        <v>1</v>
      </c>
      <c r="BA1021" s="53">
        <f t="shared" si="129"/>
        <v>0</v>
      </c>
      <c r="BB1021" s="195">
        <f>IFERROR(SUM(DATA[[#This Row],[fs_val_ttf]:[fact_pago_ttf]]),0)</f>
        <v>4</v>
      </c>
      <c r="BC1021" s="233">
        <v>45877</v>
      </c>
      <c r="BD1021" s="233">
        <v>45891</v>
      </c>
      <c r="BE1021" s="233">
        <v>45901</v>
      </c>
      <c r="BF1021" s="233">
        <v>45904</v>
      </c>
      <c r="BG1021" s="20">
        <f>IFERROR(IF(BC1021-DATA[[#This Row],[fecha_fs]]&lt;0,0,BC1021-DATA[[#This Row],[fecha_fs]]),0)</f>
        <v>0</v>
      </c>
      <c r="BH1021" s="20">
        <f t="shared" si="130"/>
        <v>14</v>
      </c>
      <c r="BI1021" s="20">
        <f t="shared" si="131"/>
        <v>10</v>
      </c>
      <c r="BJ1021" s="20">
        <f t="shared" si="132"/>
        <v>3</v>
      </c>
      <c r="BK1021" s="282">
        <f>IFERROR(SUM(DATA[[#This Row],[fs_fd_ttd]:[fend_fenf_ttd]]),0)</f>
        <v>27</v>
      </c>
      <c r="BL1021" s="20" t="str">
        <f>IF(DATA[[#This Row],[fecha_fs]]&gt;0,TEXT(DATA[[#This Row],[fecha_fs]],"YYYY"),0)</f>
        <v>2025</v>
      </c>
      <c r="BM1021" s="236" t="b">
        <v>1</v>
      </c>
      <c r="BN1021" s="278">
        <f>COUNTIF(DATA[[#This Row],[tiempo_td]], "&lt;=15")</f>
        <v>0</v>
      </c>
      <c r="BO1021" s="222"/>
    </row>
    <row r="1022" spans="1:67" ht="30.6" customHeight="1" x14ac:dyDescent="0.25">
      <c r="A1022" s="4">
        <v>20100211115</v>
      </c>
      <c r="B1022" s="5" t="s">
        <v>41</v>
      </c>
      <c r="C1022" s="52" t="s">
        <v>18</v>
      </c>
      <c r="D1022" s="4" t="s">
        <v>120</v>
      </c>
      <c r="E1022" s="5" t="s">
        <v>3</v>
      </c>
      <c r="F1022" s="24">
        <v>45877</v>
      </c>
      <c r="G1022" s="7" t="s">
        <v>113</v>
      </c>
      <c r="H1022" s="25">
        <f t="shared" ref="H1022" si="140">IF(G1022="","",IF(G1022="LIM",2,1))</f>
        <v>1</v>
      </c>
      <c r="I1022" s="67">
        <v>4841</v>
      </c>
      <c r="J1022" s="8" t="s">
        <v>115</v>
      </c>
      <c r="K1022" s="9" t="s">
        <v>121</v>
      </c>
      <c r="L1022" s="10" t="s">
        <v>117</v>
      </c>
      <c r="M1022" s="11">
        <v>90</v>
      </c>
      <c r="N1022" s="12" t="s">
        <v>200</v>
      </c>
      <c r="O1022" s="6">
        <v>45894</v>
      </c>
      <c r="P1022" s="115">
        <v>3625</v>
      </c>
      <c r="Q1022" s="14" t="s">
        <v>85</v>
      </c>
      <c r="R1022" s="15"/>
      <c r="S1022" s="15">
        <f>(DATA[[#This Row],[cantidad_fs]]*4.17)</f>
        <v>375.3</v>
      </c>
      <c r="T1022" s="237">
        <f>DATA[[#This Row],[C. DF]]+DATA[[#This Row],[C.OPE.]]</f>
        <v>375.3</v>
      </c>
      <c r="U1022" s="15">
        <f>DATA[[#This Row],[SUB TOTAL]]*0.18</f>
        <v>67.554000000000002</v>
      </c>
      <c r="V1022" s="15">
        <f>IFERROR(ROUND(DATA[[#This Row],[SUB TOTAL]]+DATA[[#This Row],[IGV]],2),0)</f>
        <v>442.85</v>
      </c>
      <c r="W1022" s="16" t="str">
        <f>IF(DATA[[#This Row],[VALORIZACIÓN ]]="-","NO CORRESPONDE",IF(OR(A1022=20558226979,A1022=10470707866,A1022=20111157058,A1022=20100226902),"NO CORRESPONDE",IF(J1022="Emitida",IF(P1022&gt;0,"EMITIDA","PENDIENTE"),"NO CORRESPONDE")))</f>
        <v>EMITIDA</v>
      </c>
      <c r="X1022" s="29"/>
      <c r="Y1022" s="17" t="s">
        <v>118</v>
      </c>
      <c r="Z1022" s="30">
        <v>45896</v>
      </c>
      <c r="AA1022" s="10" t="s">
        <v>150</v>
      </c>
      <c r="AB1022" s="19">
        <v>224</v>
      </c>
      <c r="AC1022" s="20">
        <v>30</v>
      </c>
      <c r="AD1022" s="18">
        <f>DATA[[#This Row],[FECHA DE EMISION]]+DATA[[#This Row],[CONDICION DE PAGO]]</f>
        <v>45926</v>
      </c>
      <c r="AE1022" s="23">
        <f>IF(DATA[[#This Row],[MONEDA]]="USD",VLOOKUP(DATA[[#This Row],[COMBINADA]],#REF!,11,0),1)</f>
        <v>1</v>
      </c>
      <c r="AF1022" s="129" t="str">
        <f>IF(DATA[[#This Row],[SERIE2]]="-","NO CORRESPONDE",IF(W1022="NO CORRESPONDE","NO CORRESPONDE",IF(Z1022&gt;0,"FACTURADO","PENDIENTE")))</f>
        <v>FACTURADO</v>
      </c>
      <c r="AG1022" s="133">
        <f>IFERROR(VLOOKUP(DATA[[#This Row],[COMBINADA]],#REF!,6,0),0)</f>
        <v>0</v>
      </c>
      <c r="AH1022" s="125">
        <f>IFERROR(VLOOKUP(DATA[[#This Row],[COMBINADA]],#REF!,9,0),0)/COUNTIFS(DATA[COMBINADA],DATA[[#This Row],[COMBINADA]])</f>
        <v>0</v>
      </c>
      <c r="AI1022" s="136">
        <f>IFERROR(VLOOKUP(DATA[[#This Row],[COMBINADA]],#REF!,6,0),0)</f>
        <v>0</v>
      </c>
      <c r="AJ1022" s="132">
        <f>IFERROR(VLOOKUP(DATA[[#This Row],[COMBINADA]],#REF!,9,0),0)/COUNTIFS(DATA[COMBINADA],DATA[[#This Row],[COMBINADA]])</f>
        <v>0</v>
      </c>
      <c r="AK1022" s="408">
        <f>IFERROR(VLOOKUP(DATA[[#This Row],[COMBINADA]],#REF!,6,0),0)</f>
        <v>0</v>
      </c>
      <c r="AL1022" s="125">
        <f>IFERROR(VLOOKUP(DATA[[#This Row],[COMBINADA]],#REF!,9,0),0)/COUNTIFS(DATA[COMBINADA],DATA[[#This Row],[COMBINADA]])</f>
        <v>0</v>
      </c>
      <c r="AM1022" s="147">
        <f>IFERROR(VLOOKUP(DATA[[#This Row],[COMBINADA]],#REF!,6,0),0)</f>
        <v>0</v>
      </c>
      <c r="AN1022" s="125">
        <f>IFERROR(VLOOKUP(DATA[[#This Row],[COMBINADA]],#REF!,9,0),0)/COUNTIFS(DATA[COMBINADA],DATA[[#This Row],[COMBINADA]])</f>
        <v>0</v>
      </c>
      <c r="AO1022" s="27">
        <f>IFERROR(VLOOKUP(DATA[[#This Row],[COMBINADA]],#REF!,6,0),0)</f>
        <v>0</v>
      </c>
      <c r="AP1022" s="132">
        <f>IFERROR(VLOOKUP(DATA[[#This Row],[COMBINADA]],#REF!,9,0),0)/COUNTIFS(DATA[COMBINADA],DATA[[#This Row],[COMBINADA]])</f>
        <v>0</v>
      </c>
      <c r="AQ102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v>
      </c>
      <c r="AR1022" s="26" t="str">
        <f>IFERROR(IF(DATA[[#This Row],[estado_fact]]="FACTURADO",VLOOKUP(DATA[[#This Row],[SERIE2]]&amp;"-"&amp;DATA[[#This Row],[NUMERO]],#REF!,34,0),"NO CORRESPONDE"),"NO CORRESPONDE")</f>
        <v>NO CORRESPONDE</v>
      </c>
      <c r="AS1022" s="22" t="str">
        <f>IF(DATA[[#This Row],[fecha_fs]]&gt;0,TEXT(DATA[[#This Row],[fecha_fs]],"Mmmm"),0)</f>
        <v>Agosto</v>
      </c>
      <c r="AT1022" s="22" t="str">
        <f>DATA[[#This Row],[SERIE2]]&amp;"-"&amp;DATA[[#This Row],[NUMERO]]</f>
        <v>FF01-224</v>
      </c>
      <c r="AU1022" s="28">
        <f>DATA[[#This Row],[TOTAL]]*DATA[[#This Row],[T.C.]]</f>
        <v>442.85</v>
      </c>
      <c r="AV1022" s="6">
        <f>DATA[[#This Row],[FECHA DE VAL.]]</f>
        <v>45894</v>
      </c>
      <c r="AW1022" s="6">
        <f>DATA[[#This Row],[FECHA DE EMISION]]</f>
        <v>45896</v>
      </c>
      <c r="AX1022" s="6">
        <f>DATA[[#This Row],[F1]]</f>
        <v>0</v>
      </c>
      <c r="AY1022" s="20">
        <f>IF(AV1022-DATA[[#This Row],[fecha_fs]]&lt;0,0,AV1022-DATA[[#This Row],[fecha_fs]])</f>
        <v>17</v>
      </c>
      <c r="AZ1022" s="20">
        <f t="shared" ref="AZ1022" si="141">IF(AW1022-AV1022&lt;0,0,AW1022-AV1022)</f>
        <v>2</v>
      </c>
      <c r="BA1022" s="53">
        <f t="shared" ref="BA1022" si="142">IF(AX1022-AW1022&lt;0,0,AX1022-AW1022)</f>
        <v>0</v>
      </c>
      <c r="BB1022" s="195">
        <f>IFERROR(SUM(DATA[[#This Row],[fs_val_ttf]:[fact_pago_ttf]]),0)</f>
        <v>19</v>
      </c>
      <c r="BC1022" s="233">
        <v>45903</v>
      </c>
      <c r="BD1022" s="233">
        <v>45905</v>
      </c>
      <c r="BE1022" s="233">
        <v>45908</v>
      </c>
      <c r="BF1022" s="185">
        <v>45911</v>
      </c>
      <c r="BG1022" s="20">
        <f>IFERROR(IF(BC1022-DATA[[#This Row],[fecha_fs]]&lt;0,0,BC1022-DATA[[#This Row],[fecha_fs]]),0)</f>
        <v>26</v>
      </c>
      <c r="BH1022" s="20">
        <f t="shared" ref="BH1022:BH1093" si="143">IFERROR(IF(BD1022-BC1022&lt;0,0,BD1022-BC1022),0)</f>
        <v>2</v>
      </c>
      <c r="BI1022" s="20">
        <f t="shared" ref="BI1022:BI1093" si="144">IFERROR(IF(BE1022-BD1022&lt;0,0,BE1022-BD1022),0)</f>
        <v>3</v>
      </c>
      <c r="BJ1022" s="20">
        <f t="shared" ref="BJ1022:BJ1093" si="145">IFERROR(IF(BF1022-BE1022&lt;0,0,BF1022-BE1022),0)</f>
        <v>3</v>
      </c>
      <c r="BK1022" s="282">
        <f>IFERROR(SUM(DATA[[#This Row],[fs_fd_ttd]:[fend_fenf_ttd]]),0)</f>
        <v>34</v>
      </c>
      <c r="BL1022" s="20" t="str">
        <f>IF(DATA[[#This Row],[fecha_fs]]&gt;0,TEXT(DATA[[#This Row],[fecha_fs]],"YYYY"),0)</f>
        <v>2025</v>
      </c>
      <c r="BM1022" s="236" t="b">
        <v>1</v>
      </c>
      <c r="BN1022" s="278">
        <f>COUNTIF(DATA[[#This Row],[tiempo_td]], "&lt;=15")</f>
        <v>0</v>
      </c>
      <c r="BO1022" s="222"/>
    </row>
    <row r="1023" spans="1:67" ht="30.6" customHeight="1" x14ac:dyDescent="0.25">
      <c r="A1023" s="4">
        <v>20100211115</v>
      </c>
      <c r="B1023" s="5" t="s">
        <v>41</v>
      </c>
      <c r="C1023" s="52" t="s">
        <v>18</v>
      </c>
      <c r="D1023" s="4" t="s">
        <v>112</v>
      </c>
      <c r="E1023" s="5" t="s">
        <v>1</v>
      </c>
      <c r="F1023" s="24">
        <v>45877</v>
      </c>
      <c r="G1023" s="7" t="s">
        <v>113</v>
      </c>
      <c r="H1023" s="25">
        <f t="shared" ref="H1023:H1025" si="146">IF(G1023="","",IF(G1023="LIM",2,1))</f>
        <v>1</v>
      </c>
      <c r="I1023" s="67">
        <v>4842</v>
      </c>
      <c r="J1023" s="8" t="s">
        <v>115</v>
      </c>
      <c r="K1023" s="9" t="s">
        <v>116</v>
      </c>
      <c r="L1023" s="10" t="s">
        <v>117</v>
      </c>
      <c r="M1023" s="11">
        <v>1010</v>
      </c>
      <c r="N1023" s="12" t="s">
        <v>200</v>
      </c>
      <c r="O1023" s="6">
        <v>45898</v>
      </c>
      <c r="P1023" s="115">
        <v>3627</v>
      </c>
      <c r="Q1023" s="14" t="s">
        <v>85</v>
      </c>
      <c r="R1023" s="15"/>
      <c r="S1023" s="15">
        <f>(DATA[[#This Row],[cantidad_fs]]*4.57)</f>
        <v>4615.7000000000007</v>
      </c>
      <c r="T1023" s="237">
        <f>DATA[[#This Row],[C. DF]]+DATA[[#This Row],[C.OPE.]]</f>
        <v>4615.7000000000007</v>
      </c>
      <c r="U1023" s="15">
        <f>DATA[[#This Row],[SUB TOTAL]]*0.18</f>
        <v>830.82600000000014</v>
      </c>
      <c r="V1023" s="15">
        <f>IFERROR(ROUND(DATA[[#This Row],[SUB TOTAL]]+DATA[[#This Row],[IGV]],2),0)</f>
        <v>5446.53</v>
      </c>
      <c r="W1023" s="16" t="str">
        <f>IF(DATA[[#This Row],[VALORIZACIÓN ]]="-","NO CORRESPONDE",IF(OR(A1023=20558226979,A1023=10470707866,A1023=20111157058,A1023=20100226902),"NO CORRESPONDE",IF(J1023="Emitida",IF(P1023&gt;0,"EMITIDA","PENDIENTE"),"NO CORRESPONDE")))</f>
        <v>EMITIDA</v>
      </c>
      <c r="X1023" s="29"/>
      <c r="Y1023" s="17" t="s">
        <v>118</v>
      </c>
      <c r="Z1023" s="30">
        <v>45896</v>
      </c>
      <c r="AA1023" s="10" t="s">
        <v>150</v>
      </c>
      <c r="AB1023" s="19">
        <v>225</v>
      </c>
      <c r="AC1023" s="20">
        <v>30</v>
      </c>
      <c r="AD1023" s="18">
        <f>DATA[[#This Row],[FECHA DE EMISION]]+DATA[[#This Row],[CONDICION DE PAGO]]</f>
        <v>45926</v>
      </c>
      <c r="AE1023" s="23">
        <f>IF(DATA[[#This Row],[MONEDA]]="USD",VLOOKUP(DATA[[#This Row],[COMBINADA]],#REF!,11,0),1)</f>
        <v>1</v>
      </c>
      <c r="AF1023" s="129" t="str">
        <f>IF(DATA[[#This Row],[SERIE2]]="-","NO CORRESPONDE",IF(W1023="NO CORRESPONDE","NO CORRESPONDE",IF(Z1023&gt;0,"FACTURADO","PENDIENTE")))</f>
        <v>FACTURADO</v>
      </c>
      <c r="AG1023" s="133">
        <f>IFERROR(VLOOKUP(DATA[[#This Row],[COMBINADA]],#REF!,6,0),0)</f>
        <v>0</v>
      </c>
      <c r="AH1023" s="125">
        <f>IFERROR(VLOOKUP(DATA[[#This Row],[COMBINADA]],#REF!,9,0),0)/COUNTIFS(DATA[COMBINADA],DATA[[#This Row],[COMBINADA]])</f>
        <v>0</v>
      </c>
      <c r="AI1023" s="136">
        <f>IFERROR(VLOOKUP(DATA[[#This Row],[COMBINADA]],#REF!,6,0),0)</f>
        <v>0</v>
      </c>
      <c r="AJ1023" s="132">
        <f>IFERROR(VLOOKUP(DATA[[#This Row],[COMBINADA]],#REF!,9,0),0)/COUNTIFS(DATA[COMBINADA],DATA[[#This Row],[COMBINADA]])</f>
        <v>0</v>
      </c>
      <c r="AK1023" s="408">
        <f>IFERROR(VLOOKUP(DATA[[#This Row],[COMBINADA]],#REF!,6,0),0)</f>
        <v>0</v>
      </c>
      <c r="AL1023" s="125">
        <f>IFERROR(VLOOKUP(DATA[[#This Row],[COMBINADA]],#REF!,9,0),0)/COUNTIFS(DATA[COMBINADA],DATA[[#This Row],[COMBINADA]])</f>
        <v>0</v>
      </c>
      <c r="AM1023" s="147">
        <f>IFERROR(VLOOKUP(DATA[[#This Row],[COMBINADA]],#REF!,6,0),0)</f>
        <v>0</v>
      </c>
      <c r="AN1023" s="125">
        <f>IFERROR(VLOOKUP(DATA[[#This Row],[COMBINADA]],#REF!,9,0),0)/COUNTIFS(DATA[COMBINADA],DATA[[#This Row],[COMBINADA]])</f>
        <v>0</v>
      </c>
      <c r="AO1023" s="27">
        <f>IFERROR(VLOOKUP(DATA[[#This Row],[COMBINADA]],#REF!,6,0),0)</f>
        <v>0</v>
      </c>
      <c r="AP1023" s="132">
        <f>IFERROR(VLOOKUP(DATA[[#This Row],[COMBINADA]],#REF!,9,0),0)/COUNTIFS(DATA[COMBINADA],DATA[[#This Row],[COMBINADA]])</f>
        <v>0</v>
      </c>
      <c r="AQ102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1878.4266666666665</v>
      </c>
      <c r="AR1023" s="26" t="str">
        <f>IFERROR(IF(DATA[[#This Row],[estado_fact]]="FACTURADO",VLOOKUP(DATA[[#This Row],[SERIE2]]&amp;"-"&amp;DATA[[#This Row],[NUMERO]],#REF!,34,0),"NO CORRESPONDE"),"NO CORRESPONDE")</f>
        <v>NO CORRESPONDE</v>
      </c>
      <c r="AS1023" s="22" t="str">
        <f>IF(DATA[[#This Row],[fecha_fs]]&gt;0,TEXT(DATA[[#This Row],[fecha_fs]],"Mmmm"),0)</f>
        <v>Agosto</v>
      </c>
      <c r="AT1023" s="22" t="str">
        <f>DATA[[#This Row],[SERIE2]]&amp;"-"&amp;DATA[[#This Row],[NUMERO]]</f>
        <v>FF01-225</v>
      </c>
      <c r="AU1023" s="28">
        <f>DATA[[#This Row],[TOTAL]]*DATA[[#This Row],[T.C.]]</f>
        <v>5446.53</v>
      </c>
      <c r="AV1023" s="6">
        <f>DATA[[#This Row],[FECHA DE VAL.]]</f>
        <v>45898</v>
      </c>
      <c r="AW1023" s="6">
        <f>DATA[[#This Row],[FECHA DE EMISION]]</f>
        <v>45896</v>
      </c>
      <c r="AX1023" s="6">
        <f>DATA[[#This Row],[F1]]</f>
        <v>0</v>
      </c>
      <c r="AY1023" s="20">
        <f>IF(AV1023-DATA[[#This Row],[fecha_fs]]&lt;0,0,AV1023-DATA[[#This Row],[fecha_fs]])</f>
        <v>21</v>
      </c>
      <c r="AZ1023" s="20">
        <f t="shared" ref="AZ1023:AZ1025" si="147">IF(AW1023-AV1023&lt;0,0,AW1023-AV1023)</f>
        <v>0</v>
      </c>
      <c r="BA1023" s="53">
        <f t="shared" ref="BA1023:BA1025" si="148">IF(AX1023-AW1023&lt;0,0,AX1023-AW1023)</f>
        <v>0</v>
      </c>
      <c r="BB1023" s="195">
        <f>IFERROR(SUM(DATA[[#This Row],[fs_val_ttf]:[fact_pago_ttf]]),0)</f>
        <v>21</v>
      </c>
      <c r="BC1023" s="233">
        <v>45902</v>
      </c>
      <c r="BD1023" s="233">
        <v>45910</v>
      </c>
      <c r="BE1023" s="233">
        <v>45911</v>
      </c>
      <c r="BF1023" s="233">
        <v>45911</v>
      </c>
      <c r="BG1023" s="20">
        <f>IFERROR(IF(BC1023-DATA[[#This Row],[fecha_fs]]&lt;0,0,BC1023-DATA[[#This Row],[fecha_fs]]),0)</f>
        <v>25</v>
      </c>
      <c r="BH1023" s="20">
        <f t="shared" si="143"/>
        <v>8</v>
      </c>
      <c r="BI1023" s="20">
        <f t="shared" si="144"/>
        <v>1</v>
      </c>
      <c r="BJ1023" s="20">
        <f t="shared" si="145"/>
        <v>0</v>
      </c>
      <c r="BK1023" s="282">
        <f>IFERROR(SUM(DATA[[#This Row],[fs_fd_ttd]:[fend_fenf_ttd]]),0)</f>
        <v>34</v>
      </c>
      <c r="BL1023" s="20" t="str">
        <f>IF(DATA[[#This Row],[fecha_fs]]&gt;0,TEXT(DATA[[#This Row],[fecha_fs]],"YYYY"),0)</f>
        <v>2025</v>
      </c>
      <c r="BM1023" s="236" t="b">
        <v>1</v>
      </c>
      <c r="BN1023" s="278">
        <f>COUNTIF(DATA[[#This Row],[tiempo_td]], "&lt;=15")</f>
        <v>0</v>
      </c>
      <c r="BO1023" s="222"/>
    </row>
    <row r="1024" spans="1:67" ht="30.6" customHeight="1" x14ac:dyDescent="0.25">
      <c r="A1024" s="4"/>
      <c r="B1024" s="5" t="s">
        <v>0</v>
      </c>
      <c r="C1024" s="52"/>
      <c r="D1024" s="4"/>
      <c r="E1024" s="5" t="s">
        <v>0</v>
      </c>
      <c r="F1024" s="24">
        <v>45877</v>
      </c>
      <c r="G1024" s="7" t="s">
        <v>113</v>
      </c>
      <c r="H1024" s="25">
        <f t="shared" si="146"/>
        <v>1</v>
      </c>
      <c r="I1024" s="67">
        <v>4843</v>
      </c>
      <c r="J1024" s="8" t="s">
        <v>151</v>
      </c>
      <c r="K1024" s="9"/>
      <c r="L1024" s="10"/>
      <c r="M1024" s="111"/>
      <c r="N1024" s="112"/>
      <c r="O1024" s="6"/>
      <c r="P1024" s="13"/>
      <c r="Q1024" s="14"/>
      <c r="R1024" s="15"/>
      <c r="S1024" s="15"/>
      <c r="T1024" s="237">
        <f>DATA[[#This Row],[C. DF]]+DATA[[#This Row],[C.OPE.]]</f>
        <v>0</v>
      </c>
      <c r="U1024" s="56">
        <f>DATA[[#This Row],[SUB TOTAL]]*0.18</f>
        <v>0</v>
      </c>
      <c r="V1024" s="56">
        <f>IFERROR(ROUND(DATA[[#This Row],[SUB TOTAL]]+DATA[[#This Row],[IGV]],2),0)</f>
        <v>0</v>
      </c>
      <c r="W1024" s="73" t="str">
        <f>IF(DATA[[#This Row],[VALORIZACIÓN ]]="-","NO CORRESPONDE",IF(OR(A1024=20558226979,A1024=10470707866,A1024=20111157058,A1024=20100226902),"NO CORRESPONDE",IF(J1024="Emitida",IF(P1024&gt;0,"EMITIDA","PENDIENTE"),"NO CORRESPONDE")))</f>
        <v>NO CORRESPONDE</v>
      </c>
      <c r="X1024" s="46"/>
      <c r="Y1024" s="17" t="s">
        <v>128</v>
      </c>
      <c r="Z1024" s="48"/>
      <c r="AA1024" s="49"/>
      <c r="AB1024" s="50"/>
      <c r="AC1024" s="51"/>
      <c r="AD1024" s="59">
        <f>DATA[[#This Row],[FECHA DE EMISION]]+DATA[[#This Row],[CONDICION DE PAGO]]</f>
        <v>0</v>
      </c>
      <c r="AE1024" s="23">
        <f>IF(DATA[[#This Row],[MONEDA]]="USD",VLOOKUP(DATA[[#This Row],[COMBINADA]],#REF!,11,0),1)</f>
        <v>1</v>
      </c>
      <c r="AF1024" s="129" t="str">
        <f>IF(DATA[[#This Row],[SERIE2]]="-","NO CORRESPONDE",IF(W1024="NO CORRESPONDE","NO CORRESPONDE",IF(Z1024&gt;0,"FACTURADO","PENDIENTE")))</f>
        <v>NO CORRESPONDE</v>
      </c>
      <c r="AG1024" s="208">
        <f>IFERROR(VLOOKUP(DATA[[#This Row],[COMBINADA]],#REF!,6,0),0)</f>
        <v>0</v>
      </c>
      <c r="AH1024" s="209">
        <f>IFERROR(VLOOKUP(DATA[[#This Row],[COMBINADA]],#REF!,9,0),0)/COUNTIFS(DATA[COMBINADA],DATA[[#This Row],[COMBINADA]])</f>
        <v>0</v>
      </c>
      <c r="AI1024" s="140">
        <f>IFERROR(VLOOKUP(DATA[[#This Row],[COMBINADA]],#REF!,6,0),0)</f>
        <v>0</v>
      </c>
      <c r="AJ1024" s="126">
        <f>IFERROR(VLOOKUP(DATA[[#This Row],[COMBINADA]],#REF!,9,0),0)/COUNTIFS(DATA[COMBINADA],DATA[[#This Row],[COMBINADA]])</f>
        <v>0</v>
      </c>
      <c r="AK1024" s="61">
        <f>IFERROR(VLOOKUP(DATA[[#This Row],[COMBINADA]],#REF!,6,0),0)</f>
        <v>0</v>
      </c>
      <c r="AL1024" s="126">
        <f>IFERROR(VLOOKUP(DATA[[#This Row],[COMBINADA]],#REF!,9,0),0)/COUNTIFS(DATA[COMBINADA],DATA[[#This Row],[COMBINADA]])</f>
        <v>0</v>
      </c>
      <c r="AM1024" s="61">
        <f>IFERROR(VLOOKUP(DATA[[#This Row],[COMBINADA]],#REF!,6,0),0)</f>
        <v>0</v>
      </c>
      <c r="AN1024" s="62">
        <f>IFERROR(VLOOKUP(DATA[[#This Row],[COMBINADA]],#REF!,9,0),0)/COUNTIFS(DATA[COMBINADA],DATA[[#This Row],[COMBINADA]])</f>
        <v>0</v>
      </c>
      <c r="AO1024" s="61">
        <f>IFERROR(VLOOKUP(DATA[[#This Row],[COMBINADA]],#REF!,6,0),0)</f>
        <v>0</v>
      </c>
      <c r="AP1024" s="62">
        <f>IFERROR(VLOOKUP(DATA[[#This Row],[COMBINADA]],#REF!,9,0),0)/COUNTIFS(DATA[COMBINADA],DATA[[#This Row],[COMBINADA]])</f>
        <v>0</v>
      </c>
      <c r="AQ1024"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024" s="22" t="str">
        <f>IFERROR(IF(DATA[[#This Row],[estado_fact]]="FACTURADO",VLOOKUP(DATA[[#This Row],[SERIE2]]&amp;"-"&amp;DATA[[#This Row],[NUMERO]],#REF!,34,0),"NO CORRESPONDE"),"NO CORRESPONDE")</f>
        <v>NO CORRESPONDE</v>
      </c>
      <c r="AS1024" s="198" t="str">
        <f>IF(DATA[[#This Row],[fecha_fs]]&gt;0,TEXT(DATA[[#This Row],[fecha_fs]],"Mmmm"),0)</f>
        <v>Agosto</v>
      </c>
      <c r="AT1024" s="199" t="str">
        <f>DATA[[#This Row],[SERIE2]]&amp;"-"&amp;DATA[[#This Row],[NUMERO]]</f>
        <v>-</v>
      </c>
      <c r="AU1024" s="198">
        <f>DATA[[#This Row],[TOTAL]]*DATA[[#This Row],[T.C.]]</f>
        <v>0</v>
      </c>
      <c r="AV1024" s="40">
        <f>DATA[[#This Row],[FECHA DE VAL.]]</f>
        <v>0</v>
      </c>
      <c r="AW1024" s="40">
        <f>DATA[[#This Row],[FECHA DE EMISION]]</f>
        <v>0</v>
      </c>
      <c r="AX1024" s="40">
        <f>DATA[[#This Row],[F1]]</f>
        <v>0</v>
      </c>
      <c r="AY1024" s="49">
        <f>IF(AV1024-DATA[[#This Row],[fecha_fs]]&lt;0,0,AV1024-DATA[[#This Row],[fecha_fs]])</f>
        <v>0</v>
      </c>
      <c r="AZ1024" s="49">
        <f t="shared" si="147"/>
        <v>0</v>
      </c>
      <c r="BA1024" s="49">
        <f t="shared" si="148"/>
        <v>0</v>
      </c>
      <c r="BB1024" s="195">
        <f>IFERROR(SUM(DATA[[#This Row],[fs_val_ttf]:[fact_pago_ttf]]),0)</f>
        <v>0</v>
      </c>
      <c r="BC1024" s="276"/>
      <c r="BD1024" s="276"/>
      <c r="BE1024" s="276"/>
      <c r="BF1024" s="276"/>
      <c r="BG1024" s="49">
        <f>IFERROR(IF(BC1024-DATA[[#This Row],[fecha_fs]]&lt;0,0,BC1024-DATA[[#This Row],[fecha_fs]]),0)</f>
        <v>0</v>
      </c>
      <c r="BH1024" s="49">
        <f t="shared" si="143"/>
        <v>0</v>
      </c>
      <c r="BI1024" s="49">
        <f t="shared" si="144"/>
        <v>0</v>
      </c>
      <c r="BJ1024" s="49">
        <f t="shared" si="145"/>
        <v>0</v>
      </c>
      <c r="BK1024" s="282">
        <f>IFERROR(SUM(DATA[[#This Row],[fs_fd_ttd]:[fend_fenf_ttd]]),0)</f>
        <v>0</v>
      </c>
      <c r="BL1024" s="20" t="str">
        <f>IF(DATA[[#This Row],[fecha_fs]]&gt;0,TEXT(DATA[[#This Row],[fecha_fs]],"YYYY"),0)</f>
        <v>2025</v>
      </c>
      <c r="BM1024" s="221" t="b">
        <v>0</v>
      </c>
      <c r="BN1024" s="278"/>
      <c r="BO1024" s="222"/>
    </row>
    <row r="1025" spans="1:67" ht="30.6" customHeight="1" x14ac:dyDescent="0.25">
      <c r="A1025" s="4">
        <v>20454186002</v>
      </c>
      <c r="B1025" s="5" t="s">
        <v>25</v>
      </c>
      <c r="C1025" s="52" t="s">
        <v>18</v>
      </c>
      <c r="D1025" s="4" t="s">
        <v>120</v>
      </c>
      <c r="E1025" s="5" t="s">
        <v>3</v>
      </c>
      <c r="F1025" s="24">
        <v>45877</v>
      </c>
      <c r="G1025" s="7" t="s">
        <v>113</v>
      </c>
      <c r="H1025" s="25">
        <f t="shared" si="146"/>
        <v>1</v>
      </c>
      <c r="I1025" s="67">
        <v>4844</v>
      </c>
      <c r="J1025" s="8" t="s">
        <v>115</v>
      </c>
      <c r="K1025" s="9" t="s">
        <v>121</v>
      </c>
      <c r="L1025" s="10" t="s">
        <v>117</v>
      </c>
      <c r="M1025" s="11">
        <v>3920</v>
      </c>
      <c r="N1025" s="12" t="s">
        <v>135</v>
      </c>
      <c r="O1025" s="6">
        <v>45880</v>
      </c>
      <c r="P1025" s="13">
        <v>3596</v>
      </c>
      <c r="Q1025" s="14" t="s">
        <v>85</v>
      </c>
      <c r="R1025" s="15">
        <f>1485.02+((DATA[[#This Row],[cantidad_fs]]-3000)*0.49)</f>
        <v>1935.82</v>
      </c>
      <c r="S1025" s="15"/>
      <c r="T1025" s="237">
        <f>DATA[[#This Row],[C. DF]]+DATA[[#This Row],[C.OPE.]]</f>
        <v>1935.82</v>
      </c>
      <c r="U1025" s="15">
        <f>DATA[[#This Row],[SUB TOTAL]]*0.18</f>
        <v>348.44759999999997</v>
      </c>
      <c r="V1025" s="15">
        <f>IFERROR(ROUND(DATA[[#This Row],[SUB TOTAL]]+DATA[[#This Row],[IGV]],2),0)</f>
        <v>2284.27</v>
      </c>
      <c r="W1025" s="16" t="str">
        <f>IF(DATA[[#This Row],[VALORIZACIÓN ]]="-","NO CORRESPONDE",IF(OR(A1025=20558226979,A1025=10470707866,A1025=20111157058,A1025=20100226902),"NO CORRESPONDE",IF(J1025="Emitida",IF(P1025&gt;0,"EMITIDA","PENDIENTE"),"NO CORRESPONDE")))</f>
        <v>EMITIDA</v>
      </c>
      <c r="X1025" s="29"/>
      <c r="Y1025" s="17" t="s">
        <v>118</v>
      </c>
      <c r="Z1025" s="30">
        <v>45883</v>
      </c>
      <c r="AA1025" s="10" t="s">
        <v>150</v>
      </c>
      <c r="AB1025" s="19">
        <v>207</v>
      </c>
      <c r="AC1025" s="20">
        <v>7</v>
      </c>
      <c r="AD1025" s="18">
        <f>DATA[[#This Row],[FECHA DE EMISION]]+DATA[[#This Row],[CONDICION DE PAGO]]</f>
        <v>45890</v>
      </c>
      <c r="AE1025" s="23">
        <f>IF(DATA[[#This Row],[MONEDA]]="USD",VLOOKUP(DATA[[#This Row],[COMBINADA]],#REF!,11,0),1)</f>
        <v>1</v>
      </c>
      <c r="AF1025" s="129" t="str">
        <f>IF(DATA[[#This Row],[SERIE2]]="-","NO CORRESPONDE",IF(W1025="NO CORRESPONDE","NO CORRESPONDE",IF(Z1025&gt;0,"FACTURADO","PENDIENTE")))</f>
        <v>FACTURADO</v>
      </c>
      <c r="AG1025" s="133">
        <f>IFERROR(VLOOKUP(DATA[[#This Row],[COMBINADA]],#REF!,6,0),0)</f>
        <v>0</v>
      </c>
      <c r="AH1025" s="125">
        <f>IFERROR(VLOOKUP(DATA[[#This Row],[COMBINADA]],#REF!,9,0),0)/COUNTIFS(DATA[COMBINADA],DATA[[#This Row],[COMBINADA]])</f>
        <v>0</v>
      </c>
      <c r="AI1025" s="136">
        <f>IFERROR(VLOOKUP(DATA[[#This Row],[COMBINADA]],#REF!,6,0),0)</f>
        <v>0</v>
      </c>
      <c r="AJ1025" s="132">
        <f>IFERROR(VLOOKUP(DATA[[#This Row],[COMBINADA]],#REF!,9,0),0)/COUNTIFS(DATA[COMBINADA],DATA[[#This Row],[COMBINADA]])</f>
        <v>0</v>
      </c>
      <c r="AK1025" s="408">
        <f>IFERROR(VLOOKUP(DATA[[#This Row],[COMBINADA]],#REF!,6,0),0)</f>
        <v>0</v>
      </c>
      <c r="AL1025" s="125">
        <f>IFERROR(VLOOKUP(DATA[[#This Row],[COMBINADA]],#REF!,9,0),0)/COUNTIFS(DATA[COMBINADA],DATA[[#This Row],[COMBINADA]])</f>
        <v>0</v>
      </c>
      <c r="AM1025" s="147">
        <f>IFERROR(VLOOKUP(DATA[[#This Row],[COMBINADA]],#REF!,6,0),0)</f>
        <v>0</v>
      </c>
      <c r="AN1025" s="125">
        <f>IFERROR(VLOOKUP(DATA[[#This Row],[COMBINADA]],#REF!,9,0),0)/COUNTIFS(DATA[COMBINADA],DATA[[#This Row],[COMBINADA]])</f>
        <v>0</v>
      </c>
      <c r="AO1025" s="27">
        <f>IFERROR(VLOOKUP(DATA[[#This Row],[COMBINADA]],#REF!,6,0),0)</f>
        <v>0</v>
      </c>
      <c r="AP1025" s="132">
        <f>IFERROR(VLOOKUP(DATA[[#This Row],[COMBINADA]],#REF!,9,0),0)/COUNTIFS(DATA[COMBINADA],DATA[[#This Row],[COMBINADA]])</f>
        <v>0</v>
      </c>
      <c r="AQ102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2284.27</v>
      </c>
      <c r="AR1025" s="26" t="str">
        <f>IFERROR(IF(DATA[[#This Row],[estado_fact]]="FACTURADO",VLOOKUP(DATA[[#This Row],[SERIE2]]&amp;"-"&amp;DATA[[#This Row],[NUMERO]],#REF!,34,0),"NO CORRESPONDE"),"NO CORRESPONDE")</f>
        <v>NO CORRESPONDE</v>
      </c>
      <c r="AS1025" s="22" t="str">
        <f>IF(DATA[[#This Row],[fecha_fs]]&gt;0,TEXT(DATA[[#This Row],[fecha_fs]],"Mmmm"),0)</f>
        <v>Agosto</v>
      </c>
      <c r="AT1025" s="22" t="str">
        <f>DATA[[#This Row],[SERIE2]]&amp;"-"&amp;DATA[[#This Row],[NUMERO]]</f>
        <v>FF01-207</v>
      </c>
      <c r="AU1025" s="28">
        <f>DATA[[#This Row],[TOTAL]]*DATA[[#This Row],[T.C.]]</f>
        <v>2284.27</v>
      </c>
      <c r="AV1025" s="6">
        <f>DATA[[#This Row],[FECHA DE VAL.]]</f>
        <v>45880</v>
      </c>
      <c r="AW1025" s="6">
        <f>DATA[[#This Row],[FECHA DE EMISION]]</f>
        <v>45883</v>
      </c>
      <c r="AX1025" s="6">
        <f>DATA[[#This Row],[F1]]</f>
        <v>0</v>
      </c>
      <c r="AY1025" s="20">
        <f>IF(AV1025-DATA[[#This Row],[fecha_fs]]&lt;0,0,AV1025-DATA[[#This Row],[fecha_fs]])</f>
        <v>3</v>
      </c>
      <c r="AZ1025" s="20">
        <f t="shared" si="147"/>
        <v>3</v>
      </c>
      <c r="BA1025" s="53">
        <f t="shared" si="148"/>
        <v>0</v>
      </c>
      <c r="BB1025" s="195">
        <f>IFERROR(SUM(DATA[[#This Row],[fs_val_ttf]:[fact_pago_ttf]]),0)</f>
        <v>6</v>
      </c>
      <c r="BC1025" s="233">
        <v>45877</v>
      </c>
      <c r="BD1025" s="233">
        <v>45891</v>
      </c>
      <c r="BE1025" s="233">
        <v>45898</v>
      </c>
      <c r="BF1025" s="233">
        <v>45908</v>
      </c>
      <c r="BG1025" s="20">
        <f>IFERROR(IF(BC1025-DATA[[#This Row],[fecha_fs]]&lt;0,0,BC1025-DATA[[#This Row],[fecha_fs]]),0)</f>
        <v>0</v>
      </c>
      <c r="BH1025" s="20">
        <f t="shared" si="143"/>
        <v>14</v>
      </c>
      <c r="BI1025" s="20">
        <f t="shared" si="144"/>
        <v>7</v>
      </c>
      <c r="BJ1025" s="20">
        <f t="shared" si="145"/>
        <v>10</v>
      </c>
      <c r="BK1025" s="282">
        <f>IFERROR(SUM(DATA[[#This Row],[fs_fd_ttd]:[fend_fenf_ttd]]),0)</f>
        <v>31</v>
      </c>
      <c r="BL1025" s="20" t="str">
        <f>IF(DATA[[#This Row],[fecha_fs]]&gt;0,TEXT(DATA[[#This Row],[fecha_fs]],"YYYY"),0)</f>
        <v>2025</v>
      </c>
      <c r="BM1025" s="236" t="b">
        <v>1</v>
      </c>
      <c r="BN1025" s="278">
        <f>COUNTIF(DATA[[#This Row],[tiempo_td]], "&lt;=15")</f>
        <v>0</v>
      </c>
      <c r="BO1025" s="222"/>
    </row>
    <row r="1026" spans="1:67" ht="30.6" customHeight="1" x14ac:dyDescent="0.25">
      <c r="A1026" s="4">
        <v>20141637941</v>
      </c>
      <c r="B1026" s="5" t="s">
        <v>79</v>
      </c>
      <c r="C1026" s="52" t="s">
        <v>18</v>
      </c>
      <c r="D1026" s="4" t="s">
        <v>120</v>
      </c>
      <c r="E1026" s="5" t="s">
        <v>3</v>
      </c>
      <c r="F1026" s="24">
        <v>45880</v>
      </c>
      <c r="G1026" s="7" t="s">
        <v>113</v>
      </c>
      <c r="H1026" s="25">
        <f t="shared" ref="H1026:H1030" si="149">IF(G1026="","",IF(G1026="LIM",2,1))</f>
        <v>1</v>
      </c>
      <c r="I1026" s="67">
        <v>4845</v>
      </c>
      <c r="J1026" s="8" t="s">
        <v>115</v>
      </c>
      <c r="K1026" s="9" t="s">
        <v>121</v>
      </c>
      <c r="L1026" s="10" t="s">
        <v>117</v>
      </c>
      <c r="M1026" s="11">
        <v>530</v>
      </c>
      <c r="N1026" s="12" t="s">
        <v>125</v>
      </c>
      <c r="O1026" s="6">
        <v>45898</v>
      </c>
      <c r="P1026" s="110">
        <v>3641</v>
      </c>
      <c r="Q1026" s="14" t="s">
        <v>85</v>
      </c>
      <c r="R1026" s="15">
        <v>80</v>
      </c>
      <c r="S1026" s="15">
        <v>832</v>
      </c>
      <c r="T1026" s="237">
        <f>DATA[[#This Row],[C. DF]]+DATA[[#This Row],[C.OPE.]]</f>
        <v>912</v>
      </c>
      <c r="U1026" s="15">
        <f>DATA[[#This Row],[SUB TOTAL]]*0.18</f>
        <v>164.16</v>
      </c>
      <c r="V1026" s="15">
        <f>IFERROR(ROUND(DATA[[#This Row],[SUB TOTAL]]+DATA[[#This Row],[IGV]],2),0)</f>
        <v>1076.1600000000001</v>
      </c>
      <c r="W1026" s="16" t="str">
        <f>IF(DATA[[#This Row],[VALORIZACIÓN ]]="-","NO CORRESPONDE",IF(OR(A1026=20558226979,A1026=10470707866,A1026=20111157058,A1026=20100226902),"NO CORRESPONDE",IF(J1026="Emitida",IF(P1026&gt;0,"EMITIDA","PENDIENTE"),"NO CORRESPONDE")))</f>
        <v>EMITIDA</v>
      </c>
      <c r="X1026" s="29"/>
      <c r="Y1026" s="17" t="s">
        <v>118</v>
      </c>
      <c r="Z1026" s="30">
        <v>45901</v>
      </c>
      <c r="AA1026" s="10" t="s">
        <v>150</v>
      </c>
      <c r="AB1026" s="19">
        <v>231</v>
      </c>
      <c r="AC1026" s="20">
        <v>30</v>
      </c>
      <c r="AD1026" s="18">
        <f>DATA[[#This Row],[FECHA DE EMISION]]+DATA[[#This Row],[CONDICION DE PAGO]]</f>
        <v>45931</v>
      </c>
      <c r="AE1026" s="23">
        <f>IF(DATA[[#This Row],[MONEDA]]="USD",VLOOKUP(DATA[[#This Row],[COMBINADA]],#REF!,11,0),1)</f>
        <v>1</v>
      </c>
      <c r="AF1026" s="129" t="str">
        <f>IF(DATA[[#This Row],[SERIE2]]="-","NO CORRESPONDE",IF(W1026="NO CORRESPONDE","NO CORRESPONDE",IF(Z1026&gt;0,"FACTURADO","PENDIENTE")))</f>
        <v>FACTURADO</v>
      </c>
      <c r="AG1026" s="133">
        <f>IFERROR(VLOOKUP(DATA[[#This Row],[COMBINADA]],#REF!,6,0),0)</f>
        <v>0</v>
      </c>
      <c r="AH1026" s="125">
        <f>IFERROR(VLOOKUP(DATA[[#This Row],[COMBINADA]],#REF!,9,0),0)/COUNTIFS(DATA[COMBINADA],DATA[[#This Row],[COMBINADA]])</f>
        <v>0</v>
      </c>
      <c r="AI1026" s="136">
        <f>IFERROR(VLOOKUP(DATA[[#This Row],[COMBINADA]],#REF!,6,0),0)</f>
        <v>0</v>
      </c>
      <c r="AJ1026" s="132">
        <f>IFERROR(VLOOKUP(DATA[[#This Row],[COMBINADA]],#REF!,9,0),0)/COUNTIFS(DATA[COMBINADA],DATA[[#This Row],[COMBINADA]])</f>
        <v>0</v>
      </c>
      <c r="AK1026" s="408">
        <f>IFERROR(VLOOKUP(DATA[[#This Row],[COMBINADA]],#REF!,6,0),0)</f>
        <v>0</v>
      </c>
      <c r="AL1026" s="125">
        <f>IFERROR(VLOOKUP(DATA[[#This Row],[COMBINADA]],#REF!,9,0),0)/COUNTIFS(DATA[COMBINADA],DATA[[#This Row],[COMBINADA]])</f>
        <v>0</v>
      </c>
      <c r="AM1026" s="147">
        <f>IFERROR(VLOOKUP(DATA[[#This Row],[COMBINADA]],#REF!,6,0),0)</f>
        <v>0</v>
      </c>
      <c r="AN1026" s="125">
        <f>IFERROR(VLOOKUP(DATA[[#This Row],[COMBINADA]],#REF!,9,0),0)/COUNTIFS(DATA[COMBINADA],DATA[[#This Row],[COMBINADA]])</f>
        <v>0</v>
      </c>
      <c r="AO1026" s="27">
        <f>IFERROR(VLOOKUP(DATA[[#This Row],[COMBINADA]],#REF!,6,0),0)</f>
        <v>0</v>
      </c>
      <c r="AP1026" s="132">
        <f>IFERROR(VLOOKUP(DATA[[#This Row],[COMBINADA]],#REF!,9,0),0)/COUNTIFS(DATA[COMBINADA],DATA[[#This Row],[COMBINADA]])</f>
        <v>0</v>
      </c>
      <c r="AQ102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1088.19625</v>
      </c>
      <c r="AR1026" s="26" t="str">
        <f>IFERROR(IF(DATA[[#This Row],[estado_fact]]="FACTURADO",VLOOKUP(DATA[[#This Row],[SERIE2]]&amp;"-"&amp;DATA[[#This Row],[NUMERO]],#REF!,34,0),"NO CORRESPONDE"),"NO CORRESPONDE")</f>
        <v>NO CORRESPONDE</v>
      </c>
      <c r="AS1026" s="22" t="str">
        <f>IF(DATA[[#This Row],[fecha_fs]]&gt;0,TEXT(DATA[[#This Row],[fecha_fs]],"Mmmm"),0)</f>
        <v>Agosto</v>
      </c>
      <c r="AT1026" s="22" t="str">
        <f>DATA[[#This Row],[SERIE2]]&amp;"-"&amp;DATA[[#This Row],[NUMERO]]</f>
        <v>FF01-231</v>
      </c>
      <c r="AU1026" s="28">
        <f>DATA[[#This Row],[TOTAL]]*DATA[[#This Row],[T.C.]]</f>
        <v>1076.1600000000001</v>
      </c>
      <c r="AV1026" s="6">
        <f>DATA[[#This Row],[FECHA DE VAL.]]</f>
        <v>45898</v>
      </c>
      <c r="AW1026" s="6">
        <f>DATA[[#This Row],[FECHA DE EMISION]]</f>
        <v>45901</v>
      </c>
      <c r="AX1026" s="6">
        <f>DATA[[#This Row],[F1]]</f>
        <v>0</v>
      </c>
      <c r="AY1026" s="20">
        <f>IF(AV1026-DATA[[#This Row],[fecha_fs]]&lt;0,0,AV1026-DATA[[#This Row],[fecha_fs]])</f>
        <v>18</v>
      </c>
      <c r="AZ1026" s="20">
        <f t="shared" ref="AZ1026:AZ1030" si="150">IF(AW1026-AV1026&lt;0,0,AW1026-AV1026)</f>
        <v>3</v>
      </c>
      <c r="BA1026" s="53">
        <f t="shared" ref="BA1026:BA1030" si="151">IF(AX1026-AW1026&lt;0,0,AX1026-AW1026)</f>
        <v>0</v>
      </c>
      <c r="BB1026" s="195">
        <f>IFERROR(SUM(DATA[[#This Row],[fs_val_ttf]:[fact_pago_ttf]]),0)</f>
        <v>21</v>
      </c>
      <c r="BC1026" s="233">
        <v>45880</v>
      </c>
      <c r="BD1026" s="233">
        <v>45891</v>
      </c>
      <c r="BE1026" s="233">
        <v>45901</v>
      </c>
      <c r="BF1026" s="233">
        <v>45904</v>
      </c>
      <c r="BG1026" s="20">
        <f>IFERROR(IF(BC1026-DATA[[#This Row],[fecha_fs]]&lt;0,0,BC1026-DATA[[#This Row],[fecha_fs]]),0)</f>
        <v>0</v>
      </c>
      <c r="BH1026" s="20">
        <f t="shared" si="143"/>
        <v>11</v>
      </c>
      <c r="BI1026" s="20">
        <f t="shared" si="144"/>
        <v>10</v>
      </c>
      <c r="BJ1026" s="20">
        <f t="shared" si="145"/>
        <v>3</v>
      </c>
      <c r="BK1026" s="282">
        <f>IFERROR(SUM(DATA[[#This Row],[fs_fd_ttd]:[fend_fenf_ttd]]),0)</f>
        <v>24</v>
      </c>
      <c r="BL1026" s="20" t="str">
        <f>IF(DATA[[#This Row],[fecha_fs]]&gt;0,TEXT(DATA[[#This Row],[fecha_fs]],"YYYY"),0)</f>
        <v>2025</v>
      </c>
      <c r="BM1026" s="236" t="b">
        <v>1</v>
      </c>
      <c r="BN1026" s="278">
        <f>COUNTIF(DATA[[#This Row],[tiempo_td]], "&lt;=15")</f>
        <v>0</v>
      </c>
      <c r="BO1026" s="222"/>
    </row>
    <row r="1027" spans="1:67" ht="30.6" customHeight="1" x14ac:dyDescent="0.25">
      <c r="A1027" s="4">
        <v>20454186002</v>
      </c>
      <c r="B1027" s="5" t="s">
        <v>25</v>
      </c>
      <c r="C1027" s="52" t="s">
        <v>18</v>
      </c>
      <c r="D1027" s="4" t="s">
        <v>112</v>
      </c>
      <c r="E1027" s="5" t="s">
        <v>1</v>
      </c>
      <c r="F1027" s="24">
        <v>45877</v>
      </c>
      <c r="G1027" s="7" t="s">
        <v>113</v>
      </c>
      <c r="H1027" s="25">
        <f t="shared" si="149"/>
        <v>1</v>
      </c>
      <c r="I1027" s="67">
        <v>4846</v>
      </c>
      <c r="J1027" s="8" t="s">
        <v>115</v>
      </c>
      <c r="K1027" s="9" t="s">
        <v>116</v>
      </c>
      <c r="L1027" s="10" t="s">
        <v>117</v>
      </c>
      <c r="M1027" s="11">
        <v>240</v>
      </c>
      <c r="N1027" s="12" t="s">
        <v>135</v>
      </c>
      <c r="O1027" s="6"/>
      <c r="P1027" s="13" t="s">
        <v>114</v>
      </c>
      <c r="Q1027" s="14"/>
      <c r="R1027" s="15"/>
      <c r="S1027" s="15"/>
      <c r="T1027" s="237">
        <f>DATA[[#This Row],[C. DF]]+DATA[[#This Row],[C.OPE.]]</f>
        <v>0</v>
      </c>
      <c r="U1027" s="15">
        <f>DATA[[#This Row],[SUB TOTAL]]*0.18</f>
        <v>0</v>
      </c>
      <c r="V1027" s="15">
        <f>IFERROR(ROUND(DATA[[#This Row],[SUB TOTAL]]+DATA[[#This Row],[IGV]],2),0)</f>
        <v>0</v>
      </c>
      <c r="W1027" s="16" t="str">
        <f>IF(DATA[[#This Row],[VALORIZACIÓN ]]="-","NO CORRESPONDE",IF(OR(A1027=20558226979,A1027=10470707866,A1027=20111157058,A1027=20100226902),"NO CORRESPONDE",IF(J1027="Emitida",IF(P1027&gt;0,"EMITIDA","PENDIENTE"),"NO CORRESPONDE")))</f>
        <v>NO CORRESPONDE</v>
      </c>
      <c r="X1027" s="29" t="s">
        <v>314</v>
      </c>
      <c r="Y1027" s="17" t="s">
        <v>128</v>
      </c>
      <c r="Z1027" s="30"/>
      <c r="AA1027" s="10"/>
      <c r="AB1027" s="19"/>
      <c r="AC1027" s="20"/>
      <c r="AD1027" s="18">
        <f>DATA[[#This Row],[FECHA DE EMISION]]+DATA[[#This Row],[CONDICION DE PAGO]]</f>
        <v>0</v>
      </c>
      <c r="AE1027" s="23">
        <f>IF(DATA[[#This Row],[MONEDA]]="USD",VLOOKUP(DATA[[#This Row],[COMBINADA]],#REF!,11,0),1)</f>
        <v>1</v>
      </c>
      <c r="AF1027" s="129" t="str">
        <f>IF(DATA[[#This Row],[SERIE2]]="-","NO CORRESPONDE",IF(W1027="NO CORRESPONDE","NO CORRESPONDE",IF(Z1027&gt;0,"FACTURADO","PENDIENTE")))</f>
        <v>NO CORRESPONDE</v>
      </c>
      <c r="AG1027" s="133">
        <f>IFERROR(VLOOKUP(DATA[[#This Row],[COMBINADA]],#REF!,6,0),0)</f>
        <v>0</v>
      </c>
      <c r="AH1027" s="125">
        <f>IFERROR(VLOOKUP(DATA[[#This Row],[COMBINADA]],#REF!,9,0),0)/COUNTIFS(DATA[COMBINADA],DATA[[#This Row],[COMBINADA]])</f>
        <v>0</v>
      </c>
      <c r="AI1027" s="136">
        <f>IFERROR(VLOOKUP(DATA[[#This Row],[COMBINADA]],#REF!,6,0),0)</f>
        <v>0</v>
      </c>
      <c r="AJ1027" s="132">
        <f>IFERROR(VLOOKUP(DATA[[#This Row],[COMBINADA]],#REF!,9,0),0)/COUNTIFS(DATA[COMBINADA],DATA[[#This Row],[COMBINADA]])</f>
        <v>0</v>
      </c>
      <c r="AK1027" s="408">
        <f>IFERROR(VLOOKUP(DATA[[#This Row],[COMBINADA]],#REF!,6,0),0)</f>
        <v>0</v>
      </c>
      <c r="AL1027" s="125">
        <f>IFERROR(VLOOKUP(DATA[[#This Row],[COMBINADA]],#REF!,9,0),0)/COUNTIFS(DATA[COMBINADA],DATA[[#This Row],[COMBINADA]])</f>
        <v>0</v>
      </c>
      <c r="AM1027" s="147">
        <f>IFERROR(VLOOKUP(DATA[[#This Row],[COMBINADA]],#REF!,6,0),0)</f>
        <v>0</v>
      </c>
      <c r="AN1027" s="125">
        <f>IFERROR(VLOOKUP(DATA[[#This Row],[COMBINADA]],#REF!,9,0),0)/COUNTIFS(DATA[COMBINADA],DATA[[#This Row],[COMBINADA]])</f>
        <v>0</v>
      </c>
      <c r="AO1027" s="27">
        <f>IFERROR(VLOOKUP(DATA[[#This Row],[COMBINADA]],#REF!,6,0),0)</f>
        <v>0</v>
      </c>
      <c r="AP1027" s="132">
        <f>IFERROR(VLOOKUP(DATA[[#This Row],[COMBINADA]],#REF!,9,0),0)/COUNTIFS(DATA[COMBINADA],DATA[[#This Row],[COMBINADA]])</f>
        <v>0</v>
      </c>
      <c r="AQ102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027" s="26" t="str">
        <f>IFERROR(IF(DATA[[#This Row],[estado_fact]]="FACTURADO",VLOOKUP(DATA[[#This Row],[SERIE2]]&amp;"-"&amp;DATA[[#This Row],[NUMERO]],#REF!,34,0),"NO CORRESPONDE"),"NO CORRESPONDE")</f>
        <v>NO CORRESPONDE</v>
      </c>
      <c r="AS1027" s="22" t="str">
        <f>IF(DATA[[#This Row],[fecha_fs]]&gt;0,TEXT(DATA[[#This Row],[fecha_fs]],"Mmmm"),0)</f>
        <v>Agosto</v>
      </c>
      <c r="AT1027" s="22" t="str">
        <f>DATA[[#This Row],[SERIE2]]&amp;"-"&amp;DATA[[#This Row],[NUMERO]]</f>
        <v>-</v>
      </c>
      <c r="AU1027" s="28">
        <f>DATA[[#This Row],[TOTAL]]*DATA[[#This Row],[T.C.]]</f>
        <v>0</v>
      </c>
      <c r="AV1027" s="6">
        <f>DATA[[#This Row],[FECHA DE VAL.]]</f>
        <v>0</v>
      </c>
      <c r="AW1027" s="6">
        <f>DATA[[#This Row],[FECHA DE EMISION]]</f>
        <v>0</v>
      </c>
      <c r="AX1027" s="6">
        <f>DATA[[#This Row],[F1]]</f>
        <v>0</v>
      </c>
      <c r="AY1027" s="20">
        <f>IF(AV1027-DATA[[#This Row],[fecha_fs]]&lt;0,0,AV1027-DATA[[#This Row],[fecha_fs]])</f>
        <v>0</v>
      </c>
      <c r="AZ1027" s="20">
        <f t="shared" si="150"/>
        <v>0</v>
      </c>
      <c r="BA1027" s="53">
        <f t="shared" si="151"/>
        <v>0</v>
      </c>
      <c r="BB1027" s="195">
        <f>IFERROR(SUM(DATA[[#This Row],[fs_val_ttf]:[fact_pago_ttf]]),0)</f>
        <v>0</v>
      </c>
      <c r="BC1027" s="233">
        <v>45894</v>
      </c>
      <c r="BD1027" s="233">
        <v>45910</v>
      </c>
      <c r="BE1027" s="233">
        <v>45905</v>
      </c>
      <c r="BF1027" s="233">
        <v>45919</v>
      </c>
      <c r="BG1027" s="20">
        <f>IFERROR(IF(BC1027-DATA[[#This Row],[fecha_fs]]&lt;0,0,BC1027-DATA[[#This Row],[fecha_fs]]),0)</f>
        <v>17</v>
      </c>
      <c r="BH1027" s="20">
        <f t="shared" si="143"/>
        <v>16</v>
      </c>
      <c r="BI1027" s="20">
        <f t="shared" si="144"/>
        <v>0</v>
      </c>
      <c r="BJ1027" s="20">
        <f t="shared" si="145"/>
        <v>14</v>
      </c>
      <c r="BK1027" s="282">
        <f>IFERROR(SUM(DATA[[#This Row],[fs_fd_ttd]:[fend_fenf_ttd]]),0)</f>
        <v>47</v>
      </c>
      <c r="BL1027" s="20" t="str">
        <f>IF(DATA[[#This Row],[fecha_fs]]&gt;0,TEXT(DATA[[#This Row],[fecha_fs]],"YYYY"),0)</f>
        <v>2025</v>
      </c>
      <c r="BM1027" s="236" t="b">
        <v>1</v>
      </c>
      <c r="BN1027" s="278">
        <f>COUNTIF(DATA[[#This Row],[tiempo_td]], "&lt;=15")</f>
        <v>0</v>
      </c>
      <c r="BO1027" s="222"/>
    </row>
    <row r="1028" spans="1:67" ht="30.6" customHeight="1" x14ac:dyDescent="0.25">
      <c r="A1028" s="4">
        <v>20100192064</v>
      </c>
      <c r="B1028" s="5" t="s">
        <v>60</v>
      </c>
      <c r="C1028" s="52" t="s">
        <v>63</v>
      </c>
      <c r="D1028" s="4" t="s">
        <v>120</v>
      </c>
      <c r="E1028" s="5" t="s">
        <v>3</v>
      </c>
      <c r="F1028" s="24">
        <v>45880</v>
      </c>
      <c r="G1028" s="7" t="s">
        <v>142</v>
      </c>
      <c r="H1028" s="25">
        <f>IF(G1028="","",IF(G1028="LIM",2,1))</f>
        <v>2</v>
      </c>
      <c r="I1028" s="67">
        <v>1120</v>
      </c>
      <c r="J1028" s="8" t="s">
        <v>115</v>
      </c>
      <c r="K1028" s="9" t="s">
        <v>121</v>
      </c>
      <c r="L1028" s="10" t="s">
        <v>117</v>
      </c>
      <c r="M1028" s="11">
        <v>100</v>
      </c>
      <c r="N1028" s="12" t="s">
        <v>180</v>
      </c>
      <c r="O1028" s="6">
        <v>45894</v>
      </c>
      <c r="P1028" s="71">
        <v>3619</v>
      </c>
      <c r="Q1028" s="14" t="s">
        <v>123</v>
      </c>
      <c r="R1028" s="15">
        <f>(DATA[[#This Row],[cantidad_fs]]/1000)*(37+82.74)</f>
        <v>11.974</v>
      </c>
      <c r="S1028" s="15">
        <v>148.53</v>
      </c>
      <c r="T1028" s="237">
        <f>DATA[[#This Row],[C. DF]]+DATA[[#This Row],[C.OPE.]]</f>
        <v>160.50399999999999</v>
      </c>
      <c r="U1028" s="15">
        <f>DATA[[#This Row],[SUB TOTAL]]*0.18</f>
        <v>28.890719999999998</v>
      </c>
      <c r="V1028" s="15">
        <f>IFERROR(ROUND(DATA[[#This Row],[SUB TOTAL]]+DATA[[#This Row],[IGV]],2),0)</f>
        <v>189.39</v>
      </c>
      <c r="W1028" s="16" t="str">
        <f>IF(DATA[[#This Row],[VALORIZACIÓN ]]="-","NO CORRESPONDE",IF(OR(A1028=20558226979,A1028=10470707866,A1028=20111157058,A1028=20100226902),"NO CORRESPONDE",IF(J1028="Emitida",IF(P1028&gt;0,"EMITIDA","PENDIENTE"),"NO CORRESPONDE")))</f>
        <v>EMITIDA</v>
      </c>
      <c r="X1028" s="29"/>
      <c r="Y1028" s="17" t="s">
        <v>118</v>
      </c>
      <c r="Z1028" s="30">
        <v>45895</v>
      </c>
      <c r="AA1028" s="10" t="s">
        <v>150</v>
      </c>
      <c r="AB1028" s="19">
        <v>220</v>
      </c>
      <c r="AC1028" s="20">
        <v>30</v>
      </c>
      <c r="AD1028" s="18">
        <f>DATA[[#This Row],[FECHA DE EMISION]]+DATA[[#This Row],[CONDICION DE PAGO]]</f>
        <v>45925</v>
      </c>
      <c r="AE1028" s="23" t="e">
        <f>IF(DATA[[#This Row],[MONEDA]]="USD",VLOOKUP(DATA[[#This Row],[COMBINADA]],#REF!,11,0),1)</f>
        <v>#REF!</v>
      </c>
      <c r="AF1028" s="129" t="str">
        <f>IF(DATA[[#This Row],[SERIE2]]="-","NO CORRESPONDE",IF(W1028="NO CORRESPONDE","NO CORRESPONDE",IF(Z1028&gt;0,"FACTURADO","PENDIENTE")))</f>
        <v>FACTURADO</v>
      </c>
      <c r="AG1028" s="133">
        <f>IFERROR(VLOOKUP(DATA[[#This Row],[COMBINADA]],#REF!,6,0),0)</f>
        <v>0</v>
      </c>
      <c r="AH1028" s="125">
        <f>IFERROR(VLOOKUP(DATA[[#This Row],[COMBINADA]],#REF!,9,0),0)/COUNTIFS(DATA[COMBINADA],DATA[[#This Row],[COMBINADA]])</f>
        <v>0</v>
      </c>
      <c r="AI1028" s="136">
        <f>IFERROR(VLOOKUP(DATA[[#This Row],[COMBINADA]],#REF!,6,0),0)</f>
        <v>0</v>
      </c>
      <c r="AJ1028" s="132">
        <f>IFERROR(VLOOKUP(DATA[[#This Row],[COMBINADA]],#REF!,9,0),0)/COUNTIFS(DATA[COMBINADA],DATA[[#This Row],[COMBINADA]])</f>
        <v>0</v>
      </c>
      <c r="AK1028" s="408">
        <f>IFERROR(VLOOKUP(DATA[[#This Row],[COMBINADA]],#REF!,6,0),0)</f>
        <v>0</v>
      </c>
      <c r="AL1028" s="125">
        <f>IFERROR(VLOOKUP(DATA[[#This Row],[COMBINADA]],#REF!,9,0),0)/COUNTIFS(DATA[COMBINADA],DATA[[#This Row],[COMBINADA]])</f>
        <v>0</v>
      </c>
      <c r="AM1028" s="147">
        <f>IFERROR(VLOOKUP(DATA[[#This Row],[COMBINADA]],#REF!,6,0),0)</f>
        <v>0</v>
      </c>
      <c r="AN1028" s="125">
        <f>IFERROR(VLOOKUP(DATA[[#This Row],[COMBINADA]],#REF!,9,0),0)/COUNTIFS(DATA[COMBINADA],DATA[[#This Row],[COMBINADA]])</f>
        <v>0</v>
      </c>
      <c r="AO1028" s="27">
        <f>IFERROR(VLOOKUP(DATA[[#This Row],[COMBINADA]],#REF!,6,0),0)</f>
        <v>0</v>
      </c>
      <c r="AP1028" s="132">
        <f>IFERROR(VLOOKUP(DATA[[#This Row],[COMBINADA]],#REF!,9,0),0)/COUNTIFS(DATA[COMBINADA],DATA[[#This Row],[COMBINADA]])</f>
        <v>0</v>
      </c>
      <c r="AQ102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572.11888888888882</v>
      </c>
      <c r="AR1028" s="26" t="str">
        <f>IFERROR(IF(DATA[[#This Row],[estado_fact]]="FACTURADO",VLOOKUP(DATA[[#This Row],[SERIE2]]&amp;"-"&amp;DATA[[#This Row],[NUMERO]],#REF!,34,0),"NO CORRESPONDE"),"NO CORRESPONDE")</f>
        <v>NO CORRESPONDE</v>
      </c>
      <c r="AS1028" s="22" t="str">
        <f>IF(DATA[[#This Row],[fecha_fs]]&gt;0,TEXT(DATA[[#This Row],[fecha_fs]],"Mmmm"),0)</f>
        <v>Agosto</v>
      </c>
      <c r="AT1028" s="22" t="str">
        <f>DATA[[#This Row],[SERIE2]]&amp;"-"&amp;DATA[[#This Row],[NUMERO]]</f>
        <v>FF01-220</v>
      </c>
      <c r="AU1028" s="28" t="e">
        <f>DATA[[#This Row],[TOTAL]]*DATA[[#This Row],[T.C.]]</f>
        <v>#REF!</v>
      </c>
      <c r="AV1028" s="6">
        <f>DATA[[#This Row],[FECHA DE VAL.]]</f>
        <v>45894</v>
      </c>
      <c r="AW1028" s="6">
        <f>DATA[[#This Row],[FECHA DE EMISION]]</f>
        <v>45895</v>
      </c>
      <c r="AX1028" s="6">
        <f>DATA[[#This Row],[F1]]</f>
        <v>0</v>
      </c>
      <c r="AY1028" s="20">
        <f>IF(AV1028-DATA[[#This Row],[fecha_fs]]&lt;0,0,AV1028-DATA[[#This Row],[fecha_fs]])</f>
        <v>14</v>
      </c>
      <c r="AZ1028" s="20">
        <f>IF(AW1028-AV1028&lt;0,0,AW1028-AV1028)</f>
        <v>1</v>
      </c>
      <c r="BA1028" s="53">
        <f>IF(AX1028-AW1028&lt;0,0,AX1028-AW1028)</f>
        <v>0</v>
      </c>
      <c r="BB1028" s="195">
        <f>IFERROR(SUM(DATA[[#This Row],[fs_val_ttf]:[fact_pago_ttf]]),0)</f>
        <v>15</v>
      </c>
      <c r="BC1028" s="233">
        <v>45894</v>
      </c>
      <c r="BD1028" s="233">
        <v>45903</v>
      </c>
      <c r="BE1028" s="233">
        <v>45904</v>
      </c>
      <c r="BF1028" s="233">
        <v>45945</v>
      </c>
      <c r="BG1028" s="20">
        <f>IFERROR(IF(BC1028-DATA[[#This Row],[fecha_fs]]&lt;0,0,BC1028-DATA[[#This Row],[fecha_fs]]),0)</f>
        <v>14</v>
      </c>
      <c r="BH1028" s="20">
        <f t="shared" si="143"/>
        <v>9</v>
      </c>
      <c r="BI1028" s="20">
        <f t="shared" si="144"/>
        <v>1</v>
      </c>
      <c r="BJ1028" s="20">
        <f t="shared" si="145"/>
        <v>41</v>
      </c>
      <c r="BK1028" s="282">
        <f>IFERROR(SUM(DATA[[#This Row],[fs_fd_ttd]:[fend_fenf_ttd]]),0)</f>
        <v>65</v>
      </c>
      <c r="BL1028" s="20" t="str">
        <f>IF(DATA[[#This Row],[fecha_fs]]&gt;0,TEXT(DATA[[#This Row],[fecha_fs]],"YYYY"),0)</f>
        <v>2025</v>
      </c>
      <c r="BM1028" s="236" t="b">
        <v>1</v>
      </c>
      <c r="BN1028" s="278">
        <f>COUNTIF(DATA[[#This Row],[tiempo_td]], "&lt;=15")</f>
        <v>0</v>
      </c>
      <c r="BO1028" s="222"/>
    </row>
    <row r="1029" spans="1:67" ht="30.6" customHeight="1" x14ac:dyDescent="0.25">
      <c r="A1029" s="4">
        <v>20100192064</v>
      </c>
      <c r="B1029" s="5" t="s">
        <v>60</v>
      </c>
      <c r="C1029" s="52" t="s">
        <v>63</v>
      </c>
      <c r="D1029" s="4" t="s">
        <v>112</v>
      </c>
      <c r="E1029" s="5" t="s">
        <v>1</v>
      </c>
      <c r="F1029" s="24">
        <v>45880</v>
      </c>
      <c r="G1029" s="7" t="s">
        <v>142</v>
      </c>
      <c r="H1029" s="25">
        <f>IF(G1029="","",IF(G1029="LIM",2,1))</f>
        <v>2</v>
      </c>
      <c r="I1029" s="67">
        <v>1121</v>
      </c>
      <c r="J1029" s="8" t="s">
        <v>115</v>
      </c>
      <c r="K1029" s="9" t="s">
        <v>116</v>
      </c>
      <c r="L1029" s="10" t="s">
        <v>117</v>
      </c>
      <c r="M1029" s="11">
        <v>5</v>
      </c>
      <c r="N1029" s="12" t="s">
        <v>180</v>
      </c>
      <c r="O1029" s="6">
        <v>45894</v>
      </c>
      <c r="P1029" s="71">
        <v>3620</v>
      </c>
      <c r="Q1029" s="14" t="s">
        <v>123</v>
      </c>
      <c r="R1029" s="15">
        <f>(DATA[[#This Row],[cantidad_fs]]/1000)*(147+82.74)</f>
        <v>1.1487000000000001</v>
      </c>
      <c r="S1029" s="15">
        <v>148.53</v>
      </c>
      <c r="T1029" s="237">
        <f>DATA[[#This Row],[C. DF]]+DATA[[#This Row],[C.OPE.]]</f>
        <v>149.67869999999999</v>
      </c>
      <c r="U1029" s="15">
        <f>DATA[[#This Row],[SUB TOTAL]]*0.18</f>
        <v>26.942165999999997</v>
      </c>
      <c r="V1029" s="15">
        <f>IFERROR(ROUND(DATA[[#This Row],[SUB TOTAL]]+DATA[[#This Row],[IGV]],2),0)</f>
        <v>176.62</v>
      </c>
      <c r="W1029" s="16" t="str">
        <f>IF(DATA[[#This Row],[VALORIZACIÓN ]]="-","NO CORRESPONDE",IF(OR(A1029=20558226979,A1029=10470707866,A1029=20111157058,A1029=20100226902),"NO CORRESPONDE",IF(J1029="Emitida",IF(P1029&gt;0,"EMITIDA","PENDIENTE"),"NO CORRESPONDE")))</f>
        <v>EMITIDA</v>
      </c>
      <c r="X1029" s="29"/>
      <c r="Y1029" s="17" t="s">
        <v>118</v>
      </c>
      <c r="Z1029" s="30">
        <v>45895</v>
      </c>
      <c r="AA1029" s="10" t="s">
        <v>150</v>
      </c>
      <c r="AB1029" s="19">
        <v>220</v>
      </c>
      <c r="AC1029" s="20">
        <v>30</v>
      </c>
      <c r="AD1029" s="18">
        <f>DATA[[#This Row],[FECHA DE EMISION]]+DATA[[#This Row],[CONDICION DE PAGO]]</f>
        <v>45925</v>
      </c>
      <c r="AE1029" s="23" t="e">
        <f>IF(DATA[[#This Row],[MONEDA]]="USD",VLOOKUP(DATA[[#This Row],[COMBINADA]],#REF!,11,0),1)</f>
        <v>#REF!</v>
      </c>
      <c r="AF1029" s="129" t="str">
        <f>IF(DATA[[#This Row],[SERIE2]]="-","NO CORRESPONDE",IF(W1029="NO CORRESPONDE","NO CORRESPONDE",IF(Z1029&gt;0,"FACTURADO","PENDIENTE")))</f>
        <v>FACTURADO</v>
      </c>
      <c r="AG1029" s="133">
        <f>IFERROR(VLOOKUP(DATA[[#This Row],[COMBINADA]],#REF!,6,0),0)</f>
        <v>0</v>
      </c>
      <c r="AH1029" s="125">
        <f>IFERROR(VLOOKUP(DATA[[#This Row],[COMBINADA]],#REF!,9,0),0)/COUNTIFS(DATA[COMBINADA],DATA[[#This Row],[COMBINADA]])</f>
        <v>0</v>
      </c>
      <c r="AI1029" s="136">
        <f>IFERROR(VLOOKUP(DATA[[#This Row],[COMBINADA]],#REF!,6,0),0)</f>
        <v>0</v>
      </c>
      <c r="AJ1029" s="132">
        <f>IFERROR(VLOOKUP(DATA[[#This Row],[COMBINADA]],#REF!,9,0),0)/COUNTIFS(DATA[COMBINADA],DATA[[#This Row],[COMBINADA]])</f>
        <v>0</v>
      </c>
      <c r="AK1029" s="408">
        <f>IFERROR(VLOOKUP(DATA[[#This Row],[COMBINADA]],#REF!,6,0),0)</f>
        <v>0</v>
      </c>
      <c r="AL1029" s="125">
        <f>IFERROR(VLOOKUP(DATA[[#This Row],[COMBINADA]],#REF!,9,0),0)/COUNTIFS(DATA[COMBINADA],DATA[[#This Row],[COMBINADA]])</f>
        <v>0</v>
      </c>
      <c r="AM1029" s="147">
        <f>IFERROR(VLOOKUP(DATA[[#This Row],[COMBINADA]],#REF!,6,0),0)</f>
        <v>0</v>
      </c>
      <c r="AN1029" s="125">
        <f>IFERROR(VLOOKUP(DATA[[#This Row],[COMBINADA]],#REF!,9,0),0)/COUNTIFS(DATA[COMBINADA],DATA[[#This Row],[COMBINADA]])</f>
        <v>0</v>
      </c>
      <c r="AO1029" s="27">
        <f>IFERROR(VLOOKUP(DATA[[#This Row],[COMBINADA]],#REF!,6,0),0)</f>
        <v>0</v>
      </c>
      <c r="AP1029" s="132">
        <f>IFERROR(VLOOKUP(DATA[[#This Row],[COMBINADA]],#REF!,9,0),0)/COUNTIFS(DATA[COMBINADA],DATA[[#This Row],[COMBINADA]])</f>
        <v>0</v>
      </c>
      <c r="AQ102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572.11888888888882</v>
      </c>
      <c r="AR1029" s="26" t="str">
        <f>IFERROR(IF(DATA[[#This Row],[estado_fact]]="FACTURADO",VLOOKUP(DATA[[#This Row],[SERIE2]]&amp;"-"&amp;DATA[[#This Row],[NUMERO]],#REF!,34,0),"NO CORRESPONDE"),"NO CORRESPONDE")</f>
        <v>NO CORRESPONDE</v>
      </c>
      <c r="AS1029" s="22" t="str">
        <f>IF(DATA[[#This Row],[fecha_fs]]&gt;0,TEXT(DATA[[#This Row],[fecha_fs]],"Mmmm"),0)</f>
        <v>Agosto</v>
      </c>
      <c r="AT1029" s="22" t="str">
        <f>DATA[[#This Row],[SERIE2]]&amp;"-"&amp;DATA[[#This Row],[NUMERO]]</f>
        <v>FF01-220</v>
      </c>
      <c r="AU1029" s="28" t="e">
        <f>DATA[[#This Row],[TOTAL]]*DATA[[#This Row],[T.C.]]</f>
        <v>#REF!</v>
      </c>
      <c r="AV1029" s="6">
        <f>DATA[[#This Row],[FECHA DE VAL.]]</f>
        <v>45894</v>
      </c>
      <c r="AW1029" s="6">
        <f>DATA[[#This Row],[FECHA DE EMISION]]</f>
        <v>45895</v>
      </c>
      <c r="AX1029" s="6">
        <f>DATA[[#This Row],[F1]]</f>
        <v>0</v>
      </c>
      <c r="AY1029" s="20">
        <f>IF(AV1029-DATA[[#This Row],[fecha_fs]]&lt;0,0,AV1029-DATA[[#This Row],[fecha_fs]])</f>
        <v>14</v>
      </c>
      <c r="AZ1029" s="20">
        <f>IF(AW1029-AV1029&lt;0,0,AW1029-AV1029)</f>
        <v>1</v>
      </c>
      <c r="BA1029" s="53">
        <f>IF(AX1029-AW1029&lt;0,0,AX1029-AW1029)</f>
        <v>0</v>
      </c>
      <c r="BB1029" s="195">
        <f>IFERROR(SUM(DATA[[#This Row],[fs_val_ttf]:[fact_pago_ttf]]),0)</f>
        <v>15</v>
      </c>
      <c r="BC1029" s="233">
        <v>45881</v>
      </c>
      <c r="BD1029" s="233">
        <v>45888</v>
      </c>
      <c r="BE1029" s="233">
        <v>45901</v>
      </c>
      <c r="BF1029" s="233">
        <v>45909</v>
      </c>
      <c r="BG1029" s="20">
        <f>IFERROR(IF(BC1029-DATA[[#This Row],[fecha_fs]]&lt;0,0,BC1029-DATA[[#This Row],[fecha_fs]]),0)</f>
        <v>1</v>
      </c>
      <c r="BH1029" s="20">
        <f t="shared" si="143"/>
        <v>7</v>
      </c>
      <c r="BI1029" s="20">
        <f t="shared" si="144"/>
        <v>13</v>
      </c>
      <c r="BJ1029" s="20">
        <f t="shared" si="145"/>
        <v>8</v>
      </c>
      <c r="BK1029" s="282">
        <f>IFERROR(SUM(DATA[[#This Row],[fs_fd_ttd]:[fend_fenf_ttd]]),0)</f>
        <v>29</v>
      </c>
      <c r="BL1029" s="20" t="str">
        <f>IF(DATA[[#This Row],[fecha_fs]]&gt;0,TEXT(DATA[[#This Row],[fecha_fs]],"YYYY"),0)</f>
        <v>2025</v>
      </c>
      <c r="BM1029" s="236" t="b">
        <v>1</v>
      </c>
      <c r="BN1029" s="278">
        <f>COUNTIF(DATA[[#This Row],[tiempo_td]], "&lt;=15")</f>
        <v>0</v>
      </c>
      <c r="BO1029" s="222"/>
    </row>
    <row r="1030" spans="1:67" ht="30.6" customHeight="1" x14ac:dyDescent="0.25">
      <c r="A1030" s="4">
        <v>20100226902</v>
      </c>
      <c r="B1030" s="5" t="s">
        <v>24</v>
      </c>
      <c r="C1030" s="52" t="s">
        <v>18</v>
      </c>
      <c r="D1030" s="4" t="s">
        <v>120</v>
      </c>
      <c r="E1030" s="5" t="s">
        <v>3</v>
      </c>
      <c r="F1030" s="24">
        <v>45880</v>
      </c>
      <c r="G1030" s="7" t="s">
        <v>113</v>
      </c>
      <c r="H1030" s="25">
        <f t="shared" si="149"/>
        <v>1</v>
      </c>
      <c r="I1030" s="67">
        <v>4847</v>
      </c>
      <c r="J1030" s="8" t="s">
        <v>115</v>
      </c>
      <c r="K1030" s="9" t="s">
        <v>121</v>
      </c>
      <c r="L1030" s="10" t="s">
        <v>117</v>
      </c>
      <c r="M1030" s="11">
        <v>240</v>
      </c>
      <c r="N1030" s="12" t="s">
        <v>204</v>
      </c>
      <c r="O1030" s="40"/>
      <c r="P1030" s="41" t="s">
        <v>114</v>
      </c>
      <c r="Q1030" s="42"/>
      <c r="R1030" s="15"/>
      <c r="S1030" s="15"/>
      <c r="T1030" s="43">
        <f>DATA[[#This Row],[C. DF]]+DATA[[#This Row],[C.OPE.]]</f>
        <v>0</v>
      </c>
      <c r="U1030" s="43">
        <f>DATA[[#This Row],[SUB TOTAL]]*0.18</f>
        <v>0</v>
      </c>
      <c r="V1030" s="43">
        <f>IFERROR(ROUND(DATA[[#This Row],[SUB TOTAL]]+DATA[[#This Row],[IGV]],2),0)</f>
        <v>0</v>
      </c>
      <c r="W1030" s="16" t="str">
        <f>IF(DATA[[#This Row],[VALORIZACIÓN ]]="-","NO CORRESPONDE",IF(OR(A1030=20558226979,A1030=10470707866,A1030=20111157058,A1030=20100226902),"NO CORRESPONDE",IF(J1030="Emitida",IF(P1030&gt;0,"EMITIDA","PENDIENTE"),"NO CORRESPONDE")))</f>
        <v>NO CORRESPONDE</v>
      </c>
      <c r="X1030" s="45"/>
      <c r="Y1030" s="17" t="s">
        <v>128</v>
      </c>
      <c r="Z1030" s="46"/>
      <c r="AA1030" s="47"/>
      <c r="AB1030" s="48"/>
      <c r="AC1030" s="49"/>
      <c r="AD1030" s="50">
        <f>DATA[[#This Row],[FECHA DE EMISION]]+DATA[[#This Row],[CONDICION DE PAGO]]</f>
        <v>0</v>
      </c>
      <c r="AE1030" s="23">
        <f>IF(DATA[[#This Row],[MONEDA]]="USD",VLOOKUP(DATA[[#This Row],[COMBINADA]],#REF!,11,0),1)</f>
        <v>1</v>
      </c>
      <c r="AF1030" s="129" t="str">
        <f>IF(DATA[[#This Row],[SERIE2]]="-","NO CORRESPONDE",IF(W1030="NO CORRESPONDE","NO CORRESPONDE",IF(Z1030&gt;0,"FACTURADO","PENDIENTE")))</f>
        <v>NO CORRESPONDE</v>
      </c>
      <c r="AG1030" s="140">
        <f>IFERROR(VLOOKUP(DATA[[#This Row],[COMBINADA]],#REF!,6,0),0)</f>
        <v>0</v>
      </c>
      <c r="AH1030" s="126">
        <f>IFERROR(VLOOKUP(DATA[[#This Row],[COMBINADA]],#REF!,9,0),0)/COUNTIFS(DATA[COMBINADA],DATA[[#This Row],[COMBINADA]])</f>
        <v>0</v>
      </c>
      <c r="AI1030" s="140">
        <f>IFERROR(VLOOKUP(DATA[[#This Row],[COMBINADA]],#REF!,6,0),0)</f>
        <v>0</v>
      </c>
      <c r="AJ1030" s="126">
        <f>IFERROR(VLOOKUP(DATA[[#This Row],[COMBINADA]],#REF!,9,0),0)/COUNTIFS(DATA[COMBINADA],DATA[[#This Row],[COMBINADA]])</f>
        <v>0</v>
      </c>
      <c r="AK1030" s="61">
        <f>IFERROR(VLOOKUP(DATA[[#This Row],[COMBINADA]],#REF!,6,0),0)</f>
        <v>0</v>
      </c>
      <c r="AL1030" s="126">
        <f>IFERROR(VLOOKUP(DATA[[#This Row],[COMBINADA]],#REF!,9,0),0)/COUNTIFS(DATA[COMBINADA],DATA[[#This Row],[COMBINADA]])</f>
        <v>0</v>
      </c>
      <c r="AM1030" s="287">
        <f>IFERROR(VLOOKUP(DATA[[#This Row],[COMBINADA]],#REF!,6,0),0)</f>
        <v>0</v>
      </c>
      <c r="AN1030" s="126">
        <f>IFERROR(VLOOKUP(DATA[[#This Row],[COMBINADA]],#REF!,9,0),0)/COUNTIFS(DATA[COMBINADA],DATA[[#This Row],[COMBINADA]])</f>
        <v>0</v>
      </c>
      <c r="AO1030" s="60">
        <f>IFERROR(VLOOKUP(DATA[[#This Row],[COMBINADA]],#REF!,6,0),0)</f>
        <v>0</v>
      </c>
      <c r="AP1030" s="126">
        <f>IFERROR(VLOOKUP(DATA[[#This Row],[COMBINADA]],#REF!,9,0),0)/COUNTIFS(DATA[COMBINADA],DATA[[#This Row],[COMBINADA]])</f>
        <v>0</v>
      </c>
      <c r="AQ1030"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030" s="22" t="str">
        <f>IFERROR(IF(DATA[[#This Row],[estado_fact]]="FACTURADO",VLOOKUP(DATA[[#This Row],[SERIE2]]&amp;"-"&amp;DATA[[#This Row],[NUMERO]],#REF!,34,0),"NO CORRESPONDE"),"NO CORRESPONDE")</f>
        <v>NO CORRESPONDE</v>
      </c>
      <c r="AS1030" s="22" t="str">
        <f>IF(DATA[[#This Row],[fecha_fs]]&gt;0,TEXT(DATA[[#This Row],[fecha_fs]],"Mmmm"),0)</f>
        <v>Agosto</v>
      </c>
      <c r="AT1030" s="22" t="str">
        <f>DATA[[#This Row],[SERIE2]]&amp;"-"&amp;DATA[[#This Row],[NUMERO]]</f>
        <v>-</v>
      </c>
      <c r="AU1030" s="28">
        <f>DATA[[#This Row],[TOTAL]]*DATA[[#This Row],[T.C.]]</f>
        <v>0</v>
      </c>
      <c r="AV1030" s="6">
        <f>DATA[[#This Row],[FECHA DE VAL.]]</f>
        <v>0</v>
      </c>
      <c r="AW1030" s="6">
        <f>DATA[[#This Row],[FECHA DE EMISION]]</f>
        <v>0</v>
      </c>
      <c r="AX1030" s="6">
        <f>DATA[[#This Row],[F1]]</f>
        <v>0</v>
      </c>
      <c r="AY1030" s="20">
        <f>IF(AV1030-DATA[[#This Row],[fecha_fs]]&lt;0,0,AV1030-DATA[[#This Row],[fecha_fs]])</f>
        <v>0</v>
      </c>
      <c r="AZ1030" s="20">
        <f t="shared" si="150"/>
        <v>0</v>
      </c>
      <c r="BA1030" s="53">
        <f t="shared" si="151"/>
        <v>0</v>
      </c>
      <c r="BB1030" s="195">
        <f>IFERROR(SUM(DATA[[#This Row],[fs_val_ttf]:[fact_pago_ttf]]),0)</f>
        <v>0</v>
      </c>
      <c r="BC1030" s="233">
        <v>45880</v>
      </c>
      <c r="BD1030" s="233">
        <v>45880</v>
      </c>
      <c r="BE1030" s="233">
        <v>45901</v>
      </c>
      <c r="BF1030" s="233">
        <v>45901</v>
      </c>
      <c r="BG1030" s="20">
        <f>IFERROR(IF(BC1030-DATA[[#This Row],[fecha_fs]]&lt;0,0,BC1030-DATA[[#This Row],[fecha_fs]]),0)</f>
        <v>0</v>
      </c>
      <c r="BH1030" s="20">
        <f t="shared" si="143"/>
        <v>0</v>
      </c>
      <c r="BI1030" s="20">
        <f t="shared" si="144"/>
        <v>21</v>
      </c>
      <c r="BJ1030" s="20">
        <f t="shared" si="145"/>
        <v>0</v>
      </c>
      <c r="BK1030" s="282">
        <f>IFERROR(SUM(DATA[[#This Row],[fs_fd_ttd]:[fend_fenf_ttd]]),0)</f>
        <v>21</v>
      </c>
      <c r="BL1030" s="20" t="str">
        <f>IF(DATA[[#This Row],[fecha_fs]]&gt;0,TEXT(DATA[[#This Row],[fecha_fs]],"YYYY"),0)</f>
        <v>2025</v>
      </c>
      <c r="BM1030" s="236" t="b">
        <v>1</v>
      </c>
      <c r="BN1030" s="278">
        <f>COUNTIF(DATA[[#This Row],[tiempo_td]], "&lt;=15")</f>
        <v>0</v>
      </c>
      <c r="BO1030" s="222"/>
    </row>
    <row r="1031" spans="1:67" ht="30.6" customHeight="1" x14ac:dyDescent="0.25">
      <c r="A1031" s="4">
        <v>20505675836</v>
      </c>
      <c r="B1031" s="5" t="s">
        <v>42</v>
      </c>
      <c r="C1031" s="52" t="s">
        <v>43</v>
      </c>
      <c r="D1031" s="4" t="s">
        <v>120</v>
      </c>
      <c r="E1031" s="5" t="s">
        <v>3</v>
      </c>
      <c r="F1031" s="24">
        <v>45880</v>
      </c>
      <c r="G1031" s="7" t="s">
        <v>113</v>
      </c>
      <c r="H1031" s="25">
        <f t="shared" ref="H1031:H1033" si="152">IF(G1031="","",IF(G1031="LIM",2,1))</f>
        <v>1</v>
      </c>
      <c r="I1031" s="67">
        <v>4848</v>
      </c>
      <c r="J1031" s="8" t="s">
        <v>115</v>
      </c>
      <c r="K1031" s="9" t="s">
        <v>121</v>
      </c>
      <c r="L1031" s="10" t="s">
        <v>117</v>
      </c>
      <c r="M1031" s="11">
        <v>510</v>
      </c>
      <c r="N1031" s="12" t="s">
        <v>125</v>
      </c>
      <c r="O1031" s="6">
        <v>45896</v>
      </c>
      <c r="P1031" s="71">
        <v>3632</v>
      </c>
      <c r="Q1031" s="14" t="s">
        <v>85</v>
      </c>
      <c r="R1031" s="15">
        <f>(DATA[[#This Row],[cantidad_fs]]-150)*0.67</f>
        <v>241.20000000000002</v>
      </c>
      <c r="S1031" s="15">
        <v>817.68</v>
      </c>
      <c r="T1031" s="237">
        <f>DATA[[#This Row],[C. DF]]+DATA[[#This Row],[C.OPE.]]</f>
        <v>1058.8799999999999</v>
      </c>
      <c r="U1031" s="15">
        <f>DATA[[#This Row],[SUB TOTAL]]*0.18</f>
        <v>190.59839999999997</v>
      </c>
      <c r="V1031" s="15">
        <f>IFERROR(ROUND(DATA[[#This Row],[SUB TOTAL]]+DATA[[#This Row],[IGV]],2),0)</f>
        <v>1249.48</v>
      </c>
      <c r="W1031" s="16" t="str">
        <f>IF(DATA[[#This Row],[VALORIZACIÓN ]]="-","NO CORRESPONDE",IF(OR(A1031=20558226979,A1031=10470707866,A1031=20111157058,A1031=20100226902),"NO CORRESPONDE",IF(J1031="Emitida",IF(P1031&gt;0,"EMITIDA","PENDIENTE"),"NO CORRESPONDE")))</f>
        <v>EMITIDA</v>
      </c>
      <c r="X1031" s="29"/>
      <c r="Y1031" s="17" t="s">
        <v>118</v>
      </c>
      <c r="Z1031" s="30">
        <v>45922</v>
      </c>
      <c r="AA1031" s="10" t="s">
        <v>150</v>
      </c>
      <c r="AB1031" s="19">
        <v>260</v>
      </c>
      <c r="AC1031" s="20">
        <v>30</v>
      </c>
      <c r="AD1031" s="18">
        <f>DATA[[#This Row],[FECHA DE EMISION]]+DATA[[#This Row],[CONDICION DE PAGO]]</f>
        <v>45952</v>
      </c>
      <c r="AE1031" s="23">
        <f>IF(DATA[[#This Row],[MONEDA]]="USD",VLOOKUP(DATA[[#This Row],[COMBINADA]],#REF!,11,0),1)</f>
        <v>1</v>
      </c>
      <c r="AF1031" s="129" t="str">
        <f>IF(DATA[[#This Row],[SERIE2]]="-","NO CORRESPONDE",IF(W1031="NO CORRESPONDE","NO CORRESPONDE",IF(Z1031&gt;0,"FACTURADO","PENDIENTE")))</f>
        <v>FACTURADO</v>
      </c>
      <c r="AG1031" s="133">
        <f>IFERROR(VLOOKUP(DATA[[#This Row],[COMBINADA]],#REF!,6,0),0)</f>
        <v>0</v>
      </c>
      <c r="AH1031" s="125">
        <f>IFERROR(VLOOKUP(DATA[[#This Row],[COMBINADA]],#REF!,9,0),0)/COUNTIFS(DATA[COMBINADA],DATA[[#This Row],[COMBINADA]])</f>
        <v>0</v>
      </c>
      <c r="AI1031" s="136">
        <f>IFERROR(VLOOKUP(DATA[[#This Row],[COMBINADA]],#REF!,6,0),0)</f>
        <v>0</v>
      </c>
      <c r="AJ1031" s="132">
        <f>IFERROR(VLOOKUP(DATA[[#This Row],[COMBINADA]],#REF!,9,0),0)/COUNTIFS(DATA[COMBINADA],DATA[[#This Row],[COMBINADA]])</f>
        <v>0</v>
      </c>
      <c r="AK1031" s="408">
        <f>IFERROR(VLOOKUP(DATA[[#This Row],[COMBINADA]],#REF!,6,0),0)</f>
        <v>0</v>
      </c>
      <c r="AL1031" s="125">
        <f>IFERROR(VLOOKUP(DATA[[#This Row],[COMBINADA]],#REF!,9,0),0)/COUNTIFS(DATA[COMBINADA],DATA[[#This Row],[COMBINADA]])</f>
        <v>0</v>
      </c>
      <c r="AM1031" s="147">
        <f>IFERROR(VLOOKUP(DATA[[#This Row],[COMBINADA]],#REF!,6,0),0)</f>
        <v>0</v>
      </c>
      <c r="AN1031" s="125">
        <f>IFERROR(VLOOKUP(DATA[[#This Row],[COMBINADA]],#REF!,9,0),0)/COUNTIFS(DATA[COMBINADA],DATA[[#This Row],[COMBINADA]])</f>
        <v>0</v>
      </c>
      <c r="AO1031" s="27">
        <f>IFERROR(VLOOKUP(DATA[[#This Row],[COMBINADA]],#REF!,6,0),0)</f>
        <v>0</v>
      </c>
      <c r="AP1031" s="132">
        <f>IFERROR(VLOOKUP(DATA[[#This Row],[COMBINADA]],#REF!,9,0),0)/COUNTIFS(DATA[COMBINADA],DATA[[#This Row],[COMBINADA]])</f>
        <v>0</v>
      </c>
      <c r="AQ103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1684.26</v>
      </c>
      <c r="AR1031" s="26" t="str">
        <f>IFERROR(IF(DATA[[#This Row],[estado_fact]]="FACTURADO",VLOOKUP(DATA[[#This Row],[SERIE2]]&amp;"-"&amp;DATA[[#This Row],[NUMERO]],#REF!,34,0),"NO CORRESPONDE"),"NO CORRESPONDE")</f>
        <v>NO CORRESPONDE</v>
      </c>
      <c r="AS1031" s="22" t="str">
        <f>IF(DATA[[#This Row],[fecha_fs]]&gt;0,TEXT(DATA[[#This Row],[fecha_fs]],"Mmmm"),0)</f>
        <v>Agosto</v>
      </c>
      <c r="AT1031" s="22" t="str">
        <f>DATA[[#This Row],[SERIE2]]&amp;"-"&amp;DATA[[#This Row],[NUMERO]]</f>
        <v>FF01-260</v>
      </c>
      <c r="AU1031" s="28">
        <f>DATA[[#This Row],[TOTAL]]*DATA[[#This Row],[T.C.]]</f>
        <v>1249.48</v>
      </c>
      <c r="AV1031" s="6">
        <f>DATA[[#This Row],[FECHA DE VAL.]]</f>
        <v>45896</v>
      </c>
      <c r="AW1031" s="6">
        <f>DATA[[#This Row],[FECHA DE EMISION]]</f>
        <v>45922</v>
      </c>
      <c r="AX1031" s="6">
        <f>DATA[[#This Row],[F1]]</f>
        <v>0</v>
      </c>
      <c r="AY1031" s="20">
        <f>IF(AV1031-DATA[[#This Row],[fecha_fs]]&lt;0,0,AV1031-DATA[[#This Row],[fecha_fs]])</f>
        <v>16</v>
      </c>
      <c r="AZ1031" s="20">
        <f t="shared" ref="AZ1031:AZ1033" si="153">IF(AW1031-AV1031&lt;0,0,AW1031-AV1031)</f>
        <v>26</v>
      </c>
      <c r="BA1031" s="53">
        <f t="shared" ref="BA1031:BA1033" si="154">IF(AX1031-AW1031&lt;0,0,AX1031-AW1031)</f>
        <v>0</v>
      </c>
      <c r="BB1031" s="195">
        <f>IFERROR(SUM(DATA[[#This Row],[fs_val_ttf]:[fact_pago_ttf]]),0)</f>
        <v>42</v>
      </c>
      <c r="BC1031" s="233">
        <v>45898</v>
      </c>
      <c r="BD1031" s="233">
        <v>45903</v>
      </c>
      <c r="BE1031" s="233">
        <v>45904</v>
      </c>
      <c r="BF1031" s="233">
        <v>45932</v>
      </c>
      <c r="BG1031" s="20">
        <f>IFERROR(IF(BC1031-DATA[[#This Row],[fecha_fs]]&lt;0,0,BC1031-DATA[[#This Row],[fecha_fs]]),0)</f>
        <v>18</v>
      </c>
      <c r="BH1031" s="20">
        <f t="shared" si="143"/>
        <v>5</v>
      </c>
      <c r="BI1031" s="20">
        <f t="shared" si="144"/>
        <v>1</v>
      </c>
      <c r="BJ1031" s="20">
        <f t="shared" si="145"/>
        <v>28</v>
      </c>
      <c r="BK1031" s="282">
        <f>IFERROR(SUM(DATA[[#This Row],[fs_fd_ttd]:[fend_fenf_ttd]]),0)</f>
        <v>52</v>
      </c>
      <c r="BL1031" s="20" t="str">
        <f>IF(DATA[[#This Row],[fecha_fs]]&gt;0,TEXT(DATA[[#This Row],[fecha_fs]],"YYYY"),0)</f>
        <v>2025</v>
      </c>
      <c r="BM1031" s="236" t="b">
        <v>1</v>
      </c>
      <c r="BN1031" s="278">
        <f>COUNTIF(DATA[[#This Row],[tiempo_td]], "&lt;=15")</f>
        <v>0</v>
      </c>
      <c r="BO1031" s="222"/>
    </row>
    <row r="1032" spans="1:67" ht="30.6" customHeight="1" x14ac:dyDescent="0.25">
      <c r="A1032" s="4">
        <v>20456012427</v>
      </c>
      <c r="B1032" s="5" t="s">
        <v>54</v>
      </c>
      <c r="C1032" s="52" t="s">
        <v>55</v>
      </c>
      <c r="D1032" s="4" t="s">
        <v>112</v>
      </c>
      <c r="E1032" s="5" t="s">
        <v>1</v>
      </c>
      <c r="F1032" s="24">
        <v>45877</v>
      </c>
      <c r="G1032" s="7" t="s">
        <v>113</v>
      </c>
      <c r="H1032" s="25">
        <f t="shared" si="152"/>
        <v>1</v>
      </c>
      <c r="I1032" s="67">
        <v>4849</v>
      </c>
      <c r="J1032" s="8" t="s">
        <v>115</v>
      </c>
      <c r="K1032" s="9" t="s">
        <v>116</v>
      </c>
      <c r="L1032" s="10" t="s">
        <v>117</v>
      </c>
      <c r="M1032" s="11">
        <v>135</v>
      </c>
      <c r="N1032" s="12" t="s">
        <v>114</v>
      </c>
      <c r="O1032" s="6">
        <v>45882</v>
      </c>
      <c r="P1032" s="13">
        <v>3599</v>
      </c>
      <c r="Q1032" s="14" t="s">
        <v>85</v>
      </c>
      <c r="R1032" s="15">
        <f>DATA[[#This Row],[cantidad_fs]]*1</f>
        <v>135</v>
      </c>
      <c r="S1032" s="56">
        <v>270</v>
      </c>
      <c r="T1032" s="237">
        <f>DATA[[#This Row],[C. DF]]+DATA[[#This Row],[C.OPE.]]</f>
        <v>405</v>
      </c>
      <c r="U1032" s="15">
        <f>DATA[[#This Row],[SUB TOTAL]]*0.18</f>
        <v>72.899999999999991</v>
      </c>
      <c r="V1032" s="15">
        <f>IFERROR(ROUND(DATA[[#This Row],[SUB TOTAL]]+DATA[[#This Row],[IGV]],2),0)</f>
        <v>477.9</v>
      </c>
      <c r="W1032" s="16" t="str">
        <f>IF(DATA[[#This Row],[VALORIZACIÓN ]]="-","NO CORRESPONDE",IF(OR(A1032=20558226979,A1032=10470707866,A1032=20111157058,A1032=20100226902),"NO CORRESPONDE",IF(J1032="Emitida",IF(P1032&gt;0,"EMITIDA","PENDIENTE"),"NO CORRESPONDE")))</f>
        <v>EMITIDA</v>
      </c>
      <c r="X1032" s="29" t="s">
        <v>307</v>
      </c>
      <c r="Y1032" s="17" t="s">
        <v>118</v>
      </c>
      <c r="Z1032" s="30">
        <v>45891</v>
      </c>
      <c r="AA1032" s="10" t="s">
        <v>150</v>
      </c>
      <c r="AB1032" s="19">
        <v>213</v>
      </c>
      <c r="AC1032" s="20">
        <v>15</v>
      </c>
      <c r="AD1032" s="18">
        <f>DATA[[#This Row],[FECHA DE EMISION]]+DATA[[#This Row],[CONDICION DE PAGO]]</f>
        <v>45906</v>
      </c>
      <c r="AE1032" s="23">
        <f>IF(DATA[[#This Row],[MONEDA]]="USD",VLOOKUP(DATA[[#This Row],[COMBINADA]],#REF!,11,0),1)</f>
        <v>1</v>
      </c>
      <c r="AF1032" s="129" t="str">
        <f>IF(DATA[[#This Row],[SERIE2]]="-","NO CORRESPONDE",IF(W1032="NO CORRESPONDE","NO CORRESPONDE",IF(Z1032&gt;0,"FACTURADO","PENDIENTE")))</f>
        <v>FACTURADO</v>
      </c>
      <c r="AG1032" s="133">
        <f>IFERROR(VLOOKUP(DATA[[#This Row],[COMBINADA]],#REF!,6,0),0)</f>
        <v>0</v>
      </c>
      <c r="AH1032" s="125">
        <f>IFERROR(VLOOKUP(DATA[[#This Row],[COMBINADA]],#REF!,9,0),0)/COUNTIFS(DATA[COMBINADA],DATA[[#This Row],[COMBINADA]])</f>
        <v>0</v>
      </c>
      <c r="AI1032" s="136">
        <f>IFERROR(VLOOKUP(DATA[[#This Row],[COMBINADA]],#REF!,6,0),0)</f>
        <v>0</v>
      </c>
      <c r="AJ1032" s="132">
        <f>IFERROR(VLOOKUP(DATA[[#This Row],[COMBINADA]],#REF!,9,0),0)/COUNTIFS(DATA[COMBINADA],DATA[[#This Row],[COMBINADA]])</f>
        <v>0</v>
      </c>
      <c r="AK1032" s="408">
        <f>IFERROR(VLOOKUP(DATA[[#This Row],[COMBINADA]],#REF!,6,0),0)</f>
        <v>0</v>
      </c>
      <c r="AL1032" s="125">
        <f>IFERROR(VLOOKUP(DATA[[#This Row],[COMBINADA]],#REF!,9,0),0)/COUNTIFS(DATA[COMBINADA],DATA[[#This Row],[COMBINADA]])</f>
        <v>0</v>
      </c>
      <c r="AM1032" s="147">
        <f>IFERROR(VLOOKUP(DATA[[#This Row],[COMBINADA]],#REF!,6,0),0)</f>
        <v>0</v>
      </c>
      <c r="AN1032" s="125">
        <f>IFERROR(VLOOKUP(DATA[[#This Row],[COMBINADA]],#REF!,9,0),0)/COUNTIFS(DATA[COMBINADA],DATA[[#This Row],[COMBINADA]])</f>
        <v>0</v>
      </c>
      <c r="AO1032" s="27">
        <f>IFERROR(VLOOKUP(DATA[[#This Row],[COMBINADA]],#REF!,6,0),0)</f>
        <v>0</v>
      </c>
      <c r="AP1032" s="132">
        <f>IFERROR(VLOOKUP(DATA[[#This Row],[COMBINADA]],#REF!,9,0),0)/COUNTIFS(DATA[COMBINADA],DATA[[#This Row],[COMBINADA]])</f>
        <v>0</v>
      </c>
      <c r="AQ103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489.7</v>
      </c>
      <c r="AR1032" s="26" t="str">
        <f>IFERROR(IF(DATA[[#This Row],[estado_fact]]="FACTURADO",VLOOKUP(DATA[[#This Row],[SERIE2]]&amp;"-"&amp;DATA[[#This Row],[NUMERO]],#REF!,34,0),"NO CORRESPONDE"),"NO CORRESPONDE")</f>
        <v>NO CORRESPONDE</v>
      </c>
      <c r="AS1032" s="22" t="str">
        <f>IF(DATA[[#This Row],[fecha_fs]]&gt;0,TEXT(DATA[[#This Row],[fecha_fs]],"Mmmm"),0)</f>
        <v>Agosto</v>
      </c>
      <c r="AT1032" s="22" t="str">
        <f>DATA[[#This Row],[SERIE2]]&amp;"-"&amp;DATA[[#This Row],[NUMERO]]</f>
        <v>FF01-213</v>
      </c>
      <c r="AU1032" s="28">
        <f>DATA[[#This Row],[TOTAL]]*DATA[[#This Row],[T.C.]]</f>
        <v>477.9</v>
      </c>
      <c r="AV1032" s="6">
        <f>DATA[[#This Row],[FECHA DE VAL.]]</f>
        <v>45882</v>
      </c>
      <c r="AW1032" s="6">
        <f>DATA[[#This Row],[FECHA DE EMISION]]</f>
        <v>45891</v>
      </c>
      <c r="AX1032" s="6">
        <f>DATA[[#This Row],[F1]]</f>
        <v>0</v>
      </c>
      <c r="AY1032" s="20">
        <f>IF(AV1032-DATA[[#This Row],[fecha_fs]]&lt;0,0,AV1032-DATA[[#This Row],[fecha_fs]])</f>
        <v>5</v>
      </c>
      <c r="AZ1032" s="20">
        <f t="shared" si="153"/>
        <v>9</v>
      </c>
      <c r="BA1032" s="53">
        <f t="shared" si="154"/>
        <v>0</v>
      </c>
      <c r="BB1032" s="195">
        <f>IFERROR(SUM(DATA[[#This Row],[fs_val_ttf]:[fact_pago_ttf]]),0)</f>
        <v>14</v>
      </c>
      <c r="BC1032" s="233">
        <v>45890</v>
      </c>
      <c r="BD1032" s="233">
        <v>45895</v>
      </c>
      <c r="BE1032" s="233">
        <v>45895</v>
      </c>
      <c r="BF1032" s="233">
        <v>45897</v>
      </c>
      <c r="BG1032" s="20">
        <f>IFERROR(IF(BC1032-DATA[[#This Row],[fecha_fs]]&lt;0,0,BC1032-DATA[[#This Row],[fecha_fs]]),0)</f>
        <v>13</v>
      </c>
      <c r="BH1032" s="20">
        <f t="shared" si="143"/>
        <v>5</v>
      </c>
      <c r="BI1032" s="20">
        <f t="shared" si="144"/>
        <v>0</v>
      </c>
      <c r="BJ1032" s="20">
        <f t="shared" si="145"/>
        <v>2</v>
      </c>
      <c r="BK1032" s="282">
        <f>IFERROR(SUM(DATA[[#This Row],[fs_fd_ttd]:[fend_fenf_ttd]]),0)</f>
        <v>20</v>
      </c>
      <c r="BL1032" s="20" t="str">
        <f>IF(DATA[[#This Row],[fecha_fs]]&gt;0,TEXT(DATA[[#This Row],[fecha_fs]],"YYYY"),0)</f>
        <v>2025</v>
      </c>
      <c r="BM1032" s="236" t="b">
        <v>0</v>
      </c>
      <c r="BN1032" s="278">
        <f>COUNTIF(DATA[[#This Row],[tiempo_td]], "&lt;=15")</f>
        <v>0</v>
      </c>
      <c r="BO1032" s="222"/>
    </row>
    <row r="1033" spans="1:67" ht="30.6" customHeight="1" x14ac:dyDescent="0.25">
      <c r="A1033" s="4">
        <v>20456012427</v>
      </c>
      <c r="B1033" s="5" t="s">
        <v>54</v>
      </c>
      <c r="C1033" s="52" t="s">
        <v>55</v>
      </c>
      <c r="D1033" s="4" t="s">
        <v>112</v>
      </c>
      <c r="E1033" s="5" t="s">
        <v>1</v>
      </c>
      <c r="F1033" s="24">
        <v>45877</v>
      </c>
      <c r="G1033" s="7" t="s">
        <v>113</v>
      </c>
      <c r="H1033" s="25">
        <f t="shared" si="152"/>
        <v>1</v>
      </c>
      <c r="I1033" s="67">
        <v>4850</v>
      </c>
      <c r="J1033" s="8" t="s">
        <v>115</v>
      </c>
      <c r="K1033" s="9" t="s">
        <v>116</v>
      </c>
      <c r="L1033" s="10" t="s">
        <v>117</v>
      </c>
      <c r="M1033" s="11">
        <v>155</v>
      </c>
      <c r="N1033" s="12" t="s">
        <v>114</v>
      </c>
      <c r="O1033" s="6">
        <v>45882</v>
      </c>
      <c r="P1033" s="13">
        <v>3599</v>
      </c>
      <c r="Q1033" s="14" t="s">
        <v>85</v>
      </c>
      <c r="R1033" s="15">
        <f>DATA[[#This Row],[cantidad_fs]]*1</f>
        <v>155</v>
      </c>
      <c r="S1033" s="56">
        <v>270</v>
      </c>
      <c r="T1033" s="237">
        <f>DATA[[#This Row],[C. DF]]+DATA[[#This Row],[C.OPE.]]</f>
        <v>425</v>
      </c>
      <c r="U1033" s="15">
        <f>DATA[[#This Row],[SUB TOTAL]]*0.18</f>
        <v>76.5</v>
      </c>
      <c r="V1033" s="15">
        <f>IFERROR(ROUND(DATA[[#This Row],[SUB TOTAL]]+DATA[[#This Row],[IGV]],2),0)</f>
        <v>501.5</v>
      </c>
      <c r="W1033" s="16" t="str">
        <f>IF(DATA[[#This Row],[VALORIZACIÓN ]]="-","NO CORRESPONDE",IF(OR(A1033=20558226979,A1033=10470707866,A1033=20111157058,A1033=20100226902),"NO CORRESPONDE",IF(J1033="Emitida",IF(P1033&gt;0,"EMITIDA","PENDIENTE"),"NO CORRESPONDE")))</f>
        <v>EMITIDA</v>
      </c>
      <c r="X1033" s="29" t="s">
        <v>307</v>
      </c>
      <c r="Y1033" s="17" t="s">
        <v>118</v>
      </c>
      <c r="Z1033" s="30">
        <v>45891</v>
      </c>
      <c r="AA1033" s="10" t="s">
        <v>150</v>
      </c>
      <c r="AB1033" s="19">
        <v>213</v>
      </c>
      <c r="AC1033" s="20">
        <v>15</v>
      </c>
      <c r="AD1033" s="18">
        <f>DATA[[#This Row],[FECHA DE EMISION]]+DATA[[#This Row],[CONDICION DE PAGO]]</f>
        <v>45906</v>
      </c>
      <c r="AE1033" s="23">
        <f>IF(DATA[[#This Row],[MONEDA]]="USD",VLOOKUP(DATA[[#This Row],[COMBINADA]],#REF!,11,0),1)</f>
        <v>1</v>
      </c>
      <c r="AF1033" s="129" t="str">
        <f>IF(DATA[[#This Row],[SERIE2]]="-","NO CORRESPONDE",IF(W1033="NO CORRESPONDE","NO CORRESPONDE",IF(Z1033&gt;0,"FACTURADO","PENDIENTE")))</f>
        <v>FACTURADO</v>
      </c>
      <c r="AG1033" s="133">
        <f>IFERROR(VLOOKUP(DATA[[#This Row],[COMBINADA]],#REF!,6,0),0)</f>
        <v>0</v>
      </c>
      <c r="AH1033" s="125">
        <f>IFERROR(VLOOKUP(DATA[[#This Row],[COMBINADA]],#REF!,9,0),0)/COUNTIFS(DATA[COMBINADA],DATA[[#This Row],[COMBINADA]])</f>
        <v>0</v>
      </c>
      <c r="AI1033" s="136">
        <f>IFERROR(VLOOKUP(DATA[[#This Row],[COMBINADA]],#REF!,6,0),0)</f>
        <v>0</v>
      </c>
      <c r="AJ1033" s="132">
        <f>IFERROR(VLOOKUP(DATA[[#This Row],[COMBINADA]],#REF!,9,0),0)/COUNTIFS(DATA[COMBINADA],DATA[[#This Row],[COMBINADA]])</f>
        <v>0</v>
      </c>
      <c r="AK1033" s="408">
        <f>IFERROR(VLOOKUP(DATA[[#This Row],[COMBINADA]],#REF!,6,0),0)</f>
        <v>0</v>
      </c>
      <c r="AL1033" s="125">
        <f>IFERROR(VLOOKUP(DATA[[#This Row],[COMBINADA]],#REF!,9,0),0)/COUNTIFS(DATA[COMBINADA],DATA[[#This Row],[COMBINADA]])</f>
        <v>0</v>
      </c>
      <c r="AM1033" s="147">
        <f>IFERROR(VLOOKUP(DATA[[#This Row],[COMBINADA]],#REF!,6,0),0)</f>
        <v>0</v>
      </c>
      <c r="AN1033" s="125">
        <f>IFERROR(VLOOKUP(DATA[[#This Row],[COMBINADA]],#REF!,9,0),0)/COUNTIFS(DATA[COMBINADA],DATA[[#This Row],[COMBINADA]])</f>
        <v>0</v>
      </c>
      <c r="AO1033" s="27">
        <f>IFERROR(VLOOKUP(DATA[[#This Row],[COMBINADA]],#REF!,6,0),0)</f>
        <v>0</v>
      </c>
      <c r="AP1033" s="132">
        <f>IFERROR(VLOOKUP(DATA[[#This Row],[COMBINADA]],#REF!,9,0),0)/COUNTIFS(DATA[COMBINADA],DATA[[#This Row],[COMBINADA]])</f>
        <v>0</v>
      </c>
      <c r="AQ103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489.7</v>
      </c>
      <c r="AR1033" s="26" t="str">
        <f>IFERROR(IF(DATA[[#This Row],[estado_fact]]="FACTURADO",VLOOKUP(DATA[[#This Row],[SERIE2]]&amp;"-"&amp;DATA[[#This Row],[NUMERO]],#REF!,34,0),"NO CORRESPONDE"),"NO CORRESPONDE")</f>
        <v>NO CORRESPONDE</v>
      </c>
      <c r="AS1033" s="22" t="str">
        <f>IF(DATA[[#This Row],[fecha_fs]]&gt;0,TEXT(DATA[[#This Row],[fecha_fs]],"Mmmm"),0)</f>
        <v>Agosto</v>
      </c>
      <c r="AT1033" s="22" t="str">
        <f>DATA[[#This Row],[SERIE2]]&amp;"-"&amp;DATA[[#This Row],[NUMERO]]</f>
        <v>FF01-213</v>
      </c>
      <c r="AU1033" s="28">
        <f>DATA[[#This Row],[TOTAL]]*DATA[[#This Row],[T.C.]]</f>
        <v>501.5</v>
      </c>
      <c r="AV1033" s="6">
        <f>DATA[[#This Row],[FECHA DE VAL.]]</f>
        <v>45882</v>
      </c>
      <c r="AW1033" s="6">
        <f>DATA[[#This Row],[FECHA DE EMISION]]</f>
        <v>45891</v>
      </c>
      <c r="AX1033" s="6">
        <f>DATA[[#This Row],[F1]]</f>
        <v>0</v>
      </c>
      <c r="AY1033" s="20">
        <f>IF(AV1033-DATA[[#This Row],[fecha_fs]]&lt;0,0,AV1033-DATA[[#This Row],[fecha_fs]])</f>
        <v>5</v>
      </c>
      <c r="AZ1033" s="20">
        <f t="shared" si="153"/>
        <v>9</v>
      </c>
      <c r="BA1033" s="53">
        <f t="shared" si="154"/>
        <v>0</v>
      </c>
      <c r="BB1033" s="195">
        <f>IFERROR(SUM(DATA[[#This Row],[fs_val_ttf]:[fact_pago_ttf]]),0)</f>
        <v>14</v>
      </c>
      <c r="BC1033" s="233">
        <v>45890</v>
      </c>
      <c r="BD1033" s="233">
        <v>45895</v>
      </c>
      <c r="BE1033" s="233">
        <v>45895</v>
      </c>
      <c r="BF1033" s="233">
        <v>45897</v>
      </c>
      <c r="BG1033" s="20">
        <f>IFERROR(IF(BC1033-DATA[[#This Row],[fecha_fs]]&lt;0,0,BC1033-DATA[[#This Row],[fecha_fs]]),0)</f>
        <v>13</v>
      </c>
      <c r="BH1033" s="20">
        <f t="shared" si="143"/>
        <v>5</v>
      </c>
      <c r="BI1033" s="20">
        <f t="shared" si="144"/>
        <v>0</v>
      </c>
      <c r="BJ1033" s="20">
        <f t="shared" si="145"/>
        <v>2</v>
      </c>
      <c r="BK1033" s="282">
        <f>IFERROR(SUM(DATA[[#This Row],[fs_fd_ttd]:[fend_fenf_ttd]]),0)</f>
        <v>20</v>
      </c>
      <c r="BL1033" s="20" t="str">
        <f>IF(DATA[[#This Row],[fecha_fs]]&gt;0,TEXT(DATA[[#This Row],[fecha_fs]],"YYYY"),0)</f>
        <v>2025</v>
      </c>
      <c r="BM1033" s="236" t="b">
        <v>0</v>
      </c>
      <c r="BN1033" s="278">
        <f>COUNTIF(DATA[[#This Row],[tiempo_td]], "&lt;=15")</f>
        <v>0</v>
      </c>
      <c r="BO1033" s="222"/>
    </row>
    <row r="1034" spans="1:67" ht="30.6" customHeight="1" x14ac:dyDescent="0.25">
      <c r="A1034" s="4">
        <v>20100192064</v>
      </c>
      <c r="B1034" s="5" t="s">
        <v>60</v>
      </c>
      <c r="C1034" s="52" t="s">
        <v>43</v>
      </c>
      <c r="D1034" s="4" t="s">
        <v>120</v>
      </c>
      <c r="E1034" s="5" t="s">
        <v>3</v>
      </c>
      <c r="F1034" s="24">
        <v>45880</v>
      </c>
      <c r="G1034" s="7" t="s">
        <v>113</v>
      </c>
      <c r="H1034" s="25">
        <f t="shared" ref="H1034:H1036" si="155">IF(G1034="","",IF(G1034="LIM",2,1))</f>
        <v>1</v>
      </c>
      <c r="I1034" s="67">
        <v>4851</v>
      </c>
      <c r="J1034" s="8" t="s">
        <v>115</v>
      </c>
      <c r="K1034" s="9" t="s">
        <v>121</v>
      </c>
      <c r="L1034" s="10" t="s">
        <v>117</v>
      </c>
      <c r="M1034" s="11">
        <v>790</v>
      </c>
      <c r="N1034" s="12" t="s">
        <v>129</v>
      </c>
      <c r="O1034" s="6">
        <v>45894</v>
      </c>
      <c r="P1034" s="71">
        <v>3610</v>
      </c>
      <c r="Q1034" s="14" t="s">
        <v>123</v>
      </c>
      <c r="R1034" s="15">
        <f>(DATA[[#This Row],[cantidad_fs]]/1000)*(47+174.34)</f>
        <v>174.85860000000002</v>
      </c>
      <c r="S1034" s="15">
        <v>137</v>
      </c>
      <c r="T1034" s="237">
        <f>DATA[[#This Row],[C. DF]]+DATA[[#This Row],[C.OPE.]]</f>
        <v>311.85860000000002</v>
      </c>
      <c r="U1034" s="15">
        <f>DATA[[#This Row],[SUB TOTAL]]*0.18</f>
        <v>56.134548000000002</v>
      </c>
      <c r="V1034" s="15">
        <f>IFERROR(ROUND(DATA[[#This Row],[SUB TOTAL]]+DATA[[#This Row],[IGV]],2),0)</f>
        <v>367.99</v>
      </c>
      <c r="W1034" s="16" t="str">
        <f>IF(DATA[[#This Row],[VALORIZACIÓN ]]="-","NO CORRESPONDE",IF(OR(A1034=20558226979,A1034=10470707866,A1034=20111157058,A1034=20100226902),"NO CORRESPONDE",IF(J1034="Emitida",IF(P1034&gt;0,"EMITIDA","PENDIENTE"),"NO CORRESPONDE")))</f>
        <v>EMITIDA</v>
      </c>
      <c r="X1034" s="29" t="s">
        <v>322</v>
      </c>
      <c r="Y1034" s="17" t="s">
        <v>118</v>
      </c>
      <c r="Z1034" s="277">
        <v>45898</v>
      </c>
      <c r="AA1034" s="20" t="s">
        <v>150</v>
      </c>
      <c r="AB1034" s="19">
        <v>229</v>
      </c>
      <c r="AC1034" s="20">
        <v>30</v>
      </c>
      <c r="AD1034" s="18">
        <f>DATA[[#This Row],[FECHA DE EMISION]]+DATA[[#This Row],[CONDICION DE PAGO]]</f>
        <v>45928</v>
      </c>
      <c r="AE1034" s="23" t="e">
        <f>IF(DATA[[#This Row],[MONEDA]]="USD",VLOOKUP(DATA[[#This Row],[COMBINADA]],#REF!,11,0),1)</f>
        <v>#REF!</v>
      </c>
      <c r="AF1034" s="129" t="str">
        <f>IF(DATA[[#This Row],[SERIE2]]="-","NO CORRESPONDE",IF(W1034="NO CORRESPONDE","NO CORRESPONDE",IF(Z1034&gt;0,"FACTURADO","PENDIENTE")))</f>
        <v>FACTURADO</v>
      </c>
      <c r="AG1034" s="133">
        <f>IFERROR(VLOOKUP(DATA[[#This Row],[COMBINADA]],#REF!,6,0),0)</f>
        <v>0</v>
      </c>
      <c r="AH1034" s="125">
        <f>IFERROR(VLOOKUP(DATA[[#This Row],[COMBINADA]],#REF!,9,0),0)/COUNTIFS(DATA[COMBINADA],DATA[[#This Row],[COMBINADA]])</f>
        <v>0</v>
      </c>
      <c r="AI1034" s="136">
        <f>IFERROR(VLOOKUP(DATA[[#This Row],[COMBINADA]],#REF!,6,0),0)</f>
        <v>0</v>
      </c>
      <c r="AJ1034" s="132">
        <f>IFERROR(VLOOKUP(DATA[[#This Row],[COMBINADA]],#REF!,9,0),0)/COUNTIFS(DATA[COMBINADA],DATA[[#This Row],[COMBINADA]])</f>
        <v>0</v>
      </c>
      <c r="AK1034" s="408">
        <f>IFERROR(VLOOKUP(DATA[[#This Row],[COMBINADA]],#REF!,6,0),0)</f>
        <v>0</v>
      </c>
      <c r="AL1034" s="125">
        <f>IFERROR(VLOOKUP(DATA[[#This Row],[COMBINADA]],#REF!,9,0),0)/COUNTIFS(DATA[COMBINADA],DATA[[#This Row],[COMBINADA]])</f>
        <v>0</v>
      </c>
      <c r="AM1034" s="147">
        <f>IFERROR(VLOOKUP(DATA[[#This Row],[COMBINADA]],#REF!,6,0),0)</f>
        <v>0</v>
      </c>
      <c r="AN1034" s="125">
        <f>IFERROR(VLOOKUP(DATA[[#This Row],[COMBINADA]],#REF!,9,0),0)/COUNTIFS(DATA[COMBINADA],DATA[[#This Row],[COMBINADA]])</f>
        <v>0</v>
      </c>
      <c r="AO1034" s="27">
        <f>IFERROR(VLOOKUP(DATA[[#This Row],[COMBINADA]],#REF!,6,0),0)</f>
        <v>0</v>
      </c>
      <c r="AP1034" s="132">
        <f>IFERROR(VLOOKUP(DATA[[#This Row],[COMBINADA]],#REF!,9,0),0)/COUNTIFS(DATA[COMBINADA],DATA[[#This Row],[COMBINADA]])</f>
        <v>0</v>
      </c>
      <c r="AQ103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587.06100000000004</v>
      </c>
      <c r="AR1034" s="26" t="str">
        <f>IFERROR(IF(DATA[[#This Row],[estado_fact]]="FACTURADO",VLOOKUP(DATA[[#This Row],[SERIE2]]&amp;"-"&amp;DATA[[#This Row],[NUMERO]],#REF!,34,0),"NO CORRESPONDE"),"NO CORRESPONDE")</f>
        <v>NO CORRESPONDE</v>
      </c>
      <c r="AS1034" s="22" t="str">
        <f>IF(DATA[[#This Row],[fecha_fs]]&gt;0,TEXT(DATA[[#This Row],[fecha_fs]],"Mmmm"),0)</f>
        <v>Agosto</v>
      </c>
      <c r="AT1034" s="22" t="str">
        <f>DATA[[#This Row],[SERIE2]]&amp;"-"&amp;DATA[[#This Row],[NUMERO]]</f>
        <v>FF01-229</v>
      </c>
      <c r="AU1034" s="28" t="e">
        <f>DATA[[#This Row],[TOTAL]]*DATA[[#This Row],[T.C.]]</f>
        <v>#REF!</v>
      </c>
      <c r="AV1034" s="6">
        <f>DATA[[#This Row],[FECHA DE VAL.]]</f>
        <v>45894</v>
      </c>
      <c r="AW1034" s="6">
        <f>DATA[[#This Row],[FECHA DE EMISION]]</f>
        <v>45898</v>
      </c>
      <c r="AX1034" s="6">
        <f>DATA[[#This Row],[F1]]</f>
        <v>0</v>
      </c>
      <c r="AY1034" s="20">
        <f>IF(AV1034-DATA[[#This Row],[fecha_fs]]&lt;0,0,AV1034-DATA[[#This Row],[fecha_fs]])</f>
        <v>14</v>
      </c>
      <c r="AZ1034" s="20">
        <f t="shared" ref="AZ1034:AZ1036" si="156">IF(AW1034-AV1034&lt;0,0,AW1034-AV1034)</f>
        <v>4</v>
      </c>
      <c r="BA1034" s="53">
        <f t="shared" ref="BA1034:BA1036" si="157">IF(AX1034-AW1034&lt;0,0,AX1034-AW1034)</f>
        <v>0</v>
      </c>
      <c r="BB1034" s="195">
        <f>IFERROR(SUM(DATA[[#This Row],[fs_val_ttf]:[fact_pago_ttf]]),0)</f>
        <v>18</v>
      </c>
      <c r="BC1034" s="233">
        <v>45895</v>
      </c>
      <c r="BD1034" s="233">
        <v>45903</v>
      </c>
      <c r="BE1034" s="233">
        <v>45904</v>
      </c>
      <c r="BF1034" s="233">
        <v>45945</v>
      </c>
      <c r="BG1034" s="20">
        <f>IFERROR(IF(BC1034-DATA[[#This Row],[fecha_fs]]&lt;0,0,BC1034-DATA[[#This Row],[fecha_fs]]),0)</f>
        <v>15</v>
      </c>
      <c r="BH1034" s="20">
        <f t="shared" si="143"/>
        <v>8</v>
      </c>
      <c r="BI1034" s="20">
        <f t="shared" si="144"/>
        <v>1</v>
      </c>
      <c r="BJ1034" s="20">
        <f t="shared" si="145"/>
        <v>41</v>
      </c>
      <c r="BK1034" s="282">
        <f>IFERROR(SUM(DATA[[#This Row],[fs_fd_ttd]:[fend_fenf_ttd]]),0)</f>
        <v>65</v>
      </c>
      <c r="BL1034" s="20" t="str">
        <f>IF(DATA[[#This Row],[fecha_fs]]&gt;0,TEXT(DATA[[#This Row],[fecha_fs]],"YYYY"),0)</f>
        <v>2025</v>
      </c>
      <c r="BM1034" s="236" t="b">
        <v>1</v>
      </c>
      <c r="BN1034" s="278">
        <f>COUNTIF(DATA[[#This Row],[tiempo_td]], "&lt;=15")</f>
        <v>0</v>
      </c>
      <c r="BO1034" s="222"/>
    </row>
    <row r="1035" spans="1:67" ht="30.6" customHeight="1" x14ac:dyDescent="0.25">
      <c r="A1035" s="4">
        <v>20505675836</v>
      </c>
      <c r="B1035" s="5" t="s">
        <v>42</v>
      </c>
      <c r="C1035" s="52" t="s">
        <v>43</v>
      </c>
      <c r="D1035" s="4" t="s">
        <v>112</v>
      </c>
      <c r="E1035" s="5" t="s">
        <v>1</v>
      </c>
      <c r="F1035" s="24">
        <v>45880</v>
      </c>
      <c r="G1035" s="7" t="s">
        <v>113</v>
      </c>
      <c r="H1035" s="25">
        <f t="shared" si="155"/>
        <v>1</v>
      </c>
      <c r="I1035" s="67">
        <v>4852</v>
      </c>
      <c r="J1035" s="8" t="s">
        <v>115</v>
      </c>
      <c r="K1035" s="9" t="s">
        <v>116</v>
      </c>
      <c r="L1035" s="10" t="s">
        <v>117</v>
      </c>
      <c r="M1035" s="11">
        <v>980</v>
      </c>
      <c r="N1035" s="12" t="s">
        <v>129</v>
      </c>
      <c r="O1035" s="6">
        <v>45896</v>
      </c>
      <c r="P1035" s="71">
        <v>3633</v>
      </c>
      <c r="Q1035" s="14" t="s">
        <v>85</v>
      </c>
      <c r="R1035" s="15">
        <f>(DATA[[#This Row],[cantidad_fs]]-600)*0.97</f>
        <v>368.59999999999997</v>
      </c>
      <c r="S1035" s="15">
        <v>1427.2</v>
      </c>
      <c r="T1035" s="237">
        <f>DATA[[#This Row],[C. DF]]+DATA[[#This Row],[C.OPE.]]</f>
        <v>1795.8</v>
      </c>
      <c r="U1035" s="15">
        <f>DATA[[#This Row],[SUB TOTAL]]*0.18</f>
        <v>323.24399999999997</v>
      </c>
      <c r="V1035" s="15">
        <f>IFERROR(ROUND(DATA[[#This Row],[SUB TOTAL]]+DATA[[#This Row],[IGV]],2),0)</f>
        <v>2119.04</v>
      </c>
      <c r="W1035" s="16" t="str">
        <f>IF(DATA[[#This Row],[VALORIZACIÓN ]]="-","NO CORRESPONDE",IF(OR(A1035=20558226979,A1035=10470707866,A1035=20111157058,A1035=20100226902),"NO CORRESPONDE",IF(J1035="Emitida",IF(P1035&gt;0,"EMITIDA","PENDIENTE"),"NO CORRESPONDE")))</f>
        <v>EMITIDA</v>
      </c>
      <c r="X1035" s="29"/>
      <c r="Y1035" s="17" t="s">
        <v>118</v>
      </c>
      <c r="Z1035" s="30">
        <v>45922</v>
      </c>
      <c r="AA1035" s="10" t="s">
        <v>150</v>
      </c>
      <c r="AB1035" s="19">
        <v>260</v>
      </c>
      <c r="AC1035" s="20">
        <v>30</v>
      </c>
      <c r="AD1035" s="18">
        <f>DATA[[#This Row],[FECHA DE EMISION]]+DATA[[#This Row],[CONDICION DE PAGO]]</f>
        <v>45952</v>
      </c>
      <c r="AE1035" s="23">
        <f>IF(DATA[[#This Row],[MONEDA]]="USD",VLOOKUP(DATA[[#This Row],[COMBINADA]],#REF!,11,0),1)</f>
        <v>1</v>
      </c>
      <c r="AF1035" s="129" t="str">
        <f>IF(DATA[[#This Row],[SERIE2]]="-","NO CORRESPONDE",IF(W1035="NO CORRESPONDE","NO CORRESPONDE",IF(Z1035&gt;0,"FACTURADO","PENDIENTE")))</f>
        <v>FACTURADO</v>
      </c>
      <c r="AG1035" s="133">
        <f>IFERROR(VLOOKUP(DATA[[#This Row],[COMBINADA]],#REF!,6,0),0)</f>
        <v>0</v>
      </c>
      <c r="AH1035" s="125">
        <f>IFERROR(VLOOKUP(DATA[[#This Row],[COMBINADA]],#REF!,9,0),0)/COUNTIFS(DATA[COMBINADA],DATA[[#This Row],[COMBINADA]])</f>
        <v>0</v>
      </c>
      <c r="AI1035" s="136">
        <f>IFERROR(VLOOKUP(DATA[[#This Row],[COMBINADA]],#REF!,6,0),0)</f>
        <v>0</v>
      </c>
      <c r="AJ1035" s="132">
        <f>IFERROR(VLOOKUP(DATA[[#This Row],[COMBINADA]],#REF!,9,0),0)/COUNTIFS(DATA[COMBINADA],DATA[[#This Row],[COMBINADA]])</f>
        <v>0</v>
      </c>
      <c r="AK1035" s="408">
        <f>IFERROR(VLOOKUP(DATA[[#This Row],[COMBINADA]],#REF!,6,0),0)</f>
        <v>0</v>
      </c>
      <c r="AL1035" s="125">
        <f>IFERROR(VLOOKUP(DATA[[#This Row],[COMBINADA]],#REF!,9,0),0)/COUNTIFS(DATA[COMBINADA],DATA[[#This Row],[COMBINADA]])</f>
        <v>0</v>
      </c>
      <c r="AM1035" s="147">
        <f>IFERROR(VLOOKUP(DATA[[#This Row],[COMBINADA]],#REF!,6,0),0)</f>
        <v>0</v>
      </c>
      <c r="AN1035" s="125">
        <f>IFERROR(VLOOKUP(DATA[[#This Row],[COMBINADA]],#REF!,9,0),0)/COUNTIFS(DATA[COMBINADA],DATA[[#This Row],[COMBINADA]])</f>
        <v>0</v>
      </c>
      <c r="AO1035" s="27">
        <f>IFERROR(VLOOKUP(DATA[[#This Row],[COMBINADA]],#REF!,6,0),0)</f>
        <v>0</v>
      </c>
      <c r="AP1035" s="132">
        <f>IFERROR(VLOOKUP(DATA[[#This Row],[COMBINADA]],#REF!,9,0),0)/COUNTIFS(DATA[COMBINADA],DATA[[#This Row],[COMBINADA]])</f>
        <v>0</v>
      </c>
      <c r="AQ103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1684.26</v>
      </c>
      <c r="AR1035" s="26" t="str">
        <f>IFERROR(IF(DATA[[#This Row],[estado_fact]]="FACTURADO",VLOOKUP(DATA[[#This Row],[SERIE2]]&amp;"-"&amp;DATA[[#This Row],[NUMERO]],#REF!,34,0),"NO CORRESPONDE"),"NO CORRESPONDE")</f>
        <v>NO CORRESPONDE</v>
      </c>
      <c r="AS1035" s="22" t="str">
        <f>IF(DATA[[#This Row],[fecha_fs]]&gt;0,TEXT(DATA[[#This Row],[fecha_fs]],"Mmmm"),0)</f>
        <v>Agosto</v>
      </c>
      <c r="AT1035" s="22" t="str">
        <f>DATA[[#This Row],[SERIE2]]&amp;"-"&amp;DATA[[#This Row],[NUMERO]]</f>
        <v>FF01-260</v>
      </c>
      <c r="AU1035" s="28">
        <f>DATA[[#This Row],[TOTAL]]*DATA[[#This Row],[T.C.]]</f>
        <v>2119.04</v>
      </c>
      <c r="AV1035" s="6">
        <f>DATA[[#This Row],[FECHA DE VAL.]]</f>
        <v>45896</v>
      </c>
      <c r="AW1035" s="6">
        <f>DATA[[#This Row],[FECHA DE EMISION]]</f>
        <v>45922</v>
      </c>
      <c r="AX1035" s="6">
        <f>DATA[[#This Row],[F1]]</f>
        <v>0</v>
      </c>
      <c r="AY1035" s="20">
        <f>IF(AV1035-DATA[[#This Row],[fecha_fs]]&lt;0,0,AV1035-DATA[[#This Row],[fecha_fs]])</f>
        <v>16</v>
      </c>
      <c r="AZ1035" s="20">
        <f t="shared" si="156"/>
        <v>26</v>
      </c>
      <c r="BA1035" s="53">
        <f t="shared" si="157"/>
        <v>0</v>
      </c>
      <c r="BB1035" s="195">
        <f>IFERROR(SUM(DATA[[#This Row],[fs_val_ttf]:[fact_pago_ttf]]),0)</f>
        <v>42</v>
      </c>
      <c r="BC1035" s="233">
        <v>45890</v>
      </c>
      <c r="BD1035" s="233">
        <v>45895</v>
      </c>
      <c r="BE1035" s="233">
        <v>45904</v>
      </c>
      <c r="BF1035" s="233">
        <v>45932</v>
      </c>
      <c r="BG1035" s="20">
        <f>IFERROR(IF(BC1035-DATA[[#This Row],[fecha_fs]]&lt;0,0,BC1035-DATA[[#This Row],[fecha_fs]]),0)</f>
        <v>10</v>
      </c>
      <c r="BH1035" s="20">
        <f t="shared" si="143"/>
        <v>5</v>
      </c>
      <c r="BI1035" s="20">
        <f t="shared" si="144"/>
        <v>9</v>
      </c>
      <c r="BJ1035" s="20">
        <f t="shared" si="145"/>
        <v>28</v>
      </c>
      <c r="BK1035" s="282">
        <f>IFERROR(SUM(DATA[[#This Row],[fs_fd_ttd]:[fend_fenf_ttd]]),0)</f>
        <v>52</v>
      </c>
      <c r="BL1035" s="20" t="str">
        <f>IF(DATA[[#This Row],[fecha_fs]]&gt;0,TEXT(DATA[[#This Row],[fecha_fs]],"YYYY"),0)</f>
        <v>2025</v>
      </c>
      <c r="BM1035" s="236" t="b">
        <v>1</v>
      </c>
      <c r="BN1035" s="278">
        <f>COUNTIF(DATA[[#This Row],[tiempo_td]], "&lt;=15")</f>
        <v>0</v>
      </c>
      <c r="BO1035" s="222"/>
    </row>
    <row r="1036" spans="1:67" ht="30.6" customHeight="1" x14ac:dyDescent="0.25">
      <c r="A1036" s="4"/>
      <c r="B1036" s="5" t="s">
        <v>0</v>
      </c>
      <c r="C1036" s="52"/>
      <c r="D1036" s="4"/>
      <c r="E1036" s="5" t="s">
        <v>0</v>
      </c>
      <c r="F1036" s="24">
        <v>45880</v>
      </c>
      <c r="G1036" s="7" t="s">
        <v>113</v>
      </c>
      <c r="H1036" s="25">
        <f t="shared" si="155"/>
        <v>1</v>
      </c>
      <c r="I1036" s="67">
        <v>4853</v>
      </c>
      <c r="J1036" s="8" t="s">
        <v>151</v>
      </c>
      <c r="K1036" s="9"/>
      <c r="L1036" s="10"/>
      <c r="M1036" s="111"/>
      <c r="N1036" s="112"/>
      <c r="O1036" s="6"/>
      <c r="P1036" s="13"/>
      <c r="Q1036" s="14"/>
      <c r="R1036" s="15"/>
      <c r="S1036" s="15"/>
      <c r="T1036" s="237">
        <f>DATA[[#This Row],[C. DF]]+DATA[[#This Row],[C.OPE.]]</f>
        <v>0</v>
      </c>
      <c r="U1036" s="56">
        <f>DATA[[#This Row],[SUB TOTAL]]*0.18</f>
        <v>0</v>
      </c>
      <c r="V1036" s="56">
        <f>IFERROR(ROUND(DATA[[#This Row],[SUB TOTAL]]+DATA[[#This Row],[IGV]],2),0)</f>
        <v>0</v>
      </c>
      <c r="W1036" s="73" t="str">
        <f>IF(DATA[[#This Row],[VALORIZACIÓN ]]="-","NO CORRESPONDE",IF(OR(A1036=20558226979,A1036=10470707866,A1036=20111157058,A1036=20100226902),"NO CORRESPONDE",IF(J1036="Emitida",IF(P1036&gt;0,"EMITIDA","PENDIENTE"),"NO CORRESPONDE")))</f>
        <v>NO CORRESPONDE</v>
      </c>
      <c r="X1036" s="46"/>
      <c r="Y1036" s="17" t="s">
        <v>128</v>
      </c>
      <c r="Z1036" s="48"/>
      <c r="AA1036" s="49"/>
      <c r="AB1036" s="50"/>
      <c r="AC1036" s="51"/>
      <c r="AD1036" s="59">
        <f>DATA[[#This Row],[FECHA DE EMISION]]+DATA[[#This Row],[CONDICION DE PAGO]]</f>
        <v>0</v>
      </c>
      <c r="AE1036" s="23">
        <f>IF(DATA[[#This Row],[MONEDA]]="USD",VLOOKUP(DATA[[#This Row],[COMBINADA]],#REF!,11,0),1)</f>
        <v>1</v>
      </c>
      <c r="AF1036" s="129" t="str">
        <f>IF(DATA[[#This Row],[SERIE2]]="-","NO CORRESPONDE",IF(W1036="NO CORRESPONDE","NO CORRESPONDE",IF(Z1036&gt;0,"FACTURADO","PENDIENTE")))</f>
        <v>NO CORRESPONDE</v>
      </c>
      <c r="AG1036" s="208">
        <f>IFERROR(VLOOKUP(DATA[[#This Row],[COMBINADA]],#REF!,6,0),0)</f>
        <v>0</v>
      </c>
      <c r="AH1036" s="209">
        <f>IFERROR(VLOOKUP(DATA[[#This Row],[COMBINADA]],#REF!,9,0),0)/COUNTIFS(DATA[COMBINADA],DATA[[#This Row],[COMBINADA]])</f>
        <v>0</v>
      </c>
      <c r="AI1036" s="140">
        <f>IFERROR(VLOOKUP(DATA[[#This Row],[COMBINADA]],#REF!,6,0),0)</f>
        <v>0</v>
      </c>
      <c r="AJ1036" s="126">
        <f>IFERROR(VLOOKUP(DATA[[#This Row],[COMBINADA]],#REF!,9,0),0)/COUNTIFS(DATA[COMBINADA],DATA[[#This Row],[COMBINADA]])</f>
        <v>0</v>
      </c>
      <c r="AK1036" s="61">
        <f>IFERROR(VLOOKUP(DATA[[#This Row],[COMBINADA]],#REF!,6,0),0)</f>
        <v>0</v>
      </c>
      <c r="AL1036" s="126">
        <f>IFERROR(VLOOKUP(DATA[[#This Row],[COMBINADA]],#REF!,9,0),0)/COUNTIFS(DATA[COMBINADA],DATA[[#This Row],[COMBINADA]])</f>
        <v>0</v>
      </c>
      <c r="AM1036" s="61">
        <f>IFERROR(VLOOKUP(DATA[[#This Row],[COMBINADA]],#REF!,6,0),0)</f>
        <v>0</v>
      </c>
      <c r="AN1036" s="62">
        <f>IFERROR(VLOOKUP(DATA[[#This Row],[COMBINADA]],#REF!,9,0),0)/COUNTIFS(DATA[COMBINADA],DATA[[#This Row],[COMBINADA]])</f>
        <v>0</v>
      </c>
      <c r="AO1036" s="61">
        <f>IFERROR(VLOOKUP(DATA[[#This Row],[COMBINADA]],#REF!,6,0),0)</f>
        <v>0</v>
      </c>
      <c r="AP1036" s="62">
        <f>IFERROR(VLOOKUP(DATA[[#This Row],[COMBINADA]],#REF!,9,0),0)/COUNTIFS(DATA[COMBINADA],DATA[[#This Row],[COMBINADA]])</f>
        <v>0</v>
      </c>
      <c r="AQ1036"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036" s="22" t="str">
        <f>IFERROR(IF(DATA[[#This Row],[estado_fact]]="FACTURADO",VLOOKUP(DATA[[#This Row],[SERIE2]]&amp;"-"&amp;DATA[[#This Row],[NUMERO]],#REF!,34,0),"NO CORRESPONDE"),"NO CORRESPONDE")</f>
        <v>NO CORRESPONDE</v>
      </c>
      <c r="AS1036" s="198" t="str">
        <f>IF(DATA[[#This Row],[fecha_fs]]&gt;0,TEXT(DATA[[#This Row],[fecha_fs]],"Mmmm"),0)</f>
        <v>Agosto</v>
      </c>
      <c r="AT1036" s="199" t="str">
        <f>DATA[[#This Row],[SERIE2]]&amp;"-"&amp;DATA[[#This Row],[NUMERO]]</f>
        <v>-</v>
      </c>
      <c r="AU1036" s="198">
        <f>DATA[[#This Row],[TOTAL]]*DATA[[#This Row],[T.C.]]</f>
        <v>0</v>
      </c>
      <c r="AV1036" s="40">
        <f>DATA[[#This Row],[FECHA DE VAL.]]</f>
        <v>0</v>
      </c>
      <c r="AW1036" s="40">
        <f>DATA[[#This Row],[FECHA DE EMISION]]</f>
        <v>0</v>
      </c>
      <c r="AX1036" s="40">
        <f>DATA[[#This Row],[F1]]</f>
        <v>0</v>
      </c>
      <c r="AY1036" s="49">
        <f>IF(AV1036-DATA[[#This Row],[fecha_fs]]&lt;0,0,AV1036-DATA[[#This Row],[fecha_fs]])</f>
        <v>0</v>
      </c>
      <c r="AZ1036" s="49">
        <f t="shared" si="156"/>
        <v>0</v>
      </c>
      <c r="BA1036" s="49">
        <f t="shared" si="157"/>
        <v>0</v>
      </c>
      <c r="BB1036" s="195">
        <f>IFERROR(SUM(DATA[[#This Row],[fs_val_ttf]:[fact_pago_ttf]]),0)</f>
        <v>0</v>
      </c>
      <c r="BC1036" s="276"/>
      <c r="BD1036" s="276"/>
      <c r="BE1036" s="276"/>
      <c r="BF1036" s="276"/>
      <c r="BG1036" s="49">
        <f>IFERROR(IF(BC1036-DATA[[#This Row],[fecha_fs]]&lt;0,0,BC1036-DATA[[#This Row],[fecha_fs]]),0)</f>
        <v>0</v>
      </c>
      <c r="BH1036" s="49">
        <f t="shared" si="143"/>
        <v>0</v>
      </c>
      <c r="BI1036" s="49">
        <f t="shared" si="144"/>
        <v>0</v>
      </c>
      <c r="BJ1036" s="49">
        <f t="shared" si="145"/>
        <v>0</v>
      </c>
      <c r="BK1036" s="282">
        <f>IFERROR(SUM(DATA[[#This Row],[fs_fd_ttd]:[fend_fenf_ttd]]),0)</f>
        <v>0</v>
      </c>
      <c r="BL1036" s="20" t="str">
        <f>IF(DATA[[#This Row],[fecha_fs]]&gt;0,TEXT(DATA[[#This Row],[fecha_fs]],"YYYY"),0)</f>
        <v>2025</v>
      </c>
      <c r="BM1036" s="221" t="b">
        <v>0</v>
      </c>
      <c r="BN1036" s="278"/>
      <c r="BO1036" s="222"/>
    </row>
    <row r="1037" spans="1:67" ht="30.6" customHeight="1" x14ac:dyDescent="0.25">
      <c r="A1037" s="4">
        <v>20100211115</v>
      </c>
      <c r="B1037" s="5" t="s">
        <v>41</v>
      </c>
      <c r="C1037" s="52" t="s">
        <v>18</v>
      </c>
      <c r="D1037" s="4" t="s">
        <v>120</v>
      </c>
      <c r="E1037" s="5" t="s">
        <v>3</v>
      </c>
      <c r="F1037" s="24">
        <v>45880</v>
      </c>
      <c r="G1037" s="7" t="s">
        <v>113</v>
      </c>
      <c r="H1037" s="25">
        <f>IF(G1037="","",IF(G1037="LIM",2,1))</f>
        <v>1</v>
      </c>
      <c r="I1037" s="67">
        <v>4854</v>
      </c>
      <c r="J1037" s="8" t="s">
        <v>115</v>
      </c>
      <c r="K1037" s="9" t="s">
        <v>121</v>
      </c>
      <c r="L1037" s="10" t="s">
        <v>117</v>
      </c>
      <c r="M1037" s="11">
        <v>90</v>
      </c>
      <c r="N1037" s="12" t="s">
        <v>132</v>
      </c>
      <c r="O1037" s="6">
        <v>45894</v>
      </c>
      <c r="P1037" s="115">
        <v>3625</v>
      </c>
      <c r="Q1037" s="14" t="s">
        <v>85</v>
      </c>
      <c r="R1037" s="15"/>
      <c r="S1037" s="15">
        <f>(DATA[[#This Row],[cantidad_fs]]*4.17)</f>
        <v>375.3</v>
      </c>
      <c r="T1037" s="237">
        <f>DATA[[#This Row],[C. DF]]+DATA[[#This Row],[C.OPE.]]</f>
        <v>375.3</v>
      </c>
      <c r="U1037" s="15">
        <f>DATA[[#This Row],[SUB TOTAL]]*0.18</f>
        <v>67.554000000000002</v>
      </c>
      <c r="V1037" s="15">
        <f>IFERROR(ROUND(DATA[[#This Row],[SUB TOTAL]]+DATA[[#This Row],[IGV]],2),0)</f>
        <v>442.85</v>
      </c>
      <c r="W1037" s="16" t="str">
        <f>IF(DATA[[#This Row],[VALORIZACIÓN ]]="-","NO CORRESPONDE",IF(OR(A1037=20558226979,A1037=10470707866,A1037=20111157058,A1037=20100226902),"NO CORRESPONDE",IF(J1037="Emitida",IF(P1037&gt;0,"EMITIDA","PENDIENTE"),"NO CORRESPONDE")))</f>
        <v>EMITIDA</v>
      </c>
      <c r="X1037" s="29"/>
      <c r="Y1037" s="17" t="s">
        <v>118</v>
      </c>
      <c r="Z1037" s="30">
        <v>45896</v>
      </c>
      <c r="AA1037" s="10" t="s">
        <v>150</v>
      </c>
      <c r="AB1037" s="19">
        <v>224</v>
      </c>
      <c r="AC1037" s="20">
        <v>30</v>
      </c>
      <c r="AD1037" s="18">
        <f>DATA[[#This Row],[FECHA DE EMISION]]+DATA[[#This Row],[CONDICION DE PAGO]]</f>
        <v>45926</v>
      </c>
      <c r="AE1037" s="23">
        <f>IF(DATA[[#This Row],[MONEDA]]="USD",VLOOKUP(DATA[[#This Row],[COMBINADA]],#REF!,11,0),1)</f>
        <v>1</v>
      </c>
      <c r="AF1037" s="129" t="str">
        <f>IF(DATA[[#This Row],[SERIE2]]="-","NO CORRESPONDE",IF(W1037="NO CORRESPONDE","NO CORRESPONDE",IF(Z1037&gt;0,"FACTURADO","PENDIENTE")))</f>
        <v>FACTURADO</v>
      </c>
      <c r="AG1037" s="133">
        <f>IFERROR(VLOOKUP(DATA[[#This Row],[COMBINADA]],#REF!,6,0),0)</f>
        <v>0</v>
      </c>
      <c r="AH1037" s="125">
        <f>IFERROR(VLOOKUP(DATA[[#This Row],[COMBINADA]],#REF!,9,0),0)/COUNTIFS(DATA[COMBINADA],DATA[[#This Row],[COMBINADA]])</f>
        <v>0</v>
      </c>
      <c r="AI1037" s="136">
        <f>IFERROR(VLOOKUP(DATA[[#This Row],[COMBINADA]],#REF!,6,0),0)</f>
        <v>0</v>
      </c>
      <c r="AJ1037" s="132">
        <f>IFERROR(VLOOKUP(DATA[[#This Row],[COMBINADA]],#REF!,9,0),0)/COUNTIFS(DATA[COMBINADA],DATA[[#This Row],[COMBINADA]])</f>
        <v>0</v>
      </c>
      <c r="AK1037" s="408">
        <f>IFERROR(VLOOKUP(DATA[[#This Row],[COMBINADA]],#REF!,6,0),0)</f>
        <v>0</v>
      </c>
      <c r="AL1037" s="125">
        <f>IFERROR(VLOOKUP(DATA[[#This Row],[COMBINADA]],#REF!,9,0),0)/COUNTIFS(DATA[COMBINADA],DATA[[#This Row],[COMBINADA]])</f>
        <v>0</v>
      </c>
      <c r="AM1037" s="147">
        <f>IFERROR(VLOOKUP(DATA[[#This Row],[COMBINADA]],#REF!,6,0),0)</f>
        <v>0</v>
      </c>
      <c r="AN1037" s="125">
        <f>IFERROR(VLOOKUP(DATA[[#This Row],[COMBINADA]],#REF!,9,0),0)/COUNTIFS(DATA[COMBINADA],DATA[[#This Row],[COMBINADA]])</f>
        <v>0</v>
      </c>
      <c r="AO1037" s="27">
        <f>IFERROR(VLOOKUP(DATA[[#This Row],[COMBINADA]],#REF!,6,0),0)</f>
        <v>0</v>
      </c>
      <c r="AP1037" s="132">
        <f>IFERROR(VLOOKUP(DATA[[#This Row],[COMBINADA]],#REF!,9,0),0)/COUNTIFS(DATA[COMBINADA],DATA[[#This Row],[COMBINADA]])</f>
        <v>0</v>
      </c>
      <c r="AQ103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v>
      </c>
      <c r="AR1037" s="26" t="str">
        <f>IFERROR(IF(DATA[[#This Row],[estado_fact]]="FACTURADO",VLOOKUP(DATA[[#This Row],[SERIE2]]&amp;"-"&amp;DATA[[#This Row],[NUMERO]],#REF!,34,0),"NO CORRESPONDE"),"NO CORRESPONDE")</f>
        <v>NO CORRESPONDE</v>
      </c>
      <c r="AS1037" s="22" t="str">
        <f>IF(DATA[[#This Row],[fecha_fs]]&gt;0,TEXT(DATA[[#This Row],[fecha_fs]],"Mmmm"),0)</f>
        <v>Agosto</v>
      </c>
      <c r="AT1037" s="22" t="str">
        <f>DATA[[#This Row],[SERIE2]]&amp;"-"&amp;DATA[[#This Row],[NUMERO]]</f>
        <v>FF01-224</v>
      </c>
      <c r="AU1037" s="28">
        <f>DATA[[#This Row],[TOTAL]]*DATA[[#This Row],[T.C.]]</f>
        <v>442.85</v>
      </c>
      <c r="AV1037" s="6">
        <f>DATA[[#This Row],[FECHA DE VAL.]]</f>
        <v>45894</v>
      </c>
      <c r="AW1037" s="6">
        <f>DATA[[#This Row],[FECHA DE EMISION]]</f>
        <v>45896</v>
      </c>
      <c r="AX1037" s="6">
        <f>DATA[[#This Row],[F1]]</f>
        <v>0</v>
      </c>
      <c r="AY1037" s="20">
        <f>IF(AV1037-DATA[[#This Row],[fecha_fs]]&lt;0,0,AV1037-DATA[[#This Row],[fecha_fs]])</f>
        <v>14</v>
      </c>
      <c r="AZ1037" s="20">
        <f t="shared" ref="AZ1037:BA1040" si="158">IF(AW1037-AV1037&lt;0,0,AW1037-AV1037)</f>
        <v>2</v>
      </c>
      <c r="BA1037" s="53">
        <f t="shared" si="158"/>
        <v>0</v>
      </c>
      <c r="BB1037" s="195">
        <f>IFERROR(SUM(DATA[[#This Row],[fs_val_ttf]:[fact_pago_ttf]]),0)</f>
        <v>16</v>
      </c>
      <c r="BC1037" s="233">
        <v>45903</v>
      </c>
      <c r="BD1037" s="233">
        <v>45905</v>
      </c>
      <c r="BE1037" s="233">
        <v>45908</v>
      </c>
      <c r="BF1037" s="185">
        <v>45911</v>
      </c>
      <c r="BG1037" s="20">
        <f>IFERROR(IF(BC1037-DATA[[#This Row],[fecha_fs]]&lt;0,0,BC1037-DATA[[#This Row],[fecha_fs]]),0)</f>
        <v>23</v>
      </c>
      <c r="BH1037" s="20">
        <f t="shared" si="143"/>
        <v>2</v>
      </c>
      <c r="BI1037" s="20">
        <f t="shared" si="144"/>
        <v>3</v>
      </c>
      <c r="BJ1037" s="20">
        <f t="shared" si="145"/>
        <v>3</v>
      </c>
      <c r="BK1037" s="282">
        <f>IFERROR(SUM(DATA[[#This Row],[fs_fd_ttd]:[fend_fenf_ttd]]),0)</f>
        <v>31</v>
      </c>
      <c r="BL1037" s="20" t="str">
        <f>IF(DATA[[#This Row],[fecha_fs]]&gt;0,TEXT(DATA[[#This Row],[fecha_fs]],"YYYY"),0)</f>
        <v>2025</v>
      </c>
      <c r="BM1037" s="236" t="b">
        <v>1</v>
      </c>
      <c r="BN1037" s="278">
        <f>COUNTIF(DATA[[#This Row],[tiempo_td]], "&lt;=15")</f>
        <v>0</v>
      </c>
      <c r="BO1037" s="222"/>
    </row>
    <row r="1038" spans="1:67" ht="30.6" customHeight="1" x14ac:dyDescent="0.25">
      <c r="A1038" s="4">
        <v>20565347099</v>
      </c>
      <c r="B1038" s="5" t="s">
        <v>46</v>
      </c>
      <c r="C1038" s="52" t="s">
        <v>18</v>
      </c>
      <c r="D1038" s="4" t="s">
        <v>112</v>
      </c>
      <c r="E1038" s="5" t="s">
        <v>1</v>
      </c>
      <c r="F1038" s="24">
        <v>45880</v>
      </c>
      <c r="G1038" s="7" t="s">
        <v>113</v>
      </c>
      <c r="H1038" s="25">
        <f>IF(G1038="","",IF(G1038="LIM",2,1))</f>
        <v>1</v>
      </c>
      <c r="I1038" s="67">
        <v>4855</v>
      </c>
      <c r="J1038" s="8" t="s">
        <v>115</v>
      </c>
      <c r="K1038" s="9" t="s">
        <v>116</v>
      </c>
      <c r="L1038" s="10" t="s">
        <v>117</v>
      </c>
      <c r="M1038" s="11">
        <v>840</v>
      </c>
      <c r="N1038" s="12" t="s">
        <v>167</v>
      </c>
      <c r="O1038" s="6">
        <v>45882</v>
      </c>
      <c r="P1038" s="13">
        <v>3598</v>
      </c>
      <c r="Q1038" s="14" t="s">
        <v>85</v>
      </c>
      <c r="R1038" s="15">
        <f>DATA[[#This Row],[cantidad_fs]]*0.97</f>
        <v>814.8</v>
      </c>
      <c r="S1038" s="56">
        <v>990</v>
      </c>
      <c r="T1038" s="237">
        <f>DATA[[#This Row],[C. DF]]+DATA[[#This Row],[C.OPE.]]</f>
        <v>1804.8</v>
      </c>
      <c r="U1038" s="15">
        <f>DATA[[#This Row],[SUB TOTAL]]*0.18</f>
        <v>324.86399999999998</v>
      </c>
      <c r="V1038" s="15">
        <f>IFERROR(ROUND(DATA[[#This Row],[SUB TOTAL]]+DATA[[#This Row],[IGV]],2),0)</f>
        <v>2129.66</v>
      </c>
      <c r="W1038" s="16" t="str">
        <f>IF(DATA[[#This Row],[VALORIZACIÓN ]]="-","NO CORRESPONDE",IF(OR(A1038=20558226979,A1038=10470707866,A1038=20111157058,A1038=20100226902),"NO CORRESPONDE",IF(J1038="Emitida",IF(P1038&gt;0,"EMITIDA","PENDIENTE"),"NO CORRESPONDE")))</f>
        <v>EMITIDA</v>
      </c>
      <c r="X1038" s="29"/>
      <c r="Y1038" s="17" t="s">
        <v>118</v>
      </c>
      <c r="Z1038" s="30">
        <v>45891</v>
      </c>
      <c r="AA1038" s="10" t="s">
        <v>150</v>
      </c>
      <c r="AB1038" s="19">
        <v>212</v>
      </c>
      <c r="AC1038" s="20">
        <v>15</v>
      </c>
      <c r="AD1038" s="18">
        <f>DATA[[#This Row],[FECHA DE EMISION]]+DATA[[#This Row],[CONDICION DE PAGO]]</f>
        <v>45906</v>
      </c>
      <c r="AE1038" s="23">
        <f>IF(DATA[[#This Row],[MONEDA]]="USD",VLOOKUP(DATA[[#This Row],[COMBINADA]],#REF!,11,0),1)</f>
        <v>1</v>
      </c>
      <c r="AF1038" s="129" t="str">
        <f>IF(DATA[[#This Row],[SERIE2]]="-","NO CORRESPONDE",IF(W1038="NO CORRESPONDE","NO CORRESPONDE",IF(Z1038&gt;0,"FACTURADO","PENDIENTE")))</f>
        <v>FACTURADO</v>
      </c>
      <c r="AG1038" s="133">
        <f>IFERROR(VLOOKUP(DATA[[#This Row],[COMBINADA]],#REF!,6,0),0)</f>
        <v>0</v>
      </c>
      <c r="AH1038" s="125">
        <f>IFERROR(VLOOKUP(DATA[[#This Row],[COMBINADA]],#REF!,9,0),0)/COUNTIFS(DATA[COMBINADA],DATA[[#This Row],[COMBINADA]])</f>
        <v>0</v>
      </c>
      <c r="AI1038" s="136">
        <f>IFERROR(VLOOKUP(DATA[[#This Row],[COMBINADA]],#REF!,6,0),0)</f>
        <v>0</v>
      </c>
      <c r="AJ1038" s="132">
        <f>IFERROR(VLOOKUP(DATA[[#This Row],[COMBINADA]],#REF!,9,0),0)/COUNTIFS(DATA[COMBINADA],DATA[[#This Row],[COMBINADA]])</f>
        <v>0</v>
      </c>
      <c r="AK1038" s="408">
        <f>IFERROR(VLOOKUP(DATA[[#This Row],[COMBINADA]],#REF!,6,0),0)</f>
        <v>0</v>
      </c>
      <c r="AL1038" s="125">
        <f>IFERROR(VLOOKUP(DATA[[#This Row],[COMBINADA]],#REF!,9,0),0)/COUNTIFS(DATA[COMBINADA],DATA[[#This Row],[COMBINADA]])</f>
        <v>0</v>
      </c>
      <c r="AM1038" s="147">
        <f>IFERROR(VLOOKUP(DATA[[#This Row],[COMBINADA]],#REF!,6,0),0)</f>
        <v>0</v>
      </c>
      <c r="AN1038" s="125">
        <f>IFERROR(VLOOKUP(DATA[[#This Row],[COMBINADA]],#REF!,9,0),0)/COUNTIFS(DATA[COMBINADA],DATA[[#This Row],[COMBINADA]])</f>
        <v>0</v>
      </c>
      <c r="AO1038" s="27">
        <f>IFERROR(VLOOKUP(DATA[[#This Row],[COMBINADA]],#REF!,6,0),0)</f>
        <v>0</v>
      </c>
      <c r="AP1038" s="132">
        <f>IFERROR(VLOOKUP(DATA[[#This Row],[COMBINADA]],#REF!,9,0),0)/COUNTIFS(DATA[COMBINADA],DATA[[#This Row],[COMBINADA]])</f>
        <v>0</v>
      </c>
      <c r="AQ103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2129.66</v>
      </c>
      <c r="AR1038" s="26" t="str">
        <f>IFERROR(IF(DATA[[#This Row],[estado_fact]]="FACTURADO",VLOOKUP(DATA[[#This Row],[SERIE2]]&amp;"-"&amp;DATA[[#This Row],[NUMERO]],#REF!,34,0),"NO CORRESPONDE"),"NO CORRESPONDE")</f>
        <v>NO CORRESPONDE</v>
      </c>
      <c r="AS1038" s="22" t="str">
        <f>IF(DATA[[#This Row],[fecha_fs]]&gt;0,TEXT(DATA[[#This Row],[fecha_fs]],"Mmmm"),0)</f>
        <v>Agosto</v>
      </c>
      <c r="AT1038" s="22" t="str">
        <f>DATA[[#This Row],[SERIE2]]&amp;"-"&amp;DATA[[#This Row],[NUMERO]]</f>
        <v>FF01-212</v>
      </c>
      <c r="AU1038" s="28">
        <f>DATA[[#This Row],[TOTAL]]*DATA[[#This Row],[T.C.]]</f>
        <v>2129.66</v>
      </c>
      <c r="AV1038" s="6">
        <f>DATA[[#This Row],[FECHA DE VAL.]]</f>
        <v>45882</v>
      </c>
      <c r="AW1038" s="6">
        <f>DATA[[#This Row],[FECHA DE EMISION]]</f>
        <v>45891</v>
      </c>
      <c r="AX1038" s="6">
        <f>DATA[[#This Row],[F1]]</f>
        <v>0</v>
      </c>
      <c r="AY1038" s="20">
        <f>IF(AV1038-DATA[[#This Row],[fecha_fs]]&lt;0,0,AV1038-DATA[[#This Row],[fecha_fs]])</f>
        <v>2</v>
      </c>
      <c r="AZ1038" s="20">
        <f t="shared" si="158"/>
        <v>9</v>
      </c>
      <c r="BA1038" s="53">
        <f t="shared" si="158"/>
        <v>0</v>
      </c>
      <c r="BB1038" s="195">
        <f>IFERROR(SUM(DATA[[#This Row],[fs_val_ttf]:[fact_pago_ttf]]),0)</f>
        <v>11</v>
      </c>
      <c r="BC1038" s="233">
        <v>45889</v>
      </c>
      <c r="BD1038" s="233">
        <v>45895</v>
      </c>
      <c r="BE1038" s="233">
        <v>45897</v>
      </c>
      <c r="BF1038" s="233">
        <v>45904</v>
      </c>
      <c r="BG1038" s="20">
        <f>IFERROR(IF(BC1038-DATA[[#This Row],[fecha_fs]]&lt;0,0,BC1038-DATA[[#This Row],[fecha_fs]]),0)</f>
        <v>9</v>
      </c>
      <c r="BH1038" s="20">
        <f t="shared" si="143"/>
        <v>6</v>
      </c>
      <c r="BI1038" s="20">
        <f t="shared" si="144"/>
        <v>2</v>
      </c>
      <c r="BJ1038" s="20">
        <f t="shared" si="145"/>
        <v>7</v>
      </c>
      <c r="BK1038" s="282">
        <f>IFERROR(SUM(DATA[[#This Row],[fs_fd_ttd]:[fend_fenf_ttd]]),0)</f>
        <v>24</v>
      </c>
      <c r="BL1038" s="20" t="str">
        <f>IF(DATA[[#This Row],[fecha_fs]]&gt;0,TEXT(DATA[[#This Row],[fecha_fs]],"YYYY"),0)</f>
        <v>2025</v>
      </c>
      <c r="BM1038" s="236" t="b">
        <v>1</v>
      </c>
      <c r="BN1038" s="278">
        <f>COUNTIF(DATA[[#This Row],[tiempo_td]], "&lt;=15")</f>
        <v>0</v>
      </c>
      <c r="BO1038" s="222"/>
    </row>
    <row r="1039" spans="1:67" ht="30.6" customHeight="1" x14ac:dyDescent="0.25">
      <c r="A1039" s="4">
        <v>20100192064</v>
      </c>
      <c r="B1039" s="5" t="s">
        <v>60</v>
      </c>
      <c r="C1039" s="52" t="s">
        <v>65</v>
      </c>
      <c r="D1039" s="4" t="s">
        <v>112</v>
      </c>
      <c r="E1039" s="5" t="s">
        <v>1</v>
      </c>
      <c r="F1039" s="24">
        <v>45881</v>
      </c>
      <c r="G1039" s="7" t="s">
        <v>142</v>
      </c>
      <c r="H1039" s="25">
        <f>IF(G1039="","",IF(G1039="LIM",2,1))</f>
        <v>2</v>
      </c>
      <c r="I1039" s="67">
        <v>1122</v>
      </c>
      <c r="J1039" s="8" t="s">
        <v>115</v>
      </c>
      <c r="K1039" s="9" t="s">
        <v>116</v>
      </c>
      <c r="L1039" s="10" t="s">
        <v>117</v>
      </c>
      <c r="M1039" s="11">
        <v>6430</v>
      </c>
      <c r="N1039" s="12" t="s">
        <v>180</v>
      </c>
      <c r="O1039" s="6">
        <v>45894</v>
      </c>
      <c r="P1039" s="71">
        <v>3617</v>
      </c>
      <c r="Q1039" s="245" t="s">
        <v>123</v>
      </c>
      <c r="R1039" s="237">
        <f>(DATA[[#This Row],[cantidad_fs]]/1000)*(147+81.01)</f>
        <v>1466.1043</v>
      </c>
      <c r="S1039" s="237">
        <v>103.6</v>
      </c>
      <c r="T1039" s="15">
        <f>DATA[[#This Row],[C. DF]]+DATA[[#This Row],[C.OPE.]]</f>
        <v>1569.7042999999999</v>
      </c>
      <c r="U1039" s="15">
        <f>DATA[[#This Row],[SUB TOTAL]]*0.18</f>
        <v>282.54677399999997</v>
      </c>
      <c r="V1039" s="15">
        <f>IFERROR(ROUND(DATA[[#This Row],[SUB TOTAL]]+DATA[[#This Row],[IGV]],2),0)</f>
        <v>1852.25</v>
      </c>
      <c r="W1039" s="16" t="str">
        <f>IF(DATA[[#This Row],[VALORIZACIÓN ]]="-","NO CORRESPONDE",IF(OR(A1039=20558226979,A1039=10470707866,A1039=20111157058,A1039=20100226902),"NO CORRESPONDE",IF(J1039="Emitida",IF(P1039&gt;0,"EMITIDA","PENDIENTE"),"NO CORRESPONDE")))</f>
        <v>EMITIDA</v>
      </c>
      <c r="X1039" s="29"/>
      <c r="Y1039" s="17" t="s">
        <v>118</v>
      </c>
      <c r="Z1039" s="30">
        <v>45895</v>
      </c>
      <c r="AA1039" s="10" t="s">
        <v>150</v>
      </c>
      <c r="AB1039" s="19">
        <v>220</v>
      </c>
      <c r="AC1039" s="20">
        <v>30</v>
      </c>
      <c r="AD1039" s="18">
        <f>DATA[[#This Row],[FECHA DE EMISION]]+DATA[[#This Row],[CONDICION DE PAGO]]</f>
        <v>45925</v>
      </c>
      <c r="AE1039" s="23" t="e">
        <f>IF(DATA[[#This Row],[MONEDA]]="USD",VLOOKUP(DATA[[#This Row],[COMBINADA]],#REF!,11,0),1)</f>
        <v>#REF!</v>
      </c>
      <c r="AF1039" s="129" t="str">
        <f>IF(DATA[[#This Row],[SERIE2]]="-","NO CORRESPONDE",IF(W1039="NO CORRESPONDE","NO CORRESPONDE",IF(Z1039&gt;0,"FACTURADO","PENDIENTE")))</f>
        <v>FACTURADO</v>
      </c>
      <c r="AG1039" s="133">
        <f>IFERROR(VLOOKUP(DATA[[#This Row],[COMBINADA]],#REF!,6,0),0)</f>
        <v>0</v>
      </c>
      <c r="AH1039" s="125">
        <f>IFERROR(VLOOKUP(DATA[[#This Row],[COMBINADA]],#REF!,9,0),0)/COUNTIFS(DATA[COMBINADA],DATA[[#This Row],[COMBINADA]])</f>
        <v>0</v>
      </c>
      <c r="AI1039" s="136">
        <f>IFERROR(VLOOKUP(DATA[[#This Row],[COMBINADA]],#REF!,6,0),0)</f>
        <v>0</v>
      </c>
      <c r="AJ1039" s="132">
        <f>IFERROR(VLOOKUP(DATA[[#This Row],[COMBINADA]],#REF!,9,0),0)/COUNTIFS(DATA[COMBINADA],DATA[[#This Row],[COMBINADA]])</f>
        <v>0</v>
      </c>
      <c r="AK1039" s="407">
        <f>IFERROR(VLOOKUP(DATA[[#This Row],[COMBINADA]],#REF!,6,0),0)</f>
        <v>0</v>
      </c>
      <c r="AL1039" s="125">
        <f>IFERROR(VLOOKUP(DATA[[#This Row],[COMBINADA]],#REF!,9,0),0)/COUNTIFS(DATA[COMBINADA],DATA[[#This Row],[COMBINADA]])</f>
        <v>0</v>
      </c>
      <c r="AM1039" s="27">
        <f>IFERROR(VLOOKUP(DATA[[#This Row],[COMBINADA]],#REF!,6,0),0)</f>
        <v>0</v>
      </c>
      <c r="AN1039" s="125">
        <f>IFERROR(VLOOKUP(DATA[[#This Row],[COMBINADA]],#REF!,9,0),0)/COUNTIFS(DATA[COMBINADA],DATA[[#This Row],[COMBINADA]])</f>
        <v>0</v>
      </c>
      <c r="AO1039" s="27">
        <f>IFERROR(VLOOKUP(DATA[[#This Row],[COMBINADA]],#REF!,6,0),0)</f>
        <v>0</v>
      </c>
      <c r="AP1039" s="132">
        <f>IFERROR(VLOOKUP(DATA[[#This Row],[COMBINADA]],#REF!,9,0),0)/COUNTIFS(DATA[COMBINADA],DATA[[#This Row],[COMBINADA]])</f>
        <v>0</v>
      </c>
      <c r="AQ103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572.11888888888882</v>
      </c>
      <c r="AR1039" s="26" t="str">
        <f>IFERROR(IF(DATA[[#This Row],[estado_fact]]="FACTURADO",VLOOKUP(DATA[[#This Row],[SERIE2]]&amp;"-"&amp;DATA[[#This Row],[NUMERO]],#REF!,34,0),"NO CORRESPONDE"),"NO CORRESPONDE")</f>
        <v>NO CORRESPONDE</v>
      </c>
      <c r="AS1039" s="22" t="str">
        <f>IF(DATA[[#This Row],[fecha_fs]]&gt;0,TEXT(DATA[[#This Row],[fecha_fs]],"Mmmm"),0)</f>
        <v>Agosto</v>
      </c>
      <c r="AT1039" s="22" t="str">
        <f>DATA[[#This Row],[SERIE2]]&amp;"-"&amp;DATA[[#This Row],[NUMERO]]</f>
        <v>FF01-220</v>
      </c>
      <c r="AU1039" s="28" t="e">
        <f>DATA[[#This Row],[TOTAL]]*DATA[[#This Row],[T.C.]]</f>
        <v>#REF!</v>
      </c>
      <c r="AV1039" s="6">
        <f>DATA[[#This Row],[FECHA DE VAL.]]</f>
        <v>45894</v>
      </c>
      <c r="AW1039" s="6">
        <f>DATA[[#This Row],[FECHA DE EMISION]]</f>
        <v>45895</v>
      </c>
      <c r="AX1039" s="6">
        <f>DATA[[#This Row],[F1]]</f>
        <v>0</v>
      </c>
      <c r="AY1039" s="20">
        <f>IF(AV1039-DATA[[#This Row],[fecha_fs]]&lt;0,0,AV1039-DATA[[#This Row],[fecha_fs]])</f>
        <v>13</v>
      </c>
      <c r="AZ1039" s="20">
        <f>IF(AW1039-AV1039&lt;0,0,AW1039-AV1039)</f>
        <v>1</v>
      </c>
      <c r="BA1039" s="53">
        <f>IF(AX1039-AW1039&lt;0,0,AX1039-AW1039)</f>
        <v>0</v>
      </c>
      <c r="BB1039" s="195">
        <f>IFERROR(SUM(DATA[[#This Row],[fs_val_ttf]:[fact_pago_ttf]]),0)</f>
        <v>14</v>
      </c>
      <c r="BC1039" s="233">
        <v>45881</v>
      </c>
      <c r="BD1039" s="233">
        <v>45888</v>
      </c>
      <c r="BE1039" s="233">
        <v>45901</v>
      </c>
      <c r="BF1039" s="233">
        <v>45909</v>
      </c>
      <c r="BG1039" s="20">
        <f>IFERROR(IF(BC1039-DATA[[#This Row],[fecha_fs]]&lt;0,0,BC1039-DATA[[#This Row],[fecha_fs]]),0)</f>
        <v>0</v>
      </c>
      <c r="BH1039" s="20">
        <f t="shared" ref="BH1039" si="159">IFERROR(IF(BD1039-BC1039&lt;0,0,BD1039-BC1039),0)</f>
        <v>7</v>
      </c>
      <c r="BI1039" s="20">
        <f t="shared" ref="BI1039" si="160">IFERROR(IF(BE1039-BD1039&lt;0,0,BE1039-BD1039),0)</f>
        <v>13</v>
      </c>
      <c r="BJ1039" s="20">
        <f t="shared" ref="BJ1039" si="161">IFERROR(IF(BF1039-BE1039&lt;0,0,BF1039-BE1039),0)</f>
        <v>8</v>
      </c>
      <c r="BK1039" s="282">
        <f>IFERROR(SUM(DATA[[#This Row],[fs_fd_ttd]:[fend_fenf_ttd]]),0)</f>
        <v>28</v>
      </c>
      <c r="BL1039" s="20" t="str">
        <f>IF(DATA[[#This Row],[fecha_fs]]&gt;0,TEXT(DATA[[#This Row],[fecha_fs]],"YYYY"),0)</f>
        <v>2025</v>
      </c>
      <c r="BM1039" s="236" t="b">
        <v>1</v>
      </c>
      <c r="BN1039" s="278">
        <f>COUNTIF(DATA[[#This Row],[tiempo_td]], "&lt;=15")</f>
        <v>0</v>
      </c>
      <c r="BO1039" s="222"/>
    </row>
    <row r="1040" spans="1:67" ht="30.6" customHeight="1" x14ac:dyDescent="0.25">
      <c r="A1040" s="4">
        <v>20100055237</v>
      </c>
      <c r="B1040" s="5" t="s">
        <v>21</v>
      </c>
      <c r="C1040" s="52" t="s">
        <v>138</v>
      </c>
      <c r="D1040" s="4" t="s">
        <v>139</v>
      </c>
      <c r="E1040" s="5" t="s">
        <v>23</v>
      </c>
      <c r="F1040" s="24">
        <v>45881</v>
      </c>
      <c r="G1040" s="7" t="s">
        <v>113</v>
      </c>
      <c r="H1040" s="25">
        <f>IF(G1040="","",IF(G1040="LIM",2,1))</f>
        <v>1</v>
      </c>
      <c r="I1040" s="67">
        <v>4856</v>
      </c>
      <c r="J1040" s="8" t="s">
        <v>115</v>
      </c>
      <c r="K1040" s="9" t="s">
        <v>121</v>
      </c>
      <c r="L1040" s="10" t="s">
        <v>117</v>
      </c>
      <c r="M1040" s="11">
        <v>60</v>
      </c>
      <c r="N1040" s="12" t="s">
        <v>125</v>
      </c>
      <c r="O1040" s="6">
        <v>45898</v>
      </c>
      <c r="P1040" s="54">
        <v>3640</v>
      </c>
      <c r="Q1040" s="14" t="s">
        <v>85</v>
      </c>
      <c r="R1040" s="15"/>
      <c r="S1040" s="15">
        <v>297.92</v>
      </c>
      <c r="T1040" s="237">
        <f>DATA[[#This Row],[C. DF]]+DATA[[#This Row],[C.OPE.]]</f>
        <v>297.92</v>
      </c>
      <c r="U1040" s="15">
        <f>DATA[[#This Row],[SUB TOTAL]]*0.18</f>
        <v>53.625599999999999</v>
      </c>
      <c r="V1040" s="15">
        <f>IFERROR(ROUND(DATA[[#This Row],[SUB TOTAL]]+DATA[[#This Row],[IGV]],2),0)</f>
        <v>351.55</v>
      </c>
      <c r="W1040" s="16" t="str">
        <f>IF(DATA[[#This Row],[VALORIZACIÓN ]]="-","NO CORRESPONDE",IF(OR(A1040=20558226979,A1040=10470707866,A1040=20111157058,A1040=20100226902),"NO CORRESPONDE",IF(J1040="Emitida",IF(P1040&gt;0,"EMITIDA","PENDIENTE"),"NO CORRESPONDE")))</f>
        <v>EMITIDA</v>
      </c>
      <c r="X1040" s="29" t="s">
        <v>379</v>
      </c>
      <c r="Y1040" s="17" t="s">
        <v>118</v>
      </c>
      <c r="Z1040" s="30">
        <v>45971</v>
      </c>
      <c r="AA1040" s="10" t="s">
        <v>150</v>
      </c>
      <c r="AB1040" s="19">
        <v>350</v>
      </c>
      <c r="AC1040" s="20">
        <v>30</v>
      </c>
      <c r="AD1040" s="18">
        <f>DATA[[#This Row],[FECHA DE EMISION]]+DATA[[#This Row],[CONDICION DE PAGO]]</f>
        <v>46001</v>
      </c>
      <c r="AE1040" s="23">
        <f>IF(DATA[[#This Row],[MONEDA]]="USD",VLOOKUP(DATA[[#This Row],[COMBINADA]],#REF!,11,0),1)</f>
        <v>1</v>
      </c>
      <c r="AF1040" s="129" t="str">
        <f>IF(DATA[[#This Row],[SERIE2]]="-","NO CORRESPONDE",IF(W1040="NO CORRESPONDE","NO CORRESPONDE",IF(Z1040&gt;0,"FACTURADO","PENDIENTE")))</f>
        <v>FACTURADO</v>
      </c>
      <c r="AG1040" s="133">
        <f>IFERROR(VLOOKUP(DATA[[#This Row],[COMBINADA]],#REF!,6,0),0)</f>
        <v>0</v>
      </c>
      <c r="AH1040" s="125">
        <f>IFERROR(VLOOKUP(DATA[[#This Row],[COMBINADA]],#REF!,9,0),0)/COUNTIFS(DATA[COMBINADA],DATA[[#This Row],[COMBINADA]])</f>
        <v>0</v>
      </c>
      <c r="AI1040" s="136">
        <f>IFERROR(VLOOKUP(DATA[[#This Row],[COMBINADA]],#REF!,6,0),0)</f>
        <v>0</v>
      </c>
      <c r="AJ1040" s="132">
        <f>IFERROR(VLOOKUP(DATA[[#This Row],[COMBINADA]],#REF!,9,0),0)/COUNTIFS(DATA[COMBINADA],DATA[[#This Row],[COMBINADA]])</f>
        <v>0</v>
      </c>
      <c r="AK1040" s="408">
        <f>IFERROR(VLOOKUP(DATA[[#This Row],[COMBINADA]],#REF!,6,0),0)</f>
        <v>0</v>
      </c>
      <c r="AL1040" s="125">
        <f>IFERROR(VLOOKUP(DATA[[#This Row],[COMBINADA]],#REF!,9,0),0)/COUNTIFS(DATA[COMBINADA],DATA[[#This Row],[COMBINADA]])</f>
        <v>0</v>
      </c>
      <c r="AM1040" s="147">
        <f>IFERROR(VLOOKUP(DATA[[#This Row],[COMBINADA]],#REF!,6,0),0)</f>
        <v>0</v>
      </c>
      <c r="AN1040" s="125">
        <f>IFERROR(VLOOKUP(DATA[[#This Row],[COMBINADA]],#REF!,9,0),0)/COUNTIFS(DATA[COMBINADA],DATA[[#This Row],[COMBINADA]])</f>
        <v>0</v>
      </c>
      <c r="AO1040" s="27">
        <f>IFERROR(VLOOKUP(DATA[[#This Row],[COMBINADA]],#REF!,6,0),0)</f>
        <v>0</v>
      </c>
      <c r="AP1040" s="132">
        <f>IFERROR(VLOOKUP(DATA[[#This Row],[COMBINADA]],#REF!,9,0),0)/COUNTIFS(DATA[COMBINADA],DATA[[#This Row],[COMBINADA]])</f>
        <v>0</v>
      </c>
      <c r="AQ104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040" s="26" t="str">
        <f>IFERROR(IF(DATA[[#This Row],[estado_fact]]="FACTURADO",VLOOKUP(DATA[[#This Row],[SERIE2]]&amp;"-"&amp;DATA[[#This Row],[NUMERO]],#REF!,34,0),"NO CORRESPONDE"),"NO CORRESPONDE")</f>
        <v>NO CORRESPONDE</v>
      </c>
      <c r="AS1040" s="22" t="str">
        <f>IF(DATA[[#This Row],[fecha_fs]]&gt;0,TEXT(DATA[[#This Row],[fecha_fs]],"Mmmm"),0)</f>
        <v>Agosto</v>
      </c>
      <c r="AT1040" s="22" t="str">
        <f>DATA[[#This Row],[SERIE2]]&amp;"-"&amp;DATA[[#This Row],[NUMERO]]</f>
        <v>FF01-350</v>
      </c>
      <c r="AU1040" s="28">
        <f>DATA[[#This Row],[TOTAL]]*DATA[[#This Row],[T.C.]]</f>
        <v>351.55</v>
      </c>
      <c r="AV1040" s="6">
        <f>DATA[[#This Row],[FECHA DE VAL.]]</f>
        <v>45898</v>
      </c>
      <c r="AW1040" s="6">
        <f>DATA[[#This Row],[FECHA DE EMISION]]</f>
        <v>45971</v>
      </c>
      <c r="AX1040" s="6">
        <f>DATA[[#This Row],[F1]]</f>
        <v>0</v>
      </c>
      <c r="AY1040" s="20">
        <f>IF(AV1040-DATA[[#This Row],[fecha_fs]]&lt;0,0,AV1040-DATA[[#This Row],[fecha_fs]])</f>
        <v>17</v>
      </c>
      <c r="AZ1040" s="20">
        <f t="shared" si="158"/>
        <v>73</v>
      </c>
      <c r="BA1040" s="53">
        <f t="shared" si="158"/>
        <v>0</v>
      </c>
      <c r="BB1040" s="195">
        <f>IFERROR(SUM(DATA[[#This Row],[fs_val_ttf]:[fact_pago_ttf]]),0)</f>
        <v>90</v>
      </c>
      <c r="BC1040" s="233">
        <v>45881</v>
      </c>
      <c r="BD1040" s="233">
        <v>45881</v>
      </c>
      <c r="BE1040" s="233">
        <v>45898</v>
      </c>
      <c r="BF1040" s="233">
        <v>45898</v>
      </c>
      <c r="BG1040" s="20">
        <f>IFERROR(IF(BC1040-DATA[[#This Row],[fecha_fs]]&lt;0,0,BC1040-DATA[[#This Row],[fecha_fs]]),0)</f>
        <v>0</v>
      </c>
      <c r="BH1040" s="20">
        <f t="shared" si="143"/>
        <v>0</v>
      </c>
      <c r="BI1040" s="20">
        <f t="shared" si="144"/>
        <v>17</v>
      </c>
      <c r="BJ1040" s="20">
        <f t="shared" si="145"/>
        <v>0</v>
      </c>
      <c r="BK1040" s="282">
        <f>IFERROR(SUM(DATA[[#This Row],[fs_fd_ttd]:[fend_fenf_ttd]]),0)</f>
        <v>17</v>
      </c>
      <c r="BL1040" s="20" t="str">
        <f>IF(DATA[[#This Row],[fecha_fs]]&gt;0,TEXT(DATA[[#This Row],[fecha_fs]],"YYYY"),0)</f>
        <v>2025</v>
      </c>
      <c r="BM1040" s="236" t="b">
        <v>1</v>
      </c>
      <c r="BN1040" s="278">
        <f>COUNTIF(DATA[[#This Row],[tiempo_td]], "&lt;=15")</f>
        <v>0</v>
      </c>
      <c r="BO1040" s="222"/>
    </row>
    <row r="1041" spans="1:67" ht="30.6" customHeight="1" x14ac:dyDescent="0.25">
      <c r="A1041" s="4">
        <v>20505675836</v>
      </c>
      <c r="B1041" s="5" t="s">
        <v>42</v>
      </c>
      <c r="C1041" s="52" t="s">
        <v>43</v>
      </c>
      <c r="D1041" s="4" t="s">
        <v>157</v>
      </c>
      <c r="E1041" s="5" t="s">
        <v>44</v>
      </c>
      <c r="F1041" s="24">
        <v>45880</v>
      </c>
      <c r="G1041" s="7" t="s">
        <v>113</v>
      </c>
      <c r="H1041" s="25">
        <f t="shared" ref="H1041:H1045" si="162">IF(G1041="","",IF(G1041="LIM",2,1))</f>
        <v>1</v>
      </c>
      <c r="I1041" s="67">
        <v>4857</v>
      </c>
      <c r="J1041" s="8" t="s">
        <v>115</v>
      </c>
      <c r="K1041" s="9" t="s">
        <v>158</v>
      </c>
      <c r="L1041" s="10" t="s">
        <v>137</v>
      </c>
      <c r="M1041" s="11">
        <v>1</v>
      </c>
      <c r="N1041" s="12" t="s">
        <v>114</v>
      </c>
      <c r="O1041" s="6">
        <v>45896</v>
      </c>
      <c r="P1041" s="71">
        <v>3634</v>
      </c>
      <c r="Q1041" s="14" t="s">
        <v>85</v>
      </c>
      <c r="R1041" s="15"/>
      <c r="S1041" s="15">
        <v>396.7</v>
      </c>
      <c r="T1041" s="237">
        <f>DATA[[#This Row],[C. DF]]+DATA[[#This Row],[C.OPE.]]</f>
        <v>396.7</v>
      </c>
      <c r="U1041" s="15">
        <f>DATA[[#This Row],[SUB TOTAL]]*0.18</f>
        <v>71.405999999999992</v>
      </c>
      <c r="V1041" s="15">
        <f>IFERROR(ROUND(DATA[[#This Row],[SUB TOTAL]]+DATA[[#This Row],[IGV]],2),0)</f>
        <v>468.11</v>
      </c>
      <c r="W1041" s="16" t="str">
        <f>IF(DATA[[#This Row],[VALORIZACIÓN ]]="-","NO CORRESPONDE",IF(OR(A1041=20558226979,A1041=10470707866,A1041=20111157058,A1041=20100226902),"NO CORRESPONDE",IF(J1041="Emitida",IF(P1041&gt;0,"EMITIDA","PENDIENTE"),"NO CORRESPONDE")))</f>
        <v>EMITIDA</v>
      </c>
      <c r="X1041" s="29"/>
      <c r="Y1041" s="17" t="s">
        <v>118</v>
      </c>
      <c r="Z1041" s="30">
        <v>45922</v>
      </c>
      <c r="AA1041" s="10" t="s">
        <v>150</v>
      </c>
      <c r="AB1041" s="19">
        <v>259</v>
      </c>
      <c r="AC1041" s="20">
        <v>30</v>
      </c>
      <c r="AD1041" s="18">
        <f>DATA[[#This Row],[FECHA DE EMISION]]+DATA[[#This Row],[CONDICION DE PAGO]]</f>
        <v>45952</v>
      </c>
      <c r="AE1041" s="23">
        <f>IF(DATA[[#This Row],[MONEDA]]="USD",VLOOKUP(DATA[[#This Row],[COMBINADA]],#REF!,11,0),1)</f>
        <v>1</v>
      </c>
      <c r="AF1041" s="129" t="str">
        <f>IF(DATA[[#This Row],[SERIE2]]="-","NO CORRESPONDE",IF(W1041="NO CORRESPONDE","NO CORRESPONDE",IF(Z1041&gt;0,"FACTURADO","PENDIENTE")))</f>
        <v>FACTURADO</v>
      </c>
      <c r="AG1041" s="133">
        <f>IFERROR(VLOOKUP(DATA[[#This Row],[COMBINADA]],#REF!,6,0),0)</f>
        <v>0</v>
      </c>
      <c r="AH1041" s="125">
        <f>IFERROR(VLOOKUP(DATA[[#This Row],[COMBINADA]],#REF!,9,0),0)/COUNTIFS(DATA[COMBINADA],DATA[[#This Row],[COMBINADA]])</f>
        <v>0</v>
      </c>
      <c r="AI1041" s="136">
        <f>IFERROR(VLOOKUP(DATA[[#This Row],[COMBINADA]],#REF!,6,0),0)</f>
        <v>0</v>
      </c>
      <c r="AJ1041" s="132">
        <f>IFERROR(VLOOKUP(DATA[[#This Row],[COMBINADA]],#REF!,9,0),0)/COUNTIFS(DATA[COMBINADA],DATA[[#This Row],[COMBINADA]])</f>
        <v>0</v>
      </c>
      <c r="AK1041" s="408">
        <f>IFERROR(VLOOKUP(DATA[[#This Row],[COMBINADA]],#REF!,6,0),0)</f>
        <v>0</v>
      </c>
      <c r="AL1041" s="125">
        <f>IFERROR(VLOOKUP(DATA[[#This Row],[COMBINADA]],#REF!,9,0),0)/COUNTIFS(DATA[COMBINADA],DATA[[#This Row],[COMBINADA]])</f>
        <v>0</v>
      </c>
      <c r="AM1041" s="147">
        <f>IFERROR(VLOOKUP(DATA[[#This Row],[COMBINADA]],#REF!,6,0),0)</f>
        <v>0</v>
      </c>
      <c r="AN1041" s="125">
        <f>IFERROR(VLOOKUP(DATA[[#This Row],[COMBINADA]],#REF!,9,0),0)/COUNTIFS(DATA[COMBINADA],DATA[[#This Row],[COMBINADA]])</f>
        <v>0</v>
      </c>
      <c r="AO1041" s="27">
        <f>IFERROR(VLOOKUP(DATA[[#This Row],[COMBINADA]],#REF!,6,0),0)</f>
        <v>0</v>
      </c>
      <c r="AP1041" s="132">
        <f>IFERROR(VLOOKUP(DATA[[#This Row],[COMBINADA]],#REF!,9,0),0)/COUNTIFS(DATA[COMBINADA],DATA[[#This Row],[COMBINADA]])</f>
        <v>0</v>
      </c>
      <c r="AQ104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468.11</v>
      </c>
      <c r="AR1041" s="26" t="str">
        <f>IFERROR(IF(DATA[[#This Row],[estado_fact]]="FACTURADO",VLOOKUP(DATA[[#This Row],[SERIE2]]&amp;"-"&amp;DATA[[#This Row],[NUMERO]],#REF!,34,0),"NO CORRESPONDE"),"NO CORRESPONDE")</f>
        <v>NO CORRESPONDE</v>
      </c>
      <c r="AS1041" s="22" t="str">
        <f>IF(DATA[[#This Row],[fecha_fs]]&gt;0,TEXT(DATA[[#This Row],[fecha_fs]],"Mmmm"),0)</f>
        <v>Agosto</v>
      </c>
      <c r="AT1041" s="22" t="str">
        <f>DATA[[#This Row],[SERIE2]]&amp;"-"&amp;DATA[[#This Row],[NUMERO]]</f>
        <v>FF01-259</v>
      </c>
      <c r="AU1041" s="28">
        <f>DATA[[#This Row],[TOTAL]]*DATA[[#This Row],[T.C.]]</f>
        <v>468.11</v>
      </c>
      <c r="AV1041" s="6">
        <f>DATA[[#This Row],[FECHA DE VAL.]]</f>
        <v>45896</v>
      </c>
      <c r="AW1041" s="6">
        <f>DATA[[#This Row],[FECHA DE EMISION]]</f>
        <v>45922</v>
      </c>
      <c r="AX1041" s="6">
        <f>DATA[[#This Row],[F1]]</f>
        <v>0</v>
      </c>
      <c r="AY1041" s="20">
        <f>IF(AV1041-DATA[[#This Row],[fecha_fs]]&lt;0,0,AV1041-DATA[[#This Row],[fecha_fs]])</f>
        <v>16</v>
      </c>
      <c r="AZ1041" s="20">
        <f t="shared" ref="AZ1041:AZ1045" si="163">IF(AW1041-AV1041&lt;0,0,AW1041-AV1041)</f>
        <v>26</v>
      </c>
      <c r="BA1041" s="53">
        <f t="shared" ref="BA1041:BA1045" si="164">IF(AX1041-AW1041&lt;0,0,AX1041-AW1041)</f>
        <v>0</v>
      </c>
      <c r="BB1041" s="195">
        <f>IFERROR(SUM(DATA[[#This Row],[fs_val_ttf]:[fact_pago_ttf]]),0)</f>
        <v>42</v>
      </c>
      <c r="BC1041" s="233">
        <v>45880</v>
      </c>
      <c r="BD1041" s="233">
        <v>45880</v>
      </c>
      <c r="BE1041" s="233">
        <v>45901</v>
      </c>
      <c r="BF1041" s="233">
        <v>45901</v>
      </c>
      <c r="BG1041" s="20">
        <f>IFERROR(IF(BC1041-DATA[[#This Row],[fecha_fs]]&lt;0,0,BC1041-DATA[[#This Row],[fecha_fs]]),0)</f>
        <v>0</v>
      </c>
      <c r="BH1041" s="20">
        <f t="shared" si="143"/>
        <v>0</v>
      </c>
      <c r="BI1041" s="20">
        <f t="shared" si="144"/>
        <v>21</v>
      </c>
      <c r="BJ1041" s="20">
        <f t="shared" si="145"/>
        <v>0</v>
      </c>
      <c r="BK1041" s="282">
        <f>IFERROR(SUM(DATA[[#This Row],[fs_fd_ttd]:[fend_fenf_ttd]]),0)</f>
        <v>21</v>
      </c>
      <c r="BL1041" s="20" t="str">
        <f>IF(DATA[[#This Row],[fecha_fs]]&gt;0,TEXT(DATA[[#This Row],[fecha_fs]],"YYYY"),0)</f>
        <v>2025</v>
      </c>
      <c r="BM1041" s="236" t="b">
        <v>1</v>
      </c>
      <c r="BN1041" s="278">
        <f>COUNTIF(DATA[[#This Row],[tiempo_td]], "&lt;=15")</f>
        <v>0</v>
      </c>
      <c r="BO1041" s="222"/>
    </row>
    <row r="1042" spans="1:67" ht="30.6" customHeight="1" x14ac:dyDescent="0.25">
      <c r="A1042" s="4">
        <v>20100226902</v>
      </c>
      <c r="B1042" s="5" t="s">
        <v>24</v>
      </c>
      <c r="C1042" s="52" t="s">
        <v>18</v>
      </c>
      <c r="D1042" s="4" t="s">
        <v>120</v>
      </c>
      <c r="E1042" s="5" t="s">
        <v>3</v>
      </c>
      <c r="F1042" s="24">
        <v>45882</v>
      </c>
      <c r="G1042" s="7" t="s">
        <v>113</v>
      </c>
      <c r="H1042" s="25">
        <f t="shared" si="162"/>
        <v>1</v>
      </c>
      <c r="I1042" s="67">
        <v>4858</v>
      </c>
      <c r="J1042" s="8" t="s">
        <v>115</v>
      </c>
      <c r="K1042" s="9" t="s">
        <v>121</v>
      </c>
      <c r="L1042" s="10" t="s">
        <v>117</v>
      </c>
      <c r="M1042" s="11">
        <v>880</v>
      </c>
      <c r="N1042" s="12" t="s">
        <v>204</v>
      </c>
      <c r="O1042" s="40"/>
      <c r="P1042" s="41" t="s">
        <v>114</v>
      </c>
      <c r="Q1042" s="42"/>
      <c r="R1042" s="43"/>
      <c r="S1042" s="43"/>
      <c r="T1042" s="43">
        <f>DATA[[#This Row],[C. DF]]+DATA[[#This Row],[C.OPE.]]</f>
        <v>0</v>
      </c>
      <c r="U1042" s="43">
        <f>DATA[[#This Row],[SUB TOTAL]]*0.18</f>
        <v>0</v>
      </c>
      <c r="V1042" s="43">
        <f>IFERROR(ROUND(DATA[[#This Row],[SUB TOTAL]]+DATA[[#This Row],[IGV]],2),0)</f>
        <v>0</v>
      </c>
      <c r="W1042" s="16" t="str">
        <f>IF(DATA[[#This Row],[VALORIZACIÓN ]]="-","NO CORRESPONDE",IF(OR(A1042=20558226979,A1042=10470707866,A1042=20111157058,A1042=20100226902),"NO CORRESPONDE",IF(J1042="Emitida",IF(P1042&gt;0,"EMITIDA","PENDIENTE"),"NO CORRESPONDE")))</f>
        <v>NO CORRESPONDE</v>
      </c>
      <c r="X1042" s="45"/>
      <c r="Y1042" s="17" t="s">
        <v>128</v>
      </c>
      <c r="Z1042" s="46"/>
      <c r="AA1042" s="47"/>
      <c r="AB1042" s="48"/>
      <c r="AC1042" s="49"/>
      <c r="AD1042" s="50">
        <f>DATA[[#This Row],[FECHA DE EMISION]]+DATA[[#This Row],[CONDICION DE PAGO]]</f>
        <v>0</v>
      </c>
      <c r="AE1042" s="23">
        <f>IF(DATA[[#This Row],[MONEDA]]="USD",VLOOKUP(DATA[[#This Row],[COMBINADA]],#REF!,11,0),1)</f>
        <v>1</v>
      </c>
      <c r="AF1042" s="129" t="str">
        <f>IF(DATA[[#This Row],[SERIE2]]="-","NO CORRESPONDE",IF(W1042="NO CORRESPONDE","NO CORRESPONDE",IF(Z1042&gt;0,"FACTURADO","PENDIENTE")))</f>
        <v>NO CORRESPONDE</v>
      </c>
      <c r="AG1042" s="140">
        <f>IFERROR(VLOOKUP(DATA[[#This Row],[COMBINADA]],#REF!,6,0),0)</f>
        <v>0</v>
      </c>
      <c r="AH1042" s="126">
        <f>IFERROR(VLOOKUP(DATA[[#This Row],[COMBINADA]],#REF!,9,0),0)/COUNTIFS(DATA[COMBINADA],DATA[[#This Row],[COMBINADA]])</f>
        <v>0</v>
      </c>
      <c r="AI1042" s="140">
        <f>IFERROR(VLOOKUP(DATA[[#This Row],[COMBINADA]],#REF!,6,0),0)</f>
        <v>0</v>
      </c>
      <c r="AJ1042" s="126">
        <f>IFERROR(VLOOKUP(DATA[[#This Row],[COMBINADA]],#REF!,9,0),0)/COUNTIFS(DATA[COMBINADA],DATA[[#This Row],[COMBINADA]])</f>
        <v>0</v>
      </c>
      <c r="AK1042" s="61">
        <f>IFERROR(VLOOKUP(DATA[[#This Row],[COMBINADA]],#REF!,6,0),0)</f>
        <v>0</v>
      </c>
      <c r="AL1042" s="126">
        <f>IFERROR(VLOOKUP(DATA[[#This Row],[COMBINADA]],#REF!,9,0),0)/COUNTIFS(DATA[COMBINADA],DATA[[#This Row],[COMBINADA]])</f>
        <v>0</v>
      </c>
      <c r="AM1042" s="287">
        <f>IFERROR(VLOOKUP(DATA[[#This Row],[COMBINADA]],#REF!,6,0),0)</f>
        <v>0</v>
      </c>
      <c r="AN1042" s="126">
        <f>IFERROR(VLOOKUP(DATA[[#This Row],[COMBINADA]],#REF!,9,0),0)/COUNTIFS(DATA[COMBINADA],DATA[[#This Row],[COMBINADA]])</f>
        <v>0</v>
      </c>
      <c r="AO1042" s="60">
        <f>IFERROR(VLOOKUP(DATA[[#This Row],[COMBINADA]],#REF!,6,0),0)</f>
        <v>0</v>
      </c>
      <c r="AP1042" s="126">
        <f>IFERROR(VLOOKUP(DATA[[#This Row],[COMBINADA]],#REF!,9,0),0)/COUNTIFS(DATA[COMBINADA],DATA[[#This Row],[COMBINADA]])</f>
        <v>0</v>
      </c>
      <c r="AQ1042"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042" s="22" t="str">
        <f>IFERROR(IF(DATA[[#This Row],[estado_fact]]="FACTURADO",VLOOKUP(DATA[[#This Row],[SERIE2]]&amp;"-"&amp;DATA[[#This Row],[NUMERO]],#REF!,34,0),"NO CORRESPONDE"),"NO CORRESPONDE")</f>
        <v>NO CORRESPONDE</v>
      </c>
      <c r="AS1042" s="22" t="str">
        <f>IF(DATA[[#This Row],[fecha_fs]]&gt;0,TEXT(DATA[[#This Row],[fecha_fs]],"Mmmm"),0)</f>
        <v>Agosto</v>
      </c>
      <c r="AT1042" s="22" t="str">
        <f>DATA[[#This Row],[SERIE2]]&amp;"-"&amp;DATA[[#This Row],[NUMERO]]</f>
        <v>-</v>
      </c>
      <c r="AU1042" s="28">
        <f>DATA[[#This Row],[TOTAL]]*DATA[[#This Row],[T.C.]]</f>
        <v>0</v>
      </c>
      <c r="AV1042" s="6">
        <f>DATA[[#This Row],[FECHA DE VAL.]]</f>
        <v>0</v>
      </c>
      <c r="AW1042" s="6">
        <f>DATA[[#This Row],[FECHA DE EMISION]]</f>
        <v>0</v>
      </c>
      <c r="AX1042" s="6">
        <f>DATA[[#This Row],[F1]]</f>
        <v>0</v>
      </c>
      <c r="AY1042" s="20">
        <f>IF(AV1042-DATA[[#This Row],[fecha_fs]]&lt;0,0,AV1042-DATA[[#This Row],[fecha_fs]])</f>
        <v>0</v>
      </c>
      <c r="AZ1042" s="20">
        <f t="shared" si="163"/>
        <v>0</v>
      </c>
      <c r="BA1042" s="53">
        <f t="shared" si="164"/>
        <v>0</v>
      </c>
      <c r="BB1042" s="195">
        <f>IFERROR(SUM(DATA[[#This Row],[fs_val_ttf]:[fact_pago_ttf]]),0)</f>
        <v>0</v>
      </c>
      <c r="BC1042" s="233">
        <v>45882</v>
      </c>
      <c r="BD1042" s="233">
        <v>45882</v>
      </c>
      <c r="BE1042" s="233">
        <v>45901</v>
      </c>
      <c r="BF1042" s="233">
        <v>45901</v>
      </c>
      <c r="BG1042" s="20">
        <f>IFERROR(IF(BC1042-DATA[[#This Row],[fecha_fs]]&lt;0,0,BC1042-DATA[[#This Row],[fecha_fs]]),0)</f>
        <v>0</v>
      </c>
      <c r="BH1042" s="20">
        <f t="shared" si="143"/>
        <v>0</v>
      </c>
      <c r="BI1042" s="20">
        <f t="shared" si="144"/>
        <v>19</v>
      </c>
      <c r="BJ1042" s="20">
        <f t="shared" si="145"/>
        <v>0</v>
      </c>
      <c r="BK1042" s="282">
        <f>IFERROR(SUM(DATA[[#This Row],[fs_fd_ttd]:[fend_fenf_ttd]]),0)</f>
        <v>19</v>
      </c>
      <c r="BL1042" s="20" t="str">
        <f>IF(DATA[[#This Row],[fecha_fs]]&gt;0,TEXT(DATA[[#This Row],[fecha_fs]],"YYYY"),0)</f>
        <v>2025</v>
      </c>
      <c r="BM1042" s="236" t="b">
        <v>1</v>
      </c>
      <c r="BN1042" s="278">
        <f>COUNTIF(DATA[[#This Row],[tiempo_td]], "&lt;=15")</f>
        <v>0</v>
      </c>
      <c r="BO1042" s="222"/>
    </row>
    <row r="1043" spans="1:67" ht="30.6" customHeight="1" x14ac:dyDescent="0.25">
      <c r="A1043" s="4">
        <v>20141637941</v>
      </c>
      <c r="B1043" s="5" t="s">
        <v>79</v>
      </c>
      <c r="C1043" s="52" t="s">
        <v>18</v>
      </c>
      <c r="D1043" s="4" t="s">
        <v>120</v>
      </c>
      <c r="E1043" s="5" t="s">
        <v>3</v>
      </c>
      <c r="F1043" s="24">
        <v>45882</v>
      </c>
      <c r="G1043" s="7" t="s">
        <v>113</v>
      </c>
      <c r="H1043" s="25">
        <f t="shared" si="162"/>
        <v>1</v>
      </c>
      <c r="I1043" s="67">
        <v>4859</v>
      </c>
      <c r="J1043" s="8" t="s">
        <v>115</v>
      </c>
      <c r="K1043" s="9" t="s">
        <v>121</v>
      </c>
      <c r="L1043" s="10" t="s">
        <v>117</v>
      </c>
      <c r="M1043" s="11">
        <v>970</v>
      </c>
      <c r="N1043" s="12" t="s">
        <v>125</v>
      </c>
      <c r="O1043" s="6">
        <v>45898</v>
      </c>
      <c r="P1043" s="317">
        <v>3641</v>
      </c>
      <c r="Q1043" s="14" t="s">
        <v>85</v>
      </c>
      <c r="R1043" s="15">
        <v>80</v>
      </c>
      <c r="S1043" s="15">
        <v>832</v>
      </c>
      <c r="T1043" s="237">
        <f>DATA[[#This Row],[C. DF]]+DATA[[#This Row],[C.OPE.]]</f>
        <v>912</v>
      </c>
      <c r="U1043" s="15">
        <f>DATA[[#This Row],[SUB TOTAL]]*0.18</f>
        <v>164.16</v>
      </c>
      <c r="V1043" s="15">
        <f>IFERROR(ROUND(DATA[[#This Row],[SUB TOTAL]]+DATA[[#This Row],[IGV]],2),0)</f>
        <v>1076.1600000000001</v>
      </c>
      <c r="W1043" s="16" t="str">
        <f>IF(DATA[[#This Row],[VALORIZACIÓN ]]="-","NO CORRESPONDE",IF(OR(A1043=20558226979,A1043=10470707866,A1043=20111157058,A1043=20100226902),"NO CORRESPONDE",IF(J1043="Emitida",IF(P1043&gt;0,"EMITIDA","PENDIENTE"),"NO CORRESPONDE")))</f>
        <v>EMITIDA</v>
      </c>
      <c r="X1043" s="29"/>
      <c r="Y1043" s="17" t="s">
        <v>118</v>
      </c>
      <c r="Z1043" s="30">
        <v>45901</v>
      </c>
      <c r="AA1043" s="10" t="s">
        <v>150</v>
      </c>
      <c r="AB1043" s="19">
        <v>231</v>
      </c>
      <c r="AC1043" s="20">
        <v>30</v>
      </c>
      <c r="AD1043" s="18">
        <f>DATA[[#This Row],[FECHA DE EMISION]]+DATA[[#This Row],[CONDICION DE PAGO]]</f>
        <v>45931</v>
      </c>
      <c r="AE1043" s="23">
        <f>IF(DATA[[#This Row],[MONEDA]]="USD",VLOOKUP(DATA[[#This Row],[COMBINADA]],#REF!,11,0),1)</f>
        <v>1</v>
      </c>
      <c r="AF1043" s="129" t="str">
        <f>IF(DATA[[#This Row],[SERIE2]]="-","NO CORRESPONDE",IF(W1043="NO CORRESPONDE","NO CORRESPONDE",IF(Z1043&gt;0,"FACTURADO","PENDIENTE")))</f>
        <v>FACTURADO</v>
      </c>
      <c r="AG1043" s="133">
        <f>IFERROR(VLOOKUP(DATA[[#This Row],[COMBINADA]],#REF!,6,0),0)</f>
        <v>0</v>
      </c>
      <c r="AH1043" s="125">
        <f>IFERROR(VLOOKUP(DATA[[#This Row],[COMBINADA]],#REF!,9,0),0)/COUNTIFS(DATA[COMBINADA],DATA[[#This Row],[COMBINADA]])</f>
        <v>0</v>
      </c>
      <c r="AI1043" s="136">
        <f>IFERROR(VLOOKUP(DATA[[#This Row],[COMBINADA]],#REF!,6,0),0)</f>
        <v>0</v>
      </c>
      <c r="AJ1043" s="132">
        <f>IFERROR(VLOOKUP(DATA[[#This Row],[COMBINADA]],#REF!,9,0),0)/COUNTIFS(DATA[COMBINADA],DATA[[#This Row],[COMBINADA]])</f>
        <v>0</v>
      </c>
      <c r="AK1043" s="408">
        <f>IFERROR(VLOOKUP(DATA[[#This Row],[COMBINADA]],#REF!,6,0),0)</f>
        <v>0</v>
      </c>
      <c r="AL1043" s="125">
        <f>IFERROR(VLOOKUP(DATA[[#This Row],[COMBINADA]],#REF!,9,0),0)/COUNTIFS(DATA[COMBINADA],DATA[[#This Row],[COMBINADA]])</f>
        <v>0</v>
      </c>
      <c r="AM1043" s="147">
        <f>IFERROR(VLOOKUP(DATA[[#This Row],[COMBINADA]],#REF!,6,0),0)</f>
        <v>0</v>
      </c>
      <c r="AN1043" s="125">
        <f>IFERROR(VLOOKUP(DATA[[#This Row],[COMBINADA]],#REF!,9,0),0)/COUNTIFS(DATA[COMBINADA],DATA[[#This Row],[COMBINADA]])</f>
        <v>0</v>
      </c>
      <c r="AO1043" s="27">
        <f>IFERROR(VLOOKUP(DATA[[#This Row],[COMBINADA]],#REF!,6,0),0)</f>
        <v>0</v>
      </c>
      <c r="AP1043" s="132">
        <f>IFERROR(VLOOKUP(DATA[[#This Row],[COMBINADA]],#REF!,9,0),0)/COUNTIFS(DATA[COMBINADA],DATA[[#This Row],[COMBINADA]])</f>
        <v>0</v>
      </c>
      <c r="AQ104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1088.19625</v>
      </c>
      <c r="AR1043" s="26" t="str">
        <f>IFERROR(IF(DATA[[#This Row],[estado_fact]]="FACTURADO",VLOOKUP(DATA[[#This Row],[SERIE2]]&amp;"-"&amp;DATA[[#This Row],[NUMERO]],#REF!,34,0),"NO CORRESPONDE"),"NO CORRESPONDE")</f>
        <v>NO CORRESPONDE</v>
      </c>
      <c r="AS1043" s="22" t="str">
        <f>IF(DATA[[#This Row],[fecha_fs]]&gt;0,TEXT(DATA[[#This Row],[fecha_fs]],"Mmmm"),0)</f>
        <v>Agosto</v>
      </c>
      <c r="AT1043" s="22" t="str">
        <f>DATA[[#This Row],[SERIE2]]&amp;"-"&amp;DATA[[#This Row],[NUMERO]]</f>
        <v>FF01-231</v>
      </c>
      <c r="AU1043" s="28">
        <f>DATA[[#This Row],[TOTAL]]*DATA[[#This Row],[T.C.]]</f>
        <v>1076.1600000000001</v>
      </c>
      <c r="AV1043" s="6">
        <f>DATA[[#This Row],[FECHA DE VAL.]]</f>
        <v>45898</v>
      </c>
      <c r="AW1043" s="6">
        <f>DATA[[#This Row],[FECHA DE EMISION]]</f>
        <v>45901</v>
      </c>
      <c r="AX1043" s="6">
        <f>DATA[[#This Row],[F1]]</f>
        <v>0</v>
      </c>
      <c r="AY1043" s="20">
        <f>IF(AV1043-DATA[[#This Row],[fecha_fs]]&lt;0,0,AV1043-DATA[[#This Row],[fecha_fs]])</f>
        <v>16</v>
      </c>
      <c r="AZ1043" s="20">
        <f t="shared" si="163"/>
        <v>3</v>
      </c>
      <c r="BA1043" s="53">
        <f t="shared" si="164"/>
        <v>0</v>
      </c>
      <c r="BB1043" s="195">
        <f>IFERROR(SUM(DATA[[#This Row],[fs_val_ttf]:[fact_pago_ttf]]),0)</f>
        <v>19</v>
      </c>
      <c r="BC1043" s="233">
        <v>45882</v>
      </c>
      <c r="BD1043" s="233">
        <v>45891</v>
      </c>
      <c r="BE1043" s="233">
        <v>45901</v>
      </c>
      <c r="BF1043" s="233">
        <v>45904</v>
      </c>
      <c r="BG1043" s="20">
        <f>IFERROR(IF(BC1043-DATA[[#This Row],[fecha_fs]]&lt;0,0,BC1043-DATA[[#This Row],[fecha_fs]]),0)</f>
        <v>0</v>
      </c>
      <c r="BH1043" s="20">
        <f t="shared" si="143"/>
        <v>9</v>
      </c>
      <c r="BI1043" s="20">
        <f t="shared" si="144"/>
        <v>10</v>
      </c>
      <c r="BJ1043" s="20">
        <f t="shared" si="145"/>
        <v>3</v>
      </c>
      <c r="BK1043" s="282">
        <f>IFERROR(SUM(DATA[[#This Row],[fs_fd_ttd]:[fend_fenf_ttd]]),0)</f>
        <v>22</v>
      </c>
      <c r="BL1043" s="20" t="str">
        <f>IF(DATA[[#This Row],[fecha_fs]]&gt;0,TEXT(DATA[[#This Row],[fecha_fs]],"YYYY"),0)</f>
        <v>2025</v>
      </c>
      <c r="BM1043" s="236" t="b">
        <v>1</v>
      </c>
      <c r="BN1043" s="278">
        <f>COUNTIF(DATA[[#This Row],[tiempo_td]], "&lt;=15")</f>
        <v>0</v>
      </c>
      <c r="BO1043" s="222"/>
    </row>
    <row r="1044" spans="1:67" ht="30.6" customHeight="1" x14ac:dyDescent="0.25">
      <c r="A1044" s="4">
        <v>20100211115</v>
      </c>
      <c r="B1044" s="5" t="s">
        <v>41</v>
      </c>
      <c r="C1044" s="52" t="s">
        <v>18</v>
      </c>
      <c r="D1044" s="4" t="s">
        <v>120</v>
      </c>
      <c r="E1044" s="5" t="s">
        <v>3</v>
      </c>
      <c r="F1044" s="24">
        <v>45882</v>
      </c>
      <c r="G1044" s="7" t="s">
        <v>113</v>
      </c>
      <c r="H1044" s="25">
        <f t="shared" si="162"/>
        <v>1</v>
      </c>
      <c r="I1044" s="67">
        <v>4860</v>
      </c>
      <c r="J1044" s="8" t="s">
        <v>115</v>
      </c>
      <c r="K1044" s="9" t="s">
        <v>121</v>
      </c>
      <c r="L1044" s="10" t="s">
        <v>117</v>
      </c>
      <c r="M1044" s="11">
        <v>90</v>
      </c>
      <c r="N1044" s="12" t="s">
        <v>132</v>
      </c>
      <c r="O1044" s="6">
        <v>45894</v>
      </c>
      <c r="P1044" s="115">
        <v>3625</v>
      </c>
      <c r="Q1044" s="14" t="s">
        <v>85</v>
      </c>
      <c r="R1044" s="15"/>
      <c r="S1044" s="15">
        <f>(DATA[[#This Row],[cantidad_fs]]*4.17)</f>
        <v>375.3</v>
      </c>
      <c r="T1044" s="237">
        <f>DATA[[#This Row],[C. DF]]+DATA[[#This Row],[C.OPE.]]</f>
        <v>375.3</v>
      </c>
      <c r="U1044" s="15">
        <f>DATA[[#This Row],[SUB TOTAL]]*0.18</f>
        <v>67.554000000000002</v>
      </c>
      <c r="V1044" s="15">
        <f>IFERROR(ROUND(DATA[[#This Row],[SUB TOTAL]]+DATA[[#This Row],[IGV]],2),0)</f>
        <v>442.85</v>
      </c>
      <c r="W1044" s="16" t="str">
        <f>IF(DATA[[#This Row],[VALORIZACIÓN ]]="-","NO CORRESPONDE",IF(OR(A1044=20558226979,A1044=10470707866,A1044=20111157058,A1044=20100226902),"NO CORRESPONDE",IF(J1044="Emitida",IF(P1044&gt;0,"EMITIDA","PENDIENTE"),"NO CORRESPONDE")))</f>
        <v>EMITIDA</v>
      </c>
      <c r="X1044" s="29"/>
      <c r="Y1044" s="17" t="s">
        <v>118</v>
      </c>
      <c r="Z1044" s="30">
        <v>45896</v>
      </c>
      <c r="AA1044" s="10" t="s">
        <v>150</v>
      </c>
      <c r="AB1044" s="19">
        <v>224</v>
      </c>
      <c r="AC1044" s="20">
        <v>30</v>
      </c>
      <c r="AD1044" s="18">
        <f>DATA[[#This Row],[FECHA DE EMISION]]+DATA[[#This Row],[CONDICION DE PAGO]]</f>
        <v>45926</v>
      </c>
      <c r="AE1044" s="23">
        <f>IF(DATA[[#This Row],[MONEDA]]="USD",VLOOKUP(DATA[[#This Row],[COMBINADA]],#REF!,11,0),1)</f>
        <v>1</v>
      </c>
      <c r="AF1044" s="129" t="str">
        <f>IF(DATA[[#This Row],[SERIE2]]="-","NO CORRESPONDE",IF(W1044="NO CORRESPONDE","NO CORRESPONDE",IF(Z1044&gt;0,"FACTURADO","PENDIENTE")))</f>
        <v>FACTURADO</v>
      </c>
      <c r="AG1044" s="133">
        <f>IFERROR(VLOOKUP(DATA[[#This Row],[COMBINADA]],#REF!,6,0),0)</f>
        <v>0</v>
      </c>
      <c r="AH1044" s="125">
        <f>IFERROR(VLOOKUP(DATA[[#This Row],[COMBINADA]],#REF!,9,0),0)/COUNTIFS(DATA[COMBINADA],DATA[[#This Row],[COMBINADA]])</f>
        <v>0</v>
      </c>
      <c r="AI1044" s="136">
        <f>IFERROR(VLOOKUP(DATA[[#This Row],[COMBINADA]],#REF!,6,0),0)</f>
        <v>0</v>
      </c>
      <c r="AJ1044" s="132">
        <f>IFERROR(VLOOKUP(DATA[[#This Row],[COMBINADA]],#REF!,9,0),0)/COUNTIFS(DATA[COMBINADA],DATA[[#This Row],[COMBINADA]])</f>
        <v>0</v>
      </c>
      <c r="AK1044" s="408">
        <f>IFERROR(VLOOKUP(DATA[[#This Row],[COMBINADA]],#REF!,6,0),0)</f>
        <v>0</v>
      </c>
      <c r="AL1044" s="125">
        <f>IFERROR(VLOOKUP(DATA[[#This Row],[COMBINADA]],#REF!,9,0),0)/COUNTIFS(DATA[COMBINADA],DATA[[#This Row],[COMBINADA]])</f>
        <v>0</v>
      </c>
      <c r="AM1044" s="147">
        <f>IFERROR(VLOOKUP(DATA[[#This Row],[COMBINADA]],#REF!,6,0),0)</f>
        <v>0</v>
      </c>
      <c r="AN1044" s="125">
        <f>IFERROR(VLOOKUP(DATA[[#This Row],[COMBINADA]],#REF!,9,0),0)/COUNTIFS(DATA[COMBINADA],DATA[[#This Row],[COMBINADA]])</f>
        <v>0</v>
      </c>
      <c r="AO1044" s="27">
        <f>IFERROR(VLOOKUP(DATA[[#This Row],[COMBINADA]],#REF!,6,0),0)</f>
        <v>0</v>
      </c>
      <c r="AP1044" s="132">
        <f>IFERROR(VLOOKUP(DATA[[#This Row],[COMBINADA]],#REF!,9,0),0)/COUNTIFS(DATA[COMBINADA],DATA[[#This Row],[COMBINADA]])</f>
        <v>0</v>
      </c>
      <c r="AQ104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v>
      </c>
      <c r="AR1044" s="26" t="str">
        <f>IFERROR(IF(DATA[[#This Row],[estado_fact]]="FACTURADO",VLOOKUP(DATA[[#This Row],[SERIE2]]&amp;"-"&amp;DATA[[#This Row],[NUMERO]],#REF!,34,0),"NO CORRESPONDE"),"NO CORRESPONDE")</f>
        <v>NO CORRESPONDE</v>
      </c>
      <c r="AS1044" s="22" t="str">
        <f>IF(DATA[[#This Row],[fecha_fs]]&gt;0,TEXT(DATA[[#This Row],[fecha_fs]],"Mmmm"),0)</f>
        <v>Agosto</v>
      </c>
      <c r="AT1044" s="22" t="str">
        <f>DATA[[#This Row],[SERIE2]]&amp;"-"&amp;DATA[[#This Row],[NUMERO]]</f>
        <v>FF01-224</v>
      </c>
      <c r="AU1044" s="28">
        <f>DATA[[#This Row],[TOTAL]]*DATA[[#This Row],[T.C.]]</f>
        <v>442.85</v>
      </c>
      <c r="AV1044" s="6">
        <f>DATA[[#This Row],[FECHA DE VAL.]]</f>
        <v>45894</v>
      </c>
      <c r="AW1044" s="6">
        <f>DATA[[#This Row],[FECHA DE EMISION]]</f>
        <v>45896</v>
      </c>
      <c r="AX1044" s="6">
        <f>DATA[[#This Row],[F1]]</f>
        <v>0</v>
      </c>
      <c r="AY1044" s="20">
        <f>IF(AV1044-DATA[[#This Row],[fecha_fs]]&lt;0,0,AV1044-DATA[[#This Row],[fecha_fs]])</f>
        <v>12</v>
      </c>
      <c r="AZ1044" s="20">
        <f t="shared" si="163"/>
        <v>2</v>
      </c>
      <c r="BA1044" s="53">
        <f t="shared" si="164"/>
        <v>0</v>
      </c>
      <c r="BB1044" s="195">
        <f>IFERROR(SUM(DATA[[#This Row],[fs_val_ttf]:[fact_pago_ttf]]),0)</f>
        <v>14</v>
      </c>
      <c r="BC1044" s="233">
        <v>45903</v>
      </c>
      <c r="BD1044" s="233">
        <v>45905</v>
      </c>
      <c r="BE1044" s="233">
        <v>45908</v>
      </c>
      <c r="BF1044" s="185">
        <v>45911</v>
      </c>
      <c r="BG1044" s="20">
        <f>IFERROR(IF(BC1044-DATA[[#This Row],[fecha_fs]]&lt;0,0,BC1044-DATA[[#This Row],[fecha_fs]]),0)</f>
        <v>21</v>
      </c>
      <c r="BH1044" s="20">
        <f t="shared" si="143"/>
        <v>2</v>
      </c>
      <c r="BI1044" s="20">
        <f t="shared" si="144"/>
        <v>3</v>
      </c>
      <c r="BJ1044" s="20">
        <f t="shared" si="145"/>
        <v>3</v>
      </c>
      <c r="BK1044" s="282">
        <f>IFERROR(SUM(DATA[[#This Row],[fs_fd_ttd]:[fend_fenf_ttd]]),0)</f>
        <v>29</v>
      </c>
      <c r="BL1044" s="20" t="str">
        <f>IF(DATA[[#This Row],[fecha_fs]]&gt;0,TEXT(DATA[[#This Row],[fecha_fs]],"YYYY"),0)</f>
        <v>2025</v>
      </c>
      <c r="BM1044" s="236" t="b">
        <v>1</v>
      </c>
      <c r="BN1044" s="278">
        <f>COUNTIF(DATA[[#This Row],[tiempo_td]], "&lt;=15")</f>
        <v>0</v>
      </c>
      <c r="BO1044" s="222"/>
    </row>
    <row r="1045" spans="1:67" ht="30.6" customHeight="1" x14ac:dyDescent="0.25">
      <c r="A1045" s="4">
        <v>20100192064</v>
      </c>
      <c r="B1045" s="5" t="s">
        <v>60</v>
      </c>
      <c r="C1045" s="52" t="s">
        <v>43</v>
      </c>
      <c r="D1045" s="4" t="s">
        <v>112</v>
      </c>
      <c r="E1045" s="5" t="s">
        <v>1</v>
      </c>
      <c r="F1045" s="24">
        <v>45882</v>
      </c>
      <c r="G1045" s="7" t="s">
        <v>113</v>
      </c>
      <c r="H1045" s="25">
        <f t="shared" si="162"/>
        <v>1</v>
      </c>
      <c r="I1045" s="67">
        <v>4861</v>
      </c>
      <c r="J1045" s="8" t="s">
        <v>115</v>
      </c>
      <c r="K1045" s="9" t="s">
        <v>116</v>
      </c>
      <c r="L1045" s="10" t="s">
        <v>117</v>
      </c>
      <c r="M1045" s="11">
        <v>1570</v>
      </c>
      <c r="N1045" s="12" t="s">
        <v>132</v>
      </c>
      <c r="O1045" s="6">
        <v>45894</v>
      </c>
      <c r="P1045" s="71">
        <v>3611</v>
      </c>
      <c r="Q1045" s="14" t="s">
        <v>123</v>
      </c>
      <c r="R1045" s="15">
        <f>(DATA[[#This Row],[cantidad_fs]]/1000)*(143+175.34)</f>
        <v>499.79380000000009</v>
      </c>
      <c r="S1045" s="15">
        <v>137</v>
      </c>
      <c r="T1045" s="237">
        <f>DATA[[#This Row],[C. DF]]+DATA[[#This Row],[C.OPE.]]</f>
        <v>636.79380000000015</v>
      </c>
      <c r="U1045" s="15">
        <f>DATA[[#This Row],[SUB TOTAL]]*0.18</f>
        <v>114.62288400000003</v>
      </c>
      <c r="V1045" s="15">
        <f>IFERROR(ROUND(DATA[[#This Row],[SUB TOTAL]]+DATA[[#This Row],[IGV]],2),0)</f>
        <v>751.42</v>
      </c>
      <c r="W1045" s="16" t="str">
        <f>IF(DATA[[#This Row],[VALORIZACIÓN ]]="-","NO CORRESPONDE",IF(OR(A1045=20558226979,A1045=10470707866,A1045=20111157058,A1045=20100226902),"NO CORRESPONDE",IF(J1045="Emitida",IF(P1045&gt;0,"EMITIDA","PENDIENTE"),"NO CORRESPONDE")))</f>
        <v>EMITIDA</v>
      </c>
      <c r="X1045" s="29" t="s">
        <v>322</v>
      </c>
      <c r="Y1045" s="17" t="s">
        <v>118</v>
      </c>
      <c r="Z1045" s="277">
        <v>45898</v>
      </c>
      <c r="AA1045" s="20" t="s">
        <v>150</v>
      </c>
      <c r="AB1045" s="19">
        <v>229</v>
      </c>
      <c r="AC1045" s="20">
        <v>30</v>
      </c>
      <c r="AD1045" s="18">
        <f>DATA[[#This Row],[FECHA DE EMISION]]+DATA[[#This Row],[CONDICION DE PAGO]]</f>
        <v>45928</v>
      </c>
      <c r="AE1045" s="23" t="e">
        <f>IF(DATA[[#This Row],[MONEDA]]="USD",VLOOKUP(DATA[[#This Row],[COMBINADA]],#REF!,11,0),1)</f>
        <v>#REF!</v>
      </c>
      <c r="AF1045" s="129" t="str">
        <f>IF(DATA[[#This Row],[SERIE2]]="-","NO CORRESPONDE",IF(W1045="NO CORRESPONDE","NO CORRESPONDE",IF(Z1045&gt;0,"FACTURADO","PENDIENTE")))</f>
        <v>FACTURADO</v>
      </c>
      <c r="AG1045" s="133">
        <f>IFERROR(VLOOKUP(DATA[[#This Row],[COMBINADA]],#REF!,6,0),0)</f>
        <v>0</v>
      </c>
      <c r="AH1045" s="125">
        <f>IFERROR(VLOOKUP(DATA[[#This Row],[COMBINADA]],#REF!,9,0),0)/COUNTIFS(DATA[COMBINADA],DATA[[#This Row],[COMBINADA]])</f>
        <v>0</v>
      </c>
      <c r="AI1045" s="136">
        <f>IFERROR(VLOOKUP(DATA[[#This Row],[COMBINADA]],#REF!,6,0),0)</f>
        <v>0</v>
      </c>
      <c r="AJ1045" s="132">
        <f>IFERROR(VLOOKUP(DATA[[#This Row],[COMBINADA]],#REF!,9,0),0)/COUNTIFS(DATA[COMBINADA],DATA[[#This Row],[COMBINADA]])</f>
        <v>0</v>
      </c>
      <c r="AK1045" s="408">
        <f>IFERROR(VLOOKUP(DATA[[#This Row],[COMBINADA]],#REF!,6,0),0)</f>
        <v>0</v>
      </c>
      <c r="AL1045" s="125">
        <f>IFERROR(VLOOKUP(DATA[[#This Row],[COMBINADA]],#REF!,9,0),0)/COUNTIFS(DATA[COMBINADA],DATA[[#This Row],[COMBINADA]])</f>
        <v>0</v>
      </c>
      <c r="AM1045" s="147">
        <f>IFERROR(VLOOKUP(DATA[[#This Row],[COMBINADA]],#REF!,6,0),0)</f>
        <v>0</v>
      </c>
      <c r="AN1045" s="125">
        <f>IFERROR(VLOOKUP(DATA[[#This Row],[COMBINADA]],#REF!,9,0),0)/COUNTIFS(DATA[COMBINADA],DATA[[#This Row],[COMBINADA]])</f>
        <v>0</v>
      </c>
      <c r="AO1045" s="27">
        <f>IFERROR(VLOOKUP(DATA[[#This Row],[COMBINADA]],#REF!,6,0),0)</f>
        <v>0</v>
      </c>
      <c r="AP1045" s="132">
        <f>IFERROR(VLOOKUP(DATA[[#This Row],[COMBINADA]],#REF!,9,0),0)/COUNTIFS(DATA[COMBINADA],DATA[[#This Row],[COMBINADA]])</f>
        <v>0</v>
      </c>
      <c r="AQ104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587.06100000000004</v>
      </c>
      <c r="AR1045" s="26" t="str">
        <f>IFERROR(IF(DATA[[#This Row],[estado_fact]]="FACTURADO",VLOOKUP(DATA[[#This Row],[SERIE2]]&amp;"-"&amp;DATA[[#This Row],[NUMERO]],#REF!,34,0),"NO CORRESPONDE"),"NO CORRESPONDE")</f>
        <v>NO CORRESPONDE</v>
      </c>
      <c r="AS1045" s="22" t="str">
        <f>IF(DATA[[#This Row],[fecha_fs]]&gt;0,TEXT(DATA[[#This Row],[fecha_fs]],"Mmmm"),0)</f>
        <v>Agosto</v>
      </c>
      <c r="AT1045" s="22" t="str">
        <f>DATA[[#This Row],[SERIE2]]&amp;"-"&amp;DATA[[#This Row],[NUMERO]]</f>
        <v>FF01-229</v>
      </c>
      <c r="AU1045" s="28" t="e">
        <f>DATA[[#This Row],[TOTAL]]*DATA[[#This Row],[T.C.]]</f>
        <v>#REF!</v>
      </c>
      <c r="AV1045" s="6">
        <f>DATA[[#This Row],[FECHA DE VAL.]]</f>
        <v>45894</v>
      </c>
      <c r="AW1045" s="6">
        <f>DATA[[#This Row],[FECHA DE EMISION]]</f>
        <v>45898</v>
      </c>
      <c r="AX1045" s="6">
        <f>DATA[[#This Row],[F1]]</f>
        <v>0</v>
      </c>
      <c r="AY1045" s="20">
        <f>IF(AV1045-DATA[[#This Row],[fecha_fs]]&lt;0,0,AV1045-DATA[[#This Row],[fecha_fs]])</f>
        <v>12</v>
      </c>
      <c r="AZ1045" s="20">
        <f t="shared" si="163"/>
        <v>4</v>
      </c>
      <c r="BA1045" s="53">
        <f t="shared" si="164"/>
        <v>0</v>
      </c>
      <c r="BB1045" s="195">
        <f>IFERROR(SUM(DATA[[#This Row],[fs_val_ttf]:[fact_pago_ttf]]),0)</f>
        <v>16</v>
      </c>
      <c r="BC1045" s="233">
        <v>45890</v>
      </c>
      <c r="BD1045" s="233">
        <v>45895</v>
      </c>
      <c r="BE1045" s="233">
        <v>45901</v>
      </c>
      <c r="BF1045" s="233">
        <v>45909</v>
      </c>
      <c r="BG1045" s="20">
        <f>IFERROR(IF(BC1045-DATA[[#This Row],[fecha_fs]]&lt;0,0,BC1045-DATA[[#This Row],[fecha_fs]]),0)</f>
        <v>8</v>
      </c>
      <c r="BH1045" s="20">
        <f t="shared" si="143"/>
        <v>5</v>
      </c>
      <c r="BI1045" s="20">
        <f t="shared" si="144"/>
        <v>6</v>
      </c>
      <c r="BJ1045" s="20">
        <f t="shared" si="145"/>
        <v>8</v>
      </c>
      <c r="BK1045" s="282">
        <f>IFERROR(SUM(DATA[[#This Row],[fs_fd_ttd]:[fend_fenf_ttd]]),0)</f>
        <v>27</v>
      </c>
      <c r="BL1045" s="20" t="str">
        <f>IF(DATA[[#This Row],[fecha_fs]]&gt;0,TEXT(DATA[[#This Row],[fecha_fs]],"YYYY"),0)</f>
        <v>2025</v>
      </c>
      <c r="BM1045" s="236" t="b">
        <v>1</v>
      </c>
      <c r="BN1045" s="278">
        <f>COUNTIF(DATA[[#This Row],[tiempo_td]], "&lt;=15")</f>
        <v>0</v>
      </c>
      <c r="BO1045" s="222"/>
    </row>
    <row r="1046" spans="1:67" ht="30.6" customHeight="1" x14ac:dyDescent="0.25">
      <c r="A1046" s="4">
        <v>20558226979</v>
      </c>
      <c r="B1046" s="5" t="s">
        <v>45</v>
      </c>
      <c r="C1046" s="52" t="s">
        <v>18</v>
      </c>
      <c r="D1046" s="4" t="s">
        <v>120</v>
      </c>
      <c r="E1046" s="5" t="s">
        <v>3</v>
      </c>
      <c r="F1046" s="24">
        <v>45882</v>
      </c>
      <c r="G1046" s="7" t="s">
        <v>113</v>
      </c>
      <c r="H1046" s="25">
        <f t="shared" ref="H1046:H1050" si="165">IF(G1046="","",IF(G1046="LIM",2,1))</f>
        <v>1</v>
      </c>
      <c r="I1046" s="67">
        <v>4862</v>
      </c>
      <c r="J1046" s="8" t="s">
        <v>115</v>
      </c>
      <c r="K1046" s="9" t="s">
        <v>148</v>
      </c>
      <c r="L1046" s="10" t="s">
        <v>117</v>
      </c>
      <c r="M1046" s="11">
        <v>2880</v>
      </c>
      <c r="N1046" s="12" t="s">
        <v>129</v>
      </c>
      <c r="O1046" s="40"/>
      <c r="P1046" s="41" t="s">
        <v>114</v>
      </c>
      <c r="Q1046" s="42"/>
      <c r="R1046" s="43"/>
      <c r="S1046" s="43"/>
      <c r="T1046" s="43">
        <f>DATA[[#This Row],[C. DF]]+DATA[[#This Row],[C.OPE.]]</f>
        <v>0</v>
      </c>
      <c r="U1046" s="43">
        <f>DATA[[#This Row],[SUB TOTAL]]*0.18</f>
        <v>0</v>
      </c>
      <c r="V1046" s="43">
        <f>IFERROR(ROUND(DATA[[#This Row],[SUB TOTAL]]+DATA[[#This Row],[IGV]],2),0)</f>
        <v>0</v>
      </c>
      <c r="W1046" s="16" t="str">
        <f>IF(DATA[[#This Row],[VALORIZACIÓN ]]="-","NO CORRESPONDE",IF(OR(A1046=20558226979,A1046=10470707866,A1046=20111157058,A1046=20100226902),"NO CORRESPONDE",IF(J1046="Emitida",IF(P1046&gt;0,"EMITIDA","PENDIENTE"),"NO CORRESPONDE")))</f>
        <v>NO CORRESPONDE</v>
      </c>
      <c r="X1046" s="45"/>
      <c r="Y1046" s="17" t="s">
        <v>128</v>
      </c>
      <c r="Z1046" s="46"/>
      <c r="AA1046" s="47"/>
      <c r="AB1046" s="48"/>
      <c r="AC1046" s="49"/>
      <c r="AD1046" s="50">
        <f>DATA[[#This Row],[FECHA DE EMISION]]+DATA[[#This Row],[CONDICION DE PAGO]]</f>
        <v>0</v>
      </c>
      <c r="AE1046" s="23">
        <f>IF(DATA[[#This Row],[MONEDA]]="USD",VLOOKUP(DATA[[#This Row],[COMBINADA]],#REF!,11,0),1)</f>
        <v>1</v>
      </c>
      <c r="AF1046" s="129" t="str">
        <f>IF(DATA[[#This Row],[SERIE2]]="-","NO CORRESPONDE",IF(W1046="NO CORRESPONDE","NO CORRESPONDE",IF(Z1046&gt;0,"FACTURADO","PENDIENTE")))</f>
        <v>NO CORRESPONDE</v>
      </c>
      <c r="AG1046" s="133">
        <f>IFERROR(VLOOKUP(DATA[[#This Row],[COMBINADA]],#REF!,6,0),0)</f>
        <v>0</v>
      </c>
      <c r="AH1046" s="125">
        <f>IFERROR(VLOOKUP(DATA[[#This Row],[COMBINADA]],#REF!,9,0),0)/COUNTIFS(DATA[COMBINADA],DATA[[#This Row],[COMBINADA]])</f>
        <v>0</v>
      </c>
      <c r="AI1046" s="136">
        <f>IFERROR(VLOOKUP(DATA[[#This Row],[COMBINADA]],#REF!,6,0),0)</f>
        <v>0</v>
      </c>
      <c r="AJ1046" s="132">
        <f>IFERROR(VLOOKUP(DATA[[#This Row],[COMBINADA]],#REF!,9,0),0)/COUNTIFS(DATA[COMBINADA],DATA[[#This Row],[COMBINADA]])</f>
        <v>0</v>
      </c>
      <c r="AK1046" s="408">
        <f>IFERROR(VLOOKUP(DATA[[#This Row],[COMBINADA]],#REF!,6,0),0)</f>
        <v>0</v>
      </c>
      <c r="AL1046" s="125">
        <f>IFERROR(VLOOKUP(DATA[[#This Row],[COMBINADA]],#REF!,9,0),0)/COUNTIFS(DATA[COMBINADA],DATA[[#This Row],[COMBINADA]])</f>
        <v>0</v>
      </c>
      <c r="AM1046" s="147">
        <f>IFERROR(VLOOKUP(DATA[[#This Row],[COMBINADA]],#REF!,6,0),0)</f>
        <v>0</v>
      </c>
      <c r="AN1046" s="125">
        <f>IFERROR(VLOOKUP(DATA[[#This Row],[COMBINADA]],#REF!,9,0),0)/COUNTIFS(DATA[COMBINADA],DATA[[#This Row],[COMBINADA]])</f>
        <v>0</v>
      </c>
      <c r="AO1046" s="27">
        <f>IFERROR(VLOOKUP(DATA[[#This Row],[COMBINADA]],#REF!,6,0),0)</f>
        <v>0</v>
      </c>
      <c r="AP1046" s="132">
        <f>IFERROR(VLOOKUP(DATA[[#This Row],[COMBINADA]],#REF!,9,0),0)/COUNTIFS(DATA[COMBINADA],DATA[[#This Row],[COMBINADA]])</f>
        <v>0</v>
      </c>
      <c r="AQ104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046" s="26" t="str">
        <f>IFERROR(IF(DATA[[#This Row],[estado_fact]]="FACTURADO",VLOOKUP(DATA[[#This Row],[SERIE2]]&amp;"-"&amp;DATA[[#This Row],[NUMERO]],#REF!,34,0),"NO CORRESPONDE"),"NO CORRESPONDE")</f>
        <v>NO CORRESPONDE</v>
      </c>
      <c r="AS1046" s="22" t="str">
        <f>IF(DATA[[#This Row],[fecha_fs]]&gt;0,TEXT(DATA[[#This Row],[fecha_fs]],"Mmmm"),0)</f>
        <v>Agosto</v>
      </c>
      <c r="AT1046" s="22" t="str">
        <f>DATA[[#This Row],[SERIE2]]&amp;"-"&amp;DATA[[#This Row],[NUMERO]]</f>
        <v>-</v>
      </c>
      <c r="AU1046" s="28">
        <f>DATA[[#This Row],[TOTAL]]*DATA[[#This Row],[T.C.]]</f>
        <v>0</v>
      </c>
      <c r="AV1046" s="6">
        <f>DATA[[#This Row],[FECHA DE VAL.]]</f>
        <v>0</v>
      </c>
      <c r="AW1046" s="6">
        <f>DATA[[#This Row],[FECHA DE EMISION]]</f>
        <v>0</v>
      </c>
      <c r="AX1046" s="6">
        <f>DATA[[#This Row],[F1]]</f>
        <v>0</v>
      </c>
      <c r="AY1046" s="20">
        <f>IF(AV1046-DATA[[#This Row],[fecha_fs]]&lt;0,0,AV1046-DATA[[#This Row],[fecha_fs]])</f>
        <v>0</v>
      </c>
      <c r="AZ1046" s="20">
        <f t="shared" ref="AZ1046:AZ1050" si="166">IF(AW1046-AV1046&lt;0,0,AW1046-AV1046)</f>
        <v>0</v>
      </c>
      <c r="BA1046" s="53">
        <f t="shared" ref="BA1046:BA1050" si="167">IF(AX1046-AW1046&lt;0,0,AX1046-AW1046)</f>
        <v>0</v>
      </c>
      <c r="BB1046" s="195">
        <f>IFERROR(SUM(DATA[[#This Row],[fs_val_ttf]:[fact_pago_ttf]]),0)</f>
        <v>0</v>
      </c>
      <c r="BC1046" s="233">
        <v>45882</v>
      </c>
      <c r="BD1046" s="233">
        <v>45891</v>
      </c>
      <c r="BE1046" s="233">
        <v>45891</v>
      </c>
      <c r="BF1046" s="233">
        <v>45891</v>
      </c>
      <c r="BG1046" s="20">
        <f>IFERROR(IF(BC1046-DATA[[#This Row],[fecha_fs]]&lt;0,0,BC1046-DATA[[#This Row],[fecha_fs]]),0)</f>
        <v>0</v>
      </c>
      <c r="BH1046" s="20">
        <f t="shared" si="143"/>
        <v>9</v>
      </c>
      <c r="BI1046" s="20">
        <f t="shared" si="144"/>
        <v>0</v>
      </c>
      <c r="BJ1046" s="20">
        <f t="shared" si="145"/>
        <v>0</v>
      </c>
      <c r="BK1046" s="282">
        <f>IFERROR(SUM(DATA[[#This Row],[fs_fd_ttd]:[fend_fenf_ttd]]),0)</f>
        <v>9</v>
      </c>
      <c r="BL1046" s="20" t="str">
        <f>IF(DATA[[#This Row],[fecha_fs]]&gt;0,TEXT(DATA[[#This Row],[fecha_fs]],"YYYY"),0)</f>
        <v>2025</v>
      </c>
      <c r="BM1046" s="236" t="b">
        <v>1</v>
      </c>
      <c r="BN1046" s="278">
        <f>COUNTIF(DATA[[#This Row],[tiempo_td]], "&lt;=15")</f>
        <v>1</v>
      </c>
      <c r="BO1046" s="222"/>
    </row>
    <row r="1047" spans="1:67" ht="30.6" customHeight="1" x14ac:dyDescent="0.25">
      <c r="A1047" s="4">
        <v>20419158462</v>
      </c>
      <c r="B1047" s="5" t="s">
        <v>2</v>
      </c>
      <c r="C1047" s="52" t="s">
        <v>15</v>
      </c>
      <c r="D1047" s="4" t="s">
        <v>120</v>
      </c>
      <c r="E1047" s="5" t="s">
        <v>3</v>
      </c>
      <c r="F1047" s="24">
        <v>45882</v>
      </c>
      <c r="G1047" s="7" t="s">
        <v>113</v>
      </c>
      <c r="H1047" s="25">
        <f t="shared" si="165"/>
        <v>1</v>
      </c>
      <c r="I1047" s="67">
        <v>4863</v>
      </c>
      <c r="J1047" s="8" t="s">
        <v>115</v>
      </c>
      <c r="K1047" s="9" t="s">
        <v>156</v>
      </c>
      <c r="L1047" s="10" t="s">
        <v>117</v>
      </c>
      <c r="M1047" s="11">
        <v>520</v>
      </c>
      <c r="N1047" s="12" t="s">
        <v>135</v>
      </c>
      <c r="O1047" s="6">
        <v>45883</v>
      </c>
      <c r="P1047" s="13">
        <v>3600</v>
      </c>
      <c r="Q1047" s="14" t="s">
        <v>85</v>
      </c>
      <c r="R1047" s="74"/>
      <c r="S1047" s="15">
        <f>1429.7/4</f>
        <v>357.42500000000001</v>
      </c>
      <c r="T1047" s="237">
        <f>DATA[[#This Row],[C. DF]]+DATA[[#This Row],[C.OPE.]]</f>
        <v>357.42500000000001</v>
      </c>
      <c r="U1047" s="15">
        <f>DATA[[#This Row],[SUB TOTAL]]*0.18</f>
        <v>64.336500000000001</v>
      </c>
      <c r="V1047" s="15">
        <f>IFERROR(ROUND(DATA[[#This Row],[SUB TOTAL]]+DATA[[#This Row],[IGV]],2),0)</f>
        <v>421.76</v>
      </c>
      <c r="W1047" s="16" t="str">
        <f>IF(DATA[[#This Row],[VALORIZACIÓN ]]="-","NO CORRESPONDE",IF(OR(A1047=20558226979,A1047=10470707866,A1047=20111157058,A1047=20100226902),"NO CORRESPONDE",IF(J1047="Emitida",IF(P1047&gt;0,"EMITIDA","PENDIENTE"),"NO CORRESPONDE")))</f>
        <v>EMITIDA</v>
      </c>
      <c r="X1047" s="29"/>
      <c r="Y1047" s="17" t="s">
        <v>118</v>
      </c>
      <c r="Z1047" s="30">
        <v>45965</v>
      </c>
      <c r="AA1047" s="10" t="s">
        <v>150</v>
      </c>
      <c r="AB1047" s="19">
        <v>328</v>
      </c>
      <c r="AC1047" s="20">
        <v>2</v>
      </c>
      <c r="AD1047" s="18">
        <f>DATA[[#This Row],[FECHA DE EMISION]]+DATA[[#This Row],[CONDICION DE PAGO]]</f>
        <v>45967</v>
      </c>
      <c r="AE1047" s="23">
        <f>IF(DATA[[#This Row],[MONEDA]]="USD",VLOOKUP(DATA[[#This Row],[COMBINADA]],#REF!,11,0),1)</f>
        <v>1</v>
      </c>
      <c r="AF1047" s="129" t="str">
        <f>IF(DATA[[#This Row],[SERIE2]]="-","NO CORRESPONDE",IF(W1047="NO CORRESPONDE","NO CORRESPONDE",IF(Z1047&gt;0,"FACTURADO","PENDIENTE")))</f>
        <v>FACTURADO</v>
      </c>
      <c r="AG1047" s="133">
        <f>IFERROR(VLOOKUP(DATA[[#This Row],[COMBINADA]],#REF!,6,0),0)</f>
        <v>0</v>
      </c>
      <c r="AH1047" s="125">
        <f>IFERROR(VLOOKUP(DATA[[#This Row],[COMBINADA]],#REF!,9,0),0)/COUNTIFS(DATA[COMBINADA],DATA[[#This Row],[COMBINADA]])</f>
        <v>0</v>
      </c>
      <c r="AI1047" s="136">
        <f>IFERROR(VLOOKUP(DATA[[#This Row],[COMBINADA]],#REF!,6,0),0)</f>
        <v>0</v>
      </c>
      <c r="AJ1047" s="132">
        <f>IFERROR(VLOOKUP(DATA[[#This Row],[COMBINADA]],#REF!,9,0),0)/COUNTIFS(DATA[COMBINADA],DATA[[#This Row],[COMBINADA]])</f>
        <v>0</v>
      </c>
      <c r="AK1047" s="408">
        <f>IFERROR(VLOOKUP(DATA[[#This Row],[COMBINADA]],#REF!,6,0),0)</f>
        <v>0</v>
      </c>
      <c r="AL1047" s="125">
        <f>IFERROR(VLOOKUP(DATA[[#This Row],[COMBINADA]],#REF!,9,0),0)/COUNTIFS(DATA[COMBINADA],DATA[[#This Row],[COMBINADA]])</f>
        <v>0</v>
      </c>
      <c r="AM1047" s="147">
        <f>IFERROR(VLOOKUP(DATA[[#This Row],[COMBINADA]],#REF!,6,0),0)</f>
        <v>0</v>
      </c>
      <c r="AN1047" s="125">
        <f>IFERROR(VLOOKUP(DATA[[#This Row],[COMBINADA]],#REF!,9,0),0)/COUNTIFS(DATA[COMBINADA],DATA[[#This Row],[COMBINADA]])</f>
        <v>0</v>
      </c>
      <c r="AO1047" s="27">
        <f>IFERROR(VLOOKUP(DATA[[#This Row],[COMBINADA]],#REF!,6,0),0)</f>
        <v>0</v>
      </c>
      <c r="AP1047" s="132">
        <f>IFERROR(VLOOKUP(DATA[[#This Row],[COMBINADA]],#REF!,9,0),0)/COUNTIFS(DATA[COMBINADA],DATA[[#This Row],[COMBINADA]])</f>
        <v>0</v>
      </c>
      <c r="AQ104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421.76</v>
      </c>
      <c r="AR1047" s="26" t="str">
        <f>IFERROR(IF(DATA[[#This Row],[estado_fact]]="FACTURADO",VLOOKUP(DATA[[#This Row],[SERIE2]]&amp;"-"&amp;DATA[[#This Row],[NUMERO]],#REF!,34,0),"NO CORRESPONDE"),"NO CORRESPONDE")</f>
        <v>NO CORRESPONDE</v>
      </c>
      <c r="AS1047" s="22" t="str">
        <f>IF(DATA[[#This Row],[fecha_fs]]&gt;0,TEXT(DATA[[#This Row],[fecha_fs]],"Mmmm"),0)</f>
        <v>Agosto</v>
      </c>
      <c r="AT1047" s="22" t="str">
        <f>DATA[[#This Row],[SERIE2]]&amp;"-"&amp;DATA[[#This Row],[NUMERO]]</f>
        <v>FF01-328</v>
      </c>
      <c r="AU1047" s="28">
        <f>DATA[[#This Row],[TOTAL]]*DATA[[#This Row],[T.C.]]</f>
        <v>421.76</v>
      </c>
      <c r="AV1047" s="6">
        <f>DATA[[#This Row],[FECHA DE VAL.]]</f>
        <v>45883</v>
      </c>
      <c r="AW1047" s="6">
        <f>DATA[[#This Row],[FECHA DE EMISION]]</f>
        <v>45965</v>
      </c>
      <c r="AX1047" s="6">
        <f>DATA[[#This Row],[F1]]</f>
        <v>0</v>
      </c>
      <c r="AY1047" s="20">
        <f>IF(AV1047-DATA[[#This Row],[fecha_fs]]&lt;0,0,AV1047-DATA[[#This Row],[fecha_fs]])</f>
        <v>1</v>
      </c>
      <c r="AZ1047" s="20">
        <f t="shared" si="166"/>
        <v>82</v>
      </c>
      <c r="BA1047" s="53">
        <f t="shared" si="167"/>
        <v>0</v>
      </c>
      <c r="BB1047" s="195">
        <f>IFERROR(SUM(DATA[[#This Row],[fs_val_ttf]:[fact_pago_ttf]]),0)</f>
        <v>83</v>
      </c>
      <c r="BC1047" s="233">
        <v>45882</v>
      </c>
      <c r="BD1047" s="233">
        <v>45882</v>
      </c>
      <c r="BE1047" s="233">
        <v>45888</v>
      </c>
      <c r="BF1047" s="233">
        <v>45888</v>
      </c>
      <c r="BG1047" s="20">
        <f>IFERROR(IF(BC1047-DATA[[#This Row],[fecha_fs]]&lt;0,0,BC1047-DATA[[#This Row],[fecha_fs]]),0)</f>
        <v>0</v>
      </c>
      <c r="BH1047" s="20">
        <f t="shared" si="143"/>
        <v>0</v>
      </c>
      <c r="BI1047" s="20">
        <f t="shared" si="144"/>
        <v>6</v>
      </c>
      <c r="BJ1047" s="20">
        <f t="shared" si="145"/>
        <v>0</v>
      </c>
      <c r="BK1047" s="282">
        <f>IFERROR(SUM(DATA[[#This Row],[fs_fd_ttd]:[fend_fenf_ttd]]),0)</f>
        <v>6</v>
      </c>
      <c r="BL1047" s="20" t="str">
        <f>IF(DATA[[#This Row],[fecha_fs]]&gt;0,TEXT(DATA[[#This Row],[fecha_fs]],"YYYY"),0)</f>
        <v>2025</v>
      </c>
      <c r="BM1047" s="236" t="b">
        <v>1</v>
      </c>
      <c r="BN1047" s="278">
        <f>COUNTIF(DATA[[#This Row],[tiempo_td]], "&lt;=15")</f>
        <v>1</v>
      </c>
      <c r="BO1047" s="222"/>
    </row>
    <row r="1048" spans="1:67" ht="30.6" customHeight="1" x14ac:dyDescent="0.25">
      <c r="A1048" s="4">
        <v>20419158462</v>
      </c>
      <c r="B1048" s="5" t="s">
        <v>2</v>
      </c>
      <c r="C1048" s="52" t="s">
        <v>199</v>
      </c>
      <c r="D1048" s="4" t="s">
        <v>120</v>
      </c>
      <c r="E1048" s="5" t="s">
        <v>3</v>
      </c>
      <c r="F1048" s="24">
        <v>45882</v>
      </c>
      <c r="G1048" s="7" t="s">
        <v>113</v>
      </c>
      <c r="H1048" s="25">
        <f t="shared" si="165"/>
        <v>1</v>
      </c>
      <c r="I1048" s="67">
        <v>4864</v>
      </c>
      <c r="J1048" s="8" t="s">
        <v>115</v>
      </c>
      <c r="K1048" s="9" t="s">
        <v>156</v>
      </c>
      <c r="L1048" s="10" t="s">
        <v>117</v>
      </c>
      <c r="M1048" s="11">
        <v>150</v>
      </c>
      <c r="N1048" s="12" t="s">
        <v>135</v>
      </c>
      <c r="O1048" s="6">
        <v>45883</v>
      </c>
      <c r="P1048" s="13">
        <v>3600</v>
      </c>
      <c r="Q1048" s="14" t="s">
        <v>85</v>
      </c>
      <c r="R1048" s="74"/>
      <c r="S1048" s="15">
        <f>1429.7/4</f>
        <v>357.42500000000001</v>
      </c>
      <c r="T1048" s="237">
        <f>DATA[[#This Row],[C. DF]]+DATA[[#This Row],[C.OPE.]]</f>
        <v>357.42500000000001</v>
      </c>
      <c r="U1048" s="15">
        <f>DATA[[#This Row],[SUB TOTAL]]*0.18</f>
        <v>64.336500000000001</v>
      </c>
      <c r="V1048" s="15">
        <f>IFERROR(ROUND(DATA[[#This Row],[SUB TOTAL]]+DATA[[#This Row],[IGV]],2),0)</f>
        <v>421.76</v>
      </c>
      <c r="W1048" s="16" t="str">
        <f>IF(DATA[[#This Row],[VALORIZACIÓN ]]="-","NO CORRESPONDE",IF(OR(A1048=20558226979,A1048=10470707866,A1048=20111157058,A1048=20100226902),"NO CORRESPONDE",IF(J1048="Emitida",IF(P1048&gt;0,"EMITIDA","PENDIENTE"),"NO CORRESPONDE")))</f>
        <v>EMITIDA</v>
      </c>
      <c r="X1048" s="29"/>
      <c r="Y1048" s="17" t="s">
        <v>118</v>
      </c>
      <c r="Z1048" s="30">
        <v>45965</v>
      </c>
      <c r="AA1048" s="10" t="s">
        <v>150</v>
      </c>
      <c r="AB1048" s="19">
        <v>328</v>
      </c>
      <c r="AC1048" s="20">
        <v>2</v>
      </c>
      <c r="AD1048" s="18">
        <f>DATA[[#This Row],[FECHA DE EMISION]]+DATA[[#This Row],[CONDICION DE PAGO]]</f>
        <v>45967</v>
      </c>
      <c r="AE1048" s="23">
        <f>IF(DATA[[#This Row],[MONEDA]]="USD",VLOOKUP(DATA[[#This Row],[COMBINADA]],#REF!,11,0),1)</f>
        <v>1</v>
      </c>
      <c r="AF1048" s="129" t="str">
        <f>IF(DATA[[#This Row],[SERIE2]]="-","NO CORRESPONDE",IF(W1048="NO CORRESPONDE","NO CORRESPONDE",IF(Z1048&gt;0,"FACTURADO","PENDIENTE")))</f>
        <v>FACTURADO</v>
      </c>
      <c r="AG1048" s="133">
        <f>IFERROR(VLOOKUP(DATA[[#This Row],[COMBINADA]],#REF!,6,0),0)</f>
        <v>0</v>
      </c>
      <c r="AH1048" s="125">
        <f>IFERROR(VLOOKUP(DATA[[#This Row],[COMBINADA]],#REF!,9,0),0)/COUNTIFS(DATA[COMBINADA],DATA[[#This Row],[COMBINADA]])</f>
        <v>0</v>
      </c>
      <c r="AI1048" s="136">
        <f>IFERROR(VLOOKUP(DATA[[#This Row],[COMBINADA]],#REF!,6,0),0)</f>
        <v>0</v>
      </c>
      <c r="AJ1048" s="132">
        <f>IFERROR(VLOOKUP(DATA[[#This Row],[COMBINADA]],#REF!,9,0),0)/COUNTIFS(DATA[COMBINADA],DATA[[#This Row],[COMBINADA]])</f>
        <v>0</v>
      </c>
      <c r="AK1048" s="408">
        <f>IFERROR(VLOOKUP(DATA[[#This Row],[COMBINADA]],#REF!,6,0),0)</f>
        <v>0</v>
      </c>
      <c r="AL1048" s="125">
        <f>IFERROR(VLOOKUP(DATA[[#This Row],[COMBINADA]],#REF!,9,0),0)/COUNTIFS(DATA[COMBINADA],DATA[[#This Row],[COMBINADA]])</f>
        <v>0</v>
      </c>
      <c r="AM1048" s="147">
        <f>IFERROR(VLOOKUP(DATA[[#This Row],[COMBINADA]],#REF!,6,0),0)</f>
        <v>0</v>
      </c>
      <c r="AN1048" s="125">
        <f>IFERROR(VLOOKUP(DATA[[#This Row],[COMBINADA]],#REF!,9,0),0)/COUNTIFS(DATA[COMBINADA],DATA[[#This Row],[COMBINADA]])</f>
        <v>0</v>
      </c>
      <c r="AO1048" s="27">
        <f>IFERROR(VLOOKUP(DATA[[#This Row],[COMBINADA]],#REF!,6,0),0)</f>
        <v>0</v>
      </c>
      <c r="AP1048" s="132">
        <f>IFERROR(VLOOKUP(DATA[[#This Row],[COMBINADA]],#REF!,9,0),0)/COUNTIFS(DATA[COMBINADA],DATA[[#This Row],[COMBINADA]])</f>
        <v>0</v>
      </c>
      <c r="AQ104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421.76</v>
      </c>
      <c r="AR1048" s="26" t="str">
        <f>IFERROR(IF(DATA[[#This Row],[estado_fact]]="FACTURADO",VLOOKUP(DATA[[#This Row],[SERIE2]]&amp;"-"&amp;DATA[[#This Row],[NUMERO]],#REF!,34,0),"NO CORRESPONDE"),"NO CORRESPONDE")</f>
        <v>NO CORRESPONDE</v>
      </c>
      <c r="AS1048" s="22" t="str">
        <f>IF(DATA[[#This Row],[fecha_fs]]&gt;0,TEXT(DATA[[#This Row],[fecha_fs]],"Mmmm"),0)</f>
        <v>Agosto</v>
      </c>
      <c r="AT1048" s="22" t="str">
        <f>DATA[[#This Row],[SERIE2]]&amp;"-"&amp;DATA[[#This Row],[NUMERO]]</f>
        <v>FF01-328</v>
      </c>
      <c r="AU1048" s="28">
        <f>DATA[[#This Row],[TOTAL]]*DATA[[#This Row],[T.C.]]</f>
        <v>421.76</v>
      </c>
      <c r="AV1048" s="6">
        <f>DATA[[#This Row],[FECHA DE VAL.]]</f>
        <v>45883</v>
      </c>
      <c r="AW1048" s="6">
        <f>DATA[[#This Row],[FECHA DE EMISION]]</f>
        <v>45965</v>
      </c>
      <c r="AX1048" s="6">
        <f>DATA[[#This Row],[F1]]</f>
        <v>0</v>
      </c>
      <c r="AY1048" s="20">
        <f>IF(AV1048-DATA[[#This Row],[fecha_fs]]&lt;0,0,AV1048-DATA[[#This Row],[fecha_fs]])</f>
        <v>1</v>
      </c>
      <c r="AZ1048" s="20">
        <f t="shared" si="166"/>
        <v>82</v>
      </c>
      <c r="BA1048" s="53">
        <f t="shared" si="167"/>
        <v>0</v>
      </c>
      <c r="BB1048" s="195">
        <f>IFERROR(SUM(DATA[[#This Row],[fs_val_ttf]:[fact_pago_ttf]]),0)</f>
        <v>83</v>
      </c>
      <c r="BC1048" s="233">
        <v>45882</v>
      </c>
      <c r="BD1048" s="233">
        <v>45882</v>
      </c>
      <c r="BE1048" s="233">
        <v>45888</v>
      </c>
      <c r="BF1048" s="233">
        <v>45888</v>
      </c>
      <c r="BG1048" s="20">
        <f>IFERROR(IF(BC1048-DATA[[#This Row],[fecha_fs]]&lt;0,0,BC1048-DATA[[#This Row],[fecha_fs]]),0)</f>
        <v>0</v>
      </c>
      <c r="BH1048" s="20">
        <f t="shared" si="143"/>
        <v>0</v>
      </c>
      <c r="BI1048" s="20">
        <f t="shared" si="144"/>
        <v>6</v>
      </c>
      <c r="BJ1048" s="20">
        <f t="shared" si="145"/>
        <v>0</v>
      </c>
      <c r="BK1048" s="282">
        <f>IFERROR(SUM(DATA[[#This Row],[fs_fd_ttd]:[fend_fenf_ttd]]),0)</f>
        <v>6</v>
      </c>
      <c r="BL1048" s="20" t="str">
        <f>IF(DATA[[#This Row],[fecha_fs]]&gt;0,TEXT(DATA[[#This Row],[fecha_fs]],"YYYY"),0)</f>
        <v>2025</v>
      </c>
      <c r="BM1048" s="236" t="b">
        <v>1</v>
      </c>
      <c r="BN1048" s="278">
        <f>COUNTIF(DATA[[#This Row],[tiempo_td]], "&lt;=15")</f>
        <v>1</v>
      </c>
      <c r="BO1048" s="222"/>
    </row>
    <row r="1049" spans="1:67" ht="30.6" customHeight="1" x14ac:dyDescent="0.25">
      <c r="A1049" s="4">
        <v>20419158462</v>
      </c>
      <c r="B1049" s="5" t="s">
        <v>2</v>
      </c>
      <c r="C1049" s="52" t="s">
        <v>14</v>
      </c>
      <c r="D1049" s="4" t="s">
        <v>120</v>
      </c>
      <c r="E1049" s="5" t="s">
        <v>3</v>
      </c>
      <c r="F1049" s="24">
        <v>45882</v>
      </c>
      <c r="G1049" s="7" t="s">
        <v>113</v>
      </c>
      <c r="H1049" s="25">
        <f t="shared" si="165"/>
        <v>1</v>
      </c>
      <c r="I1049" s="67">
        <v>4865</v>
      </c>
      <c r="J1049" s="8" t="s">
        <v>115</v>
      </c>
      <c r="K1049" s="9" t="s">
        <v>156</v>
      </c>
      <c r="L1049" s="10" t="s">
        <v>117</v>
      </c>
      <c r="M1049" s="11">
        <v>250</v>
      </c>
      <c r="N1049" s="12" t="s">
        <v>135</v>
      </c>
      <c r="O1049" s="6">
        <v>45883</v>
      </c>
      <c r="P1049" s="13">
        <v>3600</v>
      </c>
      <c r="Q1049" s="14" t="s">
        <v>85</v>
      </c>
      <c r="R1049" s="74"/>
      <c r="S1049" s="15">
        <f>1429.7/4</f>
        <v>357.42500000000001</v>
      </c>
      <c r="T1049" s="237">
        <f>DATA[[#This Row],[C. DF]]+DATA[[#This Row],[C.OPE.]]</f>
        <v>357.42500000000001</v>
      </c>
      <c r="U1049" s="15">
        <f>DATA[[#This Row],[SUB TOTAL]]*0.18</f>
        <v>64.336500000000001</v>
      </c>
      <c r="V1049" s="15">
        <f>IFERROR(ROUND(DATA[[#This Row],[SUB TOTAL]]+DATA[[#This Row],[IGV]],2),0)</f>
        <v>421.76</v>
      </c>
      <c r="W1049" s="16" t="str">
        <f>IF(DATA[[#This Row],[VALORIZACIÓN ]]="-","NO CORRESPONDE",IF(OR(A1049=20558226979,A1049=10470707866,A1049=20111157058,A1049=20100226902),"NO CORRESPONDE",IF(J1049="Emitida",IF(P1049&gt;0,"EMITIDA","PENDIENTE"),"NO CORRESPONDE")))</f>
        <v>EMITIDA</v>
      </c>
      <c r="X1049" s="29"/>
      <c r="Y1049" s="17" t="s">
        <v>118</v>
      </c>
      <c r="Z1049" s="30">
        <v>45965</v>
      </c>
      <c r="AA1049" s="10" t="s">
        <v>150</v>
      </c>
      <c r="AB1049" s="19">
        <v>328</v>
      </c>
      <c r="AC1049" s="20">
        <v>2</v>
      </c>
      <c r="AD1049" s="18">
        <f>DATA[[#This Row],[FECHA DE EMISION]]+DATA[[#This Row],[CONDICION DE PAGO]]</f>
        <v>45967</v>
      </c>
      <c r="AE1049" s="23">
        <f>IF(DATA[[#This Row],[MONEDA]]="USD",VLOOKUP(DATA[[#This Row],[COMBINADA]],#REF!,11,0),1)</f>
        <v>1</v>
      </c>
      <c r="AF1049" s="129" t="str">
        <f>IF(DATA[[#This Row],[SERIE2]]="-","NO CORRESPONDE",IF(W1049="NO CORRESPONDE","NO CORRESPONDE",IF(Z1049&gt;0,"FACTURADO","PENDIENTE")))</f>
        <v>FACTURADO</v>
      </c>
      <c r="AG1049" s="133">
        <f>IFERROR(VLOOKUP(DATA[[#This Row],[COMBINADA]],#REF!,6,0),0)</f>
        <v>0</v>
      </c>
      <c r="AH1049" s="125">
        <f>IFERROR(VLOOKUP(DATA[[#This Row],[COMBINADA]],#REF!,9,0),0)/COUNTIFS(DATA[COMBINADA],DATA[[#This Row],[COMBINADA]])</f>
        <v>0</v>
      </c>
      <c r="AI1049" s="136">
        <f>IFERROR(VLOOKUP(DATA[[#This Row],[COMBINADA]],#REF!,6,0),0)</f>
        <v>0</v>
      </c>
      <c r="AJ1049" s="132">
        <f>IFERROR(VLOOKUP(DATA[[#This Row],[COMBINADA]],#REF!,9,0),0)/COUNTIFS(DATA[COMBINADA],DATA[[#This Row],[COMBINADA]])</f>
        <v>0</v>
      </c>
      <c r="AK1049" s="408">
        <f>IFERROR(VLOOKUP(DATA[[#This Row],[COMBINADA]],#REF!,6,0),0)</f>
        <v>0</v>
      </c>
      <c r="AL1049" s="125">
        <f>IFERROR(VLOOKUP(DATA[[#This Row],[COMBINADA]],#REF!,9,0),0)/COUNTIFS(DATA[COMBINADA],DATA[[#This Row],[COMBINADA]])</f>
        <v>0</v>
      </c>
      <c r="AM1049" s="147">
        <f>IFERROR(VLOOKUP(DATA[[#This Row],[COMBINADA]],#REF!,6,0),0)</f>
        <v>0</v>
      </c>
      <c r="AN1049" s="125">
        <f>IFERROR(VLOOKUP(DATA[[#This Row],[COMBINADA]],#REF!,9,0),0)/COUNTIFS(DATA[COMBINADA],DATA[[#This Row],[COMBINADA]])</f>
        <v>0</v>
      </c>
      <c r="AO1049" s="27">
        <f>IFERROR(VLOOKUP(DATA[[#This Row],[COMBINADA]],#REF!,6,0),0)</f>
        <v>0</v>
      </c>
      <c r="AP1049" s="132">
        <f>IFERROR(VLOOKUP(DATA[[#This Row],[COMBINADA]],#REF!,9,0),0)/COUNTIFS(DATA[COMBINADA],DATA[[#This Row],[COMBINADA]])</f>
        <v>0</v>
      </c>
      <c r="AQ104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421.76</v>
      </c>
      <c r="AR1049" s="26" t="str">
        <f>IFERROR(IF(DATA[[#This Row],[estado_fact]]="FACTURADO",VLOOKUP(DATA[[#This Row],[SERIE2]]&amp;"-"&amp;DATA[[#This Row],[NUMERO]],#REF!,34,0),"NO CORRESPONDE"),"NO CORRESPONDE")</f>
        <v>NO CORRESPONDE</v>
      </c>
      <c r="AS1049" s="22" t="str">
        <f>IF(DATA[[#This Row],[fecha_fs]]&gt;0,TEXT(DATA[[#This Row],[fecha_fs]],"Mmmm"),0)</f>
        <v>Agosto</v>
      </c>
      <c r="AT1049" s="22" t="str">
        <f>DATA[[#This Row],[SERIE2]]&amp;"-"&amp;DATA[[#This Row],[NUMERO]]</f>
        <v>FF01-328</v>
      </c>
      <c r="AU1049" s="28">
        <f>DATA[[#This Row],[TOTAL]]*DATA[[#This Row],[T.C.]]</f>
        <v>421.76</v>
      </c>
      <c r="AV1049" s="6">
        <f>DATA[[#This Row],[FECHA DE VAL.]]</f>
        <v>45883</v>
      </c>
      <c r="AW1049" s="6">
        <f>DATA[[#This Row],[FECHA DE EMISION]]</f>
        <v>45965</v>
      </c>
      <c r="AX1049" s="6">
        <f>DATA[[#This Row],[F1]]</f>
        <v>0</v>
      </c>
      <c r="AY1049" s="20">
        <f>IF(AV1049-DATA[[#This Row],[fecha_fs]]&lt;0,0,AV1049-DATA[[#This Row],[fecha_fs]])</f>
        <v>1</v>
      </c>
      <c r="AZ1049" s="20">
        <f t="shared" si="166"/>
        <v>82</v>
      </c>
      <c r="BA1049" s="53">
        <f t="shared" si="167"/>
        <v>0</v>
      </c>
      <c r="BB1049" s="195">
        <f>IFERROR(SUM(DATA[[#This Row],[fs_val_ttf]:[fact_pago_ttf]]),0)</f>
        <v>83</v>
      </c>
      <c r="BC1049" s="233">
        <v>45882</v>
      </c>
      <c r="BD1049" s="233">
        <v>45882</v>
      </c>
      <c r="BE1049" s="233">
        <v>45888</v>
      </c>
      <c r="BF1049" s="233">
        <v>45888</v>
      </c>
      <c r="BG1049" s="20">
        <f>IFERROR(IF(BC1049-DATA[[#This Row],[fecha_fs]]&lt;0,0,BC1049-DATA[[#This Row],[fecha_fs]]),0)</f>
        <v>0</v>
      </c>
      <c r="BH1049" s="20">
        <f t="shared" si="143"/>
        <v>0</v>
      </c>
      <c r="BI1049" s="20">
        <f t="shared" si="144"/>
        <v>6</v>
      </c>
      <c r="BJ1049" s="20">
        <f t="shared" si="145"/>
        <v>0</v>
      </c>
      <c r="BK1049" s="282">
        <f>IFERROR(SUM(DATA[[#This Row],[fs_fd_ttd]:[fend_fenf_ttd]]),0)</f>
        <v>6</v>
      </c>
      <c r="BL1049" s="20" t="str">
        <f>IF(DATA[[#This Row],[fecha_fs]]&gt;0,TEXT(DATA[[#This Row],[fecha_fs]],"YYYY"),0)</f>
        <v>2025</v>
      </c>
      <c r="BM1049" s="236" t="b">
        <v>1</v>
      </c>
      <c r="BN1049" s="278">
        <f>COUNTIF(DATA[[#This Row],[tiempo_td]], "&lt;=15")</f>
        <v>1</v>
      </c>
      <c r="BO1049" s="222"/>
    </row>
    <row r="1050" spans="1:67" ht="30.6" customHeight="1" x14ac:dyDescent="0.25">
      <c r="A1050" s="4">
        <v>20419158462</v>
      </c>
      <c r="B1050" s="5" t="s">
        <v>2</v>
      </c>
      <c r="C1050" s="52" t="s">
        <v>201</v>
      </c>
      <c r="D1050" s="4" t="s">
        <v>120</v>
      </c>
      <c r="E1050" s="5" t="s">
        <v>3</v>
      </c>
      <c r="F1050" s="24">
        <v>45882</v>
      </c>
      <c r="G1050" s="7" t="s">
        <v>113</v>
      </c>
      <c r="H1050" s="25">
        <f t="shared" si="165"/>
        <v>1</v>
      </c>
      <c r="I1050" s="67">
        <v>4866</v>
      </c>
      <c r="J1050" s="8" t="s">
        <v>115</v>
      </c>
      <c r="K1050" s="9" t="s">
        <v>156</v>
      </c>
      <c r="L1050" s="10" t="s">
        <v>117</v>
      </c>
      <c r="M1050" s="11">
        <v>240</v>
      </c>
      <c r="N1050" s="12" t="s">
        <v>135</v>
      </c>
      <c r="O1050" s="6">
        <v>45883</v>
      </c>
      <c r="P1050" s="13">
        <v>3600</v>
      </c>
      <c r="Q1050" s="14" t="s">
        <v>85</v>
      </c>
      <c r="R1050" s="74"/>
      <c r="S1050" s="15">
        <f>1429.7/4</f>
        <v>357.42500000000001</v>
      </c>
      <c r="T1050" s="237">
        <f>DATA[[#This Row],[C. DF]]+DATA[[#This Row],[C.OPE.]]</f>
        <v>357.42500000000001</v>
      </c>
      <c r="U1050" s="15">
        <f>DATA[[#This Row],[SUB TOTAL]]*0.18</f>
        <v>64.336500000000001</v>
      </c>
      <c r="V1050" s="15">
        <f>IFERROR(ROUND(DATA[[#This Row],[SUB TOTAL]]+DATA[[#This Row],[IGV]],2),0)</f>
        <v>421.76</v>
      </c>
      <c r="W1050" s="16" t="str">
        <f>IF(DATA[[#This Row],[VALORIZACIÓN ]]="-","NO CORRESPONDE",IF(OR(A1050=20558226979,A1050=10470707866,A1050=20111157058,A1050=20100226902),"NO CORRESPONDE",IF(J1050="Emitida",IF(P1050&gt;0,"EMITIDA","PENDIENTE"),"NO CORRESPONDE")))</f>
        <v>EMITIDA</v>
      </c>
      <c r="X1050" s="29"/>
      <c r="Y1050" s="17" t="s">
        <v>118</v>
      </c>
      <c r="Z1050" s="30">
        <v>45965</v>
      </c>
      <c r="AA1050" s="10" t="s">
        <v>150</v>
      </c>
      <c r="AB1050" s="19">
        <v>328</v>
      </c>
      <c r="AC1050" s="20">
        <v>2</v>
      </c>
      <c r="AD1050" s="18">
        <f>DATA[[#This Row],[FECHA DE EMISION]]+DATA[[#This Row],[CONDICION DE PAGO]]</f>
        <v>45967</v>
      </c>
      <c r="AE1050" s="23">
        <f>IF(DATA[[#This Row],[MONEDA]]="USD",VLOOKUP(DATA[[#This Row],[COMBINADA]],#REF!,11,0),1)</f>
        <v>1</v>
      </c>
      <c r="AF1050" s="129" t="str">
        <f>IF(DATA[[#This Row],[SERIE2]]="-","NO CORRESPONDE",IF(W1050="NO CORRESPONDE","NO CORRESPONDE",IF(Z1050&gt;0,"FACTURADO","PENDIENTE")))</f>
        <v>FACTURADO</v>
      </c>
      <c r="AG1050" s="133">
        <f>IFERROR(VLOOKUP(DATA[[#This Row],[COMBINADA]],#REF!,6,0),0)</f>
        <v>0</v>
      </c>
      <c r="AH1050" s="125">
        <f>IFERROR(VLOOKUP(DATA[[#This Row],[COMBINADA]],#REF!,9,0),0)/COUNTIFS(DATA[COMBINADA],DATA[[#This Row],[COMBINADA]])</f>
        <v>0</v>
      </c>
      <c r="AI1050" s="136">
        <f>IFERROR(VLOOKUP(DATA[[#This Row],[COMBINADA]],#REF!,6,0),0)</f>
        <v>0</v>
      </c>
      <c r="AJ1050" s="132">
        <f>IFERROR(VLOOKUP(DATA[[#This Row],[COMBINADA]],#REF!,9,0),0)/COUNTIFS(DATA[COMBINADA],DATA[[#This Row],[COMBINADA]])</f>
        <v>0</v>
      </c>
      <c r="AK1050" s="408">
        <f>IFERROR(VLOOKUP(DATA[[#This Row],[COMBINADA]],#REF!,6,0),0)</f>
        <v>0</v>
      </c>
      <c r="AL1050" s="125">
        <f>IFERROR(VLOOKUP(DATA[[#This Row],[COMBINADA]],#REF!,9,0),0)/COUNTIFS(DATA[COMBINADA],DATA[[#This Row],[COMBINADA]])</f>
        <v>0</v>
      </c>
      <c r="AM1050" s="147">
        <f>IFERROR(VLOOKUP(DATA[[#This Row],[COMBINADA]],#REF!,6,0),0)</f>
        <v>0</v>
      </c>
      <c r="AN1050" s="125">
        <f>IFERROR(VLOOKUP(DATA[[#This Row],[COMBINADA]],#REF!,9,0),0)/COUNTIFS(DATA[COMBINADA],DATA[[#This Row],[COMBINADA]])</f>
        <v>0</v>
      </c>
      <c r="AO1050" s="27">
        <f>IFERROR(VLOOKUP(DATA[[#This Row],[COMBINADA]],#REF!,6,0),0)</f>
        <v>0</v>
      </c>
      <c r="AP1050" s="132">
        <f>IFERROR(VLOOKUP(DATA[[#This Row],[COMBINADA]],#REF!,9,0),0)/COUNTIFS(DATA[COMBINADA],DATA[[#This Row],[COMBINADA]])</f>
        <v>0</v>
      </c>
      <c r="AQ105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421.76</v>
      </c>
      <c r="AR1050" s="26" t="str">
        <f>IFERROR(IF(DATA[[#This Row],[estado_fact]]="FACTURADO",VLOOKUP(DATA[[#This Row],[SERIE2]]&amp;"-"&amp;DATA[[#This Row],[NUMERO]],#REF!,34,0),"NO CORRESPONDE"),"NO CORRESPONDE")</f>
        <v>NO CORRESPONDE</v>
      </c>
      <c r="AS1050" s="22" t="str">
        <f>IF(DATA[[#This Row],[fecha_fs]]&gt;0,TEXT(DATA[[#This Row],[fecha_fs]],"Mmmm"),0)</f>
        <v>Agosto</v>
      </c>
      <c r="AT1050" s="22" t="str">
        <f>DATA[[#This Row],[SERIE2]]&amp;"-"&amp;DATA[[#This Row],[NUMERO]]</f>
        <v>FF01-328</v>
      </c>
      <c r="AU1050" s="28">
        <f>DATA[[#This Row],[TOTAL]]*DATA[[#This Row],[T.C.]]</f>
        <v>421.76</v>
      </c>
      <c r="AV1050" s="6">
        <f>DATA[[#This Row],[FECHA DE VAL.]]</f>
        <v>45883</v>
      </c>
      <c r="AW1050" s="6">
        <f>DATA[[#This Row],[FECHA DE EMISION]]</f>
        <v>45965</v>
      </c>
      <c r="AX1050" s="6">
        <f>DATA[[#This Row],[F1]]</f>
        <v>0</v>
      </c>
      <c r="AY1050" s="20">
        <f>IF(AV1050-DATA[[#This Row],[fecha_fs]]&lt;0,0,AV1050-DATA[[#This Row],[fecha_fs]])</f>
        <v>1</v>
      </c>
      <c r="AZ1050" s="20">
        <f t="shared" si="166"/>
        <v>82</v>
      </c>
      <c r="BA1050" s="53">
        <f t="shared" si="167"/>
        <v>0</v>
      </c>
      <c r="BB1050" s="195">
        <f>IFERROR(SUM(DATA[[#This Row],[fs_val_ttf]:[fact_pago_ttf]]),0)</f>
        <v>83</v>
      </c>
      <c r="BC1050" s="233">
        <v>45882</v>
      </c>
      <c r="BD1050" s="233">
        <v>45882</v>
      </c>
      <c r="BE1050" s="233">
        <v>45888</v>
      </c>
      <c r="BF1050" s="233">
        <v>45888</v>
      </c>
      <c r="BG1050" s="20">
        <f>IFERROR(IF(BC1050-DATA[[#This Row],[fecha_fs]]&lt;0,0,BC1050-DATA[[#This Row],[fecha_fs]]),0)</f>
        <v>0</v>
      </c>
      <c r="BH1050" s="20">
        <f t="shared" si="143"/>
        <v>0</v>
      </c>
      <c r="BI1050" s="20">
        <f t="shared" si="144"/>
        <v>6</v>
      </c>
      <c r="BJ1050" s="20">
        <f t="shared" si="145"/>
        <v>0</v>
      </c>
      <c r="BK1050" s="282">
        <f>IFERROR(SUM(DATA[[#This Row],[fs_fd_ttd]:[fend_fenf_ttd]]),0)</f>
        <v>6</v>
      </c>
      <c r="BL1050" s="20" t="str">
        <f>IF(DATA[[#This Row],[fecha_fs]]&gt;0,TEXT(DATA[[#This Row],[fecha_fs]],"YYYY"),0)</f>
        <v>2025</v>
      </c>
      <c r="BM1050" s="236" t="b">
        <v>1</v>
      </c>
      <c r="BN1050" s="278">
        <f>COUNTIF(DATA[[#This Row],[tiempo_td]], "&lt;=15")</f>
        <v>1</v>
      </c>
      <c r="BO1050" s="222"/>
    </row>
    <row r="1051" spans="1:67" ht="30.6" customHeight="1" x14ac:dyDescent="0.25">
      <c r="A1051" s="4">
        <v>20477233458</v>
      </c>
      <c r="B1051" s="5" t="s">
        <v>306</v>
      </c>
      <c r="C1051" s="52" t="s">
        <v>82</v>
      </c>
      <c r="D1051" s="4" t="s">
        <v>120</v>
      </c>
      <c r="E1051" s="5" t="s">
        <v>3</v>
      </c>
      <c r="F1051" s="24">
        <v>45882</v>
      </c>
      <c r="G1051" s="7" t="s">
        <v>113</v>
      </c>
      <c r="H1051" s="25">
        <f t="shared" ref="H1051:H1056" si="168">IF(G1051="","",IF(G1051="LIM",2,1))</f>
        <v>1</v>
      </c>
      <c r="I1051" s="67">
        <v>4867</v>
      </c>
      <c r="J1051" s="8" t="s">
        <v>115</v>
      </c>
      <c r="K1051" s="9" t="s">
        <v>121</v>
      </c>
      <c r="L1051" s="10" t="s">
        <v>117</v>
      </c>
      <c r="M1051" s="11">
        <v>60</v>
      </c>
      <c r="N1051" s="12" t="s">
        <v>114</v>
      </c>
      <c r="O1051" s="6">
        <v>45883</v>
      </c>
      <c r="P1051" s="13">
        <v>3602</v>
      </c>
      <c r="Q1051" s="14" t="s">
        <v>85</v>
      </c>
      <c r="R1051" s="237">
        <v>80</v>
      </c>
      <c r="S1051" s="237">
        <v>1703</v>
      </c>
      <c r="T1051" s="237">
        <f>DATA[[#This Row],[C. DF]]+DATA[[#This Row],[C.OPE.]]</f>
        <v>1783</v>
      </c>
      <c r="U1051" s="15">
        <f>DATA[[#This Row],[SUB TOTAL]]*0.18</f>
        <v>320.94</v>
      </c>
      <c r="V1051" s="15">
        <f>IFERROR(ROUND(DATA[[#This Row],[SUB TOTAL]]+DATA[[#This Row],[IGV]],2),0)</f>
        <v>2103.94</v>
      </c>
      <c r="W1051" s="16" t="str">
        <f>IF(DATA[[#This Row],[VALORIZACIÓN ]]="-","NO CORRESPONDE",IF(OR(A1051=20558226979,A1051=10470707866,A1051=20111157058,A1051=20100226902),"NO CORRESPONDE",IF(J1051="Emitida",IF(P1051&gt;0,"EMITIDA","PENDIENTE"),"NO CORRESPONDE")))</f>
        <v>EMITIDA</v>
      </c>
      <c r="X1051" s="29"/>
      <c r="Y1051" s="17" t="s">
        <v>118</v>
      </c>
      <c r="Z1051" s="30">
        <v>45891</v>
      </c>
      <c r="AA1051" s="10" t="s">
        <v>150</v>
      </c>
      <c r="AB1051" s="19">
        <v>214</v>
      </c>
      <c r="AC1051" s="20">
        <v>15</v>
      </c>
      <c r="AD1051" s="18">
        <f>DATA[[#This Row],[FECHA DE EMISION]]+DATA[[#This Row],[CONDICION DE PAGO]]</f>
        <v>45906</v>
      </c>
      <c r="AE1051" s="23">
        <f>IF(DATA[[#This Row],[MONEDA]]="USD",VLOOKUP(DATA[[#This Row],[COMBINADA]],#REF!,11,0),1)</f>
        <v>1</v>
      </c>
      <c r="AF1051" s="129" t="str">
        <f>IF(DATA[[#This Row],[SERIE2]]="-","NO CORRESPONDE",IF(W1051="NO CORRESPONDE","NO CORRESPONDE",IF(Z1051&gt;0,"FACTURADO","PENDIENTE")))</f>
        <v>FACTURADO</v>
      </c>
      <c r="AG1051" s="133">
        <f>IFERROR(VLOOKUP(DATA[[#This Row],[COMBINADA]],#REF!,6,0),0)</f>
        <v>0</v>
      </c>
      <c r="AH1051" s="125">
        <f>IFERROR(VLOOKUP(DATA[[#This Row],[COMBINADA]],#REF!,9,0),0)/COUNTIFS(DATA[COMBINADA],DATA[[#This Row],[COMBINADA]])</f>
        <v>0</v>
      </c>
      <c r="AI1051" s="136">
        <f>IFERROR(VLOOKUP(DATA[[#This Row],[COMBINADA]],#REF!,6,0),0)</f>
        <v>0</v>
      </c>
      <c r="AJ1051" s="132">
        <f>IFERROR(VLOOKUP(DATA[[#This Row],[COMBINADA]],#REF!,9,0),0)/COUNTIFS(DATA[COMBINADA],DATA[[#This Row],[COMBINADA]])</f>
        <v>0</v>
      </c>
      <c r="AK1051" s="408">
        <f>IFERROR(VLOOKUP(DATA[[#This Row],[COMBINADA]],#REF!,6,0),0)</f>
        <v>0</v>
      </c>
      <c r="AL1051" s="125">
        <f>IFERROR(VLOOKUP(DATA[[#This Row],[COMBINADA]],#REF!,9,0),0)/COUNTIFS(DATA[COMBINADA],DATA[[#This Row],[COMBINADA]])</f>
        <v>0</v>
      </c>
      <c r="AM1051" s="147">
        <f>IFERROR(VLOOKUP(DATA[[#This Row],[COMBINADA]],#REF!,6,0),0)</f>
        <v>0</v>
      </c>
      <c r="AN1051" s="125">
        <f>IFERROR(VLOOKUP(DATA[[#This Row],[COMBINADA]],#REF!,9,0),0)/COUNTIFS(DATA[COMBINADA],DATA[[#This Row],[COMBINADA]])</f>
        <v>0</v>
      </c>
      <c r="AO1051" s="27">
        <f>IFERROR(VLOOKUP(DATA[[#This Row],[COMBINADA]],#REF!,6,0),0)</f>
        <v>0</v>
      </c>
      <c r="AP1051" s="132">
        <f>IFERROR(VLOOKUP(DATA[[#This Row],[COMBINADA]],#REF!,9,0),0)/COUNTIFS(DATA[COMBINADA],DATA[[#This Row],[COMBINADA]])</f>
        <v>0</v>
      </c>
      <c r="AQ105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2103.94</v>
      </c>
      <c r="AR1051" s="26" t="str">
        <f>IFERROR(IF(DATA[[#This Row],[estado_fact]]="FACTURADO",VLOOKUP(DATA[[#This Row],[SERIE2]]&amp;"-"&amp;DATA[[#This Row],[NUMERO]],#REF!,34,0),"NO CORRESPONDE"),"NO CORRESPONDE")</f>
        <v>NO CORRESPONDE</v>
      </c>
      <c r="AS1051" s="22" t="str">
        <f>IF(DATA[[#This Row],[fecha_fs]]&gt;0,TEXT(DATA[[#This Row],[fecha_fs]],"Mmmm"),0)</f>
        <v>Agosto</v>
      </c>
      <c r="AT1051" s="22" t="str">
        <f>DATA[[#This Row],[SERIE2]]&amp;"-"&amp;DATA[[#This Row],[NUMERO]]</f>
        <v>FF01-214</v>
      </c>
      <c r="AU1051" s="28">
        <f>DATA[[#This Row],[TOTAL]]*DATA[[#This Row],[T.C.]]</f>
        <v>2103.94</v>
      </c>
      <c r="AV1051" s="6">
        <f>DATA[[#This Row],[FECHA DE VAL.]]</f>
        <v>45883</v>
      </c>
      <c r="AW1051" s="6">
        <f>DATA[[#This Row],[FECHA DE EMISION]]</f>
        <v>45891</v>
      </c>
      <c r="AX1051" s="6">
        <f>DATA[[#This Row],[F1]]</f>
        <v>0</v>
      </c>
      <c r="AY1051" s="20">
        <f>IF(AV1051-DATA[[#This Row],[fecha_fs]]&lt;0,0,AV1051-DATA[[#This Row],[fecha_fs]])</f>
        <v>1</v>
      </c>
      <c r="AZ1051" s="20">
        <f t="shared" ref="AZ1051:AZ1056" si="169">IF(AW1051-AV1051&lt;0,0,AW1051-AV1051)</f>
        <v>8</v>
      </c>
      <c r="BA1051" s="53">
        <f t="shared" ref="BA1051:BA1056" si="170">IF(AX1051-AW1051&lt;0,0,AX1051-AW1051)</f>
        <v>0</v>
      </c>
      <c r="BB1051" s="195">
        <f>IFERROR(SUM(DATA[[#This Row],[fs_val_ttf]:[fact_pago_ttf]]),0)</f>
        <v>9</v>
      </c>
      <c r="BC1051" s="233">
        <v>45883</v>
      </c>
      <c r="BD1051" s="233">
        <v>45891</v>
      </c>
      <c r="BE1051" s="276" t="s">
        <v>270</v>
      </c>
      <c r="BF1051" s="276" t="s">
        <v>270</v>
      </c>
      <c r="BG1051" s="20">
        <f>IFERROR(IF(BC1051-DATA[[#This Row],[fecha_fs]]&lt;0,0,BC1051-DATA[[#This Row],[fecha_fs]]),0)</f>
        <v>1</v>
      </c>
      <c r="BH1051" s="20">
        <f t="shared" si="143"/>
        <v>8</v>
      </c>
      <c r="BI1051" s="20">
        <f t="shared" si="144"/>
        <v>0</v>
      </c>
      <c r="BJ1051" s="20">
        <f t="shared" si="145"/>
        <v>0</v>
      </c>
      <c r="BK1051" s="282">
        <f>IFERROR(SUM(DATA[[#This Row],[fs_fd_ttd]:[fend_fenf_ttd]]),0)</f>
        <v>9</v>
      </c>
      <c r="BL1051" s="20" t="str">
        <f>IF(DATA[[#This Row],[fecha_fs]]&gt;0,TEXT(DATA[[#This Row],[fecha_fs]],"YYYY"),0)</f>
        <v>2025</v>
      </c>
      <c r="BM1051" s="236" t="b">
        <v>0</v>
      </c>
      <c r="BN1051" s="278">
        <f>COUNTIF(DATA[[#This Row],[tiempo_td]], "&lt;=15")</f>
        <v>1</v>
      </c>
      <c r="BO1051" s="222"/>
    </row>
    <row r="1052" spans="1:67" ht="30.6" customHeight="1" x14ac:dyDescent="0.25">
      <c r="A1052" s="4">
        <v>20419158462</v>
      </c>
      <c r="B1052" s="5" t="s">
        <v>2</v>
      </c>
      <c r="C1052" s="52" t="s">
        <v>147</v>
      </c>
      <c r="D1052" s="4" t="s">
        <v>120</v>
      </c>
      <c r="E1052" s="5" t="s">
        <v>3</v>
      </c>
      <c r="F1052" s="24">
        <v>45882</v>
      </c>
      <c r="G1052" s="7" t="s">
        <v>113</v>
      </c>
      <c r="H1052" s="25">
        <f t="shared" si="168"/>
        <v>1</v>
      </c>
      <c r="I1052" s="67">
        <v>4868</v>
      </c>
      <c r="J1052" s="8" t="s">
        <v>115</v>
      </c>
      <c r="K1052" s="9" t="s">
        <v>148</v>
      </c>
      <c r="L1052" s="10" t="s">
        <v>117</v>
      </c>
      <c r="M1052" s="11">
        <v>2880</v>
      </c>
      <c r="N1052" s="12" t="s">
        <v>129</v>
      </c>
      <c r="O1052" s="6">
        <v>45883</v>
      </c>
      <c r="P1052" s="13">
        <v>3601</v>
      </c>
      <c r="Q1052" s="14" t="s">
        <v>85</v>
      </c>
      <c r="R1052" s="74"/>
      <c r="S1052" s="56">
        <v>2597.6999999999998</v>
      </c>
      <c r="T1052" s="237">
        <f>DATA[[#This Row],[C. DF]]+DATA[[#This Row],[C.OPE.]]</f>
        <v>2597.6999999999998</v>
      </c>
      <c r="U1052" s="15">
        <f>DATA[[#This Row],[SUB TOTAL]]*0.18</f>
        <v>467.58599999999996</v>
      </c>
      <c r="V1052" s="15">
        <f>IFERROR(ROUND(DATA[[#This Row],[SUB TOTAL]]+DATA[[#This Row],[IGV]],2),0)</f>
        <v>3065.29</v>
      </c>
      <c r="W1052" s="16" t="str">
        <f>IF(DATA[[#This Row],[VALORIZACIÓN ]]="-","NO CORRESPONDE",IF(OR(A1052=20558226979,A1052=10470707866,A1052=20111157058,A1052=20100226902),"NO CORRESPONDE",IF(J1052="Emitida",IF(P1052&gt;0,"EMITIDA","PENDIENTE"),"NO CORRESPONDE")))</f>
        <v>EMITIDA</v>
      </c>
      <c r="X1052" s="29"/>
      <c r="Y1052" s="17" t="s">
        <v>118</v>
      </c>
      <c r="Z1052" s="30">
        <v>45890</v>
      </c>
      <c r="AA1052" s="10" t="s">
        <v>150</v>
      </c>
      <c r="AB1052" s="19">
        <v>210</v>
      </c>
      <c r="AC1052" s="20">
        <v>15</v>
      </c>
      <c r="AD1052" s="18">
        <f>DATA[[#This Row],[FECHA DE EMISION]]+DATA[[#This Row],[CONDICION DE PAGO]]</f>
        <v>45905</v>
      </c>
      <c r="AE1052" s="23">
        <f>IF(DATA[[#This Row],[MONEDA]]="USD",VLOOKUP(DATA[[#This Row],[COMBINADA]],#REF!,11,0),1)</f>
        <v>1</v>
      </c>
      <c r="AF1052" s="129" t="str">
        <f>IF(DATA[[#This Row],[SERIE2]]="-","NO CORRESPONDE",IF(W1052="NO CORRESPONDE","NO CORRESPONDE",IF(Z1052&gt;0,"FACTURADO","PENDIENTE")))</f>
        <v>FACTURADO</v>
      </c>
      <c r="AG1052" s="133">
        <f>IFERROR(VLOOKUP(DATA[[#This Row],[COMBINADA]],#REF!,6,0),0)</f>
        <v>0</v>
      </c>
      <c r="AH1052" s="125">
        <f>IFERROR(VLOOKUP(DATA[[#This Row],[COMBINADA]],#REF!,9,0),0)/COUNTIFS(DATA[COMBINADA],DATA[[#This Row],[COMBINADA]])</f>
        <v>0</v>
      </c>
      <c r="AI1052" s="136">
        <f>IFERROR(VLOOKUP(DATA[[#This Row],[COMBINADA]],#REF!,6,0),0)</f>
        <v>0</v>
      </c>
      <c r="AJ1052" s="132">
        <f>IFERROR(VLOOKUP(DATA[[#This Row],[COMBINADA]],#REF!,9,0),0)/COUNTIFS(DATA[COMBINADA],DATA[[#This Row],[COMBINADA]])</f>
        <v>0</v>
      </c>
      <c r="AK1052" s="408">
        <f>IFERROR(VLOOKUP(DATA[[#This Row],[COMBINADA]],#REF!,6,0),0)</f>
        <v>0</v>
      </c>
      <c r="AL1052" s="125">
        <f>IFERROR(VLOOKUP(DATA[[#This Row],[COMBINADA]],#REF!,9,0),0)/COUNTIFS(DATA[COMBINADA],DATA[[#This Row],[COMBINADA]])</f>
        <v>0</v>
      </c>
      <c r="AM1052" s="147">
        <f>IFERROR(VLOOKUP(DATA[[#This Row],[COMBINADA]],#REF!,6,0),0)</f>
        <v>0</v>
      </c>
      <c r="AN1052" s="125">
        <f>IFERROR(VLOOKUP(DATA[[#This Row],[COMBINADA]],#REF!,9,0),0)/COUNTIFS(DATA[COMBINADA],DATA[[#This Row],[COMBINADA]])</f>
        <v>0</v>
      </c>
      <c r="AO1052" s="27">
        <f>IFERROR(VLOOKUP(DATA[[#This Row],[COMBINADA]],#REF!,6,0),0)</f>
        <v>0</v>
      </c>
      <c r="AP1052" s="132">
        <f>IFERROR(VLOOKUP(DATA[[#This Row],[COMBINADA]],#REF!,9,0),0)/COUNTIFS(DATA[COMBINADA],DATA[[#This Row],[COMBINADA]])</f>
        <v>0</v>
      </c>
      <c r="AQ105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3065.29</v>
      </c>
      <c r="AR1052" s="26" t="str">
        <f>IFERROR(IF(DATA[[#This Row],[estado_fact]]="FACTURADO",VLOOKUP(DATA[[#This Row],[SERIE2]]&amp;"-"&amp;DATA[[#This Row],[NUMERO]],#REF!,34,0),"NO CORRESPONDE"),"NO CORRESPONDE")</f>
        <v>NO CORRESPONDE</v>
      </c>
      <c r="AS1052" s="22" t="str">
        <f>IF(DATA[[#This Row],[fecha_fs]]&gt;0,TEXT(DATA[[#This Row],[fecha_fs]],"Mmmm"),0)</f>
        <v>Agosto</v>
      </c>
      <c r="AT1052" s="22" t="str">
        <f>DATA[[#This Row],[SERIE2]]&amp;"-"&amp;DATA[[#This Row],[NUMERO]]</f>
        <v>FF01-210</v>
      </c>
      <c r="AU1052" s="28">
        <f>DATA[[#This Row],[TOTAL]]*DATA[[#This Row],[T.C.]]</f>
        <v>3065.29</v>
      </c>
      <c r="AV1052" s="6">
        <f>DATA[[#This Row],[FECHA DE VAL.]]</f>
        <v>45883</v>
      </c>
      <c r="AW1052" s="6">
        <f>DATA[[#This Row],[FECHA DE EMISION]]</f>
        <v>45890</v>
      </c>
      <c r="AX1052" s="6">
        <f>DATA[[#This Row],[F1]]</f>
        <v>0</v>
      </c>
      <c r="AY1052" s="20">
        <f>IF(AV1052-DATA[[#This Row],[fecha_fs]]&lt;0,0,AV1052-DATA[[#This Row],[fecha_fs]])</f>
        <v>1</v>
      </c>
      <c r="AZ1052" s="20">
        <f t="shared" si="169"/>
        <v>7</v>
      </c>
      <c r="BA1052" s="53">
        <f t="shared" si="170"/>
        <v>0</v>
      </c>
      <c r="BB1052" s="195">
        <f>IFERROR(SUM(DATA[[#This Row],[fs_val_ttf]:[fact_pago_ttf]]),0)</f>
        <v>8</v>
      </c>
      <c r="BC1052" s="233">
        <v>45882</v>
      </c>
      <c r="BD1052" s="233">
        <v>45882</v>
      </c>
      <c r="BE1052" s="233">
        <v>45887</v>
      </c>
      <c r="BF1052" s="233">
        <v>45887</v>
      </c>
      <c r="BG1052" s="20">
        <f>IFERROR(IF(BC1052-DATA[[#This Row],[fecha_fs]]&lt;0,0,BC1052-DATA[[#This Row],[fecha_fs]]),0)</f>
        <v>0</v>
      </c>
      <c r="BH1052" s="20">
        <f t="shared" si="143"/>
        <v>0</v>
      </c>
      <c r="BI1052" s="20">
        <f t="shared" si="144"/>
        <v>5</v>
      </c>
      <c r="BJ1052" s="20">
        <f t="shared" si="145"/>
        <v>0</v>
      </c>
      <c r="BK1052" s="282">
        <f>IFERROR(SUM(DATA[[#This Row],[fs_fd_ttd]:[fend_fenf_ttd]]),0)</f>
        <v>5</v>
      </c>
      <c r="BL1052" s="20" t="str">
        <f>IF(DATA[[#This Row],[fecha_fs]]&gt;0,TEXT(DATA[[#This Row],[fecha_fs]],"YYYY"),0)</f>
        <v>2025</v>
      </c>
      <c r="BM1052" s="236" t="b">
        <v>1</v>
      </c>
      <c r="BN1052" s="278">
        <f>COUNTIF(DATA[[#This Row],[tiempo_td]], "&lt;=15")</f>
        <v>1</v>
      </c>
      <c r="BO1052" s="222"/>
    </row>
    <row r="1053" spans="1:67" ht="30.6" customHeight="1" x14ac:dyDescent="0.25">
      <c r="A1053" s="4">
        <v>20100192064</v>
      </c>
      <c r="B1053" s="5" t="s">
        <v>60</v>
      </c>
      <c r="C1053" s="52" t="s">
        <v>66</v>
      </c>
      <c r="D1053" s="4" t="s">
        <v>120</v>
      </c>
      <c r="E1053" s="5" t="s">
        <v>3</v>
      </c>
      <c r="F1053" s="24">
        <v>45882</v>
      </c>
      <c r="G1053" s="7" t="s">
        <v>142</v>
      </c>
      <c r="H1053" s="25">
        <f>IF(G1053="","",IF(G1053="LIM",2,1))</f>
        <v>2</v>
      </c>
      <c r="I1053" s="67">
        <v>1123</v>
      </c>
      <c r="J1053" s="8" t="s">
        <v>115</v>
      </c>
      <c r="K1053" s="9" t="s">
        <v>169</v>
      </c>
      <c r="L1053" s="10" t="s">
        <v>117</v>
      </c>
      <c r="M1053" s="11">
        <v>1980</v>
      </c>
      <c r="N1053" s="12" t="s">
        <v>180</v>
      </c>
      <c r="O1053" s="6">
        <v>45894</v>
      </c>
      <c r="P1053" s="71">
        <v>3621</v>
      </c>
      <c r="Q1053" s="14" t="s">
        <v>123</v>
      </c>
      <c r="R1053" s="74"/>
      <c r="S1053" s="56">
        <f>227</f>
        <v>227</v>
      </c>
      <c r="T1053" s="15">
        <f>DATA[[#This Row],[C. DF]]+DATA[[#This Row],[C.OPE.]]</f>
        <v>227</v>
      </c>
      <c r="U1053" s="15">
        <f>DATA[[#This Row],[SUB TOTAL]]*0.18</f>
        <v>40.86</v>
      </c>
      <c r="V1053" s="15">
        <f>IFERROR(ROUND(DATA[[#This Row],[SUB TOTAL]]+DATA[[#This Row],[IGV]],2),0)</f>
        <v>267.86</v>
      </c>
      <c r="W1053" s="16" t="str">
        <f>IF(DATA[[#This Row],[VALORIZACIÓN ]]="-","NO CORRESPONDE",IF(OR(A1053=20558226979,A1053=10470707866,A1053=20111157058,A1053=20100226902),"NO CORRESPONDE",IF(J1053="Emitida",IF(P1053&gt;0,"EMITIDA","PENDIENTE"),"NO CORRESPONDE")))</f>
        <v>EMITIDA</v>
      </c>
      <c r="X1053" s="29"/>
      <c r="Y1053" s="17" t="s">
        <v>118</v>
      </c>
      <c r="Z1053" s="30">
        <v>45895</v>
      </c>
      <c r="AA1053" s="10" t="s">
        <v>150</v>
      </c>
      <c r="AB1053" s="19">
        <v>220</v>
      </c>
      <c r="AC1053" s="20">
        <v>30</v>
      </c>
      <c r="AD1053" s="18">
        <f>DATA[[#This Row],[FECHA DE EMISION]]+DATA[[#This Row],[CONDICION DE PAGO]]</f>
        <v>45925</v>
      </c>
      <c r="AE1053" s="23" t="e">
        <f>IF(DATA[[#This Row],[MONEDA]]="USD",VLOOKUP(DATA[[#This Row],[COMBINADA]],#REF!,11,0),1)</f>
        <v>#REF!</v>
      </c>
      <c r="AF1053" s="129" t="str">
        <f>IF(DATA[[#This Row],[SERIE2]]="-","NO CORRESPONDE",IF(W1053="NO CORRESPONDE","NO CORRESPONDE",IF(Z1053&gt;0,"FACTURADO","PENDIENTE")))</f>
        <v>FACTURADO</v>
      </c>
      <c r="AG1053" s="133">
        <f>IFERROR(VLOOKUP(DATA[[#This Row],[COMBINADA]],#REF!,6,0),0)</f>
        <v>0</v>
      </c>
      <c r="AH1053" s="125">
        <f>IFERROR(VLOOKUP(DATA[[#This Row],[COMBINADA]],#REF!,9,0),0)/COUNTIFS(DATA[COMBINADA],DATA[[#This Row],[COMBINADA]])</f>
        <v>0</v>
      </c>
      <c r="AI1053" s="136">
        <f>IFERROR(VLOOKUP(DATA[[#This Row],[COMBINADA]],#REF!,6,0),0)</f>
        <v>0</v>
      </c>
      <c r="AJ1053" s="132">
        <f>IFERROR(VLOOKUP(DATA[[#This Row],[COMBINADA]],#REF!,9,0),0)/COUNTIFS(DATA[COMBINADA],DATA[[#This Row],[COMBINADA]])</f>
        <v>0</v>
      </c>
      <c r="AK1053" s="407">
        <f>IFERROR(VLOOKUP(DATA[[#This Row],[COMBINADA]],#REF!,6,0),0)</f>
        <v>0</v>
      </c>
      <c r="AL1053" s="125">
        <f>IFERROR(VLOOKUP(DATA[[#This Row],[COMBINADA]],#REF!,9,0),0)/COUNTIFS(DATA[COMBINADA],DATA[[#This Row],[COMBINADA]])</f>
        <v>0</v>
      </c>
      <c r="AM1053" s="27">
        <f>IFERROR(VLOOKUP(DATA[[#This Row],[COMBINADA]],#REF!,6,0),0)</f>
        <v>0</v>
      </c>
      <c r="AN1053" s="125">
        <f>IFERROR(VLOOKUP(DATA[[#This Row],[COMBINADA]],#REF!,9,0),0)/COUNTIFS(DATA[COMBINADA],DATA[[#This Row],[COMBINADA]])</f>
        <v>0</v>
      </c>
      <c r="AO1053" s="27">
        <f>IFERROR(VLOOKUP(DATA[[#This Row],[COMBINADA]],#REF!,6,0),0)</f>
        <v>0</v>
      </c>
      <c r="AP1053" s="132">
        <f>IFERROR(VLOOKUP(DATA[[#This Row],[COMBINADA]],#REF!,9,0),0)/COUNTIFS(DATA[COMBINADA],DATA[[#This Row],[COMBINADA]])</f>
        <v>0</v>
      </c>
      <c r="AQ105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572.11888888888882</v>
      </c>
      <c r="AR1053" s="26" t="str">
        <f>IFERROR(IF(DATA[[#This Row],[estado_fact]]="FACTURADO",VLOOKUP(DATA[[#This Row],[SERIE2]]&amp;"-"&amp;DATA[[#This Row],[NUMERO]],#REF!,34,0),"NO CORRESPONDE"),"NO CORRESPONDE")</f>
        <v>NO CORRESPONDE</v>
      </c>
      <c r="AS1053" s="22" t="str">
        <f>IF(DATA[[#This Row],[fecha_fs]]&gt;0,TEXT(DATA[[#This Row],[fecha_fs]],"Mmmm"),0)</f>
        <v>Agosto</v>
      </c>
      <c r="AT1053" s="22" t="str">
        <f>DATA[[#This Row],[SERIE2]]&amp;"-"&amp;DATA[[#This Row],[NUMERO]]</f>
        <v>FF01-220</v>
      </c>
      <c r="AU1053" s="28" t="e">
        <f>DATA[[#This Row],[TOTAL]]*DATA[[#This Row],[T.C.]]</f>
        <v>#REF!</v>
      </c>
      <c r="AV1053" s="6">
        <f>DATA[[#This Row],[FECHA DE VAL.]]</f>
        <v>45894</v>
      </c>
      <c r="AW1053" s="6">
        <f>DATA[[#This Row],[FECHA DE EMISION]]</f>
        <v>45895</v>
      </c>
      <c r="AX1053" s="6">
        <f>DATA[[#This Row],[F1]]</f>
        <v>0</v>
      </c>
      <c r="AY1053" s="20">
        <f>IF(AV1053-DATA[[#This Row],[fecha_fs]]&lt;0,0,AV1053-DATA[[#This Row],[fecha_fs]])</f>
        <v>12</v>
      </c>
      <c r="AZ1053" s="20">
        <f>IF(AW1053-AV1053&lt;0,0,AW1053-AV1053)</f>
        <v>1</v>
      </c>
      <c r="BA1053" s="53">
        <f>IF(AX1053-AW1053&lt;0,0,AX1053-AW1053)</f>
        <v>0</v>
      </c>
      <c r="BB1053" s="195">
        <f>IFERROR(SUM(DATA[[#This Row],[fs_val_ttf]:[fact_pago_ttf]]),0)</f>
        <v>13</v>
      </c>
      <c r="BC1053" s="378">
        <v>45882</v>
      </c>
      <c r="BD1053" s="185">
        <v>45882</v>
      </c>
      <c r="BE1053" s="185">
        <v>45901</v>
      </c>
      <c r="BF1053" s="185">
        <v>45901</v>
      </c>
      <c r="BG1053" s="20">
        <f>IFERROR(IF(BC1053-DATA[[#This Row],[fecha_fs]]&lt;0,0,BC1053-DATA[[#This Row],[fecha_fs]]),0)</f>
        <v>0</v>
      </c>
      <c r="BH1053" s="20">
        <f>IFERROR(IF(BD1053-BC1053&lt;0,0,BD1053-BC1053),0)</f>
        <v>0</v>
      </c>
      <c r="BI1053" s="20">
        <f>IFERROR(IF(BE1053-BD1053&lt;0,0,BE1053-BD1053),0)</f>
        <v>19</v>
      </c>
      <c r="BJ1053" s="53">
        <f>IFERROR(IF(BF1053-BE1053&lt;0,0,BF1053-BE1053),0)</f>
        <v>0</v>
      </c>
      <c r="BK1053" s="218">
        <f>IFERROR(SUM(DATA[[#This Row],[fs_fd_ttd]:[fend_fenf_ttd]]),0)</f>
        <v>19</v>
      </c>
      <c r="BL1053" s="20" t="str">
        <f>IF(DATA[[#This Row],[fecha_fs]]&gt;0,TEXT(DATA[[#This Row],[fecha_fs]],"YYYY"),0)</f>
        <v>2025</v>
      </c>
      <c r="BM1053" s="236" t="b">
        <v>1</v>
      </c>
      <c r="BN1053" s="278">
        <f>COUNTIF(DATA[[#This Row],[tiempo_td]], "&lt;=15")</f>
        <v>0</v>
      </c>
      <c r="BO1053" s="222"/>
    </row>
    <row r="1054" spans="1:67" ht="30.6" customHeight="1" x14ac:dyDescent="0.25">
      <c r="A1054" s="4">
        <v>20498311963</v>
      </c>
      <c r="B1054" s="5" t="s">
        <v>76</v>
      </c>
      <c r="C1054" s="52" t="s">
        <v>77</v>
      </c>
      <c r="D1054" s="4" t="s">
        <v>112</v>
      </c>
      <c r="E1054" s="5" t="s">
        <v>1</v>
      </c>
      <c r="F1054" s="24">
        <v>45883</v>
      </c>
      <c r="G1054" s="7" t="s">
        <v>113</v>
      </c>
      <c r="H1054" s="25">
        <f t="shared" si="168"/>
        <v>1</v>
      </c>
      <c r="I1054" s="67">
        <v>4869</v>
      </c>
      <c r="J1054" s="8" t="s">
        <v>115</v>
      </c>
      <c r="K1054" s="9" t="s">
        <v>116</v>
      </c>
      <c r="L1054" s="10" t="s">
        <v>117</v>
      </c>
      <c r="M1054" s="11">
        <v>380</v>
      </c>
      <c r="N1054" s="12" t="s">
        <v>132</v>
      </c>
      <c r="O1054" s="6">
        <v>45887</v>
      </c>
      <c r="P1054" s="13">
        <v>3603</v>
      </c>
      <c r="Q1054" s="14" t="s">
        <v>85</v>
      </c>
      <c r="R1054" s="237">
        <v>195</v>
      </c>
      <c r="S1054" s="237">
        <v>694.58</v>
      </c>
      <c r="T1054" s="237">
        <f>DATA[[#This Row],[C. DF]]+DATA[[#This Row],[C.OPE.]]</f>
        <v>889.58</v>
      </c>
      <c r="U1054" s="15">
        <f>DATA[[#This Row],[SUB TOTAL]]*0.18</f>
        <v>160.12440000000001</v>
      </c>
      <c r="V1054" s="15">
        <f>IFERROR(ROUND(DATA[[#This Row],[SUB TOTAL]]+DATA[[#This Row],[IGV]],2),0)</f>
        <v>1049.7</v>
      </c>
      <c r="W1054" s="16" t="str">
        <f>IF(DATA[[#This Row],[VALORIZACIÓN ]]="-","NO CORRESPONDE",IF(OR(A1054=20558226979,A1054=10470707866,A1054=20111157058,A1054=20100226902),"NO CORRESPONDE",IF(J1054="Emitida",IF(P1054&gt;0,"EMITIDA","PENDIENTE"),"NO CORRESPONDE")))</f>
        <v>EMITIDA</v>
      </c>
      <c r="X1054" s="29"/>
      <c r="Y1054" s="17" t="s">
        <v>118</v>
      </c>
      <c r="Z1054" s="30">
        <v>45888</v>
      </c>
      <c r="AA1054" s="10" t="s">
        <v>150</v>
      </c>
      <c r="AB1054" s="19">
        <v>209</v>
      </c>
      <c r="AC1054" s="20"/>
      <c r="AD1054" s="18">
        <f>DATA[[#This Row],[FECHA DE EMISION]]+DATA[[#This Row],[CONDICION DE PAGO]]</f>
        <v>45888</v>
      </c>
      <c r="AE1054" s="23">
        <f>IF(DATA[[#This Row],[MONEDA]]="USD",VLOOKUP(DATA[[#This Row],[COMBINADA]],#REF!,11,0),1)</f>
        <v>1</v>
      </c>
      <c r="AF1054" s="129" t="str">
        <f>IF(DATA[[#This Row],[SERIE2]]="-","NO CORRESPONDE",IF(W1054="NO CORRESPONDE","NO CORRESPONDE",IF(Z1054&gt;0,"FACTURADO","PENDIENTE")))</f>
        <v>FACTURADO</v>
      </c>
      <c r="AG1054" s="133">
        <f>IFERROR(VLOOKUP(DATA[[#This Row],[COMBINADA]],#REF!,6,0),0)</f>
        <v>0</v>
      </c>
      <c r="AH1054" s="125">
        <f>IFERROR(VLOOKUP(DATA[[#This Row],[COMBINADA]],#REF!,9,0),0)/COUNTIFS(DATA[COMBINADA],DATA[[#This Row],[COMBINADA]])</f>
        <v>0</v>
      </c>
      <c r="AI1054" s="136">
        <f>IFERROR(VLOOKUP(DATA[[#This Row],[COMBINADA]],#REF!,6,0),0)</f>
        <v>0</v>
      </c>
      <c r="AJ1054" s="132">
        <f>IFERROR(VLOOKUP(DATA[[#This Row],[COMBINADA]],#REF!,9,0),0)/COUNTIFS(DATA[COMBINADA],DATA[[#This Row],[COMBINADA]])</f>
        <v>0</v>
      </c>
      <c r="AK1054" s="408">
        <f>IFERROR(VLOOKUP(DATA[[#This Row],[COMBINADA]],#REF!,6,0),0)</f>
        <v>0</v>
      </c>
      <c r="AL1054" s="125">
        <f>IFERROR(VLOOKUP(DATA[[#This Row],[COMBINADA]],#REF!,9,0),0)/COUNTIFS(DATA[COMBINADA],DATA[[#This Row],[COMBINADA]])</f>
        <v>0</v>
      </c>
      <c r="AM1054" s="147">
        <f>IFERROR(VLOOKUP(DATA[[#This Row],[COMBINADA]],#REF!,6,0),0)</f>
        <v>0</v>
      </c>
      <c r="AN1054" s="125">
        <f>IFERROR(VLOOKUP(DATA[[#This Row],[COMBINADA]],#REF!,9,0),0)/COUNTIFS(DATA[COMBINADA],DATA[[#This Row],[COMBINADA]])</f>
        <v>0</v>
      </c>
      <c r="AO1054" s="27">
        <f>IFERROR(VLOOKUP(DATA[[#This Row],[COMBINADA]],#REF!,6,0),0)</f>
        <v>0</v>
      </c>
      <c r="AP1054" s="132">
        <f>IFERROR(VLOOKUP(DATA[[#This Row],[COMBINADA]],#REF!,9,0),0)/COUNTIFS(DATA[COMBINADA],DATA[[#This Row],[COMBINADA]])</f>
        <v>0</v>
      </c>
      <c r="AQ105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1049.7</v>
      </c>
      <c r="AR1054" s="26" t="str">
        <f>IFERROR(IF(DATA[[#This Row],[estado_fact]]="FACTURADO",VLOOKUP(DATA[[#This Row],[SERIE2]]&amp;"-"&amp;DATA[[#This Row],[NUMERO]],#REF!,34,0),"NO CORRESPONDE"),"NO CORRESPONDE")</f>
        <v>NO CORRESPONDE</v>
      </c>
      <c r="AS1054" s="22" t="str">
        <f>IF(DATA[[#This Row],[fecha_fs]]&gt;0,TEXT(DATA[[#This Row],[fecha_fs]],"Mmmm"),0)</f>
        <v>Agosto</v>
      </c>
      <c r="AT1054" s="22" t="str">
        <f>DATA[[#This Row],[SERIE2]]&amp;"-"&amp;DATA[[#This Row],[NUMERO]]</f>
        <v>FF01-209</v>
      </c>
      <c r="AU1054" s="28">
        <f>DATA[[#This Row],[TOTAL]]*DATA[[#This Row],[T.C.]]</f>
        <v>1049.7</v>
      </c>
      <c r="AV1054" s="6">
        <f>DATA[[#This Row],[FECHA DE VAL.]]</f>
        <v>45887</v>
      </c>
      <c r="AW1054" s="6">
        <f>DATA[[#This Row],[FECHA DE EMISION]]</f>
        <v>45888</v>
      </c>
      <c r="AX1054" s="6">
        <f>DATA[[#This Row],[F1]]</f>
        <v>0</v>
      </c>
      <c r="AY1054" s="20">
        <f>IF(AV1054-DATA[[#This Row],[fecha_fs]]&lt;0,0,AV1054-DATA[[#This Row],[fecha_fs]])</f>
        <v>4</v>
      </c>
      <c r="AZ1054" s="20">
        <f t="shared" si="169"/>
        <v>1</v>
      </c>
      <c r="BA1054" s="53">
        <f t="shared" si="170"/>
        <v>0</v>
      </c>
      <c r="BB1054" s="195">
        <f>IFERROR(SUM(DATA[[#This Row],[fs_val_ttf]:[fact_pago_ttf]]),0)</f>
        <v>5</v>
      </c>
      <c r="BC1054" s="233">
        <v>45889</v>
      </c>
      <c r="BD1054" s="233">
        <v>45896</v>
      </c>
      <c r="BE1054" s="233">
        <v>45897</v>
      </c>
      <c r="BF1054" s="233">
        <v>45904</v>
      </c>
      <c r="BG1054" s="20">
        <f>IFERROR(IF(BC1054-DATA[[#This Row],[fecha_fs]]&lt;0,0,BC1054-DATA[[#This Row],[fecha_fs]]),0)</f>
        <v>6</v>
      </c>
      <c r="BH1054" s="20">
        <f t="shared" si="143"/>
        <v>7</v>
      </c>
      <c r="BI1054" s="20">
        <f t="shared" si="144"/>
        <v>1</v>
      </c>
      <c r="BJ1054" s="20">
        <f t="shared" si="145"/>
        <v>7</v>
      </c>
      <c r="BK1054" s="282">
        <f>IFERROR(SUM(DATA[[#This Row],[fs_fd_ttd]:[fend_fenf_ttd]]),0)</f>
        <v>21</v>
      </c>
      <c r="BL1054" s="20" t="str">
        <f>IF(DATA[[#This Row],[fecha_fs]]&gt;0,TEXT(DATA[[#This Row],[fecha_fs]],"YYYY"),0)</f>
        <v>2025</v>
      </c>
      <c r="BM1054" s="236" t="b">
        <v>1</v>
      </c>
      <c r="BN1054" s="278">
        <f>COUNTIF(DATA[[#This Row],[tiempo_td]], "&lt;=15")</f>
        <v>0</v>
      </c>
      <c r="BO1054" s="222"/>
    </row>
    <row r="1055" spans="1:67" ht="30.6" customHeight="1" x14ac:dyDescent="0.25">
      <c r="A1055" s="4">
        <v>20558226979</v>
      </c>
      <c r="B1055" s="5" t="s">
        <v>45</v>
      </c>
      <c r="C1055" s="52" t="s">
        <v>18</v>
      </c>
      <c r="D1055" s="4" t="s">
        <v>120</v>
      </c>
      <c r="E1055" s="5" t="s">
        <v>3</v>
      </c>
      <c r="F1055" s="24">
        <v>45883</v>
      </c>
      <c r="G1055" s="7" t="s">
        <v>113</v>
      </c>
      <c r="H1055" s="25">
        <f t="shared" si="168"/>
        <v>1</v>
      </c>
      <c r="I1055" s="67">
        <v>4870</v>
      </c>
      <c r="J1055" s="8" t="s">
        <v>115</v>
      </c>
      <c r="K1055" s="9" t="s">
        <v>121</v>
      </c>
      <c r="L1055" s="10" t="s">
        <v>117</v>
      </c>
      <c r="M1055" s="11">
        <v>5910</v>
      </c>
      <c r="N1055" s="12" t="s">
        <v>135</v>
      </c>
      <c r="O1055" s="40"/>
      <c r="P1055" s="41" t="s">
        <v>114</v>
      </c>
      <c r="Q1055" s="42"/>
      <c r="R1055" s="43"/>
      <c r="S1055" s="43"/>
      <c r="T1055" s="43">
        <f>DATA[[#This Row],[C. DF]]+DATA[[#This Row],[C.OPE.]]</f>
        <v>0</v>
      </c>
      <c r="U1055" s="43">
        <f>DATA[[#This Row],[SUB TOTAL]]*0.18</f>
        <v>0</v>
      </c>
      <c r="V1055" s="43">
        <f>IFERROR(ROUND(DATA[[#This Row],[SUB TOTAL]]+DATA[[#This Row],[IGV]],2),0)</f>
        <v>0</v>
      </c>
      <c r="W1055" s="16" t="str">
        <f>IF(DATA[[#This Row],[VALORIZACIÓN ]]="-","NO CORRESPONDE",IF(OR(A1055=20558226979,A1055=10470707866,A1055=20111157058,A1055=20100226902),"NO CORRESPONDE",IF(J1055="Emitida",IF(P1055&gt;0,"EMITIDA","PENDIENTE"),"NO CORRESPONDE")))</f>
        <v>NO CORRESPONDE</v>
      </c>
      <c r="X1055" s="45" t="s">
        <v>315</v>
      </c>
      <c r="Y1055" s="17" t="s">
        <v>128</v>
      </c>
      <c r="Z1055" s="46"/>
      <c r="AA1055" s="47"/>
      <c r="AB1055" s="48"/>
      <c r="AC1055" s="49"/>
      <c r="AD1055" s="50">
        <f>DATA[[#This Row],[FECHA DE EMISION]]+DATA[[#This Row],[CONDICION DE PAGO]]</f>
        <v>0</v>
      </c>
      <c r="AE1055" s="23">
        <f>IF(DATA[[#This Row],[MONEDA]]="USD",VLOOKUP(DATA[[#This Row],[COMBINADA]],#REF!,11,0),1)</f>
        <v>1</v>
      </c>
      <c r="AF1055" s="129" t="str">
        <f>IF(DATA[[#This Row],[SERIE2]]="-","NO CORRESPONDE",IF(W1055="NO CORRESPONDE","NO CORRESPONDE",IF(Z1055&gt;0,"FACTURADO","PENDIENTE")))</f>
        <v>NO CORRESPONDE</v>
      </c>
      <c r="AG1055" s="133">
        <f>IFERROR(VLOOKUP(DATA[[#This Row],[COMBINADA]],#REF!,6,0),0)</f>
        <v>0</v>
      </c>
      <c r="AH1055" s="125">
        <f>IFERROR(VLOOKUP(DATA[[#This Row],[COMBINADA]],#REF!,9,0),0)/COUNTIFS(DATA[COMBINADA],DATA[[#This Row],[COMBINADA]])</f>
        <v>0</v>
      </c>
      <c r="AI1055" s="136">
        <f>IFERROR(VLOOKUP(DATA[[#This Row],[COMBINADA]],#REF!,6,0),0)</f>
        <v>0</v>
      </c>
      <c r="AJ1055" s="132">
        <f>IFERROR(VLOOKUP(DATA[[#This Row],[COMBINADA]],#REF!,9,0),0)/COUNTIFS(DATA[COMBINADA],DATA[[#This Row],[COMBINADA]])</f>
        <v>0</v>
      </c>
      <c r="AK1055" s="408">
        <f>IFERROR(VLOOKUP(DATA[[#This Row],[COMBINADA]],#REF!,6,0),0)</f>
        <v>0</v>
      </c>
      <c r="AL1055" s="125">
        <f>IFERROR(VLOOKUP(DATA[[#This Row],[COMBINADA]],#REF!,9,0),0)/COUNTIFS(DATA[COMBINADA],DATA[[#This Row],[COMBINADA]])</f>
        <v>0</v>
      </c>
      <c r="AM1055" s="147">
        <f>IFERROR(VLOOKUP(DATA[[#This Row],[COMBINADA]],#REF!,6,0),0)</f>
        <v>0</v>
      </c>
      <c r="AN1055" s="125">
        <f>IFERROR(VLOOKUP(DATA[[#This Row],[COMBINADA]],#REF!,9,0),0)/COUNTIFS(DATA[COMBINADA],DATA[[#This Row],[COMBINADA]])</f>
        <v>0</v>
      </c>
      <c r="AO1055" s="27">
        <f>IFERROR(VLOOKUP(DATA[[#This Row],[COMBINADA]],#REF!,6,0),0)</f>
        <v>0</v>
      </c>
      <c r="AP1055" s="132">
        <f>IFERROR(VLOOKUP(DATA[[#This Row],[COMBINADA]],#REF!,9,0),0)/COUNTIFS(DATA[COMBINADA],DATA[[#This Row],[COMBINADA]])</f>
        <v>0</v>
      </c>
      <c r="AQ105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055" s="26" t="str">
        <f>IFERROR(IF(DATA[[#This Row],[estado_fact]]="FACTURADO",VLOOKUP(DATA[[#This Row],[SERIE2]]&amp;"-"&amp;DATA[[#This Row],[NUMERO]],#REF!,34,0),"NO CORRESPONDE"),"NO CORRESPONDE")</f>
        <v>NO CORRESPONDE</v>
      </c>
      <c r="AS1055" s="22" t="str">
        <f>IF(DATA[[#This Row],[fecha_fs]]&gt;0,TEXT(DATA[[#This Row],[fecha_fs]],"Mmmm"),0)</f>
        <v>Agosto</v>
      </c>
      <c r="AT1055" s="22" t="str">
        <f>DATA[[#This Row],[SERIE2]]&amp;"-"&amp;DATA[[#This Row],[NUMERO]]</f>
        <v>-</v>
      </c>
      <c r="AU1055" s="28">
        <f>DATA[[#This Row],[TOTAL]]*DATA[[#This Row],[T.C.]]</f>
        <v>0</v>
      </c>
      <c r="AV1055" s="6">
        <f>DATA[[#This Row],[FECHA DE VAL.]]</f>
        <v>0</v>
      </c>
      <c r="AW1055" s="6">
        <f>DATA[[#This Row],[FECHA DE EMISION]]</f>
        <v>0</v>
      </c>
      <c r="AX1055" s="6">
        <f>DATA[[#This Row],[F1]]</f>
        <v>0</v>
      </c>
      <c r="AY1055" s="20">
        <f>IF(AV1055-DATA[[#This Row],[fecha_fs]]&lt;0,0,AV1055-DATA[[#This Row],[fecha_fs]])</f>
        <v>0</v>
      </c>
      <c r="AZ1055" s="20">
        <f t="shared" si="169"/>
        <v>0</v>
      </c>
      <c r="BA1055" s="53">
        <f t="shared" si="170"/>
        <v>0</v>
      </c>
      <c r="BB1055" s="195">
        <f>IFERROR(SUM(DATA[[#This Row],[fs_val_ttf]:[fact_pago_ttf]]),0)</f>
        <v>0</v>
      </c>
      <c r="BC1055" s="233">
        <v>45883</v>
      </c>
      <c r="BD1055" s="233">
        <v>45891</v>
      </c>
      <c r="BE1055" s="185">
        <v>45891</v>
      </c>
      <c r="BF1055" s="185">
        <v>45891</v>
      </c>
      <c r="BG1055" s="20">
        <f>IFERROR(IF(BC1055-DATA[[#This Row],[fecha_fs]]&lt;0,0,BC1055-DATA[[#This Row],[fecha_fs]]),0)</f>
        <v>0</v>
      </c>
      <c r="BH1055" s="20">
        <f t="shared" si="143"/>
        <v>8</v>
      </c>
      <c r="BI1055" s="20">
        <f t="shared" si="144"/>
        <v>0</v>
      </c>
      <c r="BJ1055" s="20">
        <f t="shared" si="145"/>
        <v>0</v>
      </c>
      <c r="BK1055" s="282">
        <f>IFERROR(SUM(DATA[[#This Row],[fs_fd_ttd]:[fend_fenf_ttd]]),0)</f>
        <v>8</v>
      </c>
      <c r="BL1055" s="20" t="str">
        <f>IF(DATA[[#This Row],[fecha_fs]]&gt;0,TEXT(DATA[[#This Row],[fecha_fs]],"YYYY"),0)</f>
        <v>2025</v>
      </c>
      <c r="BM1055" s="236" t="b">
        <v>1</v>
      </c>
      <c r="BN1055" s="278">
        <f>COUNTIF(DATA[[#This Row],[tiempo_td]], "&lt;=15")</f>
        <v>1</v>
      </c>
      <c r="BO1055" s="222"/>
    </row>
    <row r="1056" spans="1:67" ht="30.6" customHeight="1" x14ac:dyDescent="0.25">
      <c r="A1056" s="4">
        <v>20159473148</v>
      </c>
      <c r="B1056" s="5" t="s">
        <v>280</v>
      </c>
      <c r="C1056" s="52" t="s">
        <v>20</v>
      </c>
      <c r="D1056" s="4" t="s">
        <v>120</v>
      </c>
      <c r="E1056" s="5" t="s">
        <v>3</v>
      </c>
      <c r="F1056" s="24">
        <v>45883</v>
      </c>
      <c r="G1056" s="7" t="s">
        <v>113</v>
      </c>
      <c r="H1056" s="25">
        <f t="shared" si="168"/>
        <v>1</v>
      </c>
      <c r="I1056" s="67">
        <v>4871</v>
      </c>
      <c r="J1056" s="8" t="s">
        <v>115</v>
      </c>
      <c r="K1056" s="9" t="s">
        <v>121</v>
      </c>
      <c r="L1056" s="10" t="s">
        <v>117</v>
      </c>
      <c r="M1056" s="11">
        <v>470</v>
      </c>
      <c r="N1056" s="12" t="s">
        <v>249</v>
      </c>
      <c r="O1056" s="6">
        <v>45898</v>
      </c>
      <c r="P1056" s="83">
        <v>3642</v>
      </c>
      <c r="Q1056" s="14" t="s">
        <v>85</v>
      </c>
      <c r="R1056" s="15">
        <f>DATA[[#This Row],[cantidad_fs]]*0.08</f>
        <v>37.6</v>
      </c>
      <c r="S1056" s="15">
        <v>908.43</v>
      </c>
      <c r="T1056" s="237">
        <f>DATA[[#This Row],[C. DF]]+DATA[[#This Row],[C.OPE.]]</f>
        <v>946.03</v>
      </c>
      <c r="U1056" s="15">
        <f>DATA[[#This Row],[SUB TOTAL]]*0.18</f>
        <v>170.28539999999998</v>
      </c>
      <c r="V1056" s="15">
        <f>IFERROR(ROUND(DATA[[#This Row],[SUB TOTAL]]+DATA[[#This Row],[IGV]],2),0)</f>
        <v>1116.32</v>
      </c>
      <c r="W1056" s="16" t="str">
        <f>IF(DATA[[#This Row],[VALORIZACIÓN ]]="-","NO CORRESPONDE",IF(OR(A1056=20558226979,A1056=10470707866,A1056=20111157058,A1056=20100226902),"NO CORRESPONDE",IF(J1056="Emitida",IF(P1056&gt;0,"EMITIDA","PENDIENTE"),"NO CORRESPONDE")))</f>
        <v>EMITIDA</v>
      </c>
      <c r="X1056" s="29"/>
      <c r="Y1056" s="17" t="s">
        <v>118</v>
      </c>
      <c r="Z1056" s="30">
        <v>45910</v>
      </c>
      <c r="AA1056" s="10" t="s">
        <v>150</v>
      </c>
      <c r="AB1056" s="19">
        <v>248</v>
      </c>
      <c r="AC1056" s="20">
        <v>60</v>
      </c>
      <c r="AD1056" s="18">
        <f>DATA[[#This Row],[FECHA DE EMISION]]+DATA[[#This Row],[CONDICION DE PAGO]]</f>
        <v>45970</v>
      </c>
      <c r="AE1056" s="23">
        <f>IF(DATA[[#This Row],[MONEDA]]="USD",VLOOKUP(DATA[[#This Row],[COMBINADA]],#REF!,11,0),1)</f>
        <v>1</v>
      </c>
      <c r="AF1056" s="129" t="str">
        <f>IF(DATA[[#This Row],[SERIE2]]="-","NO CORRESPONDE",IF(W1056="NO CORRESPONDE","NO CORRESPONDE",IF(Z1056&gt;0,"FACTURADO","PENDIENTE")))</f>
        <v>FACTURADO</v>
      </c>
      <c r="AG1056" s="133">
        <f>IFERROR(VLOOKUP(DATA[[#This Row],[COMBINADA]],#REF!,6,0),0)</f>
        <v>0</v>
      </c>
      <c r="AH1056" s="125">
        <f>IFERROR(VLOOKUP(DATA[[#This Row],[COMBINADA]],#REF!,9,0),0)/COUNTIFS(DATA[COMBINADA],DATA[[#This Row],[COMBINADA]])</f>
        <v>0</v>
      </c>
      <c r="AI1056" s="136">
        <f>IFERROR(VLOOKUP(DATA[[#This Row],[COMBINADA]],#REF!,6,0),0)</f>
        <v>0</v>
      </c>
      <c r="AJ1056" s="132">
        <f>IFERROR(VLOOKUP(DATA[[#This Row],[COMBINADA]],#REF!,9,0),0)/COUNTIFS(DATA[COMBINADA],DATA[[#This Row],[COMBINADA]])</f>
        <v>0</v>
      </c>
      <c r="AK1056" s="408">
        <f>IFERROR(VLOOKUP(DATA[[#This Row],[COMBINADA]],#REF!,6,0),0)</f>
        <v>0</v>
      </c>
      <c r="AL1056" s="125">
        <f>IFERROR(VLOOKUP(DATA[[#This Row],[COMBINADA]],#REF!,9,0),0)/COUNTIFS(DATA[COMBINADA],DATA[[#This Row],[COMBINADA]])</f>
        <v>0</v>
      </c>
      <c r="AM1056" s="147">
        <f>IFERROR(VLOOKUP(DATA[[#This Row],[COMBINADA]],#REF!,6,0),0)</f>
        <v>0</v>
      </c>
      <c r="AN1056" s="125">
        <f>IFERROR(VLOOKUP(DATA[[#This Row],[COMBINADA]],#REF!,9,0),0)/COUNTIFS(DATA[COMBINADA],DATA[[#This Row],[COMBINADA]])</f>
        <v>0</v>
      </c>
      <c r="AO1056" s="27">
        <f>IFERROR(VLOOKUP(DATA[[#This Row],[COMBINADA]],#REF!,6,0),0)</f>
        <v>0</v>
      </c>
      <c r="AP1056" s="132">
        <f>IFERROR(VLOOKUP(DATA[[#This Row],[COMBINADA]],#REF!,9,0),0)/COUNTIFS(DATA[COMBINADA],DATA[[#This Row],[COMBINADA]])</f>
        <v>0</v>
      </c>
      <c r="AQ105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1114.7433333333331</v>
      </c>
      <c r="AR1056" s="26" t="str">
        <f>IFERROR(IF(DATA[[#This Row],[estado_fact]]="FACTURADO",VLOOKUP(DATA[[#This Row],[SERIE2]]&amp;"-"&amp;DATA[[#This Row],[NUMERO]],#REF!,34,0),"NO CORRESPONDE"),"NO CORRESPONDE")</f>
        <v>NO CORRESPONDE</v>
      </c>
      <c r="AS1056" s="22" t="str">
        <f>IF(DATA[[#This Row],[fecha_fs]]&gt;0,TEXT(DATA[[#This Row],[fecha_fs]],"Mmmm"),0)</f>
        <v>Agosto</v>
      </c>
      <c r="AT1056" s="22" t="str">
        <f>DATA[[#This Row],[SERIE2]]&amp;"-"&amp;DATA[[#This Row],[NUMERO]]</f>
        <v>FF01-248</v>
      </c>
      <c r="AU1056" s="28">
        <f>DATA[[#This Row],[TOTAL]]*DATA[[#This Row],[T.C.]]</f>
        <v>1116.32</v>
      </c>
      <c r="AV1056" s="6">
        <f>DATA[[#This Row],[FECHA DE VAL.]]</f>
        <v>45898</v>
      </c>
      <c r="AW1056" s="6">
        <f>DATA[[#This Row],[FECHA DE EMISION]]</f>
        <v>45910</v>
      </c>
      <c r="AX1056" s="6">
        <f>DATA[[#This Row],[F1]]</f>
        <v>0</v>
      </c>
      <c r="AY1056" s="20">
        <f>IF(AV1056-DATA[[#This Row],[fecha_fs]]&lt;0,0,AV1056-DATA[[#This Row],[fecha_fs]])</f>
        <v>15</v>
      </c>
      <c r="AZ1056" s="20">
        <f t="shared" si="169"/>
        <v>12</v>
      </c>
      <c r="BA1056" s="53">
        <f t="shared" si="170"/>
        <v>0</v>
      </c>
      <c r="BB1056" s="195">
        <f>IFERROR(SUM(DATA[[#This Row],[fs_val_ttf]:[fact_pago_ttf]]),0)</f>
        <v>27</v>
      </c>
      <c r="BC1056" s="233">
        <v>45883</v>
      </c>
      <c r="BD1056" s="233">
        <v>45891</v>
      </c>
      <c r="BE1056" s="185">
        <v>45909</v>
      </c>
      <c r="BF1056" s="233">
        <v>45932</v>
      </c>
      <c r="BG1056" s="20">
        <f>IFERROR(IF(BC1056-DATA[[#This Row],[fecha_fs]]&lt;0,0,BC1056-DATA[[#This Row],[fecha_fs]]),0)</f>
        <v>0</v>
      </c>
      <c r="BH1056" s="20">
        <f t="shared" si="143"/>
        <v>8</v>
      </c>
      <c r="BI1056" s="20">
        <f t="shared" si="144"/>
        <v>18</v>
      </c>
      <c r="BJ1056" s="20">
        <f t="shared" si="145"/>
        <v>23</v>
      </c>
      <c r="BK1056" s="282">
        <f>IFERROR(SUM(DATA[[#This Row],[fs_fd_ttd]:[fend_fenf_ttd]]),0)</f>
        <v>49</v>
      </c>
      <c r="BL1056" s="20" t="str">
        <f>IF(DATA[[#This Row],[fecha_fs]]&gt;0,TEXT(DATA[[#This Row],[fecha_fs]],"YYYY"),0)</f>
        <v>2025</v>
      </c>
      <c r="BM1056" s="236" t="b">
        <v>1</v>
      </c>
      <c r="BN1056" s="278">
        <f>COUNTIF(DATA[[#This Row],[tiempo_td]], "&lt;=15")</f>
        <v>0</v>
      </c>
      <c r="BO1056" s="222"/>
    </row>
    <row r="1057" spans="1:67" ht="30.6" customHeight="1" x14ac:dyDescent="0.25">
      <c r="A1057" s="4">
        <v>20552714378</v>
      </c>
      <c r="B1057" s="5" t="s">
        <v>288</v>
      </c>
      <c r="C1057" s="52" t="s">
        <v>264</v>
      </c>
      <c r="D1057" s="4" t="s">
        <v>120</v>
      </c>
      <c r="E1057" s="5" t="s">
        <v>3</v>
      </c>
      <c r="F1057" s="24">
        <v>45883</v>
      </c>
      <c r="G1057" s="7" t="s">
        <v>113</v>
      </c>
      <c r="H1057" s="25">
        <f t="shared" ref="H1057:H1062" si="171">IF(G1057="","",IF(G1057="LIM",2,1))</f>
        <v>1</v>
      </c>
      <c r="I1057" s="67">
        <v>4872</v>
      </c>
      <c r="J1057" s="8" t="s">
        <v>115</v>
      </c>
      <c r="K1057" s="9" t="s">
        <v>121</v>
      </c>
      <c r="L1057" s="10" t="s">
        <v>117</v>
      </c>
      <c r="M1057" s="11">
        <v>100</v>
      </c>
      <c r="N1057" s="12" t="s">
        <v>249</v>
      </c>
      <c r="O1057" s="6">
        <v>45894</v>
      </c>
      <c r="P1057" s="109">
        <v>3622</v>
      </c>
      <c r="Q1057" s="14" t="s">
        <v>85</v>
      </c>
      <c r="R1057" s="15">
        <f>80/5</f>
        <v>16</v>
      </c>
      <c r="S1057" s="237">
        <v>2112.33</v>
      </c>
      <c r="T1057" s="237">
        <f>DATA[[#This Row],[C. DF]]+DATA[[#This Row],[C.OPE.]]</f>
        <v>2128.33</v>
      </c>
      <c r="U1057" s="15">
        <f>DATA[[#This Row],[SUB TOTAL]]*0.18</f>
        <v>383.09939999999995</v>
      </c>
      <c r="V1057" s="15">
        <f>IFERROR(ROUND(DATA[[#This Row],[SUB TOTAL]]+DATA[[#This Row],[IGV]],2),0)</f>
        <v>2511.4299999999998</v>
      </c>
      <c r="W1057" s="16" t="str">
        <f>IF(DATA[[#This Row],[VALORIZACIÓN ]]="-","NO CORRESPONDE",IF(OR(A1057=20558226979,A1057=10470707866,A1057=20111157058,A1057=20100226902),"NO CORRESPONDE",IF(J1057="Emitida",IF(P1057&gt;0,"EMITIDA","PENDIENTE"),"NO CORRESPONDE")))</f>
        <v>EMITIDA</v>
      </c>
      <c r="X1057" s="29"/>
      <c r="Y1057" s="17" t="s">
        <v>118</v>
      </c>
      <c r="Z1057" s="30">
        <v>45912</v>
      </c>
      <c r="AA1057" s="10" t="s">
        <v>150</v>
      </c>
      <c r="AB1057" s="19">
        <v>253</v>
      </c>
      <c r="AC1057" s="20">
        <v>60</v>
      </c>
      <c r="AD1057" s="18">
        <f>DATA[[#This Row],[FECHA DE EMISION]]+DATA[[#This Row],[CONDICION DE PAGO]]</f>
        <v>45972</v>
      </c>
      <c r="AE1057" s="23">
        <f>IF(DATA[[#This Row],[MONEDA]]="USD",VLOOKUP(DATA[[#This Row],[COMBINADA]],#REF!,11,0),1)</f>
        <v>1</v>
      </c>
      <c r="AF1057" s="129" t="str">
        <f>IF(DATA[[#This Row],[SERIE2]]="-","NO CORRESPONDE",IF(W1057="NO CORRESPONDE","NO CORRESPONDE",IF(Z1057&gt;0,"FACTURADO","PENDIENTE")))</f>
        <v>FACTURADO</v>
      </c>
      <c r="AG1057" s="133">
        <f>IFERROR(VLOOKUP(DATA[[#This Row],[COMBINADA]],#REF!,6,0),0)</f>
        <v>0</v>
      </c>
      <c r="AH1057" s="125">
        <f>IFERROR(VLOOKUP(DATA[[#This Row],[COMBINADA]],#REF!,9,0),0)/COUNTIFS(DATA[COMBINADA],DATA[[#This Row],[COMBINADA]])</f>
        <v>0</v>
      </c>
      <c r="AI1057" s="136">
        <f>IFERROR(VLOOKUP(DATA[[#This Row],[COMBINADA]],#REF!,6,0),0)</f>
        <v>0</v>
      </c>
      <c r="AJ1057" s="132">
        <f>IFERROR(VLOOKUP(DATA[[#This Row],[COMBINADA]],#REF!,9,0),0)/COUNTIFS(DATA[COMBINADA],DATA[[#This Row],[COMBINADA]])</f>
        <v>0</v>
      </c>
      <c r="AK1057" s="408">
        <f>IFERROR(VLOOKUP(DATA[[#This Row],[COMBINADA]],#REF!,6,0),0)</f>
        <v>0</v>
      </c>
      <c r="AL1057" s="125">
        <f>IFERROR(VLOOKUP(DATA[[#This Row],[COMBINADA]],#REF!,9,0),0)/COUNTIFS(DATA[COMBINADA],DATA[[#This Row],[COMBINADA]])</f>
        <v>0</v>
      </c>
      <c r="AM1057" s="147">
        <f>IFERROR(VLOOKUP(DATA[[#This Row],[COMBINADA]],#REF!,6,0),0)</f>
        <v>0</v>
      </c>
      <c r="AN1057" s="125">
        <f>IFERROR(VLOOKUP(DATA[[#This Row],[COMBINADA]],#REF!,9,0),0)/COUNTIFS(DATA[COMBINADA],DATA[[#This Row],[COMBINADA]])</f>
        <v>0</v>
      </c>
      <c r="AO1057" s="27">
        <f>IFERROR(VLOOKUP(DATA[[#This Row],[COMBINADA]],#REF!,6,0),0)</f>
        <v>0</v>
      </c>
      <c r="AP1057" s="132">
        <f>IFERROR(VLOOKUP(DATA[[#This Row],[COMBINADA]],#REF!,9,0),0)/COUNTIFS(DATA[COMBINADA],DATA[[#This Row],[COMBINADA]])</f>
        <v>0</v>
      </c>
      <c r="AQ105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2511.4299999999998</v>
      </c>
      <c r="AR1057" s="26" t="str">
        <f>IFERROR(IF(DATA[[#This Row],[estado_fact]]="FACTURADO",VLOOKUP(DATA[[#This Row],[SERIE2]]&amp;"-"&amp;DATA[[#This Row],[NUMERO]],#REF!,34,0),"NO CORRESPONDE"),"NO CORRESPONDE")</f>
        <v>NO CORRESPONDE</v>
      </c>
      <c r="AS1057" s="22" t="str">
        <f>IF(DATA[[#This Row],[fecha_fs]]&gt;0,TEXT(DATA[[#This Row],[fecha_fs]],"Mmmm"),0)</f>
        <v>Agosto</v>
      </c>
      <c r="AT1057" s="22" t="str">
        <f>DATA[[#This Row],[SERIE2]]&amp;"-"&amp;DATA[[#This Row],[NUMERO]]</f>
        <v>FF01-253</v>
      </c>
      <c r="AU1057" s="28">
        <f>DATA[[#This Row],[TOTAL]]*DATA[[#This Row],[T.C.]]</f>
        <v>2511.4299999999998</v>
      </c>
      <c r="AV1057" s="6">
        <f>DATA[[#This Row],[FECHA DE VAL.]]</f>
        <v>45894</v>
      </c>
      <c r="AW1057" s="6">
        <f>DATA[[#This Row],[FECHA DE EMISION]]</f>
        <v>45912</v>
      </c>
      <c r="AX1057" s="6">
        <f>DATA[[#This Row],[F1]]</f>
        <v>0</v>
      </c>
      <c r="AY1057" s="20">
        <f>IF(AV1057-DATA[[#This Row],[fecha_fs]]&lt;0,0,AV1057-DATA[[#This Row],[fecha_fs]])</f>
        <v>11</v>
      </c>
      <c r="AZ1057" s="20">
        <f t="shared" ref="AZ1057:AZ1062" si="172">IF(AW1057-AV1057&lt;0,0,AW1057-AV1057)</f>
        <v>18</v>
      </c>
      <c r="BA1057" s="53">
        <f t="shared" ref="BA1057:BA1062" si="173">IF(AX1057-AW1057&lt;0,0,AX1057-AW1057)</f>
        <v>0</v>
      </c>
      <c r="BB1057" s="195">
        <f>IFERROR(SUM(DATA[[#This Row],[fs_val_ttf]:[fact_pago_ttf]]),0)</f>
        <v>29</v>
      </c>
      <c r="BC1057" s="185">
        <v>45889</v>
      </c>
      <c r="BD1057" s="185">
        <v>45895</v>
      </c>
      <c r="BE1057" s="185">
        <v>45897</v>
      </c>
      <c r="BF1057" s="233">
        <v>45903</v>
      </c>
      <c r="BG1057" s="20">
        <f>IFERROR(IF(BC1057-DATA[[#This Row],[fecha_fs]]&lt;0,0,BC1057-DATA[[#This Row],[fecha_fs]]),0)</f>
        <v>6</v>
      </c>
      <c r="BH1057" s="20">
        <f t="shared" si="143"/>
        <v>6</v>
      </c>
      <c r="BI1057" s="20">
        <f t="shared" si="144"/>
        <v>2</v>
      </c>
      <c r="BJ1057" s="20">
        <f t="shared" si="145"/>
        <v>6</v>
      </c>
      <c r="BK1057" s="282">
        <f>IFERROR(SUM(DATA[[#This Row],[fs_fd_ttd]:[fend_fenf_ttd]]),0)</f>
        <v>20</v>
      </c>
      <c r="BL1057" s="20" t="str">
        <f>IF(DATA[[#This Row],[fecha_fs]]&gt;0,TEXT(DATA[[#This Row],[fecha_fs]],"YYYY"),0)</f>
        <v>2025</v>
      </c>
      <c r="BM1057" s="236" t="b">
        <v>1</v>
      </c>
      <c r="BN1057" s="278">
        <f>COUNTIF(DATA[[#This Row],[tiempo_td]], "&lt;=15")</f>
        <v>0</v>
      </c>
      <c r="BO1057" s="222"/>
    </row>
    <row r="1058" spans="1:67" ht="30.6" customHeight="1" x14ac:dyDescent="0.25">
      <c r="A1058" s="4">
        <v>20100055237</v>
      </c>
      <c r="B1058" s="5" t="s">
        <v>21</v>
      </c>
      <c r="C1058" s="52" t="s">
        <v>138</v>
      </c>
      <c r="D1058" s="4" t="s">
        <v>139</v>
      </c>
      <c r="E1058" s="5" t="s">
        <v>23</v>
      </c>
      <c r="F1058" s="24">
        <v>45883</v>
      </c>
      <c r="G1058" s="7" t="s">
        <v>113</v>
      </c>
      <c r="H1058" s="25">
        <f t="shared" si="171"/>
        <v>1</v>
      </c>
      <c r="I1058" s="67">
        <v>4873</v>
      </c>
      <c r="J1058" s="8" t="s">
        <v>115</v>
      </c>
      <c r="K1058" s="9" t="s">
        <v>121</v>
      </c>
      <c r="L1058" s="10" t="s">
        <v>117</v>
      </c>
      <c r="M1058" s="11">
        <v>40</v>
      </c>
      <c r="N1058" s="12" t="s">
        <v>200</v>
      </c>
      <c r="O1058" s="6">
        <v>45898</v>
      </c>
      <c r="P1058" s="54">
        <v>3640</v>
      </c>
      <c r="Q1058" s="14" t="s">
        <v>85</v>
      </c>
      <c r="R1058" s="15"/>
      <c r="S1058" s="15">
        <v>297.92</v>
      </c>
      <c r="T1058" s="237">
        <f>DATA[[#This Row],[C. DF]]+DATA[[#This Row],[C.OPE.]]</f>
        <v>297.92</v>
      </c>
      <c r="U1058" s="15">
        <f>DATA[[#This Row],[SUB TOTAL]]*0.18</f>
        <v>53.625599999999999</v>
      </c>
      <c r="V1058" s="15">
        <f>IFERROR(ROUND(DATA[[#This Row],[SUB TOTAL]]+DATA[[#This Row],[IGV]],2),0)</f>
        <v>351.55</v>
      </c>
      <c r="W1058" s="16" t="str">
        <f>IF(DATA[[#This Row],[VALORIZACIÓN ]]="-","NO CORRESPONDE",IF(OR(A1058=20558226979,A1058=10470707866,A1058=20111157058,A1058=20100226902),"NO CORRESPONDE",IF(J1058="Emitida",IF(P1058&gt;0,"EMITIDA","PENDIENTE"),"NO CORRESPONDE")))</f>
        <v>EMITIDA</v>
      </c>
      <c r="X1058" s="29" t="s">
        <v>379</v>
      </c>
      <c r="Y1058" s="17" t="s">
        <v>118</v>
      </c>
      <c r="Z1058" s="30">
        <v>45971</v>
      </c>
      <c r="AA1058" s="10" t="s">
        <v>150</v>
      </c>
      <c r="AB1058" s="19">
        <v>350</v>
      </c>
      <c r="AC1058" s="20">
        <v>30</v>
      </c>
      <c r="AD1058" s="18">
        <f>DATA[[#This Row],[FECHA DE EMISION]]+DATA[[#This Row],[CONDICION DE PAGO]]</f>
        <v>46001</v>
      </c>
      <c r="AE1058" s="23">
        <f>IF(DATA[[#This Row],[MONEDA]]="USD",VLOOKUP(DATA[[#This Row],[COMBINADA]],#REF!,11,0),1)</f>
        <v>1</v>
      </c>
      <c r="AF1058" s="129" t="str">
        <f>IF(DATA[[#This Row],[SERIE2]]="-","NO CORRESPONDE",IF(W1058="NO CORRESPONDE","NO CORRESPONDE",IF(Z1058&gt;0,"FACTURADO","PENDIENTE")))</f>
        <v>FACTURADO</v>
      </c>
      <c r="AG1058" s="133">
        <f>IFERROR(VLOOKUP(DATA[[#This Row],[COMBINADA]],#REF!,6,0),0)</f>
        <v>0</v>
      </c>
      <c r="AH1058" s="125">
        <f>IFERROR(VLOOKUP(DATA[[#This Row],[COMBINADA]],#REF!,9,0),0)/COUNTIFS(DATA[COMBINADA],DATA[[#This Row],[COMBINADA]])</f>
        <v>0</v>
      </c>
      <c r="AI1058" s="136">
        <f>IFERROR(VLOOKUP(DATA[[#This Row],[COMBINADA]],#REF!,6,0),0)</f>
        <v>0</v>
      </c>
      <c r="AJ1058" s="132">
        <f>IFERROR(VLOOKUP(DATA[[#This Row],[COMBINADA]],#REF!,9,0),0)/COUNTIFS(DATA[COMBINADA],DATA[[#This Row],[COMBINADA]])</f>
        <v>0</v>
      </c>
      <c r="AK1058" s="408">
        <f>IFERROR(VLOOKUP(DATA[[#This Row],[COMBINADA]],#REF!,6,0),0)</f>
        <v>0</v>
      </c>
      <c r="AL1058" s="125">
        <f>IFERROR(VLOOKUP(DATA[[#This Row],[COMBINADA]],#REF!,9,0),0)/COUNTIFS(DATA[COMBINADA],DATA[[#This Row],[COMBINADA]])</f>
        <v>0</v>
      </c>
      <c r="AM1058" s="147">
        <f>IFERROR(VLOOKUP(DATA[[#This Row],[COMBINADA]],#REF!,6,0),0)</f>
        <v>0</v>
      </c>
      <c r="AN1058" s="125">
        <f>IFERROR(VLOOKUP(DATA[[#This Row],[COMBINADA]],#REF!,9,0),0)/COUNTIFS(DATA[COMBINADA],DATA[[#This Row],[COMBINADA]])</f>
        <v>0</v>
      </c>
      <c r="AO1058" s="27">
        <f>IFERROR(VLOOKUP(DATA[[#This Row],[COMBINADA]],#REF!,6,0),0)</f>
        <v>0</v>
      </c>
      <c r="AP1058" s="132">
        <f>IFERROR(VLOOKUP(DATA[[#This Row],[COMBINADA]],#REF!,9,0),0)/COUNTIFS(DATA[COMBINADA],DATA[[#This Row],[COMBINADA]])</f>
        <v>0</v>
      </c>
      <c r="AQ105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058" s="26" t="str">
        <f>IFERROR(IF(DATA[[#This Row],[estado_fact]]="FACTURADO",VLOOKUP(DATA[[#This Row],[SERIE2]]&amp;"-"&amp;DATA[[#This Row],[NUMERO]],#REF!,34,0),"NO CORRESPONDE"),"NO CORRESPONDE")</f>
        <v>NO CORRESPONDE</v>
      </c>
      <c r="AS1058" s="22" t="str">
        <f>IF(DATA[[#This Row],[fecha_fs]]&gt;0,TEXT(DATA[[#This Row],[fecha_fs]],"Mmmm"),0)</f>
        <v>Agosto</v>
      </c>
      <c r="AT1058" s="22" t="str">
        <f>DATA[[#This Row],[SERIE2]]&amp;"-"&amp;DATA[[#This Row],[NUMERO]]</f>
        <v>FF01-350</v>
      </c>
      <c r="AU1058" s="28">
        <f>DATA[[#This Row],[TOTAL]]*DATA[[#This Row],[T.C.]]</f>
        <v>351.55</v>
      </c>
      <c r="AV1058" s="6">
        <f>DATA[[#This Row],[FECHA DE VAL.]]</f>
        <v>45898</v>
      </c>
      <c r="AW1058" s="6">
        <f>DATA[[#This Row],[FECHA DE EMISION]]</f>
        <v>45971</v>
      </c>
      <c r="AX1058" s="6">
        <f>DATA[[#This Row],[F1]]</f>
        <v>0</v>
      </c>
      <c r="AY1058" s="20">
        <f>IF(AV1058-DATA[[#This Row],[fecha_fs]]&lt;0,0,AV1058-DATA[[#This Row],[fecha_fs]])</f>
        <v>15</v>
      </c>
      <c r="AZ1058" s="20">
        <f t="shared" si="172"/>
        <v>73</v>
      </c>
      <c r="BA1058" s="53">
        <f t="shared" si="173"/>
        <v>0</v>
      </c>
      <c r="BB1058" s="195">
        <f>IFERROR(SUM(DATA[[#This Row],[fs_val_ttf]:[fact_pago_ttf]]),0)</f>
        <v>88</v>
      </c>
      <c r="BC1058" s="233">
        <v>45883</v>
      </c>
      <c r="BD1058" s="233">
        <v>45883</v>
      </c>
      <c r="BE1058" s="233">
        <v>45898</v>
      </c>
      <c r="BF1058" s="233">
        <v>45898</v>
      </c>
      <c r="BG1058" s="20">
        <f>IFERROR(IF(BC1058-DATA[[#This Row],[fecha_fs]]&lt;0,0,BC1058-DATA[[#This Row],[fecha_fs]]),0)</f>
        <v>0</v>
      </c>
      <c r="BH1058" s="20">
        <f t="shared" si="143"/>
        <v>0</v>
      </c>
      <c r="BI1058" s="20">
        <f t="shared" si="144"/>
        <v>15</v>
      </c>
      <c r="BJ1058" s="20">
        <f t="shared" si="145"/>
        <v>0</v>
      </c>
      <c r="BK1058" s="282">
        <f>IFERROR(SUM(DATA[[#This Row],[fs_fd_ttd]:[fend_fenf_ttd]]),0)</f>
        <v>15</v>
      </c>
      <c r="BL1058" s="20" t="str">
        <f>IF(DATA[[#This Row],[fecha_fs]]&gt;0,TEXT(DATA[[#This Row],[fecha_fs]],"YYYY"),0)</f>
        <v>2025</v>
      </c>
      <c r="BM1058" s="236" t="b">
        <v>1</v>
      </c>
      <c r="BN1058" s="278">
        <f>COUNTIF(DATA[[#This Row],[tiempo_td]], "&lt;=15")</f>
        <v>1</v>
      </c>
      <c r="BO1058" s="222"/>
    </row>
    <row r="1059" spans="1:67" ht="30.6" customHeight="1" x14ac:dyDescent="0.25">
      <c r="A1059" s="4">
        <v>20141637941</v>
      </c>
      <c r="B1059" s="5" t="s">
        <v>79</v>
      </c>
      <c r="C1059" s="52" t="s">
        <v>18</v>
      </c>
      <c r="D1059" s="4" t="s">
        <v>120</v>
      </c>
      <c r="E1059" s="5" t="s">
        <v>3</v>
      </c>
      <c r="F1059" s="24">
        <v>45887</v>
      </c>
      <c r="G1059" s="7" t="s">
        <v>113</v>
      </c>
      <c r="H1059" s="25">
        <f t="shared" si="171"/>
        <v>1</v>
      </c>
      <c r="I1059" s="67">
        <v>4874</v>
      </c>
      <c r="J1059" s="8" t="s">
        <v>115</v>
      </c>
      <c r="K1059" s="9" t="s">
        <v>121</v>
      </c>
      <c r="L1059" s="10" t="s">
        <v>117</v>
      </c>
      <c r="M1059" s="11">
        <v>1320</v>
      </c>
      <c r="N1059" s="12" t="s">
        <v>313</v>
      </c>
      <c r="O1059" s="6">
        <v>45898</v>
      </c>
      <c r="P1059" s="317">
        <v>3641</v>
      </c>
      <c r="Q1059" s="14" t="s">
        <v>85</v>
      </c>
      <c r="R1059" s="237">
        <f>80+((DATA[[#This Row],[cantidad_fs]]-1000)*0.08)</f>
        <v>105.6</v>
      </c>
      <c r="S1059" s="237">
        <v>832</v>
      </c>
      <c r="T1059" s="237">
        <f>DATA[[#This Row],[C. DF]]+DATA[[#This Row],[C.OPE.]]</f>
        <v>937.6</v>
      </c>
      <c r="U1059" s="15">
        <f>DATA[[#This Row],[SUB TOTAL]]*0.18</f>
        <v>168.768</v>
      </c>
      <c r="V1059" s="15">
        <f>IFERROR(ROUND(DATA[[#This Row],[SUB TOTAL]]+DATA[[#This Row],[IGV]],2),0)</f>
        <v>1106.3699999999999</v>
      </c>
      <c r="W1059" s="16" t="str">
        <f>IF(DATA[[#This Row],[VALORIZACIÓN ]]="-","NO CORRESPONDE",IF(OR(A1059=20558226979,A1059=10470707866,A1059=20111157058,A1059=20100226902),"NO CORRESPONDE",IF(J1059="Emitida",IF(P1059&gt;0,"EMITIDA","PENDIENTE"),"NO CORRESPONDE")))</f>
        <v>EMITIDA</v>
      </c>
      <c r="X1059" s="29"/>
      <c r="Y1059" s="17" t="s">
        <v>118</v>
      </c>
      <c r="Z1059" s="30">
        <v>45901</v>
      </c>
      <c r="AA1059" s="10" t="s">
        <v>150</v>
      </c>
      <c r="AB1059" s="19">
        <v>231</v>
      </c>
      <c r="AC1059" s="20">
        <v>30</v>
      </c>
      <c r="AD1059" s="18">
        <f>DATA[[#This Row],[FECHA DE EMISION]]+DATA[[#This Row],[CONDICION DE PAGO]]</f>
        <v>45931</v>
      </c>
      <c r="AE1059" s="23">
        <f>IF(DATA[[#This Row],[MONEDA]]="USD",VLOOKUP(DATA[[#This Row],[COMBINADA]],#REF!,11,0),1)</f>
        <v>1</v>
      </c>
      <c r="AF1059" s="129" t="str">
        <f>IF(DATA[[#This Row],[SERIE2]]="-","NO CORRESPONDE",IF(W1059="NO CORRESPONDE","NO CORRESPONDE",IF(Z1059&gt;0,"FACTURADO","PENDIENTE")))</f>
        <v>FACTURADO</v>
      </c>
      <c r="AG1059" s="133">
        <f>IFERROR(VLOOKUP(DATA[[#This Row],[COMBINADA]],#REF!,6,0),0)</f>
        <v>0</v>
      </c>
      <c r="AH1059" s="125">
        <f>IFERROR(VLOOKUP(DATA[[#This Row],[COMBINADA]],#REF!,9,0),0)/COUNTIFS(DATA[COMBINADA],DATA[[#This Row],[COMBINADA]])</f>
        <v>0</v>
      </c>
      <c r="AI1059" s="136">
        <f>IFERROR(VLOOKUP(DATA[[#This Row],[COMBINADA]],#REF!,6,0),0)</f>
        <v>0</v>
      </c>
      <c r="AJ1059" s="132">
        <f>IFERROR(VLOOKUP(DATA[[#This Row],[COMBINADA]],#REF!,9,0),0)/COUNTIFS(DATA[COMBINADA],DATA[[#This Row],[COMBINADA]])</f>
        <v>0</v>
      </c>
      <c r="AK1059" s="408">
        <f>IFERROR(VLOOKUP(DATA[[#This Row],[COMBINADA]],#REF!,6,0),0)</f>
        <v>0</v>
      </c>
      <c r="AL1059" s="125">
        <f>IFERROR(VLOOKUP(DATA[[#This Row],[COMBINADA]],#REF!,9,0),0)/COUNTIFS(DATA[COMBINADA],DATA[[#This Row],[COMBINADA]])</f>
        <v>0</v>
      </c>
      <c r="AM1059" s="133">
        <f>IFERROR(VLOOKUP(DATA[[#This Row],[COMBINADA]],#REF!,6,0),0)</f>
        <v>0</v>
      </c>
      <c r="AN1059" s="125">
        <f>IFERROR(VLOOKUP(DATA[[#This Row],[COMBINADA]],#REF!,9,0),0)/COUNTIFS(DATA[COMBINADA],DATA[[#This Row],[COMBINADA]])</f>
        <v>0</v>
      </c>
      <c r="AO1059" s="27">
        <f>IFERROR(VLOOKUP(DATA[[#This Row],[COMBINADA]],#REF!,6,0),0)</f>
        <v>0</v>
      </c>
      <c r="AP1059" s="132">
        <f>IFERROR(VLOOKUP(DATA[[#This Row],[COMBINADA]],#REF!,9,0),0)/COUNTIFS(DATA[COMBINADA],DATA[[#This Row],[COMBINADA]])</f>
        <v>0</v>
      </c>
      <c r="AQ105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1088.19625</v>
      </c>
      <c r="AR1059" s="26" t="str">
        <f>IFERROR(IF(DATA[[#This Row],[estado_fact]]="FACTURADO",VLOOKUP(DATA[[#This Row],[SERIE2]]&amp;"-"&amp;DATA[[#This Row],[NUMERO]],#REF!,34,0),"NO CORRESPONDE"),"NO CORRESPONDE")</f>
        <v>NO CORRESPONDE</v>
      </c>
      <c r="AS1059" s="22" t="str">
        <f>IF(DATA[[#This Row],[fecha_fs]]&gt;0,TEXT(DATA[[#This Row],[fecha_fs]],"Mmmm"),0)</f>
        <v>Agosto</v>
      </c>
      <c r="AT1059" s="22" t="str">
        <f>DATA[[#This Row],[SERIE2]]&amp;"-"&amp;DATA[[#This Row],[NUMERO]]</f>
        <v>FF01-231</v>
      </c>
      <c r="AU1059" s="28">
        <f>DATA[[#This Row],[TOTAL]]*DATA[[#This Row],[T.C.]]</f>
        <v>1106.3699999999999</v>
      </c>
      <c r="AV1059" s="6">
        <f>DATA[[#This Row],[FECHA DE VAL.]]</f>
        <v>45898</v>
      </c>
      <c r="AW1059" s="6">
        <f>DATA[[#This Row],[FECHA DE EMISION]]</f>
        <v>45901</v>
      </c>
      <c r="AX1059" s="6">
        <f>DATA[[#This Row],[F1]]</f>
        <v>0</v>
      </c>
      <c r="AY1059" s="20">
        <f>IF(AV1059-DATA[[#This Row],[fecha_fs]]&lt;0,0,AV1059-DATA[[#This Row],[fecha_fs]])</f>
        <v>11</v>
      </c>
      <c r="AZ1059" s="20">
        <f t="shared" si="172"/>
        <v>3</v>
      </c>
      <c r="BA1059" s="53">
        <f t="shared" si="173"/>
        <v>0</v>
      </c>
      <c r="BB1059" s="195">
        <f>IFERROR(SUM(DATA[[#This Row],[fs_val_ttf]:[fact_pago_ttf]]),0)</f>
        <v>14</v>
      </c>
      <c r="BC1059" s="233">
        <v>45887</v>
      </c>
      <c r="BD1059" s="233">
        <v>45891</v>
      </c>
      <c r="BE1059" s="233">
        <v>45901</v>
      </c>
      <c r="BF1059" s="233">
        <v>45904</v>
      </c>
      <c r="BG1059" s="20">
        <f>IFERROR(IF(BC1059-DATA[[#This Row],[fecha_fs]]&lt;0,0,BC1059-DATA[[#This Row],[fecha_fs]]),0)</f>
        <v>0</v>
      </c>
      <c r="BH1059" s="20">
        <f t="shared" si="143"/>
        <v>4</v>
      </c>
      <c r="BI1059" s="20">
        <f t="shared" si="144"/>
        <v>10</v>
      </c>
      <c r="BJ1059" s="20">
        <f t="shared" si="145"/>
        <v>3</v>
      </c>
      <c r="BK1059" s="282">
        <f>IFERROR(SUM(DATA[[#This Row],[fs_fd_ttd]:[fend_fenf_ttd]]),0)</f>
        <v>17</v>
      </c>
      <c r="BL1059" s="20" t="str">
        <f>IF(DATA[[#This Row],[fecha_fs]]&gt;0,TEXT(DATA[[#This Row],[fecha_fs]],"YYYY"),0)</f>
        <v>2025</v>
      </c>
      <c r="BM1059" s="236" t="b">
        <v>1</v>
      </c>
      <c r="BN1059" s="278">
        <f>COUNTIF(DATA[[#This Row],[tiempo_td]], "&lt;=15")</f>
        <v>0</v>
      </c>
      <c r="BO1059" s="222"/>
    </row>
    <row r="1060" spans="1:67" ht="30.6" customHeight="1" x14ac:dyDescent="0.25">
      <c r="A1060" s="4">
        <v>20515758659</v>
      </c>
      <c r="B1060" s="5" t="s">
        <v>308</v>
      </c>
      <c r="C1060" s="52" t="s">
        <v>309</v>
      </c>
      <c r="D1060" s="4" t="s">
        <v>120</v>
      </c>
      <c r="E1060" s="5" t="s">
        <v>3</v>
      </c>
      <c r="F1060" s="24">
        <v>45883</v>
      </c>
      <c r="G1060" s="7" t="s">
        <v>113</v>
      </c>
      <c r="H1060" s="25">
        <f t="shared" si="171"/>
        <v>1</v>
      </c>
      <c r="I1060" s="67">
        <v>4875</v>
      </c>
      <c r="J1060" s="8" t="s">
        <v>115</v>
      </c>
      <c r="K1060" s="9" t="s">
        <v>121</v>
      </c>
      <c r="L1060" s="10" t="s">
        <v>117</v>
      </c>
      <c r="M1060" s="11">
        <v>6780</v>
      </c>
      <c r="N1060" s="12" t="s">
        <v>122</v>
      </c>
      <c r="O1060" s="6">
        <v>45887</v>
      </c>
      <c r="P1060" s="13">
        <v>3604</v>
      </c>
      <c r="Q1060" s="14" t="s">
        <v>85</v>
      </c>
      <c r="R1060" s="237">
        <f>DATA[[#This Row],[cantidad_fs]]*0.08</f>
        <v>542.4</v>
      </c>
      <c r="S1060" s="237">
        <v>4657.55</v>
      </c>
      <c r="T1060" s="237">
        <f>DATA[[#This Row],[C. DF]]+DATA[[#This Row],[C.OPE.]]</f>
        <v>5199.95</v>
      </c>
      <c r="U1060" s="15">
        <f>DATA[[#This Row],[SUB TOTAL]]*0.18</f>
        <v>935.99099999999999</v>
      </c>
      <c r="V1060" s="15">
        <f>IFERROR(ROUND(DATA[[#This Row],[SUB TOTAL]]+DATA[[#This Row],[IGV]],2),0)</f>
        <v>6135.94</v>
      </c>
      <c r="W1060" s="16" t="str">
        <f>IF(DATA[[#This Row],[VALORIZACIÓN ]]="-","NO CORRESPONDE",IF(OR(A1060=20558226979,A1060=10470707866,A1060=20111157058,A1060=20100226902),"NO CORRESPONDE",IF(J1060="Emitida",IF(P1060&gt;0,"EMITIDA","PENDIENTE"),"NO CORRESPONDE")))</f>
        <v>EMITIDA</v>
      </c>
      <c r="X1060" s="29"/>
      <c r="Y1060" s="17" t="s">
        <v>118</v>
      </c>
      <c r="Z1060" s="30">
        <v>45891</v>
      </c>
      <c r="AA1060" s="10" t="s">
        <v>150</v>
      </c>
      <c r="AB1060" s="19">
        <v>211</v>
      </c>
      <c r="AC1060" s="20">
        <v>15</v>
      </c>
      <c r="AD1060" s="18">
        <f>DATA[[#This Row],[FECHA DE EMISION]]+DATA[[#This Row],[CONDICION DE PAGO]]</f>
        <v>45906</v>
      </c>
      <c r="AE1060" s="23">
        <f>IF(DATA[[#This Row],[MONEDA]]="USD",VLOOKUP(DATA[[#This Row],[COMBINADA]],#REF!,11,0),1)</f>
        <v>1</v>
      </c>
      <c r="AF1060" s="129" t="str">
        <f>IF(DATA[[#This Row],[SERIE2]]="-","NO CORRESPONDE",IF(W1060="NO CORRESPONDE","NO CORRESPONDE",IF(Z1060&gt;0,"FACTURADO","PENDIENTE")))</f>
        <v>FACTURADO</v>
      </c>
      <c r="AG1060" s="133">
        <f>IFERROR(VLOOKUP(DATA[[#This Row],[COMBINADA]],#REF!,6,0),0)</f>
        <v>0</v>
      </c>
      <c r="AH1060" s="125">
        <f>IFERROR(VLOOKUP(DATA[[#This Row],[COMBINADA]],#REF!,9,0),0)/COUNTIFS(DATA[COMBINADA],DATA[[#This Row],[COMBINADA]])</f>
        <v>0</v>
      </c>
      <c r="AI1060" s="136">
        <f>IFERROR(VLOOKUP(DATA[[#This Row],[COMBINADA]],#REF!,6,0),0)</f>
        <v>0</v>
      </c>
      <c r="AJ1060" s="132">
        <f>IFERROR(VLOOKUP(DATA[[#This Row],[COMBINADA]],#REF!,9,0),0)/COUNTIFS(DATA[COMBINADA],DATA[[#This Row],[COMBINADA]])</f>
        <v>0</v>
      </c>
      <c r="AK1060" s="408">
        <f>IFERROR(VLOOKUP(DATA[[#This Row],[COMBINADA]],#REF!,6,0),0)</f>
        <v>0</v>
      </c>
      <c r="AL1060" s="125">
        <f>IFERROR(VLOOKUP(DATA[[#This Row],[COMBINADA]],#REF!,9,0),0)/COUNTIFS(DATA[COMBINADA],DATA[[#This Row],[COMBINADA]])</f>
        <v>0</v>
      </c>
      <c r="AM1060" s="133">
        <f>IFERROR(VLOOKUP(DATA[[#This Row],[COMBINADA]],#REF!,6,0),0)</f>
        <v>0</v>
      </c>
      <c r="AN1060" s="125">
        <f>IFERROR(VLOOKUP(DATA[[#This Row],[COMBINADA]],#REF!,9,0),0)/COUNTIFS(DATA[COMBINADA],DATA[[#This Row],[COMBINADA]])</f>
        <v>0</v>
      </c>
      <c r="AO1060" s="27">
        <f>IFERROR(VLOOKUP(DATA[[#This Row],[COMBINADA]],#REF!,6,0),0)</f>
        <v>0</v>
      </c>
      <c r="AP1060" s="132">
        <f>IFERROR(VLOOKUP(DATA[[#This Row],[COMBINADA]],#REF!,9,0),0)/COUNTIFS(DATA[COMBINADA],DATA[[#This Row],[COMBINADA]])</f>
        <v>0</v>
      </c>
      <c r="AQ106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6135.94</v>
      </c>
      <c r="AR1060" s="26" t="str">
        <f>IFERROR(IF(DATA[[#This Row],[estado_fact]]="FACTURADO",VLOOKUP(DATA[[#This Row],[SERIE2]]&amp;"-"&amp;DATA[[#This Row],[NUMERO]],#REF!,34,0),"NO CORRESPONDE"),"NO CORRESPONDE")</f>
        <v>NO CORRESPONDE</v>
      </c>
      <c r="AS1060" s="22" t="str">
        <f>IF(DATA[[#This Row],[fecha_fs]]&gt;0,TEXT(DATA[[#This Row],[fecha_fs]],"Mmmm"),0)</f>
        <v>Agosto</v>
      </c>
      <c r="AT1060" s="22" t="str">
        <f>DATA[[#This Row],[SERIE2]]&amp;"-"&amp;DATA[[#This Row],[NUMERO]]</f>
        <v>FF01-211</v>
      </c>
      <c r="AU1060" s="28">
        <f>DATA[[#This Row],[TOTAL]]*DATA[[#This Row],[T.C.]]</f>
        <v>6135.94</v>
      </c>
      <c r="AV1060" s="6">
        <f>DATA[[#This Row],[FECHA DE VAL.]]</f>
        <v>45887</v>
      </c>
      <c r="AW1060" s="6">
        <f>DATA[[#This Row],[FECHA DE EMISION]]</f>
        <v>45891</v>
      </c>
      <c r="AX1060" s="6">
        <f>DATA[[#This Row],[F1]]</f>
        <v>0</v>
      </c>
      <c r="AY1060" s="20">
        <f>IF(AV1060-DATA[[#This Row],[fecha_fs]]&lt;0,0,AV1060-DATA[[#This Row],[fecha_fs]])</f>
        <v>4</v>
      </c>
      <c r="AZ1060" s="20">
        <f t="shared" si="172"/>
        <v>4</v>
      </c>
      <c r="BA1060" s="53">
        <f t="shared" si="173"/>
        <v>0</v>
      </c>
      <c r="BB1060" s="195">
        <f>IFERROR(SUM(DATA[[#This Row],[fs_val_ttf]:[fact_pago_ttf]]),0)</f>
        <v>8</v>
      </c>
      <c r="BC1060" s="233">
        <v>45887</v>
      </c>
      <c r="BD1060" s="233">
        <v>45891</v>
      </c>
      <c r="BE1060" s="233">
        <v>45891</v>
      </c>
      <c r="BF1060" s="234" t="s">
        <v>270</v>
      </c>
      <c r="BG1060" s="20">
        <f>IFERROR(IF(BC1060-DATA[[#This Row],[fecha_fs]]&lt;0,0,BC1060-DATA[[#This Row],[fecha_fs]]),0)</f>
        <v>4</v>
      </c>
      <c r="BH1060" s="20">
        <f t="shared" si="143"/>
        <v>4</v>
      </c>
      <c r="BI1060" s="20">
        <f t="shared" si="144"/>
        <v>0</v>
      </c>
      <c r="BJ1060" s="20">
        <f t="shared" si="145"/>
        <v>0</v>
      </c>
      <c r="BK1060" s="282">
        <f>IFERROR(SUM(DATA[[#This Row],[fs_fd_ttd]:[fend_fenf_ttd]]),0)</f>
        <v>8</v>
      </c>
      <c r="BL1060" s="20" t="str">
        <f>IF(DATA[[#This Row],[fecha_fs]]&gt;0,TEXT(DATA[[#This Row],[fecha_fs]],"YYYY"),0)</f>
        <v>2025</v>
      </c>
      <c r="BM1060" s="236" t="b">
        <v>0</v>
      </c>
      <c r="BN1060" s="278">
        <f>COUNTIF(DATA[[#This Row],[tiempo_td]], "&lt;=15")</f>
        <v>1</v>
      </c>
      <c r="BO1060" s="222"/>
    </row>
    <row r="1061" spans="1:67" ht="30.6" customHeight="1" x14ac:dyDescent="0.25">
      <c r="A1061" s="4">
        <v>20100192064</v>
      </c>
      <c r="B1061" s="5" t="s">
        <v>60</v>
      </c>
      <c r="C1061" s="52" t="s">
        <v>65</v>
      </c>
      <c r="D1061" s="4" t="s">
        <v>120</v>
      </c>
      <c r="E1061" s="5" t="s">
        <v>3</v>
      </c>
      <c r="F1061" s="24">
        <v>45884</v>
      </c>
      <c r="G1061" s="7" t="s">
        <v>142</v>
      </c>
      <c r="H1061" s="25">
        <f>IF(G1061="","",IF(G1061="LIM",2,1))</f>
        <v>2</v>
      </c>
      <c r="I1061" s="67">
        <v>1124</v>
      </c>
      <c r="J1061" s="8" t="s">
        <v>115</v>
      </c>
      <c r="K1061" s="9" t="s">
        <v>121</v>
      </c>
      <c r="L1061" s="10" t="s">
        <v>117</v>
      </c>
      <c r="M1061" s="11">
        <v>280</v>
      </c>
      <c r="N1061" s="12" t="s">
        <v>180</v>
      </c>
      <c r="O1061" s="6">
        <v>45894</v>
      </c>
      <c r="P1061" s="71">
        <v>3616</v>
      </c>
      <c r="Q1061" s="14" t="s">
        <v>123</v>
      </c>
      <c r="R1061" s="206">
        <f>(DATA[[#This Row],[cantidad_fs]]/1000)*(37+81.01)</f>
        <v>33.042800000000007</v>
      </c>
      <c r="S1061" s="15">
        <v>103.6</v>
      </c>
      <c r="T1061" s="237">
        <f>DATA[[#This Row],[C. DF]]+DATA[[#This Row],[C.OPE.]]</f>
        <v>136.64279999999999</v>
      </c>
      <c r="U1061" s="15">
        <f>DATA[[#This Row],[SUB TOTAL]]*0.18</f>
        <v>24.595703999999998</v>
      </c>
      <c r="V1061" s="15">
        <f>IFERROR(ROUND(DATA[[#This Row],[SUB TOTAL]]+DATA[[#This Row],[IGV]],2),0)</f>
        <v>161.24</v>
      </c>
      <c r="W1061" s="16" t="str">
        <f>IF(DATA[[#This Row],[VALORIZACIÓN ]]="-","NO CORRESPONDE",IF(OR(A1061=20558226979,A1061=10470707866,A1061=20111157058,A1061=20100226902),"NO CORRESPONDE",IF(J1061="Emitida",IF(P1061&gt;0,"EMITIDA","PENDIENTE"),"NO CORRESPONDE")))</f>
        <v>EMITIDA</v>
      </c>
      <c r="X1061" s="29"/>
      <c r="Y1061" s="17" t="s">
        <v>118</v>
      </c>
      <c r="Z1061" s="30">
        <v>45895</v>
      </c>
      <c r="AA1061" s="10" t="s">
        <v>150</v>
      </c>
      <c r="AB1061" s="19">
        <v>220</v>
      </c>
      <c r="AC1061" s="20">
        <v>30</v>
      </c>
      <c r="AD1061" s="18">
        <f>DATA[[#This Row],[FECHA DE EMISION]]+DATA[[#This Row],[CONDICION DE PAGO]]</f>
        <v>45925</v>
      </c>
      <c r="AE1061" s="23" t="e">
        <f>IF(DATA[[#This Row],[MONEDA]]="USD",VLOOKUP(DATA[[#This Row],[COMBINADA]],#REF!,11,0),1)</f>
        <v>#REF!</v>
      </c>
      <c r="AF1061" s="129" t="str">
        <f>IF(DATA[[#This Row],[SERIE2]]="-","NO CORRESPONDE",IF(W1061="NO CORRESPONDE","NO CORRESPONDE",IF(Z1061&gt;0,"FACTURADO","PENDIENTE")))</f>
        <v>FACTURADO</v>
      </c>
      <c r="AG1061" s="133">
        <f>IFERROR(VLOOKUP(DATA[[#This Row],[COMBINADA]],#REF!,6,0),0)</f>
        <v>0</v>
      </c>
      <c r="AH1061" s="125">
        <f>IFERROR(VLOOKUP(DATA[[#This Row],[COMBINADA]],#REF!,9,0),0)/COUNTIFS(DATA[COMBINADA],DATA[[#This Row],[COMBINADA]])</f>
        <v>0</v>
      </c>
      <c r="AI1061" s="136">
        <f>IFERROR(VLOOKUP(DATA[[#This Row],[COMBINADA]],#REF!,6,0),0)</f>
        <v>0</v>
      </c>
      <c r="AJ1061" s="132">
        <f>IFERROR(VLOOKUP(DATA[[#This Row],[COMBINADA]],#REF!,9,0),0)/COUNTIFS(DATA[COMBINADA],DATA[[#This Row],[COMBINADA]])</f>
        <v>0</v>
      </c>
      <c r="AK1061" s="408">
        <f>IFERROR(VLOOKUP(DATA[[#This Row],[COMBINADA]],#REF!,6,0),0)</f>
        <v>0</v>
      </c>
      <c r="AL1061" s="125">
        <f>IFERROR(VLOOKUP(DATA[[#This Row],[COMBINADA]],#REF!,9,0),0)/COUNTIFS(DATA[COMBINADA],DATA[[#This Row],[COMBINADA]])</f>
        <v>0</v>
      </c>
      <c r="AM1061" s="133">
        <f>IFERROR(VLOOKUP(DATA[[#This Row],[COMBINADA]],#REF!,6,0),0)</f>
        <v>0</v>
      </c>
      <c r="AN1061" s="125">
        <f>IFERROR(VLOOKUP(DATA[[#This Row],[COMBINADA]],#REF!,9,0),0)/COUNTIFS(DATA[COMBINADA],DATA[[#This Row],[COMBINADA]])</f>
        <v>0</v>
      </c>
      <c r="AO1061" s="27">
        <f>IFERROR(VLOOKUP(DATA[[#This Row],[COMBINADA]],#REF!,6,0),0)</f>
        <v>0</v>
      </c>
      <c r="AP1061" s="132">
        <f>IFERROR(VLOOKUP(DATA[[#This Row],[COMBINADA]],#REF!,9,0),0)/COUNTIFS(DATA[COMBINADA],DATA[[#This Row],[COMBINADA]])</f>
        <v>0</v>
      </c>
      <c r="AQ106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572.11888888888882</v>
      </c>
      <c r="AR1061" s="26" t="str">
        <f>IFERROR(IF(DATA[[#This Row],[estado_fact]]="FACTURADO",VLOOKUP(DATA[[#This Row],[SERIE2]]&amp;"-"&amp;DATA[[#This Row],[NUMERO]],#REF!,34,0),"NO CORRESPONDE"),"NO CORRESPONDE")</f>
        <v>NO CORRESPONDE</v>
      </c>
      <c r="AS1061" s="22" t="str">
        <f>IF(DATA[[#This Row],[fecha_fs]]&gt;0,TEXT(DATA[[#This Row],[fecha_fs]],"Mmmm"),0)</f>
        <v>Agosto</v>
      </c>
      <c r="AT1061" s="22" t="str">
        <f>DATA[[#This Row],[SERIE2]]&amp;"-"&amp;DATA[[#This Row],[NUMERO]]</f>
        <v>FF01-220</v>
      </c>
      <c r="AU1061" s="28" t="e">
        <f>DATA[[#This Row],[TOTAL]]*DATA[[#This Row],[T.C.]]</f>
        <v>#REF!</v>
      </c>
      <c r="AV1061" s="6">
        <f>DATA[[#This Row],[FECHA DE VAL.]]</f>
        <v>45894</v>
      </c>
      <c r="AW1061" s="6">
        <f>DATA[[#This Row],[FECHA DE EMISION]]</f>
        <v>45895</v>
      </c>
      <c r="AX1061" s="6">
        <f>DATA[[#This Row],[F1]]</f>
        <v>0</v>
      </c>
      <c r="AY1061" s="20">
        <f>IF(AV1061-DATA[[#This Row],[fecha_fs]]&lt;0,0,AV1061-DATA[[#This Row],[fecha_fs]])</f>
        <v>10</v>
      </c>
      <c r="AZ1061" s="20">
        <f>IF(AW1061-AV1061&lt;0,0,AW1061-AV1061)</f>
        <v>1</v>
      </c>
      <c r="BA1061" s="53">
        <f>IF(AX1061-AW1061&lt;0,0,AX1061-AW1061)</f>
        <v>0</v>
      </c>
      <c r="BB1061" s="195">
        <f>IFERROR(SUM(DATA[[#This Row],[fs_val_ttf]:[fact_pago_ttf]]),0)</f>
        <v>11</v>
      </c>
      <c r="BC1061" s="233">
        <v>45894</v>
      </c>
      <c r="BD1061" s="233">
        <v>45903</v>
      </c>
      <c r="BE1061" s="233">
        <v>45904</v>
      </c>
      <c r="BF1061" s="233">
        <v>45945</v>
      </c>
      <c r="BG1061" s="20">
        <f>IFERROR(IF(BC1061-DATA[[#This Row],[fecha_fs]]&lt;0,0,BC1061-DATA[[#This Row],[fecha_fs]]),0)</f>
        <v>10</v>
      </c>
      <c r="BH1061" s="20">
        <f>IFERROR(IF(BD1061-BC1061&lt;0,0,BD1061-BC1061),0)</f>
        <v>9</v>
      </c>
      <c r="BI1061" s="20">
        <f>IFERROR(IF(BE1061-BD1061&lt;0,0,BE1061-BD1061),0)</f>
        <v>1</v>
      </c>
      <c r="BJ1061" s="53">
        <f>IFERROR(IF(BF1061-BE1061&lt;0,0,BF1061-BE1061),0)</f>
        <v>41</v>
      </c>
      <c r="BK1061" s="282">
        <f>IFERROR(SUM(DATA[[#This Row],[fs_fd_ttd]:[fend_fenf_ttd]]),0)</f>
        <v>61</v>
      </c>
      <c r="BL1061" s="20" t="str">
        <f>IF(DATA[[#This Row],[fecha_fs]]&gt;0,TEXT(DATA[[#This Row],[fecha_fs]],"YYYY"),0)</f>
        <v>2025</v>
      </c>
      <c r="BM1061" s="236" t="b">
        <v>1</v>
      </c>
      <c r="BN1061" s="278">
        <f>COUNTIF(DATA[[#This Row],[tiempo_td]], "&lt;=15")</f>
        <v>0</v>
      </c>
      <c r="BO1061" s="222"/>
    </row>
    <row r="1062" spans="1:67" ht="30.6" customHeight="1" x14ac:dyDescent="0.25">
      <c r="A1062" s="4">
        <v>20100211115</v>
      </c>
      <c r="B1062" s="5" t="s">
        <v>41</v>
      </c>
      <c r="C1062" s="52" t="s">
        <v>18</v>
      </c>
      <c r="D1062" s="4" t="s">
        <v>120</v>
      </c>
      <c r="E1062" s="5" t="s">
        <v>3</v>
      </c>
      <c r="F1062" s="24">
        <v>45887</v>
      </c>
      <c r="G1062" s="7" t="s">
        <v>113</v>
      </c>
      <c r="H1062" s="25">
        <f t="shared" si="171"/>
        <v>1</v>
      </c>
      <c r="I1062" s="67">
        <v>4876</v>
      </c>
      <c r="J1062" s="8" t="s">
        <v>115</v>
      </c>
      <c r="K1062" s="9" t="s">
        <v>121</v>
      </c>
      <c r="L1062" s="10" t="s">
        <v>117</v>
      </c>
      <c r="M1062" s="11">
        <v>90</v>
      </c>
      <c r="N1062" s="12" t="s">
        <v>132</v>
      </c>
      <c r="O1062" s="6">
        <v>45894</v>
      </c>
      <c r="P1062" s="115">
        <v>3625</v>
      </c>
      <c r="Q1062" s="14" t="s">
        <v>85</v>
      </c>
      <c r="R1062" s="15"/>
      <c r="S1062" s="15">
        <f>(DATA[[#This Row],[cantidad_fs]]*4.17)</f>
        <v>375.3</v>
      </c>
      <c r="T1062" s="237">
        <f>DATA[[#This Row],[C. DF]]+DATA[[#This Row],[C.OPE.]]</f>
        <v>375.3</v>
      </c>
      <c r="U1062" s="15">
        <f>DATA[[#This Row],[SUB TOTAL]]*0.18</f>
        <v>67.554000000000002</v>
      </c>
      <c r="V1062" s="15">
        <f>IFERROR(ROUND(DATA[[#This Row],[SUB TOTAL]]+DATA[[#This Row],[IGV]],2),0)</f>
        <v>442.85</v>
      </c>
      <c r="W1062" s="16" t="str">
        <f>IF(DATA[[#This Row],[VALORIZACIÓN ]]="-","NO CORRESPONDE",IF(OR(A1062=20558226979,A1062=10470707866,A1062=20111157058,A1062=20100226902),"NO CORRESPONDE",IF(J1062="Emitida",IF(P1062&gt;0,"EMITIDA","PENDIENTE"),"NO CORRESPONDE")))</f>
        <v>EMITIDA</v>
      </c>
      <c r="X1062" s="29"/>
      <c r="Y1062" s="17" t="s">
        <v>118</v>
      </c>
      <c r="Z1062" s="30">
        <v>45896</v>
      </c>
      <c r="AA1062" s="10" t="s">
        <v>150</v>
      </c>
      <c r="AB1062" s="19">
        <v>224</v>
      </c>
      <c r="AC1062" s="20">
        <v>30</v>
      </c>
      <c r="AD1062" s="18">
        <f>DATA[[#This Row],[FECHA DE EMISION]]+DATA[[#This Row],[CONDICION DE PAGO]]</f>
        <v>45926</v>
      </c>
      <c r="AE1062" s="23">
        <f>IF(DATA[[#This Row],[MONEDA]]="USD",VLOOKUP(DATA[[#This Row],[COMBINADA]],#REF!,11,0),1)</f>
        <v>1</v>
      </c>
      <c r="AF1062" s="129" t="str">
        <f>IF(DATA[[#This Row],[SERIE2]]="-","NO CORRESPONDE",IF(W1062="NO CORRESPONDE","NO CORRESPONDE",IF(Z1062&gt;0,"FACTURADO","PENDIENTE")))</f>
        <v>FACTURADO</v>
      </c>
      <c r="AG1062" s="133">
        <f>IFERROR(VLOOKUP(DATA[[#This Row],[COMBINADA]],#REF!,6,0),0)</f>
        <v>0</v>
      </c>
      <c r="AH1062" s="125">
        <f>IFERROR(VLOOKUP(DATA[[#This Row],[COMBINADA]],#REF!,9,0),0)/COUNTIFS(DATA[COMBINADA],DATA[[#This Row],[COMBINADA]])</f>
        <v>0</v>
      </c>
      <c r="AI1062" s="136">
        <f>IFERROR(VLOOKUP(DATA[[#This Row],[COMBINADA]],#REF!,6,0),0)</f>
        <v>0</v>
      </c>
      <c r="AJ1062" s="132">
        <f>IFERROR(VLOOKUP(DATA[[#This Row],[COMBINADA]],#REF!,9,0),0)/COUNTIFS(DATA[COMBINADA],DATA[[#This Row],[COMBINADA]])</f>
        <v>0</v>
      </c>
      <c r="AK1062" s="408">
        <f>IFERROR(VLOOKUP(DATA[[#This Row],[COMBINADA]],#REF!,6,0),0)</f>
        <v>0</v>
      </c>
      <c r="AL1062" s="125">
        <f>IFERROR(VLOOKUP(DATA[[#This Row],[COMBINADA]],#REF!,9,0),0)/COUNTIFS(DATA[COMBINADA],DATA[[#This Row],[COMBINADA]])</f>
        <v>0</v>
      </c>
      <c r="AM1062" s="133">
        <f>IFERROR(VLOOKUP(DATA[[#This Row],[COMBINADA]],#REF!,6,0),0)</f>
        <v>0</v>
      </c>
      <c r="AN1062" s="125">
        <f>IFERROR(VLOOKUP(DATA[[#This Row],[COMBINADA]],#REF!,9,0),0)/COUNTIFS(DATA[COMBINADA],DATA[[#This Row],[COMBINADA]])</f>
        <v>0</v>
      </c>
      <c r="AO1062" s="27">
        <f>IFERROR(VLOOKUP(DATA[[#This Row],[COMBINADA]],#REF!,6,0),0)</f>
        <v>0</v>
      </c>
      <c r="AP1062" s="132">
        <f>IFERROR(VLOOKUP(DATA[[#This Row],[COMBINADA]],#REF!,9,0),0)/COUNTIFS(DATA[COMBINADA],DATA[[#This Row],[COMBINADA]])</f>
        <v>0</v>
      </c>
      <c r="AQ106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v>
      </c>
      <c r="AR1062" s="26" t="str">
        <f>IFERROR(IF(DATA[[#This Row],[estado_fact]]="FACTURADO",VLOOKUP(DATA[[#This Row],[SERIE2]]&amp;"-"&amp;DATA[[#This Row],[NUMERO]],#REF!,34,0),"NO CORRESPONDE"),"NO CORRESPONDE")</f>
        <v>NO CORRESPONDE</v>
      </c>
      <c r="AS1062" s="22" t="str">
        <f>IF(DATA[[#This Row],[fecha_fs]]&gt;0,TEXT(DATA[[#This Row],[fecha_fs]],"Mmmm"),0)</f>
        <v>Agosto</v>
      </c>
      <c r="AT1062" s="22" t="str">
        <f>DATA[[#This Row],[SERIE2]]&amp;"-"&amp;DATA[[#This Row],[NUMERO]]</f>
        <v>FF01-224</v>
      </c>
      <c r="AU1062" s="28">
        <f>DATA[[#This Row],[TOTAL]]*DATA[[#This Row],[T.C.]]</f>
        <v>442.85</v>
      </c>
      <c r="AV1062" s="6">
        <f>DATA[[#This Row],[FECHA DE VAL.]]</f>
        <v>45894</v>
      </c>
      <c r="AW1062" s="6">
        <f>DATA[[#This Row],[FECHA DE EMISION]]</f>
        <v>45896</v>
      </c>
      <c r="AX1062" s="6">
        <f>DATA[[#This Row],[F1]]</f>
        <v>0</v>
      </c>
      <c r="AY1062" s="20">
        <f>IF(AV1062-DATA[[#This Row],[fecha_fs]]&lt;0,0,AV1062-DATA[[#This Row],[fecha_fs]])</f>
        <v>7</v>
      </c>
      <c r="AZ1062" s="20">
        <f t="shared" si="172"/>
        <v>2</v>
      </c>
      <c r="BA1062" s="53">
        <f t="shared" si="173"/>
        <v>0</v>
      </c>
      <c r="BB1062" s="195">
        <f>IFERROR(SUM(DATA[[#This Row],[fs_val_ttf]:[fact_pago_ttf]]),0)</f>
        <v>9</v>
      </c>
      <c r="BC1062" s="233">
        <v>45903</v>
      </c>
      <c r="BD1062" s="233">
        <v>45905</v>
      </c>
      <c r="BE1062" s="233">
        <v>45908</v>
      </c>
      <c r="BF1062" s="185">
        <v>45911</v>
      </c>
      <c r="BG1062" s="20">
        <f>IFERROR(IF(BC1062-DATA[[#This Row],[fecha_fs]]&lt;0,0,BC1062-DATA[[#This Row],[fecha_fs]]),0)</f>
        <v>16</v>
      </c>
      <c r="BH1062" s="20">
        <f t="shared" si="143"/>
        <v>2</v>
      </c>
      <c r="BI1062" s="20">
        <f t="shared" si="144"/>
        <v>3</v>
      </c>
      <c r="BJ1062" s="20">
        <f t="shared" si="145"/>
        <v>3</v>
      </c>
      <c r="BK1062" s="282">
        <f>IFERROR(SUM(DATA[[#This Row],[fs_fd_ttd]:[fend_fenf_ttd]]),0)</f>
        <v>24</v>
      </c>
      <c r="BL1062" s="20" t="str">
        <f>IF(DATA[[#This Row],[fecha_fs]]&gt;0,TEXT(DATA[[#This Row],[fecha_fs]],"YYYY"),0)</f>
        <v>2025</v>
      </c>
      <c r="BM1062" s="236" t="b">
        <v>1</v>
      </c>
      <c r="BN1062" s="278">
        <f>COUNTIF(DATA[[#This Row],[tiempo_td]], "&lt;=15")</f>
        <v>0</v>
      </c>
      <c r="BO1062" s="222"/>
    </row>
    <row r="1063" spans="1:67" ht="30.6" customHeight="1" x14ac:dyDescent="0.25">
      <c r="A1063" s="4">
        <v>20610105620</v>
      </c>
      <c r="B1063" s="5" t="s">
        <v>311</v>
      </c>
      <c r="C1063" s="52" t="s">
        <v>312</v>
      </c>
      <c r="D1063" s="4" t="s">
        <v>120</v>
      </c>
      <c r="E1063" s="5" t="s">
        <v>3</v>
      </c>
      <c r="F1063" s="24">
        <v>45887</v>
      </c>
      <c r="G1063" s="7" t="s">
        <v>113</v>
      </c>
      <c r="H1063" s="25">
        <f t="shared" ref="H1063:H1069" si="174">IF(G1063="","",IF(G1063="LIM",2,1))</f>
        <v>1</v>
      </c>
      <c r="I1063" s="67">
        <v>4877</v>
      </c>
      <c r="J1063" s="8" t="s">
        <v>115</v>
      </c>
      <c r="K1063" s="9" t="s">
        <v>121</v>
      </c>
      <c r="L1063" s="10" t="s">
        <v>117</v>
      </c>
      <c r="M1063" s="11">
        <v>600</v>
      </c>
      <c r="N1063" s="12" t="s">
        <v>125</v>
      </c>
      <c r="O1063" s="6">
        <v>45888</v>
      </c>
      <c r="P1063" s="13">
        <v>3605</v>
      </c>
      <c r="Q1063" s="14" t="s">
        <v>85</v>
      </c>
      <c r="R1063" s="237">
        <v>80</v>
      </c>
      <c r="S1063" s="237">
        <f>2120-38</f>
        <v>2082</v>
      </c>
      <c r="T1063" s="237">
        <f>DATA[[#This Row],[C. DF]]+DATA[[#This Row],[C.OPE.]]</f>
        <v>2162</v>
      </c>
      <c r="U1063" s="15">
        <f>DATA[[#This Row],[SUB TOTAL]]*0.18</f>
        <v>389.15999999999997</v>
      </c>
      <c r="V1063" s="15">
        <f>IFERROR(ROUND(DATA[[#This Row],[SUB TOTAL]]+DATA[[#This Row],[IGV]],2),0)</f>
        <v>2551.16</v>
      </c>
      <c r="W1063" s="16" t="str">
        <f>IF(DATA[[#This Row],[VALORIZACIÓN ]]="-","NO CORRESPONDE",IF(OR(A1063=20558226979,A1063=10470707866,A1063=20111157058,A1063=20100226902),"NO CORRESPONDE",IF(J1063="Emitida",IF(P1063&gt;0,"EMITIDA","PENDIENTE"),"NO CORRESPONDE")))</f>
        <v>EMITIDA</v>
      </c>
      <c r="X1063" s="29"/>
      <c r="Y1063" s="17" t="s">
        <v>118</v>
      </c>
      <c r="Z1063" s="30">
        <v>45950</v>
      </c>
      <c r="AA1063" s="10" t="s">
        <v>150</v>
      </c>
      <c r="AB1063" s="19">
        <v>299</v>
      </c>
      <c r="AC1063" s="20">
        <v>30</v>
      </c>
      <c r="AD1063" s="18">
        <f>DATA[[#This Row],[FECHA DE EMISION]]+DATA[[#This Row],[CONDICION DE PAGO]]</f>
        <v>45980</v>
      </c>
      <c r="AE1063" s="23">
        <f>IF(DATA[[#This Row],[MONEDA]]="USD",VLOOKUP(DATA[[#This Row],[COMBINADA]],#REF!,11,0),1)</f>
        <v>1</v>
      </c>
      <c r="AF1063" s="129" t="str">
        <f>IF(DATA[[#This Row],[SERIE2]]="-","NO CORRESPONDE",IF(W1063="NO CORRESPONDE","NO CORRESPONDE",IF(Z1063&gt;0,"FACTURADO","PENDIENTE")))</f>
        <v>FACTURADO</v>
      </c>
      <c r="AG1063" s="133">
        <f>IFERROR(VLOOKUP(DATA[[#This Row],[COMBINADA]],#REF!,6,0),0)</f>
        <v>0</v>
      </c>
      <c r="AH1063" s="125">
        <f>IFERROR(VLOOKUP(DATA[[#This Row],[COMBINADA]],#REF!,9,0),0)/COUNTIFS(DATA[COMBINADA],DATA[[#This Row],[COMBINADA]])</f>
        <v>0</v>
      </c>
      <c r="AI1063" s="136">
        <f>IFERROR(VLOOKUP(DATA[[#This Row],[COMBINADA]],#REF!,6,0),0)</f>
        <v>0</v>
      </c>
      <c r="AJ1063" s="132">
        <f>IFERROR(VLOOKUP(DATA[[#This Row],[COMBINADA]],#REF!,9,0),0)/COUNTIFS(DATA[COMBINADA],DATA[[#This Row],[COMBINADA]])</f>
        <v>0</v>
      </c>
      <c r="AK1063" s="408">
        <f>IFERROR(VLOOKUP(DATA[[#This Row],[COMBINADA]],#REF!,6,0),0)</f>
        <v>0</v>
      </c>
      <c r="AL1063" s="125">
        <f>IFERROR(VLOOKUP(DATA[[#This Row],[COMBINADA]],#REF!,9,0),0)/COUNTIFS(DATA[COMBINADA],DATA[[#This Row],[COMBINADA]])</f>
        <v>0</v>
      </c>
      <c r="AM1063" s="133">
        <f>IFERROR(VLOOKUP(DATA[[#This Row],[COMBINADA]],#REF!,6,0),0)</f>
        <v>0</v>
      </c>
      <c r="AN1063" s="125">
        <f>IFERROR(VLOOKUP(DATA[[#This Row],[COMBINADA]],#REF!,9,0),0)/COUNTIFS(DATA[COMBINADA],DATA[[#This Row],[COMBINADA]])</f>
        <v>0</v>
      </c>
      <c r="AO1063" s="27">
        <f>IFERROR(VLOOKUP(DATA[[#This Row],[COMBINADA]],#REF!,6,0),0)</f>
        <v>0</v>
      </c>
      <c r="AP1063" s="132">
        <f>IFERROR(VLOOKUP(DATA[[#This Row],[COMBINADA]],#REF!,9,0),0)/COUNTIFS(DATA[COMBINADA],DATA[[#This Row],[COMBINADA]])</f>
        <v>0</v>
      </c>
      <c r="AQ106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2551.16</v>
      </c>
      <c r="AR1063" s="26" t="str">
        <f>IFERROR(IF(DATA[[#This Row],[estado_fact]]="FACTURADO",VLOOKUP(DATA[[#This Row],[SERIE2]]&amp;"-"&amp;DATA[[#This Row],[NUMERO]],#REF!,34,0),"NO CORRESPONDE"),"NO CORRESPONDE")</f>
        <v>NO CORRESPONDE</v>
      </c>
      <c r="AS1063" s="22" t="str">
        <f>IF(DATA[[#This Row],[fecha_fs]]&gt;0,TEXT(DATA[[#This Row],[fecha_fs]],"Mmmm"),0)</f>
        <v>Agosto</v>
      </c>
      <c r="AT1063" s="22" t="str">
        <f>DATA[[#This Row],[SERIE2]]&amp;"-"&amp;DATA[[#This Row],[NUMERO]]</f>
        <v>FF01-299</v>
      </c>
      <c r="AU1063" s="28">
        <f>DATA[[#This Row],[TOTAL]]*DATA[[#This Row],[T.C.]]</f>
        <v>2551.16</v>
      </c>
      <c r="AV1063" s="6">
        <f>DATA[[#This Row],[FECHA DE VAL.]]</f>
        <v>45888</v>
      </c>
      <c r="AW1063" s="6">
        <f>DATA[[#This Row],[FECHA DE EMISION]]</f>
        <v>45950</v>
      </c>
      <c r="AX1063" s="6">
        <f>DATA[[#This Row],[F1]]</f>
        <v>0</v>
      </c>
      <c r="AY1063" s="20">
        <f>IF(AV1063-DATA[[#This Row],[fecha_fs]]&lt;0,0,AV1063-DATA[[#This Row],[fecha_fs]])</f>
        <v>1</v>
      </c>
      <c r="AZ1063" s="20">
        <f t="shared" ref="AZ1063:AZ1069" si="175">IF(AW1063-AV1063&lt;0,0,AW1063-AV1063)</f>
        <v>62</v>
      </c>
      <c r="BA1063" s="53">
        <f t="shared" ref="BA1063:BA1069" si="176">IF(AX1063-AW1063&lt;0,0,AX1063-AW1063)</f>
        <v>0</v>
      </c>
      <c r="BB1063" s="195">
        <f>IFERROR(SUM(DATA[[#This Row],[fs_val_ttf]:[fact_pago_ttf]]),0)</f>
        <v>63</v>
      </c>
      <c r="BC1063" s="233">
        <v>45888</v>
      </c>
      <c r="BD1063" s="233">
        <v>45891</v>
      </c>
      <c r="BE1063" s="293">
        <v>45896</v>
      </c>
      <c r="BF1063" s="233">
        <v>45932</v>
      </c>
      <c r="BG1063" s="20">
        <f>IFERROR(IF(BC1063-DATA[[#This Row],[fecha_fs]]&lt;0,0,BC1063-DATA[[#This Row],[fecha_fs]]),0)</f>
        <v>1</v>
      </c>
      <c r="BH1063" s="20">
        <f t="shared" si="143"/>
        <v>3</v>
      </c>
      <c r="BI1063" s="20">
        <f t="shared" si="144"/>
        <v>5</v>
      </c>
      <c r="BJ1063" s="20">
        <f t="shared" si="145"/>
        <v>36</v>
      </c>
      <c r="BK1063" s="282">
        <f>IFERROR(SUM(DATA[[#This Row],[fs_fd_ttd]:[fend_fenf_ttd]]),0)</f>
        <v>45</v>
      </c>
      <c r="BL1063" s="20" t="str">
        <f>IF(DATA[[#This Row],[fecha_fs]]&gt;0,TEXT(DATA[[#This Row],[fecha_fs]],"YYYY"),0)</f>
        <v>2025</v>
      </c>
      <c r="BM1063" s="236" t="b">
        <v>1</v>
      </c>
      <c r="BN1063" s="278">
        <f>COUNTIF(DATA[[#This Row],[tiempo_td]], "&lt;=15")</f>
        <v>0</v>
      </c>
      <c r="BO1063" s="222"/>
    </row>
    <row r="1064" spans="1:67" ht="30.6" customHeight="1" x14ac:dyDescent="0.25">
      <c r="A1064" s="4">
        <v>20100192064</v>
      </c>
      <c r="B1064" s="5" t="s">
        <v>60</v>
      </c>
      <c r="C1064" s="52" t="s">
        <v>43</v>
      </c>
      <c r="D1064" s="4" t="s">
        <v>120</v>
      </c>
      <c r="E1064" s="5" t="s">
        <v>3</v>
      </c>
      <c r="F1064" s="24">
        <v>45887</v>
      </c>
      <c r="G1064" s="7" t="s">
        <v>113</v>
      </c>
      <c r="H1064" s="25">
        <f t="shared" si="174"/>
        <v>1</v>
      </c>
      <c r="I1064" s="67">
        <v>4878</v>
      </c>
      <c r="J1064" s="8" t="s">
        <v>115</v>
      </c>
      <c r="K1064" s="9" t="s">
        <v>121</v>
      </c>
      <c r="L1064" s="10" t="s">
        <v>117</v>
      </c>
      <c r="M1064" s="11">
        <v>610</v>
      </c>
      <c r="N1064" s="12" t="s">
        <v>132</v>
      </c>
      <c r="O1064" s="6">
        <v>45894</v>
      </c>
      <c r="P1064" s="71">
        <v>3610</v>
      </c>
      <c r="Q1064" s="14" t="s">
        <v>123</v>
      </c>
      <c r="R1064" s="237">
        <f>(DATA[[#This Row],[cantidad_fs]]/1000)*(47+174.34)</f>
        <v>135.01740000000001</v>
      </c>
      <c r="S1064" s="237">
        <v>137</v>
      </c>
      <c r="T1064" s="237">
        <f>DATA[[#This Row],[C. DF]]+DATA[[#This Row],[C.OPE.]]</f>
        <v>272.01740000000001</v>
      </c>
      <c r="U1064" s="15">
        <f>DATA[[#This Row],[SUB TOTAL]]*0.18</f>
        <v>48.963132000000002</v>
      </c>
      <c r="V1064" s="15">
        <f>IFERROR(ROUND(DATA[[#This Row],[SUB TOTAL]]+DATA[[#This Row],[IGV]],2),0)</f>
        <v>320.98</v>
      </c>
      <c r="W1064" s="16" t="str">
        <f>IF(DATA[[#This Row],[VALORIZACIÓN ]]="-","NO CORRESPONDE",IF(OR(A1064=20558226979,A1064=10470707866,A1064=20111157058,A1064=20100226902),"NO CORRESPONDE",IF(J1064="Emitida",IF(P1064&gt;0,"EMITIDA","PENDIENTE"),"NO CORRESPONDE")))</f>
        <v>EMITIDA</v>
      </c>
      <c r="X1064" s="29" t="s">
        <v>322</v>
      </c>
      <c r="Y1064" s="17" t="s">
        <v>118</v>
      </c>
      <c r="Z1064" s="277">
        <v>45898</v>
      </c>
      <c r="AA1064" s="20" t="s">
        <v>150</v>
      </c>
      <c r="AB1064" s="19">
        <v>229</v>
      </c>
      <c r="AC1064" s="20">
        <v>30</v>
      </c>
      <c r="AD1064" s="18">
        <f>DATA[[#This Row],[FECHA DE EMISION]]+DATA[[#This Row],[CONDICION DE PAGO]]</f>
        <v>45928</v>
      </c>
      <c r="AE1064" s="23" t="e">
        <f>IF(DATA[[#This Row],[MONEDA]]="USD",VLOOKUP(DATA[[#This Row],[COMBINADA]],#REF!,11,0),1)</f>
        <v>#REF!</v>
      </c>
      <c r="AF1064" s="129" t="str">
        <f>IF(DATA[[#This Row],[SERIE2]]="-","NO CORRESPONDE",IF(W1064="NO CORRESPONDE","NO CORRESPONDE",IF(Z1064&gt;0,"FACTURADO","PENDIENTE")))</f>
        <v>FACTURADO</v>
      </c>
      <c r="AG1064" s="133">
        <f>IFERROR(VLOOKUP(DATA[[#This Row],[COMBINADA]],#REF!,6,0),0)</f>
        <v>0</v>
      </c>
      <c r="AH1064" s="125">
        <f>IFERROR(VLOOKUP(DATA[[#This Row],[COMBINADA]],#REF!,9,0),0)/COUNTIFS(DATA[COMBINADA],DATA[[#This Row],[COMBINADA]])</f>
        <v>0</v>
      </c>
      <c r="AI1064" s="136">
        <f>IFERROR(VLOOKUP(DATA[[#This Row],[COMBINADA]],#REF!,6,0),0)</f>
        <v>0</v>
      </c>
      <c r="AJ1064" s="132">
        <f>IFERROR(VLOOKUP(DATA[[#This Row],[COMBINADA]],#REF!,9,0),0)/COUNTIFS(DATA[COMBINADA],DATA[[#This Row],[COMBINADA]])</f>
        <v>0</v>
      </c>
      <c r="AK1064" s="408">
        <f>IFERROR(VLOOKUP(DATA[[#This Row],[COMBINADA]],#REF!,6,0),0)</f>
        <v>0</v>
      </c>
      <c r="AL1064" s="125">
        <f>IFERROR(VLOOKUP(DATA[[#This Row],[COMBINADA]],#REF!,9,0),0)/COUNTIFS(DATA[COMBINADA],DATA[[#This Row],[COMBINADA]])</f>
        <v>0</v>
      </c>
      <c r="AM1064" s="133">
        <f>IFERROR(VLOOKUP(DATA[[#This Row],[COMBINADA]],#REF!,6,0),0)</f>
        <v>0</v>
      </c>
      <c r="AN1064" s="125">
        <f>IFERROR(VLOOKUP(DATA[[#This Row],[COMBINADA]],#REF!,9,0),0)/COUNTIFS(DATA[COMBINADA],DATA[[#This Row],[COMBINADA]])</f>
        <v>0</v>
      </c>
      <c r="AO1064" s="27">
        <f>IFERROR(VLOOKUP(DATA[[#This Row],[COMBINADA]],#REF!,6,0),0)</f>
        <v>0</v>
      </c>
      <c r="AP1064" s="132">
        <f>IFERROR(VLOOKUP(DATA[[#This Row],[COMBINADA]],#REF!,9,0),0)/COUNTIFS(DATA[COMBINADA],DATA[[#This Row],[COMBINADA]])</f>
        <v>0</v>
      </c>
      <c r="AQ106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587.06100000000004</v>
      </c>
      <c r="AR1064" s="26" t="str">
        <f>IFERROR(IF(DATA[[#This Row],[estado_fact]]="FACTURADO",VLOOKUP(DATA[[#This Row],[SERIE2]]&amp;"-"&amp;DATA[[#This Row],[NUMERO]],#REF!,34,0),"NO CORRESPONDE"),"NO CORRESPONDE")</f>
        <v>NO CORRESPONDE</v>
      </c>
      <c r="AS1064" s="22" t="str">
        <f>IF(DATA[[#This Row],[fecha_fs]]&gt;0,TEXT(DATA[[#This Row],[fecha_fs]],"Mmmm"),0)</f>
        <v>Agosto</v>
      </c>
      <c r="AT1064" s="22" t="str">
        <f>DATA[[#This Row],[SERIE2]]&amp;"-"&amp;DATA[[#This Row],[NUMERO]]</f>
        <v>FF01-229</v>
      </c>
      <c r="AU1064" s="28" t="e">
        <f>DATA[[#This Row],[TOTAL]]*DATA[[#This Row],[T.C.]]</f>
        <v>#REF!</v>
      </c>
      <c r="AV1064" s="6">
        <f>DATA[[#This Row],[FECHA DE VAL.]]</f>
        <v>45894</v>
      </c>
      <c r="AW1064" s="6">
        <f>DATA[[#This Row],[FECHA DE EMISION]]</f>
        <v>45898</v>
      </c>
      <c r="AX1064" s="6">
        <f>DATA[[#This Row],[F1]]</f>
        <v>0</v>
      </c>
      <c r="AY1064" s="20">
        <f>IF(AV1064-DATA[[#This Row],[fecha_fs]]&lt;0,0,AV1064-DATA[[#This Row],[fecha_fs]])</f>
        <v>7</v>
      </c>
      <c r="AZ1064" s="20">
        <f t="shared" si="175"/>
        <v>4</v>
      </c>
      <c r="BA1064" s="53">
        <f t="shared" si="176"/>
        <v>0</v>
      </c>
      <c r="BB1064" s="195">
        <f>IFERROR(SUM(DATA[[#This Row],[fs_val_ttf]:[fact_pago_ttf]]),0)</f>
        <v>11</v>
      </c>
      <c r="BC1064" s="233">
        <v>45895</v>
      </c>
      <c r="BD1064" s="233">
        <v>45903</v>
      </c>
      <c r="BE1064" s="233">
        <v>45904</v>
      </c>
      <c r="BF1064" s="233">
        <v>45945</v>
      </c>
      <c r="BG1064" s="20">
        <f>IFERROR(IF(BC1064-DATA[[#This Row],[fecha_fs]]&lt;0,0,BC1064-DATA[[#This Row],[fecha_fs]]),0)</f>
        <v>8</v>
      </c>
      <c r="BH1064" s="20">
        <f t="shared" si="143"/>
        <v>8</v>
      </c>
      <c r="BI1064" s="20">
        <f t="shared" si="144"/>
        <v>1</v>
      </c>
      <c r="BJ1064" s="20">
        <f t="shared" si="145"/>
        <v>41</v>
      </c>
      <c r="BK1064" s="282">
        <f>IFERROR(SUM(DATA[[#This Row],[fs_fd_ttd]:[fend_fenf_ttd]]),0)</f>
        <v>58</v>
      </c>
      <c r="BL1064" s="20" t="str">
        <f>IF(DATA[[#This Row],[fecha_fs]]&gt;0,TEXT(DATA[[#This Row],[fecha_fs]],"YYYY"),0)</f>
        <v>2025</v>
      </c>
      <c r="BM1064" s="236" t="b">
        <v>1</v>
      </c>
      <c r="BN1064" s="278">
        <f>COUNTIF(DATA[[#This Row],[tiempo_td]], "&lt;=15")</f>
        <v>0</v>
      </c>
      <c r="BO1064" s="222"/>
    </row>
    <row r="1065" spans="1:67" ht="30.6" customHeight="1" x14ac:dyDescent="0.25">
      <c r="A1065" s="4">
        <v>20610105620</v>
      </c>
      <c r="B1065" s="5" t="s">
        <v>311</v>
      </c>
      <c r="C1065" s="52" t="s">
        <v>312</v>
      </c>
      <c r="D1065" s="4" t="s">
        <v>120</v>
      </c>
      <c r="E1065" s="5" t="s">
        <v>3</v>
      </c>
      <c r="F1065" s="24">
        <v>45883</v>
      </c>
      <c r="G1065" s="7" t="s">
        <v>113</v>
      </c>
      <c r="H1065" s="25">
        <f t="shared" si="174"/>
        <v>1</v>
      </c>
      <c r="I1065" s="67">
        <v>4879</v>
      </c>
      <c r="J1065" s="8" t="s">
        <v>115</v>
      </c>
      <c r="K1065" s="9" t="s">
        <v>121</v>
      </c>
      <c r="L1065" s="10" t="s">
        <v>117</v>
      </c>
      <c r="M1065" s="11">
        <v>480</v>
      </c>
      <c r="N1065" s="12" t="s">
        <v>125</v>
      </c>
      <c r="O1065" s="6">
        <v>45888</v>
      </c>
      <c r="P1065" s="13">
        <v>3605</v>
      </c>
      <c r="Q1065" s="14" t="s">
        <v>85</v>
      </c>
      <c r="R1065" s="237">
        <v>80</v>
      </c>
      <c r="S1065" s="237">
        <f>2120-38</f>
        <v>2082</v>
      </c>
      <c r="T1065" s="237">
        <f>DATA[[#This Row],[C. DF]]+DATA[[#This Row],[C.OPE.]]</f>
        <v>2162</v>
      </c>
      <c r="U1065" s="15">
        <f>DATA[[#This Row],[SUB TOTAL]]*0.18</f>
        <v>389.15999999999997</v>
      </c>
      <c r="V1065" s="15">
        <f>IFERROR(ROUND(DATA[[#This Row],[SUB TOTAL]]+DATA[[#This Row],[IGV]],2),0)</f>
        <v>2551.16</v>
      </c>
      <c r="W1065" s="16" t="str">
        <f>IF(DATA[[#This Row],[VALORIZACIÓN ]]="-","NO CORRESPONDE",IF(OR(A1065=20558226979,A1065=10470707866,A1065=20111157058,A1065=20100226902),"NO CORRESPONDE",IF(J1065="Emitida",IF(P1065&gt;0,"EMITIDA","PENDIENTE"),"NO CORRESPONDE")))</f>
        <v>EMITIDA</v>
      </c>
      <c r="X1065" s="29"/>
      <c r="Y1065" s="17" t="s">
        <v>118</v>
      </c>
      <c r="Z1065" s="30">
        <v>45950</v>
      </c>
      <c r="AA1065" s="10" t="s">
        <v>150</v>
      </c>
      <c r="AB1065" s="19">
        <v>299</v>
      </c>
      <c r="AC1065" s="20">
        <v>30</v>
      </c>
      <c r="AD1065" s="18">
        <f>DATA[[#This Row],[FECHA DE EMISION]]+DATA[[#This Row],[CONDICION DE PAGO]]</f>
        <v>45980</v>
      </c>
      <c r="AE1065" s="23">
        <f>IF(DATA[[#This Row],[MONEDA]]="USD",VLOOKUP(DATA[[#This Row],[COMBINADA]],#REF!,11,0),1)</f>
        <v>1</v>
      </c>
      <c r="AF1065" s="129" t="str">
        <f>IF(DATA[[#This Row],[SERIE2]]="-","NO CORRESPONDE",IF(W1065="NO CORRESPONDE","NO CORRESPONDE",IF(Z1065&gt;0,"FACTURADO","PENDIENTE")))</f>
        <v>FACTURADO</v>
      </c>
      <c r="AG1065" s="133">
        <f>IFERROR(VLOOKUP(DATA[[#This Row],[COMBINADA]],#REF!,6,0),0)</f>
        <v>0</v>
      </c>
      <c r="AH1065" s="125">
        <f>IFERROR(VLOOKUP(DATA[[#This Row],[COMBINADA]],#REF!,9,0),0)/COUNTIFS(DATA[COMBINADA],DATA[[#This Row],[COMBINADA]])</f>
        <v>0</v>
      </c>
      <c r="AI1065" s="136">
        <f>IFERROR(VLOOKUP(DATA[[#This Row],[COMBINADA]],#REF!,6,0),0)</f>
        <v>0</v>
      </c>
      <c r="AJ1065" s="132">
        <f>IFERROR(VLOOKUP(DATA[[#This Row],[COMBINADA]],#REF!,9,0),0)/COUNTIFS(DATA[COMBINADA],DATA[[#This Row],[COMBINADA]])</f>
        <v>0</v>
      </c>
      <c r="AK1065" s="408">
        <f>IFERROR(VLOOKUP(DATA[[#This Row],[COMBINADA]],#REF!,6,0),0)</f>
        <v>0</v>
      </c>
      <c r="AL1065" s="125">
        <f>IFERROR(VLOOKUP(DATA[[#This Row],[COMBINADA]],#REF!,9,0),0)/COUNTIFS(DATA[COMBINADA],DATA[[#This Row],[COMBINADA]])</f>
        <v>0</v>
      </c>
      <c r="AM1065" s="133">
        <f>IFERROR(VLOOKUP(DATA[[#This Row],[COMBINADA]],#REF!,6,0),0)</f>
        <v>0</v>
      </c>
      <c r="AN1065" s="125">
        <f>IFERROR(VLOOKUP(DATA[[#This Row],[COMBINADA]],#REF!,9,0),0)/COUNTIFS(DATA[COMBINADA],DATA[[#This Row],[COMBINADA]])</f>
        <v>0</v>
      </c>
      <c r="AO1065" s="27">
        <f>IFERROR(VLOOKUP(DATA[[#This Row],[COMBINADA]],#REF!,6,0),0)</f>
        <v>0</v>
      </c>
      <c r="AP1065" s="132">
        <f>IFERROR(VLOOKUP(DATA[[#This Row],[COMBINADA]],#REF!,9,0),0)/COUNTIFS(DATA[COMBINADA],DATA[[#This Row],[COMBINADA]])</f>
        <v>0</v>
      </c>
      <c r="AQ106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2551.16</v>
      </c>
      <c r="AR1065" s="26" t="str">
        <f>IFERROR(IF(DATA[[#This Row],[estado_fact]]="FACTURADO",VLOOKUP(DATA[[#This Row],[SERIE2]]&amp;"-"&amp;DATA[[#This Row],[NUMERO]],#REF!,34,0),"NO CORRESPONDE"),"NO CORRESPONDE")</f>
        <v>NO CORRESPONDE</v>
      </c>
      <c r="AS1065" s="22" t="str">
        <f>IF(DATA[[#This Row],[fecha_fs]]&gt;0,TEXT(DATA[[#This Row],[fecha_fs]],"Mmmm"),0)</f>
        <v>Agosto</v>
      </c>
      <c r="AT1065" s="22" t="str">
        <f>DATA[[#This Row],[SERIE2]]&amp;"-"&amp;DATA[[#This Row],[NUMERO]]</f>
        <v>FF01-299</v>
      </c>
      <c r="AU1065" s="28">
        <f>DATA[[#This Row],[TOTAL]]*DATA[[#This Row],[T.C.]]</f>
        <v>2551.16</v>
      </c>
      <c r="AV1065" s="6">
        <f>DATA[[#This Row],[FECHA DE VAL.]]</f>
        <v>45888</v>
      </c>
      <c r="AW1065" s="6">
        <f>DATA[[#This Row],[FECHA DE EMISION]]</f>
        <v>45950</v>
      </c>
      <c r="AX1065" s="6">
        <f>DATA[[#This Row],[F1]]</f>
        <v>0</v>
      </c>
      <c r="AY1065" s="20">
        <f>IF(AV1065-DATA[[#This Row],[fecha_fs]]&lt;0,0,AV1065-DATA[[#This Row],[fecha_fs]])</f>
        <v>5</v>
      </c>
      <c r="AZ1065" s="20">
        <f t="shared" si="175"/>
        <v>62</v>
      </c>
      <c r="BA1065" s="53">
        <f t="shared" si="176"/>
        <v>0</v>
      </c>
      <c r="BB1065" s="195">
        <f>IFERROR(SUM(DATA[[#This Row],[fs_val_ttf]:[fact_pago_ttf]]),0)</f>
        <v>67</v>
      </c>
      <c r="BC1065" s="233">
        <v>45888</v>
      </c>
      <c r="BD1065" s="233">
        <v>45891</v>
      </c>
      <c r="BE1065" s="293">
        <v>45896</v>
      </c>
      <c r="BF1065" s="233">
        <v>45932</v>
      </c>
      <c r="BG1065" s="20">
        <f>IFERROR(IF(BC1065-DATA[[#This Row],[fecha_fs]]&lt;0,0,BC1065-DATA[[#This Row],[fecha_fs]]),0)</f>
        <v>5</v>
      </c>
      <c r="BH1065" s="20">
        <f t="shared" si="143"/>
        <v>3</v>
      </c>
      <c r="BI1065" s="20">
        <f t="shared" si="144"/>
        <v>5</v>
      </c>
      <c r="BJ1065" s="20">
        <f t="shared" si="145"/>
        <v>36</v>
      </c>
      <c r="BK1065" s="282">
        <f>IFERROR(SUM(DATA[[#This Row],[fs_fd_ttd]:[fend_fenf_ttd]]),0)</f>
        <v>49</v>
      </c>
      <c r="BL1065" s="20" t="str">
        <f>IF(DATA[[#This Row],[fecha_fs]]&gt;0,TEXT(DATA[[#This Row],[fecha_fs]],"YYYY"),0)</f>
        <v>2025</v>
      </c>
      <c r="BM1065" s="236" t="b">
        <v>1</v>
      </c>
      <c r="BN1065" s="278">
        <f>COUNTIF(DATA[[#This Row],[tiempo_td]], "&lt;=15")</f>
        <v>0</v>
      </c>
      <c r="BO1065" s="222"/>
    </row>
    <row r="1066" spans="1:67" ht="30.6" customHeight="1" x14ac:dyDescent="0.25">
      <c r="A1066" s="4">
        <v>20558353814</v>
      </c>
      <c r="B1066" s="5" t="s">
        <v>275</v>
      </c>
      <c r="C1066" s="52" t="s">
        <v>194</v>
      </c>
      <c r="D1066" s="4" t="s">
        <v>290</v>
      </c>
      <c r="E1066" s="5" t="s">
        <v>294</v>
      </c>
      <c r="F1066" s="24">
        <v>45887</v>
      </c>
      <c r="G1066" s="7" t="s">
        <v>142</v>
      </c>
      <c r="H1066" s="25">
        <f t="shared" ref="H1066:H1067" si="177">IF(G1066="","",IF(G1066="LIM",2,1))</f>
        <v>2</v>
      </c>
      <c r="I1066" s="67">
        <v>1125</v>
      </c>
      <c r="J1066" s="8" t="s">
        <v>115</v>
      </c>
      <c r="K1066" s="9" t="s">
        <v>195</v>
      </c>
      <c r="L1066" s="10" t="s">
        <v>117</v>
      </c>
      <c r="M1066" s="11">
        <v>5040</v>
      </c>
      <c r="N1066" s="12" t="s">
        <v>180</v>
      </c>
      <c r="O1066" s="6">
        <v>45889</v>
      </c>
      <c r="P1066" s="13">
        <v>3606</v>
      </c>
      <c r="Q1066" s="14" t="s">
        <v>85</v>
      </c>
      <c r="R1066" s="15">
        <f>350+((DATA[[#This Row],[cantidad_fs]]-5000)*0.07)</f>
        <v>352.8</v>
      </c>
      <c r="S1066" s="15">
        <f>1762</f>
        <v>1762</v>
      </c>
      <c r="T1066" s="237">
        <f>DATA[[#This Row],[C. DF]]+DATA[[#This Row],[C.OPE.]]</f>
        <v>2114.8000000000002</v>
      </c>
      <c r="U1066" s="15">
        <f>DATA[[#This Row],[SUB TOTAL]]*0.18</f>
        <v>380.66400000000004</v>
      </c>
      <c r="V1066" s="15">
        <f>IFERROR(ROUND(DATA[[#This Row],[SUB TOTAL]]+DATA[[#This Row],[IGV]],2),0)</f>
        <v>2495.46</v>
      </c>
      <c r="W1066" s="16" t="str">
        <f>IF(DATA[[#This Row],[VALORIZACIÓN ]]="-","NO CORRESPONDE",IF(OR(A1066=20558226979,A1066=10470707866,A1066=20111157058,A1066=20100226902),"NO CORRESPONDE",IF(J1066="Emitida",IF(P1066&gt;0,"EMITIDA","PENDIENTE"),"NO CORRESPONDE")))</f>
        <v>EMITIDA</v>
      </c>
      <c r="X1066" s="29"/>
      <c r="Y1066" s="17" t="s">
        <v>118</v>
      </c>
      <c r="Z1066" s="30">
        <v>45894</v>
      </c>
      <c r="AA1066" s="10" t="s">
        <v>150</v>
      </c>
      <c r="AB1066" s="19">
        <v>215</v>
      </c>
      <c r="AC1066" s="20">
        <v>5</v>
      </c>
      <c r="AD1066" s="18">
        <f>DATA[[#This Row],[FECHA DE EMISION]]+DATA[[#This Row],[CONDICION DE PAGO]]</f>
        <v>45899</v>
      </c>
      <c r="AE1066" s="23">
        <f>IF(DATA[[#This Row],[MONEDA]]="USD",VLOOKUP(DATA[[#This Row],[COMBINADA]],#REF!,11,0),1)</f>
        <v>1</v>
      </c>
      <c r="AF1066" s="129" t="str">
        <f>IF(DATA[[#This Row],[SERIE2]]="-","NO CORRESPONDE",IF(W1066="NO CORRESPONDE","NO CORRESPONDE",IF(Z1066&gt;0,"FACTURADO","PENDIENTE")))</f>
        <v>FACTURADO</v>
      </c>
      <c r="AG1066" s="133">
        <f>IFERROR(VLOOKUP(DATA[[#This Row],[COMBINADA]],#REF!,6,0),0)</f>
        <v>0</v>
      </c>
      <c r="AH1066" s="125">
        <f>IFERROR(VLOOKUP(DATA[[#This Row],[COMBINADA]],#REF!,9,0),0)/COUNTIFS(DATA[COMBINADA],DATA[[#This Row],[COMBINADA]])</f>
        <v>0</v>
      </c>
      <c r="AI1066" s="136">
        <f>IFERROR(VLOOKUP(DATA[[#This Row],[COMBINADA]],#REF!,6,0),0)</f>
        <v>0</v>
      </c>
      <c r="AJ1066" s="132">
        <f>IFERROR(VLOOKUP(DATA[[#This Row],[COMBINADA]],#REF!,9,0),0)/COUNTIFS(DATA[COMBINADA],DATA[[#This Row],[COMBINADA]])</f>
        <v>0</v>
      </c>
      <c r="AK1066" s="408">
        <f>IFERROR(VLOOKUP(DATA[[#This Row],[COMBINADA]],#REF!,6,0),0)</f>
        <v>0</v>
      </c>
      <c r="AL1066" s="125">
        <f>IFERROR(VLOOKUP(DATA[[#This Row],[COMBINADA]],#REF!,9,0),0)/COUNTIFS(DATA[COMBINADA],DATA[[#This Row],[COMBINADA]])</f>
        <v>0</v>
      </c>
      <c r="AM1066" s="133">
        <f>IFERROR(VLOOKUP(DATA[[#This Row],[COMBINADA]],#REF!,6,0),0)</f>
        <v>0</v>
      </c>
      <c r="AN1066" s="125">
        <f>IFERROR(VLOOKUP(DATA[[#This Row],[COMBINADA]],#REF!,9,0),0)/COUNTIFS(DATA[COMBINADA],DATA[[#This Row],[COMBINADA]])</f>
        <v>0</v>
      </c>
      <c r="AO1066" s="27">
        <f>IFERROR(VLOOKUP(DATA[[#This Row],[COMBINADA]],#REF!,6,0),0)</f>
        <v>0</v>
      </c>
      <c r="AP1066" s="132">
        <f>IFERROR(VLOOKUP(DATA[[#This Row],[COMBINADA]],#REF!,9,0),0)/COUNTIFS(DATA[COMBINADA],DATA[[#This Row],[COMBINADA]])</f>
        <v>0</v>
      </c>
      <c r="AQ106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2519.0050000000001</v>
      </c>
      <c r="AR1066" s="26" t="str">
        <f>IFERROR(IF(DATA[[#This Row],[estado_fact]]="FACTURADO",VLOOKUP(DATA[[#This Row],[SERIE2]]&amp;"-"&amp;DATA[[#This Row],[NUMERO]],#REF!,34,0),"NO CORRESPONDE"),"NO CORRESPONDE")</f>
        <v>NO CORRESPONDE</v>
      </c>
      <c r="AS1066" s="22" t="str">
        <f>IF(DATA[[#This Row],[fecha_fs]]&gt;0,TEXT(DATA[[#This Row],[fecha_fs]],"Mmmm"),0)</f>
        <v>Agosto</v>
      </c>
      <c r="AT1066" s="22" t="str">
        <f>DATA[[#This Row],[SERIE2]]&amp;"-"&amp;DATA[[#This Row],[NUMERO]]</f>
        <v>FF01-215</v>
      </c>
      <c r="AU1066" s="28">
        <f>DATA[[#This Row],[TOTAL]]*DATA[[#This Row],[T.C.]]</f>
        <v>2495.46</v>
      </c>
      <c r="AV1066" s="6">
        <f>DATA[[#This Row],[FECHA DE VAL.]]</f>
        <v>45889</v>
      </c>
      <c r="AW1066" s="6">
        <f>DATA[[#This Row],[FECHA DE EMISION]]</f>
        <v>45894</v>
      </c>
      <c r="AX1066" s="6">
        <f>DATA[[#This Row],[F1]]</f>
        <v>0</v>
      </c>
      <c r="AY1066" s="20">
        <f>IF(AV1066-DATA[[#This Row],[fecha_fs]]&lt;0,0,AV1066-DATA[[#This Row],[fecha_fs]])</f>
        <v>2</v>
      </c>
      <c r="AZ1066" s="20">
        <f t="shared" ref="AZ1066:AZ1067" si="178">IF(AW1066-AV1066&lt;0,0,AW1066-AV1066)</f>
        <v>5</v>
      </c>
      <c r="BA1066" s="53">
        <f t="shared" ref="BA1066:BA1067" si="179">IF(AX1066-AW1066&lt;0,0,AX1066-AW1066)</f>
        <v>0</v>
      </c>
      <c r="BB1066" s="195">
        <f>IFERROR(SUM(DATA[[#This Row],[fs_val_ttf]:[fact_pago_ttf]]),0)</f>
        <v>7</v>
      </c>
      <c r="BC1066" s="233">
        <v>45888</v>
      </c>
      <c r="BD1066" s="233">
        <v>45895</v>
      </c>
      <c r="BE1066" s="233">
        <v>45901</v>
      </c>
      <c r="BF1066" s="233">
        <v>45909</v>
      </c>
      <c r="BG1066" s="20">
        <f>IFERROR(IF(BC1066-DATA[[#This Row],[fecha_fs]]&lt;0,0,BC1066-DATA[[#This Row],[fecha_fs]]),0)</f>
        <v>1</v>
      </c>
      <c r="BH1066" s="20">
        <f t="shared" ref="BH1066:BH1067" si="180">IFERROR(IF(BD1066-BC1066&lt;0,0,BD1066-BC1066),0)</f>
        <v>7</v>
      </c>
      <c r="BI1066" s="20">
        <f t="shared" ref="BI1066:BI1067" si="181">IFERROR(IF(BE1066-BD1066&lt;0,0,BE1066-BD1066),0)</f>
        <v>6</v>
      </c>
      <c r="BJ1066" s="20">
        <f t="shared" ref="BJ1066:BJ1067" si="182">IFERROR(IF(BF1066-BE1066&lt;0,0,BF1066-BE1066),0)</f>
        <v>8</v>
      </c>
      <c r="BK1066" s="282">
        <f>IFERROR(SUM(DATA[[#This Row],[fs_fd_ttd]:[fend_fenf_ttd]]),0)</f>
        <v>22</v>
      </c>
      <c r="BL1066" s="20" t="str">
        <f>IF(DATA[[#This Row],[fecha_fs]]&gt;0,TEXT(DATA[[#This Row],[fecha_fs]],"YYYY"),0)</f>
        <v>2025</v>
      </c>
      <c r="BM1066" s="236" t="b">
        <v>1</v>
      </c>
      <c r="BN1066" s="278">
        <f>COUNTIF(DATA[[#This Row],[tiempo_td]], "&lt;=15")</f>
        <v>0</v>
      </c>
      <c r="BO1066" s="222"/>
    </row>
    <row r="1067" spans="1:67" ht="30.6" customHeight="1" x14ac:dyDescent="0.25">
      <c r="A1067" s="4">
        <v>20558353814</v>
      </c>
      <c r="B1067" s="5" t="s">
        <v>275</v>
      </c>
      <c r="C1067" s="52" t="s">
        <v>194</v>
      </c>
      <c r="D1067" s="4" t="s">
        <v>290</v>
      </c>
      <c r="E1067" s="5" t="s">
        <v>294</v>
      </c>
      <c r="F1067" s="24">
        <v>45887</v>
      </c>
      <c r="G1067" s="7" t="s">
        <v>142</v>
      </c>
      <c r="H1067" s="25">
        <f t="shared" si="177"/>
        <v>2</v>
      </c>
      <c r="I1067" s="67">
        <v>1126</v>
      </c>
      <c r="J1067" s="8" t="s">
        <v>115</v>
      </c>
      <c r="K1067" s="9" t="s">
        <v>195</v>
      </c>
      <c r="L1067" s="10" t="s">
        <v>117</v>
      </c>
      <c r="M1067" s="11">
        <v>5610</v>
      </c>
      <c r="N1067" s="12" t="s">
        <v>180</v>
      </c>
      <c r="O1067" s="6">
        <v>45889</v>
      </c>
      <c r="P1067" s="13">
        <v>3606</v>
      </c>
      <c r="Q1067" s="14" t="s">
        <v>85</v>
      </c>
      <c r="R1067" s="15">
        <f>350+((DATA[[#This Row],[cantidad_fs]]-5000)*0.07)</f>
        <v>392.7</v>
      </c>
      <c r="S1067" s="15">
        <f>1762</f>
        <v>1762</v>
      </c>
      <c r="T1067" s="237">
        <f>DATA[[#This Row],[C. DF]]+DATA[[#This Row],[C.OPE.]]</f>
        <v>2154.6999999999998</v>
      </c>
      <c r="U1067" s="15">
        <f>DATA[[#This Row],[SUB TOTAL]]*0.18</f>
        <v>387.84599999999995</v>
      </c>
      <c r="V1067" s="15">
        <f>IFERROR(ROUND(DATA[[#This Row],[SUB TOTAL]]+DATA[[#This Row],[IGV]],2),0)</f>
        <v>2542.5500000000002</v>
      </c>
      <c r="W1067" s="16" t="str">
        <f>IF(DATA[[#This Row],[VALORIZACIÓN ]]="-","NO CORRESPONDE",IF(OR(A1067=20558226979,A1067=10470707866,A1067=20111157058,A1067=20100226902),"NO CORRESPONDE",IF(J1067="Emitida",IF(P1067&gt;0,"EMITIDA","PENDIENTE"),"NO CORRESPONDE")))</f>
        <v>EMITIDA</v>
      </c>
      <c r="X1067" s="29"/>
      <c r="Y1067" s="17" t="s">
        <v>118</v>
      </c>
      <c r="Z1067" s="30">
        <v>45894</v>
      </c>
      <c r="AA1067" s="10" t="s">
        <v>150</v>
      </c>
      <c r="AB1067" s="19">
        <v>215</v>
      </c>
      <c r="AC1067" s="20">
        <v>5</v>
      </c>
      <c r="AD1067" s="18">
        <f>DATA[[#This Row],[FECHA DE EMISION]]+DATA[[#This Row],[CONDICION DE PAGO]]</f>
        <v>45899</v>
      </c>
      <c r="AE1067" s="23">
        <f>IF(DATA[[#This Row],[MONEDA]]="USD",VLOOKUP(DATA[[#This Row],[COMBINADA]],#REF!,11,0),1)</f>
        <v>1</v>
      </c>
      <c r="AF1067" s="129" t="str">
        <f>IF(DATA[[#This Row],[SERIE2]]="-","NO CORRESPONDE",IF(W1067="NO CORRESPONDE","NO CORRESPONDE",IF(Z1067&gt;0,"FACTURADO","PENDIENTE")))</f>
        <v>FACTURADO</v>
      </c>
      <c r="AG1067" s="133">
        <f>IFERROR(VLOOKUP(DATA[[#This Row],[COMBINADA]],#REF!,6,0),0)</f>
        <v>0</v>
      </c>
      <c r="AH1067" s="125">
        <f>IFERROR(VLOOKUP(DATA[[#This Row],[COMBINADA]],#REF!,9,0),0)/COUNTIFS(DATA[COMBINADA],DATA[[#This Row],[COMBINADA]])</f>
        <v>0</v>
      </c>
      <c r="AI1067" s="136">
        <f>IFERROR(VLOOKUP(DATA[[#This Row],[COMBINADA]],#REF!,6,0),0)</f>
        <v>0</v>
      </c>
      <c r="AJ1067" s="132">
        <f>IFERROR(VLOOKUP(DATA[[#This Row],[COMBINADA]],#REF!,9,0),0)/COUNTIFS(DATA[COMBINADA],DATA[[#This Row],[COMBINADA]])</f>
        <v>0</v>
      </c>
      <c r="AK1067" s="408">
        <f>IFERROR(VLOOKUP(DATA[[#This Row],[COMBINADA]],#REF!,6,0),0)</f>
        <v>0</v>
      </c>
      <c r="AL1067" s="125">
        <f>IFERROR(VLOOKUP(DATA[[#This Row],[COMBINADA]],#REF!,9,0),0)/COUNTIFS(DATA[COMBINADA],DATA[[#This Row],[COMBINADA]])</f>
        <v>0</v>
      </c>
      <c r="AM1067" s="133">
        <f>IFERROR(VLOOKUP(DATA[[#This Row],[COMBINADA]],#REF!,6,0),0)</f>
        <v>0</v>
      </c>
      <c r="AN1067" s="125">
        <f>IFERROR(VLOOKUP(DATA[[#This Row],[COMBINADA]],#REF!,9,0),0)/COUNTIFS(DATA[COMBINADA],DATA[[#This Row],[COMBINADA]])</f>
        <v>0</v>
      </c>
      <c r="AO1067" s="27">
        <f>IFERROR(VLOOKUP(DATA[[#This Row],[COMBINADA]],#REF!,6,0),0)</f>
        <v>0</v>
      </c>
      <c r="AP1067" s="132">
        <f>IFERROR(VLOOKUP(DATA[[#This Row],[COMBINADA]],#REF!,9,0),0)/COUNTIFS(DATA[COMBINADA],DATA[[#This Row],[COMBINADA]])</f>
        <v>0</v>
      </c>
      <c r="AQ106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2519.0050000000001</v>
      </c>
      <c r="AR1067" s="26" t="str">
        <f>IFERROR(IF(DATA[[#This Row],[estado_fact]]="FACTURADO",VLOOKUP(DATA[[#This Row],[SERIE2]]&amp;"-"&amp;DATA[[#This Row],[NUMERO]],#REF!,34,0),"NO CORRESPONDE"),"NO CORRESPONDE")</f>
        <v>NO CORRESPONDE</v>
      </c>
      <c r="AS1067" s="22" t="str">
        <f>IF(DATA[[#This Row],[fecha_fs]]&gt;0,TEXT(DATA[[#This Row],[fecha_fs]],"Mmmm"),0)</f>
        <v>Agosto</v>
      </c>
      <c r="AT1067" s="22" t="str">
        <f>DATA[[#This Row],[SERIE2]]&amp;"-"&amp;DATA[[#This Row],[NUMERO]]</f>
        <v>FF01-215</v>
      </c>
      <c r="AU1067" s="28">
        <f>DATA[[#This Row],[TOTAL]]*DATA[[#This Row],[T.C.]]</f>
        <v>2542.5500000000002</v>
      </c>
      <c r="AV1067" s="6">
        <f>DATA[[#This Row],[FECHA DE VAL.]]</f>
        <v>45889</v>
      </c>
      <c r="AW1067" s="6">
        <f>DATA[[#This Row],[FECHA DE EMISION]]</f>
        <v>45894</v>
      </c>
      <c r="AX1067" s="6">
        <f>DATA[[#This Row],[F1]]</f>
        <v>0</v>
      </c>
      <c r="AY1067" s="20">
        <f>IF(AV1067-DATA[[#This Row],[fecha_fs]]&lt;0,0,AV1067-DATA[[#This Row],[fecha_fs]])</f>
        <v>2</v>
      </c>
      <c r="AZ1067" s="20">
        <f t="shared" si="178"/>
        <v>5</v>
      </c>
      <c r="BA1067" s="53">
        <f t="shared" si="179"/>
        <v>0</v>
      </c>
      <c r="BB1067" s="195">
        <f>IFERROR(SUM(DATA[[#This Row],[fs_val_ttf]:[fact_pago_ttf]]),0)</f>
        <v>7</v>
      </c>
      <c r="BC1067" s="233">
        <v>45887</v>
      </c>
      <c r="BD1067" s="233">
        <v>45895</v>
      </c>
      <c r="BE1067" s="233">
        <v>45901</v>
      </c>
      <c r="BF1067" s="233">
        <v>45909</v>
      </c>
      <c r="BG1067" s="20">
        <f>IFERROR(IF(BC1067-DATA[[#This Row],[fecha_fs]]&lt;0,0,BC1067-DATA[[#This Row],[fecha_fs]]),0)</f>
        <v>0</v>
      </c>
      <c r="BH1067" s="20">
        <f t="shared" si="180"/>
        <v>8</v>
      </c>
      <c r="BI1067" s="20">
        <f t="shared" si="181"/>
        <v>6</v>
      </c>
      <c r="BJ1067" s="20">
        <f t="shared" si="182"/>
        <v>8</v>
      </c>
      <c r="BK1067" s="282">
        <f>IFERROR(SUM(DATA[[#This Row],[fs_fd_ttd]:[fend_fenf_ttd]]),0)</f>
        <v>22</v>
      </c>
      <c r="BL1067" s="20" t="str">
        <f>IF(DATA[[#This Row],[fecha_fs]]&gt;0,TEXT(DATA[[#This Row],[fecha_fs]],"YYYY"),0)</f>
        <v>2025</v>
      </c>
      <c r="BM1067" s="236" t="b">
        <v>1</v>
      </c>
      <c r="BN1067" s="278">
        <f>COUNTIF(DATA[[#This Row],[tiempo_td]], "&lt;=15")</f>
        <v>0</v>
      </c>
      <c r="BO1067" s="222"/>
    </row>
    <row r="1068" spans="1:67" ht="30.6" customHeight="1" x14ac:dyDescent="0.25">
      <c r="A1068" s="4">
        <v>20100055237</v>
      </c>
      <c r="B1068" s="5" t="s">
        <v>21</v>
      </c>
      <c r="C1068" s="52" t="s">
        <v>138</v>
      </c>
      <c r="D1068" s="4" t="s">
        <v>139</v>
      </c>
      <c r="E1068" s="5" t="s">
        <v>23</v>
      </c>
      <c r="F1068" s="24">
        <v>45888</v>
      </c>
      <c r="G1068" s="7" t="s">
        <v>113</v>
      </c>
      <c r="H1068" s="25">
        <f t="shared" si="174"/>
        <v>1</v>
      </c>
      <c r="I1068" s="67">
        <v>4880</v>
      </c>
      <c r="J1068" s="8" t="s">
        <v>115</v>
      </c>
      <c r="K1068" s="9" t="s">
        <v>121</v>
      </c>
      <c r="L1068" s="10" t="s">
        <v>117</v>
      </c>
      <c r="M1068" s="11">
        <v>80</v>
      </c>
      <c r="N1068" s="12" t="s">
        <v>167</v>
      </c>
      <c r="O1068" s="6">
        <v>45898</v>
      </c>
      <c r="P1068" s="54">
        <v>3640</v>
      </c>
      <c r="Q1068" s="14" t="s">
        <v>85</v>
      </c>
      <c r="R1068" s="15"/>
      <c r="S1068" s="15">
        <v>297.92</v>
      </c>
      <c r="T1068" s="237">
        <f>DATA[[#This Row],[C. DF]]+DATA[[#This Row],[C.OPE.]]</f>
        <v>297.92</v>
      </c>
      <c r="U1068" s="15">
        <f>DATA[[#This Row],[SUB TOTAL]]*0.18</f>
        <v>53.625599999999999</v>
      </c>
      <c r="V1068" s="15">
        <f>IFERROR(ROUND(DATA[[#This Row],[SUB TOTAL]]+DATA[[#This Row],[IGV]],2),0)</f>
        <v>351.55</v>
      </c>
      <c r="W1068" s="16" t="str">
        <f>IF(DATA[[#This Row],[VALORIZACIÓN ]]="-","NO CORRESPONDE",IF(OR(A1068=20558226979,A1068=10470707866,A1068=20111157058,A1068=20100226902),"NO CORRESPONDE",IF(J1068="Emitida",IF(P1068&gt;0,"EMITIDA","PENDIENTE"),"NO CORRESPONDE")))</f>
        <v>EMITIDA</v>
      </c>
      <c r="X1068" s="29" t="s">
        <v>379</v>
      </c>
      <c r="Y1068" s="17" t="s">
        <v>118</v>
      </c>
      <c r="Z1068" s="30">
        <v>45971</v>
      </c>
      <c r="AA1068" s="10" t="s">
        <v>150</v>
      </c>
      <c r="AB1068" s="19">
        <v>350</v>
      </c>
      <c r="AC1068" s="20">
        <v>30</v>
      </c>
      <c r="AD1068" s="18">
        <f>DATA[[#This Row],[FECHA DE EMISION]]+DATA[[#This Row],[CONDICION DE PAGO]]</f>
        <v>46001</v>
      </c>
      <c r="AE1068" s="23">
        <f>IF(DATA[[#This Row],[MONEDA]]="USD",VLOOKUP(DATA[[#This Row],[COMBINADA]],#REF!,11,0),1)</f>
        <v>1</v>
      </c>
      <c r="AF1068" s="129" t="str">
        <f>IF(DATA[[#This Row],[SERIE2]]="-","NO CORRESPONDE",IF(W1068="NO CORRESPONDE","NO CORRESPONDE",IF(Z1068&gt;0,"FACTURADO","PENDIENTE")))</f>
        <v>FACTURADO</v>
      </c>
      <c r="AG1068" s="133">
        <f>IFERROR(VLOOKUP(DATA[[#This Row],[COMBINADA]],#REF!,6,0),0)</f>
        <v>0</v>
      </c>
      <c r="AH1068" s="125">
        <f>IFERROR(VLOOKUP(DATA[[#This Row],[COMBINADA]],#REF!,9,0),0)/COUNTIFS(DATA[COMBINADA],DATA[[#This Row],[COMBINADA]])</f>
        <v>0</v>
      </c>
      <c r="AI1068" s="136">
        <f>IFERROR(VLOOKUP(DATA[[#This Row],[COMBINADA]],#REF!,6,0),0)</f>
        <v>0</v>
      </c>
      <c r="AJ1068" s="132">
        <f>IFERROR(VLOOKUP(DATA[[#This Row],[COMBINADA]],#REF!,9,0),0)/COUNTIFS(DATA[COMBINADA],DATA[[#This Row],[COMBINADA]])</f>
        <v>0</v>
      </c>
      <c r="AK1068" s="408">
        <f>IFERROR(VLOOKUP(DATA[[#This Row],[COMBINADA]],#REF!,6,0),0)</f>
        <v>0</v>
      </c>
      <c r="AL1068" s="125">
        <f>IFERROR(VLOOKUP(DATA[[#This Row],[COMBINADA]],#REF!,9,0),0)/COUNTIFS(DATA[COMBINADA],DATA[[#This Row],[COMBINADA]])</f>
        <v>0</v>
      </c>
      <c r="AM1068" s="133">
        <f>IFERROR(VLOOKUP(DATA[[#This Row],[COMBINADA]],#REF!,6,0),0)</f>
        <v>0</v>
      </c>
      <c r="AN1068" s="125">
        <f>IFERROR(VLOOKUP(DATA[[#This Row],[COMBINADA]],#REF!,9,0),0)/COUNTIFS(DATA[COMBINADA],DATA[[#This Row],[COMBINADA]])</f>
        <v>0</v>
      </c>
      <c r="AO1068" s="27">
        <f>IFERROR(VLOOKUP(DATA[[#This Row],[COMBINADA]],#REF!,6,0),0)</f>
        <v>0</v>
      </c>
      <c r="AP1068" s="132">
        <f>IFERROR(VLOOKUP(DATA[[#This Row],[COMBINADA]],#REF!,9,0),0)/COUNTIFS(DATA[COMBINADA],DATA[[#This Row],[COMBINADA]])</f>
        <v>0</v>
      </c>
      <c r="AQ106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068" s="26" t="str">
        <f>IFERROR(IF(DATA[[#This Row],[estado_fact]]="FACTURADO",VLOOKUP(DATA[[#This Row],[SERIE2]]&amp;"-"&amp;DATA[[#This Row],[NUMERO]],#REF!,34,0),"NO CORRESPONDE"),"NO CORRESPONDE")</f>
        <v>NO CORRESPONDE</v>
      </c>
      <c r="AS1068" s="22" t="str">
        <f>IF(DATA[[#This Row],[fecha_fs]]&gt;0,TEXT(DATA[[#This Row],[fecha_fs]],"Mmmm"),0)</f>
        <v>Agosto</v>
      </c>
      <c r="AT1068" s="22" t="str">
        <f>DATA[[#This Row],[SERIE2]]&amp;"-"&amp;DATA[[#This Row],[NUMERO]]</f>
        <v>FF01-350</v>
      </c>
      <c r="AU1068" s="28">
        <f>DATA[[#This Row],[TOTAL]]*DATA[[#This Row],[T.C.]]</f>
        <v>351.55</v>
      </c>
      <c r="AV1068" s="6">
        <f>DATA[[#This Row],[FECHA DE VAL.]]</f>
        <v>45898</v>
      </c>
      <c r="AW1068" s="6">
        <f>DATA[[#This Row],[FECHA DE EMISION]]</f>
        <v>45971</v>
      </c>
      <c r="AX1068" s="6">
        <f>DATA[[#This Row],[F1]]</f>
        <v>0</v>
      </c>
      <c r="AY1068" s="20">
        <f>IF(AV1068-DATA[[#This Row],[fecha_fs]]&lt;0,0,AV1068-DATA[[#This Row],[fecha_fs]])</f>
        <v>10</v>
      </c>
      <c r="AZ1068" s="20">
        <f t="shared" si="175"/>
        <v>73</v>
      </c>
      <c r="BA1068" s="53">
        <f t="shared" si="176"/>
        <v>0</v>
      </c>
      <c r="BB1068" s="195">
        <f>IFERROR(SUM(DATA[[#This Row],[fs_val_ttf]:[fact_pago_ttf]]),0)</f>
        <v>83</v>
      </c>
      <c r="BC1068" s="233">
        <v>45888</v>
      </c>
      <c r="BD1068" s="233">
        <v>45888</v>
      </c>
      <c r="BE1068" s="233">
        <v>45898</v>
      </c>
      <c r="BF1068" s="233">
        <v>45898</v>
      </c>
      <c r="BG1068" s="20">
        <f>IFERROR(IF(BC1068-DATA[[#This Row],[fecha_fs]]&lt;0,0,BC1068-DATA[[#This Row],[fecha_fs]]),0)</f>
        <v>0</v>
      </c>
      <c r="BH1068" s="20">
        <f t="shared" si="143"/>
        <v>0</v>
      </c>
      <c r="BI1068" s="20">
        <f t="shared" si="144"/>
        <v>10</v>
      </c>
      <c r="BJ1068" s="20">
        <f t="shared" si="145"/>
        <v>0</v>
      </c>
      <c r="BK1068" s="282">
        <f>IFERROR(SUM(DATA[[#This Row],[fs_fd_ttd]:[fend_fenf_ttd]]),0)</f>
        <v>10</v>
      </c>
      <c r="BL1068" s="20" t="str">
        <f>IF(DATA[[#This Row],[fecha_fs]]&gt;0,TEXT(DATA[[#This Row],[fecha_fs]],"YYYY"),0)</f>
        <v>2025</v>
      </c>
      <c r="BM1068" s="236" t="b">
        <v>1</v>
      </c>
      <c r="BN1068" s="278">
        <f>COUNTIF(DATA[[#This Row],[tiempo_td]], "&lt;=15")</f>
        <v>1</v>
      </c>
      <c r="BO1068" s="222"/>
    </row>
    <row r="1069" spans="1:67" ht="30.6" customHeight="1" x14ac:dyDescent="0.25">
      <c r="A1069" s="4">
        <v>20100211115</v>
      </c>
      <c r="B1069" s="5" t="s">
        <v>41</v>
      </c>
      <c r="C1069" s="52" t="s">
        <v>18</v>
      </c>
      <c r="D1069" s="4" t="s">
        <v>120</v>
      </c>
      <c r="E1069" s="5" t="s">
        <v>3</v>
      </c>
      <c r="F1069" s="24">
        <v>45888</v>
      </c>
      <c r="G1069" s="7" t="s">
        <v>113</v>
      </c>
      <c r="H1069" s="25">
        <f t="shared" si="174"/>
        <v>1</v>
      </c>
      <c r="I1069" s="67">
        <v>4881</v>
      </c>
      <c r="J1069" s="8" t="s">
        <v>115</v>
      </c>
      <c r="K1069" s="9" t="s">
        <v>163</v>
      </c>
      <c r="L1069" s="10" t="s">
        <v>117</v>
      </c>
      <c r="M1069" s="11">
        <v>750</v>
      </c>
      <c r="N1069" s="12" t="s">
        <v>132</v>
      </c>
      <c r="O1069" s="6">
        <v>45894</v>
      </c>
      <c r="P1069" s="115">
        <v>3626</v>
      </c>
      <c r="Q1069" s="14" t="s">
        <v>85</v>
      </c>
      <c r="R1069" s="74"/>
      <c r="S1069" s="15">
        <f>DATA[[#This Row],[cantidad_fs]]*0.72</f>
        <v>540</v>
      </c>
      <c r="T1069" s="237">
        <f>DATA[[#This Row],[C. DF]]+DATA[[#This Row],[C.OPE.]]</f>
        <v>540</v>
      </c>
      <c r="U1069" s="15">
        <f>DATA[[#This Row],[SUB TOTAL]]*0.18</f>
        <v>97.2</v>
      </c>
      <c r="V1069" s="15">
        <f>IFERROR(ROUND(DATA[[#This Row],[SUB TOTAL]]+DATA[[#This Row],[IGV]],2),0)</f>
        <v>637.20000000000005</v>
      </c>
      <c r="W1069" s="16" t="str">
        <f>IF(DATA[[#This Row],[VALORIZACIÓN ]]="-","NO CORRESPONDE",IF(OR(A1069=20558226979,A1069=10470707866,A1069=20111157058,A1069=20100226902),"NO CORRESPONDE",IF(J1069="Emitida",IF(P1069&gt;0,"EMITIDA","PENDIENTE"),"NO CORRESPONDE")))</f>
        <v>EMITIDA</v>
      </c>
      <c r="X1069" s="29"/>
      <c r="Y1069" s="17" t="s">
        <v>118</v>
      </c>
      <c r="Z1069" s="30">
        <v>45896</v>
      </c>
      <c r="AA1069" s="10" t="s">
        <v>150</v>
      </c>
      <c r="AB1069" s="19">
        <v>226</v>
      </c>
      <c r="AC1069" s="20">
        <v>30</v>
      </c>
      <c r="AD1069" s="18">
        <f>DATA[[#This Row],[FECHA DE EMISION]]+DATA[[#This Row],[CONDICION DE PAGO]]</f>
        <v>45926</v>
      </c>
      <c r="AE1069" s="23">
        <f>IF(DATA[[#This Row],[MONEDA]]="USD",VLOOKUP(DATA[[#This Row],[COMBINADA]],#REF!,11,0),1)</f>
        <v>1</v>
      </c>
      <c r="AF1069" s="129" t="str">
        <f>IF(DATA[[#This Row],[SERIE2]]="-","NO CORRESPONDE",IF(W1069="NO CORRESPONDE","NO CORRESPONDE",IF(Z1069&gt;0,"FACTURADO","PENDIENTE")))</f>
        <v>FACTURADO</v>
      </c>
      <c r="AG1069" s="133">
        <f>IFERROR(VLOOKUP(DATA[[#This Row],[COMBINADA]],#REF!,6,0),0)</f>
        <v>0</v>
      </c>
      <c r="AH1069" s="125">
        <f>IFERROR(VLOOKUP(DATA[[#This Row],[COMBINADA]],#REF!,9,0),0)/COUNTIFS(DATA[COMBINADA],DATA[[#This Row],[COMBINADA]])</f>
        <v>0</v>
      </c>
      <c r="AI1069" s="136">
        <f>IFERROR(VLOOKUP(DATA[[#This Row],[COMBINADA]],#REF!,6,0),0)</f>
        <v>0</v>
      </c>
      <c r="AJ1069" s="132">
        <f>IFERROR(VLOOKUP(DATA[[#This Row],[COMBINADA]],#REF!,9,0),0)/COUNTIFS(DATA[COMBINADA],DATA[[#This Row],[COMBINADA]])</f>
        <v>0</v>
      </c>
      <c r="AK1069" s="408">
        <f>IFERROR(VLOOKUP(DATA[[#This Row],[COMBINADA]],#REF!,6,0),0)</f>
        <v>0</v>
      </c>
      <c r="AL1069" s="125">
        <f>IFERROR(VLOOKUP(DATA[[#This Row],[COMBINADA]],#REF!,9,0),0)/COUNTIFS(DATA[COMBINADA],DATA[[#This Row],[COMBINADA]])</f>
        <v>0</v>
      </c>
      <c r="AM1069" s="133">
        <f>IFERROR(VLOOKUP(DATA[[#This Row],[COMBINADA]],#REF!,6,0),0)</f>
        <v>0</v>
      </c>
      <c r="AN1069" s="125">
        <f>IFERROR(VLOOKUP(DATA[[#This Row],[COMBINADA]],#REF!,9,0),0)/COUNTIFS(DATA[COMBINADA],DATA[[#This Row],[COMBINADA]])</f>
        <v>0</v>
      </c>
      <c r="AO1069" s="27">
        <f>IFERROR(VLOOKUP(DATA[[#This Row],[COMBINADA]],#REF!,6,0),0)</f>
        <v>0</v>
      </c>
      <c r="AP1069" s="132">
        <f>IFERROR(VLOOKUP(DATA[[#This Row],[COMBINADA]],#REF!,9,0),0)/COUNTIFS(DATA[COMBINADA],DATA[[#This Row],[COMBINADA]])</f>
        <v>0</v>
      </c>
      <c r="AQ106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820.71500000000003</v>
      </c>
      <c r="AR1069" s="26" t="str">
        <f>IFERROR(IF(DATA[[#This Row],[estado_fact]]="FACTURADO",VLOOKUP(DATA[[#This Row],[SERIE2]]&amp;"-"&amp;DATA[[#This Row],[NUMERO]],#REF!,34,0),"NO CORRESPONDE"),"NO CORRESPONDE")</f>
        <v>NO CORRESPONDE</v>
      </c>
      <c r="AS1069" s="22" t="str">
        <f>IF(DATA[[#This Row],[fecha_fs]]&gt;0,TEXT(DATA[[#This Row],[fecha_fs]],"Mmmm"),0)</f>
        <v>Agosto</v>
      </c>
      <c r="AT1069" s="22" t="str">
        <f>DATA[[#This Row],[SERIE2]]&amp;"-"&amp;DATA[[#This Row],[NUMERO]]</f>
        <v>FF01-226</v>
      </c>
      <c r="AU1069" s="28">
        <f>DATA[[#This Row],[TOTAL]]*DATA[[#This Row],[T.C.]]</f>
        <v>637.20000000000005</v>
      </c>
      <c r="AV1069" s="6">
        <f>DATA[[#This Row],[FECHA DE VAL.]]</f>
        <v>45894</v>
      </c>
      <c r="AW1069" s="6">
        <f>DATA[[#This Row],[FECHA DE EMISION]]</f>
        <v>45896</v>
      </c>
      <c r="AX1069" s="6">
        <f>DATA[[#This Row],[F1]]</f>
        <v>0</v>
      </c>
      <c r="AY1069" s="20">
        <f>IF(AV1069-DATA[[#This Row],[fecha_fs]]&lt;0,0,AV1069-DATA[[#This Row],[fecha_fs]])</f>
        <v>6</v>
      </c>
      <c r="AZ1069" s="20">
        <f t="shared" si="175"/>
        <v>2</v>
      </c>
      <c r="BA1069" s="53">
        <f t="shared" si="176"/>
        <v>0</v>
      </c>
      <c r="BB1069" s="195">
        <f>IFERROR(SUM(DATA[[#This Row],[fs_val_ttf]:[fact_pago_ttf]]),0)</f>
        <v>8</v>
      </c>
      <c r="BC1069" s="233">
        <v>45903</v>
      </c>
      <c r="BD1069" s="233">
        <v>45905</v>
      </c>
      <c r="BE1069" s="233">
        <v>45908</v>
      </c>
      <c r="BF1069" s="233">
        <v>45911</v>
      </c>
      <c r="BG1069" s="20">
        <f>IFERROR(IF(BC1069-DATA[[#This Row],[fecha_fs]]&lt;0,0,BC1069-DATA[[#This Row],[fecha_fs]]),0)</f>
        <v>15</v>
      </c>
      <c r="BH1069" s="20">
        <f t="shared" si="143"/>
        <v>2</v>
      </c>
      <c r="BI1069" s="20">
        <f t="shared" si="144"/>
        <v>3</v>
      </c>
      <c r="BJ1069" s="20">
        <f t="shared" si="145"/>
        <v>3</v>
      </c>
      <c r="BK1069" s="282">
        <f>IFERROR(SUM(DATA[[#This Row],[fs_fd_ttd]:[fend_fenf_ttd]]),0)</f>
        <v>23</v>
      </c>
      <c r="BL1069" s="20" t="str">
        <f>IF(DATA[[#This Row],[fecha_fs]]&gt;0,TEXT(DATA[[#This Row],[fecha_fs]],"YYYY"),0)</f>
        <v>2025</v>
      </c>
      <c r="BM1069" s="236" t="b">
        <v>1</v>
      </c>
      <c r="BN1069" s="278">
        <f>COUNTIF(DATA[[#This Row],[tiempo_td]], "&lt;=15")</f>
        <v>0</v>
      </c>
      <c r="BO1069" s="222"/>
    </row>
    <row r="1070" spans="1:67" ht="30.6" customHeight="1" x14ac:dyDescent="0.25">
      <c r="A1070" s="4">
        <v>20505675836</v>
      </c>
      <c r="B1070" s="5" t="s">
        <v>42</v>
      </c>
      <c r="C1070" s="52" t="s">
        <v>20</v>
      </c>
      <c r="D1070" s="4" t="s">
        <v>112</v>
      </c>
      <c r="E1070" s="5" t="s">
        <v>1</v>
      </c>
      <c r="F1070" s="24">
        <v>45888</v>
      </c>
      <c r="G1070" s="7" t="s">
        <v>113</v>
      </c>
      <c r="H1070" s="25">
        <f t="shared" ref="H1070:H1074" si="183">IF(G1070="","",IF(G1070="LIM",2,1))</f>
        <v>1</v>
      </c>
      <c r="I1070" s="67">
        <v>4882</v>
      </c>
      <c r="J1070" s="8" t="s">
        <v>115</v>
      </c>
      <c r="K1070" s="9" t="s">
        <v>116</v>
      </c>
      <c r="L1070" s="10" t="s">
        <v>117</v>
      </c>
      <c r="M1070" s="11">
        <v>550</v>
      </c>
      <c r="N1070" s="12" t="s">
        <v>125</v>
      </c>
      <c r="O1070" s="6">
        <v>45896</v>
      </c>
      <c r="P1070" s="71">
        <v>3631</v>
      </c>
      <c r="Q1070" s="14" t="s">
        <v>85</v>
      </c>
      <c r="R1070" s="74"/>
      <c r="S1070" s="56">
        <v>1988.35</v>
      </c>
      <c r="T1070" s="237">
        <f>DATA[[#This Row],[C. DF]]+DATA[[#This Row],[C.OPE.]]</f>
        <v>1988.35</v>
      </c>
      <c r="U1070" s="15">
        <f>DATA[[#This Row],[SUB TOTAL]]*0.18</f>
        <v>357.90299999999996</v>
      </c>
      <c r="V1070" s="15">
        <f>IFERROR(ROUND(DATA[[#This Row],[SUB TOTAL]]+DATA[[#This Row],[IGV]],2),0)</f>
        <v>2346.25</v>
      </c>
      <c r="W1070" s="16" t="str">
        <f>IF(DATA[[#This Row],[VALORIZACIÓN ]]="-","NO CORRESPONDE",IF(OR(A1070=20558226979,A1070=10470707866,A1070=20111157058,A1070=20100226902),"NO CORRESPONDE",IF(J1070="Emitida",IF(P1070&gt;0,"EMITIDA","PENDIENTE"),"NO CORRESPONDE")))</f>
        <v>EMITIDA</v>
      </c>
      <c r="X1070" s="29"/>
      <c r="Y1070" s="17" t="s">
        <v>118</v>
      </c>
      <c r="Z1070" s="30">
        <v>45922</v>
      </c>
      <c r="AA1070" s="10" t="s">
        <v>150</v>
      </c>
      <c r="AB1070" s="19">
        <v>261</v>
      </c>
      <c r="AC1070" s="20">
        <v>30</v>
      </c>
      <c r="AD1070" s="18">
        <f>DATA[[#This Row],[FECHA DE EMISION]]+DATA[[#This Row],[CONDICION DE PAGO]]</f>
        <v>45952</v>
      </c>
      <c r="AE1070" s="23">
        <f>IF(DATA[[#This Row],[MONEDA]]="USD",VLOOKUP(DATA[[#This Row],[COMBINADA]],#REF!,11,0),1)</f>
        <v>1</v>
      </c>
      <c r="AF1070" s="129" t="str">
        <f>IF(DATA[[#This Row],[SERIE2]]="-","NO CORRESPONDE",IF(W1070="NO CORRESPONDE","NO CORRESPONDE",IF(Z1070&gt;0,"FACTURADO","PENDIENTE")))</f>
        <v>FACTURADO</v>
      </c>
      <c r="AG1070" s="133">
        <f>IFERROR(VLOOKUP(DATA[[#This Row],[COMBINADA]],#REF!,6,0),0)</f>
        <v>0</v>
      </c>
      <c r="AH1070" s="125">
        <f>IFERROR(VLOOKUP(DATA[[#This Row],[COMBINADA]],#REF!,9,0),0)/COUNTIFS(DATA[COMBINADA],DATA[[#This Row],[COMBINADA]])</f>
        <v>0</v>
      </c>
      <c r="AI1070" s="136">
        <f>IFERROR(VLOOKUP(DATA[[#This Row],[COMBINADA]],#REF!,6,0),0)</f>
        <v>0</v>
      </c>
      <c r="AJ1070" s="132">
        <f>IFERROR(VLOOKUP(DATA[[#This Row],[COMBINADA]],#REF!,9,0),0)/COUNTIFS(DATA[COMBINADA],DATA[[#This Row],[COMBINADA]])</f>
        <v>0</v>
      </c>
      <c r="AK1070" s="408">
        <f>IFERROR(VLOOKUP(DATA[[#This Row],[COMBINADA]],#REF!,6,0),0)</f>
        <v>0</v>
      </c>
      <c r="AL1070" s="125">
        <f>IFERROR(VLOOKUP(DATA[[#This Row],[COMBINADA]],#REF!,9,0),0)/COUNTIFS(DATA[COMBINADA],DATA[[#This Row],[COMBINADA]])</f>
        <v>0</v>
      </c>
      <c r="AM1070" s="133">
        <f>IFERROR(VLOOKUP(DATA[[#This Row],[COMBINADA]],#REF!,6,0),0)</f>
        <v>0</v>
      </c>
      <c r="AN1070" s="125">
        <f>IFERROR(VLOOKUP(DATA[[#This Row],[COMBINADA]],#REF!,9,0),0)/COUNTIFS(DATA[COMBINADA],DATA[[#This Row],[COMBINADA]])</f>
        <v>0</v>
      </c>
      <c r="AO1070" s="27">
        <f>IFERROR(VLOOKUP(DATA[[#This Row],[COMBINADA]],#REF!,6,0),0)</f>
        <v>0</v>
      </c>
      <c r="AP1070" s="132">
        <f>IFERROR(VLOOKUP(DATA[[#This Row],[COMBINADA]],#REF!,9,0),0)/COUNTIFS(DATA[COMBINADA],DATA[[#This Row],[COMBINADA]])</f>
        <v>0</v>
      </c>
      <c r="AQ107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2110.0466666666666</v>
      </c>
      <c r="AR1070" s="26" t="str">
        <f>IFERROR(IF(DATA[[#This Row],[estado_fact]]="FACTURADO",VLOOKUP(DATA[[#This Row],[SERIE2]]&amp;"-"&amp;DATA[[#This Row],[NUMERO]],#REF!,34,0),"NO CORRESPONDE"),"NO CORRESPONDE")</f>
        <v>NO CORRESPONDE</v>
      </c>
      <c r="AS1070" s="22" t="str">
        <f>IF(DATA[[#This Row],[fecha_fs]]&gt;0,TEXT(DATA[[#This Row],[fecha_fs]],"Mmmm"),0)</f>
        <v>Agosto</v>
      </c>
      <c r="AT1070" s="22" t="str">
        <f>DATA[[#This Row],[SERIE2]]&amp;"-"&amp;DATA[[#This Row],[NUMERO]]</f>
        <v>FF01-261</v>
      </c>
      <c r="AU1070" s="28">
        <f>DATA[[#This Row],[TOTAL]]*DATA[[#This Row],[T.C.]]</f>
        <v>2346.25</v>
      </c>
      <c r="AV1070" s="6">
        <f>DATA[[#This Row],[FECHA DE VAL.]]</f>
        <v>45896</v>
      </c>
      <c r="AW1070" s="6">
        <f>DATA[[#This Row],[FECHA DE EMISION]]</f>
        <v>45922</v>
      </c>
      <c r="AX1070" s="6">
        <f>DATA[[#This Row],[F1]]</f>
        <v>0</v>
      </c>
      <c r="AY1070" s="20">
        <f>IF(AV1070-DATA[[#This Row],[fecha_fs]]&lt;0,0,AV1070-DATA[[#This Row],[fecha_fs]])</f>
        <v>8</v>
      </c>
      <c r="AZ1070" s="20">
        <f t="shared" ref="AZ1070:AZ1074" si="184">IF(AW1070-AV1070&lt;0,0,AW1070-AV1070)</f>
        <v>26</v>
      </c>
      <c r="BA1070" s="53">
        <f t="shared" ref="BA1070:BA1074" si="185">IF(AX1070-AW1070&lt;0,0,AX1070-AW1070)</f>
        <v>0</v>
      </c>
      <c r="BB1070" s="195">
        <f>IFERROR(SUM(DATA[[#This Row],[fs_val_ttf]:[fact_pago_ttf]]),0)</f>
        <v>34</v>
      </c>
      <c r="BC1070" s="233">
        <v>45902</v>
      </c>
      <c r="BD1070" s="233">
        <v>45910</v>
      </c>
      <c r="BE1070" s="233">
        <v>45911</v>
      </c>
      <c r="BF1070" s="233">
        <v>45924</v>
      </c>
      <c r="BG1070" s="20">
        <f>IFERROR(IF(BC1070-DATA[[#This Row],[fecha_fs]]&lt;0,0,BC1070-DATA[[#This Row],[fecha_fs]]),0)</f>
        <v>14</v>
      </c>
      <c r="BH1070" s="20">
        <f t="shared" si="143"/>
        <v>8</v>
      </c>
      <c r="BI1070" s="20">
        <f t="shared" si="144"/>
        <v>1</v>
      </c>
      <c r="BJ1070" s="20">
        <f t="shared" si="145"/>
        <v>13</v>
      </c>
      <c r="BK1070" s="282">
        <f>IFERROR(SUM(DATA[[#This Row],[fs_fd_ttd]:[fend_fenf_ttd]]),0)</f>
        <v>36</v>
      </c>
      <c r="BL1070" s="20" t="str">
        <f>IF(DATA[[#This Row],[fecha_fs]]&gt;0,TEXT(DATA[[#This Row],[fecha_fs]],"YYYY"),0)</f>
        <v>2025</v>
      </c>
      <c r="BM1070" s="236" t="b">
        <v>1</v>
      </c>
      <c r="BN1070" s="278">
        <f>COUNTIF(DATA[[#This Row],[tiempo_td]], "&lt;=15")</f>
        <v>0</v>
      </c>
      <c r="BO1070" s="222"/>
    </row>
    <row r="1071" spans="1:67" ht="30.6" customHeight="1" x14ac:dyDescent="0.25">
      <c r="A1071" s="4">
        <v>20505675836</v>
      </c>
      <c r="B1071" s="5" t="s">
        <v>42</v>
      </c>
      <c r="C1071" s="52" t="s">
        <v>20</v>
      </c>
      <c r="D1071" s="4" t="s">
        <v>120</v>
      </c>
      <c r="E1071" s="5" t="s">
        <v>3</v>
      </c>
      <c r="F1071" s="24">
        <v>45888</v>
      </c>
      <c r="G1071" s="7" t="s">
        <v>113</v>
      </c>
      <c r="H1071" s="25">
        <f t="shared" si="183"/>
        <v>1</v>
      </c>
      <c r="I1071" s="67">
        <v>4883</v>
      </c>
      <c r="J1071" s="8" t="s">
        <v>115</v>
      </c>
      <c r="K1071" s="9" t="s">
        <v>121</v>
      </c>
      <c r="L1071" s="10" t="s">
        <v>117</v>
      </c>
      <c r="M1071" s="11">
        <v>70</v>
      </c>
      <c r="N1071" s="12" t="s">
        <v>129</v>
      </c>
      <c r="O1071" s="6">
        <v>45896</v>
      </c>
      <c r="P1071" s="71">
        <v>3630</v>
      </c>
      <c r="Q1071" s="14" t="s">
        <v>85</v>
      </c>
      <c r="R1071" s="15"/>
      <c r="S1071" s="15">
        <v>1387.83</v>
      </c>
      <c r="T1071" s="237">
        <f>DATA[[#This Row],[C. DF]]+DATA[[#This Row],[C.OPE.]]</f>
        <v>1387.83</v>
      </c>
      <c r="U1071" s="15">
        <f>DATA[[#This Row],[SUB TOTAL]]*0.18</f>
        <v>249.80939999999998</v>
      </c>
      <c r="V1071" s="15">
        <f>IFERROR(ROUND(DATA[[#This Row],[SUB TOTAL]]+DATA[[#This Row],[IGV]],2),0)</f>
        <v>1637.64</v>
      </c>
      <c r="W1071" s="16" t="str">
        <f>IF(DATA[[#This Row],[VALORIZACIÓN ]]="-","NO CORRESPONDE",IF(OR(A1071=20558226979,A1071=10470707866,A1071=20111157058,A1071=20100226902),"NO CORRESPONDE",IF(J1071="Emitida",IF(P1071&gt;0,"EMITIDA","PENDIENTE"),"NO CORRESPONDE")))</f>
        <v>EMITIDA</v>
      </c>
      <c r="X1071" s="29"/>
      <c r="Y1071" s="17" t="s">
        <v>118</v>
      </c>
      <c r="Z1071" s="30">
        <v>45922</v>
      </c>
      <c r="AA1071" s="10" t="s">
        <v>150</v>
      </c>
      <c r="AB1071" s="19">
        <v>261</v>
      </c>
      <c r="AC1071" s="20">
        <v>30</v>
      </c>
      <c r="AD1071" s="18">
        <f>DATA[[#This Row],[FECHA DE EMISION]]+DATA[[#This Row],[CONDICION DE PAGO]]</f>
        <v>45952</v>
      </c>
      <c r="AE1071" s="23">
        <f>IF(DATA[[#This Row],[MONEDA]]="USD",VLOOKUP(DATA[[#This Row],[COMBINADA]],#REF!,11,0),1)</f>
        <v>1</v>
      </c>
      <c r="AF1071" s="129" t="str">
        <f>IF(DATA[[#This Row],[SERIE2]]="-","NO CORRESPONDE",IF(W1071="NO CORRESPONDE","NO CORRESPONDE",IF(Z1071&gt;0,"FACTURADO","PENDIENTE")))</f>
        <v>FACTURADO</v>
      </c>
      <c r="AG1071" s="133">
        <f>IFERROR(VLOOKUP(DATA[[#This Row],[COMBINADA]],#REF!,6,0),0)</f>
        <v>0</v>
      </c>
      <c r="AH1071" s="125">
        <f>IFERROR(VLOOKUP(DATA[[#This Row],[COMBINADA]],#REF!,9,0),0)/COUNTIFS(DATA[COMBINADA],DATA[[#This Row],[COMBINADA]])</f>
        <v>0</v>
      </c>
      <c r="AI1071" s="136">
        <f>IFERROR(VLOOKUP(DATA[[#This Row],[COMBINADA]],#REF!,6,0),0)</f>
        <v>0</v>
      </c>
      <c r="AJ1071" s="132">
        <f>IFERROR(VLOOKUP(DATA[[#This Row],[COMBINADA]],#REF!,9,0),0)/COUNTIFS(DATA[COMBINADA],DATA[[#This Row],[COMBINADA]])</f>
        <v>0</v>
      </c>
      <c r="AK1071" s="408">
        <f>IFERROR(VLOOKUP(DATA[[#This Row],[COMBINADA]],#REF!,6,0),0)</f>
        <v>0</v>
      </c>
      <c r="AL1071" s="125">
        <f>IFERROR(VLOOKUP(DATA[[#This Row],[COMBINADA]],#REF!,9,0),0)/COUNTIFS(DATA[COMBINADA],DATA[[#This Row],[COMBINADA]])</f>
        <v>0</v>
      </c>
      <c r="AM1071" s="133">
        <f>IFERROR(VLOOKUP(DATA[[#This Row],[COMBINADA]],#REF!,6,0),0)</f>
        <v>0</v>
      </c>
      <c r="AN1071" s="125">
        <f>IFERROR(VLOOKUP(DATA[[#This Row],[COMBINADA]],#REF!,9,0),0)/COUNTIFS(DATA[COMBINADA],DATA[[#This Row],[COMBINADA]])</f>
        <v>0</v>
      </c>
      <c r="AO1071" s="27">
        <f>IFERROR(VLOOKUP(DATA[[#This Row],[COMBINADA]],#REF!,6,0),0)</f>
        <v>0</v>
      </c>
      <c r="AP1071" s="132">
        <f>IFERROR(VLOOKUP(DATA[[#This Row],[COMBINADA]],#REF!,9,0),0)/COUNTIFS(DATA[COMBINADA],DATA[[#This Row],[COMBINADA]])</f>
        <v>0</v>
      </c>
      <c r="AQ107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2110.0466666666666</v>
      </c>
      <c r="AR1071" s="26" t="str">
        <f>IFERROR(IF(DATA[[#This Row],[estado_fact]]="FACTURADO",VLOOKUP(DATA[[#This Row],[SERIE2]]&amp;"-"&amp;DATA[[#This Row],[NUMERO]],#REF!,34,0),"NO CORRESPONDE"),"NO CORRESPONDE")</f>
        <v>NO CORRESPONDE</v>
      </c>
      <c r="AS1071" s="22" t="str">
        <f>IF(DATA[[#This Row],[fecha_fs]]&gt;0,TEXT(DATA[[#This Row],[fecha_fs]],"Mmmm"),0)</f>
        <v>Agosto</v>
      </c>
      <c r="AT1071" s="22" t="str">
        <f>DATA[[#This Row],[SERIE2]]&amp;"-"&amp;DATA[[#This Row],[NUMERO]]</f>
        <v>FF01-261</v>
      </c>
      <c r="AU1071" s="28">
        <f>DATA[[#This Row],[TOTAL]]*DATA[[#This Row],[T.C.]]</f>
        <v>1637.64</v>
      </c>
      <c r="AV1071" s="6">
        <f>DATA[[#This Row],[FECHA DE VAL.]]</f>
        <v>45896</v>
      </c>
      <c r="AW1071" s="6">
        <f>DATA[[#This Row],[FECHA DE EMISION]]</f>
        <v>45922</v>
      </c>
      <c r="AX1071" s="6">
        <f>DATA[[#This Row],[F1]]</f>
        <v>0</v>
      </c>
      <c r="AY1071" s="20">
        <f>IF(AV1071-DATA[[#This Row],[fecha_fs]]&lt;0,0,AV1071-DATA[[#This Row],[fecha_fs]])</f>
        <v>8</v>
      </c>
      <c r="AZ1071" s="20">
        <f t="shared" si="184"/>
        <v>26</v>
      </c>
      <c r="BA1071" s="53">
        <f t="shared" si="185"/>
        <v>0</v>
      </c>
      <c r="BB1071" s="195">
        <f>IFERROR(SUM(DATA[[#This Row],[fs_val_ttf]:[fact_pago_ttf]]),0)</f>
        <v>34</v>
      </c>
      <c r="BC1071" s="233">
        <v>45904</v>
      </c>
      <c r="BD1071" s="233">
        <v>45911</v>
      </c>
      <c r="BE1071" s="233">
        <v>45911</v>
      </c>
      <c r="BF1071" s="233">
        <v>45924</v>
      </c>
      <c r="BG1071" s="20">
        <f>IFERROR(IF(BC1071-DATA[[#This Row],[fecha_fs]]&lt;0,0,BC1071-DATA[[#This Row],[fecha_fs]]),0)</f>
        <v>16</v>
      </c>
      <c r="BH1071" s="20">
        <f t="shared" si="143"/>
        <v>7</v>
      </c>
      <c r="BI1071" s="20">
        <f t="shared" si="144"/>
        <v>0</v>
      </c>
      <c r="BJ1071" s="20">
        <f t="shared" si="145"/>
        <v>13</v>
      </c>
      <c r="BK1071" s="282">
        <f>IFERROR(SUM(DATA[[#This Row],[fs_fd_ttd]:[fend_fenf_ttd]]),0)</f>
        <v>36</v>
      </c>
      <c r="BL1071" s="20" t="str">
        <f>IF(DATA[[#This Row],[fecha_fs]]&gt;0,TEXT(DATA[[#This Row],[fecha_fs]],"YYYY"),0)</f>
        <v>2025</v>
      </c>
      <c r="BM1071" s="236" t="b">
        <v>1</v>
      </c>
      <c r="BN1071" s="278">
        <f>COUNTIF(DATA[[#This Row],[tiempo_td]], "&lt;=15")</f>
        <v>0</v>
      </c>
      <c r="BO1071" s="222"/>
    </row>
    <row r="1072" spans="1:67" ht="30.6" customHeight="1" x14ac:dyDescent="0.25">
      <c r="A1072" s="4">
        <v>20141637941</v>
      </c>
      <c r="B1072" s="5" t="s">
        <v>79</v>
      </c>
      <c r="C1072" s="52" t="s">
        <v>18</v>
      </c>
      <c r="D1072" s="4" t="s">
        <v>120</v>
      </c>
      <c r="E1072" s="5" t="s">
        <v>3</v>
      </c>
      <c r="F1072" s="24">
        <v>45889</v>
      </c>
      <c r="G1072" s="7" t="s">
        <v>113</v>
      </c>
      <c r="H1072" s="25">
        <f t="shared" si="183"/>
        <v>1</v>
      </c>
      <c r="I1072" s="67">
        <v>4884</v>
      </c>
      <c r="J1072" s="8" t="s">
        <v>115</v>
      </c>
      <c r="K1072" s="9" t="s">
        <v>121</v>
      </c>
      <c r="L1072" s="10" t="s">
        <v>117</v>
      </c>
      <c r="M1072" s="11">
        <v>960</v>
      </c>
      <c r="N1072" s="12" t="s">
        <v>125</v>
      </c>
      <c r="O1072" s="6">
        <v>45898</v>
      </c>
      <c r="P1072" s="317">
        <v>3641</v>
      </c>
      <c r="Q1072" s="14" t="s">
        <v>85</v>
      </c>
      <c r="R1072" s="15">
        <v>80</v>
      </c>
      <c r="S1072" s="15">
        <v>832</v>
      </c>
      <c r="T1072" s="237">
        <f>DATA[[#This Row],[C. DF]]+DATA[[#This Row],[C.OPE.]]</f>
        <v>912</v>
      </c>
      <c r="U1072" s="15">
        <f>DATA[[#This Row],[SUB TOTAL]]*0.18</f>
        <v>164.16</v>
      </c>
      <c r="V1072" s="15">
        <f>IFERROR(ROUND(DATA[[#This Row],[SUB TOTAL]]+DATA[[#This Row],[IGV]],2),0)</f>
        <v>1076.1600000000001</v>
      </c>
      <c r="W1072" s="16" t="str">
        <f>IF(DATA[[#This Row],[VALORIZACIÓN ]]="-","NO CORRESPONDE",IF(OR(A1072=20558226979,A1072=10470707866,A1072=20111157058,A1072=20100226902),"NO CORRESPONDE",IF(J1072="Emitida",IF(P1072&gt;0,"EMITIDA","PENDIENTE"),"NO CORRESPONDE")))</f>
        <v>EMITIDA</v>
      </c>
      <c r="X1072" s="29"/>
      <c r="Y1072" s="17" t="s">
        <v>118</v>
      </c>
      <c r="Z1072" s="30">
        <v>45901</v>
      </c>
      <c r="AA1072" s="10" t="s">
        <v>150</v>
      </c>
      <c r="AB1072" s="19">
        <v>231</v>
      </c>
      <c r="AC1072" s="20">
        <v>30</v>
      </c>
      <c r="AD1072" s="18">
        <f>DATA[[#This Row],[FECHA DE EMISION]]+DATA[[#This Row],[CONDICION DE PAGO]]</f>
        <v>45931</v>
      </c>
      <c r="AE1072" s="23">
        <f>IF(DATA[[#This Row],[MONEDA]]="USD",VLOOKUP(DATA[[#This Row],[COMBINADA]],#REF!,11,0),1)</f>
        <v>1</v>
      </c>
      <c r="AF1072" s="129" t="str">
        <f>IF(DATA[[#This Row],[SERIE2]]="-","NO CORRESPONDE",IF(W1072="NO CORRESPONDE","NO CORRESPONDE",IF(Z1072&gt;0,"FACTURADO","PENDIENTE")))</f>
        <v>FACTURADO</v>
      </c>
      <c r="AG1072" s="133">
        <f>IFERROR(VLOOKUP(DATA[[#This Row],[COMBINADA]],#REF!,6,0),0)</f>
        <v>0</v>
      </c>
      <c r="AH1072" s="125">
        <f>IFERROR(VLOOKUP(DATA[[#This Row],[COMBINADA]],#REF!,9,0),0)/COUNTIFS(DATA[COMBINADA],DATA[[#This Row],[COMBINADA]])</f>
        <v>0</v>
      </c>
      <c r="AI1072" s="136">
        <f>IFERROR(VLOOKUP(DATA[[#This Row],[COMBINADA]],#REF!,6,0),0)</f>
        <v>0</v>
      </c>
      <c r="AJ1072" s="132">
        <f>IFERROR(VLOOKUP(DATA[[#This Row],[COMBINADA]],#REF!,9,0),0)/COUNTIFS(DATA[COMBINADA],DATA[[#This Row],[COMBINADA]])</f>
        <v>0</v>
      </c>
      <c r="AK1072" s="408">
        <f>IFERROR(VLOOKUP(DATA[[#This Row],[COMBINADA]],#REF!,6,0),0)</f>
        <v>0</v>
      </c>
      <c r="AL1072" s="125">
        <f>IFERROR(VLOOKUP(DATA[[#This Row],[COMBINADA]],#REF!,9,0),0)/COUNTIFS(DATA[COMBINADA],DATA[[#This Row],[COMBINADA]])</f>
        <v>0</v>
      </c>
      <c r="AM1072" s="147">
        <f>IFERROR(VLOOKUP(DATA[[#This Row],[COMBINADA]],#REF!,6,0),0)</f>
        <v>0</v>
      </c>
      <c r="AN1072" s="125">
        <f>IFERROR(VLOOKUP(DATA[[#This Row],[COMBINADA]],#REF!,9,0),0)/COUNTIFS(DATA[COMBINADA],DATA[[#This Row],[COMBINADA]])</f>
        <v>0</v>
      </c>
      <c r="AO1072" s="27">
        <f>IFERROR(VLOOKUP(DATA[[#This Row],[COMBINADA]],#REF!,6,0),0)</f>
        <v>0</v>
      </c>
      <c r="AP1072" s="132">
        <f>IFERROR(VLOOKUP(DATA[[#This Row],[COMBINADA]],#REF!,9,0),0)/COUNTIFS(DATA[COMBINADA],DATA[[#This Row],[COMBINADA]])</f>
        <v>0</v>
      </c>
      <c r="AQ107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1088.19625</v>
      </c>
      <c r="AR1072" s="26" t="str">
        <f>IFERROR(IF(DATA[[#This Row],[estado_fact]]="FACTURADO",VLOOKUP(DATA[[#This Row],[SERIE2]]&amp;"-"&amp;DATA[[#This Row],[NUMERO]],#REF!,34,0),"NO CORRESPONDE"),"NO CORRESPONDE")</f>
        <v>NO CORRESPONDE</v>
      </c>
      <c r="AS1072" s="22" t="str">
        <f>IF(DATA[[#This Row],[fecha_fs]]&gt;0,TEXT(DATA[[#This Row],[fecha_fs]],"Mmmm"),0)</f>
        <v>Agosto</v>
      </c>
      <c r="AT1072" s="22" t="str">
        <f>DATA[[#This Row],[SERIE2]]&amp;"-"&amp;DATA[[#This Row],[NUMERO]]</f>
        <v>FF01-231</v>
      </c>
      <c r="AU1072" s="28">
        <f>DATA[[#This Row],[TOTAL]]*DATA[[#This Row],[T.C.]]</f>
        <v>1076.1600000000001</v>
      </c>
      <c r="AV1072" s="6">
        <f>DATA[[#This Row],[FECHA DE VAL.]]</f>
        <v>45898</v>
      </c>
      <c r="AW1072" s="6">
        <f>DATA[[#This Row],[FECHA DE EMISION]]</f>
        <v>45901</v>
      </c>
      <c r="AX1072" s="6">
        <f>DATA[[#This Row],[F1]]</f>
        <v>0</v>
      </c>
      <c r="AY1072" s="20">
        <f>IF(AV1072-DATA[[#This Row],[fecha_fs]]&lt;0,0,AV1072-DATA[[#This Row],[fecha_fs]])</f>
        <v>9</v>
      </c>
      <c r="AZ1072" s="20">
        <f t="shared" si="184"/>
        <v>3</v>
      </c>
      <c r="BA1072" s="53">
        <f t="shared" si="185"/>
        <v>0</v>
      </c>
      <c r="BB1072" s="195">
        <f>IFERROR(SUM(DATA[[#This Row],[fs_val_ttf]:[fact_pago_ttf]]),0)</f>
        <v>12</v>
      </c>
      <c r="BC1072" s="233">
        <v>45889</v>
      </c>
      <c r="BD1072" s="233">
        <v>45895</v>
      </c>
      <c r="BE1072" s="233">
        <v>45901</v>
      </c>
      <c r="BF1072" s="233">
        <v>45904</v>
      </c>
      <c r="BG1072" s="20">
        <f>IFERROR(IF(BC1072-DATA[[#This Row],[fecha_fs]]&lt;0,0,BC1072-DATA[[#This Row],[fecha_fs]]),0)</f>
        <v>0</v>
      </c>
      <c r="BH1072" s="20">
        <f t="shared" si="143"/>
        <v>6</v>
      </c>
      <c r="BI1072" s="20">
        <f t="shared" si="144"/>
        <v>6</v>
      </c>
      <c r="BJ1072" s="20">
        <f t="shared" si="145"/>
        <v>3</v>
      </c>
      <c r="BK1072" s="282">
        <f>IFERROR(SUM(DATA[[#This Row],[fs_fd_ttd]:[fend_fenf_ttd]]),0)</f>
        <v>15</v>
      </c>
      <c r="BL1072" s="20" t="str">
        <f>IF(DATA[[#This Row],[fecha_fs]]&gt;0,TEXT(DATA[[#This Row],[fecha_fs]],"YYYY"),0)</f>
        <v>2025</v>
      </c>
      <c r="BM1072" s="236" t="b">
        <v>1</v>
      </c>
      <c r="BN1072" s="278">
        <f>COUNTIF(DATA[[#This Row],[tiempo_td]], "&lt;=15")</f>
        <v>1</v>
      </c>
      <c r="BO1072" s="222"/>
    </row>
    <row r="1073" spans="1:67" ht="30.6" customHeight="1" x14ac:dyDescent="0.25">
      <c r="A1073" s="4">
        <v>20552714378</v>
      </c>
      <c r="B1073" s="5" t="s">
        <v>288</v>
      </c>
      <c r="C1073" s="52" t="s">
        <v>264</v>
      </c>
      <c r="D1073" s="4" t="s">
        <v>120</v>
      </c>
      <c r="E1073" s="5" t="s">
        <v>3</v>
      </c>
      <c r="F1073" s="24">
        <v>45889</v>
      </c>
      <c r="G1073" s="7" t="s">
        <v>113</v>
      </c>
      <c r="H1073" s="25">
        <f t="shared" si="183"/>
        <v>1</v>
      </c>
      <c r="I1073" s="67">
        <v>4885</v>
      </c>
      <c r="J1073" s="8" t="s">
        <v>115</v>
      </c>
      <c r="K1073" s="9" t="s">
        <v>121</v>
      </c>
      <c r="L1073" s="10" t="s">
        <v>117</v>
      </c>
      <c r="M1073" s="11">
        <v>130</v>
      </c>
      <c r="N1073" s="12" t="s">
        <v>125</v>
      </c>
      <c r="O1073" s="6">
        <v>45894</v>
      </c>
      <c r="P1073" s="109">
        <v>3622</v>
      </c>
      <c r="Q1073" s="14" t="s">
        <v>85</v>
      </c>
      <c r="R1073" s="15">
        <f>80/5</f>
        <v>16</v>
      </c>
      <c r="S1073" s="237">
        <v>2112.33</v>
      </c>
      <c r="T1073" s="237">
        <f>DATA[[#This Row],[C. DF]]+DATA[[#This Row],[C.OPE.]]</f>
        <v>2128.33</v>
      </c>
      <c r="U1073" s="15">
        <f>DATA[[#This Row],[SUB TOTAL]]*0.18</f>
        <v>383.09939999999995</v>
      </c>
      <c r="V1073" s="15">
        <f>IFERROR(ROUND(DATA[[#This Row],[SUB TOTAL]]+DATA[[#This Row],[IGV]],2),0)</f>
        <v>2511.4299999999998</v>
      </c>
      <c r="W1073" s="16" t="str">
        <f>IF(DATA[[#This Row],[VALORIZACIÓN ]]="-","NO CORRESPONDE",IF(OR(A1073=20558226979,A1073=10470707866,A1073=20111157058,A1073=20100226902),"NO CORRESPONDE",IF(J1073="Emitida",IF(P1073&gt;0,"EMITIDA","PENDIENTE"),"NO CORRESPONDE")))</f>
        <v>EMITIDA</v>
      </c>
      <c r="X1073" s="29"/>
      <c r="Y1073" s="17" t="s">
        <v>118</v>
      </c>
      <c r="Z1073" s="30">
        <v>45912</v>
      </c>
      <c r="AA1073" s="10" t="s">
        <v>150</v>
      </c>
      <c r="AB1073" s="19">
        <v>253</v>
      </c>
      <c r="AC1073" s="20">
        <v>60</v>
      </c>
      <c r="AD1073" s="18">
        <f>DATA[[#This Row],[FECHA DE EMISION]]+DATA[[#This Row],[CONDICION DE PAGO]]</f>
        <v>45972</v>
      </c>
      <c r="AE1073" s="23">
        <f>IF(DATA[[#This Row],[MONEDA]]="USD",VLOOKUP(DATA[[#This Row],[COMBINADA]],#REF!,11,0),1)</f>
        <v>1</v>
      </c>
      <c r="AF1073" s="129" t="str">
        <f>IF(DATA[[#This Row],[SERIE2]]="-","NO CORRESPONDE",IF(W1073="NO CORRESPONDE","NO CORRESPONDE",IF(Z1073&gt;0,"FACTURADO","PENDIENTE")))</f>
        <v>FACTURADO</v>
      </c>
      <c r="AG1073" s="133">
        <f>IFERROR(VLOOKUP(DATA[[#This Row],[COMBINADA]],#REF!,6,0),0)</f>
        <v>0</v>
      </c>
      <c r="AH1073" s="125">
        <f>IFERROR(VLOOKUP(DATA[[#This Row],[COMBINADA]],#REF!,9,0),0)/COUNTIFS(DATA[COMBINADA],DATA[[#This Row],[COMBINADA]])</f>
        <v>0</v>
      </c>
      <c r="AI1073" s="136">
        <f>IFERROR(VLOOKUP(DATA[[#This Row],[COMBINADA]],#REF!,6,0),0)</f>
        <v>0</v>
      </c>
      <c r="AJ1073" s="132">
        <f>IFERROR(VLOOKUP(DATA[[#This Row],[COMBINADA]],#REF!,9,0),0)/COUNTIFS(DATA[COMBINADA],DATA[[#This Row],[COMBINADA]])</f>
        <v>0</v>
      </c>
      <c r="AK1073" s="408">
        <f>IFERROR(VLOOKUP(DATA[[#This Row],[COMBINADA]],#REF!,6,0),0)</f>
        <v>0</v>
      </c>
      <c r="AL1073" s="125">
        <f>IFERROR(VLOOKUP(DATA[[#This Row],[COMBINADA]],#REF!,9,0),0)/COUNTIFS(DATA[COMBINADA],DATA[[#This Row],[COMBINADA]])</f>
        <v>0</v>
      </c>
      <c r="AM1073" s="147">
        <f>IFERROR(VLOOKUP(DATA[[#This Row],[COMBINADA]],#REF!,6,0),0)</f>
        <v>0</v>
      </c>
      <c r="AN1073" s="125">
        <f>IFERROR(VLOOKUP(DATA[[#This Row],[COMBINADA]],#REF!,9,0),0)/COUNTIFS(DATA[COMBINADA],DATA[[#This Row],[COMBINADA]])</f>
        <v>0</v>
      </c>
      <c r="AO1073" s="27">
        <f>IFERROR(VLOOKUP(DATA[[#This Row],[COMBINADA]],#REF!,6,0),0)</f>
        <v>0</v>
      </c>
      <c r="AP1073" s="132">
        <f>IFERROR(VLOOKUP(DATA[[#This Row],[COMBINADA]],#REF!,9,0),0)/COUNTIFS(DATA[COMBINADA],DATA[[#This Row],[COMBINADA]])</f>
        <v>0</v>
      </c>
      <c r="AQ107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2511.4299999999998</v>
      </c>
      <c r="AR1073" s="26" t="str">
        <f>IFERROR(IF(DATA[[#This Row],[estado_fact]]="FACTURADO",VLOOKUP(DATA[[#This Row],[SERIE2]]&amp;"-"&amp;DATA[[#This Row],[NUMERO]],#REF!,34,0),"NO CORRESPONDE"),"NO CORRESPONDE")</f>
        <v>NO CORRESPONDE</v>
      </c>
      <c r="AS1073" s="22" t="str">
        <f>IF(DATA[[#This Row],[fecha_fs]]&gt;0,TEXT(DATA[[#This Row],[fecha_fs]],"Mmmm"),0)</f>
        <v>Agosto</v>
      </c>
      <c r="AT1073" s="22" t="str">
        <f>DATA[[#This Row],[SERIE2]]&amp;"-"&amp;DATA[[#This Row],[NUMERO]]</f>
        <v>FF01-253</v>
      </c>
      <c r="AU1073" s="28">
        <f>DATA[[#This Row],[TOTAL]]*DATA[[#This Row],[T.C.]]</f>
        <v>2511.4299999999998</v>
      </c>
      <c r="AV1073" s="6">
        <f>DATA[[#This Row],[FECHA DE VAL.]]</f>
        <v>45894</v>
      </c>
      <c r="AW1073" s="6">
        <f>DATA[[#This Row],[FECHA DE EMISION]]</f>
        <v>45912</v>
      </c>
      <c r="AX1073" s="6">
        <f>DATA[[#This Row],[F1]]</f>
        <v>0</v>
      </c>
      <c r="AY1073" s="20">
        <f>IF(AV1073-DATA[[#This Row],[fecha_fs]]&lt;0,0,AV1073-DATA[[#This Row],[fecha_fs]])</f>
        <v>5</v>
      </c>
      <c r="AZ1073" s="20">
        <f t="shared" si="184"/>
        <v>18</v>
      </c>
      <c r="BA1073" s="53">
        <f t="shared" si="185"/>
        <v>0</v>
      </c>
      <c r="BB1073" s="195">
        <f>IFERROR(SUM(DATA[[#This Row],[fs_val_ttf]:[fact_pago_ttf]]),0)</f>
        <v>23</v>
      </c>
      <c r="BC1073" s="185">
        <v>45889</v>
      </c>
      <c r="BD1073" s="185">
        <v>45895</v>
      </c>
      <c r="BE1073" s="185">
        <v>45897</v>
      </c>
      <c r="BF1073" s="233">
        <v>45903</v>
      </c>
      <c r="BG1073" s="20">
        <f>IFERROR(IF(BC1073-DATA[[#This Row],[fecha_fs]]&lt;0,0,BC1073-DATA[[#This Row],[fecha_fs]]),0)</f>
        <v>0</v>
      </c>
      <c r="BH1073" s="20">
        <f t="shared" si="143"/>
        <v>6</v>
      </c>
      <c r="BI1073" s="20">
        <f t="shared" si="144"/>
        <v>2</v>
      </c>
      <c r="BJ1073" s="20">
        <f t="shared" si="145"/>
        <v>6</v>
      </c>
      <c r="BK1073" s="282">
        <f>IFERROR(SUM(DATA[[#This Row],[fs_fd_ttd]:[fend_fenf_ttd]]),0)</f>
        <v>14</v>
      </c>
      <c r="BL1073" s="20" t="str">
        <f>IF(DATA[[#This Row],[fecha_fs]]&gt;0,TEXT(DATA[[#This Row],[fecha_fs]],"YYYY"),0)</f>
        <v>2025</v>
      </c>
      <c r="BM1073" s="236" t="b">
        <v>1</v>
      </c>
      <c r="BN1073" s="278">
        <f>COUNTIF(DATA[[#This Row],[tiempo_td]], "&lt;=15")</f>
        <v>1</v>
      </c>
      <c r="BO1073" s="222"/>
    </row>
    <row r="1074" spans="1:67" ht="30.6" customHeight="1" x14ac:dyDescent="0.25">
      <c r="A1074" s="4">
        <v>20100211115</v>
      </c>
      <c r="B1074" s="5" t="s">
        <v>41</v>
      </c>
      <c r="C1074" s="52" t="s">
        <v>18</v>
      </c>
      <c r="D1074" s="4" t="s">
        <v>120</v>
      </c>
      <c r="E1074" s="5" t="s">
        <v>3</v>
      </c>
      <c r="F1074" s="24">
        <v>45889</v>
      </c>
      <c r="G1074" s="7" t="s">
        <v>113</v>
      </c>
      <c r="H1074" s="25">
        <f t="shared" si="183"/>
        <v>1</v>
      </c>
      <c r="I1074" s="67">
        <v>4886</v>
      </c>
      <c r="J1074" s="8" t="s">
        <v>115</v>
      </c>
      <c r="K1074" s="9" t="s">
        <v>121</v>
      </c>
      <c r="L1074" s="10" t="s">
        <v>117</v>
      </c>
      <c r="M1074" s="11">
        <v>90</v>
      </c>
      <c r="N1074" s="12" t="s">
        <v>200</v>
      </c>
      <c r="O1074" s="6">
        <v>45894</v>
      </c>
      <c r="P1074" s="115">
        <v>3625</v>
      </c>
      <c r="Q1074" s="14" t="s">
        <v>85</v>
      </c>
      <c r="R1074" s="74"/>
      <c r="S1074" s="15">
        <f>(DATA[[#This Row],[cantidad_fs]]*4.17)</f>
        <v>375.3</v>
      </c>
      <c r="T1074" s="237">
        <f>DATA[[#This Row],[C. DF]]+DATA[[#This Row],[C.OPE.]]</f>
        <v>375.3</v>
      </c>
      <c r="U1074" s="15">
        <f>DATA[[#This Row],[SUB TOTAL]]*0.18</f>
        <v>67.554000000000002</v>
      </c>
      <c r="V1074" s="15">
        <f>IFERROR(ROUND(DATA[[#This Row],[SUB TOTAL]]+DATA[[#This Row],[IGV]],2),0)</f>
        <v>442.85</v>
      </c>
      <c r="W1074" s="16" t="str">
        <f>IF(DATA[[#This Row],[VALORIZACIÓN ]]="-","NO CORRESPONDE",IF(OR(A1074=20558226979,A1074=10470707866,A1074=20111157058,A1074=20100226902),"NO CORRESPONDE",IF(J1074="Emitida",IF(P1074&gt;0,"EMITIDA","PENDIENTE"),"NO CORRESPONDE")))</f>
        <v>EMITIDA</v>
      </c>
      <c r="X1074" s="29"/>
      <c r="Y1074" s="17" t="s">
        <v>118</v>
      </c>
      <c r="Z1074" s="30">
        <v>45896</v>
      </c>
      <c r="AA1074" s="10" t="s">
        <v>150</v>
      </c>
      <c r="AB1074" s="19">
        <v>224</v>
      </c>
      <c r="AC1074" s="20">
        <v>30</v>
      </c>
      <c r="AD1074" s="18">
        <f>DATA[[#This Row],[FECHA DE EMISION]]+DATA[[#This Row],[CONDICION DE PAGO]]</f>
        <v>45926</v>
      </c>
      <c r="AE1074" s="23">
        <f>IF(DATA[[#This Row],[MONEDA]]="USD",VLOOKUP(DATA[[#This Row],[COMBINADA]],#REF!,11,0),1)</f>
        <v>1</v>
      </c>
      <c r="AF1074" s="129" t="str">
        <f>IF(DATA[[#This Row],[SERIE2]]="-","NO CORRESPONDE",IF(W1074="NO CORRESPONDE","NO CORRESPONDE",IF(Z1074&gt;0,"FACTURADO","PENDIENTE")))</f>
        <v>FACTURADO</v>
      </c>
      <c r="AG1074" s="133">
        <f>IFERROR(VLOOKUP(DATA[[#This Row],[COMBINADA]],#REF!,6,0),0)</f>
        <v>0</v>
      </c>
      <c r="AH1074" s="125">
        <f>IFERROR(VLOOKUP(DATA[[#This Row],[COMBINADA]],#REF!,9,0),0)/COUNTIFS(DATA[COMBINADA],DATA[[#This Row],[COMBINADA]])</f>
        <v>0</v>
      </c>
      <c r="AI1074" s="136">
        <f>IFERROR(VLOOKUP(DATA[[#This Row],[COMBINADA]],#REF!,6,0),0)</f>
        <v>0</v>
      </c>
      <c r="AJ1074" s="132">
        <f>IFERROR(VLOOKUP(DATA[[#This Row],[COMBINADA]],#REF!,9,0),0)/COUNTIFS(DATA[COMBINADA],DATA[[#This Row],[COMBINADA]])</f>
        <v>0</v>
      </c>
      <c r="AK1074" s="408">
        <f>IFERROR(VLOOKUP(DATA[[#This Row],[COMBINADA]],#REF!,6,0),0)</f>
        <v>0</v>
      </c>
      <c r="AL1074" s="125">
        <f>IFERROR(VLOOKUP(DATA[[#This Row],[COMBINADA]],#REF!,9,0),0)/COUNTIFS(DATA[COMBINADA],DATA[[#This Row],[COMBINADA]])</f>
        <v>0</v>
      </c>
      <c r="AM1074" s="147">
        <f>IFERROR(VLOOKUP(DATA[[#This Row],[COMBINADA]],#REF!,6,0),0)</f>
        <v>0</v>
      </c>
      <c r="AN1074" s="125">
        <f>IFERROR(VLOOKUP(DATA[[#This Row],[COMBINADA]],#REF!,9,0),0)/COUNTIFS(DATA[COMBINADA],DATA[[#This Row],[COMBINADA]])</f>
        <v>0</v>
      </c>
      <c r="AO1074" s="27">
        <f>IFERROR(VLOOKUP(DATA[[#This Row],[COMBINADA]],#REF!,6,0),0)</f>
        <v>0</v>
      </c>
      <c r="AP1074" s="132">
        <f>IFERROR(VLOOKUP(DATA[[#This Row],[COMBINADA]],#REF!,9,0),0)/COUNTIFS(DATA[COMBINADA],DATA[[#This Row],[COMBINADA]])</f>
        <v>0</v>
      </c>
      <c r="AQ107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v>
      </c>
      <c r="AR1074" s="26" t="str">
        <f>IFERROR(IF(DATA[[#This Row],[estado_fact]]="FACTURADO",VLOOKUP(DATA[[#This Row],[SERIE2]]&amp;"-"&amp;DATA[[#This Row],[NUMERO]],#REF!,34,0),"NO CORRESPONDE"),"NO CORRESPONDE")</f>
        <v>NO CORRESPONDE</v>
      </c>
      <c r="AS1074" s="22" t="str">
        <f>IF(DATA[[#This Row],[fecha_fs]]&gt;0,TEXT(DATA[[#This Row],[fecha_fs]],"Mmmm"),0)</f>
        <v>Agosto</v>
      </c>
      <c r="AT1074" s="22" t="str">
        <f>DATA[[#This Row],[SERIE2]]&amp;"-"&amp;DATA[[#This Row],[NUMERO]]</f>
        <v>FF01-224</v>
      </c>
      <c r="AU1074" s="28">
        <f>DATA[[#This Row],[TOTAL]]*DATA[[#This Row],[T.C.]]</f>
        <v>442.85</v>
      </c>
      <c r="AV1074" s="6">
        <f>DATA[[#This Row],[FECHA DE VAL.]]</f>
        <v>45894</v>
      </c>
      <c r="AW1074" s="6">
        <f>DATA[[#This Row],[FECHA DE EMISION]]</f>
        <v>45896</v>
      </c>
      <c r="AX1074" s="6">
        <f>DATA[[#This Row],[F1]]</f>
        <v>0</v>
      </c>
      <c r="AY1074" s="20">
        <f>IF(AV1074-DATA[[#This Row],[fecha_fs]]&lt;0,0,AV1074-DATA[[#This Row],[fecha_fs]])</f>
        <v>5</v>
      </c>
      <c r="AZ1074" s="20">
        <f t="shared" si="184"/>
        <v>2</v>
      </c>
      <c r="BA1074" s="53">
        <f t="shared" si="185"/>
        <v>0</v>
      </c>
      <c r="BB1074" s="195">
        <f>IFERROR(SUM(DATA[[#This Row],[fs_val_ttf]:[fact_pago_ttf]]),0)</f>
        <v>7</v>
      </c>
      <c r="BC1074" s="233">
        <v>45903</v>
      </c>
      <c r="BD1074" s="233">
        <v>45905</v>
      </c>
      <c r="BE1074" s="233">
        <v>45908</v>
      </c>
      <c r="BF1074" s="185">
        <v>45911</v>
      </c>
      <c r="BG1074" s="20">
        <f>IFERROR(IF(BC1074-DATA[[#This Row],[fecha_fs]]&lt;0,0,BC1074-DATA[[#This Row],[fecha_fs]]),0)</f>
        <v>14</v>
      </c>
      <c r="BH1074" s="20">
        <f t="shared" si="143"/>
        <v>2</v>
      </c>
      <c r="BI1074" s="20">
        <f t="shared" si="144"/>
        <v>3</v>
      </c>
      <c r="BJ1074" s="20">
        <f t="shared" si="145"/>
        <v>3</v>
      </c>
      <c r="BK1074" s="282">
        <f>IFERROR(SUM(DATA[[#This Row],[fs_fd_ttd]:[fend_fenf_ttd]]),0)</f>
        <v>22</v>
      </c>
      <c r="BL1074" s="20" t="str">
        <f>IF(DATA[[#This Row],[fecha_fs]]&gt;0,TEXT(DATA[[#This Row],[fecha_fs]],"YYYY"),0)</f>
        <v>2025</v>
      </c>
      <c r="BM1074" s="236" t="b">
        <v>1</v>
      </c>
      <c r="BN1074" s="278">
        <f>COUNTIF(DATA[[#This Row],[tiempo_td]], "&lt;=15")</f>
        <v>0</v>
      </c>
      <c r="BO1074" s="222"/>
    </row>
    <row r="1075" spans="1:67" ht="30.6" customHeight="1" x14ac:dyDescent="0.25">
      <c r="A1075" s="4">
        <v>20558353814</v>
      </c>
      <c r="B1075" s="5" t="s">
        <v>275</v>
      </c>
      <c r="C1075" s="52" t="s">
        <v>194</v>
      </c>
      <c r="D1075" s="4" t="s">
        <v>290</v>
      </c>
      <c r="E1075" s="5" t="s">
        <v>294</v>
      </c>
      <c r="F1075" s="24">
        <v>45890</v>
      </c>
      <c r="G1075" s="7" t="s">
        <v>142</v>
      </c>
      <c r="H1075" s="25">
        <f>IF(G1075="","",IF(G1075="LIM",2,1))</f>
        <v>2</v>
      </c>
      <c r="I1075" s="67">
        <v>1127</v>
      </c>
      <c r="J1075" s="8" t="s">
        <v>115</v>
      </c>
      <c r="K1075" s="9" t="s">
        <v>195</v>
      </c>
      <c r="L1075" s="10" t="s">
        <v>117</v>
      </c>
      <c r="M1075" s="11">
        <v>5200</v>
      </c>
      <c r="N1075" s="12" t="s">
        <v>180</v>
      </c>
      <c r="O1075" s="6">
        <v>45894</v>
      </c>
      <c r="P1075" s="13">
        <v>3624</v>
      </c>
      <c r="Q1075" s="14" t="s">
        <v>85</v>
      </c>
      <c r="R1075" s="15">
        <f>350+((DATA[[#This Row],[cantidad_fs]]-5000)*0.07)</f>
        <v>364</v>
      </c>
      <c r="S1075" s="15">
        <v>1762</v>
      </c>
      <c r="T1075" s="237">
        <f>DATA[[#This Row],[C. DF]]+DATA[[#This Row],[C.OPE.]]</f>
        <v>2126</v>
      </c>
      <c r="U1075" s="15">
        <f>DATA[[#This Row],[SUB TOTAL]]*0.18</f>
        <v>382.68</v>
      </c>
      <c r="V1075" s="15">
        <f>IFERROR(ROUND(DATA[[#This Row],[SUB TOTAL]]+DATA[[#This Row],[IGV]],2),0)</f>
        <v>2508.6799999999998</v>
      </c>
      <c r="W1075" s="16" t="str">
        <f>IF(DATA[[#This Row],[VALORIZACIÓN ]]="-","NO CORRESPONDE",IF(OR(A1075=20558226979,A1075=10470707866,A1075=20111157058,A1075=20100226902),"NO CORRESPONDE",IF(J1075="Emitida",IF(P1075&gt;0,"EMITIDA","PENDIENTE"),"NO CORRESPONDE")))</f>
        <v>EMITIDA</v>
      </c>
      <c r="X1075" s="29"/>
      <c r="Y1075" s="17" t="s">
        <v>118</v>
      </c>
      <c r="Z1075" s="30">
        <v>45902</v>
      </c>
      <c r="AA1075" s="10" t="s">
        <v>150</v>
      </c>
      <c r="AB1075" s="19">
        <v>234</v>
      </c>
      <c r="AC1075" s="20">
        <v>5</v>
      </c>
      <c r="AD1075" s="18">
        <f>DATA[[#This Row],[FECHA DE EMISION]]+DATA[[#This Row],[CONDICION DE PAGO]]</f>
        <v>45907</v>
      </c>
      <c r="AE1075" s="23">
        <f>IF(DATA[[#This Row],[MONEDA]]="USD",VLOOKUP(DATA[[#This Row],[COMBINADA]],#REF!,11,0),1)</f>
        <v>1</v>
      </c>
      <c r="AF1075" s="129" t="str">
        <f>IF(DATA[[#This Row],[SERIE2]]="-","NO CORRESPONDE",IF(W1075="NO CORRESPONDE","NO CORRESPONDE",IF(Z1075&gt;0,"FACTURADO","PENDIENTE")))</f>
        <v>FACTURADO</v>
      </c>
      <c r="AG1075" s="133">
        <f>IFERROR(VLOOKUP(DATA[[#This Row],[COMBINADA]],#REF!,6,0),0)</f>
        <v>0</v>
      </c>
      <c r="AH1075" s="125">
        <f>IFERROR(VLOOKUP(DATA[[#This Row],[COMBINADA]],#REF!,9,0),0)/COUNTIFS(DATA[COMBINADA],DATA[[#This Row],[COMBINADA]])</f>
        <v>0</v>
      </c>
      <c r="AI1075" s="136">
        <f>IFERROR(VLOOKUP(DATA[[#This Row],[COMBINADA]],#REF!,6,0),0)</f>
        <v>0</v>
      </c>
      <c r="AJ1075" s="132">
        <f>IFERROR(VLOOKUP(DATA[[#This Row],[COMBINADA]],#REF!,9,0),0)/COUNTIFS(DATA[COMBINADA],DATA[[#This Row],[COMBINADA]])</f>
        <v>0</v>
      </c>
      <c r="AK1075" s="407">
        <f>IFERROR(VLOOKUP(DATA[[#This Row],[COMBINADA]],#REF!,6,0),0)</f>
        <v>0</v>
      </c>
      <c r="AL1075" s="125">
        <f>IFERROR(VLOOKUP(DATA[[#This Row],[COMBINADA]],#REF!,9,0),0)/COUNTIFS(DATA[COMBINADA],DATA[[#This Row],[COMBINADA]])</f>
        <v>0</v>
      </c>
      <c r="AM1075" s="27">
        <f>IFERROR(VLOOKUP(DATA[[#This Row],[COMBINADA]],#REF!,6,0),0)</f>
        <v>0</v>
      </c>
      <c r="AN1075" s="125">
        <f>IFERROR(VLOOKUP(DATA[[#This Row],[COMBINADA]],#REF!,9,0),0)/COUNTIFS(DATA[COMBINADA],DATA[[#This Row],[COMBINADA]])</f>
        <v>0</v>
      </c>
      <c r="AO1075" s="27">
        <f>IFERROR(VLOOKUP(DATA[[#This Row],[COMBINADA]],#REF!,6,0),0)</f>
        <v>0</v>
      </c>
      <c r="AP1075" s="132">
        <f>IFERROR(VLOOKUP(DATA[[#This Row],[COMBINADA]],#REF!,9,0),0)/COUNTIFS(DATA[COMBINADA],DATA[[#This Row],[COMBINADA]])</f>
        <v>0</v>
      </c>
      <c r="AQ107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2508.6799999999998</v>
      </c>
      <c r="AR1075" s="26" t="str">
        <f>IFERROR(IF(DATA[[#This Row],[estado_fact]]="FACTURADO",VLOOKUP(DATA[[#This Row],[SERIE2]]&amp;"-"&amp;DATA[[#This Row],[NUMERO]],#REF!,34,0),"NO CORRESPONDE"),"NO CORRESPONDE")</f>
        <v>NO CORRESPONDE</v>
      </c>
      <c r="AS1075" s="22" t="str">
        <f>IF(DATA[[#This Row],[fecha_fs]]&gt;0,TEXT(DATA[[#This Row],[fecha_fs]],"Mmmm"),0)</f>
        <v>Agosto</v>
      </c>
      <c r="AT1075" s="22" t="str">
        <f>DATA[[#This Row],[SERIE2]]&amp;"-"&amp;DATA[[#This Row],[NUMERO]]</f>
        <v>FF01-234</v>
      </c>
      <c r="AU1075" s="28">
        <f>DATA[[#This Row],[TOTAL]]*DATA[[#This Row],[T.C.]]</f>
        <v>2508.6799999999998</v>
      </c>
      <c r="AV1075" s="6">
        <f>DATA[[#This Row],[FECHA DE VAL.]]</f>
        <v>45894</v>
      </c>
      <c r="AW1075" s="6">
        <f>DATA[[#This Row],[FECHA DE EMISION]]</f>
        <v>45902</v>
      </c>
      <c r="AX1075" s="6">
        <f>DATA[[#This Row],[F1]]</f>
        <v>0</v>
      </c>
      <c r="AY1075" s="20">
        <f>IF(AV1075-DATA[[#This Row],[fecha_fs]]&lt;0,0,AV1075-DATA[[#This Row],[fecha_fs]])</f>
        <v>4</v>
      </c>
      <c r="AZ1075" s="20">
        <f>IF(AW1075-AV1075&lt;0,0,AW1075-AV1075)</f>
        <v>8</v>
      </c>
      <c r="BA1075" s="53">
        <f>IF(AX1075-AW1075&lt;0,0,AX1075-AW1075)</f>
        <v>0</v>
      </c>
      <c r="BB1075" s="195">
        <f>IFERROR(SUM(DATA[[#This Row],[fs_val_ttf]:[fact_pago_ttf]]),0)</f>
        <v>12</v>
      </c>
      <c r="BC1075" s="233">
        <v>45890</v>
      </c>
      <c r="BD1075" s="233">
        <v>45895</v>
      </c>
      <c r="BE1075" s="233">
        <v>45901</v>
      </c>
      <c r="BF1075" s="233">
        <v>45909</v>
      </c>
      <c r="BG1075" s="20">
        <f>IFERROR(IF(BC1075-DATA[[#This Row],[fecha_fs]]&lt;0,0,BC1075-DATA[[#This Row],[fecha_fs]]),0)</f>
        <v>0</v>
      </c>
      <c r="BH1075" s="20">
        <f t="shared" si="143"/>
        <v>5</v>
      </c>
      <c r="BI1075" s="20">
        <f t="shared" si="144"/>
        <v>6</v>
      </c>
      <c r="BJ1075" s="20">
        <f t="shared" si="145"/>
        <v>8</v>
      </c>
      <c r="BK1075" s="282">
        <f>IFERROR(SUM(DATA[[#This Row],[fs_fd_ttd]:[fend_fenf_ttd]]),0)</f>
        <v>19</v>
      </c>
      <c r="BL1075" s="20" t="str">
        <f>IF(DATA[[#This Row],[fecha_fs]]&gt;0,TEXT(DATA[[#This Row],[fecha_fs]],"YYYY"),0)</f>
        <v>2025</v>
      </c>
      <c r="BM1075" s="236" t="b">
        <v>1</v>
      </c>
      <c r="BN1075" s="278">
        <f>COUNTIF(DATA[[#This Row],[tiempo_td]], "&lt;=15")</f>
        <v>0</v>
      </c>
      <c r="BO1075" s="222"/>
    </row>
    <row r="1076" spans="1:67" ht="30.6" customHeight="1" x14ac:dyDescent="0.25">
      <c r="A1076" s="4">
        <v>20100192064</v>
      </c>
      <c r="B1076" s="5" t="s">
        <v>60</v>
      </c>
      <c r="C1076" s="52" t="s">
        <v>65</v>
      </c>
      <c r="D1076" s="4" t="s">
        <v>290</v>
      </c>
      <c r="E1076" s="5" t="s">
        <v>294</v>
      </c>
      <c r="F1076" s="24">
        <v>45890</v>
      </c>
      <c r="G1076" s="7" t="s">
        <v>142</v>
      </c>
      <c r="H1076" s="25">
        <f>IF(G1076="","",IF(G1076="LIM",2,1))</f>
        <v>2</v>
      </c>
      <c r="I1076" s="67">
        <v>1128</v>
      </c>
      <c r="J1076" s="8" t="s">
        <v>115</v>
      </c>
      <c r="K1076" s="9" t="s">
        <v>195</v>
      </c>
      <c r="L1076" s="10" t="s">
        <v>117</v>
      </c>
      <c r="M1076" s="11">
        <v>15490</v>
      </c>
      <c r="N1076" s="12" t="s">
        <v>317</v>
      </c>
      <c r="O1076" s="6">
        <v>45894</v>
      </c>
      <c r="P1076" s="13">
        <v>3629</v>
      </c>
      <c r="Q1076" s="14" t="s">
        <v>85</v>
      </c>
      <c r="R1076" s="56">
        <f>DATA[[#This Row],[cantidad_fs]]*0.07</f>
        <v>1084.3000000000002</v>
      </c>
      <c r="S1076" s="56">
        <v>4110</v>
      </c>
      <c r="T1076" s="237">
        <f>DATA[[#This Row],[C. DF]]+DATA[[#This Row],[C.OPE.]]</f>
        <v>5194.3</v>
      </c>
      <c r="U1076" s="15">
        <f>DATA[[#This Row],[SUB TOTAL]]*0.18</f>
        <v>934.97400000000005</v>
      </c>
      <c r="V1076" s="15">
        <f>IFERROR(ROUND(DATA[[#This Row],[SUB TOTAL]]+DATA[[#This Row],[IGV]],2),0)</f>
        <v>6129.27</v>
      </c>
      <c r="W1076" s="16" t="str">
        <f>IF(DATA[[#This Row],[VALORIZACIÓN ]]="-","NO CORRESPONDE",IF(OR(A1076=20558226979,A1076=10470707866,A1076=20111157058,A1076=20100226902),"NO CORRESPONDE",IF(J1076="Emitida",IF(P1076&gt;0,"EMITIDA","PENDIENTE"),"NO CORRESPONDE")))</f>
        <v>EMITIDA</v>
      </c>
      <c r="X1076" s="29"/>
      <c r="Y1076" s="17" t="s">
        <v>118</v>
      </c>
      <c r="Z1076" s="30">
        <v>45895</v>
      </c>
      <c r="AA1076" s="10" t="s">
        <v>150</v>
      </c>
      <c r="AB1076" s="19">
        <v>221</v>
      </c>
      <c r="AC1076" s="20">
        <v>30</v>
      </c>
      <c r="AD1076" s="18">
        <f>DATA[[#This Row],[FECHA DE EMISION]]+DATA[[#This Row],[CONDICION DE PAGO]]</f>
        <v>45925</v>
      </c>
      <c r="AE1076" s="23">
        <f>IF(DATA[[#This Row],[MONEDA]]="USD",VLOOKUP(DATA[[#This Row],[COMBINADA]],#REF!,11,0),1)</f>
        <v>1</v>
      </c>
      <c r="AF1076" s="129" t="str">
        <f>IF(DATA[[#This Row],[SERIE2]]="-","NO CORRESPONDE",IF(W1076="NO CORRESPONDE","NO CORRESPONDE",IF(Z1076&gt;0,"FACTURADO","PENDIENTE")))</f>
        <v>FACTURADO</v>
      </c>
      <c r="AG1076" s="133">
        <f>IFERROR(VLOOKUP(DATA[[#This Row],[COMBINADA]],#REF!,6,0),0)</f>
        <v>0</v>
      </c>
      <c r="AH1076" s="125">
        <f>IFERROR(VLOOKUP(DATA[[#This Row],[COMBINADA]],#REF!,9,0),0)/COUNTIFS(DATA[COMBINADA],DATA[[#This Row],[COMBINADA]])</f>
        <v>0</v>
      </c>
      <c r="AI1076" s="136">
        <f>IFERROR(VLOOKUP(DATA[[#This Row],[COMBINADA]],#REF!,6,0),0)</f>
        <v>0</v>
      </c>
      <c r="AJ1076" s="132">
        <f>IFERROR(VLOOKUP(DATA[[#This Row],[COMBINADA]],#REF!,9,0),0)/COUNTIFS(DATA[COMBINADA],DATA[[#This Row],[COMBINADA]])</f>
        <v>0</v>
      </c>
      <c r="AK1076" s="407">
        <f>IFERROR(VLOOKUP(DATA[[#This Row],[COMBINADA]],#REF!,6,0),0)</f>
        <v>0</v>
      </c>
      <c r="AL1076" s="125">
        <f>IFERROR(VLOOKUP(DATA[[#This Row],[COMBINADA]],#REF!,9,0),0)/COUNTIFS(DATA[COMBINADA],DATA[[#This Row],[COMBINADA]])</f>
        <v>0</v>
      </c>
      <c r="AM1076" s="27">
        <f>IFERROR(VLOOKUP(DATA[[#This Row],[COMBINADA]],#REF!,6,0),0)</f>
        <v>0</v>
      </c>
      <c r="AN1076" s="125">
        <f>IFERROR(VLOOKUP(DATA[[#This Row],[COMBINADA]],#REF!,9,0),0)/COUNTIFS(DATA[COMBINADA],DATA[[#This Row],[COMBINADA]])</f>
        <v>0</v>
      </c>
      <c r="AO1076" s="27">
        <f>IFERROR(VLOOKUP(DATA[[#This Row],[COMBINADA]],#REF!,6,0),0)</f>
        <v>0</v>
      </c>
      <c r="AP1076" s="132">
        <f>IFERROR(VLOOKUP(DATA[[#This Row],[COMBINADA]],#REF!,9,0),0)/COUNTIFS(DATA[COMBINADA],DATA[[#This Row],[COMBINADA]])</f>
        <v>0</v>
      </c>
      <c r="AQ107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6129.27</v>
      </c>
      <c r="AR1076" s="26" t="str">
        <f>IFERROR(IF(DATA[[#This Row],[estado_fact]]="FACTURADO",VLOOKUP(DATA[[#This Row],[SERIE2]]&amp;"-"&amp;DATA[[#This Row],[NUMERO]],#REF!,34,0),"NO CORRESPONDE"),"NO CORRESPONDE")</f>
        <v>NO CORRESPONDE</v>
      </c>
      <c r="AS1076" s="22" t="str">
        <f>IF(DATA[[#This Row],[fecha_fs]]&gt;0,TEXT(DATA[[#This Row],[fecha_fs]],"Mmmm"),0)</f>
        <v>Agosto</v>
      </c>
      <c r="AT1076" s="22" t="str">
        <f>DATA[[#This Row],[SERIE2]]&amp;"-"&amp;DATA[[#This Row],[NUMERO]]</f>
        <v>FF01-221</v>
      </c>
      <c r="AU1076" s="28">
        <f>DATA[[#This Row],[TOTAL]]*DATA[[#This Row],[T.C.]]</f>
        <v>6129.27</v>
      </c>
      <c r="AV1076" s="6">
        <f>DATA[[#This Row],[FECHA DE VAL.]]</f>
        <v>45894</v>
      </c>
      <c r="AW1076" s="6">
        <f>DATA[[#This Row],[FECHA DE EMISION]]</f>
        <v>45895</v>
      </c>
      <c r="AX1076" s="6">
        <f>DATA[[#This Row],[F1]]</f>
        <v>0</v>
      </c>
      <c r="AY1076" s="20">
        <f>IF(AV1076-DATA[[#This Row],[fecha_fs]]&lt;0,0,AV1076-DATA[[#This Row],[fecha_fs]])</f>
        <v>4</v>
      </c>
      <c r="AZ1076" s="20">
        <f>IF(AW1076-AV1076&lt;0,0,AW1076-AV1076)</f>
        <v>1</v>
      </c>
      <c r="BA1076" s="53">
        <f>IF(AX1076-AW1076&lt;0,0,AX1076-AW1076)</f>
        <v>0</v>
      </c>
      <c r="BB1076" s="195">
        <f>IFERROR(SUM(DATA[[#This Row],[fs_val_ttf]:[fact_pago_ttf]]),0)</f>
        <v>5</v>
      </c>
      <c r="BC1076" s="233">
        <v>45891</v>
      </c>
      <c r="BD1076" s="233">
        <v>45895</v>
      </c>
      <c r="BE1076" s="233">
        <v>45901</v>
      </c>
      <c r="BF1076" s="233">
        <v>45909</v>
      </c>
      <c r="BG1076" s="20">
        <f>IFERROR(IF(BC1076-DATA[[#This Row],[fecha_fs]]&lt;0,0,BC1076-DATA[[#This Row],[fecha_fs]]),0)</f>
        <v>1</v>
      </c>
      <c r="BH1076" s="20">
        <f t="shared" si="143"/>
        <v>4</v>
      </c>
      <c r="BI1076" s="20">
        <f t="shared" si="144"/>
        <v>6</v>
      </c>
      <c r="BJ1076" s="20">
        <f t="shared" si="145"/>
        <v>8</v>
      </c>
      <c r="BK1076" s="282">
        <f>IFERROR(SUM(DATA[[#This Row],[fs_fd_ttd]:[fend_fenf_ttd]]),0)</f>
        <v>19</v>
      </c>
      <c r="BL1076" s="20" t="str">
        <f>IF(DATA[[#This Row],[fecha_fs]]&gt;0,TEXT(DATA[[#This Row],[fecha_fs]],"YYYY"),0)</f>
        <v>2025</v>
      </c>
      <c r="BM1076" s="236" t="b">
        <v>1</v>
      </c>
      <c r="BN1076" s="278">
        <f>COUNTIF(DATA[[#This Row],[tiempo_td]], "&lt;=15")</f>
        <v>0</v>
      </c>
      <c r="BO1076" s="222"/>
    </row>
    <row r="1077" spans="1:67" ht="30.6" customHeight="1" x14ac:dyDescent="0.25">
      <c r="A1077" s="4">
        <v>20558226979</v>
      </c>
      <c r="B1077" s="5" t="s">
        <v>45</v>
      </c>
      <c r="C1077" s="52" t="s">
        <v>18</v>
      </c>
      <c r="D1077" s="4" t="s">
        <v>152</v>
      </c>
      <c r="E1077" s="5" t="s">
        <v>10</v>
      </c>
      <c r="F1077" s="24">
        <v>45890</v>
      </c>
      <c r="G1077" s="7" t="s">
        <v>113</v>
      </c>
      <c r="H1077" s="25">
        <f t="shared" ref="H1077:H1081" si="186">IF(G1077="","",IF(G1077="LIM",2,1))</f>
        <v>1</v>
      </c>
      <c r="I1077" s="67">
        <v>4887</v>
      </c>
      <c r="J1077" s="8" t="s">
        <v>115</v>
      </c>
      <c r="K1077" s="9" t="s">
        <v>153</v>
      </c>
      <c r="L1077" s="10" t="s">
        <v>117</v>
      </c>
      <c r="M1077" s="11">
        <v>140</v>
      </c>
      <c r="N1077" s="12" t="s">
        <v>200</v>
      </c>
      <c r="O1077" s="40"/>
      <c r="P1077" s="41" t="s">
        <v>114</v>
      </c>
      <c r="Q1077" s="42"/>
      <c r="R1077" s="43"/>
      <c r="S1077" s="43"/>
      <c r="T1077" s="373">
        <f>DATA[[#This Row],[C. DF]]+DATA[[#This Row],[C.OPE.]]</f>
        <v>0</v>
      </c>
      <c r="U1077" s="43">
        <f>DATA[[#This Row],[SUB TOTAL]]*0.18</f>
        <v>0</v>
      </c>
      <c r="V1077" s="43">
        <f>IFERROR(ROUND(DATA[[#This Row],[SUB TOTAL]]+DATA[[#This Row],[IGV]],2),0)</f>
        <v>0</v>
      </c>
      <c r="W1077" s="16" t="str">
        <f>IF(DATA[[#This Row],[VALORIZACIÓN ]]="-","NO CORRESPONDE",IF(OR(A1077=20558226979,A1077=10470707866,A1077=20111157058,A1077=20100226902),"NO CORRESPONDE",IF(J1077="Emitida",IF(P1077&gt;0,"EMITIDA","PENDIENTE"),"NO CORRESPONDE")))</f>
        <v>NO CORRESPONDE</v>
      </c>
      <c r="X1077" s="45"/>
      <c r="Y1077" s="17" t="s">
        <v>128</v>
      </c>
      <c r="Z1077" s="46"/>
      <c r="AA1077" s="47"/>
      <c r="AB1077" s="48"/>
      <c r="AC1077" s="49"/>
      <c r="AD1077" s="50">
        <f>DATA[[#This Row],[FECHA DE EMISION]]+DATA[[#This Row],[CONDICION DE PAGO]]</f>
        <v>0</v>
      </c>
      <c r="AE1077" s="23">
        <f>IF(DATA[[#This Row],[MONEDA]]="USD",VLOOKUP(DATA[[#This Row],[COMBINADA]],#REF!,11,0),1)</f>
        <v>1</v>
      </c>
      <c r="AF1077" s="129" t="str">
        <f>IF(DATA[[#This Row],[SERIE2]]="-","NO CORRESPONDE",IF(W1077="NO CORRESPONDE","NO CORRESPONDE",IF(Z1077&gt;0,"FACTURADO","PENDIENTE")))</f>
        <v>NO CORRESPONDE</v>
      </c>
      <c r="AG1077" s="133">
        <f>IFERROR(VLOOKUP(DATA[[#This Row],[COMBINADA]],#REF!,6,0),0)</f>
        <v>0</v>
      </c>
      <c r="AH1077" s="125">
        <f>IFERROR(VLOOKUP(DATA[[#This Row],[COMBINADA]],#REF!,9,0),0)/COUNTIFS(DATA[COMBINADA],DATA[[#This Row],[COMBINADA]])</f>
        <v>0</v>
      </c>
      <c r="AI1077" s="136">
        <f>IFERROR(VLOOKUP(DATA[[#This Row],[COMBINADA]],#REF!,6,0),0)</f>
        <v>0</v>
      </c>
      <c r="AJ1077" s="132">
        <f>IFERROR(VLOOKUP(DATA[[#This Row],[COMBINADA]],#REF!,9,0),0)/COUNTIFS(DATA[COMBINADA],DATA[[#This Row],[COMBINADA]])</f>
        <v>0</v>
      </c>
      <c r="AK1077" s="408">
        <f>IFERROR(VLOOKUP(DATA[[#This Row],[COMBINADA]],#REF!,6,0),0)</f>
        <v>0</v>
      </c>
      <c r="AL1077" s="125">
        <f>IFERROR(VLOOKUP(DATA[[#This Row],[COMBINADA]],#REF!,9,0),0)/COUNTIFS(DATA[COMBINADA],DATA[[#This Row],[COMBINADA]])</f>
        <v>0</v>
      </c>
      <c r="AM1077" s="147">
        <f>IFERROR(VLOOKUP(DATA[[#This Row],[COMBINADA]],#REF!,6,0),0)</f>
        <v>0</v>
      </c>
      <c r="AN1077" s="125">
        <f>IFERROR(VLOOKUP(DATA[[#This Row],[COMBINADA]],#REF!,9,0),0)/COUNTIFS(DATA[COMBINADA],DATA[[#This Row],[COMBINADA]])</f>
        <v>0</v>
      </c>
      <c r="AO1077" s="27">
        <f>IFERROR(VLOOKUP(DATA[[#This Row],[COMBINADA]],#REF!,6,0),0)</f>
        <v>0</v>
      </c>
      <c r="AP1077" s="132">
        <f>IFERROR(VLOOKUP(DATA[[#This Row],[COMBINADA]],#REF!,9,0),0)/COUNTIFS(DATA[COMBINADA],DATA[[#This Row],[COMBINADA]])</f>
        <v>0</v>
      </c>
      <c r="AQ107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077" s="26" t="str">
        <f>IFERROR(IF(DATA[[#This Row],[estado_fact]]="FACTURADO",VLOOKUP(DATA[[#This Row],[SERIE2]]&amp;"-"&amp;DATA[[#This Row],[NUMERO]],#REF!,34,0),"NO CORRESPONDE"),"NO CORRESPONDE")</f>
        <v>NO CORRESPONDE</v>
      </c>
      <c r="AS1077" s="22" t="str">
        <f>IF(DATA[[#This Row],[fecha_fs]]&gt;0,TEXT(DATA[[#This Row],[fecha_fs]],"Mmmm"),0)</f>
        <v>Agosto</v>
      </c>
      <c r="AT1077" s="22" t="str">
        <f>DATA[[#This Row],[SERIE2]]&amp;"-"&amp;DATA[[#This Row],[NUMERO]]</f>
        <v>-</v>
      </c>
      <c r="AU1077" s="28">
        <f>DATA[[#This Row],[TOTAL]]*DATA[[#This Row],[T.C.]]</f>
        <v>0</v>
      </c>
      <c r="AV1077" s="6">
        <f>DATA[[#This Row],[FECHA DE VAL.]]</f>
        <v>0</v>
      </c>
      <c r="AW1077" s="6">
        <f>DATA[[#This Row],[FECHA DE EMISION]]</f>
        <v>0</v>
      </c>
      <c r="AX1077" s="6">
        <f>DATA[[#This Row],[F1]]</f>
        <v>0</v>
      </c>
      <c r="AY1077" s="20">
        <f>IF(AV1077-DATA[[#This Row],[fecha_fs]]&lt;0,0,AV1077-DATA[[#This Row],[fecha_fs]])</f>
        <v>0</v>
      </c>
      <c r="AZ1077" s="20">
        <f t="shared" ref="AZ1077:AZ1081" si="187">IF(AW1077-AV1077&lt;0,0,AW1077-AV1077)</f>
        <v>0</v>
      </c>
      <c r="BA1077" s="53">
        <f t="shared" ref="BA1077:BA1081" si="188">IF(AX1077-AW1077&lt;0,0,AX1077-AW1077)</f>
        <v>0</v>
      </c>
      <c r="BB1077" s="195">
        <f>IFERROR(SUM(DATA[[#This Row],[fs_val_ttf]:[fact_pago_ttf]]),0)</f>
        <v>0</v>
      </c>
      <c r="BC1077" s="233">
        <v>45892</v>
      </c>
      <c r="BD1077" s="233">
        <v>45896</v>
      </c>
      <c r="BE1077" s="185">
        <v>45915</v>
      </c>
      <c r="BF1077" s="233">
        <v>45915</v>
      </c>
      <c r="BG1077" s="20">
        <f>IFERROR(IF(BC1077-DATA[[#This Row],[fecha_fs]]&lt;0,0,BC1077-DATA[[#This Row],[fecha_fs]]),0)</f>
        <v>2</v>
      </c>
      <c r="BH1077" s="20">
        <f t="shared" si="143"/>
        <v>4</v>
      </c>
      <c r="BI1077" s="20">
        <f t="shared" si="144"/>
        <v>19</v>
      </c>
      <c r="BJ1077" s="20">
        <f t="shared" si="145"/>
        <v>0</v>
      </c>
      <c r="BK1077" s="282">
        <f>IFERROR(SUM(DATA[[#This Row],[fs_fd_ttd]:[fend_fenf_ttd]]),0)</f>
        <v>25</v>
      </c>
      <c r="BL1077" s="20" t="str">
        <f>IF(DATA[[#This Row],[fecha_fs]]&gt;0,TEXT(DATA[[#This Row],[fecha_fs]],"YYYY"),0)</f>
        <v>2025</v>
      </c>
      <c r="BM1077" s="236" t="b">
        <v>1</v>
      </c>
      <c r="BN1077" s="278">
        <f>COUNTIF(DATA[[#This Row],[tiempo_td]], "&lt;=15")</f>
        <v>0</v>
      </c>
      <c r="BO1077" s="222"/>
    </row>
    <row r="1078" spans="1:67" ht="30.6" customHeight="1" x14ac:dyDescent="0.25">
      <c r="A1078" s="4">
        <v>20603536569</v>
      </c>
      <c r="B1078" s="5" t="s">
        <v>27</v>
      </c>
      <c r="C1078" s="52" t="s">
        <v>295</v>
      </c>
      <c r="D1078" s="4" t="s">
        <v>112</v>
      </c>
      <c r="E1078" s="5" t="s">
        <v>1</v>
      </c>
      <c r="F1078" s="24">
        <v>45890</v>
      </c>
      <c r="G1078" s="7" t="s">
        <v>113</v>
      </c>
      <c r="H1078" s="25">
        <f t="shared" si="186"/>
        <v>1</v>
      </c>
      <c r="I1078" s="67">
        <v>4888</v>
      </c>
      <c r="J1078" s="8" t="s">
        <v>115</v>
      </c>
      <c r="K1078" s="9" t="s">
        <v>116</v>
      </c>
      <c r="L1078" s="10" t="s">
        <v>117</v>
      </c>
      <c r="M1078" s="11">
        <v>1048</v>
      </c>
      <c r="N1078" s="12" t="s">
        <v>167</v>
      </c>
      <c r="O1078" s="6">
        <v>45891</v>
      </c>
      <c r="P1078" s="13">
        <v>3607</v>
      </c>
      <c r="Q1078" s="14" t="s">
        <v>85</v>
      </c>
      <c r="R1078" s="15">
        <f>485+((DATA[[#This Row],[cantidad_fs]]-500)*0.97)</f>
        <v>1016.56</v>
      </c>
      <c r="S1078" s="56">
        <v>7663.9</v>
      </c>
      <c r="T1078" s="237">
        <f>DATA[[#This Row],[C. DF]]+DATA[[#This Row],[C.OPE.]]</f>
        <v>8680.4599999999991</v>
      </c>
      <c r="U1078" s="15">
        <f>DATA[[#This Row],[SUB TOTAL]]*0.18</f>
        <v>1562.4827999999998</v>
      </c>
      <c r="V1078" s="15">
        <f>IFERROR(ROUND(DATA[[#This Row],[SUB TOTAL]]+DATA[[#This Row],[IGV]],2),0)</f>
        <v>10242.94</v>
      </c>
      <c r="W1078" s="16" t="str">
        <f>IF(DATA[[#This Row],[VALORIZACIÓN ]]="-","NO CORRESPONDE",IF(OR(A1078=20558226979,A1078=10470707866,A1078=20111157058,A1078=20100226902),"NO CORRESPONDE",IF(J1078="Emitida",IF(P1078&gt;0,"EMITIDA","PENDIENTE"),"NO CORRESPONDE")))</f>
        <v>EMITIDA</v>
      </c>
      <c r="X1078" s="29"/>
      <c r="Y1078" s="17" t="s">
        <v>118</v>
      </c>
      <c r="Z1078" s="30">
        <v>45904</v>
      </c>
      <c r="AA1078" s="10" t="s">
        <v>150</v>
      </c>
      <c r="AB1078" s="19">
        <v>241</v>
      </c>
      <c r="AC1078" s="20">
        <v>15</v>
      </c>
      <c r="AD1078" s="18">
        <f>DATA[[#This Row],[FECHA DE EMISION]]+DATA[[#This Row],[CONDICION DE PAGO]]</f>
        <v>45919</v>
      </c>
      <c r="AE1078" s="23">
        <f>IF(DATA[[#This Row],[MONEDA]]="USD",VLOOKUP(DATA[[#This Row],[COMBINADA]],#REF!,11,0),1)</f>
        <v>1</v>
      </c>
      <c r="AF1078" s="129" t="str">
        <f>IF(DATA[[#This Row],[SERIE2]]="-","NO CORRESPONDE",IF(W1078="NO CORRESPONDE","NO CORRESPONDE",IF(Z1078&gt;0,"FACTURADO","PENDIENTE")))</f>
        <v>FACTURADO</v>
      </c>
      <c r="AG1078" s="133">
        <f>IFERROR(VLOOKUP(DATA[[#This Row],[COMBINADA]],#REF!,6,0),0)</f>
        <v>0</v>
      </c>
      <c r="AH1078" s="125">
        <f>IFERROR(VLOOKUP(DATA[[#This Row],[COMBINADA]],#REF!,9,0),0)/COUNTIFS(DATA[COMBINADA],DATA[[#This Row],[COMBINADA]])</f>
        <v>0</v>
      </c>
      <c r="AI1078" s="136">
        <f>IFERROR(VLOOKUP(DATA[[#This Row],[COMBINADA]],#REF!,6,0),0)</f>
        <v>0</v>
      </c>
      <c r="AJ1078" s="132">
        <f>IFERROR(VLOOKUP(DATA[[#This Row],[COMBINADA]],#REF!,9,0),0)/COUNTIFS(DATA[COMBINADA],DATA[[#This Row],[COMBINADA]])</f>
        <v>0</v>
      </c>
      <c r="AK1078" s="408">
        <f>IFERROR(VLOOKUP(DATA[[#This Row],[COMBINADA]],#REF!,6,0),0)</f>
        <v>0</v>
      </c>
      <c r="AL1078" s="125">
        <f>IFERROR(VLOOKUP(DATA[[#This Row],[COMBINADA]],#REF!,9,0),0)/COUNTIFS(DATA[COMBINADA],DATA[[#This Row],[COMBINADA]])</f>
        <v>0</v>
      </c>
      <c r="AM1078" s="147">
        <f>IFERROR(VLOOKUP(DATA[[#This Row],[COMBINADA]],#REF!,6,0),0)</f>
        <v>0</v>
      </c>
      <c r="AN1078" s="125">
        <f>IFERROR(VLOOKUP(DATA[[#This Row],[COMBINADA]],#REF!,9,0),0)/COUNTIFS(DATA[COMBINADA],DATA[[#This Row],[COMBINADA]])</f>
        <v>0</v>
      </c>
      <c r="AO1078" s="27">
        <f>IFERROR(VLOOKUP(DATA[[#This Row],[COMBINADA]],#REF!,6,0),0)</f>
        <v>0</v>
      </c>
      <c r="AP1078" s="132">
        <f>IFERROR(VLOOKUP(DATA[[#This Row],[COMBINADA]],#REF!,9,0),0)/COUNTIFS(DATA[COMBINADA],DATA[[#This Row],[COMBINADA]])</f>
        <v>0</v>
      </c>
      <c r="AQ107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10242.94</v>
      </c>
      <c r="AR1078" s="26" t="str">
        <f>IFERROR(IF(DATA[[#This Row],[estado_fact]]="FACTURADO",VLOOKUP(DATA[[#This Row],[SERIE2]]&amp;"-"&amp;DATA[[#This Row],[NUMERO]],#REF!,34,0),"NO CORRESPONDE"),"NO CORRESPONDE")</f>
        <v>NO CORRESPONDE</v>
      </c>
      <c r="AS1078" s="22" t="str">
        <f>IF(DATA[[#This Row],[fecha_fs]]&gt;0,TEXT(DATA[[#This Row],[fecha_fs]],"Mmmm"),0)</f>
        <v>Agosto</v>
      </c>
      <c r="AT1078" s="22" t="str">
        <f>DATA[[#This Row],[SERIE2]]&amp;"-"&amp;DATA[[#This Row],[NUMERO]]</f>
        <v>FF01-241</v>
      </c>
      <c r="AU1078" s="28">
        <f>DATA[[#This Row],[TOTAL]]*DATA[[#This Row],[T.C.]]</f>
        <v>10242.94</v>
      </c>
      <c r="AV1078" s="6">
        <f>DATA[[#This Row],[FECHA DE VAL.]]</f>
        <v>45891</v>
      </c>
      <c r="AW1078" s="6">
        <f>DATA[[#This Row],[FECHA DE EMISION]]</f>
        <v>45904</v>
      </c>
      <c r="AX1078" s="6">
        <f>DATA[[#This Row],[F1]]</f>
        <v>0</v>
      </c>
      <c r="AY1078" s="20">
        <f>IF(AV1078-DATA[[#This Row],[fecha_fs]]&lt;0,0,AV1078-DATA[[#This Row],[fecha_fs]])</f>
        <v>1</v>
      </c>
      <c r="AZ1078" s="20">
        <f t="shared" si="187"/>
        <v>13</v>
      </c>
      <c r="BA1078" s="53">
        <f t="shared" si="188"/>
        <v>0</v>
      </c>
      <c r="BB1078" s="195">
        <f>IFERROR(SUM(DATA[[#This Row],[fs_val_ttf]:[fact_pago_ttf]]),0)</f>
        <v>14</v>
      </c>
      <c r="BC1078" s="276" t="s">
        <v>270</v>
      </c>
      <c r="BD1078" s="276" t="s">
        <v>270</v>
      </c>
      <c r="BE1078" s="276" t="s">
        <v>270</v>
      </c>
      <c r="BF1078" s="276" t="s">
        <v>270</v>
      </c>
      <c r="BG1078" s="20">
        <f>IFERROR(IF(BC1078-DATA[[#This Row],[fecha_fs]]&lt;0,0,BC1078-DATA[[#This Row],[fecha_fs]]),0)</f>
        <v>0</v>
      </c>
      <c r="BH1078" s="20">
        <f t="shared" si="143"/>
        <v>0</v>
      </c>
      <c r="BI1078" s="20">
        <f t="shared" si="144"/>
        <v>0</v>
      </c>
      <c r="BJ1078" s="20">
        <f t="shared" si="145"/>
        <v>0</v>
      </c>
      <c r="BK1078" s="282">
        <f>IFERROR(SUM(DATA[[#This Row],[fs_fd_ttd]:[fend_fenf_ttd]]),0)</f>
        <v>0</v>
      </c>
      <c r="BL1078" s="20" t="str">
        <f>IF(DATA[[#This Row],[fecha_fs]]&gt;0,TEXT(DATA[[#This Row],[fecha_fs]],"YYYY"),0)</f>
        <v>2025</v>
      </c>
      <c r="BM1078" s="236" t="b">
        <v>0</v>
      </c>
      <c r="BN1078" s="278">
        <f>COUNTIF(DATA[[#This Row],[tiempo_td]], "&lt;=15")</f>
        <v>1</v>
      </c>
      <c r="BO1078" s="222"/>
    </row>
    <row r="1079" spans="1:67" ht="30.6" customHeight="1" x14ac:dyDescent="0.25">
      <c r="A1079" s="4"/>
      <c r="B1079" s="5" t="s">
        <v>0</v>
      </c>
      <c r="C1079" s="52"/>
      <c r="D1079" s="4"/>
      <c r="E1079" s="5" t="s">
        <v>0</v>
      </c>
      <c r="F1079" s="24">
        <v>45890</v>
      </c>
      <c r="G1079" s="7" t="s">
        <v>113</v>
      </c>
      <c r="H1079" s="25">
        <f t="shared" si="186"/>
        <v>1</v>
      </c>
      <c r="I1079" s="67">
        <v>4889</v>
      </c>
      <c r="J1079" s="8" t="s">
        <v>173</v>
      </c>
      <c r="K1079" s="9"/>
      <c r="L1079" s="10"/>
      <c r="M1079" s="111"/>
      <c r="N1079" s="112"/>
      <c r="O1079" s="6"/>
      <c r="P1079" s="13"/>
      <c r="Q1079" s="14"/>
      <c r="R1079" s="15"/>
      <c r="S1079" s="15"/>
      <c r="T1079" s="237">
        <f>DATA[[#This Row],[C. DF]]+DATA[[#This Row],[C.OPE.]]</f>
        <v>0</v>
      </c>
      <c r="U1079" s="56">
        <f>DATA[[#This Row],[SUB TOTAL]]*0.18</f>
        <v>0</v>
      </c>
      <c r="V1079" s="56">
        <f>IFERROR(ROUND(DATA[[#This Row],[SUB TOTAL]]+DATA[[#This Row],[IGV]],2),0)</f>
        <v>0</v>
      </c>
      <c r="W1079" s="73" t="str">
        <f>IF(DATA[[#This Row],[VALORIZACIÓN ]]="-","NO CORRESPONDE",IF(OR(A1079=20558226979,A1079=10470707866,A1079=20111157058,A1079=20100226902),"NO CORRESPONDE",IF(J1079="Emitida",IF(P1079&gt;0,"EMITIDA","PENDIENTE"),"NO CORRESPONDE")))</f>
        <v>NO CORRESPONDE</v>
      </c>
      <c r="X1079" s="46"/>
      <c r="Y1079" s="17" t="s">
        <v>128</v>
      </c>
      <c r="Z1079" s="48"/>
      <c r="AA1079" s="49"/>
      <c r="AB1079" s="50"/>
      <c r="AC1079" s="51"/>
      <c r="AD1079" s="59">
        <f>DATA[[#This Row],[FECHA DE EMISION]]+DATA[[#This Row],[CONDICION DE PAGO]]</f>
        <v>0</v>
      </c>
      <c r="AE1079" s="23">
        <f>IF(DATA[[#This Row],[MONEDA]]="USD",VLOOKUP(DATA[[#This Row],[COMBINADA]],#REF!,11,0),1)</f>
        <v>1</v>
      </c>
      <c r="AF1079" s="129" t="str">
        <f>IF(DATA[[#This Row],[SERIE2]]="-","NO CORRESPONDE",IF(W1079="NO CORRESPONDE","NO CORRESPONDE",IF(Z1079&gt;0,"FACTURADO","PENDIENTE")))</f>
        <v>NO CORRESPONDE</v>
      </c>
      <c r="AG1079" s="208">
        <f>IFERROR(VLOOKUP(DATA[[#This Row],[COMBINADA]],#REF!,6,0),0)</f>
        <v>0</v>
      </c>
      <c r="AH1079" s="209">
        <f>IFERROR(VLOOKUP(DATA[[#This Row],[COMBINADA]],#REF!,9,0),0)/COUNTIFS(DATA[COMBINADA],DATA[[#This Row],[COMBINADA]])</f>
        <v>0</v>
      </c>
      <c r="AI1079" s="140">
        <f>IFERROR(VLOOKUP(DATA[[#This Row],[COMBINADA]],#REF!,6,0),0)</f>
        <v>0</v>
      </c>
      <c r="AJ1079" s="126">
        <f>IFERROR(VLOOKUP(DATA[[#This Row],[COMBINADA]],#REF!,9,0),0)/COUNTIFS(DATA[COMBINADA],DATA[[#This Row],[COMBINADA]])</f>
        <v>0</v>
      </c>
      <c r="AK1079" s="61">
        <f>IFERROR(VLOOKUP(DATA[[#This Row],[COMBINADA]],#REF!,6,0),0)</f>
        <v>0</v>
      </c>
      <c r="AL1079" s="126">
        <f>IFERROR(VLOOKUP(DATA[[#This Row],[COMBINADA]],#REF!,9,0),0)/COUNTIFS(DATA[COMBINADA],DATA[[#This Row],[COMBINADA]])</f>
        <v>0</v>
      </c>
      <c r="AM1079" s="61">
        <f>IFERROR(VLOOKUP(DATA[[#This Row],[COMBINADA]],#REF!,6,0),0)</f>
        <v>0</v>
      </c>
      <c r="AN1079" s="62">
        <f>IFERROR(VLOOKUP(DATA[[#This Row],[COMBINADA]],#REF!,9,0),0)/COUNTIFS(DATA[COMBINADA],DATA[[#This Row],[COMBINADA]])</f>
        <v>0</v>
      </c>
      <c r="AO1079" s="61">
        <f>IFERROR(VLOOKUP(DATA[[#This Row],[COMBINADA]],#REF!,6,0),0)</f>
        <v>0</v>
      </c>
      <c r="AP1079" s="62">
        <f>IFERROR(VLOOKUP(DATA[[#This Row],[COMBINADA]],#REF!,9,0),0)/COUNTIFS(DATA[COMBINADA],DATA[[#This Row],[COMBINADA]])</f>
        <v>0</v>
      </c>
      <c r="AQ1079"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079" s="22" t="str">
        <f>IFERROR(IF(DATA[[#This Row],[estado_fact]]="FACTURADO",VLOOKUP(DATA[[#This Row],[SERIE2]]&amp;"-"&amp;DATA[[#This Row],[NUMERO]],#REF!,34,0),"NO CORRESPONDE"),"NO CORRESPONDE")</f>
        <v>NO CORRESPONDE</v>
      </c>
      <c r="AS1079" s="198" t="str">
        <f>IF(DATA[[#This Row],[fecha_fs]]&gt;0,TEXT(DATA[[#This Row],[fecha_fs]],"Mmmm"),0)</f>
        <v>Agosto</v>
      </c>
      <c r="AT1079" s="199" t="str">
        <f>DATA[[#This Row],[SERIE2]]&amp;"-"&amp;DATA[[#This Row],[NUMERO]]</f>
        <v>-</v>
      </c>
      <c r="AU1079" s="198">
        <f>DATA[[#This Row],[TOTAL]]*DATA[[#This Row],[T.C.]]</f>
        <v>0</v>
      </c>
      <c r="AV1079" s="40">
        <f>DATA[[#This Row],[FECHA DE VAL.]]</f>
        <v>0</v>
      </c>
      <c r="AW1079" s="40">
        <f>DATA[[#This Row],[FECHA DE EMISION]]</f>
        <v>0</v>
      </c>
      <c r="AX1079" s="40">
        <f>DATA[[#This Row],[F1]]</f>
        <v>0</v>
      </c>
      <c r="AY1079" s="49">
        <f>IF(AV1079-DATA[[#This Row],[fecha_fs]]&lt;0,0,AV1079-DATA[[#This Row],[fecha_fs]])</f>
        <v>0</v>
      </c>
      <c r="AZ1079" s="49">
        <f t="shared" si="187"/>
        <v>0</v>
      </c>
      <c r="BA1079" s="49">
        <f t="shared" si="188"/>
        <v>0</v>
      </c>
      <c r="BB1079" s="195">
        <f>IFERROR(SUM(DATA[[#This Row],[fs_val_ttf]:[fact_pago_ttf]]),0)</f>
        <v>0</v>
      </c>
      <c r="BC1079" s="276"/>
      <c r="BD1079" s="276"/>
      <c r="BE1079" s="276"/>
      <c r="BF1079" s="276"/>
      <c r="BG1079" s="49">
        <f>IFERROR(IF(BC1079-DATA[[#This Row],[fecha_fs]]&lt;0,0,BC1079-DATA[[#This Row],[fecha_fs]]),0)</f>
        <v>0</v>
      </c>
      <c r="BH1079" s="49">
        <f t="shared" si="143"/>
        <v>0</v>
      </c>
      <c r="BI1079" s="49">
        <f t="shared" si="144"/>
        <v>0</v>
      </c>
      <c r="BJ1079" s="49">
        <f t="shared" si="145"/>
        <v>0</v>
      </c>
      <c r="BK1079" s="282">
        <f>IFERROR(SUM(DATA[[#This Row],[fs_fd_ttd]:[fend_fenf_ttd]]),0)</f>
        <v>0</v>
      </c>
      <c r="BL1079" s="20" t="str">
        <f>IF(DATA[[#This Row],[fecha_fs]]&gt;0,TEXT(DATA[[#This Row],[fecha_fs]],"YYYY"),0)</f>
        <v>2025</v>
      </c>
      <c r="BM1079" s="221" t="b">
        <v>0</v>
      </c>
      <c r="BN1079" s="278"/>
      <c r="BO1079" s="222"/>
    </row>
    <row r="1080" spans="1:67" ht="30.6" customHeight="1" x14ac:dyDescent="0.25">
      <c r="A1080" s="4">
        <v>20100192064</v>
      </c>
      <c r="B1080" s="5" t="s">
        <v>60</v>
      </c>
      <c r="C1080" s="52" t="s">
        <v>64</v>
      </c>
      <c r="D1080" s="4" t="s">
        <v>112</v>
      </c>
      <c r="E1080" s="5" t="s">
        <v>1</v>
      </c>
      <c r="F1080" s="24">
        <v>45891</v>
      </c>
      <c r="G1080" s="7" t="s">
        <v>113</v>
      </c>
      <c r="H1080" s="25">
        <f t="shared" si="186"/>
        <v>1</v>
      </c>
      <c r="I1080" s="67">
        <v>4890</v>
      </c>
      <c r="J1080" s="8" t="s">
        <v>115</v>
      </c>
      <c r="K1080" s="9" t="s">
        <v>136</v>
      </c>
      <c r="L1080" s="10" t="s">
        <v>137</v>
      </c>
      <c r="M1080" s="11">
        <v>36</v>
      </c>
      <c r="N1080" s="12" t="s">
        <v>135</v>
      </c>
      <c r="O1080" s="6">
        <v>45894</v>
      </c>
      <c r="P1080" s="71">
        <v>3614</v>
      </c>
      <c r="Q1080" s="14" t="s">
        <v>123</v>
      </c>
      <c r="R1080" s="15">
        <f>DATA[[#This Row],[cantidad_fs]]*33.34</f>
        <v>1200.2400000000002</v>
      </c>
      <c r="S1080" s="74"/>
      <c r="T1080" s="237">
        <f>DATA[[#This Row],[C. DF]]+DATA[[#This Row],[C.OPE.]]</f>
        <v>1200.2400000000002</v>
      </c>
      <c r="U1080" s="15">
        <f>DATA[[#This Row],[SUB TOTAL]]*0.18</f>
        <v>216.04320000000004</v>
      </c>
      <c r="V1080" s="15">
        <f>IFERROR(ROUND(DATA[[#This Row],[SUB TOTAL]]+DATA[[#This Row],[IGV]],2),0)</f>
        <v>1416.28</v>
      </c>
      <c r="W1080" s="16" t="str">
        <f>IF(DATA[[#This Row],[VALORIZACIÓN ]]="-","NO CORRESPONDE",IF(OR(A1080=20558226979,A1080=10470707866,A1080=20111157058,A1080=20100226902),"NO CORRESPONDE",IF(J1080="Emitida",IF(P1080&gt;0,"EMITIDA","PENDIENTE"),"NO CORRESPONDE")))</f>
        <v>EMITIDA</v>
      </c>
      <c r="X1080" s="29" t="s">
        <v>322</v>
      </c>
      <c r="Y1080" s="17" t="s">
        <v>118</v>
      </c>
      <c r="Z1080" s="277">
        <v>45898</v>
      </c>
      <c r="AA1080" s="20" t="s">
        <v>150</v>
      </c>
      <c r="AB1080" s="19">
        <v>229</v>
      </c>
      <c r="AC1080" s="20">
        <v>30</v>
      </c>
      <c r="AD1080" s="18">
        <f>DATA[[#This Row],[FECHA DE EMISION]]+DATA[[#This Row],[CONDICION DE PAGO]]</f>
        <v>45928</v>
      </c>
      <c r="AE1080" s="23" t="e">
        <f>IF(DATA[[#This Row],[MONEDA]]="USD",VLOOKUP(DATA[[#This Row],[COMBINADA]],#REF!,11,0),1)</f>
        <v>#REF!</v>
      </c>
      <c r="AF1080" s="129" t="str">
        <f>IF(DATA[[#This Row],[SERIE2]]="-","NO CORRESPONDE",IF(W1080="NO CORRESPONDE","NO CORRESPONDE",IF(Z1080&gt;0,"FACTURADO","PENDIENTE")))</f>
        <v>FACTURADO</v>
      </c>
      <c r="AG1080" s="133">
        <f>IFERROR(VLOOKUP(DATA[[#This Row],[COMBINADA]],#REF!,6,0),0)</f>
        <v>0</v>
      </c>
      <c r="AH1080" s="125">
        <f>IFERROR(VLOOKUP(DATA[[#This Row],[COMBINADA]],#REF!,9,0),0)/COUNTIFS(DATA[COMBINADA],DATA[[#This Row],[COMBINADA]])</f>
        <v>0</v>
      </c>
      <c r="AI1080" s="136">
        <f>IFERROR(VLOOKUP(DATA[[#This Row],[COMBINADA]],#REF!,6,0),0)</f>
        <v>0</v>
      </c>
      <c r="AJ1080" s="132">
        <f>IFERROR(VLOOKUP(DATA[[#This Row],[COMBINADA]],#REF!,9,0),0)/COUNTIFS(DATA[COMBINADA],DATA[[#This Row],[COMBINADA]])</f>
        <v>0</v>
      </c>
      <c r="AK1080" s="408">
        <f>IFERROR(VLOOKUP(DATA[[#This Row],[COMBINADA]],#REF!,6,0),0)</f>
        <v>0</v>
      </c>
      <c r="AL1080" s="125">
        <f>IFERROR(VLOOKUP(DATA[[#This Row],[COMBINADA]],#REF!,9,0),0)/COUNTIFS(DATA[COMBINADA],DATA[[#This Row],[COMBINADA]])</f>
        <v>0</v>
      </c>
      <c r="AM1080" s="147">
        <f>IFERROR(VLOOKUP(DATA[[#This Row],[COMBINADA]],#REF!,6,0),0)</f>
        <v>0</v>
      </c>
      <c r="AN1080" s="125">
        <f>IFERROR(VLOOKUP(DATA[[#This Row],[COMBINADA]],#REF!,9,0),0)/COUNTIFS(DATA[COMBINADA],DATA[[#This Row],[COMBINADA]])</f>
        <v>0</v>
      </c>
      <c r="AO1080" s="27">
        <f>IFERROR(VLOOKUP(DATA[[#This Row],[COMBINADA]],#REF!,6,0),0)</f>
        <v>0</v>
      </c>
      <c r="AP1080" s="132">
        <f>IFERROR(VLOOKUP(DATA[[#This Row],[COMBINADA]],#REF!,9,0),0)/COUNTIFS(DATA[COMBINADA],DATA[[#This Row],[COMBINADA]])</f>
        <v>0</v>
      </c>
      <c r="AQ108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587.06100000000004</v>
      </c>
      <c r="AR1080" s="26" t="str">
        <f>IFERROR(IF(DATA[[#This Row],[estado_fact]]="FACTURADO",VLOOKUP(DATA[[#This Row],[SERIE2]]&amp;"-"&amp;DATA[[#This Row],[NUMERO]],#REF!,34,0),"NO CORRESPONDE"),"NO CORRESPONDE")</f>
        <v>NO CORRESPONDE</v>
      </c>
      <c r="AS1080" s="22" t="str">
        <f>IF(DATA[[#This Row],[fecha_fs]]&gt;0,TEXT(DATA[[#This Row],[fecha_fs]],"Mmmm"),0)</f>
        <v>Agosto</v>
      </c>
      <c r="AT1080" s="22" t="str">
        <f>DATA[[#This Row],[SERIE2]]&amp;"-"&amp;DATA[[#This Row],[NUMERO]]</f>
        <v>FF01-229</v>
      </c>
      <c r="AU1080" s="28" t="e">
        <f>DATA[[#This Row],[TOTAL]]*DATA[[#This Row],[T.C.]]</f>
        <v>#REF!</v>
      </c>
      <c r="AV1080" s="6">
        <f>DATA[[#This Row],[FECHA DE VAL.]]</f>
        <v>45894</v>
      </c>
      <c r="AW1080" s="6">
        <f>DATA[[#This Row],[FECHA DE EMISION]]</f>
        <v>45898</v>
      </c>
      <c r="AX1080" s="6">
        <f>DATA[[#This Row],[F1]]</f>
        <v>0</v>
      </c>
      <c r="AY1080" s="20">
        <f>IF(AV1080-DATA[[#This Row],[fecha_fs]]&lt;0,0,AV1080-DATA[[#This Row],[fecha_fs]])</f>
        <v>3</v>
      </c>
      <c r="AZ1080" s="20">
        <f t="shared" si="187"/>
        <v>4</v>
      </c>
      <c r="BA1080" s="53">
        <f t="shared" si="188"/>
        <v>0</v>
      </c>
      <c r="BB1080" s="195">
        <f>IFERROR(SUM(DATA[[#This Row],[fs_val_ttf]:[fact_pago_ttf]]),0)</f>
        <v>7</v>
      </c>
      <c r="BC1080" s="233">
        <v>45894</v>
      </c>
      <c r="BD1080" s="233">
        <v>45908</v>
      </c>
      <c r="BE1080" s="233">
        <v>45909</v>
      </c>
      <c r="BF1080" s="276" t="s">
        <v>270</v>
      </c>
      <c r="BG1080" s="20">
        <f>IFERROR(IF(BC1080-DATA[[#This Row],[fecha_fs]]&lt;0,0,BC1080-DATA[[#This Row],[fecha_fs]]),0)</f>
        <v>3</v>
      </c>
      <c r="BH1080" s="20">
        <f t="shared" si="143"/>
        <v>14</v>
      </c>
      <c r="BI1080" s="20">
        <f t="shared" si="144"/>
        <v>1</v>
      </c>
      <c r="BJ1080" s="20">
        <f t="shared" si="145"/>
        <v>0</v>
      </c>
      <c r="BK1080" s="282">
        <f>IFERROR(SUM(DATA[[#This Row],[fs_fd_ttd]:[fend_fenf_ttd]]),0)</f>
        <v>18</v>
      </c>
      <c r="BL1080" s="20" t="str">
        <f>IF(DATA[[#This Row],[fecha_fs]]&gt;0,TEXT(DATA[[#This Row],[fecha_fs]],"YYYY"),0)</f>
        <v>2025</v>
      </c>
      <c r="BM1080" s="236" t="b">
        <v>0</v>
      </c>
      <c r="BN1080" s="278">
        <f>COUNTIF(DATA[[#This Row],[tiempo_td]], "&lt;=15")</f>
        <v>0</v>
      </c>
      <c r="BO1080" s="222"/>
    </row>
    <row r="1081" spans="1:67" ht="30.6" customHeight="1" x14ac:dyDescent="0.25">
      <c r="A1081" s="4">
        <v>20100055237</v>
      </c>
      <c r="B1081" s="5" t="s">
        <v>21</v>
      </c>
      <c r="C1081" s="52" t="s">
        <v>138</v>
      </c>
      <c r="D1081" s="4" t="s">
        <v>139</v>
      </c>
      <c r="E1081" s="5" t="s">
        <v>23</v>
      </c>
      <c r="F1081" s="24">
        <v>45890</v>
      </c>
      <c r="G1081" s="7" t="s">
        <v>113</v>
      </c>
      <c r="H1081" s="25">
        <f t="shared" si="186"/>
        <v>1</v>
      </c>
      <c r="I1081" s="67">
        <v>4891</v>
      </c>
      <c r="J1081" s="8" t="s">
        <v>115</v>
      </c>
      <c r="K1081" s="9" t="s">
        <v>121</v>
      </c>
      <c r="L1081" s="10" t="s">
        <v>117</v>
      </c>
      <c r="M1081" s="11">
        <v>30</v>
      </c>
      <c r="N1081" s="12" t="s">
        <v>125</v>
      </c>
      <c r="O1081" s="6">
        <v>45898</v>
      </c>
      <c r="P1081" s="54">
        <v>3640</v>
      </c>
      <c r="Q1081" s="14" t="s">
        <v>85</v>
      </c>
      <c r="R1081" s="15"/>
      <c r="S1081" s="15">
        <v>297.92</v>
      </c>
      <c r="T1081" s="237">
        <f>DATA[[#This Row],[C. DF]]+DATA[[#This Row],[C.OPE.]]</f>
        <v>297.92</v>
      </c>
      <c r="U1081" s="15">
        <f>DATA[[#This Row],[SUB TOTAL]]*0.18</f>
        <v>53.625599999999999</v>
      </c>
      <c r="V1081" s="15">
        <f>IFERROR(ROUND(DATA[[#This Row],[SUB TOTAL]]+DATA[[#This Row],[IGV]],2),0)</f>
        <v>351.55</v>
      </c>
      <c r="W1081" s="16" t="str">
        <f>IF(DATA[[#This Row],[VALORIZACIÓN ]]="-","NO CORRESPONDE",IF(OR(A1081=20558226979,A1081=10470707866,A1081=20111157058,A1081=20100226902),"NO CORRESPONDE",IF(J1081="Emitida",IF(P1081&gt;0,"EMITIDA","PENDIENTE"),"NO CORRESPONDE")))</f>
        <v>EMITIDA</v>
      </c>
      <c r="X1081" s="29" t="s">
        <v>379</v>
      </c>
      <c r="Y1081" s="17" t="s">
        <v>118</v>
      </c>
      <c r="Z1081" s="30">
        <v>45971</v>
      </c>
      <c r="AA1081" s="10" t="s">
        <v>150</v>
      </c>
      <c r="AB1081" s="19">
        <v>350</v>
      </c>
      <c r="AC1081" s="20">
        <v>30</v>
      </c>
      <c r="AD1081" s="18">
        <f>DATA[[#This Row],[FECHA DE EMISION]]+DATA[[#This Row],[CONDICION DE PAGO]]</f>
        <v>46001</v>
      </c>
      <c r="AE1081" s="23">
        <f>IF(DATA[[#This Row],[MONEDA]]="USD",VLOOKUP(DATA[[#This Row],[COMBINADA]],#REF!,11,0),1)</f>
        <v>1</v>
      </c>
      <c r="AF1081" s="129" t="str">
        <f>IF(DATA[[#This Row],[SERIE2]]="-","NO CORRESPONDE",IF(W1081="NO CORRESPONDE","NO CORRESPONDE",IF(Z1081&gt;0,"FACTURADO","PENDIENTE")))</f>
        <v>FACTURADO</v>
      </c>
      <c r="AG1081" s="133">
        <f>IFERROR(VLOOKUP(DATA[[#This Row],[COMBINADA]],#REF!,6,0),0)</f>
        <v>0</v>
      </c>
      <c r="AH1081" s="125">
        <f>IFERROR(VLOOKUP(DATA[[#This Row],[COMBINADA]],#REF!,9,0),0)/COUNTIFS(DATA[COMBINADA],DATA[[#This Row],[COMBINADA]])</f>
        <v>0</v>
      </c>
      <c r="AI1081" s="136">
        <f>IFERROR(VLOOKUP(DATA[[#This Row],[COMBINADA]],#REF!,6,0),0)</f>
        <v>0</v>
      </c>
      <c r="AJ1081" s="132">
        <f>IFERROR(VLOOKUP(DATA[[#This Row],[COMBINADA]],#REF!,9,0),0)/COUNTIFS(DATA[COMBINADA],DATA[[#This Row],[COMBINADA]])</f>
        <v>0</v>
      </c>
      <c r="AK1081" s="408">
        <f>IFERROR(VLOOKUP(DATA[[#This Row],[COMBINADA]],#REF!,6,0),0)</f>
        <v>0</v>
      </c>
      <c r="AL1081" s="125">
        <f>IFERROR(VLOOKUP(DATA[[#This Row],[COMBINADA]],#REF!,9,0),0)/COUNTIFS(DATA[COMBINADA],DATA[[#This Row],[COMBINADA]])</f>
        <v>0</v>
      </c>
      <c r="AM1081" s="147">
        <f>IFERROR(VLOOKUP(DATA[[#This Row],[COMBINADA]],#REF!,6,0),0)</f>
        <v>0</v>
      </c>
      <c r="AN1081" s="125">
        <f>IFERROR(VLOOKUP(DATA[[#This Row],[COMBINADA]],#REF!,9,0),0)/COUNTIFS(DATA[COMBINADA],DATA[[#This Row],[COMBINADA]])</f>
        <v>0</v>
      </c>
      <c r="AO1081" s="27">
        <f>IFERROR(VLOOKUP(DATA[[#This Row],[COMBINADA]],#REF!,6,0),0)</f>
        <v>0</v>
      </c>
      <c r="AP1081" s="132">
        <f>IFERROR(VLOOKUP(DATA[[#This Row],[COMBINADA]],#REF!,9,0),0)/COUNTIFS(DATA[COMBINADA],DATA[[#This Row],[COMBINADA]])</f>
        <v>0</v>
      </c>
      <c r="AQ108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081" s="26" t="str">
        <f>IFERROR(IF(DATA[[#This Row],[estado_fact]]="FACTURADO",VLOOKUP(DATA[[#This Row],[SERIE2]]&amp;"-"&amp;DATA[[#This Row],[NUMERO]],#REF!,34,0),"NO CORRESPONDE"),"NO CORRESPONDE")</f>
        <v>NO CORRESPONDE</v>
      </c>
      <c r="AS1081" s="22" t="str">
        <f>IF(DATA[[#This Row],[fecha_fs]]&gt;0,TEXT(DATA[[#This Row],[fecha_fs]],"Mmmm"),0)</f>
        <v>Agosto</v>
      </c>
      <c r="AT1081" s="22" t="str">
        <f>DATA[[#This Row],[SERIE2]]&amp;"-"&amp;DATA[[#This Row],[NUMERO]]</f>
        <v>FF01-350</v>
      </c>
      <c r="AU1081" s="28">
        <f>DATA[[#This Row],[TOTAL]]*DATA[[#This Row],[T.C.]]</f>
        <v>351.55</v>
      </c>
      <c r="AV1081" s="6">
        <f>DATA[[#This Row],[FECHA DE VAL.]]</f>
        <v>45898</v>
      </c>
      <c r="AW1081" s="6">
        <f>DATA[[#This Row],[FECHA DE EMISION]]</f>
        <v>45971</v>
      </c>
      <c r="AX1081" s="6">
        <f>DATA[[#This Row],[F1]]</f>
        <v>0</v>
      </c>
      <c r="AY1081" s="20">
        <f>IF(AV1081-DATA[[#This Row],[fecha_fs]]&lt;0,0,AV1081-DATA[[#This Row],[fecha_fs]])</f>
        <v>8</v>
      </c>
      <c r="AZ1081" s="20">
        <f t="shared" si="187"/>
        <v>73</v>
      </c>
      <c r="BA1081" s="53">
        <f t="shared" si="188"/>
        <v>0</v>
      </c>
      <c r="BB1081" s="195">
        <f>IFERROR(SUM(DATA[[#This Row],[fs_val_ttf]:[fact_pago_ttf]]),0)</f>
        <v>81</v>
      </c>
      <c r="BC1081" s="233">
        <v>45890</v>
      </c>
      <c r="BD1081" s="233">
        <v>45890</v>
      </c>
      <c r="BE1081" s="233">
        <v>45898</v>
      </c>
      <c r="BF1081" s="233">
        <v>45898</v>
      </c>
      <c r="BG1081" s="20">
        <f>IFERROR(IF(BC1081-DATA[[#This Row],[fecha_fs]]&lt;0,0,BC1081-DATA[[#This Row],[fecha_fs]]),0)</f>
        <v>0</v>
      </c>
      <c r="BH1081" s="20">
        <f t="shared" si="143"/>
        <v>0</v>
      </c>
      <c r="BI1081" s="20">
        <f t="shared" si="144"/>
        <v>8</v>
      </c>
      <c r="BJ1081" s="20">
        <f t="shared" si="145"/>
        <v>0</v>
      </c>
      <c r="BK1081" s="282">
        <f>IFERROR(SUM(DATA[[#This Row],[fs_fd_ttd]:[fend_fenf_ttd]]),0)</f>
        <v>8</v>
      </c>
      <c r="BL1081" s="20" t="str">
        <f>IF(DATA[[#This Row],[fecha_fs]]&gt;0,TEXT(DATA[[#This Row],[fecha_fs]],"YYYY"),0)</f>
        <v>2025</v>
      </c>
      <c r="BM1081" s="236" t="b">
        <v>1</v>
      </c>
      <c r="BN1081" s="278">
        <f>COUNTIF(DATA[[#This Row],[tiempo_td]], "&lt;=15")</f>
        <v>1</v>
      </c>
      <c r="BO1081" s="222"/>
    </row>
    <row r="1082" spans="1:67" ht="30.6" customHeight="1" x14ac:dyDescent="0.25">
      <c r="A1082" s="4">
        <v>20100172543</v>
      </c>
      <c r="B1082" s="5" t="s">
        <v>67</v>
      </c>
      <c r="C1082" s="52" t="s">
        <v>18</v>
      </c>
      <c r="D1082" s="4" t="s">
        <v>112</v>
      </c>
      <c r="E1082" s="5" t="s">
        <v>1</v>
      </c>
      <c r="F1082" s="24">
        <v>45890</v>
      </c>
      <c r="G1082" s="7" t="s">
        <v>113</v>
      </c>
      <c r="H1082" s="25">
        <f t="shared" ref="H1082:H1087" si="189">IF(G1082="","",IF(G1082="LIM",2,1))</f>
        <v>1</v>
      </c>
      <c r="I1082" s="67">
        <v>4892</v>
      </c>
      <c r="J1082" s="8" t="s">
        <v>115</v>
      </c>
      <c r="K1082" s="9" t="s">
        <v>116</v>
      </c>
      <c r="L1082" s="10" t="s">
        <v>117</v>
      </c>
      <c r="M1082" s="11">
        <v>790</v>
      </c>
      <c r="N1082" s="12" t="s">
        <v>125</v>
      </c>
      <c r="O1082" s="6">
        <v>45891</v>
      </c>
      <c r="P1082" s="13">
        <v>3608</v>
      </c>
      <c r="Q1082" s="14" t="s">
        <v>85</v>
      </c>
      <c r="R1082" s="15">
        <f>DATA[[#This Row],[cantidad_fs]]*0.42</f>
        <v>331.8</v>
      </c>
      <c r="S1082" s="15">
        <v>912.42</v>
      </c>
      <c r="T1082" s="237">
        <f>DATA[[#This Row],[C. DF]]+DATA[[#This Row],[C.OPE.]]</f>
        <v>1244.22</v>
      </c>
      <c r="U1082" s="15">
        <f>DATA[[#This Row],[SUB TOTAL]]*0.18</f>
        <v>223.95959999999999</v>
      </c>
      <c r="V1082" s="15">
        <f>IFERROR(ROUND(DATA[[#This Row],[SUB TOTAL]]+DATA[[#This Row],[IGV]],2),0)</f>
        <v>1468.18</v>
      </c>
      <c r="W1082" s="16" t="str">
        <f>IF(DATA[[#This Row],[VALORIZACIÓN ]]="-","NO CORRESPONDE",IF(OR(A1082=20558226979,A1082=10470707866,A1082=20111157058,A1082=20100226902),"NO CORRESPONDE",IF(J1082="Emitida",IF(P1082&gt;0,"EMITIDA","PENDIENTE"),"NO CORRESPONDE")))</f>
        <v>EMITIDA</v>
      </c>
      <c r="X1082" s="29"/>
      <c r="Y1082" s="17" t="s">
        <v>118</v>
      </c>
      <c r="Z1082" s="30">
        <v>45895</v>
      </c>
      <c r="AA1082" s="10" t="s">
        <v>150</v>
      </c>
      <c r="AB1082" s="19">
        <v>223</v>
      </c>
      <c r="AC1082" s="20">
        <v>15</v>
      </c>
      <c r="AD1082" s="18">
        <f>DATA[[#This Row],[FECHA DE EMISION]]+DATA[[#This Row],[CONDICION DE PAGO]]</f>
        <v>45910</v>
      </c>
      <c r="AE1082" s="23">
        <f>IF(DATA[[#This Row],[MONEDA]]="USD",VLOOKUP(DATA[[#This Row],[COMBINADA]],#REF!,11,0),1)</f>
        <v>1</v>
      </c>
      <c r="AF1082" s="129" t="str">
        <f>IF(DATA[[#This Row],[SERIE2]]="-","NO CORRESPONDE",IF(W1082="NO CORRESPONDE","NO CORRESPONDE",IF(Z1082&gt;0,"FACTURADO","PENDIENTE")))</f>
        <v>FACTURADO</v>
      </c>
      <c r="AG1082" s="133">
        <f>IFERROR(VLOOKUP(DATA[[#This Row],[COMBINADA]],#REF!,6,0),0)</f>
        <v>0</v>
      </c>
      <c r="AH1082" s="125">
        <f>IFERROR(VLOOKUP(DATA[[#This Row],[COMBINADA]],#REF!,9,0),0)/COUNTIFS(DATA[COMBINADA],DATA[[#This Row],[COMBINADA]])</f>
        <v>0</v>
      </c>
      <c r="AI1082" s="136">
        <f>IFERROR(VLOOKUP(DATA[[#This Row],[COMBINADA]],#REF!,6,0),0)</f>
        <v>0</v>
      </c>
      <c r="AJ1082" s="132">
        <f>IFERROR(VLOOKUP(DATA[[#This Row],[COMBINADA]],#REF!,9,0),0)/COUNTIFS(DATA[COMBINADA],DATA[[#This Row],[COMBINADA]])</f>
        <v>0</v>
      </c>
      <c r="AK1082" s="408">
        <f>IFERROR(VLOOKUP(DATA[[#This Row],[COMBINADA]],#REF!,6,0),0)</f>
        <v>0</v>
      </c>
      <c r="AL1082" s="125">
        <f>IFERROR(VLOOKUP(DATA[[#This Row],[COMBINADA]],#REF!,9,0),0)/COUNTIFS(DATA[COMBINADA],DATA[[#This Row],[COMBINADA]])</f>
        <v>0</v>
      </c>
      <c r="AM1082" s="147">
        <f>IFERROR(VLOOKUP(DATA[[#This Row],[COMBINADA]],#REF!,6,0),0)</f>
        <v>0</v>
      </c>
      <c r="AN1082" s="125">
        <f>IFERROR(VLOOKUP(DATA[[#This Row],[COMBINADA]],#REF!,9,0),0)/COUNTIFS(DATA[COMBINADA],DATA[[#This Row],[COMBINADA]])</f>
        <v>0</v>
      </c>
      <c r="AO1082" s="27">
        <f>IFERROR(VLOOKUP(DATA[[#This Row],[COMBINADA]],#REF!,6,0),0)</f>
        <v>0</v>
      </c>
      <c r="AP1082" s="132">
        <f>IFERROR(VLOOKUP(DATA[[#This Row],[COMBINADA]],#REF!,9,0),0)/COUNTIFS(DATA[COMBINADA],DATA[[#This Row],[COMBINADA]])</f>
        <v>0</v>
      </c>
      <c r="AQ108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1468.18</v>
      </c>
      <c r="AR1082" s="26" t="str">
        <f>IFERROR(IF(DATA[[#This Row],[estado_fact]]="FACTURADO",VLOOKUP(DATA[[#This Row],[SERIE2]]&amp;"-"&amp;DATA[[#This Row],[NUMERO]],#REF!,34,0),"NO CORRESPONDE"),"NO CORRESPONDE")</f>
        <v>NO CORRESPONDE</v>
      </c>
      <c r="AS1082" s="22" t="str">
        <f>IF(DATA[[#This Row],[fecha_fs]]&gt;0,TEXT(DATA[[#This Row],[fecha_fs]],"Mmmm"),0)</f>
        <v>Agosto</v>
      </c>
      <c r="AT1082" s="22" t="str">
        <f>DATA[[#This Row],[SERIE2]]&amp;"-"&amp;DATA[[#This Row],[NUMERO]]</f>
        <v>FF01-223</v>
      </c>
      <c r="AU1082" s="28">
        <f>DATA[[#This Row],[TOTAL]]*DATA[[#This Row],[T.C.]]</f>
        <v>1468.18</v>
      </c>
      <c r="AV1082" s="6">
        <f>DATA[[#This Row],[FECHA DE VAL.]]</f>
        <v>45891</v>
      </c>
      <c r="AW1082" s="6">
        <f>DATA[[#This Row],[FECHA DE EMISION]]</f>
        <v>45895</v>
      </c>
      <c r="AX1082" s="6">
        <f>DATA[[#This Row],[F1]]</f>
        <v>0</v>
      </c>
      <c r="AY1082" s="20">
        <f>IF(AV1082-DATA[[#This Row],[fecha_fs]]&lt;0,0,AV1082-DATA[[#This Row],[fecha_fs]])</f>
        <v>1</v>
      </c>
      <c r="AZ1082" s="20">
        <f t="shared" ref="AZ1082:AZ1087" si="190">IF(AW1082-AV1082&lt;0,0,AW1082-AV1082)</f>
        <v>4</v>
      </c>
      <c r="BA1082" s="53">
        <f t="shared" ref="BA1082:BA1087" si="191">IF(AX1082-AW1082&lt;0,0,AX1082-AW1082)</f>
        <v>0</v>
      </c>
      <c r="BB1082" s="195">
        <f>IFERROR(SUM(DATA[[#This Row],[fs_val_ttf]:[fact_pago_ttf]]),0)</f>
        <v>5</v>
      </c>
      <c r="BC1082" s="233">
        <v>45897</v>
      </c>
      <c r="BD1082" s="233">
        <v>45901</v>
      </c>
      <c r="BE1082" s="233">
        <v>45902</v>
      </c>
      <c r="BF1082" s="233">
        <v>45904</v>
      </c>
      <c r="BG1082" s="20">
        <f>IFERROR(IF(BC1082-DATA[[#This Row],[fecha_fs]]&lt;0,0,BC1082-DATA[[#This Row],[fecha_fs]]),0)</f>
        <v>7</v>
      </c>
      <c r="BH1082" s="20">
        <f t="shared" si="143"/>
        <v>4</v>
      </c>
      <c r="BI1082" s="20">
        <f t="shared" si="144"/>
        <v>1</v>
      </c>
      <c r="BJ1082" s="20">
        <f t="shared" si="145"/>
        <v>2</v>
      </c>
      <c r="BK1082" s="282">
        <f>IFERROR(SUM(DATA[[#This Row],[fs_fd_ttd]:[fend_fenf_ttd]]),0)</f>
        <v>14</v>
      </c>
      <c r="BL1082" s="20" t="str">
        <f>IF(DATA[[#This Row],[fecha_fs]]&gt;0,TEXT(DATA[[#This Row],[fecha_fs]],"YYYY"),0)</f>
        <v>2025</v>
      </c>
      <c r="BM1082" s="236" t="b">
        <v>1</v>
      </c>
      <c r="BN1082" s="278">
        <f>COUNTIF(DATA[[#This Row],[tiempo_td]], "&lt;=15")</f>
        <v>1</v>
      </c>
      <c r="BO1082" s="222"/>
    </row>
    <row r="1083" spans="1:67" ht="30.6" customHeight="1" x14ac:dyDescent="0.25">
      <c r="A1083" s="4">
        <v>20552714378</v>
      </c>
      <c r="B1083" s="5" t="s">
        <v>288</v>
      </c>
      <c r="C1083" s="52" t="s">
        <v>264</v>
      </c>
      <c r="D1083" s="4" t="s">
        <v>112</v>
      </c>
      <c r="E1083" s="5" t="s">
        <v>1</v>
      </c>
      <c r="F1083" s="24">
        <v>45894</v>
      </c>
      <c r="G1083" s="7" t="s">
        <v>113</v>
      </c>
      <c r="H1083" s="25">
        <f t="shared" si="189"/>
        <v>1</v>
      </c>
      <c r="I1083" s="67">
        <v>4893</v>
      </c>
      <c r="J1083" s="8" t="s">
        <v>115</v>
      </c>
      <c r="K1083" s="9" t="s">
        <v>116</v>
      </c>
      <c r="L1083" s="10" t="s">
        <v>117</v>
      </c>
      <c r="M1083" s="11">
        <v>300</v>
      </c>
      <c r="N1083" s="12" t="s">
        <v>125</v>
      </c>
      <c r="O1083" s="6">
        <v>45922</v>
      </c>
      <c r="P1083" s="109">
        <v>3669</v>
      </c>
      <c r="Q1083" s="14" t="s">
        <v>85</v>
      </c>
      <c r="R1083" s="56">
        <f>450</f>
        <v>450</v>
      </c>
      <c r="S1083" s="56">
        <v>2319.6999999999998</v>
      </c>
      <c r="T1083" s="237">
        <f>DATA[[#This Row],[C. DF]]+DATA[[#This Row],[C.OPE.]]</f>
        <v>2769.7</v>
      </c>
      <c r="U1083" s="15">
        <f>DATA[[#This Row],[SUB TOTAL]]*0.18</f>
        <v>498.54599999999994</v>
      </c>
      <c r="V1083" s="15">
        <f>IFERROR(ROUND(DATA[[#This Row],[SUB TOTAL]]+DATA[[#This Row],[IGV]],2),0)</f>
        <v>3268.25</v>
      </c>
      <c r="W1083" s="16" t="str">
        <f>IF(DATA[[#This Row],[VALORIZACIÓN ]]="-","NO CORRESPONDE",IF(OR(A1083=20558226979,A1083=10470707866,A1083=20111157058,A1083=20100226902),"NO CORRESPONDE",IF(J1083="Emitida",IF(P1083&gt;0,"EMITIDA","PENDIENTE"),"NO CORRESPONDE")))</f>
        <v>EMITIDA</v>
      </c>
      <c r="X1083" s="29"/>
      <c r="Y1083" s="17" t="s">
        <v>118</v>
      </c>
      <c r="Z1083" s="30">
        <v>45933</v>
      </c>
      <c r="AA1083" s="10" t="s">
        <v>150</v>
      </c>
      <c r="AB1083" s="19">
        <v>279</v>
      </c>
      <c r="AC1083" s="20">
        <v>60</v>
      </c>
      <c r="AD1083" s="18">
        <f>DATA[[#This Row],[FECHA DE EMISION]]+DATA[[#This Row],[CONDICION DE PAGO]]</f>
        <v>45993</v>
      </c>
      <c r="AE1083" s="23">
        <f>IF(DATA[[#This Row],[MONEDA]]="USD",VLOOKUP(DATA[[#This Row],[COMBINADA]],#REF!,11,0),1)</f>
        <v>1</v>
      </c>
      <c r="AF1083" s="39" t="str">
        <f>IF(DATA[[#This Row],[SERIE2]]="-","NO CORRESPONDE",IF(W1083="NO CORRESPONDE","NO CORRESPONDE",IF(Z1083&gt;0,"FACTURADO","PENDIENTE")))</f>
        <v>FACTURADO</v>
      </c>
      <c r="AG1083" s="133">
        <f>IFERROR(VLOOKUP(DATA[[#This Row],[COMBINADA]],#REF!,6,0),0)</f>
        <v>0</v>
      </c>
      <c r="AH1083" s="125">
        <f>IFERROR(VLOOKUP(DATA[[#This Row],[COMBINADA]],#REF!,9,0),0)/COUNTIFS(DATA[COMBINADA],DATA[[#This Row],[COMBINADA]])</f>
        <v>0</v>
      </c>
      <c r="AI1083" s="136">
        <f>IFERROR(VLOOKUP(DATA[[#This Row],[COMBINADA]],#REF!,6,0),0)</f>
        <v>0</v>
      </c>
      <c r="AJ1083" s="132">
        <f>IFERROR(VLOOKUP(DATA[[#This Row],[COMBINADA]],#REF!,9,0),0)/COUNTIFS(DATA[COMBINADA],DATA[[#This Row],[COMBINADA]])</f>
        <v>0</v>
      </c>
      <c r="AK1083" s="408">
        <f>IFERROR(VLOOKUP(DATA[[#This Row],[COMBINADA]],#REF!,6,0),0)</f>
        <v>0</v>
      </c>
      <c r="AL1083" s="125">
        <f>IFERROR(VLOOKUP(DATA[[#This Row],[COMBINADA]],#REF!,9,0),0)/COUNTIFS(DATA[COMBINADA],DATA[[#This Row],[COMBINADA]])</f>
        <v>0</v>
      </c>
      <c r="AM1083" s="147">
        <f>IFERROR(VLOOKUP(DATA[[#This Row],[COMBINADA]],#REF!,6,0),0)</f>
        <v>0</v>
      </c>
      <c r="AN1083" s="125">
        <f>IFERROR(VLOOKUP(DATA[[#This Row],[COMBINADA]],#REF!,9,0),0)/COUNTIFS(DATA[COMBINADA],DATA[[#This Row],[COMBINADA]])</f>
        <v>0</v>
      </c>
      <c r="AO1083" s="27">
        <f>IFERROR(VLOOKUP(DATA[[#This Row],[COMBINADA]],#REF!,6,0),0)</f>
        <v>0</v>
      </c>
      <c r="AP1083" s="132">
        <f>IFERROR(VLOOKUP(DATA[[#This Row],[COMBINADA]],#REF!,9,0),0)/COUNTIFS(DATA[COMBINADA],DATA[[#This Row],[COMBINADA]])</f>
        <v>0</v>
      </c>
      <c r="AQ108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3472.6849999999999</v>
      </c>
      <c r="AR1083" s="26" t="str">
        <f>IFERROR(IF(DATA[[#This Row],[estado_fact]]="FACTURADO",VLOOKUP(DATA[[#This Row],[SERIE2]]&amp;"-"&amp;DATA[[#This Row],[NUMERO]],#REF!,34,0),"NO CORRESPONDE"),"NO CORRESPONDE")</f>
        <v>NO CORRESPONDE</v>
      </c>
      <c r="AS1083" s="22" t="str">
        <f>IF(DATA[[#This Row],[fecha_fs]]&gt;0,TEXT(DATA[[#This Row],[fecha_fs]],"Mmmm"),0)</f>
        <v>Agosto</v>
      </c>
      <c r="AT1083" s="22" t="str">
        <f>DATA[[#This Row],[SERIE2]]&amp;"-"&amp;DATA[[#This Row],[NUMERO]]</f>
        <v>FF01-279</v>
      </c>
      <c r="AU1083" s="28">
        <f>DATA[[#This Row],[TOTAL]]*DATA[[#This Row],[T.C.]]</f>
        <v>3268.25</v>
      </c>
      <c r="AV1083" s="6">
        <f>DATA[[#This Row],[FECHA DE VAL.]]</f>
        <v>45922</v>
      </c>
      <c r="AW1083" s="6">
        <f>DATA[[#This Row],[FECHA DE EMISION]]</f>
        <v>45933</v>
      </c>
      <c r="AX1083" s="6">
        <f>DATA[[#This Row],[F1]]</f>
        <v>0</v>
      </c>
      <c r="AY1083" s="20">
        <f>IF(AV1083-DATA[[#This Row],[fecha_fs]]&lt;0,0,AV1083-DATA[[#This Row],[fecha_fs]])</f>
        <v>28</v>
      </c>
      <c r="AZ1083" s="20">
        <f t="shared" si="190"/>
        <v>11</v>
      </c>
      <c r="BA1083" s="53">
        <f t="shared" si="191"/>
        <v>0</v>
      </c>
      <c r="BB1083" s="195">
        <f>IFERROR(SUM(DATA[[#This Row],[fs_val_ttf]:[fact_pago_ttf]]),0)</f>
        <v>39</v>
      </c>
      <c r="BC1083" s="185">
        <v>45894</v>
      </c>
      <c r="BD1083" s="185">
        <v>45903</v>
      </c>
      <c r="BE1083" s="185">
        <v>45909</v>
      </c>
      <c r="BF1083" s="185">
        <v>45903</v>
      </c>
      <c r="BG1083" s="20">
        <f>IFERROR(IF(BC1083-DATA[[#This Row],[fecha_fs]]&lt;0,0,BC1083-DATA[[#This Row],[fecha_fs]]),0)</f>
        <v>0</v>
      </c>
      <c r="BH1083" s="20">
        <f t="shared" si="143"/>
        <v>9</v>
      </c>
      <c r="BI1083" s="20">
        <f t="shared" si="144"/>
        <v>6</v>
      </c>
      <c r="BJ1083" s="20">
        <f t="shared" si="145"/>
        <v>0</v>
      </c>
      <c r="BK1083" s="282">
        <f>IFERROR(SUM(DATA[[#This Row],[fs_fd_ttd]:[fend_fenf_ttd]]),0)</f>
        <v>15</v>
      </c>
      <c r="BL1083" s="20" t="str">
        <f>IF(DATA[[#This Row],[fecha_fs]]&gt;0,TEXT(DATA[[#This Row],[fecha_fs]],"YYYY"),0)</f>
        <v>2025</v>
      </c>
      <c r="BM1083" s="236" t="b">
        <v>1</v>
      </c>
      <c r="BN1083" s="278">
        <f>COUNTIF(DATA[[#This Row],[tiempo_td]], "&lt;=15")</f>
        <v>1</v>
      </c>
      <c r="BO1083" s="222"/>
    </row>
    <row r="1084" spans="1:67" ht="30.6" customHeight="1" x14ac:dyDescent="0.25">
      <c r="A1084" s="4">
        <v>20100192064</v>
      </c>
      <c r="B1084" s="5" t="s">
        <v>60</v>
      </c>
      <c r="C1084" s="52" t="s">
        <v>65</v>
      </c>
      <c r="D1084" s="4" t="s">
        <v>120</v>
      </c>
      <c r="E1084" s="5" t="s">
        <v>3</v>
      </c>
      <c r="F1084" s="24">
        <v>45891</v>
      </c>
      <c r="G1084" s="7" t="s">
        <v>142</v>
      </c>
      <c r="H1084" s="25">
        <f>IF(G1084="","",IF(G1084="LIM",2,1))</f>
        <v>2</v>
      </c>
      <c r="I1084" s="67">
        <v>1129</v>
      </c>
      <c r="J1084" s="8" t="s">
        <v>115</v>
      </c>
      <c r="K1084" s="9" t="s">
        <v>121</v>
      </c>
      <c r="L1084" s="10" t="s">
        <v>117</v>
      </c>
      <c r="M1084" s="11">
        <v>520</v>
      </c>
      <c r="N1084" s="12" t="s">
        <v>180</v>
      </c>
      <c r="O1084" s="6">
        <v>45894</v>
      </c>
      <c r="P1084" s="71">
        <v>3616</v>
      </c>
      <c r="Q1084" s="14" t="s">
        <v>123</v>
      </c>
      <c r="R1084" s="206">
        <f>(DATA[[#This Row],[cantidad_fs]]/1000)*(37+81.01)</f>
        <v>61.365200000000002</v>
      </c>
      <c r="S1084" s="56">
        <v>103.6</v>
      </c>
      <c r="T1084" s="237">
        <f>DATA[[#This Row],[C. DF]]+DATA[[#This Row],[C.OPE.]]</f>
        <v>164.96519999999998</v>
      </c>
      <c r="U1084" s="15">
        <f>DATA[[#This Row],[SUB TOTAL]]*0.18</f>
        <v>29.693735999999994</v>
      </c>
      <c r="V1084" s="15">
        <f>IFERROR(ROUND(DATA[[#This Row],[SUB TOTAL]]+DATA[[#This Row],[IGV]],2),0)</f>
        <v>194.66</v>
      </c>
      <c r="W1084" s="16" t="str">
        <f>IF(DATA[[#This Row],[VALORIZACIÓN ]]="-","NO CORRESPONDE",IF(OR(A1084=20558226979,A1084=10470707866,A1084=20111157058,A1084=20100226902),"NO CORRESPONDE",IF(J1084="Emitida",IF(P1084&gt;0,"EMITIDA","PENDIENTE"),"NO CORRESPONDE")))</f>
        <v>EMITIDA</v>
      </c>
      <c r="X1084" s="29"/>
      <c r="Y1084" s="17" t="s">
        <v>118</v>
      </c>
      <c r="Z1084" s="30">
        <v>45895</v>
      </c>
      <c r="AA1084" s="10" t="s">
        <v>150</v>
      </c>
      <c r="AB1084" s="19">
        <v>220</v>
      </c>
      <c r="AC1084" s="20">
        <v>30</v>
      </c>
      <c r="AD1084" s="18">
        <f>DATA[[#This Row],[FECHA DE EMISION]]+DATA[[#This Row],[CONDICION DE PAGO]]</f>
        <v>45925</v>
      </c>
      <c r="AE1084" s="23" t="e">
        <f>IF(DATA[[#This Row],[MONEDA]]="USD",VLOOKUP(DATA[[#This Row],[COMBINADA]],#REF!,11,0),1)</f>
        <v>#REF!</v>
      </c>
      <c r="AF1084" s="129" t="str">
        <f>IF(DATA[[#This Row],[SERIE2]]="-","NO CORRESPONDE",IF(W1084="NO CORRESPONDE","NO CORRESPONDE",IF(Z1084&gt;0,"FACTURADO","PENDIENTE")))</f>
        <v>FACTURADO</v>
      </c>
      <c r="AG1084" s="133">
        <f>IFERROR(VLOOKUP(DATA[[#This Row],[COMBINADA]],#REF!,6,0),0)</f>
        <v>0</v>
      </c>
      <c r="AH1084" s="125">
        <f>IFERROR(VLOOKUP(DATA[[#This Row],[COMBINADA]],#REF!,9,0),0)/COUNTIFS(DATA[COMBINADA],DATA[[#This Row],[COMBINADA]])</f>
        <v>0</v>
      </c>
      <c r="AI1084" s="136">
        <f>IFERROR(VLOOKUP(DATA[[#This Row],[COMBINADA]],#REF!,6,0),0)</f>
        <v>0</v>
      </c>
      <c r="AJ1084" s="132">
        <f>IFERROR(VLOOKUP(DATA[[#This Row],[COMBINADA]],#REF!,9,0),0)/COUNTIFS(DATA[COMBINADA],DATA[[#This Row],[COMBINADA]])</f>
        <v>0</v>
      </c>
      <c r="AK1084" s="407">
        <f>IFERROR(VLOOKUP(DATA[[#This Row],[COMBINADA]],#REF!,6,0),0)</f>
        <v>0</v>
      </c>
      <c r="AL1084" s="125">
        <f>IFERROR(VLOOKUP(DATA[[#This Row],[COMBINADA]],#REF!,9,0),0)/COUNTIFS(DATA[COMBINADA],DATA[[#This Row],[COMBINADA]])</f>
        <v>0</v>
      </c>
      <c r="AM1084" s="27">
        <f>IFERROR(VLOOKUP(DATA[[#This Row],[COMBINADA]],#REF!,6,0),0)</f>
        <v>0</v>
      </c>
      <c r="AN1084" s="125">
        <f>IFERROR(VLOOKUP(DATA[[#This Row],[COMBINADA]],#REF!,9,0),0)/COUNTIFS(DATA[COMBINADA],DATA[[#This Row],[COMBINADA]])</f>
        <v>0</v>
      </c>
      <c r="AO1084" s="27">
        <f>IFERROR(VLOOKUP(DATA[[#This Row],[COMBINADA]],#REF!,6,0),0)</f>
        <v>0</v>
      </c>
      <c r="AP1084" s="132">
        <f>IFERROR(VLOOKUP(DATA[[#This Row],[COMBINADA]],#REF!,9,0),0)/COUNTIFS(DATA[COMBINADA],DATA[[#This Row],[COMBINADA]])</f>
        <v>0</v>
      </c>
      <c r="AQ108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572.11888888888882</v>
      </c>
      <c r="AR1084" s="26" t="str">
        <f>IFERROR(IF(DATA[[#This Row],[estado_fact]]="FACTURADO",VLOOKUP(DATA[[#This Row],[SERIE2]]&amp;"-"&amp;DATA[[#This Row],[NUMERO]],#REF!,34,0),"NO CORRESPONDE"),"NO CORRESPONDE")</f>
        <v>NO CORRESPONDE</v>
      </c>
      <c r="AS1084" s="22" t="str">
        <f>IF(DATA[[#This Row],[fecha_fs]]&gt;0,TEXT(DATA[[#This Row],[fecha_fs]],"Mmmm"),0)</f>
        <v>Agosto</v>
      </c>
      <c r="AT1084" s="22" t="str">
        <f>DATA[[#This Row],[SERIE2]]&amp;"-"&amp;DATA[[#This Row],[NUMERO]]</f>
        <v>FF01-220</v>
      </c>
      <c r="AU1084" s="28" t="e">
        <f>DATA[[#This Row],[TOTAL]]*DATA[[#This Row],[T.C.]]</f>
        <v>#REF!</v>
      </c>
      <c r="AV1084" s="6">
        <f>DATA[[#This Row],[FECHA DE VAL.]]</f>
        <v>45894</v>
      </c>
      <c r="AW1084" s="6">
        <f>DATA[[#This Row],[FECHA DE EMISION]]</f>
        <v>45895</v>
      </c>
      <c r="AX1084" s="6">
        <f>DATA[[#This Row],[F1]]</f>
        <v>0</v>
      </c>
      <c r="AY1084" s="20">
        <f>IF(AV1084-DATA[[#This Row],[fecha_fs]]&lt;0,0,AV1084-DATA[[#This Row],[fecha_fs]])</f>
        <v>3</v>
      </c>
      <c r="AZ1084" s="20">
        <f>IF(AW1084-AV1084&lt;0,0,AW1084-AV1084)</f>
        <v>1</v>
      </c>
      <c r="BA1084" s="53">
        <f>IF(AX1084-AW1084&lt;0,0,AX1084-AW1084)</f>
        <v>0</v>
      </c>
      <c r="BB1084" s="195">
        <f>IFERROR(SUM(DATA[[#This Row],[fs_val_ttf]:[fact_pago_ttf]]),0)</f>
        <v>4</v>
      </c>
      <c r="BC1084" s="233">
        <v>45894</v>
      </c>
      <c r="BD1084" s="233">
        <v>45903</v>
      </c>
      <c r="BE1084" s="233">
        <v>45904</v>
      </c>
      <c r="BF1084" s="233">
        <v>45945</v>
      </c>
      <c r="BG1084" s="20">
        <f>IFERROR(IF(BC1084-DATA[[#This Row],[fecha_fs]]&lt;0,0,BC1084-DATA[[#This Row],[fecha_fs]]),0)</f>
        <v>3</v>
      </c>
      <c r="BH1084" s="20">
        <f t="shared" ref="BH1084" si="192">IFERROR(IF(BD1084-BC1084&lt;0,0,BD1084-BC1084),0)</f>
        <v>9</v>
      </c>
      <c r="BI1084" s="20">
        <f t="shared" ref="BI1084" si="193">IFERROR(IF(BE1084-BD1084&lt;0,0,BE1084-BD1084),0)</f>
        <v>1</v>
      </c>
      <c r="BJ1084" s="20">
        <f t="shared" ref="BJ1084" si="194">IFERROR(IF(BF1084-BE1084&lt;0,0,BF1084-BE1084),0)</f>
        <v>41</v>
      </c>
      <c r="BK1084" s="282">
        <f>IFERROR(SUM(DATA[[#This Row],[fs_fd_ttd]:[fend_fenf_ttd]]),0)</f>
        <v>54</v>
      </c>
      <c r="BL1084" s="20" t="str">
        <f>IF(DATA[[#This Row],[fecha_fs]]&gt;0,TEXT(DATA[[#This Row],[fecha_fs]],"YYYY"),0)</f>
        <v>2025</v>
      </c>
      <c r="BM1084" s="236" t="b">
        <v>1</v>
      </c>
      <c r="BN1084" s="278">
        <f>COUNTIF(DATA[[#This Row],[tiempo_td]], "&lt;=15")</f>
        <v>0</v>
      </c>
      <c r="BO1084" s="222"/>
    </row>
    <row r="1085" spans="1:67" ht="30.6" customHeight="1" x14ac:dyDescent="0.25">
      <c r="A1085" s="4">
        <v>20100192064</v>
      </c>
      <c r="B1085" s="5" t="s">
        <v>60</v>
      </c>
      <c r="C1085" s="52" t="s">
        <v>64</v>
      </c>
      <c r="D1085" s="4" t="s">
        <v>112</v>
      </c>
      <c r="E1085" s="5" t="s">
        <v>1</v>
      </c>
      <c r="F1085" s="24">
        <v>45891</v>
      </c>
      <c r="G1085" s="7" t="s">
        <v>113</v>
      </c>
      <c r="H1085" s="25">
        <f t="shared" si="189"/>
        <v>1</v>
      </c>
      <c r="I1085" s="67">
        <v>4894</v>
      </c>
      <c r="J1085" s="8" t="s">
        <v>115</v>
      </c>
      <c r="K1085" s="9" t="s">
        <v>136</v>
      </c>
      <c r="L1085" s="10" t="s">
        <v>137</v>
      </c>
      <c r="M1085" s="11">
        <v>36</v>
      </c>
      <c r="N1085" s="12" t="s">
        <v>135</v>
      </c>
      <c r="O1085" s="6">
        <v>45894</v>
      </c>
      <c r="P1085" s="71">
        <v>3614</v>
      </c>
      <c r="Q1085" s="14" t="s">
        <v>123</v>
      </c>
      <c r="R1085" s="15">
        <f>DATA[[#This Row],[cantidad_fs]]*33.34</f>
        <v>1200.2400000000002</v>
      </c>
      <c r="S1085" s="74"/>
      <c r="T1085" s="237">
        <f>DATA[[#This Row],[C. DF]]+DATA[[#This Row],[C.OPE.]]</f>
        <v>1200.2400000000002</v>
      </c>
      <c r="U1085" s="15">
        <f>DATA[[#This Row],[SUB TOTAL]]*0.18</f>
        <v>216.04320000000004</v>
      </c>
      <c r="V1085" s="15">
        <f>IFERROR(ROUND(DATA[[#This Row],[SUB TOTAL]]+DATA[[#This Row],[IGV]],2),0)</f>
        <v>1416.28</v>
      </c>
      <c r="W1085" s="16" t="str">
        <f>IF(DATA[[#This Row],[VALORIZACIÓN ]]="-","NO CORRESPONDE",IF(OR(A1085=20558226979,A1085=10470707866,A1085=20111157058,A1085=20100226902),"NO CORRESPONDE",IF(J1085="Emitida",IF(P1085&gt;0,"EMITIDA","PENDIENTE"),"NO CORRESPONDE")))</f>
        <v>EMITIDA</v>
      </c>
      <c r="X1085" s="29" t="s">
        <v>347</v>
      </c>
      <c r="Y1085" s="17" t="s">
        <v>118</v>
      </c>
      <c r="Z1085" s="30">
        <v>45930</v>
      </c>
      <c r="AA1085" s="10" t="s">
        <v>349</v>
      </c>
      <c r="AB1085" s="19">
        <v>4</v>
      </c>
      <c r="AC1085" s="20">
        <v>30</v>
      </c>
      <c r="AD1085" s="18">
        <f>DATA[[#This Row],[FECHA DE EMISION]]+DATA[[#This Row],[CONDICION DE PAGO]]</f>
        <v>45960</v>
      </c>
      <c r="AE1085" s="23" t="e">
        <f>IF(DATA[[#This Row],[MONEDA]]="USD",VLOOKUP(DATA[[#This Row],[COMBINADA]],#REF!,11,0),1)</f>
        <v>#REF!</v>
      </c>
      <c r="AF1085" s="129" t="str">
        <f>IF(DATA[[#This Row],[SERIE2]]="-","NO CORRESPONDE",IF(W1085="NO CORRESPONDE","NO CORRESPONDE",IF(Z1085&gt;0,"FACTURADO","PENDIENTE")))</f>
        <v>FACTURADO</v>
      </c>
      <c r="AG1085" s="133">
        <f>IFERROR(VLOOKUP(DATA[[#This Row],[COMBINADA]],#REF!,6,0),0)</f>
        <v>0</v>
      </c>
      <c r="AH1085" s="125">
        <f>IFERROR(VLOOKUP(DATA[[#This Row],[COMBINADA]],#REF!,9,0),0)/COUNTIFS(DATA[COMBINADA],DATA[[#This Row],[COMBINADA]])</f>
        <v>0</v>
      </c>
      <c r="AI1085" s="136">
        <f>IFERROR(VLOOKUP(DATA[[#This Row],[COMBINADA]],#REF!,6,0),0)</f>
        <v>0</v>
      </c>
      <c r="AJ1085" s="132">
        <f>IFERROR(VLOOKUP(DATA[[#This Row],[COMBINADA]],#REF!,9,0),0)/COUNTIFS(DATA[COMBINADA],DATA[[#This Row],[COMBINADA]])</f>
        <v>0</v>
      </c>
      <c r="AK1085" s="408">
        <f>IFERROR(VLOOKUP(DATA[[#This Row],[COMBINADA]],#REF!,6,0),0)</f>
        <v>0</v>
      </c>
      <c r="AL1085" s="125">
        <f>IFERROR(VLOOKUP(DATA[[#This Row],[COMBINADA]],#REF!,9,0),0)/COUNTIFS(DATA[COMBINADA],DATA[[#This Row],[COMBINADA]])</f>
        <v>0</v>
      </c>
      <c r="AM1085" s="147">
        <f>IFERROR(VLOOKUP(DATA[[#This Row],[COMBINADA]],#REF!,6,0),0)</f>
        <v>0</v>
      </c>
      <c r="AN1085" s="125">
        <f>IFERROR(VLOOKUP(DATA[[#This Row],[COMBINADA]],#REF!,9,0),0)/COUNTIFS(DATA[COMBINADA],DATA[[#This Row],[COMBINADA]])</f>
        <v>0</v>
      </c>
      <c r="AO1085" s="27">
        <f>IFERROR(VLOOKUP(DATA[[#This Row],[COMBINADA]],#REF!,6,0),0)</f>
        <v>0</v>
      </c>
      <c r="AP1085" s="132">
        <f>IFERROR(VLOOKUP(DATA[[#This Row],[COMBINADA]],#REF!,9,0),0)/COUNTIFS(DATA[COMBINADA],DATA[[#This Row],[COMBINADA]])</f>
        <v>0</v>
      </c>
      <c r="AQ108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642.19333333333327</v>
      </c>
      <c r="AR1085" s="26" t="str">
        <f>IFERROR(IF(DATA[[#This Row],[estado_fact]]="FACTURADO",VLOOKUP(DATA[[#This Row],[SERIE2]]&amp;"-"&amp;DATA[[#This Row],[NUMERO]],#REF!,34,0),"NO CORRESPONDE"),"NO CORRESPONDE")</f>
        <v>NO CORRESPONDE</v>
      </c>
      <c r="AS1085" s="22" t="str">
        <f>IF(DATA[[#This Row],[fecha_fs]]&gt;0,TEXT(DATA[[#This Row],[fecha_fs]],"Mmmm"),0)</f>
        <v>Agosto</v>
      </c>
      <c r="AT1085" s="22" t="str">
        <f>DATA[[#This Row],[SERIE2]]&amp;"-"&amp;DATA[[#This Row],[NUMERO]]</f>
        <v>FF04-4</v>
      </c>
      <c r="AU1085" s="28" t="e">
        <f>DATA[[#This Row],[TOTAL]]*DATA[[#This Row],[T.C.]]</f>
        <v>#REF!</v>
      </c>
      <c r="AV1085" s="6">
        <f>DATA[[#This Row],[FECHA DE VAL.]]</f>
        <v>45894</v>
      </c>
      <c r="AW1085" s="6">
        <f>DATA[[#This Row],[FECHA DE EMISION]]</f>
        <v>45930</v>
      </c>
      <c r="AX1085" s="6">
        <f>DATA[[#This Row],[F1]]</f>
        <v>0</v>
      </c>
      <c r="AY1085" s="20">
        <f>IF(AV1085-DATA[[#This Row],[fecha_fs]]&lt;0,0,AV1085-DATA[[#This Row],[fecha_fs]])</f>
        <v>3</v>
      </c>
      <c r="AZ1085" s="20">
        <f t="shared" si="190"/>
        <v>36</v>
      </c>
      <c r="BA1085" s="53">
        <f t="shared" si="191"/>
        <v>0</v>
      </c>
      <c r="BB1085" s="195">
        <f>IFERROR(SUM(DATA[[#This Row],[fs_val_ttf]:[fact_pago_ttf]]),0)</f>
        <v>39</v>
      </c>
      <c r="BC1085" s="233">
        <v>45897</v>
      </c>
      <c r="BD1085" s="233">
        <v>45908</v>
      </c>
      <c r="BE1085" s="233">
        <v>45909</v>
      </c>
      <c r="BF1085" s="276" t="s">
        <v>270</v>
      </c>
      <c r="BG1085" s="20">
        <f>IFERROR(IF(BC1085-DATA[[#This Row],[fecha_fs]]&lt;0,0,BC1085-DATA[[#This Row],[fecha_fs]]),0)</f>
        <v>6</v>
      </c>
      <c r="BH1085" s="20">
        <f t="shared" si="143"/>
        <v>11</v>
      </c>
      <c r="BI1085" s="20">
        <f t="shared" si="144"/>
        <v>1</v>
      </c>
      <c r="BJ1085" s="20">
        <f t="shared" si="145"/>
        <v>0</v>
      </c>
      <c r="BK1085" s="282">
        <f>IFERROR(SUM(DATA[[#This Row],[fs_fd_ttd]:[fend_fenf_ttd]]),0)</f>
        <v>18</v>
      </c>
      <c r="BL1085" s="20" t="str">
        <f>IF(DATA[[#This Row],[fecha_fs]]&gt;0,TEXT(DATA[[#This Row],[fecha_fs]],"YYYY"),0)</f>
        <v>2025</v>
      </c>
      <c r="BM1085" s="236" t="b">
        <v>0</v>
      </c>
      <c r="BN1085" s="278">
        <f>COUNTIF(DATA[[#This Row],[tiempo_td]], "&lt;=15")</f>
        <v>0</v>
      </c>
      <c r="BO1085" s="222"/>
    </row>
    <row r="1086" spans="1:67" ht="30.6" customHeight="1" x14ac:dyDescent="0.25">
      <c r="A1086" s="4">
        <v>20100192064</v>
      </c>
      <c r="B1086" s="5" t="s">
        <v>60</v>
      </c>
      <c r="C1086" s="52" t="s">
        <v>43</v>
      </c>
      <c r="D1086" s="4" t="s">
        <v>120</v>
      </c>
      <c r="E1086" s="5" t="s">
        <v>3</v>
      </c>
      <c r="F1086" s="24">
        <v>45891</v>
      </c>
      <c r="G1086" s="7" t="s">
        <v>113</v>
      </c>
      <c r="H1086" s="25">
        <f t="shared" si="189"/>
        <v>1</v>
      </c>
      <c r="I1086" s="67">
        <v>4895</v>
      </c>
      <c r="J1086" s="8" t="s">
        <v>115</v>
      </c>
      <c r="K1086" s="9" t="s">
        <v>121</v>
      </c>
      <c r="L1086" s="10" t="s">
        <v>117</v>
      </c>
      <c r="M1086" s="11">
        <v>830</v>
      </c>
      <c r="N1086" s="12" t="s">
        <v>129</v>
      </c>
      <c r="O1086" s="6">
        <v>45894</v>
      </c>
      <c r="P1086" s="71">
        <v>3610</v>
      </c>
      <c r="Q1086" s="14" t="s">
        <v>123</v>
      </c>
      <c r="R1086" s="237">
        <f>(DATA[[#This Row],[cantidad_fs]]/1000)*(47+174.34)</f>
        <v>183.7122</v>
      </c>
      <c r="S1086" s="237">
        <v>137</v>
      </c>
      <c r="T1086" s="237">
        <f>DATA[[#This Row],[C. DF]]+DATA[[#This Row],[C.OPE.]]</f>
        <v>320.7122</v>
      </c>
      <c r="U1086" s="15">
        <f>DATA[[#This Row],[SUB TOTAL]]*0.18</f>
        <v>57.728195999999997</v>
      </c>
      <c r="V1086" s="15">
        <f>IFERROR(ROUND(DATA[[#This Row],[SUB TOTAL]]+DATA[[#This Row],[IGV]],2),0)</f>
        <v>378.44</v>
      </c>
      <c r="W1086" s="16" t="str">
        <f>IF(DATA[[#This Row],[VALORIZACIÓN ]]="-","NO CORRESPONDE",IF(OR(A1086=20558226979,A1086=10470707866,A1086=20111157058,A1086=20100226902),"NO CORRESPONDE",IF(J1086="Emitida",IF(P1086&gt;0,"EMITIDA","PENDIENTE"),"NO CORRESPONDE")))</f>
        <v>EMITIDA</v>
      </c>
      <c r="X1086" s="29" t="s">
        <v>322</v>
      </c>
      <c r="Y1086" s="17" t="s">
        <v>118</v>
      </c>
      <c r="Z1086" s="277">
        <v>45898</v>
      </c>
      <c r="AA1086" s="20" t="s">
        <v>150</v>
      </c>
      <c r="AB1086" s="19">
        <v>229</v>
      </c>
      <c r="AC1086" s="20">
        <v>30</v>
      </c>
      <c r="AD1086" s="18">
        <f>DATA[[#This Row],[FECHA DE EMISION]]+DATA[[#This Row],[CONDICION DE PAGO]]</f>
        <v>45928</v>
      </c>
      <c r="AE1086" s="23" t="e">
        <f>IF(DATA[[#This Row],[MONEDA]]="USD",VLOOKUP(DATA[[#This Row],[COMBINADA]],#REF!,11,0),1)</f>
        <v>#REF!</v>
      </c>
      <c r="AF1086" s="129" t="str">
        <f>IF(DATA[[#This Row],[SERIE2]]="-","NO CORRESPONDE",IF(W1086="NO CORRESPONDE","NO CORRESPONDE",IF(Z1086&gt;0,"FACTURADO","PENDIENTE")))</f>
        <v>FACTURADO</v>
      </c>
      <c r="AG1086" s="133">
        <f>IFERROR(VLOOKUP(DATA[[#This Row],[COMBINADA]],#REF!,6,0),0)</f>
        <v>0</v>
      </c>
      <c r="AH1086" s="125">
        <f>IFERROR(VLOOKUP(DATA[[#This Row],[COMBINADA]],#REF!,9,0),0)/COUNTIFS(DATA[COMBINADA],DATA[[#This Row],[COMBINADA]])</f>
        <v>0</v>
      </c>
      <c r="AI1086" s="136">
        <f>IFERROR(VLOOKUP(DATA[[#This Row],[COMBINADA]],#REF!,6,0),0)</f>
        <v>0</v>
      </c>
      <c r="AJ1086" s="132">
        <f>IFERROR(VLOOKUP(DATA[[#This Row],[COMBINADA]],#REF!,9,0),0)/COUNTIFS(DATA[COMBINADA],DATA[[#This Row],[COMBINADA]])</f>
        <v>0</v>
      </c>
      <c r="AK1086" s="408">
        <f>IFERROR(VLOOKUP(DATA[[#This Row],[COMBINADA]],#REF!,6,0),0)</f>
        <v>0</v>
      </c>
      <c r="AL1086" s="125">
        <f>IFERROR(VLOOKUP(DATA[[#This Row],[COMBINADA]],#REF!,9,0),0)/COUNTIFS(DATA[COMBINADA],DATA[[#This Row],[COMBINADA]])</f>
        <v>0</v>
      </c>
      <c r="AM1086" s="147">
        <f>IFERROR(VLOOKUP(DATA[[#This Row],[COMBINADA]],#REF!,6,0),0)</f>
        <v>0</v>
      </c>
      <c r="AN1086" s="125">
        <f>IFERROR(VLOOKUP(DATA[[#This Row],[COMBINADA]],#REF!,9,0),0)/COUNTIFS(DATA[COMBINADA],DATA[[#This Row],[COMBINADA]])</f>
        <v>0</v>
      </c>
      <c r="AO1086" s="27">
        <f>IFERROR(VLOOKUP(DATA[[#This Row],[COMBINADA]],#REF!,6,0),0)</f>
        <v>0</v>
      </c>
      <c r="AP1086" s="132">
        <f>IFERROR(VLOOKUP(DATA[[#This Row],[COMBINADA]],#REF!,9,0),0)/COUNTIFS(DATA[COMBINADA],DATA[[#This Row],[COMBINADA]])</f>
        <v>0</v>
      </c>
      <c r="AQ108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587.06100000000004</v>
      </c>
      <c r="AR1086" s="26" t="str">
        <f>IFERROR(IF(DATA[[#This Row],[estado_fact]]="FACTURADO",VLOOKUP(DATA[[#This Row],[SERIE2]]&amp;"-"&amp;DATA[[#This Row],[NUMERO]],#REF!,34,0),"NO CORRESPONDE"),"NO CORRESPONDE")</f>
        <v>NO CORRESPONDE</v>
      </c>
      <c r="AS1086" s="22" t="str">
        <f>IF(DATA[[#This Row],[fecha_fs]]&gt;0,TEXT(DATA[[#This Row],[fecha_fs]],"Mmmm"),0)</f>
        <v>Agosto</v>
      </c>
      <c r="AT1086" s="22" t="str">
        <f>DATA[[#This Row],[SERIE2]]&amp;"-"&amp;DATA[[#This Row],[NUMERO]]</f>
        <v>FF01-229</v>
      </c>
      <c r="AU1086" s="28" t="e">
        <f>DATA[[#This Row],[TOTAL]]*DATA[[#This Row],[T.C.]]</f>
        <v>#REF!</v>
      </c>
      <c r="AV1086" s="6">
        <f>DATA[[#This Row],[FECHA DE VAL.]]</f>
        <v>45894</v>
      </c>
      <c r="AW1086" s="6">
        <f>DATA[[#This Row],[FECHA DE EMISION]]</f>
        <v>45898</v>
      </c>
      <c r="AX1086" s="6">
        <f>DATA[[#This Row],[F1]]</f>
        <v>0</v>
      </c>
      <c r="AY1086" s="20">
        <f>IF(AV1086-DATA[[#This Row],[fecha_fs]]&lt;0,0,AV1086-DATA[[#This Row],[fecha_fs]])</f>
        <v>3</v>
      </c>
      <c r="AZ1086" s="20">
        <f t="shared" si="190"/>
        <v>4</v>
      </c>
      <c r="BA1086" s="53">
        <f t="shared" si="191"/>
        <v>0</v>
      </c>
      <c r="BB1086" s="195">
        <f>IFERROR(SUM(DATA[[#This Row],[fs_val_ttf]:[fact_pago_ttf]]),0)</f>
        <v>7</v>
      </c>
      <c r="BC1086" s="233">
        <v>45904</v>
      </c>
      <c r="BD1086" s="233">
        <v>45911</v>
      </c>
      <c r="BE1086" s="233">
        <v>45918</v>
      </c>
      <c r="BF1086" s="233">
        <v>45945</v>
      </c>
      <c r="BG1086" s="20">
        <f>IFERROR(IF(BC1086-DATA[[#This Row],[fecha_fs]]&lt;0,0,BC1086-DATA[[#This Row],[fecha_fs]]),0)</f>
        <v>13</v>
      </c>
      <c r="BH1086" s="20">
        <f t="shared" si="143"/>
        <v>7</v>
      </c>
      <c r="BI1086" s="20">
        <f t="shared" si="144"/>
        <v>7</v>
      </c>
      <c r="BJ1086" s="20">
        <f t="shared" si="145"/>
        <v>27</v>
      </c>
      <c r="BK1086" s="282">
        <f>IFERROR(SUM(DATA[[#This Row],[fs_fd_ttd]:[fend_fenf_ttd]]),0)</f>
        <v>54</v>
      </c>
      <c r="BL1086" s="20" t="str">
        <f>IF(DATA[[#This Row],[fecha_fs]]&gt;0,TEXT(DATA[[#This Row],[fecha_fs]],"YYYY"),0)</f>
        <v>2025</v>
      </c>
      <c r="BM1086" s="236" t="b">
        <v>1</v>
      </c>
      <c r="BN1086" s="278">
        <f>COUNTIF(DATA[[#This Row],[tiempo_td]], "&lt;=15")</f>
        <v>0</v>
      </c>
      <c r="BO1086" s="222"/>
    </row>
    <row r="1087" spans="1:67" ht="30.6" customHeight="1" x14ac:dyDescent="0.25">
      <c r="A1087" s="4">
        <v>20141637941</v>
      </c>
      <c r="B1087" s="5" t="s">
        <v>79</v>
      </c>
      <c r="C1087" s="52" t="s">
        <v>18</v>
      </c>
      <c r="D1087" s="4" t="s">
        <v>120</v>
      </c>
      <c r="E1087" s="5" t="s">
        <v>3</v>
      </c>
      <c r="F1087" s="24">
        <v>45891</v>
      </c>
      <c r="G1087" s="7" t="s">
        <v>113</v>
      </c>
      <c r="H1087" s="25">
        <f t="shared" si="189"/>
        <v>1</v>
      </c>
      <c r="I1087" s="67">
        <v>4896</v>
      </c>
      <c r="J1087" s="8" t="s">
        <v>115</v>
      </c>
      <c r="K1087" s="9" t="s">
        <v>121</v>
      </c>
      <c r="L1087" s="10" t="s">
        <v>117</v>
      </c>
      <c r="M1087" s="11">
        <v>970</v>
      </c>
      <c r="N1087" s="12" t="s">
        <v>125</v>
      </c>
      <c r="O1087" s="6">
        <v>45898</v>
      </c>
      <c r="P1087" s="317">
        <v>3641</v>
      </c>
      <c r="Q1087" s="14" t="s">
        <v>85</v>
      </c>
      <c r="R1087" s="15">
        <v>80</v>
      </c>
      <c r="S1087" s="15">
        <v>832</v>
      </c>
      <c r="T1087" s="237">
        <f>DATA[[#This Row],[C. DF]]+DATA[[#This Row],[C.OPE.]]</f>
        <v>912</v>
      </c>
      <c r="U1087" s="15">
        <f>DATA[[#This Row],[SUB TOTAL]]*0.18</f>
        <v>164.16</v>
      </c>
      <c r="V1087" s="15">
        <f>IFERROR(ROUND(DATA[[#This Row],[SUB TOTAL]]+DATA[[#This Row],[IGV]],2),0)</f>
        <v>1076.1600000000001</v>
      </c>
      <c r="W1087" s="16" t="str">
        <f>IF(DATA[[#This Row],[VALORIZACIÓN ]]="-","NO CORRESPONDE",IF(OR(A1087=20558226979,A1087=10470707866,A1087=20111157058,A1087=20100226902),"NO CORRESPONDE",IF(J1087="Emitida",IF(P1087&gt;0,"EMITIDA","PENDIENTE"),"NO CORRESPONDE")))</f>
        <v>EMITIDA</v>
      </c>
      <c r="X1087" s="29"/>
      <c r="Y1087" s="17" t="s">
        <v>118</v>
      </c>
      <c r="Z1087" s="30">
        <v>45901</v>
      </c>
      <c r="AA1087" s="10" t="s">
        <v>150</v>
      </c>
      <c r="AB1087" s="19">
        <v>231</v>
      </c>
      <c r="AC1087" s="20">
        <v>30</v>
      </c>
      <c r="AD1087" s="18">
        <f>DATA[[#This Row],[FECHA DE EMISION]]+DATA[[#This Row],[CONDICION DE PAGO]]</f>
        <v>45931</v>
      </c>
      <c r="AE1087" s="23">
        <f>IF(DATA[[#This Row],[MONEDA]]="USD",VLOOKUP(DATA[[#This Row],[COMBINADA]],#REF!,11,0),1)</f>
        <v>1</v>
      </c>
      <c r="AF1087" s="129" t="str">
        <f>IF(DATA[[#This Row],[SERIE2]]="-","NO CORRESPONDE",IF(W1087="NO CORRESPONDE","NO CORRESPONDE",IF(Z1087&gt;0,"FACTURADO","PENDIENTE")))</f>
        <v>FACTURADO</v>
      </c>
      <c r="AG1087" s="133">
        <f>IFERROR(VLOOKUP(DATA[[#This Row],[COMBINADA]],#REF!,6,0),0)</f>
        <v>0</v>
      </c>
      <c r="AH1087" s="125">
        <f>IFERROR(VLOOKUP(DATA[[#This Row],[COMBINADA]],#REF!,9,0),0)/COUNTIFS(DATA[COMBINADA],DATA[[#This Row],[COMBINADA]])</f>
        <v>0</v>
      </c>
      <c r="AI1087" s="136">
        <f>IFERROR(VLOOKUP(DATA[[#This Row],[COMBINADA]],#REF!,6,0),0)</f>
        <v>0</v>
      </c>
      <c r="AJ1087" s="132">
        <f>IFERROR(VLOOKUP(DATA[[#This Row],[COMBINADA]],#REF!,9,0),0)/COUNTIFS(DATA[COMBINADA],DATA[[#This Row],[COMBINADA]])</f>
        <v>0</v>
      </c>
      <c r="AK1087" s="408">
        <f>IFERROR(VLOOKUP(DATA[[#This Row],[COMBINADA]],#REF!,6,0),0)</f>
        <v>0</v>
      </c>
      <c r="AL1087" s="125">
        <f>IFERROR(VLOOKUP(DATA[[#This Row],[COMBINADA]],#REF!,9,0),0)/COUNTIFS(DATA[COMBINADA],DATA[[#This Row],[COMBINADA]])</f>
        <v>0</v>
      </c>
      <c r="AM1087" s="147">
        <f>IFERROR(VLOOKUP(DATA[[#This Row],[COMBINADA]],#REF!,6,0),0)</f>
        <v>0</v>
      </c>
      <c r="AN1087" s="125">
        <f>IFERROR(VLOOKUP(DATA[[#This Row],[COMBINADA]],#REF!,9,0),0)/COUNTIFS(DATA[COMBINADA],DATA[[#This Row],[COMBINADA]])</f>
        <v>0</v>
      </c>
      <c r="AO1087" s="27">
        <f>IFERROR(VLOOKUP(DATA[[#This Row],[COMBINADA]],#REF!,6,0),0)</f>
        <v>0</v>
      </c>
      <c r="AP1087" s="132">
        <f>IFERROR(VLOOKUP(DATA[[#This Row],[COMBINADA]],#REF!,9,0),0)/COUNTIFS(DATA[COMBINADA],DATA[[#This Row],[COMBINADA]])</f>
        <v>0</v>
      </c>
      <c r="AQ108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1088.19625</v>
      </c>
      <c r="AR1087" s="26" t="str">
        <f>IFERROR(IF(DATA[[#This Row],[estado_fact]]="FACTURADO",VLOOKUP(DATA[[#This Row],[SERIE2]]&amp;"-"&amp;DATA[[#This Row],[NUMERO]],#REF!,34,0),"NO CORRESPONDE"),"NO CORRESPONDE")</f>
        <v>NO CORRESPONDE</v>
      </c>
      <c r="AS1087" s="22" t="str">
        <f>IF(DATA[[#This Row],[fecha_fs]]&gt;0,TEXT(DATA[[#This Row],[fecha_fs]],"Mmmm"),0)</f>
        <v>Agosto</v>
      </c>
      <c r="AT1087" s="22" t="str">
        <f>DATA[[#This Row],[SERIE2]]&amp;"-"&amp;DATA[[#This Row],[NUMERO]]</f>
        <v>FF01-231</v>
      </c>
      <c r="AU1087" s="28">
        <f>DATA[[#This Row],[TOTAL]]*DATA[[#This Row],[T.C.]]</f>
        <v>1076.1600000000001</v>
      </c>
      <c r="AV1087" s="6">
        <f>DATA[[#This Row],[FECHA DE VAL.]]</f>
        <v>45898</v>
      </c>
      <c r="AW1087" s="6">
        <f>DATA[[#This Row],[FECHA DE EMISION]]</f>
        <v>45901</v>
      </c>
      <c r="AX1087" s="6">
        <f>DATA[[#This Row],[F1]]</f>
        <v>0</v>
      </c>
      <c r="AY1087" s="20">
        <f>IF(AV1087-DATA[[#This Row],[fecha_fs]]&lt;0,0,AV1087-DATA[[#This Row],[fecha_fs]])</f>
        <v>7</v>
      </c>
      <c r="AZ1087" s="20">
        <f t="shared" si="190"/>
        <v>3</v>
      </c>
      <c r="BA1087" s="53">
        <f t="shared" si="191"/>
        <v>0</v>
      </c>
      <c r="BB1087" s="195">
        <f>IFERROR(SUM(DATA[[#This Row],[fs_val_ttf]:[fact_pago_ttf]]),0)</f>
        <v>10</v>
      </c>
      <c r="BC1087" s="233">
        <v>45897</v>
      </c>
      <c r="BD1087" s="233">
        <v>45903</v>
      </c>
      <c r="BE1087" s="233">
        <v>45904</v>
      </c>
      <c r="BF1087" s="233">
        <v>45904</v>
      </c>
      <c r="BG1087" s="20">
        <f>IFERROR(IF(BC1087-DATA[[#This Row],[fecha_fs]]&lt;0,0,BC1087-DATA[[#This Row],[fecha_fs]]),0)</f>
        <v>6</v>
      </c>
      <c r="BH1087" s="20">
        <f t="shared" si="143"/>
        <v>6</v>
      </c>
      <c r="BI1087" s="20">
        <f t="shared" si="144"/>
        <v>1</v>
      </c>
      <c r="BJ1087" s="20">
        <f t="shared" si="145"/>
        <v>0</v>
      </c>
      <c r="BK1087" s="282">
        <f>IFERROR(SUM(DATA[[#This Row],[fs_fd_ttd]:[fend_fenf_ttd]]),0)</f>
        <v>13</v>
      </c>
      <c r="BL1087" s="20" t="str">
        <f>IF(DATA[[#This Row],[fecha_fs]]&gt;0,TEXT(DATA[[#This Row],[fecha_fs]],"YYYY"),0)</f>
        <v>2025</v>
      </c>
      <c r="BM1087" s="236" t="b">
        <v>1</v>
      </c>
      <c r="BN1087" s="278">
        <f>COUNTIF(DATA[[#This Row],[tiempo_td]], "&lt;=15")</f>
        <v>1</v>
      </c>
      <c r="BO1087" s="222"/>
    </row>
    <row r="1088" spans="1:67" ht="30.6" customHeight="1" x14ac:dyDescent="0.25">
      <c r="A1088" s="4">
        <v>20100211115</v>
      </c>
      <c r="B1088" s="5" t="s">
        <v>41</v>
      </c>
      <c r="C1088" s="52" t="s">
        <v>18</v>
      </c>
      <c r="D1088" s="4" t="s">
        <v>120</v>
      </c>
      <c r="E1088" s="5" t="s">
        <v>3</v>
      </c>
      <c r="F1088" s="24">
        <v>45891</v>
      </c>
      <c r="G1088" s="7" t="s">
        <v>113</v>
      </c>
      <c r="H1088" s="25">
        <f t="shared" ref="H1088:H1091" si="195">IF(G1088="","",IF(G1088="LIM",2,1))</f>
        <v>1</v>
      </c>
      <c r="I1088" s="67">
        <v>4897</v>
      </c>
      <c r="J1088" s="8" t="s">
        <v>115</v>
      </c>
      <c r="K1088" s="9" t="s">
        <v>121</v>
      </c>
      <c r="L1088" s="10" t="s">
        <v>117</v>
      </c>
      <c r="M1088" s="11">
        <v>90</v>
      </c>
      <c r="N1088" s="12" t="s">
        <v>125</v>
      </c>
      <c r="O1088" s="6">
        <v>45894</v>
      </c>
      <c r="P1088" s="115">
        <v>3625</v>
      </c>
      <c r="Q1088" s="14" t="s">
        <v>85</v>
      </c>
      <c r="R1088" s="74"/>
      <c r="S1088" s="15">
        <f>(DATA[[#This Row],[cantidad_fs]]*4.17)</f>
        <v>375.3</v>
      </c>
      <c r="T1088" s="237">
        <f>DATA[[#This Row],[C. DF]]+DATA[[#This Row],[C.OPE.]]</f>
        <v>375.3</v>
      </c>
      <c r="U1088" s="15">
        <f>DATA[[#This Row],[SUB TOTAL]]*0.18</f>
        <v>67.554000000000002</v>
      </c>
      <c r="V1088" s="15">
        <f>IFERROR(ROUND(DATA[[#This Row],[SUB TOTAL]]+DATA[[#This Row],[IGV]],2),0)</f>
        <v>442.85</v>
      </c>
      <c r="W1088" s="16" t="str">
        <f>IF(DATA[[#This Row],[VALORIZACIÓN ]]="-","NO CORRESPONDE",IF(OR(A1088=20558226979,A1088=10470707866,A1088=20111157058,A1088=20100226902),"NO CORRESPONDE",IF(J1088="Emitida",IF(P1088&gt;0,"EMITIDA","PENDIENTE"),"NO CORRESPONDE")))</f>
        <v>EMITIDA</v>
      </c>
      <c r="X1088" s="29"/>
      <c r="Y1088" s="17" t="s">
        <v>118</v>
      </c>
      <c r="Z1088" s="30">
        <v>45896</v>
      </c>
      <c r="AA1088" s="10" t="s">
        <v>150</v>
      </c>
      <c r="AB1088" s="19">
        <v>224</v>
      </c>
      <c r="AC1088" s="20">
        <v>30</v>
      </c>
      <c r="AD1088" s="18">
        <f>DATA[[#This Row],[FECHA DE EMISION]]+DATA[[#This Row],[CONDICION DE PAGO]]</f>
        <v>45926</v>
      </c>
      <c r="AE1088" s="23">
        <f>IF(DATA[[#This Row],[MONEDA]]="USD",VLOOKUP(DATA[[#This Row],[COMBINADA]],#REF!,11,0),1)</f>
        <v>1</v>
      </c>
      <c r="AF1088" s="129" t="str">
        <f>IF(DATA[[#This Row],[SERIE2]]="-","NO CORRESPONDE",IF(W1088="NO CORRESPONDE","NO CORRESPONDE",IF(Z1088&gt;0,"FACTURADO","PENDIENTE")))</f>
        <v>FACTURADO</v>
      </c>
      <c r="AG1088" s="133">
        <f>IFERROR(VLOOKUP(DATA[[#This Row],[COMBINADA]],#REF!,6,0),0)</f>
        <v>0</v>
      </c>
      <c r="AH1088" s="125">
        <f>IFERROR(VLOOKUP(DATA[[#This Row],[COMBINADA]],#REF!,9,0),0)/COUNTIFS(DATA[COMBINADA],DATA[[#This Row],[COMBINADA]])</f>
        <v>0</v>
      </c>
      <c r="AI1088" s="136">
        <f>IFERROR(VLOOKUP(DATA[[#This Row],[COMBINADA]],#REF!,6,0),0)</f>
        <v>0</v>
      </c>
      <c r="AJ1088" s="132">
        <f>IFERROR(VLOOKUP(DATA[[#This Row],[COMBINADA]],#REF!,9,0),0)/COUNTIFS(DATA[COMBINADA],DATA[[#This Row],[COMBINADA]])</f>
        <v>0</v>
      </c>
      <c r="AK1088" s="408">
        <f>IFERROR(VLOOKUP(DATA[[#This Row],[COMBINADA]],#REF!,6,0),0)</f>
        <v>0</v>
      </c>
      <c r="AL1088" s="125">
        <f>IFERROR(VLOOKUP(DATA[[#This Row],[COMBINADA]],#REF!,9,0),0)/COUNTIFS(DATA[COMBINADA],DATA[[#This Row],[COMBINADA]])</f>
        <v>0</v>
      </c>
      <c r="AM1088" s="147">
        <f>IFERROR(VLOOKUP(DATA[[#This Row],[COMBINADA]],#REF!,6,0),0)</f>
        <v>0</v>
      </c>
      <c r="AN1088" s="125">
        <f>IFERROR(VLOOKUP(DATA[[#This Row],[COMBINADA]],#REF!,9,0),0)/COUNTIFS(DATA[COMBINADA],DATA[[#This Row],[COMBINADA]])</f>
        <v>0</v>
      </c>
      <c r="AO1088" s="27">
        <f>IFERROR(VLOOKUP(DATA[[#This Row],[COMBINADA]],#REF!,6,0),0)</f>
        <v>0</v>
      </c>
      <c r="AP1088" s="132">
        <f>IFERROR(VLOOKUP(DATA[[#This Row],[COMBINADA]],#REF!,9,0),0)/COUNTIFS(DATA[COMBINADA],DATA[[#This Row],[COMBINADA]])</f>
        <v>0</v>
      </c>
      <c r="AQ108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v>
      </c>
      <c r="AR1088" s="26" t="str">
        <f>IFERROR(IF(DATA[[#This Row],[estado_fact]]="FACTURADO",VLOOKUP(DATA[[#This Row],[SERIE2]]&amp;"-"&amp;DATA[[#This Row],[NUMERO]],#REF!,34,0),"NO CORRESPONDE"),"NO CORRESPONDE")</f>
        <v>NO CORRESPONDE</v>
      </c>
      <c r="AS1088" s="22" t="str">
        <f>IF(DATA[[#This Row],[fecha_fs]]&gt;0,TEXT(DATA[[#This Row],[fecha_fs]],"Mmmm"),0)</f>
        <v>Agosto</v>
      </c>
      <c r="AT1088" s="22" t="str">
        <f>DATA[[#This Row],[SERIE2]]&amp;"-"&amp;DATA[[#This Row],[NUMERO]]</f>
        <v>FF01-224</v>
      </c>
      <c r="AU1088" s="28">
        <f>DATA[[#This Row],[TOTAL]]*DATA[[#This Row],[T.C.]]</f>
        <v>442.85</v>
      </c>
      <c r="AV1088" s="6">
        <f>DATA[[#This Row],[FECHA DE VAL.]]</f>
        <v>45894</v>
      </c>
      <c r="AW1088" s="6">
        <f>DATA[[#This Row],[FECHA DE EMISION]]</f>
        <v>45896</v>
      </c>
      <c r="AX1088" s="6">
        <f>DATA[[#This Row],[F1]]</f>
        <v>0</v>
      </c>
      <c r="AY1088" s="20">
        <f>IF(AV1088-DATA[[#This Row],[fecha_fs]]&lt;0,0,AV1088-DATA[[#This Row],[fecha_fs]])</f>
        <v>3</v>
      </c>
      <c r="AZ1088" s="20">
        <f t="shared" ref="AZ1088:AZ1091" si="196">IF(AW1088-AV1088&lt;0,0,AW1088-AV1088)</f>
        <v>2</v>
      </c>
      <c r="BA1088" s="53">
        <f t="shared" ref="BA1088:BA1091" si="197">IF(AX1088-AW1088&lt;0,0,AX1088-AW1088)</f>
        <v>0</v>
      </c>
      <c r="BB1088" s="195">
        <f>IFERROR(SUM(DATA[[#This Row],[fs_val_ttf]:[fact_pago_ttf]]),0)</f>
        <v>5</v>
      </c>
      <c r="BC1088" s="233">
        <v>45903</v>
      </c>
      <c r="BD1088" s="233">
        <v>45905</v>
      </c>
      <c r="BE1088" s="233">
        <v>45908</v>
      </c>
      <c r="BF1088" s="185">
        <v>45911</v>
      </c>
      <c r="BG1088" s="20">
        <f>IFERROR(IF(BC1088-DATA[[#This Row],[fecha_fs]]&lt;0,0,BC1088-DATA[[#This Row],[fecha_fs]]),0)</f>
        <v>12</v>
      </c>
      <c r="BH1088" s="20">
        <f t="shared" si="143"/>
        <v>2</v>
      </c>
      <c r="BI1088" s="20">
        <f t="shared" si="144"/>
        <v>3</v>
      </c>
      <c r="BJ1088" s="20">
        <f t="shared" si="145"/>
        <v>3</v>
      </c>
      <c r="BK1088" s="282">
        <f>IFERROR(SUM(DATA[[#This Row],[fs_fd_ttd]:[fend_fenf_ttd]]),0)</f>
        <v>20</v>
      </c>
      <c r="BL1088" s="20" t="str">
        <f>IF(DATA[[#This Row],[fecha_fs]]&gt;0,TEXT(DATA[[#This Row],[fecha_fs]],"YYYY"),0)</f>
        <v>2025</v>
      </c>
      <c r="BM1088" s="236" t="b">
        <v>1</v>
      </c>
      <c r="BN1088" s="278">
        <f>COUNTIF(DATA[[#This Row],[tiempo_td]], "&lt;=15")</f>
        <v>0</v>
      </c>
      <c r="BO1088" s="222"/>
    </row>
    <row r="1089" spans="1:67" ht="30.6" customHeight="1" x14ac:dyDescent="0.25">
      <c r="A1089" s="4">
        <v>20100211115</v>
      </c>
      <c r="B1089" s="5" t="s">
        <v>41</v>
      </c>
      <c r="C1089" s="52" t="s">
        <v>18</v>
      </c>
      <c r="D1089" s="4" t="s">
        <v>112</v>
      </c>
      <c r="E1089" s="5" t="s">
        <v>1</v>
      </c>
      <c r="F1089" s="24">
        <v>45891</v>
      </c>
      <c r="G1089" s="7" t="s">
        <v>113</v>
      </c>
      <c r="H1089" s="25">
        <f t="shared" si="195"/>
        <v>1</v>
      </c>
      <c r="I1089" s="67">
        <v>4898</v>
      </c>
      <c r="J1089" s="8" t="s">
        <v>115</v>
      </c>
      <c r="K1089" s="9" t="s">
        <v>116</v>
      </c>
      <c r="L1089" s="10" t="s">
        <v>117</v>
      </c>
      <c r="M1089" s="11">
        <v>29</v>
      </c>
      <c r="N1089" s="12" t="s">
        <v>125</v>
      </c>
      <c r="O1089" s="6">
        <v>45898</v>
      </c>
      <c r="P1089" s="115">
        <v>3627</v>
      </c>
      <c r="Q1089" s="14" t="s">
        <v>85</v>
      </c>
      <c r="R1089" s="15"/>
      <c r="S1089" s="15">
        <f>(DATA[[#This Row],[cantidad_fs]]*4.57)</f>
        <v>132.53</v>
      </c>
      <c r="T1089" s="237">
        <f>DATA[[#This Row],[C. DF]]+DATA[[#This Row],[C.OPE.]]</f>
        <v>132.53</v>
      </c>
      <c r="U1089" s="15">
        <f>DATA[[#This Row],[SUB TOTAL]]*0.18</f>
        <v>23.855399999999999</v>
      </c>
      <c r="V1089" s="15">
        <f>IFERROR(ROUND(DATA[[#This Row],[SUB TOTAL]]+DATA[[#This Row],[IGV]],2),0)</f>
        <v>156.38999999999999</v>
      </c>
      <c r="W1089" s="16" t="str">
        <f>IF(DATA[[#This Row],[VALORIZACIÓN ]]="-","NO CORRESPONDE",IF(OR(A1089=20558226979,A1089=10470707866,A1089=20111157058,A1089=20100226902),"NO CORRESPONDE",IF(J1089="Emitida",IF(P1089&gt;0,"EMITIDA","PENDIENTE"),"NO CORRESPONDE")))</f>
        <v>EMITIDA</v>
      </c>
      <c r="X1089" s="29"/>
      <c r="Y1089" s="17" t="s">
        <v>118</v>
      </c>
      <c r="Z1089" s="30">
        <v>45896</v>
      </c>
      <c r="AA1089" s="10" t="s">
        <v>150</v>
      </c>
      <c r="AB1089" s="19">
        <v>225</v>
      </c>
      <c r="AC1089" s="20">
        <v>30</v>
      </c>
      <c r="AD1089" s="18">
        <f>DATA[[#This Row],[FECHA DE EMISION]]+DATA[[#This Row],[CONDICION DE PAGO]]</f>
        <v>45926</v>
      </c>
      <c r="AE1089" s="23">
        <f>IF(DATA[[#This Row],[MONEDA]]="USD",VLOOKUP(DATA[[#This Row],[COMBINADA]],#REF!,11,0),1)</f>
        <v>1</v>
      </c>
      <c r="AF1089" s="129" t="str">
        <f>IF(DATA[[#This Row],[SERIE2]]="-","NO CORRESPONDE",IF(W1089="NO CORRESPONDE","NO CORRESPONDE",IF(Z1089&gt;0,"FACTURADO","PENDIENTE")))</f>
        <v>FACTURADO</v>
      </c>
      <c r="AG1089" s="133">
        <f>IFERROR(VLOOKUP(DATA[[#This Row],[COMBINADA]],#REF!,6,0),0)</f>
        <v>0</v>
      </c>
      <c r="AH1089" s="125">
        <f>IFERROR(VLOOKUP(DATA[[#This Row],[COMBINADA]],#REF!,9,0),0)/COUNTIFS(DATA[COMBINADA],DATA[[#This Row],[COMBINADA]])</f>
        <v>0</v>
      </c>
      <c r="AI1089" s="136">
        <f>IFERROR(VLOOKUP(DATA[[#This Row],[COMBINADA]],#REF!,6,0),0)</f>
        <v>0</v>
      </c>
      <c r="AJ1089" s="132">
        <f>IFERROR(VLOOKUP(DATA[[#This Row],[COMBINADA]],#REF!,9,0),0)/COUNTIFS(DATA[COMBINADA],DATA[[#This Row],[COMBINADA]])</f>
        <v>0</v>
      </c>
      <c r="AK1089" s="408">
        <f>IFERROR(VLOOKUP(DATA[[#This Row],[COMBINADA]],#REF!,6,0),0)</f>
        <v>0</v>
      </c>
      <c r="AL1089" s="125">
        <f>IFERROR(VLOOKUP(DATA[[#This Row],[COMBINADA]],#REF!,9,0),0)/COUNTIFS(DATA[COMBINADA],DATA[[#This Row],[COMBINADA]])</f>
        <v>0</v>
      </c>
      <c r="AM1089" s="147">
        <f>IFERROR(VLOOKUP(DATA[[#This Row],[COMBINADA]],#REF!,6,0),0)</f>
        <v>0</v>
      </c>
      <c r="AN1089" s="125">
        <f>IFERROR(VLOOKUP(DATA[[#This Row],[COMBINADA]],#REF!,9,0),0)/COUNTIFS(DATA[COMBINADA],DATA[[#This Row],[COMBINADA]])</f>
        <v>0</v>
      </c>
      <c r="AO1089" s="27">
        <f>IFERROR(VLOOKUP(DATA[[#This Row],[COMBINADA]],#REF!,6,0),0)</f>
        <v>0</v>
      </c>
      <c r="AP1089" s="132">
        <f>IFERROR(VLOOKUP(DATA[[#This Row],[COMBINADA]],#REF!,9,0),0)/COUNTIFS(DATA[COMBINADA],DATA[[#This Row],[COMBINADA]])</f>
        <v>0</v>
      </c>
      <c r="AQ108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1878.4266666666665</v>
      </c>
      <c r="AR1089" s="26" t="str">
        <f>IFERROR(IF(DATA[[#This Row],[estado_fact]]="FACTURADO",VLOOKUP(DATA[[#This Row],[SERIE2]]&amp;"-"&amp;DATA[[#This Row],[NUMERO]],#REF!,34,0),"NO CORRESPONDE"),"NO CORRESPONDE")</f>
        <v>NO CORRESPONDE</v>
      </c>
      <c r="AS1089" s="22" t="str">
        <f>IF(DATA[[#This Row],[fecha_fs]]&gt;0,TEXT(DATA[[#This Row],[fecha_fs]],"Mmmm"),0)</f>
        <v>Agosto</v>
      </c>
      <c r="AT1089" s="22" t="str">
        <f>DATA[[#This Row],[SERIE2]]&amp;"-"&amp;DATA[[#This Row],[NUMERO]]</f>
        <v>FF01-225</v>
      </c>
      <c r="AU1089" s="28">
        <f>DATA[[#This Row],[TOTAL]]*DATA[[#This Row],[T.C.]]</f>
        <v>156.38999999999999</v>
      </c>
      <c r="AV1089" s="6">
        <f>DATA[[#This Row],[FECHA DE VAL.]]</f>
        <v>45898</v>
      </c>
      <c r="AW1089" s="6">
        <f>DATA[[#This Row],[FECHA DE EMISION]]</f>
        <v>45896</v>
      </c>
      <c r="AX1089" s="6">
        <f>DATA[[#This Row],[F1]]</f>
        <v>0</v>
      </c>
      <c r="AY1089" s="20">
        <f>IF(AV1089-DATA[[#This Row],[fecha_fs]]&lt;0,0,AV1089-DATA[[#This Row],[fecha_fs]])</f>
        <v>7</v>
      </c>
      <c r="AZ1089" s="20">
        <f t="shared" si="196"/>
        <v>0</v>
      </c>
      <c r="BA1089" s="53">
        <f t="shared" si="197"/>
        <v>0</v>
      </c>
      <c r="BB1089" s="195">
        <f>IFERROR(SUM(DATA[[#This Row],[fs_val_ttf]:[fact_pago_ttf]]),0)</f>
        <v>7</v>
      </c>
      <c r="BC1089" s="233">
        <v>45902</v>
      </c>
      <c r="BD1089" s="233">
        <v>45910</v>
      </c>
      <c r="BE1089" s="233">
        <v>45911</v>
      </c>
      <c r="BF1089" s="233">
        <v>45911</v>
      </c>
      <c r="BG1089" s="20">
        <f>IFERROR(IF(BC1089-DATA[[#This Row],[fecha_fs]]&lt;0,0,BC1089-DATA[[#This Row],[fecha_fs]]),0)</f>
        <v>11</v>
      </c>
      <c r="BH1089" s="20">
        <f t="shared" si="143"/>
        <v>8</v>
      </c>
      <c r="BI1089" s="20">
        <f t="shared" si="144"/>
        <v>1</v>
      </c>
      <c r="BJ1089" s="20">
        <f t="shared" si="145"/>
        <v>0</v>
      </c>
      <c r="BK1089" s="282">
        <f>IFERROR(SUM(DATA[[#This Row],[fs_fd_ttd]:[fend_fenf_ttd]]),0)</f>
        <v>20</v>
      </c>
      <c r="BL1089" s="20" t="str">
        <f>IF(DATA[[#This Row],[fecha_fs]]&gt;0,TEXT(DATA[[#This Row],[fecha_fs]],"YYYY"),0)</f>
        <v>2025</v>
      </c>
      <c r="BM1089" s="236" t="b">
        <v>1</v>
      </c>
      <c r="BN1089" s="278">
        <f>COUNTIF(DATA[[#This Row],[tiempo_td]], "&lt;=15")</f>
        <v>0</v>
      </c>
      <c r="BO1089" s="222"/>
    </row>
    <row r="1090" spans="1:67" ht="30.6" customHeight="1" x14ac:dyDescent="0.25">
      <c r="A1090" s="4">
        <v>20100192064</v>
      </c>
      <c r="B1090" s="5" t="s">
        <v>60</v>
      </c>
      <c r="C1090" s="52" t="s">
        <v>65</v>
      </c>
      <c r="D1090" s="4" t="s">
        <v>183</v>
      </c>
      <c r="E1090" s="5" t="s">
        <v>61</v>
      </c>
      <c r="F1090" s="24">
        <v>45894</v>
      </c>
      <c r="G1090" s="7" t="s">
        <v>142</v>
      </c>
      <c r="H1090" s="25">
        <f>IF(G1090="","",IF(G1090="LIM",2,1))</f>
        <v>2</v>
      </c>
      <c r="I1090" s="67">
        <v>1130</v>
      </c>
      <c r="J1090" s="8" t="s">
        <v>115</v>
      </c>
      <c r="K1090" s="9" t="s">
        <v>184</v>
      </c>
      <c r="L1090" s="10" t="s">
        <v>117</v>
      </c>
      <c r="M1090" s="11">
        <v>85040</v>
      </c>
      <c r="N1090" s="12" t="s">
        <v>114</v>
      </c>
      <c r="O1090" s="6">
        <v>45894</v>
      </c>
      <c r="P1090" s="71">
        <v>3618</v>
      </c>
      <c r="Q1090" s="14" t="s">
        <v>123</v>
      </c>
      <c r="R1090" s="74"/>
      <c r="S1090" s="15">
        <f>(DATA[[#This Row],[cantidad_fs]]/1000)*19</f>
        <v>1615.7600000000002</v>
      </c>
      <c r="T1090" s="237">
        <f>DATA[[#This Row],[C. DF]]+DATA[[#This Row],[C.OPE.]]</f>
        <v>1615.7600000000002</v>
      </c>
      <c r="U1090" s="15">
        <f>DATA[[#This Row],[SUB TOTAL]]*0.18</f>
        <v>290.83680000000004</v>
      </c>
      <c r="V1090" s="15">
        <f>IFERROR(ROUND(DATA[[#This Row],[SUB TOTAL]]+DATA[[#This Row],[IGV]],2),0)</f>
        <v>1906.6</v>
      </c>
      <c r="W1090" s="16" t="str">
        <f>IF(DATA[[#This Row],[VALORIZACIÓN ]]="-","NO CORRESPONDE",IF(OR(A1090=20558226979,A1090=10470707866,A1090=20111157058,A1090=20100226902),"NO CORRESPONDE",IF(J1090="Emitida",IF(P1090&gt;0,"EMITIDA","PENDIENTE"),"NO CORRESPONDE")))</f>
        <v>EMITIDA</v>
      </c>
      <c r="X1090" s="29"/>
      <c r="Y1090" s="17" t="s">
        <v>118</v>
      </c>
      <c r="Z1090" s="30">
        <v>45895</v>
      </c>
      <c r="AA1090" s="10" t="s">
        <v>150</v>
      </c>
      <c r="AB1090" s="19">
        <v>220</v>
      </c>
      <c r="AC1090" s="20">
        <v>30</v>
      </c>
      <c r="AD1090" s="18">
        <f>DATA[[#This Row],[FECHA DE EMISION]]+DATA[[#This Row],[CONDICION DE PAGO]]</f>
        <v>45925</v>
      </c>
      <c r="AE1090" s="23" t="e">
        <f>IF(DATA[[#This Row],[MONEDA]]="USD",VLOOKUP(DATA[[#This Row],[COMBINADA]],#REF!,11,0),1)</f>
        <v>#REF!</v>
      </c>
      <c r="AF1090" s="129" t="str">
        <f>IF(DATA[[#This Row],[SERIE2]]="-","NO CORRESPONDE",IF(W1090="NO CORRESPONDE","NO CORRESPONDE",IF(Z1090&gt;0,"FACTURADO","PENDIENTE")))</f>
        <v>FACTURADO</v>
      </c>
      <c r="AG1090" s="133">
        <f>IFERROR(VLOOKUP(DATA[[#This Row],[COMBINADA]],#REF!,6,0),0)</f>
        <v>0</v>
      </c>
      <c r="AH1090" s="125">
        <f>IFERROR(VLOOKUP(DATA[[#This Row],[COMBINADA]],#REF!,9,0),0)/COUNTIFS(DATA[COMBINADA],DATA[[#This Row],[COMBINADA]])</f>
        <v>0</v>
      </c>
      <c r="AI1090" s="136">
        <f>IFERROR(VLOOKUP(DATA[[#This Row],[COMBINADA]],#REF!,6,0),0)</f>
        <v>0</v>
      </c>
      <c r="AJ1090" s="132">
        <f>IFERROR(VLOOKUP(DATA[[#This Row],[COMBINADA]],#REF!,9,0),0)/COUNTIFS(DATA[COMBINADA],DATA[[#This Row],[COMBINADA]])</f>
        <v>0</v>
      </c>
      <c r="AK1090" s="407">
        <f>IFERROR(VLOOKUP(DATA[[#This Row],[COMBINADA]],#REF!,6,0),0)</f>
        <v>0</v>
      </c>
      <c r="AL1090" s="125">
        <f>IFERROR(VLOOKUP(DATA[[#This Row],[COMBINADA]],#REF!,9,0),0)/COUNTIFS(DATA[COMBINADA],DATA[[#This Row],[COMBINADA]])</f>
        <v>0</v>
      </c>
      <c r="AM1090" s="27">
        <f>IFERROR(VLOOKUP(DATA[[#This Row],[COMBINADA]],#REF!,6,0),0)</f>
        <v>0</v>
      </c>
      <c r="AN1090" s="125">
        <f>IFERROR(VLOOKUP(DATA[[#This Row],[COMBINADA]],#REF!,9,0),0)/COUNTIFS(DATA[COMBINADA],DATA[[#This Row],[COMBINADA]])</f>
        <v>0</v>
      </c>
      <c r="AO1090" s="27">
        <f>IFERROR(VLOOKUP(DATA[[#This Row],[COMBINADA]],#REF!,6,0),0)</f>
        <v>0</v>
      </c>
      <c r="AP1090" s="132">
        <f>IFERROR(VLOOKUP(DATA[[#This Row],[COMBINADA]],#REF!,9,0),0)/COUNTIFS(DATA[COMBINADA],DATA[[#This Row],[COMBINADA]])</f>
        <v>0</v>
      </c>
      <c r="AQ109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572.11888888888882</v>
      </c>
      <c r="AR1090" s="26" t="str">
        <f>IFERROR(IF(DATA[[#This Row],[estado_fact]]="FACTURADO",VLOOKUP(DATA[[#This Row],[SERIE2]]&amp;"-"&amp;DATA[[#This Row],[NUMERO]],#REF!,34,0),"NO CORRESPONDE"),"NO CORRESPONDE")</f>
        <v>NO CORRESPONDE</v>
      </c>
      <c r="AS1090" s="22" t="str">
        <f>IF(DATA[[#This Row],[fecha_fs]]&gt;0,TEXT(DATA[[#This Row],[fecha_fs]],"Mmmm"),0)</f>
        <v>Agosto</v>
      </c>
      <c r="AT1090" s="22" t="str">
        <f>DATA[[#This Row],[SERIE2]]&amp;"-"&amp;DATA[[#This Row],[NUMERO]]</f>
        <v>FF01-220</v>
      </c>
      <c r="AU1090" s="28" t="e">
        <f>DATA[[#This Row],[TOTAL]]*DATA[[#This Row],[T.C.]]</f>
        <v>#REF!</v>
      </c>
      <c r="AV1090" s="6">
        <f>DATA[[#This Row],[FECHA DE VAL.]]</f>
        <v>45894</v>
      </c>
      <c r="AW1090" s="6">
        <f>DATA[[#This Row],[FECHA DE EMISION]]</f>
        <v>45895</v>
      </c>
      <c r="AX1090" s="6">
        <f>DATA[[#This Row],[F1]]</f>
        <v>0</v>
      </c>
      <c r="AY1090" s="20">
        <f>IF(AV1090-DATA[[#This Row],[fecha_fs]]&lt;0,0,AV1090-DATA[[#This Row],[fecha_fs]])</f>
        <v>0</v>
      </c>
      <c r="AZ1090" s="20">
        <f>IF(AW1090-AV1090&lt;0,0,AW1090-AV1090)</f>
        <v>1</v>
      </c>
      <c r="BA1090" s="53">
        <f>IF(AX1090-AW1090&lt;0,0,AX1090-AW1090)</f>
        <v>0</v>
      </c>
      <c r="BB1090" s="195">
        <f>IFERROR(SUM(DATA[[#This Row],[fs_val_ttf]:[fact_pago_ttf]]),0)</f>
        <v>1</v>
      </c>
      <c r="BC1090" s="185" t="s">
        <v>292</v>
      </c>
      <c r="BD1090" s="185" t="s">
        <v>292</v>
      </c>
      <c r="BE1090" s="185" t="s">
        <v>292</v>
      </c>
      <c r="BF1090" s="185" t="s">
        <v>292</v>
      </c>
      <c r="BG1090" s="20">
        <f>IFERROR(IF(BC1090-DATA[[#This Row],[fecha_fs]]&lt;0,0,BC1090-DATA[[#This Row],[fecha_fs]]),0)</f>
        <v>0</v>
      </c>
      <c r="BH1090" s="20">
        <f t="shared" si="143"/>
        <v>0</v>
      </c>
      <c r="BI1090" s="20">
        <f t="shared" si="144"/>
        <v>0</v>
      </c>
      <c r="BJ1090" s="20">
        <f t="shared" si="145"/>
        <v>0</v>
      </c>
      <c r="BK1090" s="282">
        <f>IFERROR(SUM(DATA[[#This Row],[fs_fd_ttd]:[fend_fenf_ttd]]),0)</f>
        <v>0</v>
      </c>
      <c r="BL1090" s="20" t="str">
        <f>IF(DATA[[#This Row],[fecha_fs]]&gt;0,TEXT(DATA[[#This Row],[fecha_fs]],"YYYY"),0)</f>
        <v>2025</v>
      </c>
      <c r="BM1090" s="236" t="b">
        <v>1</v>
      </c>
      <c r="BN1090" s="278">
        <f>COUNTIF(DATA[[#This Row],[tiempo_td]], "&lt;=15")</f>
        <v>1</v>
      </c>
      <c r="BO1090" s="222"/>
    </row>
    <row r="1091" spans="1:67" ht="30.6" customHeight="1" x14ac:dyDescent="0.25">
      <c r="A1091" s="4">
        <v>20100226902</v>
      </c>
      <c r="B1091" s="5" t="s">
        <v>24</v>
      </c>
      <c r="C1091" s="52" t="s">
        <v>18</v>
      </c>
      <c r="D1091" s="4" t="s">
        <v>120</v>
      </c>
      <c r="E1091" s="5" t="s">
        <v>3</v>
      </c>
      <c r="F1091" s="24">
        <v>45894</v>
      </c>
      <c r="G1091" s="7" t="s">
        <v>113</v>
      </c>
      <c r="H1091" s="25">
        <f t="shared" si="195"/>
        <v>1</v>
      </c>
      <c r="I1091" s="67">
        <v>4899</v>
      </c>
      <c r="J1091" s="8" t="s">
        <v>115</v>
      </c>
      <c r="K1091" s="9" t="s">
        <v>121</v>
      </c>
      <c r="L1091" s="10" t="s">
        <v>117</v>
      </c>
      <c r="M1091" s="11">
        <v>500</v>
      </c>
      <c r="N1091" s="12" t="s">
        <v>187</v>
      </c>
      <c r="O1091" s="40"/>
      <c r="P1091" s="41" t="s">
        <v>114</v>
      </c>
      <c r="Q1091" s="42"/>
      <c r="R1091" s="43"/>
      <c r="S1091" s="43"/>
      <c r="T1091" s="43">
        <f>DATA[[#This Row],[C. DF]]+DATA[[#This Row],[C.OPE.]]</f>
        <v>0</v>
      </c>
      <c r="U1091" s="43">
        <f>DATA[[#This Row],[SUB TOTAL]]*0.18</f>
        <v>0</v>
      </c>
      <c r="V1091" s="43">
        <f>IFERROR(ROUND(DATA[[#This Row],[SUB TOTAL]]+DATA[[#This Row],[IGV]],2),0)</f>
        <v>0</v>
      </c>
      <c r="W1091" s="16" t="str">
        <f>IF(DATA[[#This Row],[VALORIZACIÓN ]]="-","NO CORRESPONDE",IF(OR(A1091=20558226979,A1091=10470707866,A1091=20111157058,A1091=20100226902),"NO CORRESPONDE",IF(J1091="Emitida",IF(P1091&gt;0,"EMITIDA","PENDIENTE"),"NO CORRESPONDE")))</f>
        <v>NO CORRESPONDE</v>
      </c>
      <c r="X1091" s="45"/>
      <c r="Y1091" s="17" t="s">
        <v>128</v>
      </c>
      <c r="Z1091" s="46"/>
      <c r="AA1091" s="47"/>
      <c r="AB1091" s="48"/>
      <c r="AC1091" s="49"/>
      <c r="AD1091" s="50">
        <f>DATA[[#This Row],[FECHA DE EMISION]]+DATA[[#This Row],[CONDICION DE PAGO]]</f>
        <v>0</v>
      </c>
      <c r="AE1091" s="23">
        <f>IF(DATA[[#This Row],[MONEDA]]="USD",VLOOKUP(DATA[[#This Row],[COMBINADA]],#REF!,11,0),1)</f>
        <v>1</v>
      </c>
      <c r="AF1091" s="129" t="str">
        <f>IF(DATA[[#This Row],[SERIE2]]="-","NO CORRESPONDE",IF(W1091="NO CORRESPONDE","NO CORRESPONDE",IF(Z1091&gt;0,"FACTURADO","PENDIENTE")))</f>
        <v>NO CORRESPONDE</v>
      </c>
      <c r="AG1091" s="140">
        <f>IFERROR(VLOOKUP(DATA[[#This Row],[COMBINADA]],#REF!,6,0),0)</f>
        <v>0</v>
      </c>
      <c r="AH1091" s="126">
        <f>IFERROR(VLOOKUP(DATA[[#This Row],[COMBINADA]],#REF!,9,0),0)/COUNTIFS(DATA[COMBINADA],DATA[[#This Row],[COMBINADA]])</f>
        <v>0</v>
      </c>
      <c r="AI1091" s="140">
        <f>IFERROR(VLOOKUP(DATA[[#This Row],[COMBINADA]],#REF!,6,0),0)</f>
        <v>0</v>
      </c>
      <c r="AJ1091" s="126">
        <f>IFERROR(VLOOKUP(DATA[[#This Row],[COMBINADA]],#REF!,9,0),0)/COUNTIFS(DATA[COMBINADA],DATA[[#This Row],[COMBINADA]])</f>
        <v>0</v>
      </c>
      <c r="AK1091" s="61">
        <f>IFERROR(VLOOKUP(DATA[[#This Row],[COMBINADA]],#REF!,6,0),0)</f>
        <v>0</v>
      </c>
      <c r="AL1091" s="126">
        <f>IFERROR(VLOOKUP(DATA[[#This Row],[COMBINADA]],#REF!,9,0),0)/COUNTIFS(DATA[COMBINADA],DATA[[#This Row],[COMBINADA]])</f>
        <v>0</v>
      </c>
      <c r="AM1091" s="287">
        <f>IFERROR(VLOOKUP(DATA[[#This Row],[COMBINADA]],#REF!,6,0),0)</f>
        <v>0</v>
      </c>
      <c r="AN1091" s="126">
        <f>IFERROR(VLOOKUP(DATA[[#This Row],[COMBINADA]],#REF!,9,0),0)/COUNTIFS(DATA[COMBINADA],DATA[[#This Row],[COMBINADA]])</f>
        <v>0</v>
      </c>
      <c r="AO1091" s="60">
        <f>IFERROR(VLOOKUP(DATA[[#This Row],[COMBINADA]],#REF!,6,0),0)</f>
        <v>0</v>
      </c>
      <c r="AP1091" s="126">
        <f>IFERROR(VLOOKUP(DATA[[#This Row],[COMBINADA]],#REF!,9,0),0)/COUNTIFS(DATA[COMBINADA],DATA[[#This Row],[COMBINADA]])</f>
        <v>0</v>
      </c>
      <c r="AQ1091" s="63">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091" s="22" t="str">
        <f>IFERROR(IF(DATA[[#This Row],[estado_fact]]="FACTURADO",VLOOKUP(DATA[[#This Row],[SERIE2]]&amp;"-"&amp;DATA[[#This Row],[NUMERO]],#REF!,34,0),"NO CORRESPONDE"),"NO CORRESPONDE")</f>
        <v>NO CORRESPONDE</v>
      </c>
      <c r="AS1091" s="22" t="str">
        <f>IF(DATA[[#This Row],[fecha_fs]]&gt;0,TEXT(DATA[[#This Row],[fecha_fs]],"Mmmm"),0)</f>
        <v>Agosto</v>
      </c>
      <c r="AT1091" s="22" t="str">
        <f>DATA[[#This Row],[SERIE2]]&amp;"-"&amp;DATA[[#This Row],[NUMERO]]</f>
        <v>-</v>
      </c>
      <c r="AU1091" s="28">
        <f>DATA[[#This Row],[TOTAL]]*DATA[[#This Row],[T.C.]]</f>
        <v>0</v>
      </c>
      <c r="AV1091" s="6">
        <f>DATA[[#This Row],[FECHA DE VAL.]]</f>
        <v>0</v>
      </c>
      <c r="AW1091" s="6">
        <f>DATA[[#This Row],[FECHA DE EMISION]]</f>
        <v>0</v>
      </c>
      <c r="AX1091" s="6">
        <f>DATA[[#This Row],[F1]]</f>
        <v>0</v>
      </c>
      <c r="AY1091" s="20">
        <f>IF(AV1091-DATA[[#This Row],[fecha_fs]]&lt;0,0,AV1091-DATA[[#This Row],[fecha_fs]])</f>
        <v>0</v>
      </c>
      <c r="AZ1091" s="20">
        <f t="shared" si="196"/>
        <v>0</v>
      </c>
      <c r="BA1091" s="53">
        <f t="shared" si="197"/>
        <v>0</v>
      </c>
      <c r="BB1091" s="195">
        <f>IFERROR(SUM(DATA[[#This Row],[fs_val_ttf]:[fact_pago_ttf]]),0)</f>
        <v>0</v>
      </c>
      <c r="BC1091" s="233">
        <v>45894</v>
      </c>
      <c r="BD1091" s="233">
        <v>45894</v>
      </c>
      <c r="BE1091" s="233">
        <v>45901</v>
      </c>
      <c r="BF1091" s="233">
        <v>45901</v>
      </c>
      <c r="BG1091" s="20">
        <f>IFERROR(IF(BC1091-DATA[[#This Row],[fecha_fs]]&lt;0,0,BC1091-DATA[[#This Row],[fecha_fs]]),0)</f>
        <v>0</v>
      </c>
      <c r="BH1091" s="20">
        <f t="shared" si="143"/>
        <v>0</v>
      </c>
      <c r="BI1091" s="20">
        <f t="shared" si="144"/>
        <v>7</v>
      </c>
      <c r="BJ1091" s="20">
        <f t="shared" si="145"/>
        <v>0</v>
      </c>
      <c r="BK1091" s="282">
        <f>IFERROR(SUM(DATA[[#This Row],[fs_fd_ttd]:[fend_fenf_ttd]]),0)</f>
        <v>7</v>
      </c>
      <c r="BL1091" s="20" t="str">
        <f>IF(DATA[[#This Row],[fecha_fs]]&gt;0,TEXT(DATA[[#This Row],[fecha_fs]],"YYYY"),0)</f>
        <v>2025</v>
      </c>
      <c r="BM1091" s="236" t="b">
        <v>1</v>
      </c>
      <c r="BN1091" s="278">
        <f>COUNTIF(DATA[[#This Row],[tiempo_td]], "&lt;=15")</f>
        <v>1</v>
      </c>
      <c r="BO1091" s="222"/>
    </row>
    <row r="1092" spans="1:67" ht="30.6" customHeight="1" x14ac:dyDescent="0.25">
      <c r="A1092" s="4">
        <v>20100192064</v>
      </c>
      <c r="B1092" s="5" t="s">
        <v>60</v>
      </c>
      <c r="C1092" s="52" t="s">
        <v>43</v>
      </c>
      <c r="D1092" s="4" t="s">
        <v>112</v>
      </c>
      <c r="E1092" s="5" t="s">
        <v>1</v>
      </c>
      <c r="F1092" s="24">
        <v>45894</v>
      </c>
      <c r="G1092" s="7" t="s">
        <v>113</v>
      </c>
      <c r="H1092" s="25">
        <f>IF(G1092="","",IF(G1092="LIM",2,1))</f>
        <v>1</v>
      </c>
      <c r="I1092" s="67">
        <v>4900</v>
      </c>
      <c r="J1092" s="8" t="s">
        <v>115</v>
      </c>
      <c r="K1092" s="9" t="s">
        <v>116</v>
      </c>
      <c r="L1092" s="10" t="s">
        <v>117</v>
      </c>
      <c r="M1092" s="11">
        <v>1150</v>
      </c>
      <c r="N1092" s="12" t="s">
        <v>125</v>
      </c>
      <c r="O1092" s="6">
        <v>45894</v>
      </c>
      <c r="P1092" s="71">
        <v>3611</v>
      </c>
      <c r="Q1092" s="14" t="s">
        <v>123</v>
      </c>
      <c r="R1092" s="15">
        <f>(DATA[[#This Row],[cantidad_fs]]/1000)*(143+175.34)</f>
        <v>366.09100000000001</v>
      </c>
      <c r="S1092" s="15">
        <v>137</v>
      </c>
      <c r="T1092" s="237">
        <f>DATA[[#This Row],[C. DF]]+DATA[[#This Row],[C.OPE.]]</f>
        <v>503.09100000000001</v>
      </c>
      <c r="U1092" s="15">
        <f>DATA[[#This Row],[SUB TOTAL]]*0.18</f>
        <v>90.556380000000004</v>
      </c>
      <c r="V1092" s="15">
        <f>IFERROR(ROUND(DATA[[#This Row],[SUB TOTAL]]+DATA[[#This Row],[IGV]],2),0)</f>
        <v>593.65</v>
      </c>
      <c r="W1092" s="16" t="str">
        <f>IF(DATA[[#This Row],[VALORIZACIÓN ]]="-","NO CORRESPONDE",IF(OR(A1092=20558226979,A1092=10470707866,A1092=20111157058,A1092=20100226902),"NO CORRESPONDE",IF(J1092="Emitida",IF(P1092&gt;0,"EMITIDA","PENDIENTE"),"NO CORRESPONDE")))</f>
        <v>EMITIDA</v>
      </c>
      <c r="X1092" s="29" t="s">
        <v>322</v>
      </c>
      <c r="Y1092" s="17" t="s">
        <v>118</v>
      </c>
      <c r="Z1092" s="277">
        <v>45898</v>
      </c>
      <c r="AA1092" s="20" t="s">
        <v>150</v>
      </c>
      <c r="AB1092" s="19">
        <v>229</v>
      </c>
      <c r="AC1092" s="20">
        <v>30</v>
      </c>
      <c r="AD1092" s="18">
        <f>DATA[[#This Row],[FECHA DE EMISION]]+DATA[[#This Row],[CONDICION DE PAGO]]</f>
        <v>45928</v>
      </c>
      <c r="AE1092" s="23" t="e">
        <f>IF(DATA[[#This Row],[MONEDA]]="USD",VLOOKUP(DATA[[#This Row],[COMBINADA]],#REF!,11,0),1)</f>
        <v>#REF!</v>
      </c>
      <c r="AF1092" s="129" t="str">
        <f>IF(DATA[[#This Row],[SERIE2]]="-","NO CORRESPONDE",IF(W1092="NO CORRESPONDE","NO CORRESPONDE",IF(Z1092&gt;0,"FACTURADO","PENDIENTE")))</f>
        <v>FACTURADO</v>
      </c>
      <c r="AG1092" s="133">
        <f>IFERROR(VLOOKUP(DATA[[#This Row],[COMBINADA]],#REF!,6,0),0)</f>
        <v>0</v>
      </c>
      <c r="AH1092" s="125">
        <f>IFERROR(VLOOKUP(DATA[[#This Row],[COMBINADA]],#REF!,9,0),0)/COUNTIFS(DATA[COMBINADA],DATA[[#This Row],[COMBINADA]])</f>
        <v>0</v>
      </c>
      <c r="AI1092" s="136">
        <f>IFERROR(VLOOKUP(DATA[[#This Row],[COMBINADA]],#REF!,6,0),0)</f>
        <v>0</v>
      </c>
      <c r="AJ1092" s="132">
        <f>IFERROR(VLOOKUP(DATA[[#This Row],[COMBINADA]],#REF!,9,0),0)/COUNTIFS(DATA[COMBINADA],DATA[[#This Row],[COMBINADA]])</f>
        <v>0</v>
      </c>
      <c r="AK1092" s="408">
        <f>IFERROR(VLOOKUP(DATA[[#This Row],[COMBINADA]],#REF!,6,0),0)</f>
        <v>0</v>
      </c>
      <c r="AL1092" s="125">
        <f>IFERROR(VLOOKUP(DATA[[#This Row],[COMBINADA]],#REF!,9,0),0)/COUNTIFS(DATA[COMBINADA],DATA[[#This Row],[COMBINADA]])</f>
        <v>0</v>
      </c>
      <c r="AM1092" s="147">
        <f>IFERROR(VLOOKUP(DATA[[#This Row],[COMBINADA]],#REF!,6,0),0)</f>
        <v>0</v>
      </c>
      <c r="AN1092" s="125">
        <f>IFERROR(VLOOKUP(DATA[[#This Row],[COMBINADA]],#REF!,9,0),0)/COUNTIFS(DATA[COMBINADA],DATA[[#This Row],[COMBINADA]])</f>
        <v>0</v>
      </c>
      <c r="AO1092" s="27">
        <f>IFERROR(VLOOKUP(DATA[[#This Row],[COMBINADA]],#REF!,6,0),0)</f>
        <v>0</v>
      </c>
      <c r="AP1092" s="132">
        <f>IFERROR(VLOOKUP(DATA[[#This Row],[COMBINADA]],#REF!,9,0),0)/COUNTIFS(DATA[COMBINADA],DATA[[#This Row],[COMBINADA]])</f>
        <v>0</v>
      </c>
      <c r="AQ109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587.06100000000004</v>
      </c>
      <c r="AR1092" s="26" t="str">
        <f>IFERROR(IF(DATA[[#This Row],[estado_fact]]="FACTURADO",VLOOKUP(DATA[[#This Row],[SERIE2]]&amp;"-"&amp;DATA[[#This Row],[NUMERO]],#REF!,34,0),"NO CORRESPONDE"),"NO CORRESPONDE")</f>
        <v>NO CORRESPONDE</v>
      </c>
      <c r="AS1092" s="22" t="str">
        <f>IF(DATA[[#This Row],[fecha_fs]]&gt;0,TEXT(DATA[[#This Row],[fecha_fs]],"Mmmm"),0)</f>
        <v>Agosto</v>
      </c>
      <c r="AT1092" s="22" t="str">
        <f>DATA[[#This Row],[SERIE2]]&amp;"-"&amp;DATA[[#This Row],[NUMERO]]</f>
        <v>FF01-229</v>
      </c>
      <c r="AU1092" s="28" t="e">
        <f>DATA[[#This Row],[TOTAL]]*DATA[[#This Row],[T.C.]]</f>
        <v>#REF!</v>
      </c>
      <c r="AV1092" s="6">
        <f>DATA[[#This Row],[FECHA DE VAL.]]</f>
        <v>45894</v>
      </c>
      <c r="AW1092" s="6">
        <f>DATA[[#This Row],[FECHA DE EMISION]]</f>
        <v>45898</v>
      </c>
      <c r="AX1092" s="6">
        <f>DATA[[#This Row],[F1]]</f>
        <v>0</v>
      </c>
      <c r="AY1092" s="20">
        <f>IF(AV1092-DATA[[#This Row],[fecha_fs]]&lt;0,0,AV1092-DATA[[#This Row],[fecha_fs]])</f>
        <v>0</v>
      </c>
      <c r="AZ1092" s="20">
        <f>IF(AW1092-AV1092&lt;0,0,AW1092-AV1092)</f>
        <v>4</v>
      </c>
      <c r="BA1092" s="53">
        <f>IF(AX1092-AW1092&lt;0,0,AX1092-AW1092)</f>
        <v>0</v>
      </c>
      <c r="BB1092" s="195">
        <f>IFERROR(SUM(DATA[[#This Row],[fs_val_ttf]:[fact_pago_ttf]]),0)</f>
        <v>4</v>
      </c>
      <c r="BC1092" s="233">
        <v>45902</v>
      </c>
      <c r="BD1092" s="233">
        <v>45910</v>
      </c>
      <c r="BE1092" s="233">
        <v>45918</v>
      </c>
      <c r="BF1092" s="233">
        <v>45945</v>
      </c>
      <c r="BG1092" s="20">
        <f>IFERROR(IF(BC1092-DATA[[#This Row],[fecha_fs]]&lt;0,0,BC1092-DATA[[#This Row],[fecha_fs]]),0)</f>
        <v>8</v>
      </c>
      <c r="BH1092" s="20">
        <f t="shared" si="143"/>
        <v>8</v>
      </c>
      <c r="BI1092" s="20">
        <f t="shared" si="144"/>
        <v>8</v>
      </c>
      <c r="BJ1092" s="20">
        <f t="shared" si="145"/>
        <v>27</v>
      </c>
      <c r="BK1092" s="282">
        <f>IFERROR(SUM(DATA[[#This Row],[fs_fd_ttd]:[fend_fenf_ttd]]),0)</f>
        <v>51</v>
      </c>
      <c r="BL1092" s="20" t="str">
        <f>IF(DATA[[#This Row],[fecha_fs]]&gt;0,TEXT(DATA[[#This Row],[fecha_fs]],"YYYY"),0)</f>
        <v>2025</v>
      </c>
      <c r="BM1092" s="236" t="b">
        <v>1</v>
      </c>
      <c r="BN1092" s="278">
        <f>COUNTIF(DATA[[#This Row],[tiempo_td]], "&lt;=15")</f>
        <v>0</v>
      </c>
      <c r="BO1092" s="222"/>
    </row>
    <row r="1093" spans="1:67" ht="30.6" customHeight="1" x14ac:dyDescent="0.25">
      <c r="A1093" s="4">
        <v>20141637941</v>
      </c>
      <c r="B1093" s="5" t="s">
        <v>79</v>
      </c>
      <c r="C1093" s="52" t="s">
        <v>18</v>
      </c>
      <c r="D1093" s="4" t="s">
        <v>120</v>
      </c>
      <c r="E1093" s="5" t="s">
        <v>3</v>
      </c>
      <c r="F1093" s="24">
        <v>45894</v>
      </c>
      <c r="G1093" s="7" t="s">
        <v>113</v>
      </c>
      <c r="H1093" s="25">
        <f>IF(G1093="","",IF(G1093="LIM",2,1))</f>
        <v>1</v>
      </c>
      <c r="I1093" s="67">
        <v>4901</v>
      </c>
      <c r="J1093" s="8" t="s">
        <v>115</v>
      </c>
      <c r="K1093" s="9" t="s">
        <v>121</v>
      </c>
      <c r="L1093" s="10" t="s">
        <v>117</v>
      </c>
      <c r="M1093" s="11">
        <v>1650</v>
      </c>
      <c r="N1093" s="12" t="s">
        <v>318</v>
      </c>
      <c r="O1093" s="6">
        <v>45898</v>
      </c>
      <c r="P1093" s="317">
        <v>3641</v>
      </c>
      <c r="Q1093" s="14" t="s">
        <v>85</v>
      </c>
      <c r="R1093" s="56">
        <f>80+((DATA[[#This Row],[cantidad_fs]]-1000)*0.08)</f>
        <v>132</v>
      </c>
      <c r="S1093" s="56">
        <v>832</v>
      </c>
      <c r="T1093" s="237">
        <f>DATA[[#This Row],[C. DF]]+DATA[[#This Row],[C.OPE.]]</f>
        <v>964</v>
      </c>
      <c r="U1093" s="15">
        <f>DATA[[#This Row],[SUB TOTAL]]*0.18</f>
        <v>173.51999999999998</v>
      </c>
      <c r="V1093" s="15">
        <f>IFERROR(ROUND(DATA[[#This Row],[SUB TOTAL]]+DATA[[#This Row],[IGV]],2),0)</f>
        <v>1137.52</v>
      </c>
      <c r="W1093" s="16" t="str">
        <f>IF(DATA[[#This Row],[VALORIZACIÓN ]]="-","NO CORRESPONDE",IF(OR(A1093=20558226979,A1093=10470707866,A1093=20111157058,A1093=20100226902),"NO CORRESPONDE",IF(J1093="Emitida",IF(P1093&gt;0,"EMITIDA","PENDIENTE"),"NO CORRESPONDE")))</f>
        <v>EMITIDA</v>
      </c>
      <c r="X1093" s="29"/>
      <c r="Y1093" s="17" t="s">
        <v>118</v>
      </c>
      <c r="Z1093" s="30">
        <v>45901</v>
      </c>
      <c r="AA1093" s="10" t="s">
        <v>150</v>
      </c>
      <c r="AB1093" s="19">
        <v>231</v>
      </c>
      <c r="AC1093" s="20">
        <v>30</v>
      </c>
      <c r="AD1093" s="18">
        <f>DATA[[#This Row],[FECHA DE EMISION]]+DATA[[#This Row],[CONDICION DE PAGO]]</f>
        <v>45931</v>
      </c>
      <c r="AE1093" s="23">
        <f>IF(DATA[[#This Row],[MONEDA]]="USD",VLOOKUP(DATA[[#This Row],[COMBINADA]],#REF!,11,0),1)</f>
        <v>1</v>
      </c>
      <c r="AF1093" s="129" t="str">
        <f>IF(DATA[[#This Row],[SERIE2]]="-","NO CORRESPONDE",IF(W1093="NO CORRESPONDE","NO CORRESPONDE",IF(Z1093&gt;0,"FACTURADO","PENDIENTE")))</f>
        <v>FACTURADO</v>
      </c>
      <c r="AG1093" s="133">
        <f>IFERROR(VLOOKUP(DATA[[#This Row],[COMBINADA]],#REF!,6,0),0)</f>
        <v>0</v>
      </c>
      <c r="AH1093" s="125">
        <f>IFERROR(VLOOKUP(DATA[[#This Row],[COMBINADA]],#REF!,9,0),0)/COUNTIFS(DATA[COMBINADA],DATA[[#This Row],[COMBINADA]])</f>
        <v>0</v>
      </c>
      <c r="AI1093" s="136">
        <f>IFERROR(VLOOKUP(DATA[[#This Row],[COMBINADA]],#REF!,6,0),0)</f>
        <v>0</v>
      </c>
      <c r="AJ1093" s="132">
        <f>IFERROR(VLOOKUP(DATA[[#This Row],[COMBINADA]],#REF!,9,0),0)/COUNTIFS(DATA[COMBINADA],DATA[[#This Row],[COMBINADA]])</f>
        <v>0</v>
      </c>
      <c r="AK1093" s="408">
        <f>IFERROR(VLOOKUP(DATA[[#This Row],[COMBINADA]],#REF!,6,0),0)</f>
        <v>0</v>
      </c>
      <c r="AL1093" s="125">
        <f>IFERROR(VLOOKUP(DATA[[#This Row],[COMBINADA]],#REF!,9,0),0)/COUNTIFS(DATA[COMBINADA],DATA[[#This Row],[COMBINADA]])</f>
        <v>0</v>
      </c>
      <c r="AM1093" s="147">
        <f>IFERROR(VLOOKUP(DATA[[#This Row],[COMBINADA]],#REF!,6,0),0)</f>
        <v>0</v>
      </c>
      <c r="AN1093" s="125">
        <f>IFERROR(VLOOKUP(DATA[[#This Row],[COMBINADA]],#REF!,9,0),0)/COUNTIFS(DATA[COMBINADA],DATA[[#This Row],[COMBINADA]])</f>
        <v>0</v>
      </c>
      <c r="AO1093" s="27">
        <f>IFERROR(VLOOKUP(DATA[[#This Row],[COMBINADA]],#REF!,6,0),0)</f>
        <v>0</v>
      </c>
      <c r="AP1093" s="132">
        <f>IFERROR(VLOOKUP(DATA[[#This Row],[COMBINADA]],#REF!,9,0),0)/COUNTIFS(DATA[COMBINADA],DATA[[#This Row],[COMBINADA]])</f>
        <v>0</v>
      </c>
      <c r="AQ109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1088.19625</v>
      </c>
      <c r="AR1093" s="26" t="str">
        <f>IFERROR(IF(DATA[[#This Row],[estado_fact]]="FACTURADO",VLOOKUP(DATA[[#This Row],[SERIE2]]&amp;"-"&amp;DATA[[#This Row],[NUMERO]],#REF!,34,0),"NO CORRESPONDE"),"NO CORRESPONDE")</f>
        <v>NO CORRESPONDE</v>
      </c>
      <c r="AS1093" s="22" t="str">
        <f>IF(DATA[[#This Row],[fecha_fs]]&gt;0,TEXT(DATA[[#This Row],[fecha_fs]],"Mmmm"),0)</f>
        <v>Agosto</v>
      </c>
      <c r="AT1093" s="22" t="str">
        <f>DATA[[#This Row],[SERIE2]]&amp;"-"&amp;DATA[[#This Row],[NUMERO]]</f>
        <v>FF01-231</v>
      </c>
      <c r="AU1093" s="28">
        <f>DATA[[#This Row],[TOTAL]]*DATA[[#This Row],[T.C.]]</f>
        <v>1137.52</v>
      </c>
      <c r="AV1093" s="6">
        <f>DATA[[#This Row],[FECHA DE VAL.]]</f>
        <v>45898</v>
      </c>
      <c r="AW1093" s="6">
        <f>DATA[[#This Row],[FECHA DE EMISION]]</f>
        <v>45901</v>
      </c>
      <c r="AX1093" s="6">
        <f>DATA[[#This Row],[F1]]</f>
        <v>0</v>
      </c>
      <c r="AY1093" s="20">
        <f>IF(AV1093-DATA[[#This Row],[fecha_fs]]&lt;0,0,AV1093-DATA[[#This Row],[fecha_fs]])</f>
        <v>4</v>
      </c>
      <c r="AZ1093" s="20">
        <f>IF(AW1093-AV1093&lt;0,0,AW1093-AV1093)</f>
        <v>3</v>
      </c>
      <c r="BA1093" s="53">
        <f>IF(AX1093-AW1093&lt;0,0,AX1093-AW1093)</f>
        <v>0</v>
      </c>
      <c r="BB1093" s="195">
        <f>IFERROR(SUM(DATA[[#This Row],[fs_val_ttf]:[fact_pago_ttf]]),0)</f>
        <v>7</v>
      </c>
      <c r="BC1093" s="233">
        <v>45897</v>
      </c>
      <c r="BD1093" s="233">
        <v>45903</v>
      </c>
      <c r="BE1093" s="233">
        <v>45904</v>
      </c>
      <c r="BF1093" s="233">
        <v>45904</v>
      </c>
      <c r="BG1093" s="20">
        <f>IFERROR(IF(BC1093-DATA[[#This Row],[fecha_fs]]&lt;0,0,BC1093-DATA[[#This Row],[fecha_fs]]),0)</f>
        <v>3</v>
      </c>
      <c r="BH1093" s="20">
        <f t="shared" si="143"/>
        <v>6</v>
      </c>
      <c r="BI1093" s="20">
        <f t="shared" si="144"/>
        <v>1</v>
      </c>
      <c r="BJ1093" s="20">
        <f t="shared" si="145"/>
        <v>0</v>
      </c>
      <c r="BK1093" s="282">
        <f>IFERROR(SUM(DATA[[#This Row],[fs_fd_ttd]:[fend_fenf_ttd]]),0)</f>
        <v>10</v>
      </c>
      <c r="BL1093" s="20" t="str">
        <f>IF(DATA[[#This Row],[fecha_fs]]&gt;0,TEXT(DATA[[#This Row],[fecha_fs]],"YYYY"),0)</f>
        <v>2025</v>
      </c>
      <c r="BM1093" s="236" t="b">
        <v>1</v>
      </c>
      <c r="BN1093" s="278">
        <f>COUNTIF(DATA[[#This Row],[tiempo_td]], "&lt;=15")</f>
        <v>1</v>
      </c>
      <c r="BO1093" s="222"/>
    </row>
    <row r="1094" spans="1:67" ht="30.6" customHeight="1" x14ac:dyDescent="0.25">
      <c r="A1094" s="4">
        <v>20454186002</v>
      </c>
      <c r="B1094" s="5" t="s">
        <v>25</v>
      </c>
      <c r="C1094" s="52" t="s">
        <v>18</v>
      </c>
      <c r="D1094" s="4" t="s">
        <v>120</v>
      </c>
      <c r="E1094" s="5" t="s">
        <v>3</v>
      </c>
      <c r="F1094" s="24">
        <v>45894</v>
      </c>
      <c r="G1094" s="7" t="s">
        <v>113</v>
      </c>
      <c r="H1094" s="25">
        <f t="shared" ref="H1094:H1113" si="198">IF(G1094="","",IF(G1094="LIM",2,1))</f>
        <v>1</v>
      </c>
      <c r="I1094" s="67">
        <v>4902</v>
      </c>
      <c r="J1094" s="8" t="s">
        <v>115</v>
      </c>
      <c r="K1094" s="9" t="s">
        <v>121</v>
      </c>
      <c r="L1094" s="10" t="s">
        <v>117</v>
      </c>
      <c r="M1094" s="11">
        <v>3130</v>
      </c>
      <c r="N1094" s="12" t="s">
        <v>164</v>
      </c>
      <c r="O1094" s="6">
        <v>45895</v>
      </c>
      <c r="P1094" s="13">
        <v>3628</v>
      </c>
      <c r="Q1094" s="14" t="s">
        <v>85</v>
      </c>
      <c r="R1094" s="15">
        <f>1485.02+((DATA[[#This Row],[cantidad_fs]]-3000)*0.49)</f>
        <v>1548.72</v>
      </c>
      <c r="S1094" s="74"/>
      <c r="T1094" s="237">
        <f>DATA[[#This Row],[C. DF]]+DATA[[#This Row],[C.OPE.]]</f>
        <v>1548.72</v>
      </c>
      <c r="U1094" s="15">
        <f>DATA[[#This Row],[SUB TOTAL]]*0.18</f>
        <v>278.76959999999997</v>
      </c>
      <c r="V1094" s="15">
        <f>IFERROR(ROUND(DATA[[#This Row],[SUB TOTAL]]+DATA[[#This Row],[IGV]],2),0)</f>
        <v>1827.49</v>
      </c>
      <c r="W1094" s="16" t="str">
        <f>IF(DATA[[#This Row],[VALORIZACIÓN ]]="-","NO CORRESPONDE",IF(OR(A1094=20558226979,A1094=10470707866,A1094=20111157058,A1094=20100226902),"NO CORRESPONDE",IF(J1094="Emitida",IF(P1094&gt;0,"EMITIDA","PENDIENTE"),"NO CORRESPONDE")))</f>
        <v>EMITIDA</v>
      </c>
      <c r="X1094" s="29"/>
      <c r="Y1094" s="17" t="s">
        <v>118</v>
      </c>
      <c r="Z1094" s="30">
        <v>45895</v>
      </c>
      <c r="AA1094" s="10" t="s">
        <v>150</v>
      </c>
      <c r="AB1094" s="19">
        <v>222</v>
      </c>
      <c r="AC1094" s="20">
        <v>7</v>
      </c>
      <c r="AD1094" s="18">
        <f>DATA[[#This Row],[FECHA DE EMISION]]+DATA[[#This Row],[CONDICION DE PAGO]]</f>
        <v>45902</v>
      </c>
      <c r="AE1094" s="23">
        <f>IF(DATA[[#This Row],[MONEDA]]="USD",VLOOKUP(DATA[[#This Row],[COMBINADA]],#REF!,11,0),1)</f>
        <v>1</v>
      </c>
      <c r="AF1094" s="129" t="str">
        <f>IF(DATA[[#This Row],[SERIE2]]="-","NO CORRESPONDE",IF(W1094="NO CORRESPONDE","NO CORRESPONDE",IF(Z1094&gt;0,"FACTURADO","PENDIENTE")))</f>
        <v>FACTURADO</v>
      </c>
      <c r="AG1094" s="133">
        <f>IFERROR(VLOOKUP(DATA[[#This Row],[COMBINADA]],#REF!,6,0),0)</f>
        <v>0</v>
      </c>
      <c r="AH1094" s="125">
        <f>IFERROR(VLOOKUP(DATA[[#This Row],[COMBINADA]],#REF!,9,0),0)/COUNTIFS(DATA[COMBINADA],DATA[[#This Row],[COMBINADA]])</f>
        <v>0</v>
      </c>
      <c r="AI1094" s="136">
        <f>IFERROR(VLOOKUP(DATA[[#This Row],[COMBINADA]],#REF!,6,0),0)</f>
        <v>0</v>
      </c>
      <c r="AJ1094" s="132">
        <f>IFERROR(VLOOKUP(DATA[[#This Row],[COMBINADA]],#REF!,9,0),0)/COUNTIFS(DATA[COMBINADA],DATA[[#This Row],[COMBINADA]])</f>
        <v>0</v>
      </c>
      <c r="AK1094" s="408">
        <f>IFERROR(VLOOKUP(DATA[[#This Row],[COMBINADA]],#REF!,6,0),0)</f>
        <v>0</v>
      </c>
      <c r="AL1094" s="125">
        <f>IFERROR(VLOOKUP(DATA[[#This Row],[COMBINADA]],#REF!,9,0),0)/COUNTIFS(DATA[COMBINADA],DATA[[#This Row],[COMBINADA]])</f>
        <v>0</v>
      </c>
      <c r="AM1094" s="27">
        <f>IFERROR(VLOOKUP(DATA[[#This Row],[COMBINADA]],#REF!,6,0),0)</f>
        <v>0</v>
      </c>
      <c r="AN1094" s="125">
        <f>IFERROR(VLOOKUP(DATA[[#This Row],[COMBINADA]],#REF!,9,0),0)/COUNTIFS(DATA[COMBINADA],DATA[[#This Row],[COMBINADA]])</f>
        <v>0</v>
      </c>
      <c r="AO1094" s="27">
        <f>IFERROR(VLOOKUP(DATA[[#This Row],[COMBINADA]],#REF!,6,0),0)</f>
        <v>0</v>
      </c>
      <c r="AP1094" s="132">
        <f>IFERROR(VLOOKUP(DATA[[#This Row],[COMBINADA]],#REF!,9,0),0)/COUNTIFS(DATA[COMBINADA],DATA[[#This Row],[COMBINADA]])</f>
        <v>0</v>
      </c>
      <c r="AQ109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1827.49</v>
      </c>
      <c r="AR1094" s="26" t="str">
        <f>IFERROR(IF(DATA[[#This Row],[estado_fact]]="FACTURADO",VLOOKUP(DATA[[#This Row],[SERIE2]]&amp;"-"&amp;DATA[[#This Row],[NUMERO]],#REF!,34,0),"NO CORRESPONDE"),"NO CORRESPONDE")</f>
        <v>NO CORRESPONDE</v>
      </c>
      <c r="AS1094" s="22" t="str">
        <f>IF(DATA[[#This Row],[fecha_fs]]&gt;0,TEXT(DATA[[#This Row],[fecha_fs]],"Mmmm"),0)</f>
        <v>Agosto</v>
      </c>
      <c r="AT1094" s="22" t="str">
        <f>DATA[[#This Row],[SERIE2]]&amp;"-"&amp;DATA[[#This Row],[NUMERO]]</f>
        <v>FF01-222</v>
      </c>
      <c r="AU1094" s="28">
        <f>DATA[[#This Row],[TOTAL]]*DATA[[#This Row],[T.C.]]</f>
        <v>1827.49</v>
      </c>
      <c r="AV1094" s="6">
        <f>DATA[[#This Row],[FECHA DE VAL.]]</f>
        <v>45895</v>
      </c>
      <c r="AW1094" s="6">
        <f>DATA[[#This Row],[FECHA DE EMISION]]</f>
        <v>45895</v>
      </c>
      <c r="AX1094" s="6">
        <f>DATA[[#This Row],[F1]]</f>
        <v>0</v>
      </c>
      <c r="AY1094" s="20">
        <f>IF(AV1094-DATA[[#This Row],[fecha_fs]]&lt;0,0,AV1094-DATA[[#This Row],[fecha_fs]])</f>
        <v>1</v>
      </c>
      <c r="AZ1094" s="20">
        <f t="shared" ref="AZ1094:AZ1113" si="199">IF(AW1094-AV1094&lt;0,0,AW1094-AV1094)</f>
        <v>0</v>
      </c>
      <c r="BA1094" s="53">
        <f t="shared" ref="BA1094:BA1113" si="200">IF(AX1094-AW1094&lt;0,0,AX1094-AW1094)</f>
        <v>0</v>
      </c>
      <c r="BB1094" s="195">
        <f>IFERROR(SUM(DATA[[#This Row],[fs_val_ttf]:[fact_pago_ttf]]),0)</f>
        <v>1</v>
      </c>
      <c r="BC1094" s="233">
        <v>45894</v>
      </c>
      <c r="BD1094" s="233">
        <v>45903</v>
      </c>
      <c r="BE1094" s="233">
        <v>45904</v>
      </c>
      <c r="BF1094" s="233">
        <v>45919</v>
      </c>
      <c r="BG1094" s="20">
        <f>IFERROR(IF(BC1094-DATA[[#This Row],[fecha_fs]]&lt;0,0,BC1094-DATA[[#This Row],[fecha_fs]]),0)</f>
        <v>0</v>
      </c>
      <c r="BH1094" s="20">
        <f t="shared" ref="BH1094:BH1113" si="201">IFERROR(IF(BD1094-BC1094&lt;0,0,BD1094-BC1094),0)</f>
        <v>9</v>
      </c>
      <c r="BI1094" s="20">
        <f t="shared" ref="BI1094:BI1113" si="202">IFERROR(IF(BE1094-BD1094&lt;0,0,BE1094-BD1094),0)</f>
        <v>1</v>
      </c>
      <c r="BJ1094" s="20">
        <f t="shared" ref="BJ1094:BJ1113" si="203">IFERROR(IF(BF1094-BE1094&lt;0,0,BF1094-BE1094),0)</f>
        <v>15</v>
      </c>
      <c r="BK1094" s="282">
        <f>IFERROR(SUM(DATA[[#This Row],[fs_fd_ttd]:[fend_fenf_ttd]]),0)</f>
        <v>25</v>
      </c>
      <c r="BL1094" s="20" t="str">
        <f>IF(DATA[[#This Row],[fecha_fs]]&gt;0,TEXT(DATA[[#This Row],[fecha_fs]],"YYYY"),0)</f>
        <v>2025</v>
      </c>
      <c r="BM1094" s="236" t="b">
        <v>1</v>
      </c>
      <c r="BN1094" s="278">
        <f>COUNTIF(DATA[[#This Row],[tiempo_td]], "&lt;=15")</f>
        <v>0</v>
      </c>
      <c r="BO1094" s="222"/>
    </row>
    <row r="1095" spans="1:67" ht="30.6" customHeight="1" x14ac:dyDescent="0.25">
      <c r="A1095" s="4">
        <v>20100211115</v>
      </c>
      <c r="B1095" s="5" t="s">
        <v>41</v>
      </c>
      <c r="C1095" s="52" t="s">
        <v>18</v>
      </c>
      <c r="D1095" s="4" t="s">
        <v>120</v>
      </c>
      <c r="E1095" s="5" t="s">
        <v>3</v>
      </c>
      <c r="F1095" s="24">
        <v>45894</v>
      </c>
      <c r="G1095" s="7" t="s">
        <v>113</v>
      </c>
      <c r="H1095" s="25">
        <f t="shared" si="198"/>
        <v>1</v>
      </c>
      <c r="I1095" s="67">
        <v>4903</v>
      </c>
      <c r="J1095" s="8" t="s">
        <v>115</v>
      </c>
      <c r="K1095" s="9" t="s">
        <v>121</v>
      </c>
      <c r="L1095" s="10" t="s">
        <v>117</v>
      </c>
      <c r="M1095" s="11">
        <v>90</v>
      </c>
      <c r="N1095" s="12" t="s">
        <v>167</v>
      </c>
      <c r="O1095" s="6">
        <v>45894</v>
      </c>
      <c r="P1095" s="115">
        <v>3625</v>
      </c>
      <c r="Q1095" s="14" t="s">
        <v>85</v>
      </c>
      <c r="R1095" s="74"/>
      <c r="S1095" s="15">
        <f>(DATA[[#This Row],[cantidad_fs]]*4.17)</f>
        <v>375.3</v>
      </c>
      <c r="T1095" s="237">
        <f>DATA[[#This Row],[C. DF]]+DATA[[#This Row],[C.OPE.]]</f>
        <v>375.3</v>
      </c>
      <c r="U1095" s="15">
        <f>DATA[[#This Row],[SUB TOTAL]]*0.18</f>
        <v>67.554000000000002</v>
      </c>
      <c r="V1095" s="15">
        <f>IFERROR(ROUND(DATA[[#This Row],[SUB TOTAL]]+DATA[[#This Row],[IGV]],2),0)</f>
        <v>442.85</v>
      </c>
      <c r="W1095" s="16" t="str">
        <f>IF(DATA[[#This Row],[VALORIZACIÓN ]]="-","NO CORRESPONDE",IF(OR(A1095=20558226979,A1095=10470707866,A1095=20111157058,A1095=20100226902),"NO CORRESPONDE",IF(J1095="Emitida",IF(P1095&gt;0,"EMITIDA","PENDIENTE"),"NO CORRESPONDE")))</f>
        <v>EMITIDA</v>
      </c>
      <c r="X1095" s="29"/>
      <c r="Y1095" s="17" t="s">
        <v>118</v>
      </c>
      <c r="Z1095" s="30">
        <v>45896</v>
      </c>
      <c r="AA1095" s="10" t="s">
        <v>150</v>
      </c>
      <c r="AB1095" s="19">
        <v>224</v>
      </c>
      <c r="AC1095" s="20">
        <v>30</v>
      </c>
      <c r="AD1095" s="18">
        <f>DATA[[#This Row],[FECHA DE EMISION]]+DATA[[#This Row],[CONDICION DE PAGO]]</f>
        <v>45926</v>
      </c>
      <c r="AE1095" s="23">
        <f>IF(DATA[[#This Row],[MONEDA]]="USD",VLOOKUP(DATA[[#This Row],[COMBINADA]],#REF!,11,0),1)</f>
        <v>1</v>
      </c>
      <c r="AF1095" s="129" t="str">
        <f>IF(DATA[[#This Row],[SERIE2]]="-","NO CORRESPONDE",IF(W1095="NO CORRESPONDE","NO CORRESPONDE",IF(Z1095&gt;0,"FACTURADO","PENDIENTE")))</f>
        <v>FACTURADO</v>
      </c>
      <c r="AG1095" s="133">
        <f>IFERROR(VLOOKUP(DATA[[#This Row],[COMBINADA]],#REF!,6,0),0)</f>
        <v>0</v>
      </c>
      <c r="AH1095" s="125">
        <f>IFERROR(VLOOKUP(DATA[[#This Row],[COMBINADA]],#REF!,9,0),0)/COUNTIFS(DATA[COMBINADA],DATA[[#This Row],[COMBINADA]])</f>
        <v>0</v>
      </c>
      <c r="AI1095" s="136">
        <f>IFERROR(VLOOKUP(DATA[[#This Row],[COMBINADA]],#REF!,6,0),0)</f>
        <v>0</v>
      </c>
      <c r="AJ1095" s="132">
        <f>IFERROR(VLOOKUP(DATA[[#This Row],[COMBINADA]],#REF!,9,0),0)/COUNTIFS(DATA[COMBINADA],DATA[[#This Row],[COMBINADA]])</f>
        <v>0</v>
      </c>
      <c r="AK1095" s="408">
        <f>IFERROR(VLOOKUP(DATA[[#This Row],[COMBINADA]],#REF!,6,0),0)</f>
        <v>0</v>
      </c>
      <c r="AL1095" s="125">
        <f>IFERROR(VLOOKUP(DATA[[#This Row],[COMBINADA]],#REF!,9,0),0)/COUNTIFS(DATA[COMBINADA],DATA[[#This Row],[COMBINADA]])</f>
        <v>0</v>
      </c>
      <c r="AM1095" s="27">
        <f>IFERROR(VLOOKUP(DATA[[#This Row],[COMBINADA]],#REF!,6,0),0)</f>
        <v>0</v>
      </c>
      <c r="AN1095" s="125">
        <f>IFERROR(VLOOKUP(DATA[[#This Row],[COMBINADA]],#REF!,9,0),0)/COUNTIFS(DATA[COMBINADA],DATA[[#This Row],[COMBINADA]])</f>
        <v>0</v>
      </c>
      <c r="AO1095" s="27">
        <f>IFERROR(VLOOKUP(DATA[[#This Row],[COMBINADA]],#REF!,6,0),0)</f>
        <v>0</v>
      </c>
      <c r="AP1095" s="132">
        <f>IFERROR(VLOOKUP(DATA[[#This Row],[COMBINADA]],#REF!,9,0),0)/COUNTIFS(DATA[COMBINADA],DATA[[#This Row],[COMBINADA]])</f>
        <v>0</v>
      </c>
      <c r="AQ109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v>
      </c>
      <c r="AR1095" s="26" t="str">
        <f>IFERROR(IF(DATA[[#This Row],[estado_fact]]="FACTURADO",VLOOKUP(DATA[[#This Row],[SERIE2]]&amp;"-"&amp;DATA[[#This Row],[NUMERO]],#REF!,34,0),"NO CORRESPONDE"),"NO CORRESPONDE")</f>
        <v>NO CORRESPONDE</v>
      </c>
      <c r="AS1095" s="22" t="str">
        <f>IF(DATA[[#This Row],[fecha_fs]]&gt;0,TEXT(DATA[[#This Row],[fecha_fs]],"Mmmm"),0)</f>
        <v>Agosto</v>
      </c>
      <c r="AT1095" s="22" t="str">
        <f>DATA[[#This Row],[SERIE2]]&amp;"-"&amp;DATA[[#This Row],[NUMERO]]</f>
        <v>FF01-224</v>
      </c>
      <c r="AU1095" s="28">
        <f>DATA[[#This Row],[TOTAL]]*DATA[[#This Row],[T.C.]]</f>
        <v>442.85</v>
      </c>
      <c r="AV1095" s="6">
        <f>DATA[[#This Row],[FECHA DE VAL.]]</f>
        <v>45894</v>
      </c>
      <c r="AW1095" s="6">
        <f>DATA[[#This Row],[FECHA DE EMISION]]</f>
        <v>45896</v>
      </c>
      <c r="AX1095" s="6">
        <f>DATA[[#This Row],[F1]]</f>
        <v>0</v>
      </c>
      <c r="AY1095" s="20">
        <f>IF(AV1095-DATA[[#This Row],[fecha_fs]]&lt;0,0,AV1095-DATA[[#This Row],[fecha_fs]])</f>
        <v>0</v>
      </c>
      <c r="AZ1095" s="20">
        <f t="shared" si="199"/>
        <v>2</v>
      </c>
      <c r="BA1095" s="53">
        <f t="shared" si="200"/>
        <v>0</v>
      </c>
      <c r="BB1095" s="195">
        <f>IFERROR(SUM(DATA[[#This Row],[fs_val_ttf]:[fact_pago_ttf]]),0)</f>
        <v>2</v>
      </c>
      <c r="BC1095" s="233">
        <v>45903</v>
      </c>
      <c r="BD1095" s="233">
        <v>45905</v>
      </c>
      <c r="BE1095" s="233">
        <v>45908</v>
      </c>
      <c r="BF1095" s="185">
        <v>45911</v>
      </c>
      <c r="BG1095" s="20">
        <f>IFERROR(IF(BC1095-DATA[[#This Row],[fecha_fs]]&lt;0,0,BC1095-DATA[[#This Row],[fecha_fs]]),0)</f>
        <v>9</v>
      </c>
      <c r="BH1095" s="20">
        <f t="shared" si="201"/>
        <v>2</v>
      </c>
      <c r="BI1095" s="20">
        <f t="shared" si="202"/>
        <v>3</v>
      </c>
      <c r="BJ1095" s="20">
        <f t="shared" si="203"/>
        <v>3</v>
      </c>
      <c r="BK1095" s="282">
        <f>IFERROR(SUM(DATA[[#This Row],[fs_fd_ttd]:[fend_fenf_ttd]]),0)</f>
        <v>17</v>
      </c>
      <c r="BL1095" s="20" t="str">
        <f>IF(DATA[[#This Row],[fecha_fs]]&gt;0,TEXT(DATA[[#This Row],[fecha_fs]],"YYYY"),0)</f>
        <v>2025</v>
      </c>
      <c r="BM1095" s="236" t="b">
        <v>1</v>
      </c>
      <c r="BN1095" s="278">
        <f>COUNTIF(DATA[[#This Row],[tiempo_td]], "&lt;=15")</f>
        <v>0</v>
      </c>
      <c r="BO1095" s="222"/>
    </row>
    <row r="1096" spans="1:67" ht="30.6" customHeight="1" x14ac:dyDescent="0.25">
      <c r="A1096" s="4">
        <v>20552714378</v>
      </c>
      <c r="B1096" s="5" t="s">
        <v>288</v>
      </c>
      <c r="C1096" s="52" t="s">
        <v>264</v>
      </c>
      <c r="D1096" s="4" t="s">
        <v>120</v>
      </c>
      <c r="E1096" s="5" t="s">
        <v>3</v>
      </c>
      <c r="F1096" s="24">
        <v>45895</v>
      </c>
      <c r="G1096" s="7" t="s">
        <v>113</v>
      </c>
      <c r="H1096" s="25">
        <f t="shared" si="198"/>
        <v>1</v>
      </c>
      <c r="I1096" s="67">
        <v>4904</v>
      </c>
      <c r="J1096" s="8" t="s">
        <v>115</v>
      </c>
      <c r="K1096" s="9" t="s">
        <v>121</v>
      </c>
      <c r="L1096" s="10" t="s">
        <v>117</v>
      </c>
      <c r="M1096" s="11">
        <v>70</v>
      </c>
      <c r="N1096" s="12" t="s">
        <v>165</v>
      </c>
      <c r="O1096" s="6">
        <v>45922</v>
      </c>
      <c r="P1096" s="109">
        <v>3668</v>
      </c>
      <c r="Q1096" s="14" t="s">
        <v>85</v>
      </c>
      <c r="R1096" s="15">
        <f>80</f>
        <v>80</v>
      </c>
      <c r="S1096" s="237">
        <v>2112.33</v>
      </c>
      <c r="T1096" s="237">
        <f>DATA[[#This Row],[C. DF]]+DATA[[#This Row],[C.OPE.]]</f>
        <v>2192.33</v>
      </c>
      <c r="U1096" s="15">
        <f>DATA[[#This Row],[SUB TOTAL]]*0.18</f>
        <v>394.61939999999998</v>
      </c>
      <c r="V1096" s="15">
        <f>IFERROR(ROUND(DATA[[#This Row],[SUB TOTAL]]+DATA[[#This Row],[IGV]],2),0)</f>
        <v>2586.9499999999998</v>
      </c>
      <c r="W1096" s="16" t="str">
        <f>IF(DATA[[#This Row],[VALORIZACIÓN ]]="-","NO CORRESPONDE",IF(OR(A1096=20558226979,A1096=10470707866,A1096=20111157058,A1096=20100226902),"NO CORRESPONDE",IF(J1096="Emitida",IF(P1096&gt;0,"EMITIDA","PENDIENTE"),"NO CORRESPONDE")))</f>
        <v>EMITIDA</v>
      </c>
      <c r="X1096" s="29"/>
      <c r="Y1096" s="17" t="s">
        <v>118</v>
      </c>
      <c r="Z1096" s="30">
        <v>45933</v>
      </c>
      <c r="AA1096" s="10" t="s">
        <v>150</v>
      </c>
      <c r="AB1096" s="19">
        <v>278</v>
      </c>
      <c r="AC1096" s="20">
        <v>60</v>
      </c>
      <c r="AD1096" s="18">
        <f>DATA[[#This Row],[FECHA DE EMISION]]+DATA[[#This Row],[CONDICION DE PAGO]]</f>
        <v>45993</v>
      </c>
      <c r="AE1096" s="23">
        <f>IF(DATA[[#This Row],[MONEDA]]="USD",VLOOKUP(DATA[[#This Row],[COMBINADA]],#REF!,11,0),1)</f>
        <v>1</v>
      </c>
      <c r="AF1096" s="39" t="str">
        <f>IF(DATA[[#This Row],[SERIE2]]="-","NO CORRESPONDE",IF(W1096="NO CORRESPONDE","NO CORRESPONDE",IF(Z1096&gt;0,"FACTURADO","PENDIENTE")))</f>
        <v>FACTURADO</v>
      </c>
      <c r="AG1096" s="133">
        <f>IFERROR(VLOOKUP(DATA[[#This Row],[COMBINADA]],#REF!,6,0),0)</f>
        <v>0</v>
      </c>
      <c r="AH1096" s="125">
        <f>IFERROR(VLOOKUP(DATA[[#This Row],[COMBINADA]],#REF!,9,0),0)/COUNTIFS(DATA[COMBINADA],DATA[[#This Row],[COMBINADA]])</f>
        <v>0</v>
      </c>
      <c r="AI1096" s="136">
        <f>IFERROR(VLOOKUP(DATA[[#This Row],[COMBINADA]],#REF!,6,0),0)</f>
        <v>0</v>
      </c>
      <c r="AJ1096" s="132">
        <f>IFERROR(VLOOKUP(DATA[[#This Row],[COMBINADA]],#REF!,9,0),0)/COUNTIFS(DATA[COMBINADA],DATA[[#This Row],[COMBINADA]])</f>
        <v>0</v>
      </c>
      <c r="AK1096" s="408">
        <f>IFERROR(VLOOKUP(DATA[[#This Row],[COMBINADA]],#REF!,6,0),0)</f>
        <v>0</v>
      </c>
      <c r="AL1096" s="125">
        <f>IFERROR(VLOOKUP(DATA[[#This Row],[COMBINADA]],#REF!,9,0),0)/COUNTIFS(DATA[COMBINADA],DATA[[#This Row],[COMBINADA]])</f>
        <v>0</v>
      </c>
      <c r="AM1096" s="27">
        <f>IFERROR(VLOOKUP(DATA[[#This Row],[COMBINADA]],#REF!,6,0),0)</f>
        <v>0</v>
      </c>
      <c r="AN1096" s="125">
        <f>IFERROR(VLOOKUP(DATA[[#This Row],[COMBINADA]],#REF!,9,0),0)/COUNTIFS(DATA[COMBINADA],DATA[[#This Row],[COMBINADA]])</f>
        <v>0</v>
      </c>
      <c r="AO1096" s="27">
        <f>IFERROR(VLOOKUP(DATA[[#This Row],[COMBINADA]],#REF!,6,0),0)</f>
        <v>0</v>
      </c>
      <c r="AP1096" s="132">
        <f>IFERROR(VLOOKUP(DATA[[#This Row],[COMBINADA]],#REF!,9,0),0)/COUNTIFS(DATA[COMBINADA],DATA[[#This Row],[COMBINADA]])</f>
        <v>0</v>
      </c>
      <c r="AQ109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2586.9499999999998</v>
      </c>
      <c r="AR1096" s="26" t="str">
        <f>IFERROR(IF(DATA[[#This Row],[estado_fact]]="FACTURADO",VLOOKUP(DATA[[#This Row],[SERIE2]]&amp;"-"&amp;DATA[[#This Row],[NUMERO]],#REF!,34,0),"NO CORRESPONDE"),"NO CORRESPONDE")</f>
        <v>NO CORRESPONDE</v>
      </c>
      <c r="AS1096" s="22" t="str">
        <f>IF(DATA[[#This Row],[fecha_fs]]&gt;0,TEXT(DATA[[#This Row],[fecha_fs]],"Mmmm"),0)</f>
        <v>Agosto</v>
      </c>
      <c r="AT1096" s="22" t="str">
        <f>DATA[[#This Row],[SERIE2]]&amp;"-"&amp;DATA[[#This Row],[NUMERO]]</f>
        <v>FF01-278</v>
      </c>
      <c r="AU1096" s="28">
        <f>DATA[[#This Row],[TOTAL]]*DATA[[#This Row],[T.C.]]</f>
        <v>2586.9499999999998</v>
      </c>
      <c r="AV1096" s="6">
        <f>DATA[[#This Row],[FECHA DE VAL.]]</f>
        <v>45922</v>
      </c>
      <c r="AW1096" s="6">
        <f>DATA[[#This Row],[FECHA DE EMISION]]</f>
        <v>45933</v>
      </c>
      <c r="AX1096" s="6">
        <f>DATA[[#This Row],[F1]]</f>
        <v>0</v>
      </c>
      <c r="AY1096" s="20">
        <f>IF(AV1096-DATA[[#This Row],[fecha_fs]]&lt;0,0,AV1096-DATA[[#This Row],[fecha_fs]])</f>
        <v>27</v>
      </c>
      <c r="AZ1096" s="20">
        <f t="shared" si="199"/>
        <v>11</v>
      </c>
      <c r="BA1096" s="53">
        <f t="shared" si="200"/>
        <v>0</v>
      </c>
      <c r="BB1096" s="195">
        <f>IFERROR(SUM(DATA[[#This Row],[fs_val_ttf]:[fact_pago_ttf]]),0)</f>
        <v>38</v>
      </c>
      <c r="BC1096" s="233">
        <v>45923</v>
      </c>
      <c r="BD1096" s="233">
        <v>45932</v>
      </c>
      <c r="BE1096" s="233">
        <v>45931</v>
      </c>
      <c r="BF1096" s="233">
        <v>45932</v>
      </c>
      <c r="BG1096" s="20">
        <f>IFERROR(IF(BC1096-DATA[[#This Row],[fecha_fs]]&lt;0,0,BC1096-DATA[[#This Row],[fecha_fs]]),0)</f>
        <v>28</v>
      </c>
      <c r="BH1096" s="20">
        <f t="shared" si="201"/>
        <v>9</v>
      </c>
      <c r="BI1096" s="20">
        <f t="shared" si="202"/>
        <v>0</v>
      </c>
      <c r="BJ1096" s="20">
        <f t="shared" si="203"/>
        <v>1</v>
      </c>
      <c r="BK1096" s="282">
        <f>IFERROR(SUM(DATA[[#This Row],[fs_fd_ttd]:[fend_fenf_ttd]]),0)</f>
        <v>38</v>
      </c>
      <c r="BL1096" s="20" t="str">
        <f>IF(DATA[[#This Row],[fecha_fs]]&gt;0,TEXT(DATA[[#This Row],[fecha_fs]],"YYYY"),0)</f>
        <v>2025</v>
      </c>
      <c r="BM1096" s="236" t="b">
        <v>1</v>
      </c>
      <c r="BN1096" s="278">
        <f>COUNTIF(DATA[[#This Row],[tiempo_td]], "&lt;=15")</f>
        <v>0</v>
      </c>
      <c r="BO1096" s="222"/>
    </row>
    <row r="1097" spans="1:67" ht="30.6" customHeight="1" x14ac:dyDescent="0.25">
      <c r="A1097" s="4">
        <v>20419158462</v>
      </c>
      <c r="B1097" s="5" t="s">
        <v>2</v>
      </c>
      <c r="C1097" s="52" t="s">
        <v>5</v>
      </c>
      <c r="D1097" s="4" t="s">
        <v>120</v>
      </c>
      <c r="E1097" s="5" t="s">
        <v>3</v>
      </c>
      <c r="F1097" s="24">
        <v>45895</v>
      </c>
      <c r="G1097" s="7" t="s">
        <v>113</v>
      </c>
      <c r="H1097" s="25">
        <f t="shared" si="198"/>
        <v>1</v>
      </c>
      <c r="I1097" s="67">
        <v>4905</v>
      </c>
      <c r="J1097" s="8" t="s">
        <v>115</v>
      </c>
      <c r="K1097" s="9" t="s">
        <v>156</v>
      </c>
      <c r="L1097" s="10" t="s">
        <v>117</v>
      </c>
      <c r="M1097" s="11">
        <v>570</v>
      </c>
      <c r="N1097" s="12" t="s">
        <v>132</v>
      </c>
      <c r="O1097" s="6">
        <v>45896</v>
      </c>
      <c r="P1097" s="13">
        <v>3635</v>
      </c>
      <c r="Q1097" s="14" t="s">
        <v>85</v>
      </c>
      <c r="R1097" s="74"/>
      <c r="S1097" s="15">
        <f>1429.7/2</f>
        <v>714.85</v>
      </c>
      <c r="T1097" s="237">
        <f>DATA[[#This Row],[C. DF]]+DATA[[#This Row],[C.OPE.]]</f>
        <v>714.85</v>
      </c>
      <c r="U1097" s="15">
        <f>DATA[[#This Row],[SUB TOTAL]]*0.18</f>
        <v>128.673</v>
      </c>
      <c r="V1097" s="15">
        <f>IFERROR(ROUND(DATA[[#This Row],[SUB TOTAL]]+DATA[[#This Row],[IGV]],2),0)</f>
        <v>843.52</v>
      </c>
      <c r="W1097" s="16" t="str">
        <f>IF(DATA[[#This Row],[VALORIZACIÓN ]]="-","NO CORRESPONDE",IF(OR(A1097=20558226979,A1097=10470707866,A1097=20111157058,A1097=20100226902),"NO CORRESPONDE",IF(J1097="Emitida",IF(P1097&gt;0,"EMITIDA","PENDIENTE"),"NO CORRESPONDE")))</f>
        <v>EMITIDA</v>
      </c>
      <c r="X1097" s="29"/>
      <c r="Y1097" s="17" t="s">
        <v>118</v>
      </c>
      <c r="Z1097" s="30">
        <v>45965</v>
      </c>
      <c r="AA1097" s="10" t="s">
        <v>150</v>
      </c>
      <c r="AB1097" s="19">
        <v>329</v>
      </c>
      <c r="AC1097" s="20">
        <v>2</v>
      </c>
      <c r="AD1097" s="18">
        <f>DATA[[#This Row],[FECHA DE EMISION]]+DATA[[#This Row],[CONDICION DE PAGO]]</f>
        <v>45967</v>
      </c>
      <c r="AE1097" s="23">
        <f>IF(DATA[[#This Row],[MONEDA]]="USD",VLOOKUP(DATA[[#This Row],[COMBINADA]],#REF!,11,0),1)</f>
        <v>1</v>
      </c>
      <c r="AF1097" s="129" t="str">
        <f>IF(DATA[[#This Row],[SERIE2]]="-","NO CORRESPONDE",IF(W1097="NO CORRESPONDE","NO CORRESPONDE",IF(Z1097&gt;0,"FACTURADO","PENDIENTE")))</f>
        <v>FACTURADO</v>
      </c>
      <c r="AG1097" s="133">
        <f>IFERROR(VLOOKUP(DATA[[#This Row],[COMBINADA]],#REF!,6,0),0)</f>
        <v>0</v>
      </c>
      <c r="AH1097" s="125">
        <f>IFERROR(VLOOKUP(DATA[[#This Row],[COMBINADA]],#REF!,9,0),0)/COUNTIFS(DATA[COMBINADA],DATA[[#This Row],[COMBINADA]])</f>
        <v>0</v>
      </c>
      <c r="AI1097" s="136">
        <f>IFERROR(VLOOKUP(DATA[[#This Row],[COMBINADA]],#REF!,6,0),0)</f>
        <v>0</v>
      </c>
      <c r="AJ1097" s="132">
        <f>IFERROR(VLOOKUP(DATA[[#This Row],[COMBINADA]],#REF!,9,0),0)/COUNTIFS(DATA[COMBINADA],DATA[[#This Row],[COMBINADA]])</f>
        <v>0</v>
      </c>
      <c r="AK1097" s="408">
        <f>IFERROR(VLOOKUP(DATA[[#This Row],[COMBINADA]],#REF!,6,0),0)</f>
        <v>0</v>
      </c>
      <c r="AL1097" s="125">
        <f>IFERROR(VLOOKUP(DATA[[#This Row],[COMBINADA]],#REF!,9,0),0)/COUNTIFS(DATA[COMBINADA],DATA[[#This Row],[COMBINADA]])</f>
        <v>0</v>
      </c>
      <c r="AM1097" s="27">
        <f>IFERROR(VLOOKUP(DATA[[#This Row],[COMBINADA]],#REF!,6,0),0)</f>
        <v>0</v>
      </c>
      <c r="AN1097" s="125">
        <f>IFERROR(VLOOKUP(DATA[[#This Row],[COMBINADA]],#REF!,9,0),0)/COUNTIFS(DATA[COMBINADA],DATA[[#This Row],[COMBINADA]])</f>
        <v>0</v>
      </c>
      <c r="AO1097" s="27">
        <f>IFERROR(VLOOKUP(DATA[[#This Row],[COMBINADA]],#REF!,6,0),0)</f>
        <v>0</v>
      </c>
      <c r="AP1097" s="132">
        <f>IFERROR(VLOOKUP(DATA[[#This Row],[COMBINADA]],#REF!,9,0),0)/COUNTIFS(DATA[COMBINADA],DATA[[#This Row],[COMBINADA]])</f>
        <v>0</v>
      </c>
      <c r="AQ109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1097" s="26" t="str">
        <f>IFERROR(IF(DATA[[#This Row],[estado_fact]]="FACTURADO",VLOOKUP(DATA[[#This Row],[SERIE2]]&amp;"-"&amp;DATA[[#This Row],[NUMERO]],#REF!,34,0),"NO CORRESPONDE"),"NO CORRESPONDE")</f>
        <v>NO CORRESPONDE</v>
      </c>
      <c r="AS1097" s="22" t="str">
        <f>IF(DATA[[#This Row],[fecha_fs]]&gt;0,TEXT(DATA[[#This Row],[fecha_fs]],"Mmmm"),0)</f>
        <v>Agosto</v>
      </c>
      <c r="AT1097" s="22" t="str">
        <f>DATA[[#This Row],[SERIE2]]&amp;"-"&amp;DATA[[#This Row],[NUMERO]]</f>
        <v>FF01-329</v>
      </c>
      <c r="AU1097" s="28">
        <f>DATA[[#This Row],[TOTAL]]*DATA[[#This Row],[T.C.]]</f>
        <v>843.52</v>
      </c>
      <c r="AV1097" s="6">
        <f>DATA[[#This Row],[FECHA DE VAL.]]</f>
        <v>45896</v>
      </c>
      <c r="AW1097" s="6">
        <f>DATA[[#This Row],[FECHA DE EMISION]]</f>
        <v>45965</v>
      </c>
      <c r="AX1097" s="6">
        <f>DATA[[#This Row],[F1]]</f>
        <v>0</v>
      </c>
      <c r="AY1097" s="20">
        <f>IF(AV1097-DATA[[#This Row],[fecha_fs]]&lt;0,0,AV1097-DATA[[#This Row],[fecha_fs]])</f>
        <v>1</v>
      </c>
      <c r="AZ1097" s="20">
        <f t="shared" si="199"/>
        <v>69</v>
      </c>
      <c r="BA1097" s="53">
        <f t="shared" si="200"/>
        <v>0</v>
      </c>
      <c r="BB1097" s="195">
        <f>IFERROR(SUM(DATA[[#This Row],[fs_val_ttf]:[fact_pago_ttf]]),0)</f>
        <v>70</v>
      </c>
      <c r="BC1097" s="233">
        <v>45895</v>
      </c>
      <c r="BD1097" s="233">
        <v>45895</v>
      </c>
      <c r="BE1097" s="233">
        <v>45897</v>
      </c>
      <c r="BF1097" s="233">
        <v>45897</v>
      </c>
      <c r="BG1097" s="20">
        <f>IFERROR(IF(BC1097-DATA[[#This Row],[fecha_fs]]&lt;0,0,BC1097-DATA[[#This Row],[fecha_fs]]),0)</f>
        <v>0</v>
      </c>
      <c r="BH1097" s="20">
        <f t="shared" si="201"/>
        <v>0</v>
      </c>
      <c r="BI1097" s="20">
        <f t="shared" si="202"/>
        <v>2</v>
      </c>
      <c r="BJ1097" s="20">
        <f t="shared" si="203"/>
        <v>0</v>
      </c>
      <c r="BK1097" s="282">
        <f>IFERROR(SUM(DATA[[#This Row],[fs_fd_ttd]:[fend_fenf_ttd]]),0)</f>
        <v>2</v>
      </c>
      <c r="BL1097" s="20" t="str">
        <f>IF(DATA[[#This Row],[fecha_fs]]&gt;0,TEXT(DATA[[#This Row],[fecha_fs]],"YYYY"),0)</f>
        <v>2025</v>
      </c>
      <c r="BM1097" s="236" t="b">
        <v>1</v>
      </c>
      <c r="BN1097" s="278">
        <f>COUNTIF(DATA[[#This Row],[tiempo_td]], "&lt;=15")</f>
        <v>1</v>
      </c>
      <c r="BO1097" s="222"/>
    </row>
    <row r="1098" spans="1:67" ht="30.6" customHeight="1" x14ac:dyDescent="0.25">
      <c r="A1098" s="4"/>
      <c r="B1098" s="5" t="s">
        <v>0</v>
      </c>
      <c r="C1098" s="52"/>
      <c r="D1098" s="4"/>
      <c r="E1098" s="5" t="s">
        <v>0</v>
      </c>
      <c r="F1098" s="24">
        <v>45896</v>
      </c>
      <c r="G1098" s="7" t="s">
        <v>113</v>
      </c>
      <c r="H1098" s="25">
        <f t="shared" si="198"/>
        <v>1</v>
      </c>
      <c r="I1098" s="67">
        <v>4906</v>
      </c>
      <c r="J1098" s="8" t="s">
        <v>151</v>
      </c>
      <c r="K1098" s="9"/>
      <c r="L1098" s="10"/>
      <c r="M1098" s="111"/>
      <c r="N1098" s="112"/>
      <c r="O1098" s="6"/>
      <c r="P1098" s="13"/>
      <c r="Q1098" s="14"/>
      <c r="R1098" s="15"/>
      <c r="S1098" s="15"/>
      <c r="T1098" s="237">
        <f>DATA[[#This Row],[C. DF]]+DATA[[#This Row],[C.OPE.]]</f>
        <v>0</v>
      </c>
      <c r="U1098" s="56">
        <f>DATA[[#This Row],[SUB TOTAL]]*0.18</f>
        <v>0</v>
      </c>
      <c r="V1098" s="56">
        <f>IFERROR(ROUND(DATA[[#This Row],[SUB TOTAL]]+DATA[[#This Row],[IGV]],2),0)</f>
        <v>0</v>
      </c>
      <c r="W1098" s="73" t="str">
        <f>IF(DATA[[#This Row],[VALORIZACIÓN ]]="-","NO CORRESPONDE",IF(OR(A1098=20558226979,A1098=10470707866,A1098=20111157058,A1098=20100226902),"NO CORRESPONDE",IF(J1098="Emitida",IF(P1098&gt;0,"EMITIDA","PENDIENTE"),"NO CORRESPONDE")))</f>
        <v>NO CORRESPONDE</v>
      </c>
      <c r="X1098" s="46"/>
      <c r="Y1098" s="17" t="s">
        <v>128</v>
      </c>
      <c r="Z1098" s="48"/>
      <c r="AA1098" s="49"/>
      <c r="AB1098" s="50"/>
      <c r="AC1098" s="51"/>
      <c r="AD1098" s="59">
        <f>DATA[[#This Row],[FECHA DE EMISION]]+DATA[[#This Row],[CONDICION DE PAGO]]</f>
        <v>0</v>
      </c>
      <c r="AE1098" s="23">
        <f>IF(DATA[[#This Row],[MONEDA]]="USD",VLOOKUP(DATA[[#This Row],[COMBINADA]],#REF!,11,0),1)</f>
        <v>1</v>
      </c>
      <c r="AF1098" s="129" t="str">
        <f>IF(DATA[[#This Row],[SERIE2]]="-","NO CORRESPONDE",IF(W1098="NO CORRESPONDE","NO CORRESPONDE",IF(Z1098&gt;0,"FACTURADO","PENDIENTE")))</f>
        <v>NO CORRESPONDE</v>
      </c>
      <c r="AG1098" s="208">
        <f>IFERROR(VLOOKUP(DATA[[#This Row],[COMBINADA]],#REF!,6,0),0)</f>
        <v>0</v>
      </c>
      <c r="AH1098" s="209">
        <f>IFERROR(VLOOKUP(DATA[[#This Row],[COMBINADA]],#REF!,9,0),0)/COUNTIFS(DATA[COMBINADA],DATA[[#This Row],[COMBINADA]])</f>
        <v>0</v>
      </c>
      <c r="AI1098" s="140">
        <f>IFERROR(VLOOKUP(DATA[[#This Row],[COMBINADA]],#REF!,6,0),0)</f>
        <v>0</v>
      </c>
      <c r="AJ1098" s="126">
        <f>IFERROR(VLOOKUP(DATA[[#This Row],[COMBINADA]],#REF!,9,0),0)/COUNTIFS(DATA[COMBINADA],DATA[[#This Row],[COMBINADA]])</f>
        <v>0</v>
      </c>
      <c r="AK1098" s="61">
        <f>IFERROR(VLOOKUP(DATA[[#This Row],[COMBINADA]],#REF!,6,0),0)</f>
        <v>0</v>
      </c>
      <c r="AL1098" s="126">
        <f>IFERROR(VLOOKUP(DATA[[#This Row],[COMBINADA]],#REF!,9,0),0)/COUNTIFS(DATA[COMBINADA],DATA[[#This Row],[COMBINADA]])</f>
        <v>0</v>
      </c>
      <c r="AM1098" s="61">
        <f>IFERROR(VLOOKUP(DATA[[#This Row],[COMBINADA]],#REF!,6,0),0)</f>
        <v>0</v>
      </c>
      <c r="AN1098" s="62">
        <f>IFERROR(VLOOKUP(DATA[[#This Row],[COMBINADA]],#REF!,9,0),0)/COUNTIFS(DATA[COMBINADA],DATA[[#This Row],[COMBINADA]])</f>
        <v>0</v>
      </c>
      <c r="AO1098" s="61">
        <f>IFERROR(VLOOKUP(DATA[[#This Row],[COMBINADA]],#REF!,6,0),0)</f>
        <v>0</v>
      </c>
      <c r="AP1098" s="62">
        <f>IFERROR(VLOOKUP(DATA[[#This Row],[COMBINADA]],#REF!,9,0),0)/COUNTIFS(DATA[COMBINADA],DATA[[#This Row],[COMBINADA]])</f>
        <v>0</v>
      </c>
      <c r="AQ1098"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098" s="22" t="str">
        <f>IFERROR(IF(DATA[[#This Row],[estado_fact]]="FACTURADO",VLOOKUP(DATA[[#This Row],[SERIE2]]&amp;"-"&amp;DATA[[#This Row],[NUMERO]],#REF!,34,0),"NO CORRESPONDE"),"NO CORRESPONDE")</f>
        <v>NO CORRESPONDE</v>
      </c>
      <c r="AS1098" s="198" t="str">
        <f>IF(DATA[[#This Row],[fecha_fs]]&gt;0,TEXT(DATA[[#This Row],[fecha_fs]],"Mmmm"),0)</f>
        <v>Agosto</v>
      </c>
      <c r="AT1098" s="199" t="str">
        <f>DATA[[#This Row],[SERIE2]]&amp;"-"&amp;DATA[[#This Row],[NUMERO]]</f>
        <v>-</v>
      </c>
      <c r="AU1098" s="198">
        <f>DATA[[#This Row],[TOTAL]]*DATA[[#This Row],[T.C.]]</f>
        <v>0</v>
      </c>
      <c r="AV1098" s="40">
        <f>DATA[[#This Row],[FECHA DE VAL.]]</f>
        <v>0</v>
      </c>
      <c r="AW1098" s="40">
        <f>DATA[[#This Row],[FECHA DE EMISION]]</f>
        <v>0</v>
      </c>
      <c r="AX1098" s="40">
        <f>DATA[[#This Row],[F1]]</f>
        <v>0</v>
      </c>
      <c r="AY1098" s="49">
        <f>IF(AV1098-DATA[[#This Row],[fecha_fs]]&lt;0,0,AV1098-DATA[[#This Row],[fecha_fs]])</f>
        <v>0</v>
      </c>
      <c r="AZ1098" s="49">
        <f t="shared" si="199"/>
        <v>0</v>
      </c>
      <c r="BA1098" s="49">
        <f t="shared" si="200"/>
        <v>0</v>
      </c>
      <c r="BB1098" s="195">
        <f>IFERROR(SUM(DATA[[#This Row],[fs_val_ttf]:[fact_pago_ttf]]),0)</f>
        <v>0</v>
      </c>
      <c r="BC1098" s="276"/>
      <c r="BD1098" s="276"/>
      <c r="BE1098" s="276"/>
      <c r="BF1098" s="276"/>
      <c r="BG1098" s="49">
        <f>IFERROR(IF(BC1098-DATA[[#This Row],[fecha_fs]]&lt;0,0,BC1098-DATA[[#This Row],[fecha_fs]]),0)</f>
        <v>0</v>
      </c>
      <c r="BH1098" s="49">
        <f t="shared" si="201"/>
        <v>0</v>
      </c>
      <c r="BI1098" s="49">
        <f t="shared" si="202"/>
        <v>0</v>
      </c>
      <c r="BJ1098" s="49">
        <f t="shared" si="203"/>
        <v>0</v>
      </c>
      <c r="BK1098" s="282">
        <f>IFERROR(SUM(DATA[[#This Row],[fs_fd_ttd]:[fend_fenf_ttd]]),0)</f>
        <v>0</v>
      </c>
      <c r="BL1098" s="20" t="str">
        <f>IF(DATA[[#This Row],[fecha_fs]]&gt;0,TEXT(DATA[[#This Row],[fecha_fs]],"YYYY"),0)</f>
        <v>2025</v>
      </c>
      <c r="BM1098" s="221" t="b">
        <v>0</v>
      </c>
      <c r="BN1098" s="278"/>
      <c r="BO1098" s="222"/>
    </row>
    <row r="1099" spans="1:67" ht="30.6" customHeight="1" x14ac:dyDescent="0.25">
      <c r="A1099" s="4">
        <v>20100226902</v>
      </c>
      <c r="B1099" s="5" t="s">
        <v>24</v>
      </c>
      <c r="C1099" s="52" t="s">
        <v>18</v>
      </c>
      <c r="D1099" s="4" t="s">
        <v>120</v>
      </c>
      <c r="E1099" s="5" t="s">
        <v>3</v>
      </c>
      <c r="F1099" s="24">
        <v>45896</v>
      </c>
      <c r="G1099" s="7" t="s">
        <v>113</v>
      </c>
      <c r="H1099" s="25">
        <f t="shared" si="198"/>
        <v>1</v>
      </c>
      <c r="I1099" s="67">
        <v>4907</v>
      </c>
      <c r="J1099" s="8" t="s">
        <v>115</v>
      </c>
      <c r="K1099" s="9" t="s">
        <v>121</v>
      </c>
      <c r="L1099" s="10" t="s">
        <v>117</v>
      </c>
      <c r="M1099" s="11">
        <v>940</v>
      </c>
      <c r="N1099" s="12" t="s">
        <v>187</v>
      </c>
      <c r="O1099" s="295"/>
      <c r="P1099" s="296" t="s">
        <v>114</v>
      </c>
      <c r="Q1099" s="297"/>
      <c r="R1099" s="298"/>
      <c r="S1099" s="298"/>
      <c r="T1099" s="298">
        <f>DATA[[#This Row],[C. DF]]+DATA[[#This Row],[C.OPE.]]</f>
        <v>0</v>
      </c>
      <c r="U1099" s="298">
        <f>DATA[[#This Row],[SUB TOTAL]]*0.18</f>
        <v>0</v>
      </c>
      <c r="V1099" s="298">
        <f>IFERROR(ROUND(DATA[[#This Row],[SUB TOTAL]]+DATA[[#This Row],[IGV]],2),0)</f>
        <v>0</v>
      </c>
      <c r="W1099" s="16" t="str">
        <f>IF(DATA[[#This Row],[VALORIZACIÓN ]]="-","NO CORRESPONDE",IF(OR(A1099=20558226979,A1099=10470707866,A1099=20111157058,A1099=20100226902),"NO CORRESPONDE",IF(J1099="Emitida",IF(P1099&gt;0,"EMITIDA","PENDIENTE"),"NO CORRESPONDE")))</f>
        <v>NO CORRESPONDE</v>
      </c>
      <c r="X1099" s="299"/>
      <c r="Y1099" s="17" t="s">
        <v>128</v>
      </c>
      <c r="Z1099" s="300"/>
      <c r="AA1099" s="301"/>
      <c r="AB1099" s="302"/>
      <c r="AC1099" s="303"/>
      <c r="AD1099" s="304">
        <f>DATA[[#This Row],[FECHA DE EMISION]]+DATA[[#This Row],[CONDICION DE PAGO]]</f>
        <v>0</v>
      </c>
      <c r="AE1099" s="23">
        <f>IF(DATA[[#This Row],[MONEDA]]="USD",VLOOKUP(DATA[[#This Row],[COMBINADA]],#REF!,11,0),1)</f>
        <v>1</v>
      </c>
      <c r="AF1099" s="129" t="str">
        <f>IF(DATA[[#This Row],[SERIE2]]="-","NO CORRESPONDE",IF(W1099="NO CORRESPONDE","NO CORRESPONDE",IF(Z1099&gt;0,"FACTURADO","PENDIENTE")))</f>
        <v>NO CORRESPONDE</v>
      </c>
      <c r="AG1099" s="310">
        <f>IFERROR(VLOOKUP(DATA[[#This Row],[COMBINADA]],#REF!,6,0),0)</f>
        <v>0</v>
      </c>
      <c r="AH1099" s="311">
        <f>IFERROR(VLOOKUP(DATA[[#This Row],[COMBINADA]],#REF!,9,0),0)/COUNTIFS(DATA[COMBINADA],DATA[[#This Row],[COMBINADA]])</f>
        <v>0</v>
      </c>
      <c r="AI1099" s="310">
        <f>IFERROR(VLOOKUP(DATA[[#This Row],[COMBINADA]],#REF!,6,0),0)</f>
        <v>0</v>
      </c>
      <c r="AJ1099" s="311">
        <f>IFERROR(VLOOKUP(DATA[[#This Row],[COMBINADA]],#REF!,9,0),0)/COUNTIFS(DATA[COMBINADA],DATA[[#This Row],[COMBINADA]])</f>
        <v>0</v>
      </c>
      <c r="AK1099" s="413">
        <f>IFERROR(VLOOKUP(DATA[[#This Row],[COMBINADA]],#REF!,6,0),0)</f>
        <v>0</v>
      </c>
      <c r="AL1099" s="311">
        <f>IFERROR(VLOOKUP(DATA[[#This Row],[COMBINADA]],#REF!,9,0),0)/COUNTIFS(DATA[COMBINADA],DATA[[#This Row],[COMBINADA]])</f>
        <v>0</v>
      </c>
      <c r="AM1099" s="312">
        <f>IFERROR(VLOOKUP(DATA[[#This Row],[COMBINADA]],#REF!,6,0),0)</f>
        <v>0</v>
      </c>
      <c r="AN1099" s="311">
        <f>IFERROR(VLOOKUP(DATA[[#This Row],[COMBINADA]],#REF!,9,0),0)/COUNTIFS(DATA[COMBINADA],DATA[[#This Row],[COMBINADA]])</f>
        <v>0</v>
      </c>
      <c r="AO1099" s="313">
        <f>IFERROR(VLOOKUP(DATA[[#This Row],[COMBINADA]],#REF!,6,0),0)</f>
        <v>0</v>
      </c>
      <c r="AP1099" s="311">
        <f>IFERROR(VLOOKUP(DATA[[#This Row],[COMBINADA]],#REF!,9,0),0)/COUNTIFS(DATA[COMBINADA],DATA[[#This Row],[COMBINADA]])</f>
        <v>0</v>
      </c>
      <c r="AQ1099" s="314">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099" s="315" t="str">
        <f>IFERROR(IF(DATA[[#This Row],[estado_fact]]="FACTURADO",VLOOKUP(DATA[[#This Row],[SERIE2]]&amp;"-"&amp;DATA[[#This Row],[NUMERO]],#REF!,34,0),"NO CORRESPONDE"),"NO CORRESPONDE")</f>
        <v>NO CORRESPONDE</v>
      </c>
      <c r="AS1099" s="22" t="str">
        <f>IF(DATA[[#This Row],[fecha_fs]]&gt;0,TEXT(DATA[[#This Row],[fecha_fs]],"Mmmm"),0)</f>
        <v>Agosto</v>
      </c>
      <c r="AT1099" s="22" t="str">
        <f>DATA[[#This Row],[SERIE2]]&amp;"-"&amp;DATA[[#This Row],[NUMERO]]</f>
        <v>-</v>
      </c>
      <c r="AU1099" s="28">
        <f>DATA[[#This Row],[TOTAL]]*DATA[[#This Row],[T.C.]]</f>
        <v>0</v>
      </c>
      <c r="AV1099" s="6">
        <f>DATA[[#This Row],[FECHA DE VAL.]]</f>
        <v>0</v>
      </c>
      <c r="AW1099" s="6">
        <f>DATA[[#This Row],[FECHA DE EMISION]]</f>
        <v>0</v>
      </c>
      <c r="AX1099" s="6">
        <f>DATA[[#This Row],[F1]]</f>
        <v>0</v>
      </c>
      <c r="AY1099" s="20">
        <f>IF(AV1099-DATA[[#This Row],[fecha_fs]]&lt;0,0,AV1099-DATA[[#This Row],[fecha_fs]])</f>
        <v>0</v>
      </c>
      <c r="AZ1099" s="20">
        <f t="shared" si="199"/>
        <v>0</v>
      </c>
      <c r="BA1099" s="53">
        <f t="shared" si="200"/>
        <v>0</v>
      </c>
      <c r="BB1099" s="195">
        <f>IFERROR(SUM(DATA[[#This Row],[fs_val_ttf]:[fact_pago_ttf]]),0)</f>
        <v>0</v>
      </c>
      <c r="BC1099" s="233">
        <v>45896</v>
      </c>
      <c r="BD1099" s="233">
        <v>45896</v>
      </c>
      <c r="BE1099" s="233">
        <v>45901</v>
      </c>
      <c r="BF1099" s="233">
        <v>45901</v>
      </c>
      <c r="BG1099" s="20">
        <f>IFERROR(IF(BC1099-DATA[[#This Row],[fecha_fs]]&lt;0,0,BC1099-DATA[[#This Row],[fecha_fs]]),0)</f>
        <v>0</v>
      </c>
      <c r="BH1099" s="20">
        <f t="shared" si="201"/>
        <v>0</v>
      </c>
      <c r="BI1099" s="20">
        <f t="shared" si="202"/>
        <v>5</v>
      </c>
      <c r="BJ1099" s="20">
        <f t="shared" si="203"/>
        <v>0</v>
      </c>
      <c r="BK1099" s="282">
        <f>IFERROR(SUM(DATA[[#This Row],[fs_fd_ttd]:[fend_fenf_ttd]]),0)</f>
        <v>5</v>
      </c>
      <c r="BL1099" s="20" t="str">
        <f>IF(DATA[[#This Row],[fecha_fs]]&gt;0,TEXT(DATA[[#This Row],[fecha_fs]],"YYYY"),0)</f>
        <v>2025</v>
      </c>
      <c r="BM1099" s="236" t="b">
        <v>1</v>
      </c>
      <c r="BN1099" s="278">
        <f>COUNTIF(DATA[[#This Row],[tiempo_td]], "&lt;=15")</f>
        <v>1</v>
      </c>
      <c r="BO1099" s="222"/>
    </row>
    <row r="1100" spans="1:67" ht="30.6" customHeight="1" x14ac:dyDescent="0.25">
      <c r="A1100" s="4">
        <v>20419158462</v>
      </c>
      <c r="B1100" s="5" t="s">
        <v>2</v>
      </c>
      <c r="C1100" s="52" t="s">
        <v>147</v>
      </c>
      <c r="D1100" s="4" t="s">
        <v>120</v>
      </c>
      <c r="E1100" s="5" t="s">
        <v>3</v>
      </c>
      <c r="F1100" s="24">
        <v>45895</v>
      </c>
      <c r="G1100" s="7" t="s">
        <v>113</v>
      </c>
      <c r="H1100" s="25">
        <f t="shared" si="198"/>
        <v>1</v>
      </c>
      <c r="I1100" s="67">
        <v>4908</v>
      </c>
      <c r="J1100" s="8" t="s">
        <v>115</v>
      </c>
      <c r="K1100" s="9" t="s">
        <v>121</v>
      </c>
      <c r="L1100" s="10" t="s">
        <v>117</v>
      </c>
      <c r="M1100" s="11">
        <v>3990</v>
      </c>
      <c r="N1100" s="12" t="s">
        <v>122</v>
      </c>
      <c r="O1100" s="6">
        <v>45896</v>
      </c>
      <c r="P1100" s="323">
        <v>3637</v>
      </c>
      <c r="Q1100" s="14" t="s">
        <v>85</v>
      </c>
      <c r="R1100" s="15">
        <f>DATA[[#This Row],[cantidad_fs]]*0.67</f>
        <v>2673.3</v>
      </c>
      <c r="S1100" s="15">
        <v>839.7</v>
      </c>
      <c r="T1100" s="237">
        <f>DATA[[#This Row],[C. DF]]+DATA[[#This Row],[C.OPE.]]</f>
        <v>3513</v>
      </c>
      <c r="U1100" s="15">
        <f>DATA[[#This Row],[SUB TOTAL]]*0.18</f>
        <v>632.34</v>
      </c>
      <c r="V1100" s="15">
        <f>IFERROR(ROUND(DATA[[#This Row],[SUB TOTAL]]+DATA[[#This Row],[IGV]],2),0)</f>
        <v>4145.34</v>
      </c>
      <c r="W1100" s="16" t="str">
        <f>IF(DATA[[#This Row],[VALORIZACIÓN ]]="-","NO CORRESPONDE",IF(OR(A1100=20558226979,A1100=10470707866,A1100=20111157058,A1100=20100226902),"NO CORRESPONDE",IF(J1100="Emitida",IF(P1100&gt;0,"EMITIDA","PENDIENTE"),"NO CORRESPONDE")))</f>
        <v>EMITIDA</v>
      </c>
      <c r="X1100" s="29"/>
      <c r="Y1100" s="17" t="s">
        <v>232</v>
      </c>
      <c r="Z1100" s="30"/>
      <c r="AA1100" s="10"/>
      <c r="AB1100" s="19"/>
      <c r="AC1100" s="20"/>
      <c r="AD1100" s="18">
        <f>DATA[[#This Row],[FECHA DE EMISION]]+DATA[[#This Row],[CONDICION DE PAGO]]</f>
        <v>0</v>
      </c>
      <c r="AE1100" s="23">
        <f>IF(DATA[[#This Row],[MONEDA]]="USD",VLOOKUP(DATA[[#This Row],[COMBINADA]],#REF!,11,0),1)</f>
        <v>1</v>
      </c>
      <c r="AF1100" s="129" t="str">
        <f>IF(DATA[[#This Row],[SERIE2]]="-","NO CORRESPONDE",IF(W1100="NO CORRESPONDE","NO CORRESPONDE",IF(Z1100&gt;0,"FACTURADO","PENDIENTE")))</f>
        <v>PENDIENTE</v>
      </c>
      <c r="AG1100" s="133">
        <f>IFERROR(VLOOKUP(DATA[[#This Row],[COMBINADA]],#REF!,6,0),0)</f>
        <v>0</v>
      </c>
      <c r="AH1100" s="125">
        <f>IFERROR(VLOOKUP(DATA[[#This Row],[COMBINADA]],#REF!,9,0),0)/COUNTIFS(DATA[COMBINADA],DATA[[#This Row],[COMBINADA]])</f>
        <v>0</v>
      </c>
      <c r="AI1100" s="136">
        <f>IFERROR(VLOOKUP(DATA[[#This Row],[COMBINADA]],#REF!,6,0),0)</f>
        <v>0</v>
      </c>
      <c r="AJ1100" s="132">
        <f>IFERROR(VLOOKUP(DATA[[#This Row],[COMBINADA]],#REF!,9,0),0)/COUNTIFS(DATA[COMBINADA],DATA[[#This Row],[COMBINADA]])</f>
        <v>0</v>
      </c>
      <c r="AK1100" s="408">
        <f>IFERROR(VLOOKUP(DATA[[#This Row],[COMBINADA]],#REF!,6,0),0)</f>
        <v>0</v>
      </c>
      <c r="AL1100" s="125">
        <f>IFERROR(VLOOKUP(DATA[[#This Row],[COMBINADA]],#REF!,9,0),0)/COUNTIFS(DATA[COMBINADA],DATA[[#This Row],[COMBINADA]])</f>
        <v>0</v>
      </c>
      <c r="AM1100" s="27">
        <f>IFERROR(VLOOKUP(DATA[[#This Row],[COMBINADA]],#REF!,6,0),0)</f>
        <v>0</v>
      </c>
      <c r="AN1100" s="125">
        <f>IFERROR(VLOOKUP(DATA[[#This Row],[COMBINADA]],#REF!,9,0),0)/COUNTIFS(DATA[COMBINADA],DATA[[#This Row],[COMBINADA]])</f>
        <v>0</v>
      </c>
      <c r="AO1100" s="27">
        <f>IFERROR(VLOOKUP(DATA[[#This Row],[COMBINADA]],#REF!,6,0),0)</f>
        <v>0</v>
      </c>
      <c r="AP1100" s="132">
        <f>IFERROR(VLOOKUP(DATA[[#This Row],[COMBINADA]],#REF!,9,0),0)/COUNTIFS(DATA[COMBINADA],DATA[[#This Row],[COMBINADA]])</f>
        <v>0</v>
      </c>
      <c r="AQ110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100" s="26" t="str">
        <f>IFERROR(IF(DATA[[#This Row],[estado_fact]]="FACTURADO",VLOOKUP(DATA[[#This Row],[SERIE2]]&amp;"-"&amp;DATA[[#This Row],[NUMERO]],#REF!,34,0),"NO CORRESPONDE"),"NO CORRESPONDE")</f>
        <v>NO CORRESPONDE</v>
      </c>
      <c r="AS1100" s="22" t="str">
        <f>IF(DATA[[#This Row],[fecha_fs]]&gt;0,TEXT(DATA[[#This Row],[fecha_fs]],"Mmmm"),0)</f>
        <v>Agosto</v>
      </c>
      <c r="AT1100" s="22" t="str">
        <f>DATA[[#This Row],[SERIE2]]&amp;"-"&amp;DATA[[#This Row],[NUMERO]]</f>
        <v>-</v>
      </c>
      <c r="AU1100" s="28">
        <f>DATA[[#This Row],[TOTAL]]*DATA[[#This Row],[T.C.]]</f>
        <v>4145.34</v>
      </c>
      <c r="AV1100" s="6">
        <f>DATA[[#This Row],[FECHA DE VAL.]]</f>
        <v>45896</v>
      </c>
      <c r="AW1100" s="6">
        <f>DATA[[#This Row],[FECHA DE EMISION]]</f>
        <v>0</v>
      </c>
      <c r="AX1100" s="6">
        <f>DATA[[#This Row],[F1]]</f>
        <v>0</v>
      </c>
      <c r="AY1100" s="20">
        <f>IF(AV1100-DATA[[#This Row],[fecha_fs]]&lt;0,0,AV1100-DATA[[#This Row],[fecha_fs]])</f>
        <v>1</v>
      </c>
      <c r="AZ1100" s="20">
        <f t="shared" si="199"/>
        <v>0</v>
      </c>
      <c r="BA1100" s="53">
        <f t="shared" si="200"/>
        <v>0</v>
      </c>
      <c r="BB1100" s="195">
        <f>IFERROR(SUM(DATA[[#This Row],[fs_val_ttf]:[fact_pago_ttf]]),0)</f>
        <v>1</v>
      </c>
      <c r="BC1100" s="233">
        <v>45904</v>
      </c>
      <c r="BD1100" s="233">
        <v>45909</v>
      </c>
      <c r="BE1100" s="233">
        <v>45909</v>
      </c>
      <c r="BF1100" s="185">
        <v>45951</v>
      </c>
      <c r="BG1100" s="20">
        <f>IFERROR(IF(BC1100-DATA[[#This Row],[fecha_fs]]&lt;0,0,BC1100-DATA[[#This Row],[fecha_fs]]),0)</f>
        <v>9</v>
      </c>
      <c r="BH1100" s="20">
        <f t="shared" si="201"/>
        <v>5</v>
      </c>
      <c r="BI1100" s="20">
        <f t="shared" si="202"/>
        <v>0</v>
      </c>
      <c r="BJ1100" s="20">
        <f t="shared" si="203"/>
        <v>42</v>
      </c>
      <c r="BK1100" s="282">
        <f>IFERROR(SUM(DATA[[#This Row],[fs_fd_ttd]:[fend_fenf_ttd]]),0)</f>
        <v>56</v>
      </c>
      <c r="BL1100" s="20" t="str">
        <f>IF(DATA[[#This Row],[fecha_fs]]&gt;0,TEXT(DATA[[#This Row],[fecha_fs]],"YYYY"),0)</f>
        <v>2025</v>
      </c>
      <c r="BM1100" s="236" t="b">
        <v>1</v>
      </c>
      <c r="BN1100" s="278">
        <f>COUNTIF(DATA[[#This Row],[tiempo_td]], "&lt;=15")</f>
        <v>0</v>
      </c>
      <c r="BO1100" s="222"/>
    </row>
    <row r="1101" spans="1:67" ht="30.6" customHeight="1" x14ac:dyDescent="0.25">
      <c r="A1101" s="4">
        <v>20419158462</v>
      </c>
      <c r="B1101" s="5" t="s">
        <v>2</v>
      </c>
      <c r="C1101" s="52" t="s">
        <v>4</v>
      </c>
      <c r="D1101" s="4" t="s">
        <v>120</v>
      </c>
      <c r="E1101" s="5" t="s">
        <v>3</v>
      </c>
      <c r="F1101" s="24">
        <v>45895</v>
      </c>
      <c r="G1101" s="7" t="s">
        <v>113</v>
      </c>
      <c r="H1101" s="25">
        <f t="shared" si="198"/>
        <v>1</v>
      </c>
      <c r="I1101" s="67">
        <v>4909</v>
      </c>
      <c r="J1101" s="8" t="s">
        <v>115</v>
      </c>
      <c r="K1101" s="9" t="s">
        <v>156</v>
      </c>
      <c r="L1101" s="10" t="s">
        <v>117</v>
      </c>
      <c r="M1101" s="11">
        <v>650</v>
      </c>
      <c r="N1101" s="12" t="s">
        <v>132</v>
      </c>
      <c r="O1101" s="6">
        <v>45896</v>
      </c>
      <c r="P1101" s="13">
        <v>3635</v>
      </c>
      <c r="Q1101" s="14" t="s">
        <v>85</v>
      </c>
      <c r="R1101" s="74"/>
      <c r="S1101" s="15">
        <f>1429.7/2</f>
        <v>714.85</v>
      </c>
      <c r="T1101" s="237">
        <f>DATA[[#This Row],[C. DF]]+DATA[[#This Row],[C.OPE.]]</f>
        <v>714.85</v>
      </c>
      <c r="U1101" s="15">
        <f>DATA[[#This Row],[SUB TOTAL]]*0.18</f>
        <v>128.673</v>
      </c>
      <c r="V1101" s="15">
        <f>IFERROR(ROUND(DATA[[#This Row],[SUB TOTAL]]+DATA[[#This Row],[IGV]],2),0)</f>
        <v>843.52</v>
      </c>
      <c r="W1101" s="16" t="str">
        <f>IF(DATA[[#This Row],[VALORIZACIÓN ]]="-","NO CORRESPONDE",IF(OR(A1101=20558226979,A1101=10470707866,A1101=20111157058,A1101=20100226902),"NO CORRESPONDE",IF(J1101="Emitida",IF(P1101&gt;0,"EMITIDA","PENDIENTE"),"NO CORRESPONDE")))</f>
        <v>EMITIDA</v>
      </c>
      <c r="X1101" s="29"/>
      <c r="Y1101" s="17" t="s">
        <v>118</v>
      </c>
      <c r="Z1101" s="30">
        <v>45965</v>
      </c>
      <c r="AA1101" s="10" t="s">
        <v>150</v>
      </c>
      <c r="AB1101" s="19">
        <v>329</v>
      </c>
      <c r="AC1101" s="20">
        <v>2</v>
      </c>
      <c r="AD1101" s="18">
        <f>DATA[[#This Row],[FECHA DE EMISION]]+DATA[[#This Row],[CONDICION DE PAGO]]</f>
        <v>45967</v>
      </c>
      <c r="AE1101" s="23">
        <f>IF(DATA[[#This Row],[MONEDA]]="USD",VLOOKUP(DATA[[#This Row],[COMBINADA]],#REF!,11,0),1)</f>
        <v>1</v>
      </c>
      <c r="AF1101" s="129" t="str">
        <f>IF(DATA[[#This Row],[SERIE2]]="-","NO CORRESPONDE",IF(W1101="NO CORRESPONDE","NO CORRESPONDE",IF(Z1101&gt;0,"FACTURADO","PENDIENTE")))</f>
        <v>FACTURADO</v>
      </c>
      <c r="AG1101" s="133">
        <f>IFERROR(VLOOKUP(DATA[[#This Row],[COMBINADA]],#REF!,6,0),0)</f>
        <v>0</v>
      </c>
      <c r="AH1101" s="125">
        <f>IFERROR(VLOOKUP(DATA[[#This Row],[COMBINADA]],#REF!,9,0),0)/COUNTIFS(DATA[COMBINADA],DATA[[#This Row],[COMBINADA]])</f>
        <v>0</v>
      </c>
      <c r="AI1101" s="136">
        <f>IFERROR(VLOOKUP(DATA[[#This Row],[COMBINADA]],#REF!,6,0),0)</f>
        <v>0</v>
      </c>
      <c r="AJ1101" s="132">
        <f>IFERROR(VLOOKUP(DATA[[#This Row],[COMBINADA]],#REF!,9,0),0)/COUNTIFS(DATA[COMBINADA],DATA[[#This Row],[COMBINADA]])</f>
        <v>0</v>
      </c>
      <c r="AK1101" s="408">
        <f>IFERROR(VLOOKUP(DATA[[#This Row],[COMBINADA]],#REF!,6,0),0)</f>
        <v>0</v>
      </c>
      <c r="AL1101" s="125">
        <f>IFERROR(VLOOKUP(DATA[[#This Row],[COMBINADA]],#REF!,9,0),0)/COUNTIFS(DATA[COMBINADA],DATA[[#This Row],[COMBINADA]])</f>
        <v>0</v>
      </c>
      <c r="AM1101" s="27">
        <f>IFERROR(VLOOKUP(DATA[[#This Row],[COMBINADA]],#REF!,6,0),0)</f>
        <v>0</v>
      </c>
      <c r="AN1101" s="125">
        <f>IFERROR(VLOOKUP(DATA[[#This Row],[COMBINADA]],#REF!,9,0),0)/COUNTIFS(DATA[COMBINADA],DATA[[#This Row],[COMBINADA]])</f>
        <v>0</v>
      </c>
      <c r="AO1101" s="27">
        <f>IFERROR(VLOOKUP(DATA[[#This Row],[COMBINADA]],#REF!,6,0),0)</f>
        <v>0</v>
      </c>
      <c r="AP1101" s="132">
        <f>IFERROR(VLOOKUP(DATA[[#This Row],[COMBINADA]],#REF!,9,0),0)/COUNTIFS(DATA[COMBINADA],DATA[[#This Row],[COMBINADA]])</f>
        <v>0</v>
      </c>
      <c r="AQ110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1101" s="26" t="str">
        <f>IFERROR(IF(DATA[[#This Row],[estado_fact]]="FACTURADO",VLOOKUP(DATA[[#This Row],[SERIE2]]&amp;"-"&amp;DATA[[#This Row],[NUMERO]],#REF!,34,0),"NO CORRESPONDE"),"NO CORRESPONDE")</f>
        <v>NO CORRESPONDE</v>
      </c>
      <c r="AS1101" s="22" t="str">
        <f>IF(DATA[[#This Row],[fecha_fs]]&gt;0,TEXT(DATA[[#This Row],[fecha_fs]],"Mmmm"),0)</f>
        <v>Agosto</v>
      </c>
      <c r="AT1101" s="22" t="str">
        <f>DATA[[#This Row],[SERIE2]]&amp;"-"&amp;DATA[[#This Row],[NUMERO]]</f>
        <v>FF01-329</v>
      </c>
      <c r="AU1101" s="28">
        <f>DATA[[#This Row],[TOTAL]]*DATA[[#This Row],[T.C.]]</f>
        <v>843.52</v>
      </c>
      <c r="AV1101" s="6">
        <f>DATA[[#This Row],[FECHA DE VAL.]]</f>
        <v>45896</v>
      </c>
      <c r="AW1101" s="6">
        <f>DATA[[#This Row],[FECHA DE EMISION]]</f>
        <v>45965</v>
      </c>
      <c r="AX1101" s="6">
        <f>DATA[[#This Row],[F1]]</f>
        <v>0</v>
      </c>
      <c r="AY1101" s="20">
        <f>IF(AV1101-DATA[[#This Row],[fecha_fs]]&lt;0,0,AV1101-DATA[[#This Row],[fecha_fs]])</f>
        <v>1</v>
      </c>
      <c r="AZ1101" s="20">
        <f t="shared" si="199"/>
        <v>69</v>
      </c>
      <c r="BA1101" s="53">
        <f t="shared" si="200"/>
        <v>0</v>
      </c>
      <c r="BB1101" s="195">
        <f>IFERROR(SUM(DATA[[#This Row],[fs_val_ttf]:[fact_pago_ttf]]),0)</f>
        <v>70</v>
      </c>
      <c r="BC1101" s="233">
        <v>45895</v>
      </c>
      <c r="BD1101" s="233">
        <v>45895</v>
      </c>
      <c r="BE1101" s="233">
        <v>45897</v>
      </c>
      <c r="BF1101" s="233">
        <v>45897</v>
      </c>
      <c r="BG1101" s="20">
        <f>IFERROR(IF(BC1101-DATA[[#This Row],[fecha_fs]]&lt;0,0,BC1101-DATA[[#This Row],[fecha_fs]]),0)</f>
        <v>0</v>
      </c>
      <c r="BH1101" s="20">
        <f t="shared" si="201"/>
        <v>0</v>
      </c>
      <c r="BI1101" s="20">
        <f t="shared" si="202"/>
        <v>2</v>
      </c>
      <c r="BJ1101" s="20">
        <f t="shared" si="203"/>
        <v>0</v>
      </c>
      <c r="BK1101" s="282">
        <f>IFERROR(SUM(DATA[[#This Row],[fs_fd_ttd]:[fend_fenf_ttd]]),0)</f>
        <v>2</v>
      </c>
      <c r="BL1101" s="20" t="str">
        <f>IF(DATA[[#This Row],[fecha_fs]]&gt;0,TEXT(DATA[[#This Row],[fecha_fs]],"YYYY"),0)</f>
        <v>2025</v>
      </c>
      <c r="BM1101" s="236" t="b">
        <v>1</v>
      </c>
      <c r="BN1101" s="278">
        <f>COUNTIF(DATA[[#This Row],[tiempo_td]], "&lt;=15")</f>
        <v>1</v>
      </c>
      <c r="BO1101" s="222"/>
    </row>
    <row r="1102" spans="1:67" ht="30.6" customHeight="1" x14ac:dyDescent="0.25">
      <c r="A1102" s="4">
        <v>20100055237</v>
      </c>
      <c r="B1102" s="5" t="s">
        <v>21</v>
      </c>
      <c r="C1102" s="52" t="s">
        <v>138</v>
      </c>
      <c r="D1102" s="4" t="s">
        <v>139</v>
      </c>
      <c r="E1102" s="5" t="s">
        <v>23</v>
      </c>
      <c r="F1102" s="24">
        <v>45895</v>
      </c>
      <c r="G1102" s="7" t="s">
        <v>113</v>
      </c>
      <c r="H1102" s="25">
        <f t="shared" si="198"/>
        <v>1</v>
      </c>
      <c r="I1102" s="67">
        <v>4910</v>
      </c>
      <c r="J1102" s="8" t="s">
        <v>115</v>
      </c>
      <c r="K1102" s="9" t="s">
        <v>121</v>
      </c>
      <c r="L1102" s="10" t="s">
        <v>117</v>
      </c>
      <c r="M1102" s="11">
        <v>140</v>
      </c>
      <c r="N1102" s="12" t="s">
        <v>125</v>
      </c>
      <c r="O1102" s="6">
        <v>45898</v>
      </c>
      <c r="P1102" s="54">
        <v>3640</v>
      </c>
      <c r="Q1102" s="14" t="s">
        <v>85</v>
      </c>
      <c r="R1102" s="74"/>
      <c r="S1102" s="15">
        <v>297.92</v>
      </c>
      <c r="T1102" s="237">
        <f>DATA[[#This Row],[C. DF]]+DATA[[#This Row],[C.OPE.]]</f>
        <v>297.92</v>
      </c>
      <c r="U1102" s="15">
        <f>DATA[[#This Row],[SUB TOTAL]]*0.18</f>
        <v>53.625599999999999</v>
      </c>
      <c r="V1102" s="15">
        <f>IFERROR(ROUND(DATA[[#This Row],[SUB TOTAL]]+DATA[[#This Row],[IGV]],2),0)</f>
        <v>351.55</v>
      </c>
      <c r="W1102" s="16" t="str">
        <f>IF(DATA[[#This Row],[VALORIZACIÓN ]]="-","NO CORRESPONDE",IF(OR(A1102=20558226979,A1102=10470707866,A1102=20111157058,A1102=20100226902),"NO CORRESPONDE",IF(J1102="Emitida",IF(P1102&gt;0,"EMITIDA","PENDIENTE"),"NO CORRESPONDE")))</f>
        <v>EMITIDA</v>
      </c>
      <c r="X1102" s="29" t="s">
        <v>379</v>
      </c>
      <c r="Y1102" s="17" t="s">
        <v>118</v>
      </c>
      <c r="Z1102" s="30">
        <v>45971</v>
      </c>
      <c r="AA1102" s="10" t="s">
        <v>150</v>
      </c>
      <c r="AB1102" s="19">
        <v>350</v>
      </c>
      <c r="AC1102" s="20">
        <v>30</v>
      </c>
      <c r="AD1102" s="18">
        <f>DATA[[#This Row],[FECHA DE EMISION]]+DATA[[#This Row],[CONDICION DE PAGO]]</f>
        <v>46001</v>
      </c>
      <c r="AE1102" s="23">
        <f>IF(DATA[[#This Row],[MONEDA]]="USD",VLOOKUP(DATA[[#This Row],[COMBINADA]],#REF!,11,0),1)</f>
        <v>1</v>
      </c>
      <c r="AF1102" s="129" t="str">
        <f>IF(DATA[[#This Row],[SERIE2]]="-","NO CORRESPONDE",IF(W1102="NO CORRESPONDE","NO CORRESPONDE",IF(Z1102&gt;0,"FACTURADO","PENDIENTE")))</f>
        <v>FACTURADO</v>
      </c>
      <c r="AG1102" s="133">
        <f>IFERROR(VLOOKUP(DATA[[#This Row],[COMBINADA]],#REF!,6,0),0)</f>
        <v>0</v>
      </c>
      <c r="AH1102" s="125">
        <f>IFERROR(VLOOKUP(DATA[[#This Row],[COMBINADA]],#REF!,9,0),0)/COUNTIFS(DATA[COMBINADA],DATA[[#This Row],[COMBINADA]])</f>
        <v>0</v>
      </c>
      <c r="AI1102" s="136">
        <f>IFERROR(VLOOKUP(DATA[[#This Row],[COMBINADA]],#REF!,6,0),0)</f>
        <v>0</v>
      </c>
      <c r="AJ1102" s="132">
        <f>IFERROR(VLOOKUP(DATA[[#This Row],[COMBINADA]],#REF!,9,0),0)/COUNTIFS(DATA[COMBINADA],DATA[[#This Row],[COMBINADA]])</f>
        <v>0</v>
      </c>
      <c r="AK1102" s="408">
        <f>IFERROR(VLOOKUP(DATA[[#This Row],[COMBINADA]],#REF!,6,0),0)</f>
        <v>0</v>
      </c>
      <c r="AL1102" s="125">
        <f>IFERROR(VLOOKUP(DATA[[#This Row],[COMBINADA]],#REF!,9,0),0)/COUNTIFS(DATA[COMBINADA],DATA[[#This Row],[COMBINADA]])</f>
        <v>0</v>
      </c>
      <c r="AM1102" s="27">
        <f>IFERROR(VLOOKUP(DATA[[#This Row],[COMBINADA]],#REF!,6,0),0)</f>
        <v>0</v>
      </c>
      <c r="AN1102" s="125">
        <f>IFERROR(VLOOKUP(DATA[[#This Row],[COMBINADA]],#REF!,9,0),0)/COUNTIFS(DATA[COMBINADA],DATA[[#This Row],[COMBINADA]])</f>
        <v>0</v>
      </c>
      <c r="AO1102" s="27">
        <f>IFERROR(VLOOKUP(DATA[[#This Row],[COMBINADA]],#REF!,6,0),0)</f>
        <v>0</v>
      </c>
      <c r="AP1102" s="132">
        <f>IFERROR(VLOOKUP(DATA[[#This Row],[COMBINADA]],#REF!,9,0),0)/COUNTIFS(DATA[COMBINADA],DATA[[#This Row],[COMBINADA]])</f>
        <v>0</v>
      </c>
      <c r="AQ110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102" s="26" t="str">
        <f>IFERROR(IF(DATA[[#This Row],[estado_fact]]="FACTURADO",VLOOKUP(DATA[[#This Row],[SERIE2]]&amp;"-"&amp;DATA[[#This Row],[NUMERO]],#REF!,34,0),"NO CORRESPONDE"),"NO CORRESPONDE")</f>
        <v>NO CORRESPONDE</v>
      </c>
      <c r="AS1102" s="22" t="str">
        <f>IF(DATA[[#This Row],[fecha_fs]]&gt;0,TEXT(DATA[[#This Row],[fecha_fs]],"Mmmm"),0)</f>
        <v>Agosto</v>
      </c>
      <c r="AT1102" s="22" t="str">
        <f>DATA[[#This Row],[SERIE2]]&amp;"-"&amp;DATA[[#This Row],[NUMERO]]</f>
        <v>FF01-350</v>
      </c>
      <c r="AU1102" s="28">
        <f>DATA[[#This Row],[TOTAL]]*DATA[[#This Row],[T.C.]]</f>
        <v>351.55</v>
      </c>
      <c r="AV1102" s="6">
        <f>DATA[[#This Row],[FECHA DE VAL.]]</f>
        <v>45898</v>
      </c>
      <c r="AW1102" s="6">
        <f>DATA[[#This Row],[FECHA DE EMISION]]</f>
        <v>45971</v>
      </c>
      <c r="AX1102" s="6">
        <f>DATA[[#This Row],[F1]]</f>
        <v>0</v>
      </c>
      <c r="AY1102" s="20">
        <f>IF(AV1102-DATA[[#This Row],[fecha_fs]]&lt;0,0,AV1102-DATA[[#This Row],[fecha_fs]])</f>
        <v>3</v>
      </c>
      <c r="AZ1102" s="20">
        <f t="shared" si="199"/>
        <v>73</v>
      </c>
      <c r="BA1102" s="53">
        <f t="shared" si="200"/>
        <v>0</v>
      </c>
      <c r="BB1102" s="195">
        <f>IFERROR(SUM(DATA[[#This Row],[fs_val_ttf]:[fact_pago_ttf]]),0)</f>
        <v>76</v>
      </c>
      <c r="BC1102" s="233">
        <v>45895</v>
      </c>
      <c r="BD1102" s="233">
        <v>45895</v>
      </c>
      <c r="BE1102" s="233">
        <v>45898</v>
      </c>
      <c r="BF1102" s="233">
        <v>45898</v>
      </c>
      <c r="BG1102" s="20">
        <f>IFERROR(IF(BC1102-DATA[[#This Row],[fecha_fs]]&lt;0,0,BC1102-DATA[[#This Row],[fecha_fs]]),0)</f>
        <v>0</v>
      </c>
      <c r="BH1102" s="20">
        <f t="shared" si="201"/>
        <v>0</v>
      </c>
      <c r="BI1102" s="20">
        <f t="shared" si="202"/>
        <v>3</v>
      </c>
      <c r="BJ1102" s="20">
        <f t="shared" si="203"/>
        <v>0</v>
      </c>
      <c r="BK1102" s="282">
        <f>IFERROR(SUM(DATA[[#This Row],[fs_fd_ttd]:[fend_fenf_ttd]]),0)</f>
        <v>3</v>
      </c>
      <c r="BL1102" s="20" t="str">
        <f>IF(DATA[[#This Row],[fecha_fs]]&gt;0,TEXT(DATA[[#This Row],[fecha_fs]],"YYYY"),0)</f>
        <v>2025</v>
      </c>
      <c r="BM1102" s="236" t="b">
        <v>1</v>
      </c>
      <c r="BN1102" s="278">
        <f>COUNTIF(DATA[[#This Row],[tiempo_td]], "&lt;=15")</f>
        <v>1</v>
      </c>
      <c r="BO1102" s="222"/>
    </row>
    <row r="1103" spans="1:67" ht="30.6" customHeight="1" x14ac:dyDescent="0.25">
      <c r="A1103" s="4">
        <v>20100055237</v>
      </c>
      <c r="B1103" s="5" t="s">
        <v>21</v>
      </c>
      <c r="C1103" s="52" t="s">
        <v>323</v>
      </c>
      <c r="D1103" s="4" t="s">
        <v>139</v>
      </c>
      <c r="E1103" s="5" t="s">
        <v>23</v>
      </c>
      <c r="F1103" s="24">
        <v>45895</v>
      </c>
      <c r="G1103" s="7" t="s">
        <v>113</v>
      </c>
      <c r="H1103" s="25">
        <f t="shared" ref="H1103:H1104" si="204">IF(G1103="","",IF(G1103="LIM",2,1))</f>
        <v>1</v>
      </c>
      <c r="I1103" s="67">
        <v>4911</v>
      </c>
      <c r="J1103" s="8" t="s">
        <v>115</v>
      </c>
      <c r="K1103" s="9" t="s">
        <v>121</v>
      </c>
      <c r="L1103" s="10" t="s">
        <v>117</v>
      </c>
      <c r="M1103" s="11">
        <v>1530</v>
      </c>
      <c r="N1103" s="12" t="s">
        <v>125</v>
      </c>
      <c r="O1103" s="6">
        <v>45898</v>
      </c>
      <c r="P1103" s="54">
        <v>3645</v>
      </c>
      <c r="Q1103" s="14" t="s">
        <v>85</v>
      </c>
      <c r="R1103" s="15">
        <f>DATA[[#This Row],[cantidad_fs]]*0.08</f>
        <v>122.4</v>
      </c>
      <c r="S1103" s="15">
        <f>1163.9/2</f>
        <v>581.95000000000005</v>
      </c>
      <c r="T1103" s="237">
        <f>DATA[[#This Row],[C. DF]]+DATA[[#This Row],[C.OPE.]]</f>
        <v>704.35</v>
      </c>
      <c r="U1103" s="15">
        <f>DATA[[#This Row],[SUB TOTAL]]*0.18</f>
        <v>126.783</v>
      </c>
      <c r="V1103" s="15">
        <f>IFERROR(ROUND(DATA[[#This Row],[SUB TOTAL]]+DATA[[#This Row],[IGV]],2),0)</f>
        <v>831.13</v>
      </c>
      <c r="W1103" s="16" t="str">
        <f>IF(DATA[[#This Row],[VALORIZACIÓN ]]="-","NO CORRESPONDE",IF(OR(A1103=20558226979,A1103=10470707866,A1103=20111157058,A1103=20100226902),"NO CORRESPONDE",IF(J1103="Emitida",IF(P1103&gt;0,"EMITIDA","PENDIENTE"),"NO CORRESPONDE")))</f>
        <v>EMITIDA</v>
      </c>
      <c r="X1103" s="29"/>
      <c r="Y1103" s="17" t="s">
        <v>118</v>
      </c>
      <c r="Z1103" s="30">
        <v>45936</v>
      </c>
      <c r="AA1103" s="10" t="s">
        <v>150</v>
      </c>
      <c r="AB1103" s="19">
        <v>283</v>
      </c>
      <c r="AC1103" s="20">
        <v>30</v>
      </c>
      <c r="AD1103" s="18">
        <f>DATA[[#This Row],[FECHA DE EMISION]]+DATA[[#This Row],[CONDICION DE PAGO]]</f>
        <v>45966</v>
      </c>
      <c r="AE1103" s="23">
        <f>IF(DATA[[#This Row],[MONEDA]]="USD",VLOOKUP(DATA[[#This Row],[COMBINADA]],#REF!,11,0),1)</f>
        <v>1</v>
      </c>
      <c r="AF1103" s="129" t="str">
        <f>IF(DATA[[#This Row],[SERIE2]]="-","NO CORRESPONDE",IF(W1103="NO CORRESPONDE","NO CORRESPONDE",IF(Z1103&gt;0,"FACTURADO","PENDIENTE")))</f>
        <v>FACTURADO</v>
      </c>
      <c r="AG1103" s="133">
        <f>IFERROR(VLOOKUP(DATA[[#This Row],[COMBINADA]],#REF!,6,0),0)</f>
        <v>0</v>
      </c>
      <c r="AH1103" s="125">
        <f>IFERROR(VLOOKUP(DATA[[#This Row],[COMBINADA]],#REF!,9,0),0)/COUNTIFS(DATA[COMBINADA],DATA[[#This Row],[COMBINADA]])</f>
        <v>0</v>
      </c>
      <c r="AI1103" s="136">
        <f>IFERROR(VLOOKUP(DATA[[#This Row],[COMBINADA]],#REF!,6,0),0)</f>
        <v>0</v>
      </c>
      <c r="AJ1103" s="132">
        <f>IFERROR(VLOOKUP(DATA[[#This Row],[COMBINADA]],#REF!,9,0),0)/COUNTIFS(DATA[COMBINADA],DATA[[#This Row],[COMBINADA]])</f>
        <v>0</v>
      </c>
      <c r="AK1103" s="407">
        <f>IFERROR(VLOOKUP(DATA[[#This Row],[COMBINADA]],#REF!,6,0),0)</f>
        <v>0</v>
      </c>
      <c r="AL1103" s="125">
        <f>IFERROR(VLOOKUP(DATA[[#This Row],[COMBINADA]],#REF!,9,0),0)/COUNTIFS(DATA[COMBINADA],DATA[[#This Row],[COMBINADA]])</f>
        <v>0</v>
      </c>
      <c r="AM1103" s="27">
        <f>IFERROR(VLOOKUP(DATA[[#This Row],[COMBINADA]],#REF!,6,0),0)</f>
        <v>0</v>
      </c>
      <c r="AN1103" s="125">
        <f>IFERROR(VLOOKUP(DATA[[#This Row],[COMBINADA]],#REF!,9,0),0)/COUNTIFS(DATA[COMBINADA],DATA[[#This Row],[COMBINADA]])</f>
        <v>0</v>
      </c>
      <c r="AO1103" s="27">
        <f>IFERROR(VLOOKUP(DATA[[#This Row],[COMBINADA]],#REF!,6,0),0)</f>
        <v>0</v>
      </c>
      <c r="AP1103" s="132">
        <f>IFERROR(VLOOKUP(DATA[[#This Row],[COMBINADA]],#REF!,9,0),0)/COUNTIFS(DATA[COMBINADA],DATA[[#This Row],[COMBINADA]])</f>
        <v>0</v>
      </c>
      <c r="AQ110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780.63</v>
      </c>
      <c r="AR1103" s="26" t="str">
        <f>IFERROR(IF(DATA[[#This Row],[estado_fact]]="FACTURADO",VLOOKUP(DATA[[#This Row],[SERIE2]]&amp;"-"&amp;DATA[[#This Row],[NUMERO]],#REF!,34,0),"NO CORRESPONDE"),"NO CORRESPONDE")</f>
        <v>NO CORRESPONDE</v>
      </c>
      <c r="AS1103" s="22" t="str">
        <f>IF(DATA[[#This Row],[fecha_fs]]&gt;0,TEXT(DATA[[#This Row],[fecha_fs]],"Mmmm"),0)</f>
        <v>Agosto</v>
      </c>
      <c r="AT1103" s="22" t="str">
        <f>DATA[[#This Row],[SERIE2]]&amp;"-"&amp;DATA[[#This Row],[NUMERO]]</f>
        <v>FF01-283</v>
      </c>
      <c r="AU1103" s="28">
        <f>DATA[[#This Row],[TOTAL]]*DATA[[#This Row],[T.C.]]</f>
        <v>831.13</v>
      </c>
      <c r="AV1103" s="6">
        <f>DATA[[#This Row],[FECHA DE VAL.]]</f>
        <v>45898</v>
      </c>
      <c r="AW1103" s="6">
        <f>DATA[[#This Row],[FECHA DE EMISION]]</f>
        <v>45936</v>
      </c>
      <c r="AX1103" s="6">
        <f>DATA[[#This Row],[F1]]</f>
        <v>0</v>
      </c>
      <c r="AY1103" s="20">
        <f>IF(AV1103-DATA[[#This Row],[fecha_fs]]&lt;0,0,AV1103-DATA[[#This Row],[fecha_fs]])</f>
        <v>3</v>
      </c>
      <c r="AZ1103" s="20">
        <f t="shared" ref="AZ1103:AZ1104" si="205">IF(AW1103-AV1103&lt;0,0,AW1103-AV1103)</f>
        <v>38</v>
      </c>
      <c r="BA1103" s="53">
        <f t="shared" ref="BA1103:BA1104" si="206">IF(AX1103-AW1103&lt;0,0,AX1103-AW1103)</f>
        <v>0</v>
      </c>
      <c r="BB1103" s="195">
        <f>IFERROR(SUM(DATA[[#This Row],[fs_val_ttf]:[fact_pago_ttf]]),0)</f>
        <v>41</v>
      </c>
      <c r="BC1103" s="185">
        <v>45904</v>
      </c>
      <c r="BD1103" s="233">
        <v>45905</v>
      </c>
      <c r="BE1103" s="233">
        <v>45912</v>
      </c>
      <c r="BF1103" s="233">
        <v>45925</v>
      </c>
      <c r="BG1103" s="20">
        <f>IFERROR(IF(BC1103-DATA[[#This Row],[fecha_fs]]&lt;0,0,BC1103-DATA[[#This Row],[fecha_fs]]),0)</f>
        <v>9</v>
      </c>
      <c r="BH1103" s="20">
        <f t="shared" ref="BH1103:BH1106" si="207">IFERROR(IF(BD1103-BC1103&lt;0,0,BD1103-BC1103),0)</f>
        <v>1</v>
      </c>
      <c r="BI1103" s="20">
        <f t="shared" ref="BI1103:BI1106" si="208">IFERROR(IF(BE1103-BD1103&lt;0,0,BE1103-BD1103),0)</f>
        <v>7</v>
      </c>
      <c r="BJ1103" s="20">
        <f t="shared" ref="BJ1103:BJ1106" si="209">IFERROR(IF(BF1103-BE1103&lt;0,0,BF1103-BE1103),0)</f>
        <v>13</v>
      </c>
      <c r="BK1103" s="282">
        <f>IFERROR(SUM(DATA[[#This Row],[fs_fd_ttd]:[fend_fenf_ttd]]),0)</f>
        <v>30</v>
      </c>
      <c r="BL1103" s="20" t="str">
        <f>IF(DATA[[#This Row],[fecha_fs]]&gt;0,TEXT(DATA[[#This Row],[fecha_fs]],"YYYY"),0)</f>
        <v>2025</v>
      </c>
      <c r="BM1103" s="236" t="b">
        <v>0</v>
      </c>
      <c r="BN1103" s="278">
        <f>COUNTIF(DATA[[#This Row],[tiempo_td]], "&lt;=15")</f>
        <v>0</v>
      </c>
      <c r="BO1103" s="222"/>
    </row>
    <row r="1104" spans="1:67" ht="30.6" customHeight="1" x14ac:dyDescent="0.25">
      <c r="A1104" s="4">
        <v>20141637941</v>
      </c>
      <c r="B1104" s="5" t="s">
        <v>79</v>
      </c>
      <c r="C1104" s="52" t="s">
        <v>18</v>
      </c>
      <c r="D1104" s="4" t="s">
        <v>120</v>
      </c>
      <c r="E1104" s="5" t="s">
        <v>3</v>
      </c>
      <c r="F1104" s="24">
        <v>45896</v>
      </c>
      <c r="G1104" s="7" t="s">
        <v>113</v>
      </c>
      <c r="H1104" s="25">
        <f t="shared" si="204"/>
        <v>1</v>
      </c>
      <c r="I1104" s="67">
        <v>4912</v>
      </c>
      <c r="J1104" s="8" t="s">
        <v>115</v>
      </c>
      <c r="K1104" s="9" t="s">
        <v>121</v>
      </c>
      <c r="L1104" s="10" t="s">
        <v>117</v>
      </c>
      <c r="M1104" s="11">
        <v>790</v>
      </c>
      <c r="N1104" s="12" t="s">
        <v>132</v>
      </c>
      <c r="O1104" s="6">
        <v>45898</v>
      </c>
      <c r="P1104" s="317">
        <v>3641</v>
      </c>
      <c r="Q1104" s="14" t="s">
        <v>85</v>
      </c>
      <c r="R1104" s="15">
        <v>80</v>
      </c>
      <c r="S1104" s="15">
        <v>832</v>
      </c>
      <c r="T1104" s="237">
        <f>DATA[[#This Row],[C. DF]]+DATA[[#This Row],[C.OPE.]]</f>
        <v>912</v>
      </c>
      <c r="U1104" s="15">
        <f>DATA[[#This Row],[SUB TOTAL]]*0.18</f>
        <v>164.16</v>
      </c>
      <c r="V1104" s="15">
        <f>IFERROR(ROUND(DATA[[#This Row],[SUB TOTAL]]+DATA[[#This Row],[IGV]],2),0)</f>
        <v>1076.1600000000001</v>
      </c>
      <c r="W1104" s="16" t="str">
        <f>IF(DATA[[#This Row],[VALORIZACIÓN ]]="-","NO CORRESPONDE",IF(OR(A1104=20558226979,A1104=10470707866,A1104=20111157058,A1104=20100226902),"NO CORRESPONDE",IF(J1104="Emitida",IF(P1104&gt;0,"EMITIDA","PENDIENTE"),"NO CORRESPONDE")))</f>
        <v>EMITIDA</v>
      </c>
      <c r="X1104" s="29"/>
      <c r="Y1104" s="17" t="s">
        <v>118</v>
      </c>
      <c r="Z1104" s="30">
        <v>45901</v>
      </c>
      <c r="AA1104" s="10" t="s">
        <v>150</v>
      </c>
      <c r="AB1104" s="19">
        <v>231</v>
      </c>
      <c r="AC1104" s="20">
        <v>30</v>
      </c>
      <c r="AD1104" s="18">
        <f>DATA[[#This Row],[FECHA DE EMISION]]+DATA[[#This Row],[CONDICION DE PAGO]]</f>
        <v>45931</v>
      </c>
      <c r="AE1104" s="23">
        <f>IF(DATA[[#This Row],[MONEDA]]="USD",VLOOKUP(DATA[[#This Row],[COMBINADA]],#REF!,11,0),1)</f>
        <v>1</v>
      </c>
      <c r="AF1104" s="129" t="str">
        <f>IF(DATA[[#This Row],[SERIE2]]="-","NO CORRESPONDE",IF(W1104="NO CORRESPONDE","NO CORRESPONDE",IF(Z1104&gt;0,"FACTURADO","PENDIENTE")))</f>
        <v>FACTURADO</v>
      </c>
      <c r="AG1104" s="133">
        <f>IFERROR(VLOOKUP(DATA[[#This Row],[COMBINADA]],#REF!,6,0),0)</f>
        <v>0</v>
      </c>
      <c r="AH1104" s="125">
        <f>IFERROR(VLOOKUP(DATA[[#This Row],[COMBINADA]],#REF!,9,0),0)/COUNTIFS(DATA[COMBINADA],DATA[[#This Row],[COMBINADA]])</f>
        <v>0</v>
      </c>
      <c r="AI1104" s="136">
        <f>IFERROR(VLOOKUP(DATA[[#This Row],[COMBINADA]],#REF!,6,0),0)</f>
        <v>0</v>
      </c>
      <c r="AJ1104" s="132">
        <f>IFERROR(VLOOKUP(DATA[[#This Row],[COMBINADA]],#REF!,9,0),0)/COUNTIFS(DATA[COMBINADA],DATA[[#This Row],[COMBINADA]])</f>
        <v>0</v>
      </c>
      <c r="AK1104" s="407">
        <f>IFERROR(VLOOKUP(DATA[[#This Row],[COMBINADA]],#REF!,6,0),0)</f>
        <v>0</v>
      </c>
      <c r="AL1104" s="125">
        <f>IFERROR(VLOOKUP(DATA[[#This Row],[COMBINADA]],#REF!,9,0),0)/COUNTIFS(DATA[COMBINADA],DATA[[#This Row],[COMBINADA]])</f>
        <v>0</v>
      </c>
      <c r="AM1104" s="27">
        <f>IFERROR(VLOOKUP(DATA[[#This Row],[COMBINADA]],#REF!,6,0),0)</f>
        <v>0</v>
      </c>
      <c r="AN1104" s="125">
        <f>IFERROR(VLOOKUP(DATA[[#This Row],[COMBINADA]],#REF!,9,0),0)/COUNTIFS(DATA[COMBINADA],DATA[[#This Row],[COMBINADA]])</f>
        <v>0</v>
      </c>
      <c r="AO1104" s="27">
        <f>IFERROR(VLOOKUP(DATA[[#This Row],[COMBINADA]],#REF!,6,0),0)</f>
        <v>0</v>
      </c>
      <c r="AP1104" s="132">
        <f>IFERROR(VLOOKUP(DATA[[#This Row],[COMBINADA]],#REF!,9,0),0)/COUNTIFS(DATA[COMBINADA],DATA[[#This Row],[COMBINADA]])</f>
        <v>0</v>
      </c>
      <c r="AQ110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1088.19625</v>
      </c>
      <c r="AR1104" s="26" t="str">
        <f>IFERROR(IF(DATA[[#This Row],[estado_fact]]="FACTURADO",VLOOKUP(DATA[[#This Row],[SERIE2]]&amp;"-"&amp;DATA[[#This Row],[NUMERO]],#REF!,34,0),"NO CORRESPONDE"),"NO CORRESPONDE")</f>
        <v>NO CORRESPONDE</v>
      </c>
      <c r="AS1104" s="22" t="str">
        <f>IF(DATA[[#This Row],[fecha_fs]]&gt;0,TEXT(DATA[[#This Row],[fecha_fs]],"Mmmm"),0)</f>
        <v>Agosto</v>
      </c>
      <c r="AT1104" s="22" t="str">
        <f>DATA[[#This Row],[SERIE2]]&amp;"-"&amp;DATA[[#This Row],[NUMERO]]</f>
        <v>FF01-231</v>
      </c>
      <c r="AU1104" s="28">
        <f>DATA[[#This Row],[TOTAL]]*DATA[[#This Row],[T.C.]]</f>
        <v>1076.1600000000001</v>
      </c>
      <c r="AV1104" s="6">
        <f>DATA[[#This Row],[FECHA DE VAL.]]</f>
        <v>45898</v>
      </c>
      <c r="AW1104" s="6">
        <f>DATA[[#This Row],[FECHA DE EMISION]]</f>
        <v>45901</v>
      </c>
      <c r="AX1104" s="6">
        <f>DATA[[#This Row],[F1]]</f>
        <v>0</v>
      </c>
      <c r="AY1104" s="20">
        <f>IF(AV1104-DATA[[#This Row],[fecha_fs]]&lt;0,0,AV1104-DATA[[#This Row],[fecha_fs]])</f>
        <v>2</v>
      </c>
      <c r="AZ1104" s="20">
        <f t="shared" si="205"/>
        <v>3</v>
      </c>
      <c r="BA1104" s="53">
        <f t="shared" si="206"/>
        <v>0</v>
      </c>
      <c r="BB1104" s="195">
        <f>IFERROR(SUM(DATA[[#This Row],[fs_val_ttf]:[fact_pago_ttf]]),0)</f>
        <v>5</v>
      </c>
      <c r="BC1104" s="233">
        <v>45897</v>
      </c>
      <c r="BD1104" s="233">
        <v>45903</v>
      </c>
      <c r="BE1104" s="233">
        <v>45904</v>
      </c>
      <c r="BF1104" s="233">
        <v>45904</v>
      </c>
      <c r="BG1104" s="20">
        <f>IFERROR(IF(BC1104-DATA[[#This Row],[fecha_fs]]&lt;0,0,BC1104-DATA[[#This Row],[fecha_fs]]),0)</f>
        <v>1</v>
      </c>
      <c r="BH1104" s="20">
        <f t="shared" si="207"/>
        <v>6</v>
      </c>
      <c r="BI1104" s="20">
        <f t="shared" si="208"/>
        <v>1</v>
      </c>
      <c r="BJ1104" s="20">
        <f t="shared" si="209"/>
        <v>0</v>
      </c>
      <c r="BK1104" s="282">
        <f>IFERROR(SUM(DATA[[#This Row],[fs_fd_ttd]:[fend_fenf_ttd]]),0)</f>
        <v>8</v>
      </c>
      <c r="BL1104" s="20" t="str">
        <f>IF(DATA[[#This Row],[fecha_fs]]&gt;0,TEXT(DATA[[#This Row],[fecha_fs]],"YYYY"),0)</f>
        <v>2025</v>
      </c>
      <c r="BM1104" s="236" t="b">
        <v>1</v>
      </c>
      <c r="BN1104" s="278">
        <f>COUNTIF(DATA[[#This Row],[tiempo_td]], "&lt;=15")</f>
        <v>1</v>
      </c>
      <c r="BO1104" s="222"/>
    </row>
    <row r="1105" spans="1:67" ht="30.6" customHeight="1" x14ac:dyDescent="0.25">
      <c r="A1105" s="4">
        <v>20100211115</v>
      </c>
      <c r="B1105" s="5" t="s">
        <v>41</v>
      </c>
      <c r="C1105" s="52" t="s">
        <v>18</v>
      </c>
      <c r="D1105" s="4" t="s">
        <v>120</v>
      </c>
      <c r="E1105" s="5" t="s">
        <v>3</v>
      </c>
      <c r="F1105" s="24">
        <v>45896</v>
      </c>
      <c r="G1105" s="7" t="s">
        <v>113</v>
      </c>
      <c r="H1105" s="25">
        <f t="shared" ref="H1105:H1106" si="210">IF(G1105="","",IF(G1105="LIM",2,1))</f>
        <v>1</v>
      </c>
      <c r="I1105" s="67">
        <v>4913</v>
      </c>
      <c r="J1105" s="8" t="s">
        <v>115</v>
      </c>
      <c r="K1105" s="9" t="s">
        <v>121</v>
      </c>
      <c r="L1105" s="10" t="s">
        <v>117</v>
      </c>
      <c r="M1105" s="11">
        <v>90</v>
      </c>
      <c r="N1105" s="12" t="s">
        <v>200</v>
      </c>
      <c r="O1105" s="6">
        <v>45898</v>
      </c>
      <c r="P1105" s="115">
        <v>3636</v>
      </c>
      <c r="Q1105" s="14" t="s">
        <v>85</v>
      </c>
      <c r="R1105" s="15"/>
      <c r="S1105" s="15">
        <f>(DATA[[#This Row],[cantidad_fs]]*4.17)</f>
        <v>375.3</v>
      </c>
      <c r="T1105" s="237">
        <f>DATA[[#This Row],[C. DF]]+DATA[[#This Row],[C.OPE.]]</f>
        <v>375.3</v>
      </c>
      <c r="U1105" s="15">
        <f>DATA[[#This Row],[SUB TOTAL]]*0.18</f>
        <v>67.554000000000002</v>
      </c>
      <c r="V1105" s="15">
        <f>IFERROR(ROUND(DATA[[#This Row],[SUB TOTAL]]+DATA[[#This Row],[IGV]],2),0)</f>
        <v>442.85</v>
      </c>
      <c r="W1105" s="16" t="str">
        <f>IF(DATA[[#This Row],[VALORIZACIÓN ]]="-","NO CORRESPONDE",IF(OR(A1105=20558226979,A1105=10470707866,A1105=20111157058,A1105=20100226902),"NO CORRESPONDE",IF(J1105="Emitida",IF(P1105&gt;0,"EMITIDA","PENDIENTE"),"NO CORRESPONDE")))</f>
        <v>EMITIDA</v>
      </c>
      <c r="X1105" s="29"/>
      <c r="Y1105" s="17" t="s">
        <v>118</v>
      </c>
      <c r="Z1105" s="30">
        <v>45930</v>
      </c>
      <c r="AA1105" s="10" t="s">
        <v>150</v>
      </c>
      <c r="AB1105" s="19">
        <v>269</v>
      </c>
      <c r="AC1105" s="20">
        <v>30</v>
      </c>
      <c r="AD1105" s="18">
        <f>DATA[[#This Row],[FECHA DE EMISION]]+DATA[[#This Row],[CONDICION DE PAGO]]</f>
        <v>45960</v>
      </c>
      <c r="AE1105" s="23">
        <f>IF(DATA[[#This Row],[MONEDA]]="USD",VLOOKUP(DATA[[#This Row],[COMBINADA]],#REF!,11,0),1)</f>
        <v>1</v>
      </c>
      <c r="AF1105" s="129" t="str">
        <f>IF(DATA[[#This Row],[SERIE2]]="-","NO CORRESPONDE",IF(W1105="NO CORRESPONDE","NO CORRESPONDE",IF(Z1105&gt;0,"FACTURADO","PENDIENTE")))</f>
        <v>FACTURADO</v>
      </c>
      <c r="AG1105" s="133">
        <f>IFERROR(VLOOKUP(DATA[[#This Row],[COMBINADA]],#REF!,6,0),0)</f>
        <v>0</v>
      </c>
      <c r="AH1105" s="125">
        <f>IFERROR(VLOOKUP(DATA[[#This Row],[COMBINADA]],#REF!,9,0),0)/COUNTIFS(DATA[COMBINADA],DATA[[#This Row],[COMBINADA]])</f>
        <v>0</v>
      </c>
      <c r="AI1105" s="136">
        <f>IFERROR(VLOOKUP(DATA[[#This Row],[COMBINADA]],#REF!,6,0),0)</f>
        <v>0</v>
      </c>
      <c r="AJ1105" s="132">
        <f>IFERROR(VLOOKUP(DATA[[#This Row],[COMBINADA]],#REF!,9,0),0)/COUNTIFS(DATA[COMBINADA],DATA[[#This Row],[COMBINADA]])</f>
        <v>0</v>
      </c>
      <c r="AK1105" s="407">
        <f>IFERROR(VLOOKUP(DATA[[#This Row],[COMBINADA]],#REF!,6,0),0)</f>
        <v>0</v>
      </c>
      <c r="AL1105" s="125">
        <f>IFERROR(VLOOKUP(DATA[[#This Row],[COMBINADA]],#REF!,9,0),0)/COUNTIFS(DATA[COMBINADA],DATA[[#This Row],[COMBINADA]])</f>
        <v>0</v>
      </c>
      <c r="AM1105" s="27">
        <f>IFERROR(VLOOKUP(DATA[[#This Row],[COMBINADA]],#REF!,6,0),0)</f>
        <v>0</v>
      </c>
      <c r="AN1105" s="125">
        <f>IFERROR(VLOOKUP(DATA[[#This Row],[COMBINADA]],#REF!,9,0),0)/COUNTIFS(DATA[COMBINADA],DATA[[#This Row],[COMBINADA]])</f>
        <v>0</v>
      </c>
      <c r="AO1105" s="27">
        <f>IFERROR(VLOOKUP(DATA[[#This Row],[COMBINADA]],#REF!,6,0),0)</f>
        <v>0</v>
      </c>
      <c r="AP1105" s="132">
        <f>IFERROR(VLOOKUP(DATA[[#This Row],[COMBINADA]],#REF!,9,0),0)/COUNTIFS(DATA[COMBINADA],DATA[[#This Row],[COMBINADA]])</f>
        <v>0</v>
      </c>
      <c r="AQ110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105" s="26" t="str">
        <f>IFERROR(IF(DATA[[#This Row],[estado_fact]]="FACTURADO",VLOOKUP(DATA[[#This Row],[SERIE2]]&amp;"-"&amp;DATA[[#This Row],[NUMERO]],#REF!,34,0),"NO CORRESPONDE"),"NO CORRESPONDE")</f>
        <v>NO CORRESPONDE</v>
      </c>
      <c r="AS1105" s="22" t="str">
        <f>IF(DATA[[#This Row],[fecha_fs]]&gt;0,TEXT(DATA[[#This Row],[fecha_fs]],"Mmmm"),0)</f>
        <v>Agosto</v>
      </c>
      <c r="AT1105" s="22" t="str">
        <f>DATA[[#This Row],[SERIE2]]&amp;"-"&amp;DATA[[#This Row],[NUMERO]]</f>
        <v>FF01-269</v>
      </c>
      <c r="AU1105" s="28">
        <f>DATA[[#This Row],[TOTAL]]*DATA[[#This Row],[T.C.]]</f>
        <v>442.85</v>
      </c>
      <c r="AV1105" s="6">
        <f>DATA[[#This Row],[FECHA DE VAL.]]</f>
        <v>45898</v>
      </c>
      <c r="AW1105" s="6">
        <f>DATA[[#This Row],[FECHA DE EMISION]]</f>
        <v>45930</v>
      </c>
      <c r="AX1105" s="6">
        <f>DATA[[#This Row],[F1]]</f>
        <v>0</v>
      </c>
      <c r="AY1105" s="20">
        <f>IF(AV1105-DATA[[#This Row],[fecha_fs]]&lt;0,0,AV1105-DATA[[#This Row],[fecha_fs]])</f>
        <v>2</v>
      </c>
      <c r="AZ1105" s="20">
        <f t="shared" ref="AZ1105:AZ1106" si="211">IF(AW1105-AV1105&lt;0,0,AW1105-AV1105)</f>
        <v>32</v>
      </c>
      <c r="BA1105" s="53">
        <f t="shared" ref="BA1105:BA1106" si="212">IF(AX1105-AW1105&lt;0,0,AX1105-AW1105)</f>
        <v>0</v>
      </c>
      <c r="BB1105" s="195">
        <f>IFERROR(SUM(DATA[[#This Row],[fs_val_ttf]:[fact_pago_ttf]]),0)</f>
        <v>34</v>
      </c>
      <c r="BC1105" s="233">
        <v>45932</v>
      </c>
      <c r="BD1105" s="233">
        <v>45939</v>
      </c>
      <c r="BE1105" s="233">
        <v>45939</v>
      </c>
      <c r="BF1105" s="233">
        <v>45940</v>
      </c>
      <c r="BG1105" s="20">
        <f>IFERROR(IF(BC1105-DATA[[#This Row],[fecha_fs]]&lt;0,0,BC1105-DATA[[#This Row],[fecha_fs]]),0)</f>
        <v>36</v>
      </c>
      <c r="BH1105" s="20">
        <f t="shared" si="207"/>
        <v>7</v>
      </c>
      <c r="BI1105" s="20">
        <f t="shared" si="208"/>
        <v>0</v>
      </c>
      <c r="BJ1105" s="20">
        <f t="shared" si="209"/>
        <v>1</v>
      </c>
      <c r="BK1105" s="282">
        <f>IFERROR(SUM(DATA[[#This Row],[fs_fd_ttd]:[fend_fenf_ttd]]),0)</f>
        <v>44</v>
      </c>
      <c r="BL1105" s="20" t="str">
        <f>IF(DATA[[#This Row],[fecha_fs]]&gt;0,TEXT(DATA[[#This Row],[fecha_fs]],"YYYY"),0)</f>
        <v>2025</v>
      </c>
      <c r="BM1105" s="236" t="b">
        <v>1</v>
      </c>
      <c r="BN1105" s="278">
        <f>COUNTIF(DATA[[#This Row],[tiempo_td]], "&lt;=15")</f>
        <v>0</v>
      </c>
      <c r="BO1105" s="222"/>
    </row>
    <row r="1106" spans="1:67" ht="30.6" customHeight="1" x14ac:dyDescent="0.25">
      <c r="A1106" s="4">
        <v>20515758659</v>
      </c>
      <c r="B1106" s="5" t="s">
        <v>308</v>
      </c>
      <c r="C1106" s="52" t="s">
        <v>319</v>
      </c>
      <c r="D1106" s="4" t="s">
        <v>120</v>
      </c>
      <c r="E1106" s="5" t="s">
        <v>3</v>
      </c>
      <c r="F1106" s="24">
        <v>45897</v>
      </c>
      <c r="G1106" s="7" t="s">
        <v>113</v>
      </c>
      <c r="H1106" s="25">
        <f t="shared" si="210"/>
        <v>1</v>
      </c>
      <c r="I1106" s="67">
        <v>4914</v>
      </c>
      <c r="J1106" s="8" t="s">
        <v>115</v>
      </c>
      <c r="K1106" s="9" t="s">
        <v>121</v>
      </c>
      <c r="L1106" s="10" t="s">
        <v>117</v>
      </c>
      <c r="M1106" s="11">
        <v>5960</v>
      </c>
      <c r="N1106" s="12" t="s">
        <v>129</v>
      </c>
      <c r="O1106" s="6">
        <v>45897</v>
      </c>
      <c r="P1106" s="13">
        <v>3638</v>
      </c>
      <c r="Q1106" s="14" t="s">
        <v>85</v>
      </c>
      <c r="R1106" s="15">
        <f>DATA[[#This Row],[cantidad_fs]]*0.08</f>
        <v>476.8</v>
      </c>
      <c r="S1106" s="309">
        <v>4012</v>
      </c>
      <c r="T1106" s="237">
        <f>DATA[[#This Row],[C. DF]]+DATA[[#This Row],[C.OPE.]]</f>
        <v>4488.8</v>
      </c>
      <c r="U1106" s="15">
        <f>DATA[[#This Row],[SUB TOTAL]]*0.18</f>
        <v>807.98400000000004</v>
      </c>
      <c r="V1106" s="15">
        <f>IFERROR(ROUND(DATA[[#This Row],[SUB TOTAL]]+DATA[[#This Row],[IGV]],2),0)</f>
        <v>5296.78</v>
      </c>
      <c r="W1106" s="16" t="str">
        <f>IF(DATA[[#This Row],[VALORIZACIÓN ]]="-","NO CORRESPONDE",IF(OR(A1106=20558226979,A1106=10470707866,A1106=20111157058,A1106=20100226902),"NO CORRESPONDE",IF(J1106="Emitida",IF(P1106&gt;0,"EMITIDA","PENDIENTE"),"NO CORRESPONDE")))</f>
        <v>EMITIDA</v>
      </c>
      <c r="X1106" s="29"/>
      <c r="Y1106" s="17" t="s">
        <v>118</v>
      </c>
      <c r="Z1106" s="30">
        <v>45905</v>
      </c>
      <c r="AA1106" s="10" t="s">
        <v>150</v>
      </c>
      <c r="AB1106" s="19">
        <v>244</v>
      </c>
      <c r="AC1106" s="20">
        <v>15</v>
      </c>
      <c r="AD1106" s="18">
        <f>DATA[[#This Row],[FECHA DE EMISION]]+DATA[[#This Row],[CONDICION DE PAGO]]</f>
        <v>45920</v>
      </c>
      <c r="AE1106" s="23">
        <f>IF(DATA[[#This Row],[MONEDA]]="USD",VLOOKUP(DATA[[#This Row],[COMBINADA]],#REF!,11,0),1)</f>
        <v>1</v>
      </c>
      <c r="AF1106" s="129" t="str">
        <f>IF(DATA[[#This Row],[SERIE2]]="-","NO CORRESPONDE",IF(W1106="NO CORRESPONDE","NO CORRESPONDE",IF(Z1106&gt;0,"FACTURADO","PENDIENTE")))</f>
        <v>FACTURADO</v>
      </c>
      <c r="AG1106" s="133">
        <f>IFERROR(VLOOKUP(DATA[[#This Row],[COMBINADA]],#REF!,6,0),0)</f>
        <v>0</v>
      </c>
      <c r="AH1106" s="125">
        <f>IFERROR(VLOOKUP(DATA[[#This Row],[COMBINADA]],#REF!,9,0),0)/COUNTIFS(DATA[COMBINADA],DATA[[#This Row],[COMBINADA]])</f>
        <v>0</v>
      </c>
      <c r="AI1106" s="136">
        <f>IFERROR(VLOOKUP(DATA[[#This Row],[COMBINADA]],#REF!,6,0),0)</f>
        <v>0</v>
      </c>
      <c r="AJ1106" s="132">
        <f>IFERROR(VLOOKUP(DATA[[#This Row],[COMBINADA]],#REF!,9,0),0)/COUNTIFS(DATA[COMBINADA],DATA[[#This Row],[COMBINADA]])</f>
        <v>0</v>
      </c>
      <c r="AK1106" s="407">
        <f>IFERROR(VLOOKUP(DATA[[#This Row],[COMBINADA]],#REF!,6,0),0)</f>
        <v>0</v>
      </c>
      <c r="AL1106" s="125">
        <f>IFERROR(VLOOKUP(DATA[[#This Row],[COMBINADA]],#REF!,9,0),0)/COUNTIFS(DATA[COMBINADA],DATA[[#This Row],[COMBINADA]])</f>
        <v>0</v>
      </c>
      <c r="AM1106" s="27">
        <f>IFERROR(VLOOKUP(DATA[[#This Row],[COMBINADA]],#REF!,6,0),0)</f>
        <v>0</v>
      </c>
      <c r="AN1106" s="125">
        <f>IFERROR(VLOOKUP(DATA[[#This Row],[COMBINADA]],#REF!,9,0),0)/COUNTIFS(DATA[COMBINADA],DATA[[#This Row],[COMBINADA]])</f>
        <v>0</v>
      </c>
      <c r="AO1106" s="27">
        <f>IFERROR(VLOOKUP(DATA[[#This Row],[COMBINADA]],#REF!,6,0),0)</f>
        <v>0</v>
      </c>
      <c r="AP1106" s="132">
        <f>IFERROR(VLOOKUP(DATA[[#This Row],[COMBINADA]],#REF!,9,0),0)/COUNTIFS(DATA[COMBINADA],DATA[[#This Row],[COMBINADA]])</f>
        <v>0</v>
      </c>
      <c r="AQ110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5296.78</v>
      </c>
      <c r="AR1106" s="26" t="str">
        <f>IFERROR(IF(DATA[[#This Row],[estado_fact]]="FACTURADO",VLOOKUP(DATA[[#This Row],[SERIE2]]&amp;"-"&amp;DATA[[#This Row],[NUMERO]],#REF!,34,0),"NO CORRESPONDE"),"NO CORRESPONDE")</f>
        <v>NO CORRESPONDE</v>
      </c>
      <c r="AS1106" s="22" t="str">
        <f>IF(DATA[[#This Row],[fecha_fs]]&gt;0,TEXT(DATA[[#This Row],[fecha_fs]],"Mmmm"),0)</f>
        <v>Agosto</v>
      </c>
      <c r="AT1106" s="22" t="str">
        <f>DATA[[#This Row],[SERIE2]]&amp;"-"&amp;DATA[[#This Row],[NUMERO]]</f>
        <v>FF01-244</v>
      </c>
      <c r="AU1106" s="28">
        <f>DATA[[#This Row],[TOTAL]]*DATA[[#This Row],[T.C.]]</f>
        <v>5296.78</v>
      </c>
      <c r="AV1106" s="6">
        <f>DATA[[#This Row],[FECHA DE VAL.]]</f>
        <v>45897</v>
      </c>
      <c r="AW1106" s="6">
        <f>DATA[[#This Row],[FECHA DE EMISION]]</f>
        <v>45905</v>
      </c>
      <c r="AX1106" s="6">
        <f>DATA[[#This Row],[F1]]</f>
        <v>0</v>
      </c>
      <c r="AY1106" s="20">
        <f>IF(AV1106-DATA[[#This Row],[fecha_fs]]&lt;0,0,AV1106-DATA[[#This Row],[fecha_fs]])</f>
        <v>0</v>
      </c>
      <c r="AZ1106" s="20">
        <f t="shared" si="211"/>
        <v>8</v>
      </c>
      <c r="BA1106" s="53">
        <f t="shared" si="212"/>
        <v>0</v>
      </c>
      <c r="BB1106" s="195">
        <f>IFERROR(SUM(DATA[[#This Row],[fs_val_ttf]:[fact_pago_ttf]]),0)</f>
        <v>8</v>
      </c>
      <c r="BC1106" s="233">
        <v>45904</v>
      </c>
      <c r="BD1106" s="233">
        <v>45911</v>
      </c>
      <c r="BE1106" s="233">
        <v>45911</v>
      </c>
      <c r="BF1106" s="234" t="s">
        <v>270</v>
      </c>
      <c r="BG1106" s="20">
        <f>IFERROR(IF(BC1106-DATA[[#This Row],[fecha_fs]]&lt;0,0,BC1106-DATA[[#This Row],[fecha_fs]]),0)</f>
        <v>7</v>
      </c>
      <c r="BH1106" s="20">
        <f t="shared" si="207"/>
        <v>7</v>
      </c>
      <c r="BI1106" s="20">
        <f t="shared" si="208"/>
        <v>0</v>
      </c>
      <c r="BJ1106" s="20">
        <f t="shared" si="209"/>
        <v>0</v>
      </c>
      <c r="BK1106" s="282">
        <f>IFERROR(SUM(DATA[[#This Row],[fs_fd_ttd]:[fend_fenf_ttd]]),0)</f>
        <v>14</v>
      </c>
      <c r="BL1106" s="20" t="str">
        <f>IF(DATA[[#This Row],[fecha_fs]]&gt;0,TEXT(DATA[[#This Row],[fecha_fs]],"YYYY"),0)</f>
        <v>2025</v>
      </c>
      <c r="BM1106" s="236" t="b">
        <v>0</v>
      </c>
      <c r="BN1106" s="278">
        <f>COUNTIF(DATA[[#This Row],[tiempo_td]], "&lt;=15")</f>
        <v>1</v>
      </c>
      <c r="BO1106" s="222"/>
    </row>
    <row r="1107" spans="1:67" ht="30.6" customHeight="1" x14ac:dyDescent="0.25">
      <c r="A1107" s="4">
        <v>20552714378</v>
      </c>
      <c r="B1107" s="5" t="s">
        <v>288</v>
      </c>
      <c r="C1107" s="52" t="s">
        <v>264</v>
      </c>
      <c r="D1107" s="4" t="s">
        <v>112</v>
      </c>
      <c r="E1107" s="5" t="s">
        <v>1</v>
      </c>
      <c r="F1107" s="24">
        <v>45896</v>
      </c>
      <c r="G1107" s="7" t="s">
        <v>113</v>
      </c>
      <c r="H1107" s="25">
        <f t="shared" ref="H1107:H1109" si="213">IF(G1107="","",IF(G1107="LIM",2,1))</f>
        <v>1</v>
      </c>
      <c r="I1107" s="67">
        <v>4915</v>
      </c>
      <c r="J1107" s="8" t="s">
        <v>115</v>
      </c>
      <c r="K1107" s="9" t="s">
        <v>116</v>
      </c>
      <c r="L1107" s="10" t="s">
        <v>117</v>
      </c>
      <c r="M1107" s="11">
        <v>1770</v>
      </c>
      <c r="N1107" s="12" t="s">
        <v>125</v>
      </c>
      <c r="O1107" s="6">
        <v>45922</v>
      </c>
      <c r="P1107" s="316">
        <v>3669</v>
      </c>
      <c r="Q1107" s="14" t="s">
        <v>85</v>
      </c>
      <c r="R1107" s="15">
        <f>450+((DATA[[#This Row],[cantidad_fs]]-1000)*0.45)</f>
        <v>796.5</v>
      </c>
      <c r="S1107" s="309">
        <v>2319.6999999999998</v>
      </c>
      <c r="T1107" s="237">
        <f>DATA[[#This Row],[C. DF]]+DATA[[#This Row],[C.OPE.]]</f>
        <v>3116.2</v>
      </c>
      <c r="U1107" s="15">
        <f>DATA[[#This Row],[SUB TOTAL]]*0.18</f>
        <v>560.91599999999994</v>
      </c>
      <c r="V1107" s="15">
        <f>IFERROR(ROUND(DATA[[#This Row],[SUB TOTAL]]+DATA[[#This Row],[IGV]],2),0)</f>
        <v>3677.12</v>
      </c>
      <c r="W1107" s="16" t="str">
        <f>IF(DATA[[#This Row],[VALORIZACIÓN ]]="-","NO CORRESPONDE",IF(OR(A1107=20558226979,A1107=10470707866,A1107=20111157058,A1107=20100226902),"NO CORRESPONDE",IF(J1107="Emitida",IF(P1107&gt;0,"EMITIDA","PENDIENTE"),"NO CORRESPONDE")))</f>
        <v>EMITIDA</v>
      </c>
      <c r="X1107" s="29" t="s">
        <v>352</v>
      </c>
      <c r="Y1107" s="17" t="s">
        <v>118</v>
      </c>
      <c r="Z1107" s="30">
        <v>45933</v>
      </c>
      <c r="AA1107" s="10" t="s">
        <v>150</v>
      </c>
      <c r="AB1107" s="19">
        <v>279</v>
      </c>
      <c r="AC1107" s="20">
        <v>60</v>
      </c>
      <c r="AD1107" s="18">
        <f>DATA[[#This Row],[FECHA DE EMISION]]+DATA[[#This Row],[CONDICION DE PAGO]]</f>
        <v>45993</v>
      </c>
      <c r="AE1107" s="23">
        <f>IF(DATA[[#This Row],[MONEDA]]="USD",VLOOKUP(DATA[[#This Row],[COMBINADA]],#REF!,11,0),1)</f>
        <v>1</v>
      </c>
      <c r="AF1107" s="39" t="str">
        <f>IF(DATA[[#This Row],[SERIE2]]="-","NO CORRESPONDE",IF(W1107="NO CORRESPONDE","NO CORRESPONDE",IF(Z1107&gt;0,"FACTURADO","PENDIENTE")))</f>
        <v>FACTURADO</v>
      </c>
      <c r="AG1107" s="133">
        <f>IFERROR(VLOOKUP(DATA[[#This Row],[COMBINADA]],#REF!,6,0),0)</f>
        <v>0</v>
      </c>
      <c r="AH1107" s="125">
        <f>IFERROR(VLOOKUP(DATA[[#This Row],[COMBINADA]],#REF!,9,0),0)/COUNTIFS(DATA[COMBINADA],DATA[[#This Row],[COMBINADA]])</f>
        <v>0</v>
      </c>
      <c r="AI1107" s="136">
        <f>IFERROR(VLOOKUP(DATA[[#This Row],[COMBINADA]],#REF!,6,0),0)</f>
        <v>0</v>
      </c>
      <c r="AJ1107" s="132">
        <f>IFERROR(VLOOKUP(DATA[[#This Row],[COMBINADA]],#REF!,9,0),0)/COUNTIFS(DATA[COMBINADA],DATA[[#This Row],[COMBINADA]])</f>
        <v>0</v>
      </c>
      <c r="AK1107" s="407">
        <f>IFERROR(VLOOKUP(DATA[[#This Row],[COMBINADA]],#REF!,6,0),0)</f>
        <v>0</v>
      </c>
      <c r="AL1107" s="125">
        <f>IFERROR(VLOOKUP(DATA[[#This Row],[COMBINADA]],#REF!,9,0),0)/COUNTIFS(DATA[COMBINADA],DATA[[#This Row],[COMBINADA]])</f>
        <v>0</v>
      </c>
      <c r="AM1107" s="27">
        <f>IFERROR(VLOOKUP(DATA[[#This Row],[COMBINADA]],#REF!,6,0),0)</f>
        <v>0</v>
      </c>
      <c r="AN1107" s="125">
        <f>IFERROR(VLOOKUP(DATA[[#This Row],[COMBINADA]],#REF!,9,0),0)/COUNTIFS(DATA[COMBINADA],DATA[[#This Row],[COMBINADA]])</f>
        <v>0</v>
      </c>
      <c r="AO1107" s="27">
        <f>IFERROR(VLOOKUP(DATA[[#This Row],[COMBINADA]],#REF!,6,0),0)</f>
        <v>0</v>
      </c>
      <c r="AP1107" s="132">
        <f>IFERROR(VLOOKUP(DATA[[#This Row],[COMBINADA]],#REF!,9,0),0)/COUNTIFS(DATA[COMBINADA],DATA[[#This Row],[COMBINADA]])</f>
        <v>0</v>
      </c>
      <c r="AQ110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3472.6849999999999</v>
      </c>
      <c r="AR1107" s="26" t="str">
        <f>IFERROR(IF(DATA[[#This Row],[estado_fact]]="FACTURADO",VLOOKUP(DATA[[#This Row],[SERIE2]]&amp;"-"&amp;DATA[[#This Row],[NUMERO]],#REF!,34,0),"NO CORRESPONDE"),"NO CORRESPONDE")</f>
        <v>NO CORRESPONDE</v>
      </c>
      <c r="AS1107" s="22" t="str">
        <f>IF(DATA[[#This Row],[fecha_fs]]&gt;0,TEXT(DATA[[#This Row],[fecha_fs]],"Mmmm"),0)</f>
        <v>Agosto</v>
      </c>
      <c r="AT1107" s="22" t="str">
        <f>DATA[[#This Row],[SERIE2]]&amp;"-"&amp;DATA[[#This Row],[NUMERO]]</f>
        <v>FF01-279</v>
      </c>
      <c r="AU1107" s="28">
        <f>DATA[[#This Row],[TOTAL]]*DATA[[#This Row],[T.C.]]</f>
        <v>3677.12</v>
      </c>
      <c r="AV1107" s="6">
        <f>DATA[[#This Row],[FECHA DE VAL.]]</f>
        <v>45922</v>
      </c>
      <c r="AW1107" s="6">
        <f>DATA[[#This Row],[FECHA DE EMISION]]</f>
        <v>45933</v>
      </c>
      <c r="AX1107" s="6">
        <f>DATA[[#This Row],[F1]]</f>
        <v>0</v>
      </c>
      <c r="AY1107" s="20">
        <f>IF(AV1107-DATA[[#This Row],[fecha_fs]]&lt;0,0,AV1107-DATA[[#This Row],[fecha_fs]])</f>
        <v>26</v>
      </c>
      <c r="AZ1107" s="20">
        <f t="shared" ref="AZ1107:AZ1109" si="214">IF(AW1107-AV1107&lt;0,0,AW1107-AV1107)</f>
        <v>11</v>
      </c>
      <c r="BA1107" s="53">
        <f t="shared" ref="BA1107:BA1109" si="215">IF(AX1107-AW1107&lt;0,0,AX1107-AW1107)</f>
        <v>0</v>
      </c>
      <c r="BB1107" s="195">
        <f>IFERROR(SUM(DATA[[#This Row],[fs_val_ttf]:[fact_pago_ttf]]),0)</f>
        <v>37</v>
      </c>
      <c r="BC1107" s="233">
        <v>45896</v>
      </c>
      <c r="BD1107" s="233">
        <v>45903</v>
      </c>
      <c r="BE1107" s="233">
        <v>45909</v>
      </c>
      <c r="BF1107" s="233">
        <v>45903</v>
      </c>
      <c r="BG1107" s="20">
        <f>IFERROR(IF(BC1107-DATA[[#This Row],[fecha_fs]]&lt;0,0,BC1107-DATA[[#This Row],[fecha_fs]]),0)</f>
        <v>0</v>
      </c>
      <c r="BH1107" s="20">
        <f t="shared" ref="BH1107:BJ1112" si="216">IFERROR(IF(BD1107-BC1107&lt;0,0,BD1107-BC1107),0)</f>
        <v>7</v>
      </c>
      <c r="BI1107" s="20">
        <f t="shared" si="216"/>
        <v>6</v>
      </c>
      <c r="BJ1107" s="20">
        <f t="shared" si="216"/>
        <v>0</v>
      </c>
      <c r="BK1107" s="282">
        <f>IFERROR(SUM(DATA[[#This Row],[fs_fd_ttd]:[fend_fenf_ttd]]),0)</f>
        <v>13</v>
      </c>
      <c r="BL1107" s="20" t="str">
        <f>IF(DATA[[#This Row],[fecha_fs]]&gt;0,TEXT(DATA[[#This Row],[fecha_fs]],"YYYY"),0)</f>
        <v>2025</v>
      </c>
      <c r="BM1107" s="236" t="b">
        <v>1</v>
      </c>
      <c r="BN1107" s="278">
        <f>COUNTIF(DATA[[#This Row],[tiempo_td]], "&lt;=15")</f>
        <v>1</v>
      </c>
      <c r="BO1107" s="222"/>
    </row>
    <row r="1108" spans="1:67" ht="30.6" customHeight="1" x14ac:dyDescent="0.25">
      <c r="A1108" s="4">
        <v>20100192064</v>
      </c>
      <c r="B1108" s="5" t="s">
        <v>60</v>
      </c>
      <c r="C1108" s="52" t="s">
        <v>65</v>
      </c>
      <c r="D1108" s="4" t="s">
        <v>112</v>
      </c>
      <c r="E1108" s="5" t="s">
        <v>1</v>
      </c>
      <c r="F1108" s="24">
        <v>45896</v>
      </c>
      <c r="G1108" s="7" t="s">
        <v>142</v>
      </c>
      <c r="H1108" s="25">
        <f>IF(G1108="","",IF(G1108="LIM",2,1))</f>
        <v>2</v>
      </c>
      <c r="I1108" s="67">
        <v>1131</v>
      </c>
      <c r="J1108" s="8" t="s">
        <v>115</v>
      </c>
      <c r="K1108" s="9" t="s">
        <v>116</v>
      </c>
      <c r="L1108" s="10" t="s">
        <v>117</v>
      </c>
      <c r="M1108" s="11">
        <v>3340</v>
      </c>
      <c r="N1108" s="12" t="s">
        <v>180</v>
      </c>
      <c r="O1108" s="6">
        <v>45926</v>
      </c>
      <c r="P1108" s="71">
        <v>3695</v>
      </c>
      <c r="Q1108" s="14" t="s">
        <v>123</v>
      </c>
      <c r="R1108" s="15">
        <f>(DATA[[#This Row],[cantidad_fs]]/1000)*(147+81.01)</f>
        <v>761.5533999999999</v>
      </c>
      <c r="S1108" s="237">
        <v>103.6</v>
      </c>
      <c r="T1108" s="309">
        <f>DATA[[#This Row],[C. DF]]+DATA[[#This Row],[C.OPE.]]</f>
        <v>865.15339999999992</v>
      </c>
      <c r="U1108" s="15">
        <f>DATA[[#This Row],[SUB TOTAL]]*0.18</f>
        <v>155.72761199999999</v>
      </c>
      <c r="V1108" s="15">
        <f>IFERROR(ROUND(DATA[[#This Row],[SUB TOTAL]]+DATA[[#This Row],[IGV]],2),0)</f>
        <v>1020.88</v>
      </c>
      <c r="W1108" s="16" t="str">
        <f>IF(DATA[[#This Row],[VALORIZACIÓN ]]="-","NO CORRESPONDE",IF(OR(A1108=20558226979,A1108=10470707866,A1108=20111157058,A1108=20100226902),"NO CORRESPONDE",IF(J1108="Emitida",IF(P1108&gt;0,"EMITIDA","PENDIENTE"),"NO CORRESPONDE")))</f>
        <v>EMITIDA</v>
      </c>
      <c r="X1108" s="29"/>
      <c r="Y1108" s="17" t="s">
        <v>118</v>
      </c>
      <c r="Z1108" s="30">
        <v>45929</v>
      </c>
      <c r="AA1108" s="10" t="s">
        <v>150</v>
      </c>
      <c r="AB1108" s="19">
        <v>268</v>
      </c>
      <c r="AC1108" s="20">
        <v>30</v>
      </c>
      <c r="AD1108" s="18">
        <f>DATA[[#This Row],[FECHA DE EMISION]]+DATA[[#This Row],[CONDICION DE PAGO]]</f>
        <v>45959</v>
      </c>
      <c r="AE1108" s="23" t="e">
        <f>IF(DATA[[#This Row],[MONEDA]]="USD",VLOOKUP(DATA[[#This Row],[COMBINADA]],#REF!,11,0),1)</f>
        <v>#REF!</v>
      </c>
      <c r="AF1108" s="129" t="str">
        <f>IF(DATA[[#This Row],[SERIE2]]="-","NO CORRESPONDE",IF(W1108="NO CORRESPONDE","NO CORRESPONDE",IF(Z1108&gt;0,"FACTURADO","PENDIENTE")))</f>
        <v>FACTURADO</v>
      </c>
      <c r="AG1108" s="133">
        <f>IFERROR(VLOOKUP(DATA[[#This Row],[COMBINADA]],#REF!,6,0),0)</f>
        <v>0</v>
      </c>
      <c r="AH1108" s="125">
        <f>IFERROR(VLOOKUP(DATA[[#This Row],[COMBINADA]],#REF!,9,0),0)/COUNTIFS(DATA[COMBINADA],DATA[[#This Row],[COMBINADA]])</f>
        <v>0</v>
      </c>
      <c r="AI1108" s="136">
        <f>IFERROR(VLOOKUP(DATA[[#This Row],[COMBINADA]],#REF!,6,0),0)</f>
        <v>0</v>
      </c>
      <c r="AJ1108" s="132">
        <f>IFERROR(VLOOKUP(DATA[[#This Row],[COMBINADA]],#REF!,9,0),0)/COUNTIFS(DATA[COMBINADA],DATA[[#This Row],[COMBINADA]])</f>
        <v>0</v>
      </c>
      <c r="AK1108" s="407">
        <f>IFERROR(VLOOKUP(DATA[[#This Row],[COMBINADA]],#REF!,6,0),0)</f>
        <v>0</v>
      </c>
      <c r="AL1108" s="125">
        <f>IFERROR(VLOOKUP(DATA[[#This Row],[COMBINADA]],#REF!,9,0),0)/COUNTIFS(DATA[COMBINADA],DATA[[#This Row],[COMBINADA]])</f>
        <v>0</v>
      </c>
      <c r="AM1108" s="27">
        <f>IFERROR(VLOOKUP(DATA[[#This Row],[COMBINADA]],#REF!,6,0),0)</f>
        <v>0</v>
      </c>
      <c r="AN1108" s="125">
        <f>IFERROR(VLOOKUP(DATA[[#This Row],[COMBINADA]],#REF!,9,0),0)/COUNTIFS(DATA[COMBINADA],DATA[[#This Row],[COMBINADA]])</f>
        <v>0</v>
      </c>
      <c r="AO1108" s="27">
        <f>IFERROR(VLOOKUP(DATA[[#This Row],[COMBINADA]],#REF!,6,0),0)</f>
        <v>0</v>
      </c>
      <c r="AP1108" s="132">
        <f>IFERROR(VLOOKUP(DATA[[#This Row],[COMBINADA]],#REF!,9,0),0)/COUNTIFS(DATA[COMBINADA],DATA[[#This Row],[COMBINADA]])</f>
        <v>0</v>
      </c>
      <c r="AQ110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535.76357142857137</v>
      </c>
      <c r="AR1108" s="26" t="str">
        <f>IFERROR(IF(DATA[[#This Row],[estado_fact]]="FACTURADO",VLOOKUP(DATA[[#This Row],[SERIE2]]&amp;"-"&amp;DATA[[#This Row],[NUMERO]],#REF!,34,0),"NO CORRESPONDE"),"NO CORRESPONDE")</f>
        <v>NO CORRESPONDE</v>
      </c>
      <c r="AS1108" s="22" t="str">
        <f>IF(DATA[[#This Row],[fecha_fs]]&gt;0,TEXT(DATA[[#This Row],[fecha_fs]],"Mmmm"),0)</f>
        <v>Agosto</v>
      </c>
      <c r="AT1108" s="22" t="str">
        <f>DATA[[#This Row],[SERIE2]]&amp;"-"&amp;DATA[[#This Row],[NUMERO]]</f>
        <v>FF01-268</v>
      </c>
      <c r="AU1108" s="28" t="e">
        <f>DATA[[#This Row],[TOTAL]]*DATA[[#This Row],[T.C.]]</f>
        <v>#REF!</v>
      </c>
      <c r="AV1108" s="6">
        <f>DATA[[#This Row],[FECHA DE VAL.]]</f>
        <v>45926</v>
      </c>
      <c r="AW1108" s="6">
        <f>DATA[[#This Row],[FECHA DE EMISION]]</f>
        <v>45929</v>
      </c>
      <c r="AX1108" s="6">
        <f>DATA[[#This Row],[F1]]</f>
        <v>0</v>
      </c>
      <c r="AY1108" s="20">
        <f>IF(AV1108-DATA[[#This Row],[fecha_fs]]&lt;0,0,AV1108-DATA[[#This Row],[fecha_fs]])</f>
        <v>30</v>
      </c>
      <c r="AZ1108" s="20">
        <f>IF(AW1108-AV1108&lt;0,0,AW1108-AV1108)</f>
        <v>3</v>
      </c>
      <c r="BA1108" s="53">
        <f>IF(AX1108-AW1108&lt;0,0,AX1108-AW1108)</f>
        <v>0</v>
      </c>
      <c r="BB1108" s="305">
        <f>IFERROR(SUM(DATA[[#This Row],[fs_val_ttf]:[fact_pago_ttf]]),0)</f>
        <v>33</v>
      </c>
      <c r="BC1108" s="318">
        <v>45897</v>
      </c>
      <c r="BD1108" s="318">
        <v>45908</v>
      </c>
      <c r="BE1108" s="318">
        <v>45909</v>
      </c>
      <c r="BF1108" s="233">
        <v>45945</v>
      </c>
      <c r="BG1108" s="20">
        <f>IFERROR(IF(BC1108-DATA[[#This Row],[fecha_fs]]&lt;0,0,BC1108-DATA[[#This Row],[fecha_fs]]),0)</f>
        <v>1</v>
      </c>
      <c r="BH1108" s="20">
        <f t="shared" si="216"/>
        <v>11</v>
      </c>
      <c r="BI1108" s="20">
        <f t="shared" si="216"/>
        <v>1</v>
      </c>
      <c r="BJ1108" s="306">
        <f t="shared" si="216"/>
        <v>36</v>
      </c>
      <c r="BK1108" s="307">
        <f>IFERROR(SUM(DATA[[#This Row],[fs_fd_ttd]:[fend_fenf_ttd]]),0)</f>
        <v>49</v>
      </c>
      <c r="BL1108" s="20" t="str">
        <f>IF(DATA[[#This Row],[fecha_fs]]&gt;0,TEXT(DATA[[#This Row],[fecha_fs]],"YYYY"),0)</f>
        <v>2025</v>
      </c>
      <c r="BM1108" s="236" t="b">
        <v>1</v>
      </c>
      <c r="BN1108" s="278">
        <f>COUNTIF(DATA[[#This Row],[tiempo_td]], "&lt;=15")</f>
        <v>0</v>
      </c>
      <c r="BO1108" s="222"/>
    </row>
    <row r="1109" spans="1:67" ht="54.75" customHeight="1" x14ac:dyDescent="0.25">
      <c r="A1109" s="4">
        <v>20549457879</v>
      </c>
      <c r="B1109" s="5" t="s">
        <v>320</v>
      </c>
      <c r="C1109" s="52" t="s">
        <v>321</v>
      </c>
      <c r="D1109" s="4" t="s">
        <v>120</v>
      </c>
      <c r="E1109" s="5" t="s">
        <v>3</v>
      </c>
      <c r="F1109" s="24">
        <v>45896</v>
      </c>
      <c r="G1109" s="7" t="s">
        <v>113</v>
      </c>
      <c r="H1109" s="25">
        <f t="shared" si="213"/>
        <v>1</v>
      </c>
      <c r="I1109" s="67">
        <v>4916</v>
      </c>
      <c r="J1109" s="8" t="s">
        <v>115</v>
      </c>
      <c r="K1109" s="9" t="s">
        <v>121</v>
      </c>
      <c r="L1109" s="10" t="s">
        <v>117</v>
      </c>
      <c r="M1109" s="11">
        <v>450</v>
      </c>
      <c r="N1109" s="12" t="s">
        <v>200</v>
      </c>
      <c r="O1109" s="6">
        <v>45897</v>
      </c>
      <c r="P1109" s="13">
        <v>3639</v>
      </c>
      <c r="Q1109" s="14" t="s">
        <v>85</v>
      </c>
      <c r="R1109" s="15"/>
      <c r="S1109" s="237">
        <v>963</v>
      </c>
      <c r="T1109" s="237">
        <f>DATA[[#This Row],[C. DF]]+DATA[[#This Row],[C.OPE.]]</f>
        <v>963</v>
      </c>
      <c r="U1109" s="15">
        <f>DATA[[#This Row],[SUB TOTAL]]*0.18</f>
        <v>173.34</v>
      </c>
      <c r="V1109" s="15">
        <f>IFERROR(ROUND(DATA[[#This Row],[SUB TOTAL]]+DATA[[#This Row],[IGV]],2),0)</f>
        <v>1136.3399999999999</v>
      </c>
      <c r="W1109" s="16" t="str">
        <f>IF(DATA[[#This Row],[VALORIZACIÓN ]]="-","NO CORRESPONDE",IF(OR(A1109=20558226979,A1109=10470707866,A1109=20111157058,A1109=20100226902),"NO CORRESPONDE",IF(J1109="Emitida",IF(P1109&gt;0,"EMITIDA","PENDIENTE"),"NO CORRESPONDE")))</f>
        <v>EMITIDA</v>
      </c>
      <c r="X1109" s="29"/>
      <c r="Y1109" s="17" t="s">
        <v>118</v>
      </c>
      <c r="Z1109" s="30">
        <v>45901</v>
      </c>
      <c r="AA1109" s="10" t="s">
        <v>150</v>
      </c>
      <c r="AB1109" s="19">
        <v>232</v>
      </c>
      <c r="AC1109" s="20">
        <v>0</v>
      </c>
      <c r="AD1109" s="18">
        <f>DATA[[#This Row],[FECHA DE EMISION]]+DATA[[#This Row],[CONDICION DE PAGO]]</f>
        <v>45901</v>
      </c>
      <c r="AE1109" s="23">
        <f>IF(DATA[[#This Row],[MONEDA]]="USD",VLOOKUP(DATA[[#This Row],[COMBINADA]],#REF!,11,0),1)</f>
        <v>1</v>
      </c>
      <c r="AF1109" s="129" t="str">
        <f>IF(DATA[[#This Row],[SERIE2]]="-","NO CORRESPONDE",IF(W1109="NO CORRESPONDE","NO CORRESPONDE",IF(Z1109&gt;0,"FACTURADO","PENDIENTE")))</f>
        <v>FACTURADO</v>
      </c>
      <c r="AG1109" s="133">
        <f>IFERROR(VLOOKUP(DATA[[#This Row],[COMBINADA]],#REF!,6,0),0)</f>
        <v>0</v>
      </c>
      <c r="AH1109" s="125">
        <f>IFERROR(VLOOKUP(DATA[[#This Row],[COMBINADA]],#REF!,9,0),0)/COUNTIFS(DATA[COMBINADA],DATA[[#This Row],[COMBINADA]])</f>
        <v>0</v>
      </c>
      <c r="AI1109" s="136">
        <f>IFERROR(VLOOKUP(DATA[[#This Row],[COMBINADA]],#REF!,6,0),0)</f>
        <v>0</v>
      </c>
      <c r="AJ1109" s="132">
        <f>IFERROR(VLOOKUP(DATA[[#This Row],[COMBINADA]],#REF!,9,0),0)/COUNTIFS(DATA[COMBINADA],DATA[[#This Row],[COMBINADA]])</f>
        <v>0</v>
      </c>
      <c r="AK1109" s="407">
        <f>IFERROR(VLOOKUP(DATA[[#This Row],[COMBINADA]],#REF!,6,0),0)</f>
        <v>0</v>
      </c>
      <c r="AL1109" s="125">
        <f>IFERROR(VLOOKUP(DATA[[#This Row],[COMBINADA]],#REF!,9,0),0)/COUNTIFS(DATA[COMBINADA],DATA[[#This Row],[COMBINADA]])</f>
        <v>0</v>
      </c>
      <c r="AM1109" s="27">
        <f>IFERROR(VLOOKUP(DATA[[#This Row],[COMBINADA]],#REF!,6,0),0)</f>
        <v>0</v>
      </c>
      <c r="AN1109" s="125">
        <f>IFERROR(VLOOKUP(DATA[[#This Row],[COMBINADA]],#REF!,9,0),0)/COUNTIFS(DATA[COMBINADA],DATA[[#This Row],[COMBINADA]])</f>
        <v>0</v>
      </c>
      <c r="AO1109" s="27">
        <f>IFERROR(VLOOKUP(DATA[[#This Row],[COMBINADA]],#REF!,6,0),0)</f>
        <v>0</v>
      </c>
      <c r="AP1109" s="132">
        <f>IFERROR(VLOOKUP(DATA[[#This Row],[COMBINADA]],#REF!,9,0),0)/COUNTIFS(DATA[COMBINADA],DATA[[#This Row],[COMBINADA]])</f>
        <v>0</v>
      </c>
      <c r="AQ110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1136.3399999999999</v>
      </c>
      <c r="AR1109" s="26" t="str">
        <f>IFERROR(IF(DATA[[#This Row],[estado_fact]]="FACTURADO",VLOOKUP(DATA[[#This Row],[SERIE2]]&amp;"-"&amp;DATA[[#This Row],[NUMERO]],#REF!,34,0),"NO CORRESPONDE"),"NO CORRESPONDE")</f>
        <v>NO CORRESPONDE</v>
      </c>
      <c r="AS1109" s="22" t="str">
        <f>IF(DATA[[#This Row],[fecha_fs]]&gt;0,TEXT(DATA[[#This Row],[fecha_fs]],"Mmmm"),0)</f>
        <v>Agosto</v>
      </c>
      <c r="AT1109" s="22" t="str">
        <f>DATA[[#This Row],[SERIE2]]&amp;"-"&amp;DATA[[#This Row],[NUMERO]]</f>
        <v>FF01-232</v>
      </c>
      <c r="AU1109" s="28">
        <f>DATA[[#This Row],[TOTAL]]*DATA[[#This Row],[T.C.]]</f>
        <v>1136.3399999999999</v>
      </c>
      <c r="AV1109" s="6">
        <f>DATA[[#This Row],[FECHA DE VAL.]]</f>
        <v>45897</v>
      </c>
      <c r="AW1109" s="6">
        <f>DATA[[#This Row],[FECHA DE EMISION]]</f>
        <v>45901</v>
      </c>
      <c r="AX1109" s="6">
        <f>DATA[[#This Row],[F1]]</f>
        <v>0</v>
      </c>
      <c r="AY1109" s="20">
        <f>IF(AV1109-DATA[[#This Row],[fecha_fs]]&lt;0,0,AV1109-DATA[[#This Row],[fecha_fs]])</f>
        <v>1</v>
      </c>
      <c r="AZ1109" s="20">
        <f t="shared" si="214"/>
        <v>4</v>
      </c>
      <c r="BA1109" s="53">
        <f t="shared" si="215"/>
        <v>0</v>
      </c>
      <c r="BB1109" s="195">
        <f>IFERROR(SUM(DATA[[#This Row],[fs_val_ttf]:[fact_pago_ttf]]),0)</f>
        <v>5</v>
      </c>
      <c r="BC1109" s="233">
        <v>45903</v>
      </c>
      <c r="BD1109" s="233">
        <v>45905</v>
      </c>
      <c r="BE1109" s="233">
        <v>45908</v>
      </c>
      <c r="BF1109" s="233">
        <v>45908</v>
      </c>
      <c r="BG1109" s="20">
        <f>IFERROR(IF(BC1109-DATA[[#This Row],[fecha_fs]]&lt;0,0,BC1109-DATA[[#This Row],[fecha_fs]]),0)</f>
        <v>7</v>
      </c>
      <c r="BH1109" s="20">
        <f t="shared" si="216"/>
        <v>2</v>
      </c>
      <c r="BI1109" s="20">
        <f t="shared" si="216"/>
        <v>3</v>
      </c>
      <c r="BJ1109" s="20">
        <f t="shared" si="216"/>
        <v>0</v>
      </c>
      <c r="BK1109" s="282">
        <f>IFERROR(SUM(DATA[[#This Row],[fs_fd_ttd]:[fend_fenf_ttd]]),0)</f>
        <v>12</v>
      </c>
      <c r="BL1109" s="20" t="str">
        <f>IF(DATA[[#This Row],[fecha_fs]]&gt;0,TEXT(DATA[[#This Row],[fecha_fs]],"YYYY"),0)</f>
        <v>2025</v>
      </c>
      <c r="BM1109" s="236" t="b">
        <v>1</v>
      </c>
      <c r="BN1109" s="278">
        <f>COUNTIF(DATA[[#This Row],[tiempo_td]], "&lt;=15")</f>
        <v>1</v>
      </c>
      <c r="BO1109" s="222"/>
    </row>
    <row r="1110" spans="1:67" ht="30.6" customHeight="1" x14ac:dyDescent="0.25">
      <c r="A1110" s="4">
        <v>20100055237</v>
      </c>
      <c r="B1110" s="5" t="s">
        <v>21</v>
      </c>
      <c r="C1110" s="52" t="s">
        <v>138</v>
      </c>
      <c r="D1110" s="4" t="s">
        <v>139</v>
      </c>
      <c r="E1110" s="5" t="s">
        <v>23</v>
      </c>
      <c r="F1110" s="24">
        <v>45897</v>
      </c>
      <c r="G1110" s="7" t="s">
        <v>113</v>
      </c>
      <c r="H1110" s="25">
        <f t="shared" ref="H1110:H1111" si="217">IF(G1110="","",IF(G1110="LIM",2,1))</f>
        <v>1</v>
      </c>
      <c r="I1110" s="67">
        <v>4917</v>
      </c>
      <c r="J1110" s="8" t="s">
        <v>115</v>
      </c>
      <c r="K1110" s="9" t="s">
        <v>121</v>
      </c>
      <c r="L1110" s="10" t="s">
        <v>117</v>
      </c>
      <c r="M1110" s="11">
        <v>50</v>
      </c>
      <c r="N1110" s="12" t="s">
        <v>132</v>
      </c>
      <c r="O1110" s="6">
        <v>45898</v>
      </c>
      <c r="P1110" s="54">
        <v>3640</v>
      </c>
      <c r="Q1110" s="14" t="s">
        <v>85</v>
      </c>
      <c r="R1110" s="15"/>
      <c r="S1110" s="15">
        <v>297.92</v>
      </c>
      <c r="T1110" s="237">
        <f>DATA[[#This Row],[C. DF]]+DATA[[#This Row],[C.OPE.]]</f>
        <v>297.92</v>
      </c>
      <c r="U1110" s="15">
        <f>DATA[[#This Row],[SUB TOTAL]]*0.18</f>
        <v>53.625599999999999</v>
      </c>
      <c r="V1110" s="15">
        <f>IFERROR(ROUND(DATA[[#This Row],[SUB TOTAL]]+DATA[[#This Row],[IGV]],2),0)</f>
        <v>351.55</v>
      </c>
      <c r="W1110" s="16" t="str">
        <f>IF(DATA[[#This Row],[VALORIZACIÓN ]]="-","NO CORRESPONDE",IF(OR(A1110=20558226979,A1110=10470707866,A1110=20111157058,A1110=20100226902),"NO CORRESPONDE",IF(J1110="Emitida",IF(P1110&gt;0,"EMITIDA","PENDIENTE"),"NO CORRESPONDE")))</f>
        <v>EMITIDA</v>
      </c>
      <c r="X1110" s="29" t="s">
        <v>379</v>
      </c>
      <c r="Y1110" s="17" t="s">
        <v>118</v>
      </c>
      <c r="Z1110" s="30">
        <v>45971</v>
      </c>
      <c r="AA1110" s="10" t="s">
        <v>150</v>
      </c>
      <c r="AB1110" s="19">
        <v>350</v>
      </c>
      <c r="AC1110" s="20">
        <v>30</v>
      </c>
      <c r="AD1110" s="18">
        <f>DATA[[#This Row],[FECHA DE EMISION]]+DATA[[#This Row],[CONDICION DE PAGO]]</f>
        <v>46001</v>
      </c>
      <c r="AE1110" s="23">
        <f>IF(DATA[[#This Row],[MONEDA]]="USD",VLOOKUP(DATA[[#This Row],[COMBINADA]],#REF!,11,0),1)</f>
        <v>1</v>
      </c>
      <c r="AF1110" s="129" t="str">
        <f>IF(DATA[[#This Row],[SERIE2]]="-","NO CORRESPONDE",IF(W1110="NO CORRESPONDE","NO CORRESPONDE",IF(Z1110&gt;0,"FACTURADO","PENDIENTE")))</f>
        <v>FACTURADO</v>
      </c>
      <c r="AG1110" s="133">
        <f>IFERROR(VLOOKUP(DATA[[#This Row],[COMBINADA]],#REF!,6,0),0)</f>
        <v>0</v>
      </c>
      <c r="AH1110" s="125">
        <f>IFERROR(VLOOKUP(DATA[[#This Row],[COMBINADA]],#REF!,9,0),0)/COUNTIFS(DATA[COMBINADA],DATA[[#This Row],[COMBINADA]])</f>
        <v>0</v>
      </c>
      <c r="AI1110" s="136">
        <f>IFERROR(VLOOKUP(DATA[[#This Row],[COMBINADA]],#REF!,6,0),0)</f>
        <v>0</v>
      </c>
      <c r="AJ1110" s="132">
        <f>IFERROR(VLOOKUP(DATA[[#This Row],[COMBINADA]],#REF!,9,0),0)/COUNTIFS(DATA[COMBINADA],DATA[[#This Row],[COMBINADA]])</f>
        <v>0</v>
      </c>
      <c r="AK1110" s="407">
        <f>IFERROR(VLOOKUP(DATA[[#This Row],[COMBINADA]],#REF!,6,0),0)</f>
        <v>0</v>
      </c>
      <c r="AL1110" s="125">
        <f>IFERROR(VLOOKUP(DATA[[#This Row],[COMBINADA]],#REF!,9,0),0)/COUNTIFS(DATA[COMBINADA],DATA[[#This Row],[COMBINADA]])</f>
        <v>0</v>
      </c>
      <c r="AM1110" s="27">
        <f>IFERROR(VLOOKUP(DATA[[#This Row],[COMBINADA]],#REF!,6,0),0)</f>
        <v>0</v>
      </c>
      <c r="AN1110" s="125">
        <f>IFERROR(VLOOKUP(DATA[[#This Row],[COMBINADA]],#REF!,9,0),0)/COUNTIFS(DATA[COMBINADA],DATA[[#This Row],[COMBINADA]])</f>
        <v>0</v>
      </c>
      <c r="AO1110" s="27">
        <f>IFERROR(VLOOKUP(DATA[[#This Row],[COMBINADA]],#REF!,6,0),0)</f>
        <v>0</v>
      </c>
      <c r="AP1110" s="132">
        <f>IFERROR(VLOOKUP(DATA[[#This Row],[COMBINADA]],#REF!,9,0),0)/COUNTIFS(DATA[COMBINADA],DATA[[#This Row],[COMBINADA]])</f>
        <v>0</v>
      </c>
      <c r="AQ111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110" s="26" t="str">
        <f>IFERROR(IF(DATA[[#This Row],[estado_fact]]="FACTURADO",VLOOKUP(DATA[[#This Row],[SERIE2]]&amp;"-"&amp;DATA[[#This Row],[NUMERO]],#REF!,34,0),"NO CORRESPONDE"),"NO CORRESPONDE")</f>
        <v>NO CORRESPONDE</v>
      </c>
      <c r="AS1110" s="22" t="str">
        <f>IF(DATA[[#This Row],[fecha_fs]]&gt;0,TEXT(DATA[[#This Row],[fecha_fs]],"Mmmm"),0)</f>
        <v>Agosto</v>
      </c>
      <c r="AT1110" s="22" t="str">
        <f>DATA[[#This Row],[SERIE2]]&amp;"-"&amp;DATA[[#This Row],[NUMERO]]</f>
        <v>FF01-350</v>
      </c>
      <c r="AU1110" s="28">
        <f>DATA[[#This Row],[TOTAL]]*DATA[[#This Row],[T.C.]]</f>
        <v>351.55</v>
      </c>
      <c r="AV1110" s="6">
        <f>DATA[[#This Row],[FECHA DE VAL.]]</f>
        <v>45898</v>
      </c>
      <c r="AW1110" s="6">
        <f>DATA[[#This Row],[FECHA DE EMISION]]</f>
        <v>45971</v>
      </c>
      <c r="AX1110" s="6">
        <f>DATA[[#This Row],[F1]]</f>
        <v>0</v>
      </c>
      <c r="AY1110" s="20">
        <f>IF(AV1110-DATA[[#This Row],[fecha_fs]]&lt;0,0,AV1110-DATA[[#This Row],[fecha_fs]])</f>
        <v>1</v>
      </c>
      <c r="AZ1110" s="20">
        <f t="shared" ref="AZ1110:AZ1111" si="218">IF(AW1110-AV1110&lt;0,0,AW1110-AV1110)</f>
        <v>73</v>
      </c>
      <c r="BA1110" s="53">
        <f t="shared" ref="BA1110:BA1111" si="219">IF(AX1110-AW1110&lt;0,0,AX1110-AW1110)</f>
        <v>0</v>
      </c>
      <c r="BB1110" s="195">
        <f>IFERROR(SUM(DATA[[#This Row],[fs_val_ttf]:[fact_pago_ttf]]),0)</f>
        <v>74</v>
      </c>
      <c r="BC1110" s="233">
        <v>45897</v>
      </c>
      <c r="BD1110" s="233">
        <v>45897</v>
      </c>
      <c r="BE1110" s="233">
        <v>45898</v>
      </c>
      <c r="BF1110" s="233">
        <v>45898</v>
      </c>
      <c r="BG1110" s="20">
        <f>IFERROR(IF(BC1110-DATA[[#This Row],[fecha_fs]]&lt;0,0,BC1110-DATA[[#This Row],[fecha_fs]]),0)</f>
        <v>0</v>
      </c>
      <c r="BH1110" s="20">
        <f t="shared" si="216"/>
        <v>0</v>
      </c>
      <c r="BI1110" s="20">
        <f t="shared" si="216"/>
        <v>1</v>
      </c>
      <c r="BJ1110" s="20">
        <f t="shared" si="216"/>
        <v>0</v>
      </c>
      <c r="BK1110" s="282">
        <f>IFERROR(SUM(DATA[[#This Row],[fs_fd_ttd]:[fend_fenf_ttd]]),0)</f>
        <v>1</v>
      </c>
      <c r="BL1110" s="20" t="str">
        <f>IF(DATA[[#This Row],[fecha_fs]]&gt;0,TEXT(DATA[[#This Row],[fecha_fs]],"YYYY"),0)</f>
        <v>2025</v>
      </c>
      <c r="BM1110" s="236" t="b">
        <v>1</v>
      </c>
      <c r="BN1110" s="278">
        <f>COUNTIF(DATA[[#This Row],[tiempo_td]], "&lt;=15")</f>
        <v>1</v>
      </c>
      <c r="BO1110" s="222"/>
    </row>
    <row r="1111" spans="1:67" ht="30.6" customHeight="1" x14ac:dyDescent="0.25">
      <c r="A1111" s="4">
        <v>20100192064</v>
      </c>
      <c r="B1111" s="5" t="s">
        <v>60</v>
      </c>
      <c r="C1111" s="52" t="s">
        <v>43</v>
      </c>
      <c r="D1111" s="4" t="s">
        <v>120</v>
      </c>
      <c r="E1111" s="5" t="s">
        <v>3</v>
      </c>
      <c r="F1111" s="24">
        <v>45896</v>
      </c>
      <c r="G1111" s="7" t="s">
        <v>113</v>
      </c>
      <c r="H1111" s="25">
        <f t="shared" si="217"/>
        <v>1</v>
      </c>
      <c r="I1111" s="67">
        <v>4918</v>
      </c>
      <c r="J1111" s="8" t="s">
        <v>115</v>
      </c>
      <c r="K1111" s="9" t="s">
        <v>121</v>
      </c>
      <c r="L1111" s="10" t="s">
        <v>117</v>
      </c>
      <c r="M1111" s="11">
        <v>560</v>
      </c>
      <c r="N1111" s="12" t="s">
        <v>132</v>
      </c>
      <c r="O1111" s="6">
        <v>45926</v>
      </c>
      <c r="P1111" s="71">
        <v>3688</v>
      </c>
      <c r="Q1111" s="14" t="s">
        <v>123</v>
      </c>
      <c r="R1111" s="15">
        <f>(DATA[[#This Row],[cantidad_fs]]/1000)*(47+174.34)</f>
        <v>123.95040000000002</v>
      </c>
      <c r="S1111" s="237">
        <v>137</v>
      </c>
      <c r="T1111" s="237">
        <f>DATA[[#This Row],[C. DF]]+DATA[[#This Row],[C.OPE.]]</f>
        <v>260.9504</v>
      </c>
      <c r="U1111" s="15">
        <f>DATA[[#This Row],[SUB TOTAL]]*0.18</f>
        <v>46.971071999999999</v>
      </c>
      <c r="V1111" s="15">
        <f>IFERROR(ROUND(DATA[[#This Row],[SUB TOTAL]]+DATA[[#This Row],[IGV]],2),0)</f>
        <v>307.92</v>
      </c>
      <c r="W1111" s="16" t="str">
        <f>IF(DATA[[#This Row],[VALORIZACIÓN ]]="-","NO CORRESPONDE",IF(OR(A1111=20558226979,A1111=10470707866,A1111=20111157058,A1111=20100226902),"NO CORRESPONDE",IF(J1111="Emitida",IF(P1111&gt;0,"EMITIDA","PENDIENTE"),"NO CORRESPONDE")))</f>
        <v>EMITIDA</v>
      </c>
      <c r="X1111" s="29"/>
      <c r="Y1111" s="17" t="s">
        <v>118</v>
      </c>
      <c r="Z1111" s="30">
        <v>45930</v>
      </c>
      <c r="AA1111" s="10" t="s">
        <v>349</v>
      </c>
      <c r="AB1111" s="19">
        <v>3</v>
      </c>
      <c r="AC1111" s="20">
        <v>30</v>
      </c>
      <c r="AD1111" s="18">
        <f>DATA[[#This Row],[FECHA DE EMISION]]+DATA[[#This Row],[CONDICION DE PAGO]]</f>
        <v>45960</v>
      </c>
      <c r="AE1111" s="23" t="e">
        <f>IF(DATA[[#This Row],[MONEDA]]="USD",VLOOKUP(DATA[[#This Row],[COMBINADA]],#REF!,11,0),1)</f>
        <v>#REF!</v>
      </c>
      <c r="AF1111" s="129" t="str">
        <f>IF(DATA[[#This Row],[SERIE2]]="-","NO CORRESPONDE",IF(W1111="NO CORRESPONDE","NO CORRESPONDE",IF(Z1111&gt;0,"FACTURADO","PENDIENTE")))</f>
        <v>FACTURADO</v>
      </c>
      <c r="AG1111" s="133">
        <f>IFERROR(VLOOKUP(DATA[[#This Row],[COMBINADA]],#REF!,6,0),0)</f>
        <v>0</v>
      </c>
      <c r="AH1111" s="125">
        <f>IFERROR(VLOOKUP(DATA[[#This Row],[COMBINADA]],#REF!,9,0),0)/COUNTIFS(DATA[COMBINADA],DATA[[#This Row],[COMBINADA]])</f>
        <v>0</v>
      </c>
      <c r="AI1111" s="136">
        <f>IFERROR(VLOOKUP(DATA[[#This Row],[COMBINADA]],#REF!,6,0),0)</f>
        <v>0</v>
      </c>
      <c r="AJ1111" s="132">
        <f>IFERROR(VLOOKUP(DATA[[#This Row],[COMBINADA]],#REF!,9,0),0)/COUNTIFS(DATA[COMBINADA],DATA[[#This Row],[COMBINADA]])</f>
        <v>0</v>
      </c>
      <c r="AK1111" s="407">
        <f>IFERROR(VLOOKUP(DATA[[#This Row],[COMBINADA]],#REF!,6,0),0)</f>
        <v>0</v>
      </c>
      <c r="AL1111" s="125">
        <f>IFERROR(VLOOKUP(DATA[[#This Row],[COMBINADA]],#REF!,9,0),0)/COUNTIFS(DATA[COMBINADA],DATA[[#This Row],[COMBINADA]])</f>
        <v>0</v>
      </c>
      <c r="AM1111" s="27">
        <f>IFERROR(VLOOKUP(DATA[[#This Row],[COMBINADA]],#REF!,6,0),0)</f>
        <v>0</v>
      </c>
      <c r="AN1111" s="125">
        <f>IFERROR(VLOOKUP(DATA[[#This Row],[COMBINADA]],#REF!,9,0),0)/COUNTIFS(DATA[COMBINADA],DATA[[#This Row],[COMBINADA]])</f>
        <v>0</v>
      </c>
      <c r="AO1111" s="27">
        <f>IFERROR(VLOOKUP(DATA[[#This Row],[COMBINADA]],#REF!,6,0),0)</f>
        <v>0</v>
      </c>
      <c r="AP1111" s="132">
        <f>IFERROR(VLOOKUP(DATA[[#This Row],[COMBINADA]],#REF!,9,0),0)/COUNTIFS(DATA[COMBINADA],DATA[[#This Row],[COMBINADA]])</f>
        <v>0</v>
      </c>
      <c r="AQ111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542.36833333333334</v>
      </c>
      <c r="AR1111" s="26" t="str">
        <f>IFERROR(IF(DATA[[#This Row],[estado_fact]]="FACTURADO",VLOOKUP(DATA[[#This Row],[SERIE2]]&amp;"-"&amp;DATA[[#This Row],[NUMERO]],#REF!,34,0),"NO CORRESPONDE"),"NO CORRESPONDE")</f>
        <v>NO CORRESPONDE</v>
      </c>
      <c r="AS1111" s="22" t="str">
        <f>IF(DATA[[#This Row],[fecha_fs]]&gt;0,TEXT(DATA[[#This Row],[fecha_fs]],"Mmmm"),0)</f>
        <v>Agosto</v>
      </c>
      <c r="AT1111" s="22" t="str">
        <f>DATA[[#This Row],[SERIE2]]&amp;"-"&amp;DATA[[#This Row],[NUMERO]]</f>
        <v>FF04-3</v>
      </c>
      <c r="AU1111" s="28" t="e">
        <f>DATA[[#This Row],[TOTAL]]*DATA[[#This Row],[T.C.]]</f>
        <v>#REF!</v>
      </c>
      <c r="AV1111" s="6">
        <f>DATA[[#This Row],[FECHA DE VAL.]]</f>
        <v>45926</v>
      </c>
      <c r="AW1111" s="6">
        <f>DATA[[#This Row],[FECHA DE EMISION]]</f>
        <v>45930</v>
      </c>
      <c r="AX1111" s="6">
        <f>DATA[[#This Row],[F1]]</f>
        <v>0</v>
      </c>
      <c r="AY1111" s="20">
        <f>IF(AV1111-DATA[[#This Row],[fecha_fs]]&lt;0,0,AV1111-DATA[[#This Row],[fecha_fs]])</f>
        <v>30</v>
      </c>
      <c r="AZ1111" s="20">
        <f t="shared" si="218"/>
        <v>4</v>
      </c>
      <c r="BA1111" s="53">
        <f t="shared" si="219"/>
        <v>0</v>
      </c>
      <c r="BB1111" s="195">
        <f>IFERROR(SUM(DATA[[#This Row],[fs_val_ttf]:[fact_pago_ttf]]),0)</f>
        <v>34</v>
      </c>
      <c r="BC1111" s="233">
        <v>45909</v>
      </c>
      <c r="BD1111" s="233">
        <v>45933</v>
      </c>
      <c r="BE1111" s="233">
        <v>45933</v>
      </c>
      <c r="BF1111" s="233">
        <v>45945</v>
      </c>
      <c r="BG1111" s="20">
        <f>IFERROR(IF(BC1111-DATA[[#This Row],[fecha_fs]]&lt;0,0,BC1111-DATA[[#This Row],[fecha_fs]]),0)</f>
        <v>13</v>
      </c>
      <c r="BH1111" s="20">
        <f t="shared" si="216"/>
        <v>24</v>
      </c>
      <c r="BI1111" s="20">
        <f t="shared" si="216"/>
        <v>0</v>
      </c>
      <c r="BJ1111" s="20">
        <f t="shared" si="216"/>
        <v>12</v>
      </c>
      <c r="BK1111" s="282">
        <f>IFERROR(SUM(DATA[[#This Row],[fs_fd_ttd]:[fend_fenf_ttd]]),0)</f>
        <v>49</v>
      </c>
      <c r="BL1111" s="20" t="str">
        <f>IF(DATA[[#This Row],[fecha_fs]]&gt;0,TEXT(DATA[[#This Row],[fecha_fs]],"YYYY"),0)</f>
        <v>2025</v>
      </c>
      <c r="BM1111" s="236" t="b">
        <v>1</v>
      </c>
      <c r="BN1111" s="278">
        <f>COUNTIF(DATA[[#This Row],[tiempo_td]], "&lt;=15")</f>
        <v>0</v>
      </c>
      <c r="BO1111" s="222"/>
    </row>
    <row r="1112" spans="1:67" ht="30.6" customHeight="1" x14ac:dyDescent="0.25">
      <c r="A1112" s="4">
        <v>20100055237</v>
      </c>
      <c r="B1112" s="5" t="s">
        <v>21</v>
      </c>
      <c r="C1112" s="52" t="s">
        <v>323</v>
      </c>
      <c r="D1112" s="4" t="s">
        <v>139</v>
      </c>
      <c r="E1112" s="5" t="s">
        <v>23</v>
      </c>
      <c r="F1112" s="24">
        <v>45897</v>
      </c>
      <c r="G1112" s="7" t="s">
        <v>113</v>
      </c>
      <c r="H1112" s="25">
        <f t="shared" si="198"/>
        <v>1</v>
      </c>
      <c r="I1112" s="67">
        <v>4919</v>
      </c>
      <c r="J1112" s="8" t="s">
        <v>115</v>
      </c>
      <c r="K1112" s="9" t="s">
        <v>121</v>
      </c>
      <c r="L1112" s="10" t="s">
        <v>117</v>
      </c>
      <c r="M1112" s="11">
        <v>460</v>
      </c>
      <c r="N1112" s="12" t="s">
        <v>132</v>
      </c>
      <c r="O1112" s="6">
        <v>45898</v>
      </c>
      <c r="P1112" s="54">
        <v>3645</v>
      </c>
      <c r="Q1112" s="14" t="s">
        <v>85</v>
      </c>
      <c r="R1112" s="15">
        <f>DATA[[#This Row],[cantidad_fs]]*0.08</f>
        <v>36.800000000000004</v>
      </c>
      <c r="S1112" s="15">
        <f>1163.9/2</f>
        <v>581.95000000000005</v>
      </c>
      <c r="T1112" s="237">
        <f>DATA[[#This Row],[C. DF]]+DATA[[#This Row],[C.OPE.]]</f>
        <v>618.75</v>
      </c>
      <c r="U1112" s="15">
        <f>DATA[[#This Row],[SUB TOTAL]]*0.18</f>
        <v>111.375</v>
      </c>
      <c r="V1112" s="15">
        <f>IFERROR(ROUND(DATA[[#This Row],[SUB TOTAL]]+DATA[[#This Row],[IGV]],2),0)</f>
        <v>730.13</v>
      </c>
      <c r="W1112" s="16" t="str">
        <f>IF(DATA[[#This Row],[VALORIZACIÓN ]]="-","NO CORRESPONDE",IF(OR(A1112=20558226979,A1112=10470707866,A1112=20111157058,A1112=20100226902),"NO CORRESPONDE",IF(J1112="Emitida",IF(P1112&gt;0,"EMITIDA","PENDIENTE"),"NO CORRESPONDE")))</f>
        <v>EMITIDA</v>
      </c>
      <c r="X1112" s="29"/>
      <c r="Y1112" s="17" t="s">
        <v>118</v>
      </c>
      <c r="Z1112" s="30">
        <v>45936</v>
      </c>
      <c r="AA1112" s="10" t="s">
        <v>150</v>
      </c>
      <c r="AB1112" s="19">
        <v>283</v>
      </c>
      <c r="AC1112" s="20">
        <v>30</v>
      </c>
      <c r="AD1112" s="18">
        <f>DATA[[#This Row],[FECHA DE EMISION]]+DATA[[#This Row],[CONDICION DE PAGO]]</f>
        <v>45966</v>
      </c>
      <c r="AE1112" s="23">
        <f>IF(DATA[[#This Row],[MONEDA]]="USD",VLOOKUP(DATA[[#This Row],[COMBINADA]],#REF!,11,0),1)</f>
        <v>1</v>
      </c>
      <c r="AF1112" s="129" t="str">
        <f>IF(DATA[[#This Row],[SERIE2]]="-","NO CORRESPONDE",IF(W1112="NO CORRESPONDE","NO CORRESPONDE",IF(Z1112&gt;0,"FACTURADO","PENDIENTE")))</f>
        <v>FACTURADO</v>
      </c>
      <c r="AG1112" s="133">
        <f>IFERROR(VLOOKUP(DATA[[#This Row],[COMBINADA]],#REF!,6,0),0)</f>
        <v>0</v>
      </c>
      <c r="AH1112" s="125">
        <f>IFERROR(VLOOKUP(DATA[[#This Row],[COMBINADA]],#REF!,9,0),0)/COUNTIFS(DATA[COMBINADA],DATA[[#This Row],[COMBINADA]])</f>
        <v>0</v>
      </c>
      <c r="AI1112" s="136">
        <f>IFERROR(VLOOKUP(DATA[[#This Row],[COMBINADA]],#REF!,6,0),0)</f>
        <v>0</v>
      </c>
      <c r="AJ1112" s="132">
        <f>IFERROR(VLOOKUP(DATA[[#This Row],[COMBINADA]],#REF!,9,0),0)/COUNTIFS(DATA[COMBINADA],DATA[[#This Row],[COMBINADA]])</f>
        <v>0</v>
      </c>
      <c r="AK1112" s="408">
        <f>IFERROR(VLOOKUP(DATA[[#This Row],[COMBINADA]],#REF!,6,0),0)</f>
        <v>0</v>
      </c>
      <c r="AL1112" s="125">
        <f>IFERROR(VLOOKUP(DATA[[#This Row],[COMBINADA]],#REF!,9,0),0)/COUNTIFS(DATA[COMBINADA],DATA[[#This Row],[COMBINADA]])</f>
        <v>0</v>
      </c>
      <c r="AM1112" s="27">
        <f>IFERROR(VLOOKUP(DATA[[#This Row],[COMBINADA]],#REF!,6,0),0)</f>
        <v>0</v>
      </c>
      <c r="AN1112" s="125">
        <f>IFERROR(VLOOKUP(DATA[[#This Row],[COMBINADA]],#REF!,9,0),0)/COUNTIFS(DATA[COMBINADA],DATA[[#This Row],[COMBINADA]])</f>
        <v>0</v>
      </c>
      <c r="AO1112" s="27">
        <f>IFERROR(VLOOKUP(DATA[[#This Row],[COMBINADA]],#REF!,6,0),0)</f>
        <v>0</v>
      </c>
      <c r="AP1112" s="132">
        <f>IFERROR(VLOOKUP(DATA[[#This Row],[COMBINADA]],#REF!,9,0),0)/COUNTIFS(DATA[COMBINADA],DATA[[#This Row],[COMBINADA]])</f>
        <v>0</v>
      </c>
      <c r="AQ111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780.63</v>
      </c>
      <c r="AR1112" s="26" t="str">
        <f>IFERROR(IF(DATA[[#This Row],[estado_fact]]="FACTURADO",VLOOKUP(DATA[[#This Row],[SERIE2]]&amp;"-"&amp;DATA[[#This Row],[NUMERO]],#REF!,34,0),"NO CORRESPONDE"),"NO CORRESPONDE")</f>
        <v>NO CORRESPONDE</v>
      </c>
      <c r="AS1112" s="22" t="str">
        <f>IF(DATA[[#This Row],[fecha_fs]]&gt;0,TEXT(DATA[[#This Row],[fecha_fs]],"Mmmm"),0)</f>
        <v>Agosto</v>
      </c>
      <c r="AT1112" s="22" t="str">
        <f>DATA[[#This Row],[SERIE2]]&amp;"-"&amp;DATA[[#This Row],[NUMERO]]</f>
        <v>FF01-283</v>
      </c>
      <c r="AU1112" s="28">
        <f>DATA[[#This Row],[TOTAL]]*DATA[[#This Row],[T.C.]]</f>
        <v>730.13</v>
      </c>
      <c r="AV1112" s="6">
        <f>DATA[[#This Row],[FECHA DE VAL.]]</f>
        <v>45898</v>
      </c>
      <c r="AW1112" s="6">
        <f>DATA[[#This Row],[FECHA DE EMISION]]</f>
        <v>45936</v>
      </c>
      <c r="AX1112" s="6">
        <f>DATA[[#This Row],[F1]]</f>
        <v>0</v>
      </c>
      <c r="AY1112" s="20">
        <f>IF(AV1112-DATA[[#This Row],[fecha_fs]]&lt;0,0,AV1112-DATA[[#This Row],[fecha_fs]])</f>
        <v>1</v>
      </c>
      <c r="AZ1112" s="20">
        <f t="shared" si="199"/>
        <v>38</v>
      </c>
      <c r="BA1112" s="53">
        <f t="shared" si="200"/>
        <v>0</v>
      </c>
      <c r="BB1112" s="195">
        <f>IFERROR(SUM(DATA[[#This Row],[fs_val_ttf]:[fact_pago_ttf]]),0)</f>
        <v>39</v>
      </c>
      <c r="BC1112" s="185">
        <v>45904</v>
      </c>
      <c r="BD1112" s="233">
        <v>45905</v>
      </c>
      <c r="BE1112" s="233">
        <v>45912</v>
      </c>
      <c r="BF1112" s="233">
        <v>45925</v>
      </c>
      <c r="BG1112" s="20">
        <f>IFERROR(IF(BC1112-DATA[[#This Row],[fecha_fs]]&lt;0,0,BC1112-DATA[[#This Row],[fecha_fs]]),0)</f>
        <v>7</v>
      </c>
      <c r="BH1112" s="20">
        <f t="shared" si="216"/>
        <v>1</v>
      </c>
      <c r="BI1112" s="20">
        <f t="shared" si="216"/>
        <v>7</v>
      </c>
      <c r="BJ1112" s="20">
        <f t="shared" si="216"/>
        <v>13</v>
      </c>
      <c r="BK1112" s="282">
        <f>IFERROR(SUM(DATA[[#This Row],[fs_fd_ttd]:[fend_fenf_ttd]]),0)</f>
        <v>28</v>
      </c>
      <c r="BL1112" s="20" t="str">
        <f>IF(DATA[[#This Row],[fecha_fs]]&gt;0,TEXT(DATA[[#This Row],[fecha_fs]],"YYYY"),0)</f>
        <v>2025</v>
      </c>
      <c r="BM1112" s="236" t="b">
        <v>0</v>
      </c>
      <c r="BN1112" s="278">
        <f>COUNTIF(DATA[[#This Row],[tiempo_td]], "&lt;=15")</f>
        <v>0</v>
      </c>
      <c r="BO1112" s="222"/>
    </row>
    <row r="1113" spans="1:67" ht="30.6" customHeight="1" x14ac:dyDescent="0.25">
      <c r="A1113" s="4">
        <v>20100192064</v>
      </c>
      <c r="B1113" s="5" t="s">
        <v>60</v>
      </c>
      <c r="C1113" s="52" t="s">
        <v>43</v>
      </c>
      <c r="D1113" s="4" t="s">
        <v>183</v>
      </c>
      <c r="E1113" s="5" t="s">
        <v>61</v>
      </c>
      <c r="F1113" s="24">
        <v>45894</v>
      </c>
      <c r="G1113" s="7" t="s">
        <v>113</v>
      </c>
      <c r="H1113" s="25">
        <f t="shared" si="198"/>
        <v>1</v>
      </c>
      <c r="I1113" s="67">
        <v>4920</v>
      </c>
      <c r="J1113" s="8" t="s">
        <v>115</v>
      </c>
      <c r="K1113" s="9" t="s">
        <v>184</v>
      </c>
      <c r="L1113" s="10" t="s">
        <v>117</v>
      </c>
      <c r="M1113" s="11">
        <v>32400</v>
      </c>
      <c r="N1113" s="12" t="s">
        <v>114</v>
      </c>
      <c r="O1113" s="6">
        <v>45894</v>
      </c>
      <c r="P1113" s="71">
        <v>3612</v>
      </c>
      <c r="Q1113" s="14" t="s">
        <v>123</v>
      </c>
      <c r="R1113" s="74"/>
      <c r="S1113" s="15">
        <f>(DATA[[#This Row],[cantidad_fs]]/1000)*22</f>
        <v>712.8</v>
      </c>
      <c r="T1113" s="237">
        <f>DATA[[#This Row],[C. DF]]+DATA[[#This Row],[C.OPE.]]</f>
        <v>712.8</v>
      </c>
      <c r="U1113" s="15">
        <f>DATA[[#This Row],[SUB TOTAL]]*0.18</f>
        <v>128.30399999999997</v>
      </c>
      <c r="V1113" s="15">
        <f>IFERROR(ROUND(DATA[[#This Row],[SUB TOTAL]]+DATA[[#This Row],[IGV]],2),0)</f>
        <v>841.1</v>
      </c>
      <c r="W1113" s="16" t="str">
        <f>IF(DATA[[#This Row],[VALORIZACIÓN ]]="-","NO CORRESPONDE",IF(OR(A1113=20558226979,A1113=10470707866,A1113=20111157058,A1113=20100226902),"NO CORRESPONDE",IF(J1113="Emitida",IF(P1113&gt;0,"EMITIDA","PENDIENTE"),"NO CORRESPONDE")))</f>
        <v>EMITIDA</v>
      </c>
      <c r="X1113" s="29" t="s">
        <v>322</v>
      </c>
      <c r="Y1113" s="17" t="s">
        <v>118</v>
      </c>
      <c r="Z1113" s="277">
        <v>45898</v>
      </c>
      <c r="AA1113" s="20" t="s">
        <v>150</v>
      </c>
      <c r="AB1113" s="19">
        <v>229</v>
      </c>
      <c r="AC1113" s="20">
        <v>30</v>
      </c>
      <c r="AD1113" s="18">
        <f>DATA[[#This Row],[FECHA DE EMISION]]+DATA[[#This Row],[CONDICION DE PAGO]]</f>
        <v>45928</v>
      </c>
      <c r="AE1113" s="23" t="e">
        <f>IF(DATA[[#This Row],[MONEDA]]="USD",VLOOKUP(DATA[[#This Row],[COMBINADA]],#REF!,11,0),1)</f>
        <v>#REF!</v>
      </c>
      <c r="AF1113" s="129" t="str">
        <f>IF(DATA[[#This Row],[SERIE2]]="-","NO CORRESPONDE",IF(W1113="NO CORRESPONDE","NO CORRESPONDE",IF(Z1113&gt;0,"FACTURADO","PENDIENTE")))</f>
        <v>FACTURADO</v>
      </c>
      <c r="AG1113" s="133">
        <f>IFERROR(VLOOKUP(DATA[[#This Row],[COMBINADA]],#REF!,6,0),0)</f>
        <v>0</v>
      </c>
      <c r="AH1113" s="125">
        <f>IFERROR(VLOOKUP(DATA[[#This Row],[COMBINADA]],#REF!,9,0),0)/COUNTIFS(DATA[COMBINADA],DATA[[#This Row],[COMBINADA]])</f>
        <v>0</v>
      </c>
      <c r="AI1113" s="136">
        <f>IFERROR(VLOOKUP(DATA[[#This Row],[COMBINADA]],#REF!,6,0),0)</f>
        <v>0</v>
      </c>
      <c r="AJ1113" s="132">
        <f>IFERROR(VLOOKUP(DATA[[#This Row],[COMBINADA]],#REF!,9,0),0)/COUNTIFS(DATA[COMBINADA],DATA[[#This Row],[COMBINADA]])</f>
        <v>0</v>
      </c>
      <c r="AK1113" s="408">
        <f>IFERROR(VLOOKUP(DATA[[#This Row],[COMBINADA]],#REF!,6,0),0)</f>
        <v>0</v>
      </c>
      <c r="AL1113" s="125">
        <f>IFERROR(VLOOKUP(DATA[[#This Row],[COMBINADA]],#REF!,9,0),0)/COUNTIFS(DATA[COMBINADA],DATA[[#This Row],[COMBINADA]])</f>
        <v>0</v>
      </c>
      <c r="AM1113" s="27">
        <f>IFERROR(VLOOKUP(DATA[[#This Row],[COMBINADA]],#REF!,6,0),0)</f>
        <v>0</v>
      </c>
      <c r="AN1113" s="125">
        <f>IFERROR(VLOOKUP(DATA[[#This Row],[COMBINADA]],#REF!,9,0),0)/COUNTIFS(DATA[COMBINADA],DATA[[#This Row],[COMBINADA]])</f>
        <v>0</v>
      </c>
      <c r="AO1113" s="27">
        <f>IFERROR(VLOOKUP(DATA[[#This Row],[COMBINADA]],#REF!,6,0),0)</f>
        <v>0</v>
      </c>
      <c r="AP1113" s="132">
        <f>IFERROR(VLOOKUP(DATA[[#This Row],[COMBINADA]],#REF!,9,0),0)/COUNTIFS(DATA[COMBINADA],DATA[[#This Row],[COMBINADA]])</f>
        <v>0</v>
      </c>
      <c r="AQ111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587.06100000000004</v>
      </c>
      <c r="AR1113" s="26" t="str">
        <f>IFERROR(IF(DATA[[#This Row],[estado_fact]]="FACTURADO",VLOOKUP(DATA[[#This Row],[SERIE2]]&amp;"-"&amp;DATA[[#This Row],[NUMERO]],#REF!,34,0),"NO CORRESPONDE"),"NO CORRESPONDE")</f>
        <v>NO CORRESPONDE</v>
      </c>
      <c r="AS1113" s="22" t="str">
        <f>IF(DATA[[#This Row],[fecha_fs]]&gt;0,TEXT(DATA[[#This Row],[fecha_fs]],"Mmmm"),0)</f>
        <v>Agosto</v>
      </c>
      <c r="AT1113" s="22" t="str">
        <f>DATA[[#This Row],[SERIE2]]&amp;"-"&amp;DATA[[#This Row],[NUMERO]]</f>
        <v>FF01-229</v>
      </c>
      <c r="AU1113" s="28" t="e">
        <f>DATA[[#This Row],[TOTAL]]*DATA[[#This Row],[T.C.]]</f>
        <v>#REF!</v>
      </c>
      <c r="AV1113" s="6">
        <f>DATA[[#This Row],[FECHA DE VAL.]]</f>
        <v>45894</v>
      </c>
      <c r="AW1113" s="6">
        <f>DATA[[#This Row],[FECHA DE EMISION]]</f>
        <v>45898</v>
      </c>
      <c r="AX1113" s="6">
        <f>DATA[[#This Row],[F1]]</f>
        <v>0</v>
      </c>
      <c r="AY1113" s="20">
        <f>IF(AV1113-DATA[[#This Row],[fecha_fs]]&lt;0,0,AV1113-DATA[[#This Row],[fecha_fs]])</f>
        <v>0</v>
      </c>
      <c r="AZ1113" s="20">
        <f t="shared" si="199"/>
        <v>4</v>
      </c>
      <c r="BA1113" s="53">
        <f t="shared" si="200"/>
        <v>0</v>
      </c>
      <c r="BB1113" s="195">
        <f>IFERROR(SUM(DATA[[#This Row],[fs_val_ttf]:[fact_pago_ttf]]),0)</f>
        <v>4</v>
      </c>
      <c r="BC1113" s="185" t="s">
        <v>292</v>
      </c>
      <c r="BD1113" s="185" t="s">
        <v>292</v>
      </c>
      <c r="BE1113" s="185" t="s">
        <v>292</v>
      </c>
      <c r="BF1113" s="185" t="s">
        <v>292</v>
      </c>
      <c r="BG1113" s="20">
        <f>IFERROR(IF(BC1113-DATA[[#This Row],[fecha_fs]]&lt;0,0,BC1113-DATA[[#This Row],[fecha_fs]]),0)</f>
        <v>0</v>
      </c>
      <c r="BH1113" s="20">
        <f t="shared" si="201"/>
        <v>0</v>
      </c>
      <c r="BI1113" s="20">
        <f t="shared" si="202"/>
        <v>0</v>
      </c>
      <c r="BJ1113" s="20">
        <f t="shared" si="203"/>
        <v>0</v>
      </c>
      <c r="BK1113" s="282">
        <f>IFERROR(SUM(DATA[[#This Row],[fs_fd_ttd]:[fend_fenf_ttd]]),0)</f>
        <v>0</v>
      </c>
      <c r="BL1113" s="20" t="str">
        <f>IF(DATA[[#This Row],[fecha_fs]]&gt;0,TEXT(DATA[[#This Row],[fecha_fs]],"YYYY"),0)</f>
        <v>2025</v>
      </c>
      <c r="BM1113" s="236" t="b">
        <v>1</v>
      </c>
      <c r="BN1113" s="278">
        <f>COUNTIF(DATA[[#This Row],[tiempo_td]], "&lt;=15")</f>
        <v>1</v>
      </c>
      <c r="BO1113" s="222"/>
    </row>
    <row r="1114" spans="1:67" ht="30.6" customHeight="1" x14ac:dyDescent="0.25">
      <c r="A1114" s="4">
        <v>20100192064</v>
      </c>
      <c r="B1114" s="5" t="s">
        <v>60</v>
      </c>
      <c r="C1114" s="52" t="s">
        <v>43</v>
      </c>
      <c r="D1114" s="4" t="s">
        <v>189</v>
      </c>
      <c r="E1114" s="5" t="s">
        <v>62</v>
      </c>
      <c r="F1114" s="24">
        <v>45894</v>
      </c>
      <c r="G1114" s="7" t="s">
        <v>113</v>
      </c>
      <c r="H1114" s="25">
        <f t="shared" ref="H1114:H1119" si="220">IF(G1114="","",IF(G1114="LIM",2,1))</f>
        <v>1</v>
      </c>
      <c r="I1114" s="67">
        <v>4921</v>
      </c>
      <c r="J1114" s="8" t="s">
        <v>115</v>
      </c>
      <c r="K1114" s="9" t="s">
        <v>190</v>
      </c>
      <c r="L1114" s="10" t="s">
        <v>117</v>
      </c>
      <c r="M1114" s="11">
        <v>18000</v>
      </c>
      <c r="N1114" s="12" t="s">
        <v>114</v>
      </c>
      <c r="O1114" s="6">
        <v>45894</v>
      </c>
      <c r="P1114" s="71">
        <v>3613</v>
      </c>
      <c r="Q1114" s="14" t="s">
        <v>123</v>
      </c>
      <c r="R1114" s="74"/>
      <c r="S1114" s="15">
        <f>(DATA[[#This Row],[cantidad_fs]]/1000)*17</f>
        <v>306</v>
      </c>
      <c r="T1114" s="237">
        <f>DATA[[#This Row],[C. DF]]+DATA[[#This Row],[C.OPE.]]</f>
        <v>306</v>
      </c>
      <c r="U1114" s="15">
        <f>DATA[[#This Row],[SUB TOTAL]]*0.18</f>
        <v>55.08</v>
      </c>
      <c r="V1114" s="15">
        <f>IFERROR(ROUND(DATA[[#This Row],[SUB TOTAL]]+DATA[[#This Row],[IGV]],2),0)</f>
        <v>361.08</v>
      </c>
      <c r="W1114" s="16" t="str">
        <f>IF(DATA[[#This Row],[VALORIZACIÓN ]]="-","NO CORRESPONDE",IF(OR(A1114=20558226979,A1114=10470707866,A1114=20111157058,A1114=20100226902),"NO CORRESPONDE",IF(J1114="Emitida",IF(P1114&gt;0,"EMITIDA","PENDIENTE"),"NO CORRESPONDE")))</f>
        <v>EMITIDA</v>
      </c>
      <c r="X1114" s="29" t="s">
        <v>322</v>
      </c>
      <c r="Y1114" s="17" t="s">
        <v>118</v>
      </c>
      <c r="Z1114" s="277">
        <v>45898</v>
      </c>
      <c r="AA1114" s="20" t="s">
        <v>150</v>
      </c>
      <c r="AB1114" s="19">
        <v>229</v>
      </c>
      <c r="AC1114" s="20">
        <v>30</v>
      </c>
      <c r="AD1114" s="18">
        <f>DATA[[#This Row],[FECHA DE EMISION]]+DATA[[#This Row],[CONDICION DE PAGO]]</f>
        <v>45928</v>
      </c>
      <c r="AE1114" s="23" t="e">
        <f>IF(DATA[[#This Row],[MONEDA]]="USD",VLOOKUP(DATA[[#This Row],[COMBINADA]],#REF!,11,0),1)</f>
        <v>#REF!</v>
      </c>
      <c r="AF1114" s="129" t="str">
        <f>IF(DATA[[#This Row],[SERIE2]]="-","NO CORRESPONDE",IF(W1114="NO CORRESPONDE","NO CORRESPONDE",IF(Z1114&gt;0,"FACTURADO","PENDIENTE")))</f>
        <v>FACTURADO</v>
      </c>
      <c r="AG1114" s="133">
        <f>IFERROR(VLOOKUP(DATA[[#This Row],[COMBINADA]],#REF!,6,0),0)</f>
        <v>0</v>
      </c>
      <c r="AH1114" s="125">
        <f>IFERROR(VLOOKUP(DATA[[#This Row],[COMBINADA]],#REF!,9,0),0)/COUNTIFS(DATA[COMBINADA],DATA[[#This Row],[COMBINADA]])</f>
        <v>0</v>
      </c>
      <c r="AI1114" s="136">
        <f>IFERROR(VLOOKUP(DATA[[#This Row],[COMBINADA]],#REF!,6,0),0)</f>
        <v>0</v>
      </c>
      <c r="AJ1114" s="132">
        <f>IFERROR(VLOOKUP(DATA[[#This Row],[COMBINADA]],#REF!,9,0),0)/COUNTIFS(DATA[COMBINADA],DATA[[#This Row],[COMBINADA]])</f>
        <v>0</v>
      </c>
      <c r="AK1114" s="408">
        <f>IFERROR(VLOOKUP(DATA[[#This Row],[COMBINADA]],#REF!,6,0),0)</f>
        <v>0</v>
      </c>
      <c r="AL1114" s="125">
        <f>IFERROR(VLOOKUP(DATA[[#This Row],[COMBINADA]],#REF!,9,0),0)/COUNTIFS(DATA[COMBINADA],DATA[[#This Row],[COMBINADA]])</f>
        <v>0</v>
      </c>
      <c r="AM1114" s="27">
        <f>IFERROR(VLOOKUP(DATA[[#This Row],[COMBINADA]],#REF!,6,0),0)</f>
        <v>0</v>
      </c>
      <c r="AN1114" s="125">
        <f>IFERROR(VLOOKUP(DATA[[#This Row],[COMBINADA]],#REF!,9,0),0)/COUNTIFS(DATA[COMBINADA],DATA[[#This Row],[COMBINADA]])</f>
        <v>0</v>
      </c>
      <c r="AO1114" s="27">
        <f>IFERROR(VLOOKUP(DATA[[#This Row],[COMBINADA]],#REF!,6,0),0)</f>
        <v>0</v>
      </c>
      <c r="AP1114" s="132">
        <f>IFERROR(VLOOKUP(DATA[[#This Row],[COMBINADA]],#REF!,9,0),0)/COUNTIFS(DATA[COMBINADA],DATA[[#This Row],[COMBINADA]])</f>
        <v>0</v>
      </c>
      <c r="AQ111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587.06100000000004</v>
      </c>
      <c r="AR1114" s="26" t="str">
        <f>IFERROR(IF(DATA[[#This Row],[estado_fact]]="FACTURADO",VLOOKUP(DATA[[#This Row],[SERIE2]]&amp;"-"&amp;DATA[[#This Row],[NUMERO]],#REF!,34,0),"NO CORRESPONDE"),"NO CORRESPONDE")</f>
        <v>NO CORRESPONDE</v>
      </c>
      <c r="AS1114" s="22" t="str">
        <f>IF(DATA[[#This Row],[fecha_fs]]&gt;0,TEXT(DATA[[#This Row],[fecha_fs]],"Mmmm"),0)</f>
        <v>Agosto</v>
      </c>
      <c r="AT1114" s="22" t="str">
        <f>DATA[[#This Row],[SERIE2]]&amp;"-"&amp;DATA[[#This Row],[NUMERO]]</f>
        <v>FF01-229</v>
      </c>
      <c r="AU1114" s="28" t="e">
        <f>DATA[[#This Row],[TOTAL]]*DATA[[#This Row],[T.C.]]</f>
        <v>#REF!</v>
      </c>
      <c r="AV1114" s="6">
        <f>DATA[[#This Row],[FECHA DE VAL.]]</f>
        <v>45894</v>
      </c>
      <c r="AW1114" s="6">
        <f>DATA[[#This Row],[FECHA DE EMISION]]</f>
        <v>45898</v>
      </c>
      <c r="AX1114" s="6">
        <f>DATA[[#This Row],[F1]]</f>
        <v>0</v>
      </c>
      <c r="AY1114" s="20">
        <f>IF(AV1114-DATA[[#This Row],[fecha_fs]]&lt;0,0,AV1114-DATA[[#This Row],[fecha_fs]])</f>
        <v>0</v>
      </c>
      <c r="AZ1114" s="20">
        <f t="shared" ref="AZ1114:AZ1119" si="221">IF(AW1114-AV1114&lt;0,0,AW1114-AV1114)</f>
        <v>4</v>
      </c>
      <c r="BA1114" s="53">
        <f t="shared" ref="BA1114:BA1119" si="222">IF(AX1114-AW1114&lt;0,0,AX1114-AW1114)</f>
        <v>0</v>
      </c>
      <c r="BB1114" s="195">
        <f>IFERROR(SUM(DATA[[#This Row],[fs_val_ttf]:[fact_pago_ttf]]),0)</f>
        <v>4</v>
      </c>
      <c r="BC1114" s="185" t="s">
        <v>292</v>
      </c>
      <c r="BD1114" s="185" t="s">
        <v>292</v>
      </c>
      <c r="BE1114" s="185" t="s">
        <v>292</v>
      </c>
      <c r="BF1114" s="185" t="s">
        <v>292</v>
      </c>
      <c r="BG1114" s="20">
        <f>IFERROR(IF(BC1114-DATA[[#This Row],[fecha_fs]]&lt;0,0,BC1114-DATA[[#This Row],[fecha_fs]]),0)</f>
        <v>0</v>
      </c>
      <c r="BH1114" s="20">
        <f t="shared" ref="BH1114" si="223">IFERROR(IF(BD1114-BC1114&lt;0,0,BD1114-BC1114),0)</f>
        <v>0</v>
      </c>
      <c r="BI1114" s="20">
        <f t="shared" ref="BI1114" si="224">IFERROR(IF(BE1114-BD1114&lt;0,0,BE1114-BD1114),0)</f>
        <v>0</v>
      </c>
      <c r="BJ1114" s="20">
        <f t="shared" ref="BJ1114" si="225">IFERROR(IF(BF1114-BE1114&lt;0,0,BF1114-BE1114),0)</f>
        <v>0</v>
      </c>
      <c r="BK1114" s="282">
        <f>IFERROR(SUM(DATA[[#This Row],[fs_fd_ttd]:[fend_fenf_ttd]]),0)</f>
        <v>0</v>
      </c>
      <c r="BL1114" s="20" t="str">
        <f>IF(DATA[[#This Row],[fecha_fs]]&gt;0,TEXT(DATA[[#This Row],[fecha_fs]],"YYYY"),0)</f>
        <v>2025</v>
      </c>
      <c r="BM1114" s="236" t="b">
        <v>1</v>
      </c>
      <c r="BN1114" s="308">
        <f>COUNTIF(DATA[[#This Row],[tiempo_td]], "&lt;=15")</f>
        <v>1</v>
      </c>
      <c r="BO1114" s="222"/>
    </row>
    <row r="1115" spans="1:67" ht="30.6" customHeight="1" x14ac:dyDescent="0.25">
      <c r="A1115" s="4">
        <v>20558226979</v>
      </c>
      <c r="B1115" s="5" t="s">
        <v>45</v>
      </c>
      <c r="C1115" s="52" t="s">
        <v>18</v>
      </c>
      <c r="D1115" s="4" t="s">
        <v>120</v>
      </c>
      <c r="E1115" s="5" t="s">
        <v>3</v>
      </c>
      <c r="F1115" s="24">
        <v>45897</v>
      </c>
      <c r="G1115" s="7" t="s">
        <v>113</v>
      </c>
      <c r="H1115" s="25">
        <f t="shared" si="220"/>
        <v>1</v>
      </c>
      <c r="I1115" s="67">
        <v>4922</v>
      </c>
      <c r="J1115" s="8" t="s">
        <v>115</v>
      </c>
      <c r="K1115" s="9" t="s">
        <v>121</v>
      </c>
      <c r="L1115" s="10" t="s">
        <v>117</v>
      </c>
      <c r="M1115" s="11">
        <v>1640</v>
      </c>
      <c r="N1115" s="12" t="s">
        <v>135</v>
      </c>
      <c r="O1115" s="359"/>
      <c r="P1115" s="371" t="s">
        <v>114</v>
      </c>
      <c r="Q1115" s="372"/>
      <c r="R1115" s="373"/>
      <c r="S1115" s="373"/>
      <c r="T1115" s="373">
        <f>DATA[[#This Row],[C. DF]]+DATA[[#This Row],[C.OPE.]]</f>
        <v>0</v>
      </c>
      <c r="U1115" s="373">
        <f>DATA[[#This Row],[SUB TOTAL]]*0.18</f>
        <v>0</v>
      </c>
      <c r="V1115" s="373">
        <f>IFERROR(ROUND(DATA[[#This Row],[SUB TOTAL]]+DATA[[#This Row],[IGV]],2),0)</f>
        <v>0</v>
      </c>
      <c r="W1115" s="16" t="str">
        <f>IF(DATA[[#This Row],[VALORIZACIÓN ]]="-","NO CORRESPONDE",IF(OR(A1115=20558226979,A1115=10470707866,A1115=20111157058,A1115=20100226902),"NO CORRESPONDE",IF(J1115="Emitida",IF(P1115&gt;0,"EMITIDA","PENDIENTE"),"NO CORRESPONDE")))</f>
        <v>NO CORRESPONDE</v>
      </c>
      <c r="X1115" s="374"/>
      <c r="Y1115" s="17" t="s">
        <v>128</v>
      </c>
      <c r="Z1115" s="340"/>
      <c r="AA1115" s="361"/>
      <c r="AB1115" s="342"/>
      <c r="AC1115" s="343"/>
      <c r="AD1115" s="344">
        <f>DATA[[#This Row],[FECHA DE EMISION]]+DATA[[#This Row],[CONDICION DE PAGO]]</f>
        <v>0</v>
      </c>
      <c r="AE1115" s="23">
        <f>IF(DATA[[#This Row],[MONEDA]]="USD",VLOOKUP(DATA[[#This Row],[COMBINADA]],#REF!,11,0),1)</f>
        <v>1</v>
      </c>
      <c r="AF1115" s="129" t="str">
        <f>IF(DATA[[#This Row],[SERIE2]]="-","NO CORRESPONDE",IF(W1115="NO CORRESPONDE","NO CORRESPONDE",IF(Z1115&gt;0,"FACTURADO","PENDIENTE")))</f>
        <v>NO CORRESPONDE</v>
      </c>
      <c r="AG1115" s="133">
        <f>IFERROR(VLOOKUP(DATA[[#This Row],[COMBINADA]],#REF!,6,0),0)</f>
        <v>0</v>
      </c>
      <c r="AH1115" s="125">
        <f>IFERROR(VLOOKUP(DATA[[#This Row],[COMBINADA]],#REF!,9,0),0)/COUNTIFS(DATA[COMBINADA],DATA[[#This Row],[COMBINADA]])</f>
        <v>0</v>
      </c>
      <c r="AI1115" s="136">
        <f>IFERROR(VLOOKUP(DATA[[#This Row],[COMBINADA]],#REF!,6,0),0)</f>
        <v>0</v>
      </c>
      <c r="AJ1115" s="132">
        <f>IFERROR(VLOOKUP(DATA[[#This Row],[COMBINADA]],#REF!,9,0),0)/COUNTIFS(DATA[COMBINADA],DATA[[#This Row],[COMBINADA]])</f>
        <v>0</v>
      </c>
      <c r="AK1115" s="408">
        <f>IFERROR(VLOOKUP(DATA[[#This Row],[COMBINADA]],#REF!,6,0),0)</f>
        <v>0</v>
      </c>
      <c r="AL1115" s="125">
        <f>IFERROR(VLOOKUP(DATA[[#This Row],[COMBINADA]],#REF!,9,0),0)/COUNTIFS(DATA[COMBINADA],DATA[[#This Row],[COMBINADA]])</f>
        <v>0</v>
      </c>
      <c r="AM1115" s="27">
        <f>IFERROR(VLOOKUP(DATA[[#This Row],[COMBINADA]],#REF!,6,0),0)</f>
        <v>0</v>
      </c>
      <c r="AN1115" s="125">
        <f>IFERROR(VLOOKUP(DATA[[#This Row],[COMBINADA]],#REF!,9,0),0)/COUNTIFS(DATA[COMBINADA],DATA[[#This Row],[COMBINADA]])</f>
        <v>0</v>
      </c>
      <c r="AO1115" s="27">
        <f>IFERROR(VLOOKUP(DATA[[#This Row],[COMBINADA]],#REF!,6,0),0)</f>
        <v>0</v>
      </c>
      <c r="AP1115" s="132">
        <f>IFERROR(VLOOKUP(DATA[[#This Row],[COMBINADA]],#REF!,9,0),0)/COUNTIFS(DATA[COMBINADA],DATA[[#This Row],[COMBINADA]])</f>
        <v>0</v>
      </c>
      <c r="AQ111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115" s="26" t="str">
        <f>IFERROR(IF(DATA[[#This Row],[estado_fact]]="FACTURADO",VLOOKUP(DATA[[#This Row],[SERIE2]]&amp;"-"&amp;DATA[[#This Row],[NUMERO]],#REF!,34,0),"NO CORRESPONDE"),"NO CORRESPONDE")</f>
        <v>NO CORRESPONDE</v>
      </c>
      <c r="AS1115" s="22" t="str">
        <f>IF(DATA[[#This Row],[fecha_fs]]&gt;0,TEXT(DATA[[#This Row],[fecha_fs]],"Mmmm"),0)</f>
        <v>Agosto</v>
      </c>
      <c r="AT1115" s="22" t="str">
        <f>DATA[[#This Row],[SERIE2]]&amp;"-"&amp;DATA[[#This Row],[NUMERO]]</f>
        <v>-</v>
      </c>
      <c r="AU1115" s="28">
        <f>DATA[[#This Row],[TOTAL]]*DATA[[#This Row],[T.C.]]</f>
        <v>0</v>
      </c>
      <c r="AV1115" s="6">
        <f>DATA[[#This Row],[FECHA DE VAL.]]</f>
        <v>0</v>
      </c>
      <c r="AW1115" s="6">
        <f>DATA[[#This Row],[FECHA DE EMISION]]</f>
        <v>0</v>
      </c>
      <c r="AX1115" s="6">
        <f>DATA[[#This Row],[F1]]</f>
        <v>0</v>
      </c>
      <c r="AY1115" s="20">
        <f>IF(AV1115-DATA[[#This Row],[fecha_fs]]&lt;0,0,AV1115-DATA[[#This Row],[fecha_fs]])</f>
        <v>0</v>
      </c>
      <c r="AZ1115" s="20">
        <f t="shared" si="221"/>
        <v>0</v>
      </c>
      <c r="BA1115" s="53">
        <f t="shared" si="222"/>
        <v>0</v>
      </c>
      <c r="BB1115" s="195">
        <f>IFERROR(SUM(DATA[[#This Row],[fs_val_ttf]:[fact_pago_ttf]]),0)</f>
        <v>0</v>
      </c>
      <c r="BC1115" s="233">
        <v>45897</v>
      </c>
      <c r="BD1115" s="233">
        <v>45903</v>
      </c>
      <c r="BE1115" s="318">
        <v>45904</v>
      </c>
      <c r="BF1115" s="233">
        <v>45915</v>
      </c>
      <c r="BG1115" s="20">
        <f>IFERROR(IF(BC1115-DATA[[#This Row],[fecha_fs]]&lt;0,0,BC1115-DATA[[#This Row],[fecha_fs]]),0)</f>
        <v>0</v>
      </c>
      <c r="BH1115" s="20">
        <f t="shared" ref="BH1115:BJ1117" si="226">IFERROR(IF(BD1115-BC1115&lt;0,0,BD1115-BC1115),0)</f>
        <v>6</v>
      </c>
      <c r="BI1115" s="20">
        <f t="shared" si="226"/>
        <v>1</v>
      </c>
      <c r="BJ1115" s="20">
        <f t="shared" si="226"/>
        <v>11</v>
      </c>
      <c r="BK1115" s="282">
        <f>IFERROR(SUM(DATA[[#This Row],[fs_fd_ttd]:[fend_fenf_ttd]]),0)</f>
        <v>18</v>
      </c>
      <c r="BL1115" s="20" t="str">
        <f>IF(DATA[[#This Row],[fecha_fs]]&gt;0,TEXT(DATA[[#This Row],[fecha_fs]],"YYYY"),0)</f>
        <v>2025</v>
      </c>
      <c r="BM1115" s="236" t="b">
        <v>1</v>
      </c>
      <c r="BN1115" s="278">
        <f>COUNTIF(DATA[[#This Row],[tiempo_td]], "&lt;=15")</f>
        <v>0</v>
      </c>
      <c r="BO1115" s="222"/>
    </row>
    <row r="1116" spans="1:67" ht="30.6" customHeight="1" x14ac:dyDescent="0.25">
      <c r="A1116" s="4">
        <v>20100226902</v>
      </c>
      <c r="B1116" s="5" t="s">
        <v>24</v>
      </c>
      <c r="C1116" s="52" t="s">
        <v>18</v>
      </c>
      <c r="D1116" s="4" t="s">
        <v>120</v>
      </c>
      <c r="E1116" s="5" t="s">
        <v>3</v>
      </c>
      <c r="F1116" s="24">
        <v>45898</v>
      </c>
      <c r="G1116" s="7" t="s">
        <v>113</v>
      </c>
      <c r="H1116" s="25">
        <f t="shared" si="220"/>
        <v>1</v>
      </c>
      <c r="I1116" s="67">
        <v>4923</v>
      </c>
      <c r="J1116" s="8" t="s">
        <v>115</v>
      </c>
      <c r="K1116" s="9" t="s">
        <v>121</v>
      </c>
      <c r="L1116" s="10" t="s">
        <v>117</v>
      </c>
      <c r="M1116" s="11">
        <v>700</v>
      </c>
      <c r="N1116" s="12" t="s">
        <v>187</v>
      </c>
      <c r="O1116" s="295"/>
      <c r="P1116" s="296" t="s">
        <v>114</v>
      </c>
      <c r="Q1116" s="297"/>
      <c r="R1116" s="298"/>
      <c r="S1116" s="298"/>
      <c r="T1116" s="298">
        <f>DATA[[#This Row],[C. DF]]+DATA[[#This Row],[C.OPE.]]</f>
        <v>0</v>
      </c>
      <c r="U1116" s="298">
        <f>DATA[[#This Row],[SUB TOTAL]]*0.18</f>
        <v>0</v>
      </c>
      <c r="V1116" s="298">
        <f>IFERROR(ROUND(DATA[[#This Row],[SUB TOTAL]]+DATA[[#This Row],[IGV]],2),0)</f>
        <v>0</v>
      </c>
      <c r="W1116" s="16" t="str">
        <f>IF(DATA[[#This Row],[VALORIZACIÓN ]]="-","NO CORRESPONDE",IF(OR(A1116=20558226979,A1116=10470707866,A1116=20111157058,A1116=20100226902),"NO CORRESPONDE",IF(J1116="Emitida",IF(P1116&gt;0,"EMITIDA","PENDIENTE"),"NO CORRESPONDE")))</f>
        <v>NO CORRESPONDE</v>
      </c>
      <c r="X1116" s="299"/>
      <c r="Y1116" s="17" t="s">
        <v>128</v>
      </c>
      <c r="Z1116" s="300"/>
      <c r="AA1116" s="301"/>
      <c r="AB1116" s="302"/>
      <c r="AC1116" s="303"/>
      <c r="AD1116" s="304">
        <f>DATA[[#This Row],[FECHA DE EMISION]]+DATA[[#This Row],[CONDICION DE PAGO]]</f>
        <v>0</v>
      </c>
      <c r="AE1116" s="23">
        <f>IF(DATA[[#This Row],[MONEDA]]="USD",VLOOKUP(DATA[[#This Row],[COMBINADA]],#REF!,11,0),1)</f>
        <v>1</v>
      </c>
      <c r="AF1116" s="129" t="str">
        <f>IF(DATA[[#This Row],[SERIE2]]="-","NO CORRESPONDE",IF(W1116="NO CORRESPONDE","NO CORRESPONDE",IF(Z1116&gt;0,"FACTURADO","PENDIENTE")))</f>
        <v>NO CORRESPONDE</v>
      </c>
      <c r="AG1116" s="310">
        <f>IFERROR(VLOOKUP(DATA[[#This Row],[COMBINADA]],#REF!,6,0),0)</f>
        <v>0</v>
      </c>
      <c r="AH1116" s="311">
        <f>IFERROR(VLOOKUP(DATA[[#This Row],[COMBINADA]],#REF!,9,0),0)/COUNTIFS(DATA[COMBINADA],DATA[[#This Row],[COMBINADA]])</f>
        <v>0</v>
      </c>
      <c r="AI1116" s="310">
        <f>IFERROR(VLOOKUP(DATA[[#This Row],[COMBINADA]],#REF!,6,0),0)</f>
        <v>0</v>
      </c>
      <c r="AJ1116" s="311">
        <f>IFERROR(VLOOKUP(DATA[[#This Row],[COMBINADA]],#REF!,9,0),0)/COUNTIFS(DATA[COMBINADA],DATA[[#This Row],[COMBINADA]])</f>
        <v>0</v>
      </c>
      <c r="AK1116" s="413">
        <f>IFERROR(VLOOKUP(DATA[[#This Row],[COMBINADA]],#REF!,6,0),0)</f>
        <v>0</v>
      </c>
      <c r="AL1116" s="311">
        <f>IFERROR(VLOOKUP(DATA[[#This Row],[COMBINADA]],#REF!,9,0),0)/COUNTIFS(DATA[COMBINADA],DATA[[#This Row],[COMBINADA]])</f>
        <v>0</v>
      </c>
      <c r="AM1116" s="312">
        <f>IFERROR(VLOOKUP(DATA[[#This Row],[COMBINADA]],#REF!,6,0),0)</f>
        <v>0</v>
      </c>
      <c r="AN1116" s="311">
        <f>IFERROR(VLOOKUP(DATA[[#This Row],[COMBINADA]],#REF!,9,0),0)/COUNTIFS(DATA[COMBINADA],DATA[[#This Row],[COMBINADA]])</f>
        <v>0</v>
      </c>
      <c r="AO1116" s="313">
        <f>IFERROR(VLOOKUP(DATA[[#This Row],[COMBINADA]],#REF!,6,0),0)</f>
        <v>0</v>
      </c>
      <c r="AP1116" s="311">
        <f>IFERROR(VLOOKUP(DATA[[#This Row],[COMBINADA]],#REF!,9,0),0)/COUNTIFS(DATA[COMBINADA],DATA[[#This Row],[COMBINADA]])</f>
        <v>0</v>
      </c>
      <c r="AQ1116" s="314">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116" s="315" t="str">
        <f>IFERROR(IF(DATA[[#This Row],[estado_fact]]="FACTURADO",VLOOKUP(DATA[[#This Row],[SERIE2]]&amp;"-"&amp;DATA[[#This Row],[NUMERO]],#REF!,34,0),"NO CORRESPONDE"),"NO CORRESPONDE")</f>
        <v>NO CORRESPONDE</v>
      </c>
      <c r="AS1116" s="22" t="str">
        <f>IF(DATA[[#This Row],[fecha_fs]]&gt;0,TEXT(DATA[[#This Row],[fecha_fs]],"Mmmm"),0)</f>
        <v>Agosto</v>
      </c>
      <c r="AT1116" s="22" t="str">
        <f>DATA[[#This Row],[SERIE2]]&amp;"-"&amp;DATA[[#This Row],[NUMERO]]</f>
        <v>-</v>
      </c>
      <c r="AU1116" s="28">
        <f>DATA[[#This Row],[TOTAL]]*DATA[[#This Row],[T.C.]]</f>
        <v>0</v>
      </c>
      <c r="AV1116" s="6">
        <f>DATA[[#This Row],[FECHA DE VAL.]]</f>
        <v>0</v>
      </c>
      <c r="AW1116" s="6">
        <f>DATA[[#This Row],[FECHA DE EMISION]]</f>
        <v>0</v>
      </c>
      <c r="AX1116" s="6">
        <f>DATA[[#This Row],[F1]]</f>
        <v>0</v>
      </c>
      <c r="AY1116" s="20">
        <f>IF(AV1116-DATA[[#This Row],[fecha_fs]]&lt;0,0,AV1116-DATA[[#This Row],[fecha_fs]])</f>
        <v>0</v>
      </c>
      <c r="AZ1116" s="20">
        <f t="shared" si="221"/>
        <v>0</v>
      </c>
      <c r="BA1116" s="53">
        <f t="shared" si="222"/>
        <v>0</v>
      </c>
      <c r="BB1116" s="195">
        <f>IFERROR(SUM(DATA[[#This Row],[fs_val_ttf]:[fact_pago_ttf]]),0)</f>
        <v>0</v>
      </c>
      <c r="BC1116" s="233">
        <v>45898</v>
      </c>
      <c r="BD1116" s="233">
        <v>45898</v>
      </c>
      <c r="BE1116" s="233">
        <v>45901</v>
      </c>
      <c r="BF1116" s="233">
        <v>45901</v>
      </c>
      <c r="BG1116" s="20">
        <f>IFERROR(IF(BC1116-DATA[[#This Row],[fecha_fs]]&lt;0,0,BC1116-DATA[[#This Row],[fecha_fs]]),0)</f>
        <v>0</v>
      </c>
      <c r="BH1116" s="20">
        <f t="shared" si="226"/>
        <v>0</v>
      </c>
      <c r="BI1116" s="20">
        <f t="shared" si="226"/>
        <v>3</v>
      </c>
      <c r="BJ1116" s="20">
        <f t="shared" si="226"/>
        <v>0</v>
      </c>
      <c r="BK1116" s="282">
        <f>IFERROR(SUM(DATA[[#This Row],[fs_fd_ttd]:[fend_fenf_ttd]]),0)</f>
        <v>3</v>
      </c>
      <c r="BL1116" s="20" t="str">
        <f>IF(DATA[[#This Row],[fecha_fs]]&gt;0,TEXT(DATA[[#This Row],[fecha_fs]],"YYYY"),0)</f>
        <v>2025</v>
      </c>
      <c r="BM1116" s="236" t="b">
        <v>1</v>
      </c>
      <c r="BN1116" s="278">
        <f>COUNTIF(DATA[[#This Row],[tiempo_td]], "&lt;=15")</f>
        <v>1</v>
      </c>
      <c r="BO1116" s="222"/>
    </row>
    <row r="1117" spans="1:67" ht="30.6" customHeight="1" x14ac:dyDescent="0.25">
      <c r="A1117" s="4">
        <v>20141637941</v>
      </c>
      <c r="B1117" s="5" t="s">
        <v>79</v>
      </c>
      <c r="C1117" s="52" t="s">
        <v>18</v>
      </c>
      <c r="D1117" s="4" t="s">
        <v>120</v>
      </c>
      <c r="E1117" s="5" t="s">
        <v>3</v>
      </c>
      <c r="F1117" s="24">
        <v>45898</v>
      </c>
      <c r="G1117" s="7" t="s">
        <v>113</v>
      </c>
      <c r="H1117" s="25">
        <f t="shared" si="220"/>
        <v>1</v>
      </c>
      <c r="I1117" s="67">
        <v>4924</v>
      </c>
      <c r="J1117" s="8" t="s">
        <v>115</v>
      </c>
      <c r="K1117" s="9" t="s">
        <v>121</v>
      </c>
      <c r="L1117" s="10" t="s">
        <v>117</v>
      </c>
      <c r="M1117" s="11">
        <v>1050</v>
      </c>
      <c r="N1117" s="12" t="s">
        <v>125</v>
      </c>
      <c r="O1117" s="6">
        <v>45898</v>
      </c>
      <c r="P1117" s="317">
        <v>3641</v>
      </c>
      <c r="Q1117" s="14" t="s">
        <v>85</v>
      </c>
      <c r="R1117" s="309">
        <f>80+((DATA[[#This Row],[cantidad_fs]]-1000)*0.08)</f>
        <v>84</v>
      </c>
      <c r="S1117" s="309">
        <v>832</v>
      </c>
      <c r="T1117" s="237">
        <f>DATA[[#This Row],[C. DF]]+DATA[[#This Row],[C.OPE.]]</f>
        <v>916</v>
      </c>
      <c r="U1117" s="15">
        <f>DATA[[#This Row],[SUB TOTAL]]*0.18</f>
        <v>164.88</v>
      </c>
      <c r="V1117" s="15">
        <f>IFERROR(ROUND(DATA[[#This Row],[SUB TOTAL]]+DATA[[#This Row],[IGV]],2),0)</f>
        <v>1080.8800000000001</v>
      </c>
      <c r="W1117" s="16" t="str">
        <f>IF(DATA[[#This Row],[VALORIZACIÓN ]]="-","NO CORRESPONDE",IF(OR(A1117=20558226979,A1117=10470707866,A1117=20111157058,A1117=20100226902),"NO CORRESPONDE",IF(J1117="Emitida",IF(P1117&gt;0,"EMITIDA","PENDIENTE"),"NO CORRESPONDE")))</f>
        <v>EMITIDA</v>
      </c>
      <c r="X1117" s="29"/>
      <c r="Y1117" s="17" t="s">
        <v>118</v>
      </c>
      <c r="Z1117" s="30">
        <v>45901</v>
      </c>
      <c r="AA1117" s="10" t="s">
        <v>150</v>
      </c>
      <c r="AB1117" s="19">
        <v>231</v>
      </c>
      <c r="AC1117" s="20">
        <v>30</v>
      </c>
      <c r="AD1117" s="18">
        <f>DATA[[#This Row],[FECHA DE EMISION]]+DATA[[#This Row],[CONDICION DE PAGO]]</f>
        <v>45931</v>
      </c>
      <c r="AE1117" s="23">
        <f>IF(DATA[[#This Row],[MONEDA]]="USD",VLOOKUP(DATA[[#This Row],[COMBINADA]],#REF!,11,0),1)</f>
        <v>1</v>
      </c>
      <c r="AF1117" s="129" t="str">
        <f>IF(DATA[[#This Row],[SERIE2]]="-","NO CORRESPONDE",IF(W1117="NO CORRESPONDE","NO CORRESPONDE",IF(Z1117&gt;0,"FACTURADO","PENDIENTE")))</f>
        <v>FACTURADO</v>
      </c>
      <c r="AG1117" s="133">
        <f>IFERROR(VLOOKUP(DATA[[#This Row],[COMBINADA]],#REF!,6,0),0)</f>
        <v>0</v>
      </c>
      <c r="AH1117" s="125">
        <f>IFERROR(VLOOKUP(DATA[[#This Row],[COMBINADA]],#REF!,9,0),0)/COUNTIFS(DATA[COMBINADA],DATA[[#This Row],[COMBINADA]])</f>
        <v>0</v>
      </c>
      <c r="AI1117" s="136">
        <f>IFERROR(VLOOKUP(DATA[[#This Row],[COMBINADA]],#REF!,6,0),0)</f>
        <v>0</v>
      </c>
      <c r="AJ1117" s="132">
        <f>IFERROR(VLOOKUP(DATA[[#This Row],[COMBINADA]],#REF!,9,0),0)/COUNTIFS(DATA[COMBINADA],DATA[[#This Row],[COMBINADA]])</f>
        <v>0</v>
      </c>
      <c r="AK1117" s="408">
        <f>IFERROR(VLOOKUP(DATA[[#This Row],[COMBINADA]],#REF!,6,0),0)</f>
        <v>0</v>
      </c>
      <c r="AL1117" s="125">
        <f>IFERROR(VLOOKUP(DATA[[#This Row],[COMBINADA]],#REF!,9,0),0)/COUNTIFS(DATA[COMBINADA],DATA[[#This Row],[COMBINADA]])</f>
        <v>0</v>
      </c>
      <c r="AM1117" s="27">
        <f>IFERROR(VLOOKUP(DATA[[#This Row],[COMBINADA]],#REF!,6,0),0)</f>
        <v>0</v>
      </c>
      <c r="AN1117" s="125">
        <f>IFERROR(VLOOKUP(DATA[[#This Row],[COMBINADA]],#REF!,9,0),0)/COUNTIFS(DATA[COMBINADA],DATA[[#This Row],[COMBINADA]])</f>
        <v>0</v>
      </c>
      <c r="AO1117" s="27">
        <f>IFERROR(VLOOKUP(DATA[[#This Row],[COMBINADA]],#REF!,6,0),0)</f>
        <v>0</v>
      </c>
      <c r="AP1117" s="132">
        <f>IFERROR(VLOOKUP(DATA[[#This Row],[COMBINADA]],#REF!,9,0),0)/COUNTIFS(DATA[COMBINADA],DATA[[#This Row],[COMBINADA]])</f>
        <v>0</v>
      </c>
      <c r="AQ111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1088.19625</v>
      </c>
      <c r="AR1117" s="26" t="str">
        <f>IFERROR(IF(DATA[[#This Row],[estado_fact]]="FACTURADO",VLOOKUP(DATA[[#This Row],[SERIE2]]&amp;"-"&amp;DATA[[#This Row],[NUMERO]],#REF!,34,0),"NO CORRESPONDE"),"NO CORRESPONDE")</f>
        <v>NO CORRESPONDE</v>
      </c>
      <c r="AS1117" s="22" t="str">
        <f>IF(DATA[[#This Row],[fecha_fs]]&gt;0,TEXT(DATA[[#This Row],[fecha_fs]],"Mmmm"),0)</f>
        <v>Agosto</v>
      </c>
      <c r="AT1117" s="22" t="str">
        <f>DATA[[#This Row],[SERIE2]]&amp;"-"&amp;DATA[[#This Row],[NUMERO]]</f>
        <v>FF01-231</v>
      </c>
      <c r="AU1117" s="28">
        <f>DATA[[#This Row],[TOTAL]]*DATA[[#This Row],[T.C.]]</f>
        <v>1080.8800000000001</v>
      </c>
      <c r="AV1117" s="6">
        <f>DATA[[#This Row],[FECHA DE VAL.]]</f>
        <v>45898</v>
      </c>
      <c r="AW1117" s="6">
        <f>DATA[[#This Row],[FECHA DE EMISION]]</f>
        <v>45901</v>
      </c>
      <c r="AX1117" s="6">
        <f>DATA[[#This Row],[F1]]</f>
        <v>0</v>
      </c>
      <c r="AY1117" s="20">
        <f>IF(AV1117-DATA[[#This Row],[fecha_fs]]&lt;0,0,AV1117-DATA[[#This Row],[fecha_fs]])</f>
        <v>0</v>
      </c>
      <c r="AZ1117" s="20">
        <f t="shared" si="221"/>
        <v>3</v>
      </c>
      <c r="BA1117" s="53">
        <f t="shared" si="222"/>
        <v>0</v>
      </c>
      <c r="BB1117" s="195">
        <f>IFERROR(SUM(DATA[[#This Row],[fs_val_ttf]:[fact_pago_ttf]]),0)</f>
        <v>3</v>
      </c>
      <c r="BC1117" s="233">
        <v>45898</v>
      </c>
      <c r="BD1117" s="233">
        <v>45903</v>
      </c>
      <c r="BE1117" s="233">
        <v>45904</v>
      </c>
      <c r="BF1117" s="233">
        <v>45904</v>
      </c>
      <c r="BG1117" s="20">
        <f>IFERROR(IF(BC1117-DATA[[#This Row],[fecha_fs]]&lt;0,0,BC1117-DATA[[#This Row],[fecha_fs]]),0)</f>
        <v>0</v>
      </c>
      <c r="BH1117" s="20">
        <f t="shared" si="226"/>
        <v>5</v>
      </c>
      <c r="BI1117" s="20">
        <f t="shared" si="226"/>
        <v>1</v>
      </c>
      <c r="BJ1117" s="20">
        <f t="shared" si="226"/>
        <v>0</v>
      </c>
      <c r="BK1117" s="282">
        <f>IFERROR(SUM(DATA[[#This Row],[fs_fd_ttd]:[fend_fenf_ttd]]),0)</f>
        <v>6</v>
      </c>
      <c r="BL1117" s="20" t="str">
        <f>IF(DATA[[#This Row],[fecha_fs]]&gt;0,TEXT(DATA[[#This Row],[fecha_fs]],"YYYY"),0)</f>
        <v>2025</v>
      </c>
      <c r="BM1117" s="236" t="b">
        <v>1</v>
      </c>
      <c r="BN1117" s="308">
        <f>COUNTIF(DATA[[#This Row],[tiempo_td]], "&lt;=15")</f>
        <v>1</v>
      </c>
      <c r="BO1117" s="222"/>
    </row>
    <row r="1118" spans="1:67" ht="30.6" customHeight="1" x14ac:dyDescent="0.25">
      <c r="A1118" s="4">
        <v>20100211115</v>
      </c>
      <c r="B1118" s="5" t="s">
        <v>41</v>
      </c>
      <c r="C1118" s="52" t="s">
        <v>18</v>
      </c>
      <c r="D1118" s="4" t="s">
        <v>120</v>
      </c>
      <c r="E1118" s="5" t="s">
        <v>3</v>
      </c>
      <c r="F1118" s="24">
        <v>45898</v>
      </c>
      <c r="G1118" s="7" t="s">
        <v>113</v>
      </c>
      <c r="H1118" s="25">
        <f t="shared" si="220"/>
        <v>1</v>
      </c>
      <c r="I1118" s="67">
        <v>4925</v>
      </c>
      <c r="J1118" s="8" t="s">
        <v>115</v>
      </c>
      <c r="K1118" s="9" t="s">
        <v>121</v>
      </c>
      <c r="L1118" s="10" t="s">
        <v>117</v>
      </c>
      <c r="M1118" s="11">
        <v>90</v>
      </c>
      <c r="N1118" s="12" t="s">
        <v>132</v>
      </c>
      <c r="O1118" s="6">
        <v>45898</v>
      </c>
      <c r="P1118" s="115">
        <v>3636</v>
      </c>
      <c r="Q1118" s="14" t="s">
        <v>85</v>
      </c>
      <c r="R1118" s="74"/>
      <c r="S1118" s="15">
        <f>(DATA[[#This Row],[cantidad_fs]]*4.17)</f>
        <v>375.3</v>
      </c>
      <c r="T1118" s="237">
        <f>DATA[[#This Row],[C. DF]]+DATA[[#This Row],[C.OPE.]]</f>
        <v>375.3</v>
      </c>
      <c r="U1118" s="15">
        <f>DATA[[#This Row],[SUB TOTAL]]*0.18</f>
        <v>67.554000000000002</v>
      </c>
      <c r="V1118" s="15">
        <f>IFERROR(ROUND(DATA[[#This Row],[SUB TOTAL]]+DATA[[#This Row],[IGV]],2),0)</f>
        <v>442.85</v>
      </c>
      <c r="W1118" s="16" t="str">
        <f>IF(DATA[[#This Row],[VALORIZACIÓN ]]="-","NO CORRESPONDE",IF(OR(A1118=20558226979,A1118=10470707866,A1118=20111157058,A1118=20100226902),"NO CORRESPONDE",IF(J1118="Emitida",IF(P1118&gt;0,"EMITIDA","PENDIENTE"),"NO CORRESPONDE")))</f>
        <v>EMITIDA</v>
      </c>
      <c r="X1118" s="29"/>
      <c r="Y1118" s="17" t="s">
        <v>118</v>
      </c>
      <c r="Z1118" s="30">
        <v>45930</v>
      </c>
      <c r="AA1118" s="10" t="s">
        <v>150</v>
      </c>
      <c r="AB1118" s="19">
        <v>269</v>
      </c>
      <c r="AC1118" s="20">
        <v>30</v>
      </c>
      <c r="AD1118" s="18">
        <f>DATA[[#This Row],[FECHA DE EMISION]]+DATA[[#This Row],[CONDICION DE PAGO]]</f>
        <v>45960</v>
      </c>
      <c r="AE1118" s="23">
        <f>IF(DATA[[#This Row],[MONEDA]]="USD",VLOOKUP(DATA[[#This Row],[COMBINADA]],#REF!,11,0),1)</f>
        <v>1</v>
      </c>
      <c r="AF1118" s="129" t="str">
        <f>IF(DATA[[#This Row],[SERIE2]]="-","NO CORRESPONDE",IF(W1118="NO CORRESPONDE","NO CORRESPONDE",IF(Z1118&gt;0,"FACTURADO","PENDIENTE")))</f>
        <v>FACTURADO</v>
      </c>
      <c r="AG1118" s="133">
        <f>IFERROR(VLOOKUP(DATA[[#This Row],[COMBINADA]],#REF!,6,0),0)</f>
        <v>0</v>
      </c>
      <c r="AH1118" s="125">
        <f>IFERROR(VLOOKUP(DATA[[#This Row],[COMBINADA]],#REF!,9,0),0)/COUNTIFS(DATA[COMBINADA],DATA[[#This Row],[COMBINADA]])</f>
        <v>0</v>
      </c>
      <c r="AI1118" s="136">
        <f>IFERROR(VLOOKUP(DATA[[#This Row],[COMBINADA]],#REF!,6,0),0)</f>
        <v>0</v>
      </c>
      <c r="AJ1118" s="132">
        <f>IFERROR(VLOOKUP(DATA[[#This Row],[COMBINADA]],#REF!,9,0),0)/COUNTIFS(DATA[COMBINADA],DATA[[#This Row],[COMBINADA]])</f>
        <v>0</v>
      </c>
      <c r="AK1118" s="408">
        <f>IFERROR(VLOOKUP(DATA[[#This Row],[COMBINADA]],#REF!,6,0),0)</f>
        <v>0</v>
      </c>
      <c r="AL1118" s="125">
        <f>IFERROR(VLOOKUP(DATA[[#This Row],[COMBINADA]],#REF!,9,0),0)/COUNTIFS(DATA[COMBINADA],DATA[[#This Row],[COMBINADA]])</f>
        <v>0</v>
      </c>
      <c r="AM1118" s="27">
        <f>IFERROR(VLOOKUP(DATA[[#This Row],[COMBINADA]],#REF!,6,0),0)</f>
        <v>0</v>
      </c>
      <c r="AN1118" s="125">
        <f>IFERROR(VLOOKUP(DATA[[#This Row],[COMBINADA]],#REF!,9,0),0)/COUNTIFS(DATA[COMBINADA],DATA[[#This Row],[COMBINADA]])</f>
        <v>0</v>
      </c>
      <c r="AO1118" s="27">
        <f>IFERROR(VLOOKUP(DATA[[#This Row],[COMBINADA]],#REF!,6,0),0)</f>
        <v>0</v>
      </c>
      <c r="AP1118" s="132">
        <f>IFERROR(VLOOKUP(DATA[[#This Row],[COMBINADA]],#REF!,9,0),0)/COUNTIFS(DATA[COMBINADA],DATA[[#This Row],[COMBINADA]])</f>
        <v>0</v>
      </c>
      <c r="AQ111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118" s="26" t="str">
        <f>IFERROR(IF(DATA[[#This Row],[estado_fact]]="FACTURADO",VLOOKUP(DATA[[#This Row],[SERIE2]]&amp;"-"&amp;DATA[[#This Row],[NUMERO]],#REF!,34,0),"NO CORRESPONDE"),"NO CORRESPONDE")</f>
        <v>NO CORRESPONDE</v>
      </c>
      <c r="AS1118" s="22" t="str">
        <f>IF(DATA[[#This Row],[fecha_fs]]&gt;0,TEXT(DATA[[#This Row],[fecha_fs]],"Mmmm"),0)</f>
        <v>Agosto</v>
      </c>
      <c r="AT1118" s="22" t="str">
        <f>DATA[[#This Row],[SERIE2]]&amp;"-"&amp;DATA[[#This Row],[NUMERO]]</f>
        <v>FF01-269</v>
      </c>
      <c r="AU1118" s="28">
        <f>DATA[[#This Row],[TOTAL]]*DATA[[#This Row],[T.C.]]</f>
        <v>442.85</v>
      </c>
      <c r="AV1118" s="6">
        <f>DATA[[#This Row],[FECHA DE VAL.]]</f>
        <v>45898</v>
      </c>
      <c r="AW1118" s="6">
        <f>DATA[[#This Row],[FECHA DE EMISION]]</f>
        <v>45930</v>
      </c>
      <c r="AX1118" s="6">
        <f>DATA[[#This Row],[F1]]</f>
        <v>0</v>
      </c>
      <c r="AY1118" s="20">
        <f>IF(AV1118-DATA[[#This Row],[fecha_fs]]&lt;0,0,AV1118-DATA[[#This Row],[fecha_fs]])</f>
        <v>0</v>
      </c>
      <c r="AZ1118" s="20">
        <f t="shared" si="221"/>
        <v>32</v>
      </c>
      <c r="BA1118" s="53">
        <f t="shared" si="222"/>
        <v>0</v>
      </c>
      <c r="BB1118" s="195">
        <f>IFERROR(SUM(DATA[[#This Row],[fs_val_ttf]:[fact_pago_ttf]]),0)</f>
        <v>32</v>
      </c>
      <c r="BC1118" s="233">
        <v>45932</v>
      </c>
      <c r="BD1118" s="233">
        <v>45939</v>
      </c>
      <c r="BE1118" s="233">
        <v>45939</v>
      </c>
      <c r="BF1118" s="233">
        <v>45940</v>
      </c>
      <c r="BG1118" s="20">
        <f>IFERROR(IF(BC1118-DATA[[#This Row],[fecha_fs]]&lt;0,0,BC1118-DATA[[#This Row],[fecha_fs]]),0)</f>
        <v>34</v>
      </c>
      <c r="BH1118" s="20">
        <f t="shared" ref="BH1118:BH1152" si="227">IFERROR(IF(BD1118-BC1118&lt;0,0,BD1118-BC1118),0)</f>
        <v>7</v>
      </c>
      <c r="BI1118" s="20">
        <f t="shared" ref="BI1118:BI1152" si="228">IFERROR(IF(BE1118-BD1118&lt;0,0,BE1118-BD1118),0)</f>
        <v>0</v>
      </c>
      <c r="BJ1118" s="20">
        <f t="shared" ref="BJ1118:BJ1152" si="229">IFERROR(IF(BF1118-BE1118&lt;0,0,BF1118-BE1118),0)</f>
        <v>1</v>
      </c>
      <c r="BK1118" s="282">
        <f>IFERROR(SUM(DATA[[#This Row],[fs_fd_ttd]:[fend_fenf_ttd]]),0)</f>
        <v>42</v>
      </c>
      <c r="BL1118" s="20" t="str">
        <f>IF(DATA[[#This Row],[fecha_fs]]&gt;0,TEXT(DATA[[#This Row],[fecha_fs]],"YYYY"),0)</f>
        <v>2025</v>
      </c>
      <c r="BM1118" s="236" t="b">
        <v>1</v>
      </c>
      <c r="BN1118" s="278">
        <f>COUNTIF(DATA[[#This Row],[tiempo_td]], "&lt;=15")</f>
        <v>0</v>
      </c>
      <c r="BO1118" s="222"/>
    </row>
    <row r="1119" spans="1:67" ht="30.6" customHeight="1" x14ac:dyDescent="0.25">
      <c r="A1119" s="4">
        <v>20159473148</v>
      </c>
      <c r="B1119" s="5" t="s">
        <v>280</v>
      </c>
      <c r="C1119" s="52" t="s">
        <v>20</v>
      </c>
      <c r="D1119" s="4" t="s">
        <v>120</v>
      </c>
      <c r="E1119" s="5" t="s">
        <v>3</v>
      </c>
      <c r="F1119" s="24">
        <v>45898</v>
      </c>
      <c r="G1119" s="7" t="s">
        <v>113</v>
      </c>
      <c r="H1119" s="25">
        <f t="shared" si="220"/>
        <v>1</v>
      </c>
      <c r="I1119" s="67">
        <v>4926</v>
      </c>
      <c r="J1119" s="8" t="s">
        <v>115</v>
      </c>
      <c r="K1119" s="9" t="s">
        <v>121</v>
      </c>
      <c r="L1119" s="10" t="s">
        <v>117</v>
      </c>
      <c r="M1119" s="11">
        <v>380</v>
      </c>
      <c r="N1119" s="12" t="s">
        <v>125</v>
      </c>
      <c r="O1119" s="6">
        <v>45898</v>
      </c>
      <c r="P1119" s="83">
        <v>3642</v>
      </c>
      <c r="Q1119" s="14" t="s">
        <v>85</v>
      </c>
      <c r="R1119" s="15">
        <f>DATA[[#This Row],[cantidad_fs]]*0.08</f>
        <v>30.400000000000002</v>
      </c>
      <c r="S1119" s="15">
        <v>908.43</v>
      </c>
      <c r="T1119" s="237">
        <f>DATA[[#This Row],[C. DF]]+DATA[[#This Row],[C.OPE.]]</f>
        <v>938.82999999999993</v>
      </c>
      <c r="U1119" s="15">
        <f>DATA[[#This Row],[SUB TOTAL]]*0.18</f>
        <v>168.98939999999999</v>
      </c>
      <c r="V1119" s="15">
        <f>IFERROR(ROUND(DATA[[#This Row],[SUB TOTAL]]+DATA[[#This Row],[IGV]],2),0)</f>
        <v>1107.82</v>
      </c>
      <c r="W1119" s="16" t="str">
        <f>IF(DATA[[#This Row],[VALORIZACIÓN ]]="-","NO CORRESPONDE",IF(OR(A1119=20558226979,A1119=10470707866,A1119=20111157058,A1119=20100226902),"NO CORRESPONDE",IF(J1119="Emitida",IF(P1119&gt;0,"EMITIDA","PENDIENTE"),"NO CORRESPONDE")))</f>
        <v>EMITIDA</v>
      </c>
      <c r="X1119" s="29"/>
      <c r="Y1119" s="17" t="s">
        <v>118</v>
      </c>
      <c r="Z1119" s="30">
        <v>45910</v>
      </c>
      <c r="AA1119" s="10" t="s">
        <v>150</v>
      </c>
      <c r="AB1119" s="19">
        <v>248</v>
      </c>
      <c r="AC1119" s="20">
        <v>60</v>
      </c>
      <c r="AD1119" s="18">
        <f>DATA[[#This Row],[FECHA DE EMISION]]+DATA[[#This Row],[CONDICION DE PAGO]]</f>
        <v>45970</v>
      </c>
      <c r="AE1119" s="23">
        <f>IF(DATA[[#This Row],[MONEDA]]="USD",VLOOKUP(DATA[[#This Row],[COMBINADA]],#REF!,11,0),1)</f>
        <v>1</v>
      </c>
      <c r="AF1119" s="129" t="str">
        <f>IF(DATA[[#This Row],[SERIE2]]="-","NO CORRESPONDE",IF(W1119="NO CORRESPONDE","NO CORRESPONDE",IF(Z1119&gt;0,"FACTURADO","PENDIENTE")))</f>
        <v>FACTURADO</v>
      </c>
      <c r="AG1119" s="133">
        <f>IFERROR(VLOOKUP(DATA[[#This Row],[COMBINADA]],#REF!,6,0),0)</f>
        <v>0</v>
      </c>
      <c r="AH1119" s="125">
        <f>IFERROR(VLOOKUP(DATA[[#This Row],[COMBINADA]],#REF!,9,0),0)/COUNTIFS(DATA[COMBINADA],DATA[[#This Row],[COMBINADA]])</f>
        <v>0</v>
      </c>
      <c r="AI1119" s="136">
        <f>IFERROR(VLOOKUP(DATA[[#This Row],[COMBINADA]],#REF!,6,0),0)</f>
        <v>0</v>
      </c>
      <c r="AJ1119" s="132">
        <f>IFERROR(VLOOKUP(DATA[[#This Row],[COMBINADA]],#REF!,9,0),0)/COUNTIFS(DATA[COMBINADA],DATA[[#This Row],[COMBINADA]])</f>
        <v>0</v>
      </c>
      <c r="AK1119" s="408">
        <f>IFERROR(VLOOKUP(DATA[[#This Row],[COMBINADA]],#REF!,6,0),0)</f>
        <v>0</v>
      </c>
      <c r="AL1119" s="125">
        <f>IFERROR(VLOOKUP(DATA[[#This Row],[COMBINADA]],#REF!,9,0),0)/COUNTIFS(DATA[COMBINADA],DATA[[#This Row],[COMBINADA]])</f>
        <v>0</v>
      </c>
      <c r="AM1119" s="27">
        <f>IFERROR(VLOOKUP(DATA[[#This Row],[COMBINADA]],#REF!,6,0),0)</f>
        <v>0</v>
      </c>
      <c r="AN1119" s="125">
        <f>IFERROR(VLOOKUP(DATA[[#This Row],[COMBINADA]],#REF!,9,0),0)/COUNTIFS(DATA[COMBINADA],DATA[[#This Row],[COMBINADA]])</f>
        <v>0</v>
      </c>
      <c r="AO1119" s="27">
        <f>IFERROR(VLOOKUP(DATA[[#This Row],[COMBINADA]],#REF!,6,0),0)</f>
        <v>0</v>
      </c>
      <c r="AP1119" s="132">
        <f>IFERROR(VLOOKUP(DATA[[#This Row],[COMBINADA]],#REF!,9,0),0)/COUNTIFS(DATA[COMBINADA],DATA[[#This Row],[COMBINADA]])</f>
        <v>0</v>
      </c>
      <c r="AQ111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1114.7433333333331</v>
      </c>
      <c r="AR1119" s="26" t="str">
        <f>IFERROR(IF(DATA[[#This Row],[estado_fact]]="FACTURADO",VLOOKUP(DATA[[#This Row],[SERIE2]]&amp;"-"&amp;DATA[[#This Row],[NUMERO]],#REF!,34,0),"NO CORRESPONDE"),"NO CORRESPONDE")</f>
        <v>NO CORRESPONDE</v>
      </c>
      <c r="AS1119" s="22" t="str">
        <f>IF(DATA[[#This Row],[fecha_fs]]&gt;0,TEXT(DATA[[#This Row],[fecha_fs]],"Mmmm"),0)</f>
        <v>Agosto</v>
      </c>
      <c r="AT1119" s="22" t="str">
        <f>DATA[[#This Row],[SERIE2]]&amp;"-"&amp;DATA[[#This Row],[NUMERO]]</f>
        <v>FF01-248</v>
      </c>
      <c r="AU1119" s="28">
        <f>DATA[[#This Row],[TOTAL]]*DATA[[#This Row],[T.C.]]</f>
        <v>1107.82</v>
      </c>
      <c r="AV1119" s="6">
        <f>DATA[[#This Row],[FECHA DE VAL.]]</f>
        <v>45898</v>
      </c>
      <c r="AW1119" s="6">
        <f>DATA[[#This Row],[FECHA DE EMISION]]</f>
        <v>45910</v>
      </c>
      <c r="AX1119" s="6">
        <f>DATA[[#This Row],[F1]]</f>
        <v>0</v>
      </c>
      <c r="AY1119" s="20">
        <f>IF(AV1119-DATA[[#This Row],[fecha_fs]]&lt;0,0,AV1119-DATA[[#This Row],[fecha_fs]])</f>
        <v>0</v>
      </c>
      <c r="AZ1119" s="20">
        <f t="shared" si="221"/>
        <v>12</v>
      </c>
      <c r="BA1119" s="53">
        <f t="shared" si="222"/>
        <v>0</v>
      </c>
      <c r="BB1119" s="195">
        <f>IFERROR(SUM(DATA[[#This Row],[fs_val_ttf]:[fact_pago_ttf]]),0)</f>
        <v>12</v>
      </c>
      <c r="BC1119" s="233">
        <v>45901</v>
      </c>
      <c r="BD1119" s="233">
        <v>45905</v>
      </c>
      <c r="BE1119" s="233">
        <v>45909</v>
      </c>
      <c r="BF1119" s="233">
        <v>45932</v>
      </c>
      <c r="BG1119" s="20">
        <f>IFERROR(IF(BC1119-DATA[[#This Row],[fecha_fs]]&lt;0,0,BC1119-DATA[[#This Row],[fecha_fs]]),0)</f>
        <v>3</v>
      </c>
      <c r="BH1119" s="20">
        <f t="shared" si="227"/>
        <v>4</v>
      </c>
      <c r="BI1119" s="20">
        <f t="shared" si="228"/>
        <v>4</v>
      </c>
      <c r="BJ1119" s="20">
        <f t="shared" si="229"/>
        <v>23</v>
      </c>
      <c r="BK1119" s="282">
        <f>IFERROR(SUM(DATA[[#This Row],[fs_fd_ttd]:[fend_fenf_ttd]]),0)</f>
        <v>34</v>
      </c>
      <c r="BL1119" s="20" t="str">
        <f>IF(DATA[[#This Row],[fecha_fs]]&gt;0,TEXT(DATA[[#This Row],[fecha_fs]],"YYYY"),0)</f>
        <v>2025</v>
      </c>
      <c r="BM1119" s="236" t="b">
        <v>1</v>
      </c>
      <c r="BN1119" s="278">
        <f>COUNTIF(DATA[[#This Row],[tiempo_td]], "&lt;=15")</f>
        <v>0</v>
      </c>
      <c r="BO1119" s="222"/>
    </row>
    <row r="1120" spans="1:67" ht="30.6" customHeight="1" x14ac:dyDescent="0.25">
      <c r="A1120" s="4">
        <v>20100211115</v>
      </c>
      <c r="B1120" s="5" t="s">
        <v>41</v>
      </c>
      <c r="C1120" s="52" t="s">
        <v>18</v>
      </c>
      <c r="D1120" s="4" t="s">
        <v>112</v>
      </c>
      <c r="E1120" s="5" t="s">
        <v>1</v>
      </c>
      <c r="F1120" s="24">
        <v>45898</v>
      </c>
      <c r="G1120" s="7" t="s">
        <v>113</v>
      </c>
      <c r="H1120" s="25">
        <f t="shared" ref="H1120:H1138" si="230">IF(G1120="","",IF(G1120="LIM",2,1))</f>
        <v>1</v>
      </c>
      <c r="I1120" s="67">
        <v>4927</v>
      </c>
      <c r="J1120" s="8" t="s">
        <v>115</v>
      </c>
      <c r="K1120" s="9" t="s">
        <v>116</v>
      </c>
      <c r="L1120" s="10" t="s">
        <v>117</v>
      </c>
      <c r="M1120" s="11">
        <v>9</v>
      </c>
      <c r="N1120" s="12" t="s">
        <v>132</v>
      </c>
      <c r="O1120" s="6">
        <v>45898</v>
      </c>
      <c r="P1120" s="115">
        <v>3636</v>
      </c>
      <c r="Q1120" s="14" t="s">
        <v>85</v>
      </c>
      <c r="R1120" s="309"/>
      <c r="S1120" s="309">
        <f>(DATA[[#This Row],[cantidad_fs]]*4.57)</f>
        <v>41.13</v>
      </c>
      <c r="T1120" s="237">
        <f>DATA[[#This Row],[C. DF]]+DATA[[#This Row],[C.OPE.]]</f>
        <v>41.13</v>
      </c>
      <c r="U1120" s="15">
        <f>DATA[[#This Row],[SUB TOTAL]]*0.18</f>
        <v>7.4034000000000004</v>
      </c>
      <c r="V1120" s="15">
        <f>IFERROR(ROUND(DATA[[#This Row],[SUB TOTAL]]+DATA[[#This Row],[IGV]],2),0)</f>
        <v>48.53</v>
      </c>
      <c r="W1120" s="16" t="str">
        <f>IF(DATA[[#This Row],[VALORIZACIÓN ]]="-","NO CORRESPONDE",IF(OR(A1120=20558226979,A1120=10470707866,A1120=20111157058,A1120=20100226902),"NO CORRESPONDE",IF(J1120="Emitida",IF(P1120&gt;0,"EMITIDA","PENDIENTE"),"NO CORRESPONDE")))</f>
        <v>EMITIDA</v>
      </c>
      <c r="X1120" s="29"/>
      <c r="Y1120" s="17" t="s">
        <v>118</v>
      </c>
      <c r="Z1120" s="30">
        <v>45930</v>
      </c>
      <c r="AA1120" s="10" t="s">
        <v>150</v>
      </c>
      <c r="AB1120" s="19">
        <v>271</v>
      </c>
      <c r="AC1120" s="20">
        <v>30</v>
      </c>
      <c r="AD1120" s="18">
        <f>DATA[[#This Row],[FECHA DE EMISION]]+DATA[[#This Row],[CONDICION DE PAGO]]</f>
        <v>45960</v>
      </c>
      <c r="AE1120" s="23">
        <f>IF(DATA[[#This Row],[MONEDA]]="USD",VLOOKUP(DATA[[#This Row],[COMBINADA]],#REF!,11,0),1)</f>
        <v>1</v>
      </c>
      <c r="AF1120" s="129" t="str">
        <f>IF(DATA[[#This Row],[SERIE2]]="-","NO CORRESPONDE",IF(W1120="NO CORRESPONDE","NO CORRESPONDE",IF(Z1120&gt;0,"FACTURADO","PENDIENTE")))</f>
        <v>FACTURADO</v>
      </c>
      <c r="AG1120" s="133">
        <f>IFERROR(VLOOKUP(DATA[[#This Row],[COMBINADA]],#REF!,6,0),0)</f>
        <v>0</v>
      </c>
      <c r="AH1120" s="125">
        <f>IFERROR(VLOOKUP(DATA[[#This Row],[COMBINADA]],#REF!,9,0),0)/COUNTIFS(DATA[COMBINADA],DATA[[#This Row],[COMBINADA]])</f>
        <v>0</v>
      </c>
      <c r="AI1120" s="136">
        <f>IFERROR(VLOOKUP(DATA[[#This Row],[COMBINADA]],#REF!,6,0),0)</f>
        <v>0</v>
      </c>
      <c r="AJ1120" s="132">
        <f>IFERROR(VLOOKUP(DATA[[#This Row],[COMBINADA]],#REF!,9,0),0)/COUNTIFS(DATA[COMBINADA],DATA[[#This Row],[COMBINADA]])</f>
        <v>0</v>
      </c>
      <c r="AK1120" s="407">
        <f>IFERROR(VLOOKUP(DATA[[#This Row],[COMBINADA]],#REF!,6,0),0)</f>
        <v>0</v>
      </c>
      <c r="AL1120" s="125">
        <f>IFERROR(VLOOKUP(DATA[[#This Row],[COMBINADA]],#REF!,9,0),0)/COUNTIFS(DATA[COMBINADA],DATA[[#This Row],[COMBINADA]])</f>
        <v>0</v>
      </c>
      <c r="AM1120" s="27">
        <f>IFERROR(VLOOKUP(DATA[[#This Row],[COMBINADA]],#REF!,6,0),0)</f>
        <v>0</v>
      </c>
      <c r="AN1120" s="125">
        <f>IFERROR(VLOOKUP(DATA[[#This Row],[COMBINADA]],#REF!,9,0),0)/COUNTIFS(DATA[COMBINADA],DATA[[#This Row],[COMBINADA]])</f>
        <v>0</v>
      </c>
      <c r="AO1120" s="27">
        <f>IFERROR(VLOOKUP(DATA[[#This Row],[COMBINADA]],#REF!,6,0),0)</f>
        <v>0</v>
      </c>
      <c r="AP1120" s="132">
        <f>IFERROR(VLOOKUP(DATA[[#This Row],[COMBINADA]],#REF!,9,0),0)/COUNTIFS(DATA[COMBINADA],DATA[[#This Row],[COMBINADA]])</f>
        <v>0</v>
      </c>
      <c r="AQ112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50.69</v>
      </c>
      <c r="AR1120" s="26" t="str">
        <f>IFERROR(IF(DATA[[#This Row],[estado_fact]]="FACTURADO",VLOOKUP(DATA[[#This Row],[SERIE2]]&amp;"-"&amp;DATA[[#This Row],[NUMERO]],#REF!,34,0),"NO CORRESPONDE"),"NO CORRESPONDE")</f>
        <v>NO CORRESPONDE</v>
      </c>
      <c r="AS1120" s="22" t="str">
        <f>IF(DATA[[#This Row],[fecha_fs]]&gt;0,TEXT(DATA[[#This Row],[fecha_fs]],"Mmmm"),0)</f>
        <v>Agosto</v>
      </c>
      <c r="AT1120" s="22" t="str">
        <f>DATA[[#This Row],[SERIE2]]&amp;"-"&amp;DATA[[#This Row],[NUMERO]]</f>
        <v>FF01-271</v>
      </c>
      <c r="AU1120" s="28">
        <f>DATA[[#This Row],[TOTAL]]*DATA[[#This Row],[T.C.]]</f>
        <v>48.53</v>
      </c>
      <c r="AV1120" s="6">
        <f>DATA[[#This Row],[FECHA DE VAL.]]</f>
        <v>45898</v>
      </c>
      <c r="AW1120" s="6">
        <f>DATA[[#This Row],[FECHA DE EMISION]]</f>
        <v>45930</v>
      </c>
      <c r="AX1120" s="6">
        <f>DATA[[#This Row],[F1]]</f>
        <v>0</v>
      </c>
      <c r="AY1120" s="20">
        <f>IF(AV1120-DATA[[#This Row],[fecha_fs]]&lt;0,0,AV1120-DATA[[#This Row],[fecha_fs]])</f>
        <v>0</v>
      </c>
      <c r="AZ1120" s="20">
        <f t="shared" ref="AZ1120:AZ1152" si="231">IF(AW1120-AV1120&lt;0,0,AW1120-AV1120)</f>
        <v>32</v>
      </c>
      <c r="BA1120" s="53">
        <f t="shared" ref="BA1120:BA1152" si="232">IF(AX1120-AW1120&lt;0,0,AX1120-AW1120)</f>
        <v>0</v>
      </c>
      <c r="BB1120" s="195">
        <f>IFERROR(SUM(DATA[[#This Row],[fs_val_ttf]:[fact_pago_ttf]]),0)</f>
        <v>32</v>
      </c>
      <c r="BC1120" s="233">
        <v>45933</v>
      </c>
      <c r="BD1120" s="233">
        <v>45940</v>
      </c>
      <c r="BE1120" s="233">
        <v>45940</v>
      </c>
      <c r="BF1120" s="233">
        <v>45945</v>
      </c>
      <c r="BG1120" s="20">
        <f>IFERROR(IF(BC1120-DATA[[#This Row],[fecha_fs]]&lt;0,0,BC1120-DATA[[#This Row],[fecha_fs]]),0)</f>
        <v>35</v>
      </c>
      <c r="BH1120" s="20">
        <f t="shared" si="227"/>
        <v>7</v>
      </c>
      <c r="BI1120" s="20">
        <f t="shared" si="228"/>
        <v>0</v>
      </c>
      <c r="BJ1120" s="20">
        <f t="shared" si="229"/>
        <v>5</v>
      </c>
      <c r="BK1120" s="282">
        <f>IFERROR(SUM(DATA[[#This Row],[fs_fd_ttd]:[fend_fenf_ttd]]),0)</f>
        <v>47</v>
      </c>
      <c r="BL1120" s="20" t="str">
        <f>IF(DATA[[#This Row],[fecha_fs]]&gt;0,TEXT(DATA[[#This Row],[fecha_fs]],"YYYY"),0)</f>
        <v>2025</v>
      </c>
      <c r="BM1120" s="236" t="b">
        <v>1</v>
      </c>
      <c r="BN1120" s="308">
        <f>COUNTIF(DATA[[#This Row],[tiempo_td]], "&lt;=15")</f>
        <v>0</v>
      </c>
      <c r="BO1120" s="222"/>
    </row>
    <row r="1121" spans="1:67" ht="30.6" customHeight="1" x14ac:dyDescent="0.25">
      <c r="A1121" s="4">
        <v>20419158462</v>
      </c>
      <c r="B1121" s="5" t="s">
        <v>2</v>
      </c>
      <c r="C1121" s="52" t="s">
        <v>147</v>
      </c>
      <c r="D1121" s="4" t="s">
        <v>120</v>
      </c>
      <c r="E1121" s="5" t="s">
        <v>3</v>
      </c>
      <c r="F1121" s="24">
        <v>45898</v>
      </c>
      <c r="G1121" s="7" t="s">
        <v>113</v>
      </c>
      <c r="H1121" s="25">
        <f t="shared" si="230"/>
        <v>1</v>
      </c>
      <c r="I1121" s="67">
        <v>4928</v>
      </c>
      <c r="J1121" s="8" t="s">
        <v>115</v>
      </c>
      <c r="K1121" s="9" t="s">
        <v>148</v>
      </c>
      <c r="L1121" s="10" t="s">
        <v>117</v>
      </c>
      <c r="M1121" s="11">
        <v>3500</v>
      </c>
      <c r="N1121" s="12" t="s">
        <v>122</v>
      </c>
      <c r="O1121" s="6">
        <v>45898</v>
      </c>
      <c r="P1121" s="13">
        <v>3643</v>
      </c>
      <c r="Q1121" s="14" t="s">
        <v>85</v>
      </c>
      <c r="R1121" s="309"/>
      <c r="S1121" s="56">
        <v>2597.6999999999998</v>
      </c>
      <c r="T1121" s="237">
        <f>DATA[[#This Row],[C. DF]]+DATA[[#This Row],[C.OPE.]]</f>
        <v>2597.6999999999998</v>
      </c>
      <c r="U1121" s="15">
        <f>DATA[[#This Row],[SUB TOTAL]]*0.18</f>
        <v>467.58599999999996</v>
      </c>
      <c r="V1121" s="15">
        <f>IFERROR(ROUND(DATA[[#This Row],[SUB TOTAL]]+DATA[[#This Row],[IGV]],2),0)</f>
        <v>3065.29</v>
      </c>
      <c r="W1121" s="16" t="str">
        <f>IF(DATA[[#This Row],[VALORIZACIÓN ]]="-","NO CORRESPONDE",IF(OR(A1121=20558226979,A1121=10470707866,A1121=20111157058,A1121=20100226902),"NO CORRESPONDE",IF(J1121="Emitida",IF(P1121&gt;0,"EMITIDA","PENDIENTE"),"NO CORRESPONDE")))</f>
        <v>EMITIDA</v>
      </c>
      <c r="X1121" s="29"/>
      <c r="Y1121" s="17" t="s">
        <v>232</v>
      </c>
      <c r="Z1121" s="30"/>
      <c r="AA1121" s="10"/>
      <c r="AB1121" s="19"/>
      <c r="AC1121" s="20"/>
      <c r="AD1121" s="18">
        <f>DATA[[#This Row],[FECHA DE EMISION]]+DATA[[#This Row],[CONDICION DE PAGO]]</f>
        <v>0</v>
      </c>
      <c r="AE1121" s="23">
        <f>IF(DATA[[#This Row],[MONEDA]]="USD",VLOOKUP(DATA[[#This Row],[COMBINADA]],#REF!,11,0),1)</f>
        <v>1</v>
      </c>
      <c r="AF1121" s="129" t="str">
        <f>IF(DATA[[#This Row],[SERIE2]]="-","NO CORRESPONDE",IF(W1121="NO CORRESPONDE","NO CORRESPONDE",IF(Z1121&gt;0,"FACTURADO","PENDIENTE")))</f>
        <v>PENDIENTE</v>
      </c>
      <c r="AG1121" s="133">
        <f>IFERROR(VLOOKUP(DATA[[#This Row],[COMBINADA]],#REF!,6,0),0)</f>
        <v>0</v>
      </c>
      <c r="AH1121" s="125">
        <f>IFERROR(VLOOKUP(DATA[[#This Row],[COMBINADA]],#REF!,9,0),0)/COUNTIFS(DATA[COMBINADA],DATA[[#This Row],[COMBINADA]])</f>
        <v>0</v>
      </c>
      <c r="AI1121" s="136">
        <f>IFERROR(VLOOKUP(DATA[[#This Row],[COMBINADA]],#REF!,6,0),0)</f>
        <v>0</v>
      </c>
      <c r="AJ1121" s="132">
        <f>IFERROR(VLOOKUP(DATA[[#This Row],[COMBINADA]],#REF!,9,0),0)/COUNTIFS(DATA[COMBINADA],DATA[[#This Row],[COMBINADA]])</f>
        <v>0</v>
      </c>
      <c r="AK1121" s="407">
        <f>IFERROR(VLOOKUP(DATA[[#This Row],[COMBINADA]],#REF!,6,0),0)</f>
        <v>0</v>
      </c>
      <c r="AL1121" s="125">
        <f>IFERROR(VLOOKUP(DATA[[#This Row],[COMBINADA]],#REF!,9,0),0)/COUNTIFS(DATA[COMBINADA],DATA[[#This Row],[COMBINADA]])</f>
        <v>0</v>
      </c>
      <c r="AM1121" s="27">
        <f>IFERROR(VLOOKUP(DATA[[#This Row],[COMBINADA]],#REF!,6,0),0)</f>
        <v>0</v>
      </c>
      <c r="AN1121" s="125">
        <f>IFERROR(VLOOKUP(DATA[[#This Row],[COMBINADA]],#REF!,9,0),0)/COUNTIFS(DATA[COMBINADA],DATA[[#This Row],[COMBINADA]])</f>
        <v>0</v>
      </c>
      <c r="AO1121" s="27">
        <f>IFERROR(VLOOKUP(DATA[[#This Row],[COMBINADA]],#REF!,6,0),0)</f>
        <v>0</v>
      </c>
      <c r="AP1121" s="132">
        <f>IFERROR(VLOOKUP(DATA[[#This Row],[COMBINADA]],#REF!,9,0),0)/COUNTIFS(DATA[COMBINADA],DATA[[#This Row],[COMBINADA]])</f>
        <v>0</v>
      </c>
      <c r="AQ112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121" s="26" t="str">
        <f>IFERROR(IF(DATA[[#This Row],[estado_fact]]="FACTURADO",VLOOKUP(DATA[[#This Row],[SERIE2]]&amp;"-"&amp;DATA[[#This Row],[NUMERO]],#REF!,34,0),"NO CORRESPONDE"),"NO CORRESPONDE")</f>
        <v>NO CORRESPONDE</v>
      </c>
      <c r="AS1121" s="22" t="str">
        <f>IF(DATA[[#This Row],[fecha_fs]]&gt;0,TEXT(DATA[[#This Row],[fecha_fs]],"Mmmm"),0)</f>
        <v>Agosto</v>
      </c>
      <c r="AT1121" s="22" t="str">
        <f>DATA[[#This Row],[SERIE2]]&amp;"-"&amp;DATA[[#This Row],[NUMERO]]</f>
        <v>-</v>
      </c>
      <c r="AU1121" s="28">
        <f>DATA[[#This Row],[TOTAL]]*DATA[[#This Row],[T.C.]]</f>
        <v>3065.29</v>
      </c>
      <c r="AV1121" s="6">
        <f>DATA[[#This Row],[FECHA DE VAL.]]</f>
        <v>45898</v>
      </c>
      <c r="AW1121" s="6">
        <f>DATA[[#This Row],[FECHA DE EMISION]]</f>
        <v>0</v>
      </c>
      <c r="AX1121" s="6">
        <f>DATA[[#This Row],[F1]]</f>
        <v>0</v>
      </c>
      <c r="AY1121" s="20">
        <f>IF(AV1121-DATA[[#This Row],[fecha_fs]]&lt;0,0,AV1121-DATA[[#This Row],[fecha_fs]])</f>
        <v>0</v>
      </c>
      <c r="AZ1121" s="20">
        <f t="shared" si="231"/>
        <v>0</v>
      </c>
      <c r="BA1121" s="53">
        <f t="shared" si="232"/>
        <v>0</v>
      </c>
      <c r="BB1121" s="195">
        <f>IFERROR(SUM(DATA[[#This Row],[fs_val_ttf]:[fact_pago_ttf]]),0)</f>
        <v>0</v>
      </c>
      <c r="BC1121" s="233">
        <v>45898</v>
      </c>
      <c r="BD1121" s="233">
        <v>45898</v>
      </c>
      <c r="BE1121" s="233">
        <v>45909</v>
      </c>
      <c r="BF1121" s="233">
        <v>45909</v>
      </c>
      <c r="BG1121" s="20">
        <f>IFERROR(IF(BC1121-DATA[[#This Row],[fecha_fs]]&lt;0,0,BC1121-DATA[[#This Row],[fecha_fs]]),0)</f>
        <v>0</v>
      </c>
      <c r="BH1121" s="20">
        <f t="shared" si="227"/>
        <v>0</v>
      </c>
      <c r="BI1121" s="20">
        <f t="shared" si="228"/>
        <v>11</v>
      </c>
      <c r="BJ1121" s="20">
        <f t="shared" si="229"/>
        <v>0</v>
      </c>
      <c r="BK1121" s="282">
        <f>IFERROR(SUM(DATA[[#This Row],[fs_fd_ttd]:[fend_fenf_ttd]]),0)</f>
        <v>11</v>
      </c>
      <c r="BL1121" s="20" t="str">
        <f>IF(DATA[[#This Row],[fecha_fs]]&gt;0,TEXT(DATA[[#This Row],[fecha_fs]],"YYYY"),0)</f>
        <v>2025</v>
      </c>
      <c r="BM1121" s="236" t="b">
        <v>1</v>
      </c>
      <c r="BN1121" s="278">
        <f>COUNTIF(DATA[[#This Row],[tiempo_td]], "&lt;=15")</f>
        <v>1</v>
      </c>
      <c r="BO1121" s="222"/>
    </row>
    <row r="1122" spans="1:67" ht="30.6" customHeight="1" x14ac:dyDescent="0.25">
      <c r="A1122" s="4">
        <v>20120788389</v>
      </c>
      <c r="B1122" s="5" t="s">
        <v>283</v>
      </c>
      <c r="C1122" s="52" t="s">
        <v>18</v>
      </c>
      <c r="D1122" s="4" t="s">
        <v>120</v>
      </c>
      <c r="E1122" s="5" t="s">
        <v>3</v>
      </c>
      <c r="F1122" s="24">
        <v>45898</v>
      </c>
      <c r="G1122" s="7" t="s">
        <v>113</v>
      </c>
      <c r="H1122" s="25">
        <f t="shared" si="230"/>
        <v>1</v>
      </c>
      <c r="I1122" s="67">
        <v>4929</v>
      </c>
      <c r="J1122" s="8" t="s">
        <v>115</v>
      </c>
      <c r="K1122" s="9" t="s">
        <v>121</v>
      </c>
      <c r="L1122" s="10" t="s">
        <v>117</v>
      </c>
      <c r="M1122" s="11">
        <v>30</v>
      </c>
      <c r="N1122" s="12" t="s">
        <v>200</v>
      </c>
      <c r="O1122" s="6">
        <v>45898</v>
      </c>
      <c r="P1122" s="13">
        <v>3644</v>
      </c>
      <c r="Q1122" s="14" t="s">
        <v>85</v>
      </c>
      <c r="R1122" s="309"/>
      <c r="S1122" s="15">
        <v>670.43</v>
      </c>
      <c r="T1122" s="237">
        <f>DATA[[#This Row],[C. DF]]+DATA[[#This Row],[C.OPE.]]</f>
        <v>670.43</v>
      </c>
      <c r="U1122" s="15">
        <f>DATA[[#This Row],[SUB TOTAL]]*0.18</f>
        <v>120.67739999999999</v>
      </c>
      <c r="V1122" s="15">
        <f>IFERROR(ROUND(DATA[[#This Row],[SUB TOTAL]]+DATA[[#This Row],[IGV]],2),0)</f>
        <v>791.11</v>
      </c>
      <c r="W1122" s="16" t="str">
        <f>IF(DATA[[#This Row],[VALORIZACIÓN ]]="-","NO CORRESPONDE",IF(OR(A1122=20558226979,A1122=10470707866,A1122=20111157058,A1122=20100226902),"NO CORRESPONDE",IF(J1122="Emitida",IF(P1122&gt;0,"EMITIDA","PENDIENTE"),"NO CORRESPONDE")))</f>
        <v>EMITIDA</v>
      </c>
      <c r="X1122" s="29"/>
      <c r="Y1122" s="17" t="s">
        <v>118</v>
      </c>
      <c r="Z1122" s="30">
        <v>45902</v>
      </c>
      <c r="AA1122" s="10" t="s">
        <v>150</v>
      </c>
      <c r="AB1122" s="19">
        <v>235</v>
      </c>
      <c r="AC1122" s="20">
        <v>15</v>
      </c>
      <c r="AD1122" s="18">
        <f>DATA[[#This Row],[FECHA DE EMISION]]+DATA[[#This Row],[CONDICION DE PAGO]]</f>
        <v>45917</v>
      </c>
      <c r="AE1122" s="23">
        <f>IF(DATA[[#This Row],[MONEDA]]="USD",VLOOKUP(DATA[[#This Row],[COMBINADA]],#REF!,11,0),1)</f>
        <v>1</v>
      </c>
      <c r="AF1122" s="129" t="str">
        <f>IF(DATA[[#This Row],[SERIE2]]="-","NO CORRESPONDE",IF(W1122="NO CORRESPONDE","NO CORRESPONDE",IF(Z1122&gt;0,"FACTURADO","PENDIENTE")))</f>
        <v>FACTURADO</v>
      </c>
      <c r="AG1122" s="133">
        <f>IFERROR(VLOOKUP(DATA[[#This Row],[COMBINADA]],#REF!,6,0),0)</f>
        <v>0</v>
      </c>
      <c r="AH1122" s="125">
        <f>IFERROR(VLOOKUP(DATA[[#This Row],[COMBINADA]],#REF!,9,0),0)/COUNTIFS(DATA[COMBINADA],DATA[[#This Row],[COMBINADA]])</f>
        <v>0</v>
      </c>
      <c r="AI1122" s="136">
        <f>IFERROR(VLOOKUP(DATA[[#This Row],[COMBINADA]],#REF!,6,0),0)</f>
        <v>0</v>
      </c>
      <c r="AJ1122" s="132">
        <f>IFERROR(VLOOKUP(DATA[[#This Row],[COMBINADA]],#REF!,9,0),0)/COUNTIFS(DATA[COMBINADA],DATA[[#This Row],[COMBINADA]])</f>
        <v>0</v>
      </c>
      <c r="AK1122" s="407">
        <f>IFERROR(VLOOKUP(DATA[[#This Row],[COMBINADA]],#REF!,6,0),0)</f>
        <v>0</v>
      </c>
      <c r="AL1122" s="125">
        <f>IFERROR(VLOOKUP(DATA[[#This Row],[COMBINADA]],#REF!,9,0),0)/COUNTIFS(DATA[COMBINADA],DATA[[#This Row],[COMBINADA]])</f>
        <v>0</v>
      </c>
      <c r="AM1122" s="27">
        <f>IFERROR(VLOOKUP(DATA[[#This Row],[COMBINADA]],#REF!,6,0),0)</f>
        <v>0</v>
      </c>
      <c r="AN1122" s="125">
        <f>IFERROR(VLOOKUP(DATA[[#This Row],[COMBINADA]],#REF!,9,0),0)/COUNTIFS(DATA[COMBINADA],DATA[[#This Row],[COMBINADA]])</f>
        <v>0</v>
      </c>
      <c r="AO1122" s="27">
        <f>IFERROR(VLOOKUP(DATA[[#This Row],[COMBINADA]],#REF!,6,0),0)</f>
        <v>0</v>
      </c>
      <c r="AP1122" s="132">
        <f>IFERROR(VLOOKUP(DATA[[#This Row],[COMBINADA]],#REF!,9,0),0)/COUNTIFS(DATA[COMBINADA],DATA[[#This Row],[COMBINADA]])</f>
        <v>0</v>
      </c>
      <c r="AQ112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791.11</v>
      </c>
      <c r="AR1122" s="26" t="str">
        <f>IFERROR(IF(DATA[[#This Row],[estado_fact]]="FACTURADO",VLOOKUP(DATA[[#This Row],[SERIE2]]&amp;"-"&amp;DATA[[#This Row],[NUMERO]],#REF!,34,0),"NO CORRESPONDE"),"NO CORRESPONDE")</f>
        <v>NO CORRESPONDE</v>
      </c>
      <c r="AS1122" s="22" t="str">
        <f>IF(DATA[[#This Row],[fecha_fs]]&gt;0,TEXT(DATA[[#This Row],[fecha_fs]],"Mmmm"),0)</f>
        <v>Agosto</v>
      </c>
      <c r="AT1122" s="22" t="str">
        <f>DATA[[#This Row],[SERIE2]]&amp;"-"&amp;DATA[[#This Row],[NUMERO]]</f>
        <v>FF01-235</v>
      </c>
      <c r="AU1122" s="28">
        <f>DATA[[#This Row],[TOTAL]]*DATA[[#This Row],[T.C.]]</f>
        <v>791.11</v>
      </c>
      <c r="AV1122" s="6">
        <f>DATA[[#This Row],[FECHA DE VAL.]]</f>
        <v>45898</v>
      </c>
      <c r="AW1122" s="6">
        <f>DATA[[#This Row],[FECHA DE EMISION]]</f>
        <v>45902</v>
      </c>
      <c r="AX1122" s="6">
        <f>DATA[[#This Row],[F1]]</f>
        <v>0</v>
      </c>
      <c r="AY1122" s="20">
        <f>IF(AV1122-DATA[[#This Row],[fecha_fs]]&lt;0,0,AV1122-DATA[[#This Row],[fecha_fs]])</f>
        <v>0</v>
      </c>
      <c r="AZ1122" s="20">
        <f t="shared" si="231"/>
        <v>4</v>
      </c>
      <c r="BA1122" s="53">
        <f t="shared" si="232"/>
        <v>0</v>
      </c>
      <c r="BB1122" s="195">
        <f>IFERROR(SUM(DATA[[#This Row],[fs_val_ttf]:[fact_pago_ttf]]),0)</f>
        <v>4</v>
      </c>
      <c r="BC1122" s="233">
        <v>45903</v>
      </c>
      <c r="BD1122" s="233">
        <v>45905</v>
      </c>
      <c r="BE1122" s="233">
        <v>45908</v>
      </c>
      <c r="BF1122" s="276" t="s">
        <v>270</v>
      </c>
      <c r="BG1122" s="20">
        <f>IFERROR(IF(BC1122-DATA[[#This Row],[fecha_fs]]&lt;0,0,BC1122-DATA[[#This Row],[fecha_fs]]),0)</f>
        <v>5</v>
      </c>
      <c r="BH1122" s="20">
        <f t="shared" si="227"/>
        <v>2</v>
      </c>
      <c r="BI1122" s="20">
        <f t="shared" si="228"/>
        <v>3</v>
      </c>
      <c r="BJ1122" s="20">
        <f t="shared" si="229"/>
        <v>0</v>
      </c>
      <c r="BK1122" s="282">
        <f>IFERROR(SUM(DATA[[#This Row],[fs_fd_ttd]:[fend_fenf_ttd]]),0)</f>
        <v>10</v>
      </c>
      <c r="BL1122" s="20" t="str">
        <f>IF(DATA[[#This Row],[fecha_fs]]&gt;0,TEXT(DATA[[#This Row],[fecha_fs]],"YYYY"),0)</f>
        <v>2025</v>
      </c>
      <c r="BM1122" s="236" t="b">
        <v>0</v>
      </c>
      <c r="BN1122" s="278">
        <f>COUNTIF(DATA[[#This Row],[tiempo_td]], "&lt;=15")</f>
        <v>1</v>
      </c>
      <c r="BO1122" s="222"/>
    </row>
    <row r="1123" spans="1:67" ht="30.6" customHeight="1" x14ac:dyDescent="0.25">
      <c r="A1123" s="4">
        <v>20100192064</v>
      </c>
      <c r="B1123" s="5" t="s">
        <v>60</v>
      </c>
      <c r="C1123" s="52" t="s">
        <v>64</v>
      </c>
      <c r="D1123" s="4" t="s">
        <v>112</v>
      </c>
      <c r="E1123" s="5" t="s">
        <v>1</v>
      </c>
      <c r="F1123" s="24">
        <v>45898</v>
      </c>
      <c r="G1123" s="7" t="s">
        <v>113</v>
      </c>
      <c r="H1123" s="25">
        <f t="shared" si="230"/>
        <v>1</v>
      </c>
      <c r="I1123" s="67">
        <v>4930</v>
      </c>
      <c r="J1123" s="8" t="s">
        <v>115</v>
      </c>
      <c r="K1123" s="9" t="s">
        <v>136</v>
      </c>
      <c r="L1123" s="10" t="s">
        <v>137</v>
      </c>
      <c r="M1123" s="11">
        <v>36</v>
      </c>
      <c r="N1123" s="12" t="s">
        <v>164</v>
      </c>
      <c r="O1123" s="6">
        <v>45926</v>
      </c>
      <c r="P1123" s="71">
        <v>3693</v>
      </c>
      <c r="Q1123" s="14" t="s">
        <v>123</v>
      </c>
      <c r="R1123" s="15">
        <f>DATA[[#This Row],[cantidad_fs]]*23.7</f>
        <v>853.19999999999993</v>
      </c>
      <c r="S1123" s="309"/>
      <c r="T1123" s="237">
        <f>DATA[[#This Row],[C. DF]]+DATA[[#This Row],[C.OPE.]]</f>
        <v>853.19999999999993</v>
      </c>
      <c r="U1123" s="15">
        <f>DATA[[#This Row],[SUB TOTAL]]*0.18</f>
        <v>153.57599999999999</v>
      </c>
      <c r="V1123" s="15">
        <f>IFERROR(ROUND(DATA[[#This Row],[SUB TOTAL]]+DATA[[#This Row],[IGV]],2),0)</f>
        <v>1006.78</v>
      </c>
      <c r="W1123" s="16" t="str">
        <f>IF(DATA[[#This Row],[VALORIZACIÓN ]]="-","NO CORRESPONDE",IF(OR(A1123=20558226979,A1123=10470707866,A1123=20111157058,A1123=20100226902),"NO CORRESPONDE",IF(J1123="Emitida",IF(P1123&gt;0,"EMITIDA","PENDIENTE"),"NO CORRESPONDE")))</f>
        <v>EMITIDA</v>
      </c>
      <c r="X1123" s="29"/>
      <c r="Y1123" s="17" t="s">
        <v>118</v>
      </c>
      <c r="Z1123" s="30">
        <v>45930</v>
      </c>
      <c r="AA1123" s="10" t="s">
        <v>349</v>
      </c>
      <c r="AB1123" s="19">
        <v>3</v>
      </c>
      <c r="AC1123" s="20">
        <v>30</v>
      </c>
      <c r="AD1123" s="18">
        <f>DATA[[#This Row],[FECHA DE EMISION]]+DATA[[#This Row],[CONDICION DE PAGO]]</f>
        <v>45960</v>
      </c>
      <c r="AE1123" s="23" t="e">
        <f>IF(DATA[[#This Row],[MONEDA]]="USD",VLOOKUP(DATA[[#This Row],[COMBINADA]],#REF!,11,0),1)</f>
        <v>#REF!</v>
      </c>
      <c r="AF1123" s="129" t="str">
        <f>IF(DATA[[#This Row],[SERIE2]]="-","NO CORRESPONDE",IF(W1123="NO CORRESPONDE","NO CORRESPONDE",IF(Z1123&gt;0,"FACTURADO","PENDIENTE")))</f>
        <v>FACTURADO</v>
      </c>
      <c r="AG1123" s="133">
        <f>IFERROR(VLOOKUP(DATA[[#This Row],[COMBINADA]],#REF!,6,0),0)</f>
        <v>0</v>
      </c>
      <c r="AH1123" s="125">
        <f>IFERROR(VLOOKUP(DATA[[#This Row],[COMBINADA]],#REF!,9,0),0)/COUNTIFS(DATA[COMBINADA],DATA[[#This Row],[COMBINADA]])</f>
        <v>0</v>
      </c>
      <c r="AI1123" s="136">
        <f>IFERROR(VLOOKUP(DATA[[#This Row],[COMBINADA]],#REF!,6,0),0)</f>
        <v>0</v>
      </c>
      <c r="AJ1123" s="132">
        <f>IFERROR(VLOOKUP(DATA[[#This Row],[COMBINADA]],#REF!,9,0),0)/COUNTIFS(DATA[COMBINADA],DATA[[#This Row],[COMBINADA]])</f>
        <v>0</v>
      </c>
      <c r="AK1123" s="407">
        <f>IFERROR(VLOOKUP(DATA[[#This Row],[COMBINADA]],#REF!,6,0),0)</f>
        <v>0</v>
      </c>
      <c r="AL1123" s="125">
        <f>IFERROR(VLOOKUP(DATA[[#This Row],[COMBINADA]],#REF!,9,0),0)/COUNTIFS(DATA[COMBINADA],DATA[[#This Row],[COMBINADA]])</f>
        <v>0</v>
      </c>
      <c r="AM1123" s="27">
        <f>IFERROR(VLOOKUP(DATA[[#This Row],[COMBINADA]],#REF!,6,0),0)</f>
        <v>0</v>
      </c>
      <c r="AN1123" s="125">
        <f>IFERROR(VLOOKUP(DATA[[#This Row],[COMBINADA]],#REF!,9,0),0)/COUNTIFS(DATA[COMBINADA],DATA[[#This Row],[COMBINADA]])</f>
        <v>0</v>
      </c>
      <c r="AO1123" s="27">
        <f>IFERROR(VLOOKUP(DATA[[#This Row],[COMBINADA]],#REF!,6,0),0)</f>
        <v>0</v>
      </c>
      <c r="AP1123" s="132">
        <f>IFERROR(VLOOKUP(DATA[[#This Row],[COMBINADA]],#REF!,9,0),0)/COUNTIFS(DATA[COMBINADA],DATA[[#This Row],[COMBINADA]])</f>
        <v>0</v>
      </c>
      <c r="AQ112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542.36833333333334</v>
      </c>
      <c r="AR1123" s="26" t="str">
        <f>IFERROR(IF(DATA[[#This Row],[estado_fact]]="FACTURADO",VLOOKUP(DATA[[#This Row],[SERIE2]]&amp;"-"&amp;DATA[[#This Row],[NUMERO]],#REF!,34,0),"NO CORRESPONDE"),"NO CORRESPONDE")</f>
        <v>NO CORRESPONDE</v>
      </c>
      <c r="AS1123" s="22" t="str">
        <f>IF(DATA[[#This Row],[fecha_fs]]&gt;0,TEXT(DATA[[#This Row],[fecha_fs]],"Mmmm"),0)</f>
        <v>Agosto</v>
      </c>
      <c r="AT1123" s="22" t="str">
        <f>DATA[[#This Row],[SERIE2]]&amp;"-"&amp;DATA[[#This Row],[NUMERO]]</f>
        <v>FF04-3</v>
      </c>
      <c r="AU1123" s="28" t="e">
        <f>DATA[[#This Row],[TOTAL]]*DATA[[#This Row],[T.C.]]</f>
        <v>#REF!</v>
      </c>
      <c r="AV1123" s="6">
        <f>DATA[[#This Row],[FECHA DE VAL.]]</f>
        <v>45926</v>
      </c>
      <c r="AW1123" s="6">
        <f>DATA[[#This Row],[FECHA DE EMISION]]</f>
        <v>45930</v>
      </c>
      <c r="AX1123" s="6">
        <f>DATA[[#This Row],[F1]]</f>
        <v>0</v>
      </c>
      <c r="AY1123" s="20">
        <f>IF(AV1123-DATA[[#This Row],[fecha_fs]]&lt;0,0,AV1123-DATA[[#This Row],[fecha_fs]])</f>
        <v>28</v>
      </c>
      <c r="AZ1123" s="20">
        <f t="shared" si="231"/>
        <v>4</v>
      </c>
      <c r="BA1123" s="53">
        <f t="shared" si="232"/>
        <v>0</v>
      </c>
      <c r="BB1123" s="195">
        <f>IFERROR(SUM(DATA[[#This Row],[fs_val_ttf]:[fact_pago_ttf]]),0)</f>
        <v>32</v>
      </c>
      <c r="BC1123" s="233">
        <v>45902</v>
      </c>
      <c r="BD1123" s="233">
        <v>45919</v>
      </c>
      <c r="BE1123" s="233">
        <v>45951</v>
      </c>
      <c r="BF1123" s="234" t="s">
        <v>270</v>
      </c>
      <c r="BG1123" s="20">
        <f>IFERROR(IF(BC1123-DATA[[#This Row],[fecha_fs]]&lt;0,0,BC1123-DATA[[#This Row],[fecha_fs]]),0)</f>
        <v>4</v>
      </c>
      <c r="BH1123" s="20">
        <f t="shared" si="227"/>
        <v>17</v>
      </c>
      <c r="BI1123" s="20">
        <f t="shared" si="228"/>
        <v>32</v>
      </c>
      <c r="BJ1123" s="20">
        <f t="shared" si="229"/>
        <v>0</v>
      </c>
      <c r="BK1123" s="282">
        <f>IFERROR(SUM(DATA[[#This Row],[fs_fd_ttd]:[fend_fenf_ttd]]),0)</f>
        <v>53</v>
      </c>
      <c r="BL1123" s="20" t="str">
        <f>IF(DATA[[#This Row],[fecha_fs]]&gt;0,TEXT(DATA[[#This Row],[fecha_fs]],"YYYY"),0)</f>
        <v>2025</v>
      </c>
      <c r="BM1123" s="236" t="b">
        <v>0</v>
      </c>
      <c r="BN1123" s="308">
        <f>COUNTIF(DATA[[#This Row],[tiempo_td]], "&lt;=15")</f>
        <v>0</v>
      </c>
      <c r="BO1123" s="222"/>
    </row>
    <row r="1124" spans="1:67" ht="30.6" customHeight="1" x14ac:dyDescent="0.25">
      <c r="A1124" s="4">
        <v>20100192064</v>
      </c>
      <c r="B1124" s="5" t="s">
        <v>60</v>
      </c>
      <c r="C1124" s="52" t="s">
        <v>43</v>
      </c>
      <c r="D1124" s="4" t="s">
        <v>120</v>
      </c>
      <c r="E1124" s="5" t="s">
        <v>3</v>
      </c>
      <c r="F1124" s="24">
        <v>45898</v>
      </c>
      <c r="G1124" s="7" t="s">
        <v>113</v>
      </c>
      <c r="H1124" s="25">
        <f t="shared" si="230"/>
        <v>1</v>
      </c>
      <c r="I1124" s="67">
        <v>4931</v>
      </c>
      <c r="J1124" s="8" t="s">
        <v>115</v>
      </c>
      <c r="K1124" s="9" t="s">
        <v>121</v>
      </c>
      <c r="L1124" s="10" t="s">
        <v>117</v>
      </c>
      <c r="M1124" s="11">
        <v>400</v>
      </c>
      <c r="N1124" s="12" t="s">
        <v>132</v>
      </c>
      <c r="O1124" s="6">
        <v>45926</v>
      </c>
      <c r="P1124" s="71">
        <v>3688</v>
      </c>
      <c r="Q1124" s="14" t="s">
        <v>123</v>
      </c>
      <c r="R1124" s="237">
        <f>(DATA[[#This Row],[cantidad_fs]]/1000)*(47+174.34)</f>
        <v>88.536000000000001</v>
      </c>
      <c r="S1124" s="237">
        <v>137</v>
      </c>
      <c r="T1124" s="237">
        <f>DATA[[#This Row],[C. DF]]+DATA[[#This Row],[C.OPE.]]</f>
        <v>225.536</v>
      </c>
      <c r="U1124" s="15">
        <f>DATA[[#This Row],[SUB TOTAL]]*0.18</f>
        <v>40.59648</v>
      </c>
      <c r="V1124" s="15">
        <f>IFERROR(ROUND(DATA[[#This Row],[SUB TOTAL]]+DATA[[#This Row],[IGV]],2),0)</f>
        <v>266.13</v>
      </c>
      <c r="W1124" s="16" t="str">
        <f>IF(DATA[[#This Row],[VALORIZACIÓN ]]="-","NO CORRESPONDE",IF(OR(A1124=20558226979,A1124=10470707866,A1124=20111157058,A1124=20100226902),"NO CORRESPONDE",IF(J1124="Emitida",IF(P1124&gt;0,"EMITIDA","PENDIENTE"),"NO CORRESPONDE")))</f>
        <v>EMITIDA</v>
      </c>
      <c r="X1124" s="29"/>
      <c r="Y1124" s="17" t="s">
        <v>118</v>
      </c>
      <c r="Z1124" s="30">
        <v>45930</v>
      </c>
      <c r="AA1124" s="10" t="s">
        <v>349</v>
      </c>
      <c r="AB1124" s="19">
        <v>3</v>
      </c>
      <c r="AC1124" s="20">
        <v>30</v>
      </c>
      <c r="AD1124" s="18">
        <f>DATA[[#This Row],[FECHA DE EMISION]]+DATA[[#This Row],[CONDICION DE PAGO]]</f>
        <v>45960</v>
      </c>
      <c r="AE1124" s="23" t="e">
        <f>IF(DATA[[#This Row],[MONEDA]]="USD",VLOOKUP(DATA[[#This Row],[COMBINADA]],#REF!,11,0),1)</f>
        <v>#REF!</v>
      </c>
      <c r="AF1124" s="129" t="str">
        <f>IF(DATA[[#This Row],[SERIE2]]="-","NO CORRESPONDE",IF(W1124="NO CORRESPONDE","NO CORRESPONDE",IF(Z1124&gt;0,"FACTURADO","PENDIENTE")))</f>
        <v>FACTURADO</v>
      </c>
      <c r="AG1124" s="133">
        <f>IFERROR(VLOOKUP(DATA[[#This Row],[COMBINADA]],#REF!,6,0),0)</f>
        <v>0</v>
      </c>
      <c r="AH1124" s="125">
        <f>IFERROR(VLOOKUP(DATA[[#This Row],[COMBINADA]],#REF!,9,0),0)/COUNTIFS(DATA[COMBINADA],DATA[[#This Row],[COMBINADA]])</f>
        <v>0</v>
      </c>
      <c r="AI1124" s="136">
        <f>IFERROR(VLOOKUP(DATA[[#This Row],[COMBINADA]],#REF!,6,0),0)</f>
        <v>0</v>
      </c>
      <c r="AJ1124" s="132">
        <f>IFERROR(VLOOKUP(DATA[[#This Row],[COMBINADA]],#REF!,9,0),0)/COUNTIFS(DATA[COMBINADA],DATA[[#This Row],[COMBINADA]])</f>
        <v>0</v>
      </c>
      <c r="AK1124" s="407">
        <f>IFERROR(VLOOKUP(DATA[[#This Row],[COMBINADA]],#REF!,6,0),0)</f>
        <v>0</v>
      </c>
      <c r="AL1124" s="125">
        <f>IFERROR(VLOOKUP(DATA[[#This Row],[COMBINADA]],#REF!,9,0),0)/COUNTIFS(DATA[COMBINADA],DATA[[#This Row],[COMBINADA]])</f>
        <v>0</v>
      </c>
      <c r="AM1124" s="27">
        <f>IFERROR(VLOOKUP(DATA[[#This Row],[COMBINADA]],#REF!,6,0),0)</f>
        <v>0</v>
      </c>
      <c r="AN1124" s="125">
        <f>IFERROR(VLOOKUP(DATA[[#This Row],[COMBINADA]],#REF!,9,0),0)/COUNTIFS(DATA[COMBINADA],DATA[[#This Row],[COMBINADA]])</f>
        <v>0</v>
      </c>
      <c r="AO1124" s="27">
        <f>IFERROR(VLOOKUP(DATA[[#This Row],[COMBINADA]],#REF!,6,0),0)</f>
        <v>0</v>
      </c>
      <c r="AP1124" s="132">
        <f>IFERROR(VLOOKUP(DATA[[#This Row],[COMBINADA]],#REF!,9,0),0)/COUNTIFS(DATA[COMBINADA],DATA[[#This Row],[COMBINADA]])</f>
        <v>0</v>
      </c>
      <c r="AQ112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542.36833333333334</v>
      </c>
      <c r="AR1124" s="26" t="str">
        <f>IFERROR(IF(DATA[[#This Row],[estado_fact]]="FACTURADO",VLOOKUP(DATA[[#This Row],[SERIE2]]&amp;"-"&amp;DATA[[#This Row],[NUMERO]],#REF!,34,0),"NO CORRESPONDE"),"NO CORRESPONDE")</f>
        <v>NO CORRESPONDE</v>
      </c>
      <c r="AS1124" s="22" t="str">
        <f>IF(DATA[[#This Row],[fecha_fs]]&gt;0,TEXT(DATA[[#This Row],[fecha_fs]],"Mmmm"),0)</f>
        <v>Agosto</v>
      </c>
      <c r="AT1124" s="22" t="str">
        <f>DATA[[#This Row],[SERIE2]]&amp;"-"&amp;DATA[[#This Row],[NUMERO]]</f>
        <v>FF04-3</v>
      </c>
      <c r="AU1124" s="28" t="e">
        <f>DATA[[#This Row],[TOTAL]]*DATA[[#This Row],[T.C.]]</f>
        <v>#REF!</v>
      </c>
      <c r="AV1124" s="6">
        <f>DATA[[#This Row],[FECHA DE VAL.]]</f>
        <v>45926</v>
      </c>
      <c r="AW1124" s="6">
        <f>DATA[[#This Row],[FECHA DE EMISION]]</f>
        <v>45930</v>
      </c>
      <c r="AX1124" s="6">
        <f>DATA[[#This Row],[F1]]</f>
        <v>0</v>
      </c>
      <c r="AY1124" s="20">
        <f>IF(AV1124-DATA[[#This Row],[fecha_fs]]&lt;0,0,AV1124-DATA[[#This Row],[fecha_fs]])</f>
        <v>28</v>
      </c>
      <c r="AZ1124" s="20">
        <f t="shared" si="231"/>
        <v>4</v>
      </c>
      <c r="BA1124" s="53">
        <f t="shared" si="232"/>
        <v>0</v>
      </c>
      <c r="BB1124" s="195">
        <f>IFERROR(SUM(DATA[[#This Row],[fs_val_ttf]:[fact_pago_ttf]]),0)</f>
        <v>32</v>
      </c>
      <c r="BC1124" s="233">
        <v>45915</v>
      </c>
      <c r="BD1124" s="233">
        <v>45932</v>
      </c>
      <c r="BE1124" s="233">
        <v>45933</v>
      </c>
      <c r="BF1124" s="233">
        <v>45945</v>
      </c>
      <c r="BG1124" s="20">
        <f>IFERROR(IF(BC1124-DATA[[#This Row],[fecha_fs]]&lt;0,0,BC1124-DATA[[#This Row],[fecha_fs]]),0)</f>
        <v>17</v>
      </c>
      <c r="BH1124" s="20">
        <f t="shared" si="227"/>
        <v>17</v>
      </c>
      <c r="BI1124" s="20">
        <f t="shared" si="228"/>
        <v>1</v>
      </c>
      <c r="BJ1124" s="20">
        <f t="shared" si="229"/>
        <v>12</v>
      </c>
      <c r="BK1124" s="282">
        <f>IFERROR(SUM(DATA[[#This Row],[fs_fd_ttd]:[fend_fenf_ttd]]),0)</f>
        <v>47</v>
      </c>
      <c r="BL1124" s="20" t="str">
        <f>IF(DATA[[#This Row],[fecha_fs]]&gt;0,TEXT(DATA[[#This Row],[fecha_fs]],"YYYY"),0)</f>
        <v>2025</v>
      </c>
      <c r="BM1124" s="236" t="b">
        <v>1</v>
      </c>
      <c r="BN1124" s="278">
        <f>COUNTIF(DATA[[#This Row],[tiempo_td]], "&lt;=15")</f>
        <v>0</v>
      </c>
      <c r="BO1124" s="222"/>
    </row>
    <row r="1125" spans="1:67" ht="30.75" customHeight="1" x14ac:dyDescent="0.25">
      <c r="A1125" s="4">
        <v>20505675836</v>
      </c>
      <c r="B1125" s="5" t="s">
        <v>42</v>
      </c>
      <c r="C1125" s="52" t="s">
        <v>43</v>
      </c>
      <c r="D1125" s="4" t="s">
        <v>112</v>
      </c>
      <c r="E1125" s="5" t="s">
        <v>1</v>
      </c>
      <c r="F1125" s="24">
        <v>45901</v>
      </c>
      <c r="G1125" s="7" t="s">
        <v>113</v>
      </c>
      <c r="H1125" s="25">
        <f t="shared" si="230"/>
        <v>1</v>
      </c>
      <c r="I1125" s="67">
        <v>4932</v>
      </c>
      <c r="J1125" s="8" t="s">
        <v>115</v>
      </c>
      <c r="K1125" s="9" t="s">
        <v>116</v>
      </c>
      <c r="L1125" s="10" t="s">
        <v>117</v>
      </c>
      <c r="M1125" s="11">
        <v>1500</v>
      </c>
      <c r="N1125" s="12" t="s">
        <v>122</v>
      </c>
      <c r="O1125" s="6">
        <v>45926</v>
      </c>
      <c r="P1125" s="71">
        <v>3683</v>
      </c>
      <c r="Q1125" s="14" t="s">
        <v>85</v>
      </c>
      <c r="R1125" s="15">
        <f>(DATA[[#This Row],[cantidad_fs]]-600)*0.97</f>
        <v>873</v>
      </c>
      <c r="S1125" s="15">
        <v>1427.2</v>
      </c>
      <c r="T1125" s="237">
        <f>DATA[[#This Row],[C. DF]]+DATA[[#This Row],[C.OPE.]]</f>
        <v>2300.1999999999998</v>
      </c>
      <c r="U1125" s="15">
        <f>DATA[[#This Row],[SUB TOTAL]]*0.18</f>
        <v>414.03599999999994</v>
      </c>
      <c r="V1125" s="15">
        <f>IFERROR(ROUND(DATA[[#This Row],[SUB TOTAL]]+DATA[[#This Row],[IGV]],2),0)</f>
        <v>2714.24</v>
      </c>
      <c r="W1125" s="16" t="str">
        <f>IF(DATA[[#This Row],[VALORIZACIÓN ]]="-","NO CORRESPONDE",IF(OR(A1125=20558226979,A1125=10470707866,A1125=20111157058,A1125=20100226902),"NO CORRESPONDE",IF(J1125="Emitida",IF(P1125&gt;0,"EMITIDA","PENDIENTE"),"NO CORRESPONDE")))</f>
        <v>EMITIDA</v>
      </c>
      <c r="X1125" s="29"/>
      <c r="Y1125" s="17" t="s">
        <v>118</v>
      </c>
      <c r="Z1125" s="30">
        <v>45968</v>
      </c>
      <c r="AA1125" s="10" t="s">
        <v>150</v>
      </c>
      <c r="AB1125" s="19">
        <v>341</v>
      </c>
      <c r="AC1125" s="20">
        <v>30</v>
      </c>
      <c r="AD1125" s="18">
        <f>DATA[[#This Row],[FECHA DE EMISION]]+DATA[[#This Row],[CONDICION DE PAGO]]</f>
        <v>45998</v>
      </c>
      <c r="AE1125" s="23">
        <f>IF(DATA[[#This Row],[MONEDA]]="USD",VLOOKUP(DATA[[#This Row],[COMBINADA]],#REF!,11,0),1)</f>
        <v>1</v>
      </c>
      <c r="AF1125" s="129" t="str">
        <f>IF(DATA[[#This Row],[SERIE2]]="-","NO CORRESPONDE",IF(W1125="NO CORRESPONDE","NO CORRESPONDE",IF(Z1125&gt;0,"FACTURADO","PENDIENTE")))</f>
        <v>FACTURADO</v>
      </c>
      <c r="AG1125" s="133">
        <f>IFERROR(VLOOKUP(DATA[[#This Row],[COMBINADA]],#REF!,6,0),0)</f>
        <v>0</v>
      </c>
      <c r="AH1125" s="125">
        <f>IFERROR(VLOOKUP(DATA[[#This Row],[COMBINADA]],#REF!,9,0),0)/COUNTIFS(DATA[COMBINADA],DATA[[#This Row],[COMBINADA]])</f>
        <v>0</v>
      </c>
      <c r="AI1125" s="136">
        <f>IFERROR(VLOOKUP(DATA[[#This Row],[COMBINADA]],#REF!,6,0),0)</f>
        <v>0</v>
      </c>
      <c r="AJ1125" s="132">
        <f>IFERROR(VLOOKUP(DATA[[#This Row],[COMBINADA]],#REF!,9,0),0)/COUNTIFS(DATA[COMBINADA],DATA[[#This Row],[COMBINADA]])</f>
        <v>0</v>
      </c>
      <c r="AK1125" s="407">
        <f>IFERROR(VLOOKUP(DATA[[#This Row],[COMBINADA]],#REF!,6,0),0)</f>
        <v>0</v>
      </c>
      <c r="AL1125" s="125">
        <f>IFERROR(VLOOKUP(DATA[[#This Row],[COMBINADA]],#REF!,9,0),0)/COUNTIFS(DATA[COMBINADA],DATA[[#This Row],[COMBINADA]])</f>
        <v>0</v>
      </c>
      <c r="AM1125" s="27">
        <f>IFERROR(VLOOKUP(DATA[[#This Row],[COMBINADA]],#REF!,6,0),0)</f>
        <v>0</v>
      </c>
      <c r="AN1125" s="125">
        <f>IFERROR(VLOOKUP(DATA[[#This Row],[COMBINADA]],#REF!,9,0),0)/COUNTIFS(DATA[COMBINADA],DATA[[#This Row],[COMBINADA]])</f>
        <v>0</v>
      </c>
      <c r="AO1125" s="27">
        <f>IFERROR(VLOOKUP(DATA[[#This Row],[COMBINADA]],#REF!,6,0),0)</f>
        <v>0</v>
      </c>
      <c r="AP1125" s="132">
        <f>IFERROR(VLOOKUP(DATA[[#This Row],[COMBINADA]],#REF!,9,0),0)/COUNTIFS(DATA[COMBINADA],DATA[[#This Row],[COMBINADA]])</f>
        <v>0</v>
      </c>
      <c r="AQ112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2087.2925</v>
      </c>
      <c r="AR1125" s="26" t="str">
        <f>IFERROR(IF(DATA[[#This Row],[estado_fact]]="FACTURADO",VLOOKUP(DATA[[#This Row],[SERIE2]]&amp;"-"&amp;DATA[[#This Row],[NUMERO]],#REF!,34,0),"NO CORRESPONDE"),"NO CORRESPONDE")</f>
        <v>NO CORRESPONDE</v>
      </c>
      <c r="AS1125" s="22" t="str">
        <f>IF(DATA[[#This Row],[fecha_fs]]&gt;0,TEXT(DATA[[#This Row],[fecha_fs]],"Mmmm"),0)</f>
        <v>Setiembre</v>
      </c>
      <c r="AT1125" s="22" t="str">
        <f>DATA[[#This Row],[SERIE2]]&amp;"-"&amp;DATA[[#This Row],[NUMERO]]</f>
        <v>FF01-341</v>
      </c>
      <c r="AU1125" s="28">
        <f>DATA[[#This Row],[TOTAL]]*DATA[[#This Row],[T.C.]]</f>
        <v>2714.24</v>
      </c>
      <c r="AV1125" s="6">
        <f>DATA[[#This Row],[FECHA DE VAL.]]</f>
        <v>45926</v>
      </c>
      <c r="AW1125" s="6">
        <f>DATA[[#This Row],[FECHA DE EMISION]]</f>
        <v>45968</v>
      </c>
      <c r="AX1125" s="6">
        <f>DATA[[#This Row],[F1]]</f>
        <v>0</v>
      </c>
      <c r="AY1125" s="20">
        <f>IF(AV1125-DATA[[#This Row],[fecha_fs]]&lt;0,0,AV1125-DATA[[#This Row],[fecha_fs]])</f>
        <v>25</v>
      </c>
      <c r="AZ1125" s="20">
        <f t="shared" si="231"/>
        <v>42</v>
      </c>
      <c r="BA1125" s="53">
        <f t="shared" si="232"/>
        <v>0</v>
      </c>
      <c r="BB1125" s="195">
        <f>IFERROR(SUM(DATA[[#This Row],[fs_val_ttf]:[fact_pago_ttf]]),0)</f>
        <v>67</v>
      </c>
      <c r="BC1125" s="233">
        <v>45911</v>
      </c>
      <c r="BD1125" s="233">
        <v>45919</v>
      </c>
      <c r="BE1125" s="233">
        <v>45933</v>
      </c>
      <c r="BF1125" s="233">
        <v>45943</v>
      </c>
      <c r="BG1125" s="20">
        <f>IFERROR(IF(BC1125-DATA[[#This Row],[fecha_fs]]&lt;0,0,BC1125-DATA[[#This Row],[fecha_fs]]),0)</f>
        <v>10</v>
      </c>
      <c r="BH1125" s="20">
        <f t="shared" si="227"/>
        <v>8</v>
      </c>
      <c r="BI1125" s="20">
        <f t="shared" si="228"/>
        <v>14</v>
      </c>
      <c r="BJ1125" s="20">
        <f t="shared" si="229"/>
        <v>10</v>
      </c>
      <c r="BK1125" s="282">
        <f>IFERROR(SUM(DATA[[#This Row],[fs_fd_ttd]:[fend_fenf_ttd]]),0)</f>
        <v>42</v>
      </c>
      <c r="BL1125" s="20" t="str">
        <f>IF(DATA[[#This Row],[fecha_fs]]&gt;0,TEXT(DATA[[#This Row],[fecha_fs]],"YYYY"),0)</f>
        <v>2025</v>
      </c>
      <c r="BM1125" s="236" t="b">
        <v>1</v>
      </c>
      <c r="BN1125" s="278">
        <f>COUNTIF(DATA[[#This Row],[tiempo_td]], "&lt;=15")</f>
        <v>0</v>
      </c>
      <c r="BO1125" s="222"/>
    </row>
    <row r="1126" spans="1:67" ht="30.6" customHeight="1" x14ac:dyDescent="0.25">
      <c r="A1126" s="4">
        <v>20100192064</v>
      </c>
      <c r="B1126" s="5" t="s">
        <v>60</v>
      </c>
      <c r="C1126" s="52" t="s">
        <v>43</v>
      </c>
      <c r="D1126" s="4" t="s">
        <v>112</v>
      </c>
      <c r="E1126" s="5" t="s">
        <v>1</v>
      </c>
      <c r="F1126" s="24">
        <v>45901</v>
      </c>
      <c r="G1126" s="7" t="s">
        <v>113</v>
      </c>
      <c r="H1126" s="25">
        <f t="shared" si="230"/>
        <v>1</v>
      </c>
      <c r="I1126" s="67">
        <v>4933</v>
      </c>
      <c r="J1126" s="8" t="s">
        <v>115</v>
      </c>
      <c r="K1126" s="9" t="s">
        <v>116</v>
      </c>
      <c r="L1126" s="10" t="s">
        <v>117</v>
      </c>
      <c r="M1126" s="11">
        <v>3060</v>
      </c>
      <c r="N1126" s="12" t="s">
        <v>122</v>
      </c>
      <c r="O1126" s="6">
        <v>45926</v>
      </c>
      <c r="P1126" s="71">
        <v>3689</v>
      </c>
      <c r="Q1126" s="14" t="s">
        <v>123</v>
      </c>
      <c r="R1126" s="15">
        <f>(DATA[[#This Row],[cantidad_fs]]/1000)*(143+175.34)</f>
        <v>974.12040000000013</v>
      </c>
      <c r="S1126" s="15">
        <v>137</v>
      </c>
      <c r="T1126" s="237">
        <f>DATA[[#This Row],[C. DF]]+DATA[[#This Row],[C.OPE.]]</f>
        <v>1111.1204000000002</v>
      </c>
      <c r="U1126" s="15">
        <f>DATA[[#This Row],[SUB TOTAL]]*0.18</f>
        <v>200.00167200000004</v>
      </c>
      <c r="V1126" s="15">
        <f>IFERROR(ROUND(DATA[[#This Row],[SUB TOTAL]]+DATA[[#This Row],[IGV]],2),0)</f>
        <v>1311.12</v>
      </c>
      <c r="W1126" s="16" t="str">
        <f>IF(DATA[[#This Row],[VALORIZACIÓN ]]="-","NO CORRESPONDE",IF(OR(A1126=20558226979,A1126=10470707866,A1126=20111157058,A1126=20100226902),"NO CORRESPONDE",IF(J1126="Emitida",IF(P1126&gt;0,"EMITIDA","PENDIENTE"),"NO CORRESPONDE")))</f>
        <v>EMITIDA</v>
      </c>
      <c r="X1126" s="29"/>
      <c r="Y1126" s="17" t="s">
        <v>118</v>
      </c>
      <c r="Z1126" s="30">
        <v>45930</v>
      </c>
      <c r="AA1126" s="10" t="s">
        <v>349</v>
      </c>
      <c r="AB1126" s="19">
        <v>3</v>
      </c>
      <c r="AC1126" s="20">
        <v>30</v>
      </c>
      <c r="AD1126" s="18">
        <f>DATA[[#This Row],[FECHA DE EMISION]]+DATA[[#This Row],[CONDICION DE PAGO]]</f>
        <v>45960</v>
      </c>
      <c r="AE1126" s="23" t="e">
        <f>IF(DATA[[#This Row],[MONEDA]]="USD",VLOOKUP(DATA[[#This Row],[COMBINADA]],#REF!,11,0),1)</f>
        <v>#REF!</v>
      </c>
      <c r="AF1126" s="129" t="str">
        <f>IF(DATA[[#This Row],[SERIE2]]="-","NO CORRESPONDE",IF(W1126="NO CORRESPONDE","NO CORRESPONDE",IF(Z1126&gt;0,"FACTURADO","PENDIENTE")))</f>
        <v>FACTURADO</v>
      </c>
      <c r="AG1126" s="133">
        <f>IFERROR(VLOOKUP(DATA[[#This Row],[COMBINADA]],#REF!,6,0),0)</f>
        <v>0</v>
      </c>
      <c r="AH1126" s="125">
        <f>IFERROR(VLOOKUP(DATA[[#This Row],[COMBINADA]],#REF!,9,0),0)/COUNTIFS(DATA[COMBINADA],DATA[[#This Row],[COMBINADA]])</f>
        <v>0</v>
      </c>
      <c r="AI1126" s="136">
        <f>IFERROR(VLOOKUP(DATA[[#This Row],[COMBINADA]],#REF!,6,0),0)</f>
        <v>0</v>
      </c>
      <c r="AJ1126" s="132">
        <f>IFERROR(VLOOKUP(DATA[[#This Row],[COMBINADA]],#REF!,9,0),0)/COUNTIFS(DATA[COMBINADA],DATA[[#This Row],[COMBINADA]])</f>
        <v>0</v>
      </c>
      <c r="AK1126" s="407">
        <f>IFERROR(VLOOKUP(DATA[[#This Row],[COMBINADA]],#REF!,6,0),0)</f>
        <v>0</v>
      </c>
      <c r="AL1126" s="125">
        <f>IFERROR(VLOOKUP(DATA[[#This Row],[COMBINADA]],#REF!,9,0),0)/COUNTIFS(DATA[COMBINADA],DATA[[#This Row],[COMBINADA]])</f>
        <v>0</v>
      </c>
      <c r="AM1126" s="27">
        <f>IFERROR(VLOOKUP(DATA[[#This Row],[COMBINADA]],#REF!,6,0),0)</f>
        <v>0</v>
      </c>
      <c r="AN1126" s="125">
        <f>IFERROR(VLOOKUP(DATA[[#This Row],[COMBINADA]],#REF!,9,0),0)/COUNTIFS(DATA[COMBINADA],DATA[[#This Row],[COMBINADA]])</f>
        <v>0</v>
      </c>
      <c r="AO1126" s="27">
        <f>IFERROR(VLOOKUP(DATA[[#This Row],[COMBINADA]],#REF!,6,0),0)</f>
        <v>0</v>
      </c>
      <c r="AP1126" s="132">
        <f>IFERROR(VLOOKUP(DATA[[#This Row],[COMBINADA]],#REF!,9,0),0)/COUNTIFS(DATA[COMBINADA],DATA[[#This Row],[COMBINADA]])</f>
        <v>0</v>
      </c>
      <c r="AQ112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542.36833333333334</v>
      </c>
      <c r="AR1126" s="26" t="str">
        <f>IFERROR(IF(DATA[[#This Row],[estado_fact]]="FACTURADO",VLOOKUP(DATA[[#This Row],[SERIE2]]&amp;"-"&amp;DATA[[#This Row],[NUMERO]],#REF!,34,0),"NO CORRESPONDE"),"NO CORRESPONDE")</f>
        <v>NO CORRESPONDE</v>
      </c>
      <c r="AS1126" s="22" t="str">
        <f>IF(DATA[[#This Row],[fecha_fs]]&gt;0,TEXT(DATA[[#This Row],[fecha_fs]],"Mmmm"),0)</f>
        <v>Setiembre</v>
      </c>
      <c r="AT1126" s="22" t="str">
        <f>DATA[[#This Row],[SERIE2]]&amp;"-"&amp;DATA[[#This Row],[NUMERO]]</f>
        <v>FF04-3</v>
      </c>
      <c r="AU1126" s="28" t="e">
        <f>DATA[[#This Row],[TOTAL]]*DATA[[#This Row],[T.C.]]</f>
        <v>#REF!</v>
      </c>
      <c r="AV1126" s="6">
        <f>DATA[[#This Row],[FECHA DE VAL.]]</f>
        <v>45926</v>
      </c>
      <c r="AW1126" s="6">
        <f>DATA[[#This Row],[FECHA DE EMISION]]</f>
        <v>45930</v>
      </c>
      <c r="AX1126" s="6">
        <f>DATA[[#This Row],[F1]]</f>
        <v>0</v>
      </c>
      <c r="AY1126" s="20">
        <f>IF(AV1126-DATA[[#This Row],[fecha_fs]]&lt;0,0,AV1126-DATA[[#This Row],[fecha_fs]])</f>
        <v>25</v>
      </c>
      <c r="AZ1126" s="20">
        <f t="shared" si="231"/>
        <v>4</v>
      </c>
      <c r="BA1126" s="53">
        <f t="shared" si="232"/>
        <v>0</v>
      </c>
      <c r="BB1126" s="195">
        <f>IFERROR(SUM(DATA[[#This Row],[fs_val_ttf]:[fact_pago_ttf]]),0)</f>
        <v>29</v>
      </c>
      <c r="BC1126" s="233">
        <v>45911</v>
      </c>
      <c r="BD1126" s="233">
        <v>45919</v>
      </c>
      <c r="BE1126" s="233">
        <v>45933</v>
      </c>
      <c r="BF1126" s="233">
        <v>45945</v>
      </c>
      <c r="BG1126" s="20">
        <f>IFERROR(IF(BC1126-DATA[[#This Row],[fecha_fs]]&lt;0,0,BC1126-DATA[[#This Row],[fecha_fs]]),0)</f>
        <v>10</v>
      </c>
      <c r="BH1126" s="20">
        <f t="shared" si="227"/>
        <v>8</v>
      </c>
      <c r="BI1126" s="20">
        <f t="shared" si="228"/>
        <v>14</v>
      </c>
      <c r="BJ1126" s="20">
        <f t="shared" si="229"/>
        <v>12</v>
      </c>
      <c r="BK1126" s="282">
        <f>IFERROR(SUM(DATA[[#This Row],[fs_fd_ttd]:[fend_fenf_ttd]]),0)</f>
        <v>44</v>
      </c>
      <c r="BL1126" s="20" t="str">
        <f>IF(DATA[[#This Row],[fecha_fs]]&gt;0,TEXT(DATA[[#This Row],[fecha_fs]],"YYYY"),0)</f>
        <v>2025</v>
      </c>
      <c r="BM1126" s="236" t="b">
        <v>1</v>
      </c>
      <c r="BN1126" s="308">
        <f>COUNTIF(DATA[[#This Row],[tiempo_td]], "&lt;=15")</f>
        <v>0</v>
      </c>
      <c r="BO1126" s="222"/>
    </row>
    <row r="1127" spans="1:67" ht="30.6" customHeight="1" x14ac:dyDescent="0.25">
      <c r="A1127" s="4">
        <v>20100211115</v>
      </c>
      <c r="B1127" s="5" t="s">
        <v>41</v>
      </c>
      <c r="C1127" s="52" t="s">
        <v>18</v>
      </c>
      <c r="D1127" s="4" t="s">
        <v>120</v>
      </c>
      <c r="E1127" s="5" t="s">
        <v>3</v>
      </c>
      <c r="F1127" s="24">
        <v>45901</v>
      </c>
      <c r="G1127" s="7" t="s">
        <v>113</v>
      </c>
      <c r="H1127" s="25">
        <f t="shared" si="230"/>
        <v>1</v>
      </c>
      <c r="I1127" s="67">
        <v>4934</v>
      </c>
      <c r="J1127" s="8" t="s">
        <v>115</v>
      </c>
      <c r="K1127" s="9" t="s">
        <v>121</v>
      </c>
      <c r="L1127" s="10" t="s">
        <v>117</v>
      </c>
      <c r="M1127" s="11">
        <v>90</v>
      </c>
      <c r="N1127" s="12" t="s">
        <v>132</v>
      </c>
      <c r="O1127" s="6">
        <v>45926</v>
      </c>
      <c r="P1127" s="115">
        <v>3679</v>
      </c>
      <c r="Q1127" s="14" t="s">
        <v>85</v>
      </c>
      <c r="R1127" s="74"/>
      <c r="S1127" s="15">
        <f>(DATA[[#This Row],[cantidad_fs]]*4.17)</f>
        <v>375.3</v>
      </c>
      <c r="T1127" s="237">
        <f>DATA[[#This Row],[C. DF]]+DATA[[#This Row],[C.OPE.]]</f>
        <v>375.3</v>
      </c>
      <c r="U1127" s="15">
        <f>DATA[[#This Row],[SUB TOTAL]]*0.18</f>
        <v>67.554000000000002</v>
      </c>
      <c r="V1127" s="15">
        <f>IFERROR(ROUND(DATA[[#This Row],[SUB TOTAL]]+DATA[[#This Row],[IGV]],2),0)</f>
        <v>442.85</v>
      </c>
      <c r="W1127" s="16" t="str">
        <f>IF(DATA[[#This Row],[VALORIZACIÓN ]]="-","NO CORRESPONDE",IF(OR(A1127=20558226979,A1127=10470707866,A1127=20111157058,A1127=20100226902),"NO CORRESPONDE",IF(J1127="Emitida",IF(P1127&gt;0,"EMITIDA","PENDIENTE"),"NO CORRESPONDE")))</f>
        <v>EMITIDA</v>
      </c>
      <c r="X1127" s="29"/>
      <c r="Y1127" s="17" t="s">
        <v>118</v>
      </c>
      <c r="Z1127" s="30">
        <v>45930</v>
      </c>
      <c r="AA1127" s="10" t="s">
        <v>150</v>
      </c>
      <c r="AB1127" s="19">
        <v>269</v>
      </c>
      <c r="AC1127" s="20">
        <v>30</v>
      </c>
      <c r="AD1127" s="18">
        <f>DATA[[#This Row],[FECHA DE EMISION]]+DATA[[#This Row],[CONDICION DE PAGO]]</f>
        <v>45960</v>
      </c>
      <c r="AE1127" s="23">
        <f>IF(DATA[[#This Row],[MONEDA]]="USD",VLOOKUP(DATA[[#This Row],[COMBINADA]],#REF!,11,0),1)</f>
        <v>1</v>
      </c>
      <c r="AF1127" s="129" t="str">
        <f>IF(DATA[[#This Row],[SERIE2]]="-","NO CORRESPONDE",IF(W1127="NO CORRESPONDE","NO CORRESPONDE",IF(Z1127&gt;0,"FACTURADO","PENDIENTE")))</f>
        <v>FACTURADO</v>
      </c>
      <c r="AG1127" s="133">
        <f>IFERROR(VLOOKUP(DATA[[#This Row],[COMBINADA]],#REF!,6,0),0)</f>
        <v>0</v>
      </c>
      <c r="AH1127" s="125">
        <f>IFERROR(VLOOKUP(DATA[[#This Row],[COMBINADA]],#REF!,9,0),0)/COUNTIFS(DATA[COMBINADA],DATA[[#This Row],[COMBINADA]])</f>
        <v>0</v>
      </c>
      <c r="AI1127" s="136">
        <f>IFERROR(VLOOKUP(DATA[[#This Row],[COMBINADA]],#REF!,6,0),0)</f>
        <v>0</v>
      </c>
      <c r="AJ1127" s="132">
        <f>IFERROR(VLOOKUP(DATA[[#This Row],[COMBINADA]],#REF!,9,0),0)/COUNTIFS(DATA[COMBINADA],DATA[[#This Row],[COMBINADA]])</f>
        <v>0</v>
      </c>
      <c r="AK1127" s="407">
        <f>IFERROR(VLOOKUP(DATA[[#This Row],[COMBINADA]],#REF!,6,0),0)</f>
        <v>0</v>
      </c>
      <c r="AL1127" s="125">
        <f>IFERROR(VLOOKUP(DATA[[#This Row],[COMBINADA]],#REF!,9,0),0)/COUNTIFS(DATA[COMBINADA],DATA[[#This Row],[COMBINADA]])</f>
        <v>0</v>
      </c>
      <c r="AM1127" s="27">
        <f>IFERROR(VLOOKUP(DATA[[#This Row],[COMBINADA]],#REF!,6,0),0)</f>
        <v>0</v>
      </c>
      <c r="AN1127" s="125">
        <f>IFERROR(VLOOKUP(DATA[[#This Row],[COMBINADA]],#REF!,9,0),0)/COUNTIFS(DATA[COMBINADA],DATA[[#This Row],[COMBINADA]])</f>
        <v>0</v>
      </c>
      <c r="AO1127" s="27">
        <f>IFERROR(VLOOKUP(DATA[[#This Row],[COMBINADA]],#REF!,6,0),0)</f>
        <v>0</v>
      </c>
      <c r="AP1127" s="132">
        <f>IFERROR(VLOOKUP(DATA[[#This Row],[COMBINADA]],#REF!,9,0),0)/COUNTIFS(DATA[COMBINADA],DATA[[#This Row],[COMBINADA]])</f>
        <v>0</v>
      </c>
      <c r="AQ112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127" s="26" t="str">
        <f>IFERROR(IF(DATA[[#This Row],[estado_fact]]="FACTURADO",VLOOKUP(DATA[[#This Row],[SERIE2]]&amp;"-"&amp;DATA[[#This Row],[NUMERO]],#REF!,34,0),"NO CORRESPONDE"),"NO CORRESPONDE")</f>
        <v>NO CORRESPONDE</v>
      </c>
      <c r="AS1127" s="22" t="str">
        <f>IF(DATA[[#This Row],[fecha_fs]]&gt;0,TEXT(DATA[[#This Row],[fecha_fs]],"Mmmm"),0)</f>
        <v>Setiembre</v>
      </c>
      <c r="AT1127" s="22" t="str">
        <f>DATA[[#This Row],[SERIE2]]&amp;"-"&amp;DATA[[#This Row],[NUMERO]]</f>
        <v>FF01-269</v>
      </c>
      <c r="AU1127" s="28">
        <f>DATA[[#This Row],[TOTAL]]*DATA[[#This Row],[T.C.]]</f>
        <v>442.85</v>
      </c>
      <c r="AV1127" s="6">
        <f>DATA[[#This Row],[FECHA DE VAL.]]</f>
        <v>45926</v>
      </c>
      <c r="AW1127" s="6">
        <f>DATA[[#This Row],[FECHA DE EMISION]]</f>
        <v>45930</v>
      </c>
      <c r="AX1127" s="6">
        <f>DATA[[#This Row],[F1]]</f>
        <v>0</v>
      </c>
      <c r="AY1127" s="20">
        <f>IF(AV1127-DATA[[#This Row],[fecha_fs]]&lt;0,0,AV1127-DATA[[#This Row],[fecha_fs]])</f>
        <v>25</v>
      </c>
      <c r="AZ1127" s="20">
        <f t="shared" si="231"/>
        <v>4</v>
      </c>
      <c r="BA1127" s="53">
        <f t="shared" si="232"/>
        <v>0</v>
      </c>
      <c r="BB1127" s="195">
        <f>IFERROR(SUM(DATA[[#This Row],[fs_val_ttf]:[fact_pago_ttf]]),0)</f>
        <v>29</v>
      </c>
      <c r="BC1127" s="233">
        <v>45932</v>
      </c>
      <c r="BD1127" s="233">
        <v>45939</v>
      </c>
      <c r="BE1127" s="233">
        <v>45939</v>
      </c>
      <c r="BF1127" s="233">
        <v>45940</v>
      </c>
      <c r="BG1127" s="20">
        <f>IFERROR(IF(BC1127-DATA[[#This Row],[fecha_fs]]&lt;0,0,BC1127-DATA[[#This Row],[fecha_fs]]),0)</f>
        <v>31</v>
      </c>
      <c r="BH1127" s="20">
        <f t="shared" si="227"/>
        <v>7</v>
      </c>
      <c r="BI1127" s="20">
        <f t="shared" si="228"/>
        <v>0</v>
      </c>
      <c r="BJ1127" s="20">
        <f t="shared" si="229"/>
        <v>1</v>
      </c>
      <c r="BK1127" s="282">
        <f>IFERROR(SUM(DATA[[#This Row],[fs_fd_ttd]:[fend_fenf_ttd]]),0)</f>
        <v>39</v>
      </c>
      <c r="BL1127" s="20" t="str">
        <f>IF(DATA[[#This Row],[fecha_fs]]&gt;0,TEXT(DATA[[#This Row],[fecha_fs]],"YYYY"),0)</f>
        <v>2025</v>
      </c>
      <c r="BM1127" s="236" t="b">
        <v>1</v>
      </c>
      <c r="BN1127" s="278">
        <f>COUNTIF(DATA[[#This Row],[tiempo_td]], "&lt;=15")</f>
        <v>0</v>
      </c>
      <c r="BO1127" s="222"/>
    </row>
    <row r="1128" spans="1:67" ht="30.6" customHeight="1" x14ac:dyDescent="0.25">
      <c r="A1128" s="4">
        <v>20141637941</v>
      </c>
      <c r="B1128" s="5" t="s">
        <v>79</v>
      </c>
      <c r="C1128" s="52" t="s">
        <v>18</v>
      </c>
      <c r="D1128" s="4" t="s">
        <v>120</v>
      </c>
      <c r="E1128" s="5" t="s">
        <v>3</v>
      </c>
      <c r="F1128" s="24">
        <v>45901</v>
      </c>
      <c r="G1128" s="7" t="s">
        <v>113</v>
      </c>
      <c r="H1128" s="25">
        <f t="shared" si="230"/>
        <v>1</v>
      </c>
      <c r="I1128" s="67">
        <v>4935</v>
      </c>
      <c r="J1128" s="8" t="s">
        <v>115</v>
      </c>
      <c r="K1128" s="9" t="s">
        <v>121</v>
      </c>
      <c r="L1128" s="10" t="s">
        <v>117</v>
      </c>
      <c r="M1128" s="11">
        <v>1020</v>
      </c>
      <c r="N1128" s="12" t="s">
        <v>125</v>
      </c>
      <c r="O1128" s="6">
        <v>45909</v>
      </c>
      <c r="P1128" s="110">
        <v>3651</v>
      </c>
      <c r="Q1128" s="14" t="s">
        <v>85</v>
      </c>
      <c r="R1128" s="309">
        <f>80+((DATA[[#This Row],[cantidad_fs]]-1000)*0.08)</f>
        <v>81.599999999999994</v>
      </c>
      <c r="S1128" s="309">
        <v>832</v>
      </c>
      <c r="T1128" s="237">
        <f>DATA[[#This Row],[C. DF]]+DATA[[#This Row],[C.OPE.]]</f>
        <v>913.6</v>
      </c>
      <c r="U1128" s="15">
        <f>DATA[[#This Row],[SUB TOTAL]]*0.18</f>
        <v>164.44800000000001</v>
      </c>
      <c r="V1128" s="15">
        <f>IFERROR(ROUND(DATA[[#This Row],[SUB TOTAL]]+DATA[[#This Row],[IGV]],2),0)</f>
        <v>1078.05</v>
      </c>
      <c r="W1128" s="16" t="str">
        <f>IF(DATA[[#This Row],[VALORIZACIÓN ]]="-","NO CORRESPONDE",IF(OR(A1128=20558226979,A1128=10470707866,A1128=20111157058,A1128=20100226902),"NO CORRESPONDE",IF(J1128="Emitida",IF(P1128&gt;0,"EMITIDA","PENDIENTE"),"NO CORRESPONDE")))</f>
        <v>EMITIDA</v>
      </c>
      <c r="X1128" s="29"/>
      <c r="Y1128" s="17" t="s">
        <v>118</v>
      </c>
      <c r="Z1128" s="30">
        <v>45909</v>
      </c>
      <c r="AA1128" s="10" t="s">
        <v>150</v>
      </c>
      <c r="AB1128" s="19">
        <v>245</v>
      </c>
      <c r="AC1128" s="20">
        <v>30</v>
      </c>
      <c r="AD1128" s="18">
        <f>DATA[[#This Row],[FECHA DE EMISION]]+DATA[[#This Row],[CONDICION DE PAGO]]</f>
        <v>45939</v>
      </c>
      <c r="AE1128" s="23">
        <f>IF(DATA[[#This Row],[MONEDA]]="USD",VLOOKUP(DATA[[#This Row],[COMBINADA]],#REF!,11,0),1)</f>
        <v>1</v>
      </c>
      <c r="AF1128" s="129" t="str">
        <f>IF(DATA[[#This Row],[SERIE2]]="-","NO CORRESPONDE",IF(W1128="NO CORRESPONDE","NO CORRESPONDE",IF(Z1128&gt;0,"FACTURADO","PENDIENTE")))</f>
        <v>FACTURADO</v>
      </c>
      <c r="AG1128" s="133">
        <f>IFERROR(VLOOKUP(DATA[[#This Row],[COMBINADA]],#REF!,6,0),0)</f>
        <v>0</v>
      </c>
      <c r="AH1128" s="125">
        <f>IFERROR(VLOOKUP(DATA[[#This Row],[COMBINADA]],#REF!,9,0),0)/COUNTIFS(DATA[COMBINADA],DATA[[#This Row],[COMBINADA]])</f>
        <v>0</v>
      </c>
      <c r="AI1128" s="136">
        <f>IFERROR(VLOOKUP(DATA[[#This Row],[COMBINADA]],#REF!,6,0),0)</f>
        <v>0</v>
      </c>
      <c r="AJ1128" s="132">
        <f>IFERROR(VLOOKUP(DATA[[#This Row],[COMBINADA]],#REF!,9,0),0)/COUNTIFS(DATA[COMBINADA],DATA[[#This Row],[COMBINADA]])</f>
        <v>0</v>
      </c>
      <c r="AK1128" s="407">
        <f>IFERROR(VLOOKUP(DATA[[#This Row],[COMBINADA]],#REF!,6,0),0)</f>
        <v>0</v>
      </c>
      <c r="AL1128" s="125">
        <f>IFERROR(VLOOKUP(DATA[[#This Row],[COMBINADA]],#REF!,9,0),0)/COUNTIFS(DATA[COMBINADA],DATA[[#This Row],[COMBINADA]])</f>
        <v>0</v>
      </c>
      <c r="AM1128" s="27">
        <f>IFERROR(VLOOKUP(DATA[[#This Row],[COMBINADA]],#REF!,6,0),0)</f>
        <v>0</v>
      </c>
      <c r="AN1128" s="125">
        <f>IFERROR(VLOOKUP(DATA[[#This Row],[COMBINADA]],#REF!,9,0),0)/COUNTIFS(DATA[COMBINADA],DATA[[#This Row],[COMBINADA]])</f>
        <v>0</v>
      </c>
      <c r="AO1128" s="27">
        <f>IFERROR(VLOOKUP(DATA[[#This Row],[COMBINADA]],#REF!,6,0),0)</f>
        <v>0</v>
      </c>
      <c r="AP1128" s="132">
        <f>IFERROR(VLOOKUP(DATA[[#This Row],[COMBINADA]],#REF!,9,0),0)/COUNTIFS(DATA[COMBINADA],DATA[[#This Row],[COMBINADA]])</f>
        <v>0</v>
      </c>
      <c r="AQ112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1088.4325000000001</v>
      </c>
      <c r="AR1128" s="26" t="str">
        <f>IFERROR(IF(DATA[[#This Row],[estado_fact]]="FACTURADO",VLOOKUP(DATA[[#This Row],[SERIE2]]&amp;"-"&amp;DATA[[#This Row],[NUMERO]],#REF!,34,0),"NO CORRESPONDE"),"NO CORRESPONDE")</f>
        <v>NO CORRESPONDE</v>
      </c>
      <c r="AS1128" s="22" t="str">
        <f>IF(DATA[[#This Row],[fecha_fs]]&gt;0,TEXT(DATA[[#This Row],[fecha_fs]],"Mmmm"),0)</f>
        <v>Setiembre</v>
      </c>
      <c r="AT1128" s="22" t="str">
        <f>DATA[[#This Row],[SERIE2]]&amp;"-"&amp;DATA[[#This Row],[NUMERO]]</f>
        <v>FF01-245</v>
      </c>
      <c r="AU1128" s="28">
        <f>DATA[[#This Row],[TOTAL]]*DATA[[#This Row],[T.C.]]</f>
        <v>1078.05</v>
      </c>
      <c r="AV1128" s="6">
        <f>DATA[[#This Row],[FECHA DE VAL.]]</f>
        <v>45909</v>
      </c>
      <c r="AW1128" s="6">
        <f>DATA[[#This Row],[FECHA DE EMISION]]</f>
        <v>45909</v>
      </c>
      <c r="AX1128" s="6">
        <f>DATA[[#This Row],[F1]]</f>
        <v>0</v>
      </c>
      <c r="AY1128" s="20">
        <f>IF(AV1128-DATA[[#This Row],[fecha_fs]]&lt;0,0,AV1128-DATA[[#This Row],[fecha_fs]])</f>
        <v>8</v>
      </c>
      <c r="AZ1128" s="20">
        <f t="shared" si="231"/>
        <v>0</v>
      </c>
      <c r="BA1128" s="53">
        <f t="shared" si="232"/>
        <v>0</v>
      </c>
      <c r="BB1128" s="195">
        <f>IFERROR(SUM(DATA[[#This Row],[fs_val_ttf]:[fact_pago_ttf]]),0)</f>
        <v>8</v>
      </c>
      <c r="BC1128" s="233">
        <v>45904</v>
      </c>
      <c r="BD1128" s="233">
        <v>45905</v>
      </c>
      <c r="BE1128" s="233">
        <v>45931</v>
      </c>
      <c r="BF1128" s="233">
        <v>45939</v>
      </c>
      <c r="BG1128" s="20">
        <f>IFERROR(IF(BC1128-DATA[[#This Row],[fecha_fs]]&lt;0,0,BC1128-DATA[[#This Row],[fecha_fs]]),0)</f>
        <v>3</v>
      </c>
      <c r="BH1128" s="20">
        <f t="shared" si="227"/>
        <v>1</v>
      </c>
      <c r="BI1128" s="20">
        <f t="shared" si="228"/>
        <v>26</v>
      </c>
      <c r="BJ1128" s="20">
        <f t="shared" si="229"/>
        <v>8</v>
      </c>
      <c r="BK1128" s="282">
        <f>IFERROR(SUM(DATA[[#This Row],[fs_fd_ttd]:[fend_fenf_ttd]]),0)</f>
        <v>38</v>
      </c>
      <c r="BL1128" s="20" t="str">
        <f>IF(DATA[[#This Row],[fecha_fs]]&gt;0,TEXT(DATA[[#This Row],[fecha_fs]],"YYYY"),0)</f>
        <v>2025</v>
      </c>
      <c r="BM1128" s="236" t="b">
        <v>1</v>
      </c>
      <c r="BN1128" s="278">
        <f>COUNTIF(DATA[[#This Row],[tiempo_td]], "&lt;=15")</f>
        <v>0</v>
      </c>
      <c r="BO1128" s="222"/>
    </row>
    <row r="1129" spans="1:67" ht="30.6" customHeight="1" x14ac:dyDescent="0.25">
      <c r="A1129" s="4">
        <v>20505675836</v>
      </c>
      <c r="B1129" s="5" t="s">
        <v>42</v>
      </c>
      <c r="C1129" s="52" t="s">
        <v>43</v>
      </c>
      <c r="D1129" s="4" t="s">
        <v>120</v>
      </c>
      <c r="E1129" s="5" t="s">
        <v>3</v>
      </c>
      <c r="F1129" s="24">
        <v>45901</v>
      </c>
      <c r="G1129" s="7" t="s">
        <v>113</v>
      </c>
      <c r="H1129" s="25">
        <f t="shared" si="230"/>
        <v>1</v>
      </c>
      <c r="I1129" s="67">
        <v>4936</v>
      </c>
      <c r="J1129" s="8" t="s">
        <v>115</v>
      </c>
      <c r="K1129" s="9" t="s">
        <v>121</v>
      </c>
      <c r="L1129" s="10" t="s">
        <v>117</v>
      </c>
      <c r="M1129" s="11">
        <v>200</v>
      </c>
      <c r="N1129" s="12" t="s">
        <v>132</v>
      </c>
      <c r="O1129" s="6">
        <v>45926</v>
      </c>
      <c r="P1129" s="71">
        <v>3682</v>
      </c>
      <c r="Q1129" s="14" t="s">
        <v>85</v>
      </c>
      <c r="R1129" s="15">
        <f>(DATA[[#This Row],[cantidad_fs]]-150)*0.67</f>
        <v>33.5</v>
      </c>
      <c r="S1129" s="15">
        <v>817.68</v>
      </c>
      <c r="T1129" s="237">
        <f>DATA[[#This Row],[C. DF]]+DATA[[#This Row],[C.OPE.]]</f>
        <v>851.18</v>
      </c>
      <c r="U1129" s="15">
        <f>DATA[[#This Row],[SUB TOTAL]]*0.18</f>
        <v>153.21239999999997</v>
      </c>
      <c r="V1129" s="15">
        <f>IFERROR(ROUND(DATA[[#This Row],[SUB TOTAL]]+DATA[[#This Row],[IGV]],2),0)</f>
        <v>1004.39</v>
      </c>
      <c r="W1129" s="16" t="str">
        <f>IF(DATA[[#This Row],[VALORIZACIÓN ]]="-","NO CORRESPONDE",IF(OR(A1129=20558226979,A1129=10470707866,A1129=20111157058,A1129=20100226902),"NO CORRESPONDE",IF(J1129="Emitida",IF(P1129&gt;0,"EMITIDA","PENDIENTE"),"NO CORRESPONDE")))</f>
        <v>EMITIDA</v>
      </c>
      <c r="X1129" s="29"/>
      <c r="Y1129" s="17" t="s">
        <v>118</v>
      </c>
      <c r="Z1129" s="30">
        <v>45968</v>
      </c>
      <c r="AA1129" s="10" t="s">
        <v>150</v>
      </c>
      <c r="AB1129" s="19">
        <v>341</v>
      </c>
      <c r="AC1129" s="20">
        <v>30</v>
      </c>
      <c r="AD1129" s="18">
        <f>DATA[[#This Row],[FECHA DE EMISION]]+DATA[[#This Row],[CONDICION DE PAGO]]</f>
        <v>45998</v>
      </c>
      <c r="AE1129" s="23">
        <f>IF(DATA[[#This Row],[MONEDA]]="USD",VLOOKUP(DATA[[#This Row],[COMBINADA]],#REF!,11,0),1)</f>
        <v>1</v>
      </c>
      <c r="AF1129" s="129" t="str">
        <f>IF(DATA[[#This Row],[SERIE2]]="-","NO CORRESPONDE",IF(W1129="NO CORRESPONDE","NO CORRESPONDE",IF(Z1129&gt;0,"FACTURADO","PENDIENTE")))</f>
        <v>FACTURADO</v>
      </c>
      <c r="AG1129" s="133">
        <f>IFERROR(VLOOKUP(DATA[[#This Row],[COMBINADA]],#REF!,6,0),0)</f>
        <v>0</v>
      </c>
      <c r="AH1129" s="125">
        <f>IFERROR(VLOOKUP(DATA[[#This Row],[COMBINADA]],#REF!,9,0),0)/COUNTIFS(DATA[COMBINADA],DATA[[#This Row],[COMBINADA]])</f>
        <v>0</v>
      </c>
      <c r="AI1129" s="136">
        <f>IFERROR(VLOOKUP(DATA[[#This Row],[COMBINADA]],#REF!,6,0),0)</f>
        <v>0</v>
      </c>
      <c r="AJ1129" s="132">
        <f>IFERROR(VLOOKUP(DATA[[#This Row],[COMBINADA]],#REF!,9,0),0)/COUNTIFS(DATA[COMBINADA],DATA[[#This Row],[COMBINADA]])</f>
        <v>0</v>
      </c>
      <c r="AK1129" s="407">
        <f>IFERROR(VLOOKUP(DATA[[#This Row],[COMBINADA]],#REF!,6,0),0)</f>
        <v>0</v>
      </c>
      <c r="AL1129" s="125">
        <f>IFERROR(VLOOKUP(DATA[[#This Row],[COMBINADA]],#REF!,9,0),0)/COUNTIFS(DATA[COMBINADA],DATA[[#This Row],[COMBINADA]])</f>
        <v>0</v>
      </c>
      <c r="AM1129" s="27">
        <f>IFERROR(VLOOKUP(DATA[[#This Row],[COMBINADA]],#REF!,6,0),0)</f>
        <v>0</v>
      </c>
      <c r="AN1129" s="125">
        <f>IFERROR(VLOOKUP(DATA[[#This Row],[COMBINADA]],#REF!,9,0),0)/COUNTIFS(DATA[COMBINADA],DATA[[#This Row],[COMBINADA]])</f>
        <v>0</v>
      </c>
      <c r="AO1129" s="27">
        <f>IFERROR(VLOOKUP(DATA[[#This Row],[COMBINADA]],#REF!,6,0),0)</f>
        <v>0</v>
      </c>
      <c r="AP1129" s="132">
        <f>IFERROR(VLOOKUP(DATA[[#This Row],[COMBINADA]],#REF!,9,0),0)/COUNTIFS(DATA[COMBINADA],DATA[[#This Row],[COMBINADA]])</f>
        <v>0</v>
      </c>
      <c r="AQ112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2087.2925</v>
      </c>
      <c r="AR1129" s="26" t="str">
        <f>IFERROR(IF(DATA[[#This Row],[estado_fact]]="FACTURADO",VLOOKUP(DATA[[#This Row],[SERIE2]]&amp;"-"&amp;DATA[[#This Row],[NUMERO]],#REF!,34,0),"NO CORRESPONDE"),"NO CORRESPONDE")</f>
        <v>NO CORRESPONDE</v>
      </c>
      <c r="AS1129" s="22" t="str">
        <f>IF(DATA[[#This Row],[fecha_fs]]&gt;0,TEXT(DATA[[#This Row],[fecha_fs]],"Mmmm"),0)</f>
        <v>Setiembre</v>
      </c>
      <c r="AT1129" s="22" t="str">
        <f>DATA[[#This Row],[SERIE2]]&amp;"-"&amp;DATA[[#This Row],[NUMERO]]</f>
        <v>FF01-341</v>
      </c>
      <c r="AU1129" s="28">
        <f>DATA[[#This Row],[TOTAL]]*DATA[[#This Row],[T.C.]]</f>
        <v>1004.39</v>
      </c>
      <c r="AV1129" s="6">
        <f>DATA[[#This Row],[FECHA DE VAL.]]</f>
        <v>45926</v>
      </c>
      <c r="AW1129" s="6">
        <f>DATA[[#This Row],[FECHA DE EMISION]]</f>
        <v>45968</v>
      </c>
      <c r="AX1129" s="6">
        <f>DATA[[#This Row],[F1]]</f>
        <v>0</v>
      </c>
      <c r="AY1129" s="20">
        <f>IF(AV1129-DATA[[#This Row],[fecha_fs]]&lt;0,0,AV1129-DATA[[#This Row],[fecha_fs]])</f>
        <v>25</v>
      </c>
      <c r="AZ1129" s="20">
        <f t="shared" si="231"/>
        <v>42</v>
      </c>
      <c r="BA1129" s="53">
        <f t="shared" si="232"/>
        <v>0</v>
      </c>
      <c r="BB1129" s="195">
        <f>IFERROR(SUM(DATA[[#This Row],[fs_val_ttf]:[fact_pago_ttf]]),0)</f>
        <v>67</v>
      </c>
      <c r="BC1129" s="233">
        <v>45915</v>
      </c>
      <c r="BD1129" s="233">
        <v>45932</v>
      </c>
      <c r="BE1129" s="233">
        <v>45936</v>
      </c>
      <c r="BF1129" s="233">
        <v>45943</v>
      </c>
      <c r="BG1129" s="20">
        <f>IFERROR(IF(BC1129-DATA[[#This Row],[fecha_fs]]&lt;0,0,BC1129-DATA[[#This Row],[fecha_fs]]),0)</f>
        <v>14</v>
      </c>
      <c r="BH1129" s="20">
        <f t="shared" si="227"/>
        <v>17</v>
      </c>
      <c r="BI1129" s="20">
        <f t="shared" si="228"/>
        <v>4</v>
      </c>
      <c r="BJ1129" s="20">
        <f t="shared" si="229"/>
        <v>7</v>
      </c>
      <c r="BK1129" s="282">
        <f>IFERROR(SUM(DATA[[#This Row],[fs_fd_ttd]:[fend_fenf_ttd]]),0)</f>
        <v>42</v>
      </c>
      <c r="BL1129" s="20" t="str">
        <f>IF(DATA[[#This Row],[fecha_fs]]&gt;0,TEXT(DATA[[#This Row],[fecha_fs]],"YYYY"),0)</f>
        <v>2025</v>
      </c>
      <c r="BM1129" s="236" t="b">
        <v>1</v>
      </c>
      <c r="BN1129" s="308">
        <f>COUNTIF(DATA[[#This Row],[tiempo_td]], "&lt;=15")</f>
        <v>0</v>
      </c>
      <c r="BO1129" s="222"/>
    </row>
    <row r="1130" spans="1:67" ht="30.6" customHeight="1" x14ac:dyDescent="0.25">
      <c r="A1130" s="4">
        <v>20505675836</v>
      </c>
      <c r="B1130" s="5" t="s">
        <v>42</v>
      </c>
      <c r="C1130" s="52" t="s">
        <v>20</v>
      </c>
      <c r="D1130" s="4" t="s">
        <v>112</v>
      </c>
      <c r="E1130" s="5" t="s">
        <v>1</v>
      </c>
      <c r="F1130" s="24">
        <v>45901</v>
      </c>
      <c r="G1130" s="7" t="s">
        <v>113</v>
      </c>
      <c r="H1130" s="25">
        <f t="shared" si="230"/>
        <v>1</v>
      </c>
      <c r="I1130" s="67">
        <v>4937</v>
      </c>
      <c r="J1130" s="8" t="s">
        <v>115</v>
      </c>
      <c r="K1130" s="9" t="s">
        <v>116</v>
      </c>
      <c r="L1130" s="10" t="s">
        <v>117</v>
      </c>
      <c r="M1130" s="11">
        <v>1310</v>
      </c>
      <c r="N1130" s="12" t="s">
        <v>125</v>
      </c>
      <c r="O1130" s="6">
        <v>45926</v>
      </c>
      <c r="P1130" s="71">
        <v>3686</v>
      </c>
      <c r="Q1130" s="14" t="s">
        <v>85</v>
      </c>
      <c r="R1130" s="15">
        <f>(DATA[[#This Row],[cantidad_fs]]-600)*0.97</f>
        <v>688.69999999999993</v>
      </c>
      <c r="S1130" s="56">
        <v>1988.35</v>
      </c>
      <c r="T1130" s="237">
        <f>DATA[[#This Row],[C. DF]]+DATA[[#This Row],[C.OPE.]]</f>
        <v>2677.0499999999997</v>
      </c>
      <c r="U1130" s="15">
        <f>DATA[[#This Row],[SUB TOTAL]]*0.18</f>
        <v>481.86899999999991</v>
      </c>
      <c r="V1130" s="15">
        <f>IFERROR(ROUND(DATA[[#This Row],[SUB TOTAL]]+DATA[[#This Row],[IGV]],2),0)</f>
        <v>3158.92</v>
      </c>
      <c r="W1130" s="16" t="str">
        <f>IF(DATA[[#This Row],[VALORIZACIÓN ]]="-","NO CORRESPONDE",IF(OR(A1130=20558226979,A1130=10470707866,A1130=20111157058,A1130=20100226902),"NO CORRESPONDE",IF(J1130="Emitida",IF(P1130&gt;0,"EMITIDA","PENDIENTE"),"NO CORRESPONDE")))</f>
        <v>EMITIDA</v>
      </c>
      <c r="X1130" s="29"/>
      <c r="Y1130" s="17" t="s">
        <v>118</v>
      </c>
      <c r="Z1130" s="30">
        <v>45968</v>
      </c>
      <c r="AA1130" s="10" t="s">
        <v>150</v>
      </c>
      <c r="AB1130" s="19">
        <v>342</v>
      </c>
      <c r="AC1130" s="20">
        <v>30</v>
      </c>
      <c r="AD1130" s="18">
        <f>DATA[[#This Row],[FECHA DE EMISION]]+DATA[[#This Row],[CONDICION DE PAGO]]</f>
        <v>45998</v>
      </c>
      <c r="AE1130" s="23">
        <f>IF(DATA[[#This Row],[MONEDA]]="USD",VLOOKUP(DATA[[#This Row],[COMBINADA]],#REF!,11,0),1)</f>
        <v>1</v>
      </c>
      <c r="AF1130" s="129" t="str">
        <f>IF(DATA[[#This Row],[SERIE2]]="-","NO CORRESPONDE",IF(W1130="NO CORRESPONDE","NO CORRESPONDE",IF(Z1130&gt;0,"FACTURADO","PENDIENTE")))</f>
        <v>FACTURADO</v>
      </c>
      <c r="AG1130" s="133">
        <f>IFERROR(VLOOKUP(DATA[[#This Row],[COMBINADA]],#REF!,6,0),0)</f>
        <v>0</v>
      </c>
      <c r="AH1130" s="125">
        <f>IFERROR(VLOOKUP(DATA[[#This Row],[COMBINADA]],#REF!,9,0),0)/COUNTIFS(DATA[COMBINADA],DATA[[#This Row],[COMBINADA]])</f>
        <v>0</v>
      </c>
      <c r="AI1130" s="136">
        <f>IFERROR(VLOOKUP(DATA[[#This Row],[COMBINADA]],#REF!,6,0),0)</f>
        <v>0</v>
      </c>
      <c r="AJ1130" s="132">
        <f>IFERROR(VLOOKUP(DATA[[#This Row],[COMBINADA]],#REF!,9,0),0)/COUNTIFS(DATA[COMBINADA],DATA[[#This Row],[COMBINADA]])</f>
        <v>0</v>
      </c>
      <c r="AK1130" s="407">
        <f>IFERROR(VLOOKUP(DATA[[#This Row],[COMBINADA]],#REF!,6,0),0)</f>
        <v>0</v>
      </c>
      <c r="AL1130" s="125">
        <f>IFERROR(VLOOKUP(DATA[[#This Row],[COMBINADA]],#REF!,9,0),0)/COUNTIFS(DATA[COMBINADA],DATA[[#This Row],[COMBINADA]])</f>
        <v>0</v>
      </c>
      <c r="AM1130" s="27">
        <f>IFERROR(VLOOKUP(DATA[[#This Row],[COMBINADA]],#REF!,6,0),0)</f>
        <v>0</v>
      </c>
      <c r="AN1130" s="125">
        <f>IFERROR(VLOOKUP(DATA[[#This Row],[COMBINADA]],#REF!,9,0),0)/COUNTIFS(DATA[COMBINADA],DATA[[#This Row],[COMBINADA]])</f>
        <v>0</v>
      </c>
      <c r="AO1130" s="27">
        <f>IFERROR(VLOOKUP(DATA[[#This Row],[COMBINADA]],#REF!,6,0),0)</f>
        <v>0</v>
      </c>
      <c r="AP1130" s="132">
        <f>IFERROR(VLOOKUP(DATA[[#This Row],[COMBINADA]],#REF!,9,0),0)/COUNTIFS(DATA[COMBINADA],DATA[[#This Row],[COMBINADA]])</f>
        <v>0</v>
      </c>
      <c r="AQ113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2235.7925000000005</v>
      </c>
      <c r="AR1130" s="26" t="str">
        <f>IFERROR(IF(DATA[[#This Row],[estado_fact]]="FACTURADO",VLOOKUP(DATA[[#This Row],[SERIE2]]&amp;"-"&amp;DATA[[#This Row],[NUMERO]],#REF!,34,0),"NO CORRESPONDE"),"NO CORRESPONDE")</f>
        <v>NO CORRESPONDE</v>
      </c>
      <c r="AS1130" s="22" t="str">
        <f>IF(DATA[[#This Row],[fecha_fs]]&gt;0,TEXT(DATA[[#This Row],[fecha_fs]],"Mmmm"),0)</f>
        <v>Setiembre</v>
      </c>
      <c r="AT1130" s="22" t="str">
        <f>DATA[[#This Row],[SERIE2]]&amp;"-"&amp;DATA[[#This Row],[NUMERO]]</f>
        <v>FF01-342</v>
      </c>
      <c r="AU1130" s="28">
        <f>DATA[[#This Row],[TOTAL]]*DATA[[#This Row],[T.C.]]</f>
        <v>3158.92</v>
      </c>
      <c r="AV1130" s="6">
        <f>DATA[[#This Row],[FECHA DE VAL.]]</f>
        <v>45926</v>
      </c>
      <c r="AW1130" s="6">
        <f>DATA[[#This Row],[FECHA DE EMISION]]</f>
        <v>45968</v>
      </c>
      <c r="AX1130" s="6">
        <f>DATA[[#This Row],[F1]]</f>
        <v>0</v>
      </c>
      <c r="AY1130" s="20">
        <f>IF(AV1130-DATA[[#This Row],[fecha_fs]]&lt;0,0,AV1130-DATA[[#This Row],[fecha_fs]])</f>
        <v>25</v>
      </c>
      <c r="AZ1130" s="20">
        <f t="shared" si="231"/>
        <v>42</v>
      </c>
      <c r="BA1130" s="53">
        <f t="shared" si="232"/>
        <v>0</v>
      </c>
      <c r="BB1130" s="195">
        <f>IFERROR(SUM(DATA[[#This Row],[fs_val_ttf]:[fact_pago_ttf]]),0)</f>
        <v>67</v>
      </c>
      <c r="BC1130" s="233">
        <v>45911</v>
      </c>
      <c r="BD1130" s="233">
        <v>45919</v>
      </c>
      <c r="BE1130" s="233">
        <v>45933</v>
      </c>
      <c r="BF1130" s="233">
        <v>45958</v>
      </c>
      <c r="BG1130" s="20">
        <f>IFERROR(IF(BC1130-DATA[[#This Row],[fecha_fs]]&lt;0,0,BC1130-DATA[[#This Row],[fecha_fs]]),0)</f>
        <v>10</v>
      </c>
      <c r="BH1130" s="20">
        <f t="shared" si="227"/>
        <v>8</v>
      </c>
      <c r="BI1130" s="20">
        <f t="shared" si="228"/>
        <v>14</v>
      </c>
      <c r="BJ1130" s="20">
        <f t="shared" si="229"/>
        <v>25</v>
      </c>
      <c r="BK1130" s="282">
        <f>IFERROR(SUM(DATA[[#This Row],[fs_fd_ttd]:[fend_fenf_ttd]]),0)</f>
        <v>57</v>
      </c>
      <c r="BL1130" s="20" t="str">
        <f>IF(DATA[[#This Row],[fecha_fs]]&gt;0,TEXT(DATA[[#This Row],[fecha_fs]],"YYYY"),0)</f>
        <v>2025</v>
      </c>
      <c r="BM1130" s="236" t="b">
        <v>1</v>
      </c>
      <c r="BN1130" s="278">
        <f>COUNTIF(DATA[[#This Row],[tiempo_td]], "&lt;=15")</f>
        <v>0</v>
      </c>
      <c r="BO1130" s="222"/>
    </row>
    <row r="1131" spans="1:67" ht="30.6" customHeight="1" x14ac:dyDescent="0.25">
      <c r="A1131" s="4">
        <v>20505675836</v>
      </c>
      <c r="B1131" s="5" t="s">
        <v>42</v>
      </c>
      <c r="C1131" s="52" t="s">
        <v>20</v>
      </c>
      <c r="D1131" s="4" t="s">
        <v>120</v>
      </c>
      <c r="E1131" s="5" t="s">
        <v>3</v>
      </c>
      <c r="F1131" s="24">
        <v>45901</v>
      </c>
      <c r="G1131" s="7" t="s">
        <v>113</v>
      </c>
      <c r="H1131" s="25">
        <f t="shared" si="230"/>
        <v>1</v>
      </c>
      <c r="I1131" s="67">
        <v>4938</v>
      </c>
      <c r="J1131" s="8" t="s">
        <v>115</v>
      </c>
      <c r="K1131" s="9" t="s">
        <v>121</v>
      </c>
      <c r="L1131" s="10" t="s">
        <v>117</v>
      </c>
      <c r="M1131" s="11">
        <v>30</v>
      </c>
      <c r="N1131" s="12" t="s">
        <v>125</v>
      </c>
      <c r="O1131" s="6">
        <v>45926</v>
      </c>
      <c r="P1131" s="71">
        <v>3685</v>
      </c>
      <c r="Q1131" s="14" t="s">
        <v>85</v>
      </c>
      <c r="R1131" s="309"/>
      <c r="S1131" s="15">
        <v>1387.83</v>
      </c>
      <c r="T1131" s="237">
        <f>DATA[[#This Row],[C. DF]]+DATA[[#This Row],[C.OPE.]]</f>
        <v>1387.83</v>
      </c>
      <c r="U1131" s="15">
        <f>DATA[[#This Row],[SUB TOTAL]]*0.18</f>
        <v>249.80939999999998</v>
      </c>
      <c r="V1131" s="15">
        <f>IFERROR(ROUND(DATA[[#This Row],[SUB TOTAL]]+DATA[[#This Row],[IGV]],2),0)</f>
        <v>1637.64</v>
      </c>
      <c r="W1131" s="16" t="str">
        <f>IF(DATA[[#This Row],[VALORIZACIÓN ]]="-","NO CORRESPONDE",IF(OR(A1131=20558226979,A1131=10470707866,A1131=20111157058,A1131=20100226902),"NO CORRESPONDE",IF(J1131="Emitida",IF(P1131&gt;0,"EMITIDA","PENDIENTE"),"NO CORRESPONDE")))</f>
        <v>EMITIDA</v>
      </c>
      <c r="X1131" s="29"/>
      <c r="Y1131" s="17" t="s">
        <v>118</v>
      </c>
      <c r="Z1131" s="30">
        <v>45968</v>
      </c>
      <c r="AA1131" s="10" t="s">
        <v>150</v>
      </c>
      <c r="AB1131" s="19">
        <v>342</v>
      </c>
      <c r="AC1131" s="20">
        <v>30</v>
      </c>
      <c r="AD1131" s="18">
        <f>DATA[[#This Row],[FECHA DE EMISION]]+DATA[[#This Row],[CONDICION DE PAGO]]</f>
        <v>45998</v>
      </c>
      <c r="AE1131" s="23">
        <f>IF(DATA[[#This Row],[MONEDA]]="USD",VLOOKUP(DATA[[#This Row],[COMBINADA]],#REF!,11,0),1)</f>
        <v>1</v>
      </c>
      <c r="AF1131" s="129" t="str">
        <f>IF(DATA[[#This Row],[SERIE2]]="-","NO CORRESPONDE",IF(W1131="NO CORRESPONDE","NO CORRESPONDE",IF(Z1131&gt;0,"FACTURADO","PENDIENTE")))</f>
        <v>FACTURADO</v>
      </c>
      <c r="AG1131" s="133">
        <f>IFERROR(VLOOKUP(DATA[[#This Row],[COMBINADA]],#REF!,6,0),0)</f>
        <v>0</v>
      </c>
      <c r="AH1131" s="125">
        <f>IFERROR(VLOOKUP(DATA[[#This Row],[COMBINADA]],#REF!,9,0),0)/COUNTIFS(DATA[COMBINADA],DATA[[#This Row],[COMBINADA]])</f>
        <v>0</v>
      </c>
      <c r="AI1131" s="136">
        <f>IFERROR(VLOOKUP(DATA[[#This Row],[COMBINADA]],#REF!,6,0),0)</f>
        <v>0</v>
      </c>
      <c r="AJ1131" s="132">
        <f>IFERROR(VLOOKUP(DATA[[#This Row],[COMBINADA]],#REF!,9,0),0)/COUNTIFS(DATA[COMBINADA],DATA[[#This Row],[COMBINADA]])</f>
        <v>0</v>
      </c>
      <c r="AK1131" s="407">
        <f>IFERROR(VLOOKUP(DATA[[#This Row],[COMBINADA]],#REF!,6,0),0)</f>
        <v>0</v>
      </c>
      <c r="AL1131" s="125">
        <f>IFERROR(VLOOKUP(DATA[[#This Row],[COMBINADA]],#REF!,9,0),0)/COUNTIFS(DATA[COMBINADA],DATA[[#This Row],[COMBINADA]])</f>
        <v>0</v>
      </c>
      <c r="AM1131" s="27">
        <f>IFERROR(VLOOKUP(DATA[[#This Row],[COMBINADA]],#REF!,6,0),0)</f>
        <v>0</v>
      </c>
      <c r="AN1131" s="125">
        <f>IFERROR(VLOOKUP(DATA[[#This Row],[COMBINADA]],#REF!,9,0),0)/COUNTIFS(DATA[COMBINADA],DATA[[#This Row],[COMBINADA]])</f>
        <v>0</v>
      </c>
      <c r="AO1131" s="27">
        <f>IFERROR(VLOOKUP(DATA[[#This Row],[COMBINADA]],#REF!,6,0),0)</f>
        <v>0</v>
      </c>
      <c r="AP1131" s="132">
        <f>IFERROR(VLOOKUP(DATA[[#This Row],[COMBINADA]],#REF!,9,0),0)/COUNTIFS(DATA[COMBINADA],DATA[[#This Row],[COMBINADA]])</f>
        <v>0</v>
      </c>
      <c r="AQ113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2235.7925000000005</v>
      </c>
      <c r="AR1131" s="26" t="str">
        <f>IFERROR(IF(DATA[[#This Row],[estado_fact]]="FACTURADO",VLOOKUP(DATA[[#This Row],[SERIE2]]&amp;"-"&amp;DATA[[#This Row],[NUMERO]],#REF!,34,0),"NO CORRESPONDE"),"NO CORRESPONDE")</f>
        <v>NO CORRESPONDE</v>
      </c>
      <c r="AS1131" s="22" t="str">
        <f>IF(DATA[[#This Row],[fecha_fs]]&gt;0,TEXT(DATA[[#This Row],[fecha_fs]],"Mmmm"),0)</f>
        <v>Setiembre</v>
      </c>
      <c r="AT1131" s="22" t="str">
        <f>DATA[[#This Row],[SERIE2]]&amp;"-"&amp;DATA[[#This Row],[NUMERO]]</f>
        <v>FF01-342</v>
      </c>
      <c r="AU1131" s="28">
        <f>DATA[[#This Row],[TOTAL]]*DATA[[#This Row],[T.C.]]</f>
        <v>1637.64</v>
      </c>
      <c r="AV1131" s="6">
        <f>DATA[[#This Row],[FECHA DE VAL.]]</f>
        <v>45926</v>
      </c>
      <c r="AW1131" s="6">
        <f>DATA[[#This Row],[FECHA DE EMISION]]</f>
        <v>45968</v>
      </c>
      <c r="AX1131" s="6">
        <f>DATA[[#This Row],[F1]]</f>
        <v>0</v>
      </c>
      <c r="AY1131" s="20">
        <f>IF(AV1131-DATA[[#This Row],[fecha_fs]]&lt;0,0,AV1131-DATA[[#This Row],[fecha_fs]])</f>
        <v>25</v>
      </c>
      <c r="AZ1131" s="20">
        <f t="shared" si="231"/>
        <v>42</v>
      </c>
      <c r="BA1131" s="53">
        <f t="shared" si="232"/>
        <v>0</v>
      </c>
      <c r="BB1131" s="195">
        <f>IFERROR(SUM(DATA[[#This Row],[fs_val_ttf]:[fact_pago_ttf]]),0)</f>
        <v>67</v>
      </c>
      <c r="BC1131" s="233">
        <v>45915</v>
      </c>
      <c r="BD1131" s="233">
        <v>45932</v>
      </c>
      <c r="BE1131" s="233">
        <v>45936</v>
      </c>
      <c r="BF1131" s="233">
        <v>45958</v>
      </c>
      <c r="BG1131" s="20">
        <f>IFERROR(IF(BC1131-DATA[[#This Row],[fecha_fs]]&lt;0,0,BC1131-DATA[[#This Row],[fecha_fs]]),0)</f>
        <v>14</v>
      </c>
      <c r="BH1131" s="20">
        <f t="shared" si="227"/>
        <v>17</v>
      </c>
      <c r="BI1131" s="20">
        <f t="shared" si="228"/>
        <v>4</v>
      </c>
      <c r="BJ1131" s="20">
        <f t="shared" si="229"/>
        <v>22</v>
      </c>
      <c r="BK1131" s="282">
        <f>IFERROR(SUM(DATA[[#This Row],[fs_fd_ttd]:[fend_fenf_ttd]]),0)</f>
        <v>57</v>
      </c>
      <c r="BL1131" s="20" t="str">
        <f>IF(DATA[[#This Row],[fecha_fs]]&gt;0,TEXT(DATA[[#This Row],[fecha_fs]],"YYYY"),0)</f>
        <v>2025</v>
      </c>
      <c r="BM1131" s="236" t="b">
        <v>1</v>
      </c>
      <c r="BN1131" s="278">
        <f>COUNTIF(DATA[[#This Row],[tiempo_td]], "&lt;=15")</f>
        <v>0</v>
      </c>
      <c r="BO1131" s="222"/>
    </row>
    <row r="1132" spans="1:67" ht="30.6" customHeight="1" x14ac:dyDescent="0.25">
      <c r="A1132" s="4">
        <v>20100199743</v>
      </c>
      <c r="B1132" s="5" t="s">
        <v>47</v>
      </c>
      <c r="C1132" s="52" t="s">
        <v>48</v>
      </c>
      <c r="D1132" s="4" t="s">
        <v>139</v>
      </c>
      <c r="E1132" s="5" t="s">
        <v>23</v>
      </c>
      <c r="F1132" s="24">
        <v>45901</v>
      </c>
      <c r="G1132" s="7" t="s">
        <v>113</v>
      </c>
      <c r="H1132" s="25">
        <f t="shared" si="230"/>
        <v>1</v>
      </c>
      <c r="I1132" s="67">
        <v>4939</v>
      </c>
      <c r="J1132" s="8" t="s">
        <v>115</v>
      </c>
      <c r="K1132" s="9" t="s">
        <v>257</v>
      </c>
      <c r="L1132" s="10" t="s">
        <v>117</v>
      </c>
      <c r="M1132" s="11">
        <v>13107.2</v>
      </c>
      <c r="N1132" s="12" t="s">
        <v>135</v>
      </c>
      <c r="O1132" s="6">
        <v>45902</v>
      </c>
      <c r="P1132" s="13">
        <v>3646</v>
      </c>
      <c r="Q1132" s="14" t="s">
        <v>85</v>
      </c>
      <c r="R1132" s="309"/>
      <c r="S1132" s="56">
        <v>6099</v>
      </c>
      <c r="T1132" s="237">
        <f>DATA[[#This Row],[C. DF]]+DATA[[#This Row],[C.OPE.]]</f>
        <v>6099</v>
      </c>
      <c r="U1132" s="15">
        <f>DATA[[#This Row],[SUB TOTAL]]*0.18</f>
        <v>1097.82</v>
      </c>
      <c r="V1132" s="15">
        <f>IFERROR(ROUND(DATA[[#This Row],[SUB TOTAL]]+DATA[[#This Row],[IGV]],2),0)</f>
        <v>7196.82</v>
      </c>
      <c r="W1132" s="16" t="str">
        <f>IF(DATA[[#This Row],[VALORIZACIÓN ]]="-","NO CORRESPONDE",IF(OR(A1132=20558226979,A1132=10470707866,A1132=20111157058,A1132=20100226902),"NO CORRESPONDE",IF(J1132="Emitida",IF(P1132&gt;0,"EMITIDA","PENDIENTE"),"NO CORRESPONDE")))</f>
        <v>EMITIDA</v>
      </c>
      <c r="X1132" s="29"/>
      <c r="Y1132" s="17" t="s">
        <v>118</v>
      </c>
      <c r="Z1132" s="30">
        <v>45910</v>
      </c>
      <c r="AA1132" s="10" t="s">
        <v>150</v>
      </c>
      <c r="AB1132" s="19">
        <v>249</v>
      </c>
      <c r="AC1132" s="20">
        <v>15</v>
      </c>
      <c r="AD1132" s="18">
        <f>DATA[[#This Row],[FECHA DE EMISION]]+DATA[[#This Row],[CONDICION DE PAGO]]</f>
        <v>45925</v>
      </c>
      <c r="AE1132" s="23">
        <f>IF(DATA[[#This Row],[MONEDA]]="USD",VLOOKUP(DATA[[#This Row],[COMBINADA]],#REF!,11,0),1)</f>
        <v>1</v>
      </c>
      <c r="AF1132" s="129" t="str">
        <f>IF(DATA[[#This Row],[SERIE2]]="-","NO CORRESPONDE",IF(W1132="NO CORRESPONDE","NO CORRESPONDE",IF(Z1132&gt;0,"FACTURADO","PENDIENTE")))</f>
        <v>FACTURADO</v>
      </c>
      <c r="AG1132" s="133">
        <f>IFERROR(VLOOKUP(DATA[[#This Row],[COMBINADA]],#REF!,6,0),0)</f>
        <v>0</v>
      </c>
      <c r="AH1132" s="125">
        <f>IFERROR(VLOOKUP(DATA[[#This Row],[COMBINADA]],#REF!,9,0),0)/COUNTIFS(DATA[COMBINADA],DATA[[#This Row],[COMBINADA]])</f>
        <v>0</v>
      </c>
      <c r="AI1132" s="136">
        <f>IFERROR(VLOOKUP(DATA[[#This Row],[COMBINADA]],#REF!,6,0),0)</f>
        <v>0</v>
      </c>
      <c r="AJ1132" s="132">
        <f>IFERROR(VLOOKUP(DATA[[#This Row],[COMBINADA]],#REF!,9,0),0)/COUNTIFS(DATA[COMBINADA],DATA[[#This Row],[COMBINADA]])</f>
        <v>0</v>
      </c>
      <c r="AK1132" s="407">
        <f>IFERROR(VLOOKUP(DATA[[#This Row],[COMBINADA]],#REF!,6,0),0)</f>
        <v>0</v>
      </c>
      <c r="AL1132" s="125">
        <f>IFERROR(VLOOKUP(DATA[[#This Row],[COMBINADA]],#REF!,9,0),0)/COUNTIFS(DATA[COMBINADA],DATA[[#This Row],[COMBINADA]])</f>
        <v>0</v>
      </c>
      <c r="AM1132" s="27">
        <f>IFERROR(VLOOKUP(DATA[[#This Row],[COMBINADA]],#REF!,6,0),0)</f>
        <v>0</v>
      </c>
      <c r="AN1132" s="125">
        <f>IFERROR(VLOOKUP(DATA[[#This Row],[COMBINADA]],#REF!,9,0),0)/COUNTIFS(DATA[COMBINADA],DATA[[#This Row],[COMBINADA]])</f>
        <v>0</v>
      </c>
      <c r="AO1132" s="27">
        <f>IFERROR(VLOOKUP(DATA[[#This Row],[COMBINADA]],#REF!,6,0),0)</f>
        <v>0</v>
      </c>
      <c r="AP1132" s="132">
        <f>IFERROR(VLOOKUP(DATA[[#This Row],[COMBINADA]],#REF!,9,0),0)/COUNTIFS(DATA[COMBINADA],DATA[[#This Row],[COMBINADA]])</f>
        <v>0</v>
      </c>
      <c r="AQ113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7196.82</v>
      </c>
      <c r="AR1132" s="26" t="str">
        <f>IFERROR(IF(DATA[[#This Row],[estado_fact]]="FACTURADO",VLOOKUP(DATA[[#This Row],[SERIE2]]&amp;"-"&amp;DATA[[#This Row],[NUMERO]],#REF!,34,0),"NO CORRESPONDE"),"NO CORRESPONDE")</f>
        <v>NO CORRESPONDE</v>
      </c>
      <c r="AS1132" s="22" t="str">
        <f>IF(DATA[[#This Row],[fecha_fs]]&gt;0,TEXT(DATA[[#This Row],[fecha_fs]],"Mmmm"),0)</f>
        <v>Setiembre</v>
      </c>
      <c r="AT1132" s="22" t="str">
        <f>DATA[[#This Row],[SERIE2]]&amp;"-"&amp;DATA[[#This Row],[NUMERO]]</f>
        <v>FF01-249</v>
      </c>
      <c r="AU1132" s="28">
        <f>DATA[[#This Row],[TOTAL]]*DATA[[#This Row],[T.C.]]</f>
        <v>7196.82</v>
      </c>
      <c r="AV1132" s="6">
        <f>DATA[[#This Row],[FECHA DE VAL.]]</f>
        <v>45902</v>
      </c>
      <c r="AW1132" s="6">
        <f>DATA[[#This Row],[FECHA DE EMISION]]</f>
        <v>45910</v>
      </c>
      <c r="AX1132" s="6">
        <f>DATA[[#This Row],[F1]]</f>
        <v>0</v>
      </c>
      <c r="AY1132" s="20">
        <f>IF(AV1132-DATA[[#This Row],[fecha_fs]]&lt;0,0,AV1132-DATA[[#This Row],[fecha_fs]])</f>
        <v>1</v>
      </c>
      <c r="AZ1132" s="20">
        <f t="shared" si="231"/>
        <v>8</v>
      </c>
      <c r="BA1132" s="53">
        <f t="shared" si="232"/>
        <v>0</v>
      </c>
      <c r="BB1132" s="195">
        <f>IFERROR(SUM(DATA[[#This Row],[fs_val_ttf]:[fact_pago_ttf]]),0)</f>
        <v>9</v>
      </c>
      <c r="BC1132" s="233">
        <v>45901</v>
      </c>
      <c r="BD1132" s="233">
        <v>45901</v>
      </c>
      <c r="BE1132" s="233">
        <v>45910</v>
      </c>
      <c r="BF1132" s="233">
        <v>45911</v>
      </c>
      <c r="BG1132" s="20">
        <f>IFERROR(IF(BC1132-DATA[[#This Row],[fecha_fs]]&lt;0,0,BC1132-DATA[[#This Row],[fecha_fs]]),0)</f>
        <v>0</v>
      </c>
      <c r="BH1132" s="20">
        <f t="shared" si="227"/>
        <v>0</v>
      </c>
      <c r="BI1132" s="20">
        <f t="shared" si="228"/>
        <v>9</v>
      </c>
      <c r="BJ1132" s="20">
        <f t="shared" si="229"/>
        <v>1</v>
      </c>
      <c r="BK1132" s="282">
        <f>IFERROR(SUM(DATA[[#This Row],[fs_fd_ttd]:[fend_fenf_ttd]]),0)</f>
        <v>10</v>
      </c>
      <c r="BL1132" s="20" t="str">
        <f>IF(DATA[[#This Row],[fecha_fs]]&gt;0,TEXT(DATA[[#This Row],[fecha_fs]],"YYYY"),0)</f>
        <v>2025</v>
      </c>
      <c r="BM1132" s="236" t="b">
        <v>1</v>
      </c>
      <c r="BN1132" s="308">
        <f>COUNTIF(DATA[[#This Row],[tiempo_td]], "&lt;=15")</f>
        <v>1</v>
      </c>
      <c r="BO1132" s="222"/>
    </row>
    <row r="1133" spans="1:67" ht="30.6" customHeight="1" x14ac:dyDescent="0.25">
      <c r="A1133" s="4">
        <v>20610105620</v>
      </c>
      <c r="B1133" s="5" t="s">
        <v>311</v>
      </c>
      <c r="C1133" s="52" t="s">
        <v>312</v>
      </c>
      <c r="D1133" s="4" t="s">
        <v>120</v>
      </c>
      <c r="E1133" s="5" t="s">
        <v>3</v>
      </c>
      <c r="F1133" s="24">
        <v>45902</v>
      </c>
      <c r="G1133" s="7" t="s">
        <v>113</v>
      </c>
      <c r="H1133" s="25">
        <f t="shared" si="230"/>
        <v>1</v>
      </c>
      <c r="I1133" s="67">
        <v>4940</v>
      </c>
      <c r="J1133" s="8" t="s">
        <v>115</v>
      </c>
      <c r="K1133" s="9" t="s">
        <v>121</v>
      </c>
      <c r="L1133" s="10" t="s">
        <v>117</v>
      </c>
      <c r="M1133" s="11">
        <v>730</v>
      </c>
      <c r="N1133" s="12" t="s">
        <v>125</v>
      </c>
      <c r="O1133" s="6">
        <v>45930</v>
      </c>
      <c r="P1133" s="370">
        <v>3709</v>
      </c>
      <c r="Q1133" s="14" t="s">
        <v>85</v>
      </c>
      <c r="R1133" s="237">
        <v>80</v>
      </c>
      <c r="S1133" s="237">
        <v>2120</v>
      </c>
      <c r="T1133" s="237">
        <f>DATA[[#This Row],[C. DF]]+DATA[[#This Row],[C.OPE.]]</f>
        <v>2200</v>
      </c>
      <c r="U1133" s="15">
        <f>DATA[[#This Row],[SUB TOTAL]]*0.18</f>
        <v>396</v>
      </c>
      <c r="V1133" s="15">
        <f>IFERROR(ROUND(DATA[[#This Row],[SUB TOTAL]]+DATA[[#This Row],[IGV]],2),0)</f>
        <v>2596</v>
      </c>
      <c r="W1133" s="16" t="str">
        <f>IF(DATA[[#This Row],[VALORIZACIÓN ]]="-","NO CORRESPONDE",IF(OR(A1133=20558226979,A1133=10470707866,A1133=20111157058,A1133=20100226902),"NO CORRESPONDE",IF(J1133="Emitida",IF(P1133&gt;0,"EMITIDA","PENDIENTE"),"NO CORRESPONDE")))</f>
        <v>EMITIDA</v>
      </c>
      <c r="X1133" s="29"/>
      <c r="Y1133" s="17" t="s">
        <v>118</v>
      </c>
      <c r="Z1133" s="30">
        <v>45968</v>
      </c>
      <c r="AA1133" s="10" t="s">
        <v>150</v>
      </c>
      <c r="AB1133" s="19">
        <v>349</v>
      </c>
      <c r="AC1133" s="20">
        <v>30</v>
      </c>
      <c r="AD1133" s="18">
        <f>DATA[[#This Row],[FECHA DE EMISION]]+DATA[[#This Row],[CONDICION DE PAGO]]</f>
        <v>45998</v>
      </c>
      <c r="AE1133" s="23">
        <f>IF(DATA[[#This Row],[MONEDA]]="USD",VLOOKUP(DATA[[#This Row],[COMBINADA]],#REF!,11,0),1)</f>
        <v>1</v>
      </c>
      <c r="AF1133" s="129" t="str">
        <f>IF(DATA[[#This Row],[SERIE2]]="-","NO CORRESPONDE",IF(W1133="NO CORRESPONDE","NO CORRESPONDE",IF(Z1133&gt;0,"FACTURADO","PENDIENTE")))</f>
        <v>FACTURADO</v>
      </c>
      <c r="AG1133" s="133">
        <f>IFERROR(VLOOKUP(DATA[[#This Row],[COMBINADA]],#REF!,6,0),0)</f>
        <v>0</v>
      </c>
      <c r="AH1133" s="125">
        <f>IFERROR(VLOOKUP(DATA[[#This Row],[COMBINADA]],#REF!,9,0),0)/COUNTIFS(DATA[COMBINADA],DATA[[#This Row],[COMBINADA]])</f>
        <v>0</v>
      </c>
      <c r="AI1133" s="136">
        <f>IFERROR(VLOOKUP(DATA[[#This Row],[COMBINADA]],#REF!,6,0),0)</f>
        <v>0</v>
      </c>
      <c r="AJ1133" s="132">
        <f>IFERROR(VLOOKUP(DATA[[#This Row],[COMBINADA]],#REF!,9,0),0)/COUNTIFS(DATA[COMBINADA],DATA[[#This Row],[COMBINADA]])</f>
        <v>0</v>
      </c>
      <c r="AK1133" s="407">
        <f>IFERROR(VLOOKUP(DATA[[#This Row],[COMBINADA]],#REF!,6,0),0)</f>
        <v>0</v>
      </c>
      <c r="AL1133" s="125">
        <f>IFERROR(VLOOKUP(DATA[[#This Row],[COMBINADA]],#REF!,9,0),0)/COUNTIFS(DATA[COMBINADA],DATA[[#This Row],[COMBINADA]])</f>
        <v>0</v>
      </c>
      <c r="AM1133" s="27">
        <f>IFERROR(VLOOKUP(DATA[[#This Row],[COMBINADA]],#REF!,6,0),0)</f>
        <v>0</v>
      </c>
      <c r="AN1133" s="125">
        <f>IFERROR(VLOOKUP(DATA[[#This Row],[COMBINADA]],#REF!,9,0),0)/COUNTIFS(DATA[COMBINADA],DATA[[#This Row],[COMBINADA]])</f>
        <v>0</v>
      </c>
      <c r="AO1133" s="27">
        <f>IFERROR(VLOOKUP(DATA[[#This Row],[COMBINADA]],#REF!,6,0),0)</f>
        <v>0</v>
      </c>
      <c r="AP1133" s="132">
        <f>IFERROR(VLOOKUP(DATA[[#This Row],[COMBINADA]],#REF!,9,0),0)/COUNTIFS(DATA[COMBINADA],DATA[[#This Row],[COMBINADA]])</f>
        <v>0</v>
      </c>
      <c r="AQ113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2515.7599999999998</v>
      </c>
      <c r="AR1133" s="26" t="str">
        <f>IFERROR(IF(DATA[[#This Row],[estado_fact]]="FACTURADO",VLOOKUP(DATA[[#This Row],[SERIE2]]&amp;"-"&amp;DATA[[#This Row],[NUMERO]],#REF!,34,0),"NO CORRESPONDE"),"NO CORRESPONDE")</f>
        <v>NO CORRESPONDE</v>
      </c>
      <c r="AS1133" s="22" t="str">
        <f>IF(DATA[[#This Row],[fecha_fs]]&gt;0,TEXT(DATA[[#This Row],[fecha_fs]],"Mmmm"),0)</f>
        <v>Setiembre</v>
      </c>
      <c r="AT1133" s="22" t="str">
        <f>DATA[[#This Row],[SERIE2]]&amp;"-"&amp;DATA[[#This Row],[NUMERO]]</f>
        <v>FF01-349</v>
      </c>
      <c r="AU1133" s="28">
        <f>DATA[[#This Row],[TOTAL]]*DATA[[#This Row],[T.C.]]</f>
        <v>2596</v>
      </c>
      <c r="AV1133" s="6">
        <f>DATA[[#This Row],[FECHA DE VAL.]]</f>
        <v>45930</v>
      </c>
      <c r="AW1133" s="6">
        <f>DATA[[#This Row],[FECHA DE EMISION]]</f>
        <v>45968</v>
      </c>
      <c r="AX1133" s="6">
        <f>DATA[[#This Row],[F1]]</f>
        <v>0</v>
      </c>
      <c r="AY1133" s="20">
        <f>IF(AV1133-DATA[[#This Row],[fecha_fs]]&lt;0,0,AV1133-DATA[[#This Row],[fecha_fs]])</f>
        <v>28</v>
      </c>
      <c r="AZ1133" s="20">
        <f t="shared" si="231"/>
        <v>38</v>
      </c>
      <c r="BA1133" s="53">
        <f t="shared" si="232"/>
        <v>0</v>
      </c>
      <c r="BB1133" s="195">
        <f>IFERROR(SUM(DATA[[#This Row],[fs_val_ttf]:[fact_pago_ttf]]),0)</f>
        <v>66</v>
      </c>
      <c r="BC1133" s="233">
        <v>45903</v>
      </c>
      <c r="BD1133" s="233">
        <v>45905</v>
      </c>
      <c r="BE1133" s="233">
        <v>45908</v>
      </c>
      <c r="BF1133" s="233">
        <v>45932</v>
      </c>
      <c r="BG1133" s="20">
        <f>IFERROR(IF(BC1133-DATA[[#This Row],[fecha_fs]]&lt;0,0,BC1133-DATA[[#This Row],[fecha_fs]]),0)</f>
        <v>1</v>
      </c>
      <c r="BH1133" s="20">
        <f t="shared" si="227"/>
        <v>2</v>
      </c>
      <c r="BI1133" s="20">
        <f t="shared" si="228"/>
        <v>3</v>
      </c>
      <c r="BJ1133" s="20">
        <f t="shared" si="229"/>
        <v>24</v>
      </c>
      <c r="BK1133" s="282">
        <f>IFERROR(SUM(DATA[[#This Row],[fs_fd_ttd]:[fend_fenf_ttd]]),0)</f>
        <v>30</v>
      </c>
      <c r="BL1133" s="20" t="str">
        <f>IF(DATA[[#This Row],[fecha_fs]]&gt;0,TEXT(DATA[[#This Row],[fecha_fs]],"YYYY"),0)</f>
        <v>2025</v>
      </c>
      <c r="BM1133" s="236" t="b">
        <v>1</v>
      </c>
      <c r="BN1133" s="278">
        <f>COUNTIF(DATA[[#This Row],[tiempo_td]], "&lt;=15")</f>
        <v>0</v>
      </c>
      <c r="BO1133" s="222"/>
    </row>
    <row r="1134" spans="1:67" ht="30.6" customHeight="1" x14ac:dyDescent="0.25">
      <c r="A1134" s="4">
        <v>20120788389</v>
      </c>
      <c r="B1134" s="5" t="s">
        <v>283</v>
      </c>
      <c r="C1134" s="52" t="s">
        <v>18</v>
      </c>
      <c r="D1134" s="4" t="s">
        <v>120</v>
      </c>
      <c r="E1134" s="5" t="s">
        <v>3</v>
      </c>
      <c r="F1134" s="24">
        <v>45903</v>
      </c>
      <c r="G1134" s="7" t="s">
        <v>113</v>
      </c>
      <c r="H1134" s="25">
        <f t="shared" si="230"/>
        <v>1</v>
      </c>
      <c r="I1134" s="67">
        <v>4941</v>
      </c>
      <c r="J1134" s="8" t="s">
        <v>115</v>
      </c>
      <c r="K1134" s="9" t="s">
        <v>121</v>
      </c>
      <c r="L1134" s="10" t="s">
        <v>117</v>
      </c>
      <c r="M1134" s="11">
        <v>123</v>
      </c>
      <c r="N1134" s="12" t="s">
        <v>125</v>
      </c>
      <c r="O1134" s="6">
        <v>45926</v>
      </c>
      <c r="P1134" s="319">
        <v>3700</v>
      </c>
      <c r="Q1134" s="14" t="s">
        <v>85</v>
      </c>
      <c r="R1134" s="309"/>
      <c r="S1134" s="15">
        <v>670.43</v>
      </c>
      <c r="T1134" s="237">
        <f>DATA[[#This Row],[C. DF]]+DATA[[#This Row],[C.OPE.]]</f>
        <v>670.43</v>
      </c>
      <c r="U1134" s="15">
        <f>DATA[[#This Row],[SUB TOTAL]]*0.18</f>
        <v>120.67739999999999</v>
      </c>
      <c r="V1134" s="15">
        <f>IFERROR(ROUND(DATA[[#This Row],[SUB TOTAL]]+DATA[[#This Row],[IGV]],2),0)</f>
        <v>791.11</v>
      </c>
      <c r="W1134" s="16" t="str">
        <f>IF(DATA[[#This Row],[VALORIZACIÓN ]]="-","NO CORRESPONDE",IF(OR(A1134=20558226979,A1134=10470707866,A1134=20111157058,A1134=20100226902),"NO CORRESPONDE",IF(J1134="Emitida",IF(P1134&gt;0,"EMITIDA","PENDIENTE"),"NO CORRESPONDE")))</f>
        <v>EMITIDA</v>
      </c>
      <c r="X1134" s="29"/>
      <c r="Y1134" s="17" t="s">
        <v>118</v>
      </c>
      <c r="Z1134" s="30">
        <v>45931</v>
      </c>
      <c r="AA1134" s="10" t="s">
        <v>150</v>
      </c>
      <c r="AB1134" s="19">
        <v>272</v>
      </c>
      <c r="AC1134" s="20">
        <v>15</v>
      </c>
      <c r="AD1134" s="18">
        <f>DATA[[#This Row],[FECHA DE EMISION]]+DATA[[#This Row],[CONDICION DE PAGO]]</f>
        <v>45946</v>
      </c>
      <c r="AE1134" s="23">
        <f>IF(DATA[[#This Row],[MONEDA]]="USD",VLOOKUP(DATA[[#This Row],[COMBINADA]],#REF!,11,0),1)</f>
        <v>1</v>
      </c>
      <c r="AF1134" s="129" t="str">
        <f>IF(DATA[[#This Row],[SERIE2]]="-","NO CORRESPONDE",IF(W1134="NO CORRESPONDE","NO CORRESPONDE",IF(Z1134&gt;0,"FACTURADO","PENDIENTE")))</f>
        <v>FACTURADO</v>
      </c>
      <c r="AG1134" s="133">
        <f>IFERROR(VLOOKUP(DATA[[#This Row],[COMBINADA]],#REF!,6,0),0)</f>
        <v>0</v>
      </c>
      <c r="AH1134" s="125">
        <f>IFERROR(VLOOKUP(DATA[[#This Row],[COMBINADA]],#REF!,9,0),0)/COUNTIFS(DATA[COMBINADA],DATA[[#This Row],[COMBINADA]])</f>
        <v>0</v>
      </c>
      <c r="AI1134" s="136">
        <f>IFERROR(VLOOKUP(DATA[[#This Row],[COMBINADA]],#REF!,6,0),0)</f>
        <v>0</v>
      </c>
      <c r="AJ1134" s="132">
        <f>IFERROR(VLOOKUP(DATA[[#This Row],[COMBINADA]],#REF!,9,0),0)/COUNTIFS(DATA[COMBINADA],DATA[[#This Row],[COMBINADA]])</f>
        <v>0</v>
      </c>
      <c r="AK1134" s="407">
        <f>IFERROR(VLOOKUP(DATA[[#This Row],[COMBINADA]],#REF!,6,0),0)</f>
        <v>0</v>
      </c>
      <c r="AL1134" s="125">
        <f>IFERROR(VLOOKUP(DATA[[#This Row],[COMBINADA]],#REF!,9,0),0)/COUNTIFS(DATA[COMBINADA],DATA[[#This Row],[COMBINADA]])</f>
        <v>0</v>
      </c>
      <c r="AM1134" s="27">
        <f>IFERROR(VLOOKUP(DATA[[#This Row],[COMBINADA]],#REF!,6,0),0)</f>
        <v>0</v>
      </c>
      <c r="AN1134" s="125">
        <f>IFERROR(VLOOKUP(DATA[[#This Row],[COMBINADA]],#REF!,9,0),0)/COUNTIFS(DATA[COMBINADA],DATA[[#This Row],[COMBINADA]])</f>
        <v>0</v>
      </c>
      <c r="AO1134" s="27">
        <f>IFERROR(VLOOKUP(DATA[[#This Row],[COMBINADA]],#REF!,6,0),0)</f>
        <v>0</v>
      </c>
      <c r="AP1134" s="132">
        <f>IFERROR(VLOOKUP(DATA[[#This Row],[COMBINADA]],#REF!,9,0),0)/COUNTIFS(DATA[COMBINADA],DATA[[#This Row],[COMBINADA]])</f>
        <v>0</v>
      </c>
      <c r="AQ113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791.11</v>
      </c>
      <c r="AR1134" s="26" t="str">
        <f>IFERROR(IF(DATA[[#This Row],[estado_fact]]="FACTURADO",VLOOKUP(DATA[[#This Row],[SERIE2]]&amp;"-"&amp;DATA[[#This Row],[NUMERO]],#REF!,34,0),"NO CORRESPONDE"),"NO CORRESPONDE")</f>
        <v>NO CORRESPONDE</v>
      </c>
      <c r="AS1134" s="22" t="str">
        <f>IF(DATA[[#This Row],[fecha_fs]]&gt;0,TEXT(DATA[[#This Row],[fecha_fs]],"Mmmm"),0)</f>
        <v>Setiembre</v>
      </c>
      <c r="AT1134" s="22" t="str">
        <f>DATA[[#This Row],[SERIE2]]&amp;"-"&amp;DATA[[#This Row],[NUMERO]]</f>
        <v>FF01-272</v>
      </c>
      <c r="AU1134" s="28">
        <f>DATA[[#This Row],[TOTAL]]*DATA[[#This Row],[T.C.]]</f>
        <v>791.11</v>
      </c>
      <c r="AV1134" s="6">
        <f>DATA[[#This Row],[FECHA DE VAL.]]</f>
        <v>45926</v>
      </c>
      <c r="AW1134" s="6">
        <f>DATA[[#This Row],[FECHA DE EMISION]]</f>
        <v>45931</v>
      </c>
      <c r="AX1134" s="6">
        <f>DATA[[#This Row],[F1]]</f>
        <v>0</v>
      </c>
      <c r="AY1134" s="20">
        <f>IF(AV1134-DATA[[#This Row],[fecha_fs]]&lt;0,0,AV1134-DATA[[#This Row],[fecha_fs]])</f>
        <v>23</v>
      </c>
      <c r="AZ1134" s="20">
        <f t="shared" si="231"/>
        <v>5</v>
      </c>
      <c r="BA1134" s="53">
        <f t="shared" si="232"/>
        <v>0</v>
      </c>
      <c r="BB1134" s="195">
        <f>IFERROR(SUM(DATA[[#This Row],[fs_val_ttf]:[fact_pago_ttf]]),0)</f>
        <v>28</v>
      </c>
      <c r="BC1134" s="233">
        <v>45903</v>
      </c>
      <c r="BD1134" s="233">
        <v>45903</v>
      </c>
      <c r="BE1134" s="233">
        <v>45931</v>
      </c>
      <c r="BF1134" s="233">
        <v>45931</v>
      </c>
      <c r="BG1134" s="20">
        <f>IFERROR(IF(BC1134-DATA[[#This Row],[fecha_fs]]&lt;0,0,BC1134-DATA[[#This Row],[fecha_fs]]),0)</f>
        <v>0</v>
      </c>
      <c r="BH1134" s="20">
        <f t="shared" si="227"/>
        <v>0</v>
      </c>
      <c r="BI1134" s="20">
        <f t="shared" si="228"/>
        <v>28</v>
      </c>
      <c r="BJ1134" s="20">
        <f t="shared" si="229"/>
        <v>0</v>
      </c>
      <c r="BK1134" s="282">
        <f>IFERROR(SUM(DATA[[#This Row],[fs_fd_ttd]:[fend_fenf_ttd]]),0)</f>
        <v>28</v>
      </c>
      <c r="BL1134" s="20" t="str">
        <f>IF(DATA[[#This Row],[fecha_fs]]&gt;0,TEXT(DATA[[#This Row],[fecha_fs]],"YYYY"),0)</f>
        <v>2025</v>
      </c>
      <c r="BM1134" s="236" t="b">
        <v>1</v>
      </c>
      <c r="BN1134" s="278">
        <f>COUNTIF(DATA[[#This Row],[tiempo_td]], "&lt;=15")</f>
        <v>0</v>
      </c>
      <c r="BO1134" s="222"/>
    </row>
    <row r="1135" spans="1:67" ht="30.6" customHeight="1" x14ac:dyDescent="0.25">
      <c r="A1135" s="4">
        <v>20141637941</v>
      </c>
      <c r="B1135" s="5" t="s">
        <v>79</v>
      </c>
      <c r="C1135" s="52" t="s">
        <v>18</v>
      </c>
      <c r="D1135" s="4" t="s">
        <v>120</v>
      </c>
      <c r="E1135" s="5" t="s">
        <v>3</v>
      </c>
      <c r="F1135" s="24">
        <v>45903</v>
      </c>
      <c r="G1135" s="7" t="s">
        <v>113</v>
      </c>
      <c r="H1135" s="25">
        <f t="shared" si="230"/>
        <v>1</v>
      </c>
      <c r="I1135" s="67">
        <v>4942</v>
      </c>
      <c r="J1135" s="8" t="s">
        <v>115</v>
      </c>
      <c r="K1135" s="9" t="s">
        <v>121</v>
      </c>
      <c r="L1135" s="10" t="s">
        <v>117</v>
      </c>
      <c r="M1135" s="11">
        <v>1340</v>
      </c>
      <c r="N1135" s="12" t="s">
        <v>125</v>
      </c>
      <c r="O1135" s="6">
        <v>45909</v>
      </c>
      <c r="P1135" s="110">
        <v>3651</v>
      </c>
      <c r="Q1135" s="14" t="s">
        <v>85</v>
      </c>
      <c r="R1135" s="309">
        <f>80+((DATA[[#This Row],[cantidad_fs]]-1000)*0.08)</f>
        <v>107.2</v>
      </c>
      <c r="S1135" s="309">
        <v>832</v>
      </c>
      <c r="T1135" s="237">
        <f>DATA[[#This Row],[C. DF]]+DATA[[#This Row],[C.OPE.]]</f>
        <v>939.2</v>
      </c>
      <c r="U1135" s="15">
        <f>DATA[[#This Row],[SUB TOTAL]]*0.18</f>
        <v>169.05600000000001</v>
      </c>
      <c r="V1135" s="15">
        <f>IFERROR(ROUND(DATA[[#This Row],[SUB TOTAL]]+DATA[[#This Row],[IGV]],2),0)</f>
        <v>1108.26</v>
      </c>
      <c r="W1135" s="16" t="str">
        <f>IF(DATA[[#This Row],[VALORIZACIÓN ]]="-","NO CORRESPONDE",IF(OR(A1135=20558226979,A1135=10470707866,A1135=20111157058,A1135=20100226902),"NO CORRESPONDE",IF(J1135="Emitida",IF(P1135&gt;0,"EMITIDA","PENDIENTE"),"NO CORRESPONDE")))</f>
        <v>EMITIDA</v>
      </c>
      <c r="X1135" s="29"/>
      <c r="Y1135" s="17" t="s">
        <v>118</v>
      </c>
      <c r="Z1135" s="30">
        <v>45909</v>
      </c>
      <c r="AA1135" s="10" t="s">
        <v>150</v>
      </c>
      <c r="AB1135" s="19">
        <v>245</v>
      </c>
      <c r="AC1135" s="20">
        <v>30</v>
      </c>
      <c r="AD1135" s="18">
        <f>DATA[[#This Row],[FECHA DE EMISION]]+DATA[[#This Row],[CONDICION DE PAGO]]</f>
        <v>45939</v>
      </c>
      <c r="AE1135" s="23">
        <f>IF(DATA[[#This Row],[MONEDA]]="USD",VLOOKUP(DATA[[#This Row],[COMBINADA]],#REF!,11,0),1)</f>
        <v>1</v>
      </c>
      <c r="AF1135" s="129" t="str">
        <f>IF(DATA[[#This Row],[SERIE2]]="-","NO CORRESPONDE",IF(W1135="NO CORRESPONDE","NO CORRESPONDE",IF(Z1135&gt;0,"FACTURADO","PENDIENTE")))</f>
        <v>FACTURADO</v>
      </c>
      <c r="AG1135" s="133">
        <f>IFERROR(VLOOKUP(DATA[[#This Row],[COMBINADA]],#REF!,6,0),0)</f>
        <v>0</v>
      </c>
      <c r="AH1135" s="125">
        <f>IFERROR(VLOOKUP(DATA[[#This Row],[COMBINADA]],#REF!,9,0),0)/COUNTIFS(DATA[COMBINADA],DATA[[#This Row],[COMBINADA]])</f>
        <v>0</v>
      </c>
      <c r="AI1135" s="136">
        <f>IFERROR(VLOOKUP(DATA[[#This Row],[COMBINADA]],#REF!,6,0),0)</f>
        <v>0</v>
      </c>
      <c r="AJ1135" s="132">
        <f>IFERROR(VLOOKUP(DATA[[#This Row],[COMBINADA]],#REF!,9,0),0)/COUNTIFS(DATA[COMBINADA],DATA[[#This Row],[COMBINADA]])</f>
        <v>0</v>
      </c>
      <c r="AK1135" s="407">
        <f>IFERROR(VLOOKUP(DATA[[#This Row],[COMBINADA]],#REF!,6,0),0)</f>
        <v>0</v>
      </c>
      <c r="AL1135" s="125">
        <f>IFERROR(VLOOKUP(DATA[[#This Row],[COMBINADA]],#REF!,9,0),0)/COUNTIFS(DATA[COMBINADA],DATA[[#This Row],[COMBINADA]])</f>
        <v>0</v>
      </c>
      <c r="AM1135" s="27">
        <f>IFERROR(VLOOKUP(DATA[[#This Row],[COMBINADA]],#REF!,6,0),0)</f>
        <v>0</v>
      </c>
      <c r="AN1135" s="125">
        <f>IFERROR(VLOOKUP(DATA[[#This Row],[COMBINADA]],#REF!,9,0),0)/COUNTIFS(DATA[COMBINADA],DATA[[#This Row],[COMBINADA]])</f>
        <v>0</v>
      </c>
      <c r="AO1135" s="27">
        <f>IFERROR(VLOOKUP(DATA[[#This Row],[COMBINADA]],#REF!,6,0),0)</f>
        <v>0</v>
      </c>
      <c r="AP1135" s="132">
        <f>IFERROR(VLOOKUP(DATA[[#This Row],[COMBINADA]],#REF!,9,0),0)/COUNTIFS(DATA[COMBINADA],DATA[[#This Row],[COMBINADA]])</f>
        <v>0</v>
      </c>
      <c r="AQ113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1088.4325000000001</v>
      </c>
      <c r="AR1135" s="26" t="str">
        <f>IFERROR(IF(DATA[[#This Row],[estado_fact]]="FACTURADO",VLOOKUP(DATA[[#This Row],[SERIE2]]&amp;"-"&amp;DATA[[#This Row],[NUMERO]],#REF!,34,0),"NO CORRESPONDE"),"NO CORRESPONDE")</f>
        <v>NO CORRESPONDE</v>
      </c>
      <c r="AS1135" s="22" t="str">
        <f>IF(DATA[[#This Row],[fecha_fs]]&gt;0,TEXT(DATA[[#This Row],[fecha_fs]],"Mmmm"),0)</f>
        <v>Setiembre</v>
      </c>
      <c r="AT1135" s="22" t="str">
        <f>DATA[[#This Row],[SERIE2]]&amp;"-"&amp;DATA[[#This Row],[NUMERO]]</f>
        <v>FF01-245</v>
      </c>
      <c r="AU1135" s="28">
        <f>DATA[[#This Row],[TOTAL]]*DATA[[#This Row],[T.C.]]</f>
        <v>1108.26</v>
      </c>
      <c r="AV1135" s="6">
        <f>DATA[[#This Row],[FECHA DE VAL.]]</f>
        <v>45909</v>
      </c>
      <c r="AW1135" s="6">
        <f>DATA[[#This Row],[FECHA DE EMISION]]</f>
        <v>45909</v>
      </c>
      <c r="AX1135" s="6">
        <f>DATA[[#This Row],[F1]]</f>
        <v>0</v>
      </c>
      <c r="AY1135" s="20">
        <f>IF(AV1135-DATA[[#This Row],[fecha_fs]]&lt;0,0,AV1135-DATA[[#This Row],[fecha_fs]])</f>
        <v>6</v>
      </c>
      <c r="AZ1135" s="20">
        <f t="shared" si="231"/>
        <v>0</v>
      </c>
      <c r="BA1135" s="53">
        <f t="shared" si="232"/>
        <v>0</v>
      </c>
      <c r="BB1135" s="195">
        <f>IFERROR(SUM(DATA[[#This Row],[fs_val_ttf]:[fact_pago_ttf]]),0)</f>
        <v>6</v>
      </c>
      <c r="BC1135" s="233">
        <v>45903</v>
      </c>
      <c r="BD1135" s="233">
        <v>45905</v>
      </c>
      <c r="BE1135" s="377">
        <v>45931</v>
      </c>
      <c r="BF1135" s="233">
        <v>45939</v>
      </c>
      <c r="BG1135" s="20">
        <f>IFERROR(IF(BC1135-DATA[[#This Row],[fecha_fs]]&lt;0,0,BC1135-DATA[[#This Row],[fecha_fs]]),0)</f>
        <v>0</v>
      </c>
      <c r="BH1135" s="20">
        <f t="shared" si="227"/>
        <v>2</v>
      </c>
      <c r="BI1135" s="20">
        <f t="shared" si="228"/>
        <v>26</v>
      </c>
      <c r="BJ1135" s="20">
        <f t="shared" si="229"/>
        <v>8</v>
      </c>
      <c r="BK1135" s="282">
        <f>IFERROR(SUM(DATA[[#This Row],[fs_fd_ttd]:[fend_fenf_ttd]]),0)</f>
        <v>36</v>
      </c>
      <c r="BL1135" s="20" t="str">
        <f>IF(DATA[[#This Row],[fecha_fs]]&gt;0,TEXT(DATA[[#This Row],[fecha_fs]],"YYYY"),0)</f>
        <v>2025</v>
      </c>
      <c r="BM1135" s="236" t="b">
        <v>1</v>
      </c>
      <c r="BN1135" s="308">
        <f>COUNTIF(DATA[[#This Row],[tiempo_td]], "&lt;=15")</f>
        <v>0</v>
      </c>
      <c r="BO1135" s="222"/>
    </row>
    <row r="1136" spans="1:67" ht="30.6" customHeight="1" x14ac:dyDescent="0.25">
      <c r="A1136" s="4">
        <v>20100055237</v>
      </c>
      <c r="B1136" s="5" t="s">
        <v>21</v>
      </c>
      <c r="C1136" s="52" t="s">
        <v>138</v>
      </c>
      <c r="D1136" s="4" t="s">
        <v>139</v>
      </c>
      <c r="E1136" s="5" t="s">
        <v>23</v>
      </c>
      <c r="F1136" s="24">
        <v>45902</v>
      </c>
      <c r="G1136" s="7" t="s">
        <v>113</v>
      </c>
      <c r="H1136" s="25">
        <f t="shared" si="230"/>
        <v>1</v>
      </c>
      <c r="I1136" s="67">
        <v>4943</v>
      </c>
      <c r="J1136" s="8" t="s">
        <v>115</v>
      </c>
      <c r="K1136" s="9" t="s">
        <v>121</v>
      </c>
      <c r="L1136" s="10" t="s">
        <v>117</v>
      </c>
      <c r="M1136" s="11">
        <v>70</v>
      </c>
      <c r="N1136" s="12" t="s">
        <v>125</v>
      </c>
      <c r="O1136" s="6">
        <v>45930</v>
      </c>
      <c r="P1136" s="54">
        <v>3707</v>
      </c>
      <c r="Q1136" s="14" t="s">
        <v>85</v>
      </c>
      <c r="R1136" s="309"/>
      <c r="S1136" s="15">
        <v>297.92</v>
      </c>
      <c r="T1136" s="237">
        <f>DATA[[#This Row],[C. DF]]+DATA[[#This Row],[C.OPE.]]</f>
        <v>297.92</v>
      </c>
      <c r="U1136" s="15">
        <f>DATA[[#This Row],[SUB TOTAL]]*0.18</f>
        <v>53.625599999999999</v>
      </c>
      <c r="V1136" s="15">
        <f>IFERROR(ROUND(DATA[[#This Row],[SUB TOTAL]]+DATA[[#This Row],[IGV]],2),0)</f>
        <v>351.55</v>
      </c>
      <c r="W1136" s="16" t="str">
        <f>IF(DATA[[#This Row],[VALORIZACIÓN ]]="-","NO CORRESPONDE",IF(OR(A1136=20558226979,A1136=10470707866,A1136=20111157058,A1136=20100226902),"NO CORRESPONDE",IF(J1136="Emitida",IF(P1136&gt;0,"EMITIDA","PENDIENTE"),"NO CORRESPONDE")))</f>
        <v>EMITIDA</v>
      </c>
      <c r="X1136" s="29"/>
      <c r="Y1136" s="17" t="s">
        <v>118</v>
      </c>
      <c r="Z1136" s="30">
        <v>45940</v>
      </c>
      <c r="AA1136" s="10" t="s">
        <v>150</v>
      </c>
      <c r="AB1136" s="19">
        <v>286</v>
      </c>
      <c r="AC1136" s="20">
        <v>30</v>
      </c>
      <c r="AD1136" s="18">
        <f>DATA[[#This Row],[FECHA DE EMISION]]+DATA[[#This Row],[CONDICION DE PAGO]]</f>
        <v>45970</v>
      </c>
      <c r="AE1136" s="23">
        <f>IF(DATA[[#This Row],[MONEDA]]="USD",VLOOKUP(DATA[[#This Row],[COMBINADA]],#REF!,11,0),1)</f>
        <v>1</v>
      </c>
      <c r="AF1136" s="129" t="str">
        <f>IF(DATA[[#This Row],[SERIE2]]="-","NO CORRESPONDE",IF(W1136="NO CORRESPONDE","NO CORRESPONDE",IF(Z1136&gt;0,"FACTURADO","PENDIENTE")))</f>
        <v>FACTURADO</v>
      </c>
      <c r="AG1136" s="39" t="str">
        <f>IF(DATA[[#This Row],[NUMERO]]="-","NO CORRESPONDE",IF(X1136="NO CORRESPONDE","NO CORRESPONDE",IF(AA1136&gt;0,"FACTURADO","PENDIENTE")))</f>
        <v>FACTURADO</v>
      </c>
      <c r="AH1136" s="39" t="str">
        <f>IF(DATA[[#This Row],[CONDICION DE PAGO]]="-","NO CORRESPONDE",IF(Y1136="NO CORRESPONDE","NO CORRESPONDE",IF(AB1136&gt;0,"FACTURADO","PENDIENTE")))</f>
        <v>FACTURADO</v>
      </c>
      <c r="AI1136" s="39" t="str">
        <f>IF(DATA[[#This Row],[VENCIMIENTO]]="-","NO CORRESPONDE",IF(Z1136="NO CORRESPONDE","NO CORRESPONDE",IF(AC1136&gt;0,"FACTURADO","PENDIENTE")))</f>
        <v>FACTURADO</v>
      </c>
      <c r="AJ1136" s="39" t="str">
        <f>IF(DATA[[#This Row],[T.C.]]="-","NO CORRESPONDE",IF(AA1136="NO CORRESPONDE","NO CORRESPONDE",IF(AD1136&gt;0,"FACTURADO","PENDIENTE")))</f>
        <v>FACTURADO</v>
      </c>
      <c r="AK1136" s="414" t="str">
        <f>IF(DATA[[#This Row],[estado_fact]]="-","NO CORRESPONDE",IF(AB1136="NO CORRESPONDE","NO CORRESPONDE",IF(AE1136&gt;0,"FACTURADO","PENDIENTE")))</f>
        <v>FACTURADO</v>
      </c>
      <c r="AL1136" s="129" t="str">
        <f>IF(DATA[[#This Row],[F1]]="-","NO CORRESPONDE",IF(AC1136="NO CORRESPONDE","NO CORRESPONDE",IF(AF1136&gt;0,"FACTURADO","PENDIENTE")))</f>
        <v>FACTURADO</v>
      </c>
      <c r="AM1136" s="129" t="str">
        <f>IF(DATA[[#This Row],[IMPORTE 1]]="-","NO CORRESPONDE",IF(AD1136="NO CORRESPONDE","NO CORRESPONDE",IF(AG1136&gt;0,"FACTURADO","PENDIENTE")))</f>
        <v>FACTURADO</v>
      </c>
      <c r="AN1136" s="129" t="str">
        <f>IF(DATA[[#This Row],[F2]]="-","NO CORRESPONDE",IF(AE1136="NO CORRESPONDE","NO CORRESPONDE",IF(AH1136&gt;0,"FACTURADO","PENDIENTE")))</f>
        <v>FACTURADO</v>
      </c>
      <c r="AO1136" s="129" t="str">
        <f>IF(DATA[[#This Row],[IMPORTE 2]]="-","NO CORRESPONDE",IF(AF1136="NO CORRESPONDE","NO CORRESPONDE",IF(AI1136&gt;0,"FACTURADO","PENDIENTE")))</f>
        <v>FACTURADO</v>
      </c>
      <c r="AP1136" s="129" t="str">
        <f>IF(DATA[[#This Row],[F3]]="-","NO CORRESPONDE",IF(AG1136="NO CORRESPONDE","NO CORRESPONDE",IF(AJ1136&gt;0,"FACTURADO","PENDIENTE")))</f>
        <v>FACTURADO</v>
      </c>
      <c r="AQ113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136" s="26" t="str">
        <f>IFERROR(IF(DATA[[#This Row],[estado_fact]]="FACTURADO",VLOOKUP(DATA[[#This Row],[SERIE2]]&amp;"-"&amp;DATA[[#This Row],[NUMERO]],#REF!,34,0),"NO CORRESPONDE"),"NO CORRESPONDE")</f>
        <v>NO CORRESPONDE</v>
      </c>
      <c r="AS1136" s="22" t="str">
        <f>IF(DATA[[#This Row],[fecha_fs]]&gt;0,TEXT(DATA[[#This Row],[fecha_fs]],"Mmmm"),0)</f>
        <v>Setiembre</v>
      </c>
      <c r="AT1136" s="22" t="str">
        <f>DATA[[#This Row],[SERIE2]]&amp;"-"&amp;DATA[[#This Row],[NUMERO]]</f>
        <v>FF01-286</v>
      </c>
      <c r="AU1136" s="28">
        <f>DATA[[#This Row],[TOTAL]]*DATA[[#This Row],[T.C.]]</f>
        <v>351.55</v>
      </c>
      <c r="AV1136" s="6">
        <f>DATA[[#This Row],[FECHA DE VAL.]]</f>
        <v>45930</v>
      </c>
      <c r="AW1136" s="6">
        <f>DATA[[#This Row],[FECHA DE EMISION]]</f>
        <v>45940</v>
      </c>
      <c r="AX1136" s="6"/>
      <c r="AY1136" s="20">
        <f>IF(AV1136-DATA[[#This Row],[fecha_fs]]&lt;0,0,AV1136-DATA[[#This Row],[fecha_fs]])</f>
        <v>28</v>
      </c>
      <c r="AZ1136" s="20">
        <f t="shared" si="231"/>
        <v>10</v>
      </c>
      <c r="BA1136" s="53">
        <f>IF(AX1136-AW1136&lt;0,0,AX1136-AW1136)</f>
        <v>0</v>
      </c>
      <c r="BB1136" s="195">
        <f>IFERROR(SUM(DATA[[#This Row],[fs_val_ttf]:[fact_pago_ttf]]),0)</f>
        <v>38</v>
      </c>
      <c r="BC1136" s="233">
        <v>45902</v>
      </c>
      <c r="BD1136" s="233">
        <v>45902</v>
      </c>
      <c r="BE1136" s="233">
        <v>45932</v>
      </c>
      <c r="BF1136" s="233">
        <v>45932</v>
      </c>
      <c r="BG1136" s="20">
        <f>IFERROR(IF(BC1136-DATA[[#This Row],[fecha_fs]]&lt;0,0,BC1136-DATA[[#This Row],[fecha_fs]]),0)</f>
        <v>0</v>
      </c>
      <c r="BH1136" s="20">
        <f t="shared" si="227"/>
        <v>0</v>
      </c>
      <c r="BI1136" s="20">
        <f t="shared" si="228"/>
        <v>30</v>
      </c>
      <c r="BJ1136" s="20">
        <f t="shared" si="229"/>
        <v>0</v>
      </c>
      <c r="BK1136" s="282">
        <f>IFERROR(SUM(DATA[[#This Row],[fs_fd_ttd]:[fend_fenf_ttd]]),0)</f>
        <v>30</v>
      </c>
      <c r="BL1136" s="20" t="str">
        <f>IF(DATA[[#This Row],[fecha_fs]]&gt;0,TEXT(DATA[[#This Row],[fecha_fs]],"YYYY"),0)</f>
        <v>2025</v>
      </c>
      <c r="BM1136" s="236" t="b">
        <v>1</v>
      </c>
      <c r="BN1136" s="278">
        <f>COUNTIF(DATA[[#This Row],[tiempo_td]], "&lt;=15")</f>
        <v>0</v>
      </c>
      <c r="BO1136" s="222"/>
    </row>
    <row r="1137" spans="1:67" ht="30.6" customHeight="1" x14ac:dyDescent="0.25">
      <c r="A1137" s="4">
        <v>20100055237</v>
      </c>
      <c r="B1137" s="5" t="s">
        <v>21</v>
      </c>
      <c r="C1137" s="52" t="s">
        <v>138</v>
      </c>
      <c r="D1137" s="4" t="s">
        <v>139</v>
      </c>
      <c r="E1137" s="5" t="s">
        <v>23</v>
      </c>
      <c r="F1137" s="24">
        <v>45904</v>
      </c>
      <c r="G1137" s="7" t="s">
        <v>113</v>
      </c>
      <c r="H1137" s="25">
        <f t="shared" si="230"/>
        <v>1</v>
      </c>
      <c r="I1137" s="67">
        <v>4944</v>
      </c>
      <c r="J1137" s="8" t="s">
        <v>115</v>
      </c>
      <c r="K1137" s="9" t="s">
        <v>121</v>
      </c>
      <c r="L1137" s="10" t="s">
        <v>117</v>
      </c>
      <c r="M1137" s="11">
        <v>40</v>
      </c>
      <c r="N1137" s="12" t="s">
        <v>122</v>
      </c>
      <c r="O1137" s="6">
        <v>45930</v>
      </c>
      <c r="P1137" s="54">
        <v>3707</v>
      </c>
      <c r="Q1137" s="14" t="s">
        <v>85</v>
      </c>
      <c r="R1137" s="309"/>
      <c r="S1137" s="15">
        <v>297.92</v>
      </c>
      <c r="T1137" s="237">
        <f>DATA[[#This Row],[C. DF]]+DATA[[#This Row],[C.OPE.]]</f>
        <v>297.92</v>
      </c>
      <c r="U1137" s="15">
        <f>DATA[[#This Row],[SUB TOTAL]]*0.18</f>
        <v>53.625599999999999</v>
      </c>
      <c r="V1137" s="15">
        <f>IFERROR(ROUND(DATA[[#This Row],[SUB TOTAL]]+DATA[[#This Row],[IGV]],2),0)</f>
        <v>351.55</v>
      </c>
      <c r="W1137" s="16" t="str">
        <f>IF(DATA[[#This Row],[VALORIZACIÓN ]]="-","NO CORRESPONDE",IF(OR(A1137=20558226979,A1137=10470707866,A1137=20111157058,A1137=20100226902),"NO CORRESPONDE",IF(J1137="Emitida",IF(P1137&gt;0,"EMITIDA","PENDIENTE"),"NO CORRESPONDE")))</f>
        <v>EMITIDA</v>
      </c>
      <c r="X1137" s="29"/>
      <c r="Y1137" s="17" t="s">
        <v>118</v>
      </c>
      <c r="Z1137" s="30">
        <v>45940</v>
      </c>
      <c r="AA1137" s="10" t="s">
        <v>150</v>
      </c>
      <c r="AB1137" s="19">
        <v>286</v>
      </c>
      <c r="AC1137" s="20">
        <v>30</v>
      </c>
      <c r="AD1137" s="18">
        <f>DATA[[#This Row],[FECHA DE EMISION]]+DATA[[#This Row],[CONDICION DE PAGO]]</f>
        <v>45970</v>
      </c>
      <c r="AE1137" s="23">
        <f>IF(DATA[[#This Row],[MONEDA]]="USD",VLOOKUP(DATA[[#This Row],[COMBINADA]],#REF!,11,0),1)</f>
        <v>1</v>
      </c>
      <c r="AF1137" s="129" t="str">
        <f>IF(DATA[[#This Row],[SERIE2]]="-","NO CORRESPONDE",IF(W1137="NO CORRESPONDE","NO CORRESPONDE",IF(Z1137&gt;0,"FACTURADO","PENDIENTE")))</f>
        <v>FACTURADO</v>
      </c>
      <c r="AG1137" s="133">
        <f>IFERROR(VLOOKUP(DATA[[#This Row],[COMBINADA]],#REF!,6,0),0)</f>
        <v>0</v>
      </c>
      <c r="AH1137" s="125">
        <f>IFERROR(VLOOKUP(DATA[[#This Row],[COMBINADA]],#REF!,9,0),0)/COUNTIFS(DATA[COMBINADA],DATA[[#This Row],[COMBINADA]])</f>
        <v>0</v>
      </c>
      <c r="AI1137" s="136">
        <f>IFERROR(VLOOKUP(DATA[[#This Row],[COMBINADA]],#REF!,6,0),0)</f>
        <v>0</v>
      </c>
      <c r="AJ1137" s="132">
        <f>IFERROR(VLOOKUP(DATA[[#This Row],[COMBINADA]],#REF!,9,0),0)/COUNTIFS(DATA[COMBINADA],DATA[[#This Row],[COMBINADA]])</f>
        <v>0</v>
      </c>
      <c r="AK1137" s="407">
        <f>IFERROR(VLOOKUP(DATA[[#This Row],[COMBINADA]],#REF!,6,0),0)</f>
        <v>0</v>
      </c>
      <c r="AL1137" s="125">
        <f>IFERROR(VLOOKUP(DATA[[#This Row],[COMBINADA]],#REF!,9,0),0)/COUNTIFS(DATA[COMBINADA],DATA[[#This Row],[COMBINADA]])</f>
        <v>0</v>
      </c>
      <c r="AM1137" s="27">
        <f>IFERROR(VLOOKUP(DATA[[#This Row],[COMBINADA]],#REF!,6,0),0)</f>
        <v>0</v>
      </c>
      <c r="AN1137" s="125">
        <f>IFERROR(VLOOKUP(DATA[[#This Row],[COMBINADA]],#REF!,9,0),0)/COUNTIFS(DATA[COMBINADA],DATA[[#This Row],[COMBINADA]])</f>
        <v>0</v>
      </c>
      <c r="AO1137" s="27">
        <f>IFERROR(VLOOKUP(DATA[[#This Row],[COMBINADA]],#REF!,6,0),0)</f>
        <v>0</v>
      </c>
      <c r="AP1137" s="132">
        <f>IFERROR(VLOOKUP(DATA[[#This Row],[COMBINADA]],#REF!,9,0),0)/COUNTIFS(DATA[COMBINADA],DATA[[#This Row],[COMBINADA]])</f>
        <v>0</v>
      </c>
      <c r="AQ113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137" s="26" t="str">
        <f>IFERROR(IF(DATA[[#This Row],[estado_fact]]="FACTURADO",VLOOKUP(DATA[[#This Row],[SERIE2]]&amp;"-"&amp;DATA[[#This Row],[NUMERO]],#REF!,34,0),"NO CORRESPONDE"),"NO CORRESPONDE")</f>
        <v>NO CORRESPONDE</v>
      </c>
      <c r="AS1137" s="22" t="str">
        <f>IF(DATA[[#This Row],[fecha_fs]]&gt;0,TEXT(DATA[[#This Row],[fecha_fs]],"Mmmm"),0)</f>
        <v>Setiembre</v>
      </c>
      <c r="AT1137" s="22" t="str">
        <f>DATA[[#This Row],[SERIE2]]&amp;"-"&amp;DATA[[#This Row],[NUMERO]]</f>
        <v>FF01-286</v>
      </c>
      <c r="AU1137" s="28">
        <f>DATA[[#This Row],[TOTAL]]*DATA[[#This Row],[T.C.]]</f>
        <v>351.55</v>
      </c>
      <c r="AV1137" s="6">
        <f>DATA[[#This Row],[FECHA DE VAL.]]</f>
        <v>45930</v>
      </c>
      <c r="AW1137" s="6">
        <f>DATA[[#This Row],[FECHA DE EMISION]]</f>
        <v>45940</v>
      </c>
      <c r="AX1137" s="6">
        <f>DATA[[#This Row],[F1]]</f>
        <v>0</v>
      </c>
      <c r="AY1137" s="20">
        <f>IF(AV1137-DATA[[#This Row],[fecha_fs]]&lt;0,0,AV1137-DATA[[#This Row],[fecha_fs]])</f>
        <v>26</v>
      </c>
      <c r="AZ1137" s="20">
        <f t="shared" si="231"/>
        <v>10</v>
      </c>
      <c r="BA1137" s="53">
        <f t="shared" si="232"/>
        <v>0</v>
      </c>
      <c r="BB1137" s="195">
        <f>IFERROR(SUM(DATA[[#This Row],[fs_val_ttf]:[fact_pago_ttf]]),0)</f>
        <v>36</v>
      </c>
      <c r="BC1137" s="233">
        <v>45904</v>
      </c>
      <c r="BD1137" s="233">
        <v>45904</v>
      </c>
      <c r="BE1137" s="233">
        <v>45932</v>
      </c>
      <c r="BF1137" s="233">
        <v>45932</v>
      </c>
      <c r="BG1137" s="20">
        <f>IFERROR(IF(BC1137-DATA[[#This Row],[fecha_fs]]&lt;0,0,BC1137-DATA[[#This Row],[fecha_fs]]),0)</f>
        <v>0</v>
      </c>
      <c r="BH1137" s="20">
        <f t="shared" si="227"/>
        <v>0</v>
      </c>
      <c r="BI1137" s="20">
        <f t="shared" si="228"/>
        <v>28</v>
      </c>
      <c r="BJ1137" s="20">
        <f t="shared" si="229"/>
        <v>0</v>
      </c>
      <c r="BK1137" s="282">
        <f>IFERROR(SUM(DATA[[#This Row],[fs_fd_ttd]:[fend_fenf_ttd]]),0)</f>
        <v>28</v>
      </c>
      <c r="BL1137" s="20" t="str">
        <f>IF(DATA[[#This Row],[fecha_fs]]&gt;0,TEXT(DATA[[#This Row],[fecha_fs]],"YYYY"),0)</f>
        <v>2025</v>
      </c>
      <c r="BM1137" s="236" t="b">
        <v>1</v>
      </c>
      <c r="BN1137" s="278">
        <f>COUNTIF(DATA[[#This Row],[tiempo_td]], "&lt;=15")</f>
        <v>0</v>
      </c>
      <c r="BO1137" s="222"/>
    </row>
    <row r="1138" spans="1:67" ht="30.6" customHeight="1" x14ac:dyDescent="0.25">
      <c r="A1138" s="4">
        <v>20505675836</v>
      </c>
      <c r="B1138" s="5" t="s">
        <v>42</v>
      </c>
      <c r="C1138" s="52" t="s">
        <v>43</v>
      </c>
      <c r="D1138" s="4" t="s">
        <v>157</v>
      </c>
      <c r="E1138" s="5" t="s">
        <v>44</v>
      </c>
      <c r="F1138" s="24">
        <v>45902</v>
      </c>
      <c r="G1138" s="7" t="s">
        <v>113</v>
      </c>
      <c r="H1138" s="25">
        <f t="shared" si="230"/>
        <v>1</v>
      </c>
      <c r="I1138" s="67">
        <v>4945</v>
      </c>
      <c r="J1138" s="8" t="s">
        <v>115</v>
      </c>
      <c r="K1138" s="9" t="s">
        <v>158</v>
      </c>
      <c r="L1138" s="10" t="s">
        <v>137</v>
      </c>
      <c r="M1138" s="11">
        <v>1</v>
      </c>
      <c r="N1138" s="12" t="s">
        <v>114</v>
      </c>
      <c r="O1138" s="6">
        <v>45926</v>
      </c>
      <c r="P1138" s="71">
        <v>3684</v>
      </c>
      <c r="Q1138" s="14" t="s">
        <v>85</v>
      </c>
      <c r="R1138" s="309"/>
      <c r="S1138" s="15">
        <v>396.7</v>
      </c>
      <c r="T1138" s="237">
        <f>DATA[[#This Row],[C. DF]]+DATA[[#This Row],[C.OPE.]]</f>
        <v>396.7</v>
      </c>
      <c r="U1138" s="15">
        <f>DATA[[#This Row],[SUB TOTAL]]*0.18</f>
        <v>71.405999999999992</v>
      </c>
      <c r="V1138" s="15">
        <f>IFERROR(ROUND(DATA[[#This Row],[SUB TOTAL]]+DATA[[#This Row],[IGV]],2),0)</f>
        <v>468.11</v>
      </c>
      <c r="W1138" s="16" t="str">
        <f>IF(DATA[[#This Row],[VALORIZACIÓN ]]="-","NO CORRESPONDE",IF(OR(A1138=20558226979,A1138=10470707866,A1138=20111157058,A1138=20100226902),"NO CORRESPONDE",IF(J1138="Emitida",IF(P1138&gt;0,"EMITIDA","PENDIENTE"),"NO CORRESPONDE")))</f>
        <v>EMITIDA</v>
      </c>
      <c r="X1138" s="29"/>
      <c r="Y1138" s="17" t="s">
        <v>118</v>
      </c>
      <c r="Z1138" s="30">
        <v>45933</v>
      </c>
      <c r="AA1138" s="10" t="s">
        <v>150</v>
      </c>
      <c r="AB1138" s="19">
        <v>280</v>
      </c>
      <c r="AC1138" s="20">
        <v>30</v>
      </c>
      <c r="AD1138" s="18">
        <f>DATA[[#This Row],[FECHA DE EMISION]]+DATA[[#This Row],[CONDICION DE PAGO]]</f>
        <v>45963</v>
      </c>
      <c r="AE1138" s="23">
        <f>IF(DATA[[#This Row],[MONEDA]]="USD",VLOOKUP(DATA[[#This Row],[COMBINADA]],#REF!,11,0),1)</f>
        <v>1</v>
      </c>
      <c r="AF1138" s="129" t="str">
        <f>IF(DATA[[#This Row],[SERIE2]]="-","NO CORRESPONDE",IF(W1138="NO CORRESPONDE","NO CORRESPONDE",IF(Z1138&gt;0,"FACTURADO","PENDIENTE")))</f>
        <v>FACTURADO</v>
      </c>
      <c r="AG1138" s="133">
        <f>IFERROR(VLOOKUP(DATA[[#This Row],[COMBINADA]],#REF!,6,0),0)</f>
        <v>0</v>
      </c>
      <c r="AH1138" s="125">
        <f>IFERROR(VLOOKUP(DATA[[#This Row],[COMBINADA]],#REF!,9,0),0)/COUNTIFS(DATA[COMBINADA],DATA[[#This Row],[COMBINADA]])</f>
        <v>0</v>
      </c>
      <c r="AI1138" s="136">
        <f>IFERROR(VLOOKUP(DATA[[#This Row],[COMBINADA]],#REF!,6,0),0)</f>
        <v>0</v>
      </c>
      <c r="AJ1138" s="132">
        <f>IFERROR(VLOOKUP(DATA[[#This Row],[COMBINADA]],#REF!,9,0),0)/COUNTIFS(DATA[COMBINADA],DATA[[#This Row],[COMBINADA]])</f>
        <v>0</v>
      </c>
      <c r="AK1138" s="407">
        <f>IFERROR(VLOOKUP(DATA[[#This Row],[COMBINADA]],#REF!,6,0),0)</f>
        <v>0</v>
      </c>
      <c r="AL1138" s="125">
        <f>IFERROR(VLOOKUP(DATA[[#This Row],[COMBINADA]],#REF!,9,0),0)/COUNTIFS(DATA[COMBINADA],DATA[[#This Row],[COMBINADA]])</f>
        <v>0</v>
      </c>
      <c r="AM1138" s="27">
        <f>IFERROR(VLOOKUP(DATA[[#This Row],[COMBINADA]],#REF!,6,0),0)</f>
        <v>0</v>
      </c>
      <c r="AN1138" s="125">
        <f>IFERROR(VLOOKUP(DATA[[#This Row],[COMBINADA]],#REF!,9,0),0)/COUNTIFS(DATA[COMBINADA],DATA[[#This Row],[COMBINADA]])</f>
        <v>0</v>
      </c>
      <c r="AO1138" s="27">
        <f>IFERROR(VLOOKUP(DATA[[#This Row],[COMBINADA]],#REF!,6,0),0)</f>
        <v>0</v>
      </c>
      <c r="AP1138" s="132">
        <f>IFERROR(VLOOKUP(DATA[[#This Row],[COMBINADA]],#REF!,9,0),0)/COUNTIFS(DATA[COMBINADA],DATA[[#This Row],[COMBINADA]])</f>
        <v>0</v>
      </c>
      <c r="AQ113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468.11</v>
      </c>
      <c r="AR1138" s="26" t="str">
        <f>IFERROR(IF(DATA[[#This Row],[estado_fact]]="FACTURADO",VLOOKUP(DATA[[#This Row],[SERIE2]]&amp;"-"&amp;DATA[[#This Row],[NUMERO]],#REF!,34,0),"NO CORRESPONDE"),"NO CORRESPONDE")</f>
        <v>NO CORRESPONDE</v>
      </c>
      <c r="AS1138" s="22" t="str">
        <f>IF(DATA[[#This Row],[fecha_fs]]&gt;0,TEXT(DATA[[#This Row],[fecha_fs]],"Mmmm"),0)</f>
        <v>Setiembre</v>
      </c>
      <c r="AT1138" s="22" t="str">
        <f>DATA[[#This Row],[SERIE2]]&amp;"-"&amp;DATA[[#This Row],[NUMERO]]</f>
        <v>FF01-280</v>
      </c>
      <c r="AU1138" s="28">
        <f>DATA[[#This Row],[TOTAL]]*DATA[[#This Row],[T.C.]]</f>
        <v>468.11</v>
      </c>
      <c r="AV1138" s="6">
        <f>DATA[[#This Row],[FECHA DE VAL.]]</f>
        <v>45926</v>
      </c>
      <c r="AW1138" s="6">
        <f>DATA[[#This Row],[FECHA DE EMISION]]</f>
        <v>45933</v>
      </c>
      <c r="AX1138" s="6">
        <f>DATA[[#This Row],[F1]]</f>
        <v>0</v>
      </c>
      <c r="AY1138" s="20">
        <f>IF(AV1138-DATA[[#This Row],[fecha_fs]]&lt;0,0,AV1138-DATA[[#This Row],[fecha_fs]])</f>
        <v>24</v>
      </c>
      <c r="AZ1138" s="20">
        <f t="shared" si="231"/>
        <v>7</v>
      </c>
      <c r="BA1138" s="53">
        <f t="shared" si="232"/>
        <v>0</v>
      </c>
      <c r="BB1138" s="195">
        <f>IFERROR(SUM(DATA[[#This Row],[fs_val_ttf]:[fact_pago_ttf]]),0)</f>
        <v>31</v>
      </c>
      <c r="BC1138" s="233">
        <v>45902</v>
      </c>
      <c r="BD1138" s="233">
        <v>45902</v>
      </c>
      <c r="BE1138" s="233">
        <v>45930</v>
      </c>
      <c r="BF1138" s="233">
        <v>45930</v>
      </c>
      <c r="BG1138" s="20">
        <f>IFERROR(IF(BC1138-DATA[[#This Row],[fecha_fs]]&lt;0,0,BC1138-DATA[[#This Row],[fecha_fs]]),0)</f>
        <v>0</v>
      </c>
      <c r="BH1138" s="20">
        <f t="shared" si="227"/>
        <v>0</v>
      </c>
      <c r="BI1138" s="20">
        <f t="shared" si="228"/>
        <v>28</v>
      </c>
      <c r="BJ1138" s="20">
        <f t="shared" si="229"/>
        <v>0</v>
      </c>
      <c r="BK1138" s="282">
        <f>IFERROR(SUM(DATA[[#This Row],[fs_fd_ttd]:[fend_fenf_ttd]]),0)</f>
        <v>28</v>
      </c>
      <c r="BL1138" s="20" t="str">
        <f>IF(DATA[[#This Row],[fecha_fs]]&gt;0,TEXT(DATA[[#This Row],[fecha_fs]],"YYYY"),0)</f>
        <v>2025</v>
      </c>
      <c r="BM1138" s="236" t="b">
        <v>1</v>
      </c>
      <c r="BN1138" s="308">
        <f>COUNTIF(DATA[[#This Row],[tiempo_td]], "&lt;=15")</f>
        <v>0</v>
      </c>
      <c r="BO1138" s="222"/>
    </row>
    <row r="1139" spans="1:67" ht="30.6" customHeight="1" x14ac:dyDescent="0.25">
      <c r="A1139" s="4">
        <v>20100211115</v>
      </c>
      <c r="B1139" s="5" t="s">
        <v>41</v>
      </c>
      <c r="C1139" s="52" t="s">
        <v>18</v>
      </c>
      <c r="D1139" s="4" t="s">
        <v>120</v>
      </c>
      <c r="E1139" s="5" t="s">
        <v>3</v>
      </c>
      <c r="F1139" s="24">
        <v>45903</v>
      </c>
      <c r="G1139" s="7" t="s">
        <v>113</v>
      </c>
      <c r="H1139" s="25">
        <f t="shared" ref="H1139" si="233">IF(G1139="","",IF(G1139="LIM",2,1))</f>
        <v>1</v>
      </c>
      <c r="I1139" s="67">
        <v>4946</v>
      </c>
      <c r="J1139" s="8" t="s">
        <v>115</v>
      </c>
      <c r="K1139" s="9" t="s">
        <v>121</v>
      </c>
      <c r="L1139" s="10" t="s">
        <v>117</v>
      </c>
      <c r="M1139" s="11">
        <v>90</v>
      </c>
      <c r="N1139" s="12" t="s">
        <v>132</v>
      </c>
      <c r="O1139" s="6">
        <v>45926</v>
      </c>
      <c r="P1139" s="115">
        <v>3679</v>
      </c>
      <c r="Q1139" s="14" t="s">
        <v>85</v>
      </c>
      <c r="R1139" s="74"/>
      <c r="S1139" s="15">
        <f>(DATA[[#This Row],[cantidad_fs]]*4.17)</f>
        <v>375.3</v>
      </c>
      <c r="T1139" s="237">
        <f>DATA[[#This Row],[C. DF]]+DATA[[#This Row],[C.OPE.]]</f>
        <v>375.3</v>
      </c>
      <c r="U1139" s="15">
        <f>DATA[[#This Row],[SUB TOTAL]]*0.18</f>
        <v>67.554000000000002</v>
      </c>
      <c r="V1139" s="15">
        <f>IFERROR(ROUND(DATA[[#This Row],[SUB TOTAL]]+DATA[[#This Row],[IGV]],2),0)</f>
        <v>442.85</v>
      </c>
      <c r="W1139" s="16" t="str">
        <f>IF(DATA[[#This Row],[VALORIZACIÓN ]]="-","NO CORRESPONDE",IF(OR(A1139=20558226979,A1139=10470707866,A1139=20111157058,A1139=20100226902),"NO CORRESPONDE",IF(J1139="Emitida",IF(P1139&gt;0,"EMITIDA","PENDIENTE"),"NO CORRESPONDE")))</f>
        <v>EMITIDA</v>
      </c>
      <c r="X1139" s="29"/>
      <c r="Y1139" s="17" t="s">
        <v>118</v>
      </c>
      <c r="Z1139" s="30">
        <v>45930</v>
      </c>
      <c r="AA1139" s="10" t="s">
        <v>150</v>
      </c>
      <c r="AB1139" s="19">
        <v>269</v>
      </c>
      <c r="AC1139" s="20">
        <v>30</v>
      </c>
      <c r="AD1139" s="18">
        <f>DATA[[#This Row],[FECHA DE EMISION]]+DATA[[#This Row],[CONDICION DE PAGO]]</f>
        <v>45960</v>
      </c>
      <c r="AE1139" s="23">
        <f>IF(DATA[[#This Row],[MONEDA]]="USD",VLOOKUP(DATA[[#This Row],[COMBINADA]],#REF!,11,0),1)</f>
        <v>1</v>
      </c>
      <c r="AF1139" s="129" t="str">
        <f>IF(DATA[[#This Row],[SERIE2]]="-","NO CORRESPONDE",IF(W1139="NO CORRESPONDE","NO CORRESPONDE",IF(Z1139&gt;0,"FACTURADO","PENDIENTE")))</f>
        <v>FACTURADO</v>
      </c>
      <c r="AG1139" s="133">
        <f>IFERROR(VLOOKUP(DATA[[#This Row],[COMBINADA]],#REF!,6,0),0)</f>
        <v>0</v>
      </c>
      <c r="AH1139" s="125">
        <f>IFERROR(VLOOKUP(DATA[[#This Row],[COMBINADA]],#REF!,9,0),0)/COUNTIFS(DATA[COMBINADA],DATA[[#This Row],[COMBINADA]])</f>
        <v>0</v>
      </c>
      <c r="AI1139" s="136">
        <f>IFERROR(VLOOKUP(DATA[[#This Row],[COMBINADA]],#REF!,6,0),0)</f>
        <v>0</v>
      </c>
      <c r="AJ1139" s="132">
        <f>IFERROR(VLOOKUP(DATA[[#This Row],[COMBINADA]],#REF!,9,0),0)/COUNTIFS(DATA[COMBINADA],DATA[[#This Row],[COMBINADA]])</f>
        <v>0</v>
      </c>
      <c r="AK1139" s="407">
        <f>IFERROR(VLOOKUP(DATA[[#This Row],[COMBINADA]],#REF!,6,0),0)</f>
        <v>0</v>
      </c>
      <c r="AL1139" s="125">
        <f>IFERROR(VLOOKUP(DATA[[#This Row],[COMBINADA]],#REF!,9,0),0)/COUNTIFS(DATA[COMBINADA],DATA[[#This Row],[COMBINADA]])</f>
        <v>0</v>
      </c>
      <c r="AM1139" s="27">
        <f>IFERROR(VLOOKUP(DATA[[#This Row],[COMBINADA]],#REF!,6,0),0)</f>
        <v>0</v>
      </c>
      <c r="AN1139" s="125">
        <f>IFERROR(VLOOKUP(DATA[[#This Row],[COMBINADA]],#REF!,9,0),0)/COUNTIFS(DATA[COMBINADA],DATA[[#This Row],[COMBINADA]])</f>
        <v>0</v>
      </c>
      <c r="AO1139" s="27">
        <f>IFERROR(VLOOKUP(DATA[[#This Row],[COMBINADA]],#REF!,6,0),0)</f>
        <v>0</v>
      </c>
      <c r="AP1139" s="132">
        <f>IFERROR(VLOOKUP(DATA[[#This Row],[COMBINADA]],#REF!,9,0),0)/COUNTIFS(DATA[COMBINADA],DATA[[#This Row],[COMBINADA]])</f>
        <v>0</v>
      </c>
      <c r="AQ113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139" s="26" t="str">
        <f>IFERROR(IF(DATA[[#This Row],[estado_fact]]="FACTURADO",VLOOKUP(DATA[[#This Row],[SERIE2]]&amp;"-"&amp;DATA[[#This Row],[NUMERO]],#REF!,34,0),"NO CORRESPONDE"),"NO CORRESPONDE")</f>
        <v>NO CORRESPONDE</v>
      </c>
      <c r="AS1139" s="22" t="str">
        <f>IF(DATA[[#This Row],[fecha_fs]]&gt;0,TEXT(DATA[[#This Row],[fecha_fs]],"Mmmm"),0)</f>
        <v>Setiembre</v>
      </c>
      <c r="AT1139" s="22" t="str">
        <f>DATA[[#This Row],[SERIE2]]&amp;"-"&amp;DATA[[#This Row],[NUMERO]]</f>
        <v>FF01-269</v>
      </c>
      <c r="AU1139" s="28">
        <f>DATA[[#This Row],[TOTAL]]*DATA[[#This Row],[T.C.]]</f>
        <v>442.85</v>
      </c>
      <c r="AV1139" s="6">
        <f>DATA[[#This Row],[FECHA DE VAL.]]</f>
        <v>45926</v>
      </c>
      <c r="AW1139" s="6">
        <f>DATA[[#This Row],[FECHA DE EMISION]]</f>
        <v>45930</v>
      </c>
      <c r="AX1139" s="6">
        <f>DATA[[#This Row],[F1]]</f>
        <v>0</v>
      </c>
      <c r="AY1139" s="20">
        <f>IF(AV1139-DATA[[#This Row],[fecha_fs]]&lt;0,0,AV1139-DATA[[#This Row],[fecha_fs]])</f>
        <v>23</v>
      </c>
      <c r="AZ1139" s="20">
        <f t="shared" si="231"/>
        <v>4</v>
      </c>
      <c r="BA1139" s="53">
        <f t="shared" si="232"/>
        <v>0</v>
      </c>
      <c r="BB1139" s="195">
        <f>IFERROR(SUM(DATA[[#This Row],[fs_val_ttf]:[fact_pago_ttf]]),0)</f>
        <v>27</v>
      </c>
      <c r="BC1139" s="233">
        <v>45932</v>
      </c>
      <c r="BD1139" s="233">
        <v>45939</v>
      </c>
      <c r="BE1139" s="233">
        <v>45939</v>
      </c>
      <c r="BF1139" s="233">
        <v>45940</v>
      </c>
      <c r="BG1139" s="20">
        <f>IFERROR(IF(BC1139-DATA[[#This Row],[fecha_fs]]&lt;0,0,BC1139-DATA[[#This Row],[fecha_fs]]),0)</f>
        <v>29</v>
      </c>
      <c r="BH1139" s="20">
        <f t="shared" si="227"/>
        <v>7</v>
      </c>
      <c r="BI1139" s="20">
        <f t="shared" si="228"/>
        <v>0</v>
      </c>
      <c r="BJ1139" s="20">
        <f t="shared" si="229"/>
        <v>1</v>
      </c>
      <c r="BK1139" s="282">
        <f>IFERROR(SUM(DATA[[#This Row],[fs_fd_ttd]:[fend_fenf_ttd]]),0)</f>
        <v>37</v>
      </c>
      <c r="BL1139" s="20" t="str">
        <f>IF(DATA[[#This Row],[fecha_fs]]&gt;0,TEXT(DATA[[#This Row],[fecha_fs]],"YYYY"),0)</f>
        <v>2025</v>
      </c>
      <c r="BM1139" s="236" t="b">
        <v>1</v>
      </c>
      <c r="BN1139" s="278">
        <f>COUNTIF(DATA[[#This Row],[tiempo_td]], "&lt;=15")</f>
        <v>0</v>
      </c>
      <c r="BO1139" s="222"/>
    </row>
    <row r="1140" spans="1:67" ht="30.6" customHeight="1" x14ac:dyDescent="0.25">
      <c r="A1140" s="4">
        <v>20100192064</v>
      </c>
      <c r="B1140" s="5" t="s">
        <v>60</v>
      </c>
      <c r="C1140" s="52" t="s">
        <v>43</v>
      </c>
      <c r="D1140" s="4" t="s">
        <v>120</v>
      </c>
      <c r="E1140" s="5" t="s">
        <v>3</v>
      </c>
      <c r="F1140" s="24">
        <v>45903</v>
      </c>
      <c r="G1140" s="7" t="s">
        <v>113</v>
      </c>
      <c r="H1140" s="25">
        <f t="shared" ref="H1140:H1141" si="234">IF(G1140="","",IF(G1140="LIM",2,1))</f>
        <v>1</v>
      </c>
      <c r="I1140" s="67">
        <v>4947</v>
      </c>
      <c r="J1140" s="8" t="s">
        <v>115</v>
      </c>
      <c r="K1140" s="9" t="s">
        <v>121</v>
      </c>
      <c r="L1140" s="10" t="s">
        <v>117</v>
      </c>
      <c r="M1140" s="11">
        <v>590</v>
      </c>
      <c r="N1140" s="12" t="s">
        <v>132</v>
      </c>
      <c r="O1140" s="6">
        <v>45926</v>
      </c>
      <c r="P1140" s="71">
        <v>3688</v>
      </c>
      <c r="Q1140" s="14" t="s">
        <v>123</v>
      </c>
      <c r="R1140" s="237">
        <f>(DATA[[#This Row],[cantidad_fs]]/1000)*(47+174.34)</f>
        <v>130.59059999999999</v>
      </c>
      <c r="S1140" s="237">
        <v>137</v>
      </c>
      <c r="T1140" s="237">
        <f>DATA[[#This Row],[C. DF]]+DATA[[#This Row],[C.OPE.]]</f>
        <v>267.59059999999999</v>
      </c>
      <c r="U1140" s="15">
        <f>DATA[[#This Row],[SUB TOTAL]]*0.18</f>
        <v>48.166308000000001</v>
      </c>
      <c r="V1140" s="15">
        <f>IFERROR(ROUND(DATA[[#This Row],[SUB TOTAL]]+DATA[[#This Row],[IGV]],2),0)</f>
        <v>315.76</v>
      </c>
      <c r="W1140" s="16" t="str">
        <f>IF(DATA[[#This Row],[VALORIZACIÓN ]]="-","NO CORRESPONDE",IF(OR(A1140=20558226979,A1140=10470707866,A1140=20111157058,A1140=20100226902),"NO CORRESPONDE",IF(J1140="Emitida",IF(P1140&gt;0,"EMITIDA","PENDIENTE"),"NO CORRESPONDE")))</f>
        <v>EMITIDA</v>
      </c>
      <c r="X1140" s="29"/>
      <c r="Y1140" s="17" t="s">
        <v>118</v>
      </c>
      <c r="Z1140" s="30">
        <v>45930</v>
      </c>
      <c r="AA1140" s="10" t="s">
        <v>349</v>
      </c>
      <c r="AB1140" s="19">
        <v>3</v>
      </c>
      <c r="AC1140" s="20">
        <v>30</v>
      </c>
      <c r="AD1140" s="18">
        <f>DATA[[#This Row],[FECHA DE EMISION]]+DATA[[#This Row],[CONDICION DE PAGO]]</f>
        <v>45960</v>
      </c>
      <c r="AE1140" s="23" t="e">
        <f>IF(DATA[[#This Row],[MONEDA]]="USD",VLOOKUP(DATA[[#This Row],[COMBINADA]],#REF!,11,0),1)</f>
        <v>#REF!</v>
      </c>
      <c r="AF1140" s="129" t="str">
        <f>IF(DATA[[#This Row],[SERIE2]]="-","NO CORRESPONDE",IF(W1140="NO CORRESPONDE","NO CORRESPONDE",IF(Z1140&gt;0,"FACTURADO","PENDIENTE")))</f>
        <v>FACTURADO</v>
      </c>
      <c r="AG1140" s="133">
        <f>IFERROR(VLOOKUP(DATA[[#This Row],[COMBINADA]],#REF!,6,0),0)</f>
        <v>0</v>
      </c>
      <c r="AH1140" s="125">
        <f>IFERROR(VLOOKUP(DATA[[#This Row],[COMBINADA]],#REF!,9,0),0)/COUNTIFS(DATA[COMBINADA],DATA[[#This Row],[COMBINADA]])</f>
        <v>0</v>
      </c>
      <c r="AI1140" s="136">
        <f>IFERROR(VLOOKUP(DATA[[#This Row],[COMBINADA]],#REF!,6,0),0)</f>
        <v>0</v>
      </c>
      <c r="AJ1140" s="132">
        <f>IFERROR(VLOOKUP(DATA[[#This Row],[COMBINADA]],#REF!,9,0),0)/COUNTIFS(DATA[COMBINADA],DATA[[#This Row],[COMBINADA]])</f>
        <v>0</v>
      </c>
      <c r="AK1140" s="407">
        <f>IFERROR(VLOOKUP(DATA[[#This Row],[COMBINADA]],#REF!,6,0),0)</f>
        <v>0</v>
      </c>
      <c r="AL1140" s="125">
        <f>IFERROR(VLOOKUP(DATA[[#This Row],[COMBINADA]],#REF!,9,0),0)/COUNTIFS(DATA[COMBINADA],DATA[[#This Row],[COMBINADA]])</f>
        <v>0</v>
      </c>
      <c r="AM1140" s="27">
        <f>IFERROR(VLOOKUP(DATA[[#This Row],[COMBINADA]],#REF!,6,0),0)</f>
        <v>0</v>
      </c>
      <c r="AN1140" s="125">
        <f>IFERROR(VLOOKUP(DATA[[#This Row],[COMBINADA]],#REF!,9,0),0)/COUNTIFS(DATA[COMBINADA],DATA[[#This Row],[COMBINADA]])</f>
        <v>0</v>
      </c>
      <c r="AO1140" s="27">
        <f>IFERROR(VLOOKUP(DATA[[#This Row],[COMBINADA]],#REF!,6,0),0)</f>
        <v>0</v>
      </c>
      <c r="AP1140" s="132">
        <f>IFERROR(VLOOKUP(DATA[[#This Row],[COMBINADA]],#REF!,9,0),0)/COUNTIFS(DATA[COMBINADA],DATA[[#This Row],[COMBINADA]])</f>
        <v>0</v>
      </c>
      <c r="AQ114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542.36833333333334</v>
      </c>
      <c r="AR1140" s="26" t="str">
        <f>IFERROR(IF(DATA[[#This Row],[estado_fact]]="FACTURADO",VLOOKUP(DATA[[#This Row],[SERIE2]]&amp;"-"&amp;DATA[[#This Row],[NUMERO]],#REF!,34,0),"NO CORRESPONDE"),"NO CORRESPONDE")</f>
        <v>NO CORRESPONDE</v>
      </c>
      <c r="AS1140" s="22" t="str">
        <f>IF(DATA[[#This Row],[fecha_fs]]&gt;0,TEXT(DATA[[#This Row],[fecha_fs]],"Mmmm"),0)</f>
        <v>Setiembre</v>
      </c>
      <c r="AT1140" s="22" t="str">
        <f>DATA[[#This Row],[SERIE2]]&amp;"-"&amp;DATA[[#This Row],[NUMERO]]</f>
        <v>FF04-3</v>
      </c>
      <c r="AU1140" s="28" t="e">
        <f>DATA[[#This Row],[TOTAL]]*DATA[[#This Row],[T.C.]]</f>
        <v>#REF!</v>
      </c>
      <c r="AV1140" s="6">
        <f>DATA[[#This Row],[FECHA DE VAL.]]</f>
        <v>45926</v>
      </c>
      <c r="AW1140" s="6">
        <f>DATA[[#This Row],[FECHA DE EMISION]]</f>
        <v>45930</v>
      </c>
      <c r="AX1140" s="6">
        <f>DATA[[#This Row],[F1]]</f>
        <v>0</v>
      </c>
      <c r="AY1140" s="20">
        <f>IF(AV1140-DATA[[#This Row],[fecha_fs]]&lt;0,0,AV1140-DATA[[#This Row],[fecha_fs]])</f>
        <v>23</v>
      </c>
      <c r="AZ1140" s="20">
        <f t="shared" si="231"/>
        <v>4</v>
      </c>
      <c r="BA1140" s="53">
        <f t="shared" si="232"/>
        <v>0</v>
      </c>
      <c r="BB1140" s="195">
        <f>IFERROR(SUM(DATA[[#This Row],[fs_val_ttf]:[fact_pago_ttf]]),0)</f>
        <v>27</v>
      </c>
      <c r="BC1140" s="233">
        <v>45915</v>
      </c>
      <c r="BD1140" s="233">
        <v>45932</v>
      </c>
      <c r="BE1140" s="233">
        <v>45933</v>
      </c>
      <c r="BF1140" s="233">
        <v>45945</v>
      </c>
      <c r="BG1140" s="20">
        <f>IFERROR(IF(BC1140-DATA[[#This Row],[fecha_fs]]&lt;0,0,BC1140-DATA[[#This Row],[fecha_fs]]),0)</f>
        <v>12</v>
      </c>
      <c r="BH1140" s="20">
        <f t="shared" si="227"/>
        <v>17</v>
      </c>
      <c r="BI1140" s="20">
        <f t="shared" si="228"/>
        <v>1</v>
      </c>
      <c r="BJ1140" s="20">
        <f t="shared" si="229"/>
        <v>12</v>
      </c>
      <c r="BK1140" s="282">
        <f>IFERROR(SUM(DATA[[#This Row],[fs_fd_ttd]:[fend_fenf_ttd]]),0)</f>
        <v>42</v>
      </c>
      <c r="BL1140" s="20" t="str">
        <f>IF(DATA[[#This Row],[fecha_fs]]&gt;0,TEXT(DATA[[#This Row],[fecha_fs]],"YYYY"),0)</f>
        <v>2025</v>
      </c>
      <c r="BM1140" s="236" t="b">
        <v>1</v>
      </c>
      <c r="BN1140" s="278">
        <f>COUNTIF(DATA[[#This Row],[tiempo_td]], "&lt;=15")</f>
        <v>0</v>
      </c>
      <c r="BO1140" s="222"/>
    </row>
    <row r="1141" spans="1:67" ht="30.6" customHeight="1" x14ac:dyDescent="0.25">
      <c r="A1141" s="4">
        <v>20100055237</v>
      </c>
      <c r="B1141" s="5" t="s">
        <v>21</v>
      </c>
      <c r="C1141" s="52" t="s">
        <v>323</v>
      </c>
      <c r="D1141" s="4" t="s">
        <v>139</v>
      </c>
      <c r="E1141" s="5" t="s">
        <v>23</v>
      </c>
      <c r="F1141" s="24">
        <v>45904</v>
      </c>
      <c r="G1141" s="7" t="s">
        <v>113</v>
      </c>
      <c r="H1141" s="25">
        <f t="shared" si="234"/>
        <v>1</v>
      </c>
      <c r="I1141" s="67">
        <v>4948</v>
      </c>
      <c r="J1141" s="8" t="s">
        <v>115</v>
      </c>
      <c r="K1141" s="9" t="s">
        <v>121</v>
      </c>
      <c r="L1141" s="10" t="s">
        <v>117</v>
      </c>
      <c r="M1141" s="11">
        <v>140</v>
      </c>
      <c r="N1141" s="12" t="s">
        <v>129</v>
      </c>
      <c r="O1141" s="6"/>
      <c r="P1141" s="54" t="s">
        <v>114</v>
      </c>
      <c r="Q1141" s="14"/>
      <c r="R1141" s="15"/>
      <c r="S1141" s="15"/>
      <c r="T1141" s="237">
        <f>DATA[[#This Row],[C. DF]]+DATA[[#This Row],[C.OPE.]]</f>
        <v>0</v>
      </c>
      <c r="U1141" s="15">
        <f>DATA[[#This Row],[SUB TOTAL]]*0.18</f>
        <v>0</v>
      </c>
      <c r="V1141" s="15">
        <f>IFERROR(ROUND(DATA[[#This Row],[SUB TOTAL]]+DATA[[#This Row],[IGV]],2),0)</f>
        <v>0</v>
      </c>
      <c r="W1141" s="16" t="str">
        <f>IF(DATA[[#This Row],[VALORIZACIÓN ]]="-","NO CORRESPONDE",IF(OR(A1141=20558226979,A1141=10470707866,A1141=20111157058,A1141=20100226902),"NO CORRESPONDE",IF(J1141="Emitida",IF(P1141&gt;0,"EMITIDA","PENDIENTE"),"NO CORRESPONDE")))</f>
        <v>NO CORRESPONDE</v>
      </c>
      <c r="X1141" s="29" t="s">
        <v>314</v>
      </c>
      <c r="Y1141" s="17" t="s">
        <v>128</v>
      </c>
      <c r="Z1141" s="30"/>
      <c r="AA1141" s="10"/>
      <c r="AB1141" s="19"/>
      <c r="AC1141" s="20"/>
      <c r="AD1141" s="18">
        <f>DATA[[#This Row],[FECHA DE EMISION]]+DATA[[#This Row],[CONDICION DE PAGO]]</f>
        <v>0</v>
      </c>
      <c r="AE1141" s="23">
        <f>IF(DATA[[#This Row],[MONEDA]]="USD",VLOOKUP(DATA[[#This Row],[COMBINADA]],#REF!,11,0),1)</f>
        <v>1</v>
      </c>
      <c r="AF1141" s="129" t="str">
        <f>IF(DATA[[#This Row],[SERIE2]]="-","NO CORRESPONDE",IF(W1141="NO CORRESPONDE","NO CORRESPONDE",IF(Z1141&gt;0,"FACTURADO","PENDIENTE")))</f>
        <v>NO CORRESPONDE</v>
      </c>
      <c r="AG1141" s="133">
        <f>IFERROR(VLOOKUP(DATA[[#This Row],[COMBINADA]],#REF!,6,0),0)</f>
        <v>0</v>
      </c>
      <c r="AH1141" s="125">
        <f>IFERROR(VLOOKUP(DATA[[#This Row],[COMBINADA]],#REF!,9,0),0)/COUNTIFS(DATA[COMBINADA],DATA[[#This Row],[COMBINADA]])</f>
        <v>0</v>
      </c>
      <c r="AI1141" s="136">
        <f>IFERROR(VLOOKUP(DATA[[#This Row],[COMBINADA]],#REF!,6,0),0)</f>
        <v>0</v>
      </c>
      <c r="AJ1141" s="132">
        <f>IFERROR(VLOOKUP(DATA[[#This Row],[COMBINADA]],#REF!,9,0),0)/COUNTIFS(DATA[COMBINADA],DATA[[#This Row],[COMBINADA]])</f>
        <v>0</v>
      </c>
      <c r="AK1141" s="407">
        <f>IFERROR(VLOOKUP(DATA[[#This Row],[COMBINADA]],#REF!,6,0),0)</f>
        <v>0</v>
      </c>
      <c r="AL1141" s="125">
        <f>IFERROR(VLOOKUP(DATA[[#This Row],[COMBINADA]],#REF!,9,0),0)/COUNTIFS(DATA[COMBINADA],DATA[[#This Row],[COMBINADA]])</f>
        <v>0</v>
      </c>
      <c r="AM1141" s="27">
        <f>IFERROR(VLOOKUP(DATA[[#This Row],[COMBINADA]],#REF!,6,0),0)</f>
        <v>0</v>
      </c>
      <c r="AN1141" s="125">
        <f>IFERROR(VLOOKUP(DATA[[#This Row],[COMBINADA]],#REF!,9,0),0)/COUNTIFS(DATA[COMBINADA],DATA[[#This Row],[COMBINADA]])</f>
        <v>0</v>
      </c>
      <c r="AO1141" s="27">
        <f>IFERROR(VLOOKUP(DATA[[#This Row],[COMBINADA]],#REF!,6,0),0)</f>
        <v>0</v>
      </c>
      <c r="AP1141" s="132">
        <f>IFERROR(VLOOKUP(DATA[[#This Row],[COMBINADA]],#REF!,9,0),0)/COUNTIFS(DATA[COMBINADA],DATA[[#This Row],[COMBINADA]])</f>
        <v>0</v>
      </c>
      <c r="AQ114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141" s="26" t="str">
        <f>IFERROR(IF(DATA[[#This Row],[estado_fact]]="FACTURADO",VLOOKUP(DATA[[#This Row],[SERIE2]]&amp;"-"&amp;DATA[[#This Row],[NUMERO]],#REF!,34,0),"NO CORRESPONDE"),"NO CORRESPONDE")</f>
        <v>NO CORRESPONDE</v>
      </c>
      <c r="AS1141" s="22" t="str">
        <f>IF(DATA[[#This Row],[fecha_fs]]&gt;0,TEXT(DATA[[#This Row],[fecha_fs]],"Mmmm"),0)</f>
        <v>Setiembre</v>
      </c>
      <c r="AT1141" s="22" t="str">
        <f>DATA[[#This Row],[SERIE2]]&amp;"-"&amp;DATA[[#This Row],[NUMERO]]</f>
        <v>-</v>
      </c>
      <c r="AU1141" s="28">
        <f>DATA[[#This Row],[TOTAL]]*DATA[[#This Row],[T.C.]]</f>
        <v>0</v>
      </c>
      <c r="AV1141" s="6">
        <f>DATA[[#This Row],[FECHA DE VAL.]]</f>
        <v>0</v>
      </c>
      <c r="AW1141" s="6">
        <f>DATA[[#This Row],[FECHA DE EMISION]]</f>
        <v>0</v>
      </c>
      <c r="AX1141" s="6">
        <f>DATA[[#This Row],[F1]]</f>
        <v>0</v>
      </c>
      <c r="AY1141" s="20">
        <f>IF(AV1141-DATA[[#This Row],[fecha_fs]]&lt;0,0,AV1141-DATA[[#This Row],[fecha_fs]])</f>
        <v>0</v>
      </c>
      <c r="AZ1141" s="20">
        <f t="shared" si="231"/>
        <v>0</v>
      </c>
      <c r="BA1141" s="53">
        <f t="shared" si="232"/>
        <v>0</v>
      </c>
      <c r="BB1141" s="195">
        <f>IFERROR(SUM(DATA[[#This Row],[fs_val_ttf]:[fact_pago_ttf]]),0)</f>
        <v>0</v>
      </c>
      <c r="BC1141" s="276" t="s">
        <v>270</v>
      </c>
      <c r="BD1141" s="276" t="s">
        <v>270</v>
      </c>
      <c r="BE1141" s="276" t="s">
        <v>270</v>
      </c>
      <c r="BF1141" s="276" t="s">
        <v>270</v>
      </c>
      <c r="BG1141" s="20">
        <f>IFERROR(IF(BC1141-DATA[[#This Row],[fecha_fs]]&lt;0,0,BC1141-DATA[[#This Row],[fecha_fs]]),0)</f>
        <v>0</v>
      </c>
      <c r="BH1141" s="20">
        <f t="shared" si="227"/>
        <v>0</v>
      </c>
      <c r="BI1141" s="20">
        <f t="shared" si="228"/>
        <v>0</v>
      </c>
      <c r="BJ1141" s="20">
        <f t="shared" si="229"/>
        <v>0</v>
      </c>
      <c r="BK1141" s="282">
        <f>IFERROR(SUM(DATA[[#This Row],[fs_fd_ttd]:[fend_fenf_ttd]]),0)</f>
        <v>0</v>
      </c>
      <c r="BL1141" s="20" t="str">
        <f>IF(DATA[[#This Row],[fecha_fs]]&gt;0,TEXT(DATA[[#This Row],[fecha_fs]],"YYYY"),0)</f>
        <v>2025</v>
      </c>
      <c r="BM1141" s="236" t="b">
        <v>0</v>
      </c>
      <c r="BN1141" s="308">
        <f>COUNTIF(DATA[[#This Row],[tiempo_td]], "&lt;=15")</f>
        <v>1</v>
      </c>
      <c r="BO1141" s="222"/>
    </row>
    <row r="1142" spans="1:67" ht="30.6" customHeight="1" x14ac:dyDescent="0.25">
      <c r="A1142" s="4">
        <v>20100211115</v>
      </c>
      <c r="B1142" s="5" t="s">
        <v>41</v>
      </c>
      <c r="C1142" s="52" t="s">
        <v>18</v>
      </c>
      <c r="D1142" s="4" t="s">
        <v>120</v>
      </c>
      <c r="E1142" s="5" t="s">
        <v>3</v>
      </c>
      <c r="F1142" s="24">
        <v>45904</v>
      </c>
      <c r="G1142" s="7" t="s">
        <v>113</v>
      </c>
      <c r="H1142" s="25">
        <f t="shared" ref="H1142:H1152" si="235">IF(G1142="","",IF(G1142="LIM",2,1))</f>
        <v>1</v>
      </c>
      <c r="I1142" s="67">
        <v>4949</v>
      </c>
      <c r="J1142" s="8" t="s">
        <v>115</v>
      </c>
      <c r="K1142" s="9" t="s">
        <v>163</v>
      </c>
      <c r="L1142" s="10" t="s">
        <v>117</v>
      </c>
      <c r="M1142" s="11">
        <v>1044</v>
      </c>
      <c r="N1142" s="12" t="s">
        <v>132</v>
      </c>
      <c r="O1142" s="6">
        <v>45926</v>
      </c>
      <c r="P1142" s="115">
        <v>3680</v>
      </c>
      <c r="Q1142" s="14" t="s">
        <v>85</v>
      </c>
      <c r="R1142" s="74"/>
      <c r="S1142" s="15">
        <f>DATA[[#This Row],[cantidad_fs]]*0.72</f>
        <v>751.68</v>
      </c>
      <c r="T1142" s="237">
        <f>DATA[[#This Row],[C. DF]]+DATA[[#This Row],[C.OPE.]]</f>
        <v>751.68</v>
      </c>
      <c r="U1142" s="15">
        <f>DATA[[#This Row],[SUB TOTAL]]*0.18</f>
        <v>135.30239999999998</v>
      </c>
      <c r="V1142" s="15">
        <f>IFERROR(ROUND(DATA[[#This Row],[SUB TOTAL]]+DATA[[#This Row],[IGV]],2),0)</f>
        <v>886.98</v>
      </c>
      <c r="W1142" s="16" t="str">
        <f>IF(DATA[[#This Row],[VALORIZACIÓN ]]="-","NO CORRESPONDE",IF(OR(A1142=20558226979,A1142=10470707866,A1142=20111157058,A1142=20100226902),"NO CORRESPONDE",IF(J1142="Emitida",IF(P1142&gt;0,"EMITIDA","PENDIENTE"),"NO CORRESPONDE")))</f>
        <v>EMITIDA</v>
      </c>
      <c r="X1142" s="29"/>
      <c r="Y1142" s="17" t="s">
        <v>118</v>
      </c>
      <c r="Z1142" s="30">
        <v>45930</v>
      </c>
      <c r="AA1142" s="10" t="s">
        <v>150</v>
      </c>
      <c r="AB1142" s="19">
        <v>270</v>
      </c>
      <c r="AC1142" s="20">
        <v>30</v>
      </c>
      <c r="AD1142" s="18">
        <f>DATA[[#This Row],[FECHA DE EMISION]]+DATA[[#This Row],[CONDICION DE PAGO]]</f>
        <v>45960</v>
      </c>
      <c r="AE1142" s="23">
        <f>IF(DATA[[#This Row],[MONEDA]]="USD",VLOOKUP(DATA[[#This Row],[COMBINADA]],#REF!,11,0),1)</f>
        <v>1</v>
      </c>
      <c r="AF1142" s="129" t="str">
        <f>IF(DATA[[#This Row],[SERIE2]]="-","NO CORRESPONDE",IF(W1142="NO CORRESPONDE","NO CORRESPONDE",IF(Z1142&gt;0,"FACTURADO","PENDIENTE")))</f>
        <v>FACTURADO</v>
      </c>
      <c r="AG1142" s="133">
        <f>IFERROR(VLOOKUP(DATA[[#This Row],[COMBINADA]],#REF!,6,0),0)</f>
        <v>0</v>
      </c>
      <c r="AH1142" s="125">
        <f>IFERROR(VLOOKUP(DATA[[#This Row],[COMBINADA]],#REF!,9,0),0)/COUNTIFS(DATA[COMBINADA],DATA[[#This Row],[COMBINADA]])</f>
        <v>0</v>
      </c>
      <c r="AI1142" s="136">
        <f>IFERROR(VLOOKUP(DATA[[#This Row],[COMBINADA]],#REF!,6,0),0)</f>
        <v>0</v>
      </c>
      <c r="AJ1142" s="132">
        <f>IFERROR(VLOOKUP(DATA[[#This Row],[COMBINADA]],#REF!,9,0),0)/COUNTIFS(DATA[COMBINADA],DATA[[#This Row],[COMBINADA]])</f>
        <v>0</v>
      </c>
      <c r="AK1142" s="407">
        <f>IFERROR(VLOOKUP(DATA[[#This Row],[COMBINADA]],#REF!,6,0),0)</f>
        <v>0</v>
      </c>
      <c r="AL1142" s="125">
        <f>IFERROR(VLOOKUP(DATA[[#This Row],[COMBINADA]],#REF!,9,0),0)/COUNTIFS(DATA[COMBINADA],DATA[[#This Row],[COMBINADA]])</f>
        <v>0</v>
      </c>
      <c r="AM1142" s="27">
        <f>IFERROR(VLOOKUP(DATA[[#This Row],[COMBINADA]],#REF!,6,0),0)</f>
        <v>0</v>
      </c>
      <c r="AN1142" s="125">
        <f>IFERROR(VLOOKUP(DATA[[#This Row],[COMBINADA]],#REF!,9,0),0)/COUNTIFS(DATA[COMBINADA],DATA[[#This Row],[COMBINADA]])</f>
        <v>0</v>
      </c>
      <c r="AO1142" s="27">
        <f>IFERROR(VLOOKUP(DATA[[#This Row],[COMBINADA]],#REF!,6,0),0)</f>
        <v>0</v>
      </c>
      <c r="AP1142" s="132">
        <f>IFERROR(VLOOKUP(DATA[[#This Row],[COMBINADA]],#REF!,9,0),0)/COUNTIFS(DATA[COMBINADA],DATA[[#This Row],[COMBINADA]])</f>
        <v>0</v>
      </c>
      <c r="AQ114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871.26499999999999</v>
      </c>
      <c r="AR1142" s="26" t="str">
        <f>IFERROR(IF(DATA[[#This Row],[estado_fact]]="FACTURADO",VLOOKUP(DATA[[#This Row],[SERIE2]]&amp;"-"&amp;DATA[[#This Row],[NUMERO]],#REF!,34,0),"NO CORRESPONDE"),"NO CORRESPONDE")</f>
        <v>NO CORRESPONDE</v>
      </c>
      <c r="AS1142" s="22" t="str">
        <f>IF(DATA[[#This Row],[fecha_fs]]&gt;0,TEXT(DATA[[#This Row],[fecha_fs]],"Mmmm"),0)</f>
        <v>Setiembre</v>
      </c>
      <c r="AT1142" s="22" t="str">
        <f>DATA[[#This Row],[SERIE2]]&amp;"-"&amp;DATA[[#This Row],[NUMERO]]</f>
        <v>FF01-270</v>
      </c>
      <c r="AU1142" s="28">
        <f>DATA[[#This Row],[TOTAL]]*DATA[[#This Row],[T.C.]]</f>
        <v>886.98</v>
      </c>
      <c r="AV1142" s="6">
        <f>DATA[[#This Row],[FECHA DE VAL.]]</f>
        <v>45926</v>
      </c>
      <c r="AW1142" s="6">
        <f>DATA[[#This Row],[FECHA DE EMISION]]</f>
        <v>45930</v>
      </c>
      <c r="AX1142" s="6">
        <f>DATA[[#This Row],[F1]]</f>
        <v>0</v>
      </c>
      <c r="AY1142" s="20">
        <f>IF(AV1142-DATA[[#This Row],[fecha_fs]]&lt;0,0,AV1142-DATA[[#This Row],[fecha_fs]])</f>
        <v>22</v>
      </c>
      <c r="AZ1142" s="20">
        <f t="shared" si="231"/>
        <v>4</v>
      </c>
      <c r="BA1142" s="53">
        <f t="shared" si="232"/>
        <v>0</v>
      </c>
      <c r="BB1142" s="195">
        <f>IFERROR(SUM(DATA[[#This Row],[fs_val_ttf]:[fact_pago_ttf]]),0)</f>
        <v>26</v>
      </c>
      <c r="BC1142" s="233">
        <v>45933</v>
      </c>
      <c r="BD1142" s="233">
        <v>45939</v>
      </c>
      <c r="BE1142" s="233">
        <v>45939</v>
      </c>
      <c r="BF1142" s="233">
        <v>45940</v>
      </c>
      <c r="BG1142" s="20">
        <f>IFERROR(IF(BC1142-DATA[[#This Row],[fecha_fs]]&lt;0,0,BC1142-DATA[[#This Row],[fecha_fs]]),0)</f>
        <v>29</v>
      </c>
      <c r="BH1142" s="20">
        <f t="shared" si="227"/>
        <v>6</v>
      </c>
      <c r="BI1142" s="20">
        <f t="shared" si="228"/>
        <v>0</v>
      </c>
      <c r="BJ1142" s="20">
        <f t="shared" si="229"/>
        <v>1</v>
      </c>
      <c r="BK1142" s="282">
        <f>IFERROR(SUM(DATA[[#This Row],[fs_fd_ttd]:[fend_fenf_ttd]]),0)</f>
        <v>36</v>
      </c>
      <c r="BL1142" s="20" t="str">
        <f>IF(DATA[[#This Row],[fecha_fs]]&gt;0,TEXT(DATA[[#This Row],[fecha_fs]],"YYYY"),0)</f>
        <v>2025</v>
      </c>
      <c r="BM1142" s="236" t="b">
        <v>1</v>
      </c>
      <c r="BN1142" s="278">
        <f>COUNTIF(DATA[[#This Row],[tiempo_td]], "&lt;=15")</f>
        <v>0</v>
      </c>
      <c r="BO1142" s="222"/>
    </row>
    <row r="1143" spans="1:67" ht="30.6" customHeight="1" x14ac:dyDescent="0.25">
      <c r="A1143" s="4">
        <v>20100192064</v>
      </c>
      <c r="B1143" s="5" t="s">
        <v>60</v>
      </c>
      <c r="C1143" s="52" t="s">
        <v>65</v>
      </c>
      <c r="D1143" s="4" t="s">
        <v>120</v>
      </c>
      <c r="E1143" s="5" t="s">
        <v>3</v>
      </c>
      <c r="F1143" s="24">
        <v>45904</v>
      </c>
      <c r="G1143" s="7" t="s">
        <v>142</v>
      </c>
      <c r="H1143" s="25">
        <f>IF(G1143="","",IF(G1143="LIM",2,1))</f>
        <v>2</v>
      </c>
      <c r="I1143" s="67">
        <v>1132</v>
      </c>
      <c r="J1143" s="8" t="s">
        <v>115</v>
      </c>
      <c r="K1143" s="9" t="s">
        <v>121</v>
      </c>
      <c r="L1143" s="10" t="s">
        <v>117</v>
      </c>
      <c r="M1143" s="11">
        <v>1250</v>
      </c>
      <c r="N1143" s="12" t="s">
        <v>180</v>
      </c>
      <c r="O1143" s="6">
        <v>45926</v>
      </c>
      <c r="P1143" s="71">
        <v>3694</v>
      </c>
      <c r="Q1143" s="14" t="s">
        <v>123</v>
      </c>
      <c r="R1143" s="206">
        <f>(DATA[[#This Row],[cantidad_fs]]/1000)*(37+81.01)</f>
        <v>147.51250000000002</v>
      </c>
      <c r="S1143" s="15">
        <v>103.6</v>
      </c>
      <c r="T1143" s="309">
        <f>DATA[[#This Row],[C. DF]]+DATA[[#This Row],[C.OPE.]]</f>
        <v>251.11250000000001</v>
      </c>
      <c r="U1143" s="15">
        <f>DATA[[#This Row],[SUB TOTAL]]*0.18</f>
        <v>45.200249999999997</v>
      </c>
      <c r="V1143" s="15">
        <f>IFERROR(ROUND(DATA[[#This Row],[SUB TOTAL]]+DATA[[#This Row],[IGV]],2),0)</f>
        <v>296.31</v>
      </c>
      <c r="W1143" s="16" t="str">
        <f>IF(DATA[[#This Row],[VALORIZACIÓN ]]="-","NO CORRESPONDE",IF(OR(A1143=20558226979,A1143=10470707866,A1143=20111157058,A1143=20100226902),"NO CORRESPONDE",IF(J1143="Emitida",IF(P1143&gt;0,"EMITIDA","PENDIENTE"),"NO CORRESPONDE")))</f>
        <v>EMITIDA</v>
      </c>
      <c r="X1143" s="29"/>
      <c r="Y1143" s="17" t="s">
        <v>118</v>
      </c>
      <c r="Z1143" s="30">
        <v>45929</v>
      </c>
      <c r="AA1143" s="10" t="s">
        <v>150</v>
      </c>
      <c r="AB1143" s="19">
        <v>268</v>
      </c>
      <c r="AC1143" s="20">
        <v>30</v>
      </c>
      <c r="AD1143" s="18">
        <f>DATA[[#This Row],[FECHA DE EMISION]]+DATA[[#This Row],[CONDICION DE PAGO]]</f>
        <v>45959</v>
      </c>
      <c r="AE1143" s="23" t="e">
        <f>IF(DATA[[#This Row],[MONEDA]]="USD",VLOOKUP(DATA[[#This Row],[COMBINADA]],#REF!,11,0),1)</f>
        <v>#REF!</v>
      </c>
      <c r="AF1143" s="129" t="str">
        <f>IF(DATA[[#This Row],[SERIE2]]="-","NO CORRESPONDE",IF(W1143="NO CORRESPONDE","NO CORRESPONDE",IF(Z1143&gt;0,"FACTURADO","PENDIENTE")))</f>
        <v>FACTURADO</v>
      </c>
      <c r="AG1143" s="133">
        <f>IFERROR(VLOOKUP(DATA[[#This Row],[COMBINADA]],#REF!,6,0),0)</f>
        <v>0</v>
      </c>
      <c r="AH1143" s="125">
        <f>IFERROR(VLOOKUP(DATA[[#This Row],[COMBINADA]],#REF!,9,0),0)/COUNTIFS(DATA[COMBINADA],DATA[[#This Row],[COMBINADA]])</f>
        <v>0</v>
      </c>
      <c r="AI1143" s="136">
        <f>IFERROR(VLOOKUP(DATA[[#This Row],[COMBINADA]],#REF!,6,0),0)</f>
        <v>0</v>
      </c>
      <c r="AJ1143" s="132">
        <f>IFERROR(VLOOKUP(DATA[[#This Row],[COMBINADA]],#REF!,9,0),0)/COUNTIFS(DATA[COMBINADA],DATA[[#This Row],[COMBINADA]])</f>
        <v>0</v>
      </c>
      <c r="AK1143" s="407">
        <f>IFERROR(VLOOKUP(DATA[[#This Row],[COMBINADA]],#REF!,6,0),0)</f>
        <v>0</v>
      </c>
      <c r="AL1143" s="125">
        <f>IFERROR(VLOOKUP(DATA[[#This Row],[COMBINADA]],#REF!,9,0),0)/COUNTIFS(DATA[COMBINADA],DATA[[#This Row],[COMBINADA]])</f>
        <v>0</v>
      </c>
      <c r="AM1143" s="27">
        <f>IFERROR(VLOOKUP(DATA[[#This Row],[COMBINADA]],#REF!,6,0),0)</f>
        <v>0</v>
      </c>
      <c r="AN1143" s="125">
        <f>IFERROR(VLOOKUP(DATA[[#This Row],[COMBINADA]],#REF!,9,0),0)/COUNTIFS(DATA[COMBINADA],DATA[[#This Row],[COMBINADA]])</f>
        <v>0</v>
      </c>
      <c r="AO1143" s="27">
        <f>IFERROR(VLOOKUP(DATA[[#This Row],[COMBINADA]],#REF!,6,0),0)</f>
        <v>0</v>
      </c>
      <c r="AP1143" s="132">
        <f>IFERROR(VLOOKUP(DATA[[#This Row],[COMBINADA]],#REF!,9,0),0)/COUNTIFS(DATA[COMBINADA],DATA[[#This Row],[COMBINADA]])</f>
        <v>0</v>
      </c>
      <c r="AQ114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535.76357142857137</v>
      </c>
      <c r="AR1143" s="26" t="str">
        <f>IFERROR(IF(DATA[[#This Row],[estado_fact]]="FACTURADO",VLOOKUP(DATA[[#This Row],[SERIE2]]&amp;"-"&amp;DATA[[#This Row],[NUMERO]],#REF!,34,0),"NO CORRESPONDE"),"NO CORRESPONDE")</f>
        <v>NO CORRESPONDE</v>
      </c>
      <c r="AS1143" s="22" t="str">
        <f>IF(DATA[[#This Row],[fecha_fs]]&gt;0,TEXT(DATA[[#This Row],[fecha_fs]],"Mmmm"),0)</f>
        <v>Setiembre</v>
      </c>
      <c r="AT1143" s="22" t="str">
        <f>DATA[[#This Row],[SERIE2]]&amp;"-"&amp;DATA[[#This Row],[NUMERO]]</f>
        <v>FF01-268</v>
      </c>
      <c r="AU1143" s="28" t="e">
        <f>DATA[[#This Row],[TOTAL]]*DATA[[#This Row],[T.C.]]</f>
        <v>#REF!</v>
      </c>
      <c r="AV1143" s="6">
        <f>DATA[[#This Row],[FECHA DE VAL.]]</f>
        <v>45926</v>
      </c>
      <c r="AW1143" s="6">
        <f>DATA[[#This Row],[FECHA DE EMISION]]</f>
        <v>45929</v>
      </c>
      <c r="AX1143" s="6">
        <f>DATA[[#This Row],[F1]]</f>
        <v>0</v>
      </c>
      <c r="AY1143" s="20">
        <f>IF(AV1143-DATA[[#This Row],[fecha_fs]]&lt;0,0,AV1143-DATA[[#This Row],[fecha_fs]])</f>
        <v>22</v>
      </c>
      <c r="AZ1143" s="20">
        <f>IF(AW1143-AV1143&lt;0,0,AW1143-AV1143)</f>
        <v>3</v>
      </c>
      <c r="BA1143" s="53">
        <f>IF(AX1143-AW1143&lt;0,0,AX1143-AW1143)</f>
        <v>0</v>
      </c>
      <c r="BB1143" s="305">
        <f>IFERROR(SUM(DATA[[#This Row],[fs_val_ttf]:[fact_pago_ttf]]),0)</f>
        <v>25</v>
      </c>
      <c r="BC1143" s="318">
        <v>45904</v>
      </c>
      <c r="BD1143" s="318">
        <v>45911</v>
      </c>
      <c r="BE1143" s="318">
        <v>45931</v>
      </c>
      <c r="BF1143" s="233">
        <v>45945</v>
      </c>
      <c r="BG1143" s="20">
        <f>IFERROR(IF(BC1143-DATA[[#This Row],[fecha_fs]]&lt;0,0,BC1143-DATA[[#This Row],[fecha_fs]]),0)</f>
        <v>0</v>
      </c>
      <c r="BH1143" s="20">
        <f t="shared" si="227"/>
        <v>7</v>
      </c>
      <c r="BI1143" s="20">
        <f t="shared" si="228"/>
        <v>20</v>
      </c>
      <c r="BJ1143" s="306">
        <f t="shared" si="229"/>
        <v>14</v>
      </c>
      <c r="BK1143" s="307">
        <f>IFERROR(SUM(DATA[[#This Row],[fs_fd_ttd]:[fend_fenf_ttd]]),0)</f>
        <v>41</v>
      </c>
      <c r="BL1143" s="20" t="str">
        <f>IF(DATA[[#This Row],[fecha_fs]]&gt;0,TEXT(DATA[[#This Row],[fecha_fs]],"YYYY"),0)</f>
        <v>2025</v>
      </c>
      <c r="BM1143" s="236" t="b">
        <v>1</v>
      </c>
      <c r="BN1143" s="278">
        <f>COUNTIF(DATA[[#This Row],[tiempo_td]], "&lt;=15")</f>
        <v>0</v>
      </c>
      <c r="BO1143" s="222"/>
    </row>
    <row r="1144" spans="1:67" ht="30.6" customHeight="1" x14ac:dyDescent="0.25">
      <c r="A1144" s="4">
        <v>20100192064</v>
      </c>
      <c r="B1144" s="5" t="s">
        <v>60</v>
      </c>
      <c r="C1144" s="52" t="s">
        <v>65</v>
      </c>
      <c r="D1144" s="4" t="s">
        <v>112</v>
      </c>
      <c r="E1144" s="5" t="s">
        <v>1</v>
      </c>
      <c r="F1144" s="24">
        <v>45905</v>
      </c>
      <c r="G1144" s="7" t="s">
        <v>142</v>
      </c>
      <c r="H1144" s="25">
        <f>IF(G1144="","",IF(G1144="LIM",2,1))</f>
        <v>2</v>
      </c>
      <c r="I1144" s="67">
        <v>1133</v>
      </c>
      <c r="J1144" s="8" t="s">
        <v>115</v>
      </c>
      <c r="K1144" s="9" t="s">
        <v>116</v>
      </c>
      <c r="L1144" s="10" t="s">
        <v>117</v>
      </c>
      <c r="M1144" s="11">
        <v>3220</v>
      </c>
      <c r="N1144" s="12" t="s">
        <v>180</v>
      </c>
      <c r="O1144" s="6">
        <v>45926</v>
      </c>
      <c r="P1144" s="71">
        <v>3695</v>
      </c>
      <c r="Q1144" s="14" t="s">
        <v>123</v>
      </c>
      <c r="R1144" s="15">
        <f>(DATA[[#This Row],[cantidad_fs]]/1000)*(147+81.01)</f>
        <v>734.19220000000007</v>
      </c>
      <c r="S1144" s="237">
        <v>103.6</v>
      </c>
      <c r="T1144" s="309">
        <f>DATA[[#This Row],[C. DF]]+DATA[[#This Row],[C.OPE.]]</f>
        <v>837.79220000000009</v>
      </c>
      <c r="U1144" s="15">
        <f>DATA[[#This Row],[SUB TOTAL]]*0.18</f>
        <v>150.80259600000002</v>
      </c>
      <c r="V1144" s="15">
        <f>IFERROR(ROUND(DATA[[#This Row],[SUB TOTAL]]+DATA[[#This Row],[IGV]],2),0)</f>
        <v>988.59</v>
      </c>
      <c r="W1144" s="16" t="str">
        <f>IF(DATA[[#This Row],[VALORIZACIÓN ]]="-","NO CORRESPONDE",IF(OR(A1144=20558226979,A1144=10470707866,A1144=20111157058,A1144=20100226902),"NO CORRESPONDE",IF(J1144="Emitida",IF(P1144&gt;0,"EMITIDA","PENDIENTE"),"NO CORRESPONDE")))</f>
        <v>EMITIDA</v>
      </c>
      <c r="X1144" s="29"/>
      <c r="Y1144" s="17" t="s">
        <v>118</v>
      </c>
      <c r="Z1144" s="30">
        <v>45929</v>
      </c>
      <c r="AA1144" s="10" t="s">
        <v>150</v>
      </c>
      <c r="AB1144" s="19">
        <v>268</v>
      </c>
      <c r="AC1144" s="20">
        <v>30</v>
      </c>
      <c r="AD1144" s="18">
        <f>DATA[[#This Row],[FECHA DE EMISION]]+DATA[[#This Row],[CONDICION DE PAGO]]</f>
        <v>45959</v>
      </c>
      <c r="AE1144" s="23" t="e">
        <f>IF(DATA[[#This Row],[MONEDA]]="USD",VLOOKUP(DATA[[#This Row],[COMBINADA]],#REF!,11,0),1)</f>
        <v>#REF!</v>
      </c>
      <c r="AF1144" s="129" t="str">
        <f>IF(DATA[[#This Row],[SERIE2]]="-","NO CORRESPONDE",IF(W1144="NO CORRESPONDE","NO CORRESPONDE",IF(Z1144&gt;0,"FACTURADO","PENDIENTE")))</f>
        <v>FACTURADO</v>
      </c>
      <c r="AG1144" s="133">
        <f>IFERROR(VLOOKUP(DATA[[#This Row],[COMBINADA]],#REF!,6,0),0)</f>
        <v>0</v>
      </c>
      <c r="AH1144" s="125">
        <f>IFERROR(VLOOKUP(DATA[[#This Row],[COMBINADA]],#REF!,9,0),0)/COUNTIFS(DATA[COMBINADA],DATA[[#This Row],[COMBINADA]])</f>
        <v>0</v>
      </c>
      <c r="AI1144" s="136">
        <f>IFERROR(VLOOKUP(DATA[[#This Row],[COMBINADA]],#REF!,6,0),0)</f>
        <v>0</v>
      </c>
      <c r="AJ1144" s="132">
        <f>IFERROR(VLOOKUP(DATA[[#This Row],[COMBINADA]],#REF!,9,0),0)/COUNTIFS(DATA[COMBINADA],DATA[[#This Row],[COMBINADA]])</f>
        <v>0</v>
      </c>
      <c r="AK1144" s="407">
        <f>IFERROR(VLOOKUP(DATA[[#This Row],[COMBINADA]],#REF!,6,0),0)</f>
        <v>0</v>
      </c>
      <c r="AL1144" s="125">
        <f>IFERROR(VLOOKUP(DATA[[#This Row],[COMBINADA]],#REF!,9,0),0)/COUNTIFS(DATA[COMBINADA],DATA[[#This Row],[COMBINADA]])</f>
        <v>0</v>
      </c>
      <c r="AM1144" s="27">
        <f>IFERROR(VLOOKUP(DATA[[#This Row],[COMBINADA]],#REF!,6,0),0)</f>
        <v>0</v>
      </c>
      <c r="AN1144" s="125">
        <f>IFERROR(VLOOKUP(DATA[[#This Row],[COMBINADA]],#REF!,9,0),0)/COUNTIFS(DATA[COMBINADA],DATA[[#This Row],[COMBINADA]])</f>
        <v>0</v>
      </c>
      <c r="AO1144" s="27">
        <f>IFERROR(VLOOKUP(DATA[[#This Row],[COMBINADA]],#REF!,6,0),0)</f>
        <v>0</v>
      </c>
      <c r="AP1144" s="132">
        <f>IFERROR(VLOOKUP(DATA[[#This Row],[COMBINADA]],#REF!,9,0),0)/COUNTIFS(DATA[COMBINADA],DATA[[#This Row],[COMBINADA]])</f>
        <v>0</v>
      </c>
      <c r="AQ114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535.76357142857137</v>
      </c>
      <c r="AR1144" s="26" t="str">
        <f>IFERROR(IF(DATA[[#This Row],[estado_fact]]="FACTURADO",VLOOKUP(DATA[[#This Row],[SERIE2]]&amp;"-"&amp;DATA[[#This Row],[NUMERO]],#REF!,34,0),"NO CORRESPONDE"),"NO CORRESPONDE")</f>
        <v>NO CORRESPONDE</v>
      </c>
      <c r="AS1144" s="22" t="str">
        <f>IF(DATA[[#This Row],[fecha_fs]]&gt;0,TEXT(DATA[[#This Row],[fecha_fs]],"Mmmm"),0)</f>
        <v>Setiembre</v>
      </c>
      <c r="AT1144" s="22" t="str">
        <f>DATA[[#This Row],[SERIE2]]&amp;"-"&amp;DATA[[#This Row],[NUMERO]]</f>
        <v>FF01-268</v>
      </c>
      <c r="AU1144" s="28" t="e">
        <f>DATA[[#This Row],[TOTAL]]*DATA[[#This Row],[T.C.]]</f>
        <v>#REF!</v>
      </c>
      <c r="AV1144" s="6">
        <f>DATA[[#This Row],[FECHA DE VAL.]]</f>
        <v>45926</v>
      </c>
      <c r="AW1144" s="6">
        <f>DATA[[#This Row],[FECHA DE EMISION]]</f>
        <v>45929</v>
      </c>
      <c r="AX1144" s="6">
        <f>DATA[[#This Row],[F1]]</f>
        <v>0</v>
      </c>
      <c r="AY1144" s="20">
        <f>IF(AV1144-DATA[[#This Row],[fecha_fs]]&lt;0,0,AV1144-DATA[[#This Row],[fecha_fs]])</f>
        <v>21</v>
      </c>
      <c r="AZ1144" s="20">
        <f>IF(AW1144-AV1144&lt;0,0,AW1144-AV1144)</f>
        <v>3</v>
      </c>
      <c r="BA1144" s="53">
        <f>IF(AX1144-AW1144&lt;0,0,AX1144-AW1144)</f>
        <v>0</v>
      </c>
      <c r="BB1144" s="305">
        <f>IFERROR(SUM(DATA[[#This Row],[fs_val_ttf]:[fact_pago_ttf]]),0)</f>
        <v>24</v>
      </c>
      <c r="BC1144" s="318">
        <v>45905</v>
      </c>
      <c r="BD1144" s="318">
        <v>45911</v>
      </c>
      <c r="BE1144" s="318">
        <v>45931</v>
      </c>
      <c r="BF1144" s="233">
        <v>45945</v>
      </c>
      <c r="BG1144" s="20">
        <f>IFERROR(IF(BC1144-DATA[[#This Row],[fecha_fs]]&lt;0,0,BC1144-DATA[[#This Row],[fecha_fs]]),0)</f>
        <v>0</v>
      </c>
      <c r="BH1144" s="20">
        <f t="shared" ref="BH1144" si="236">IFERROR(IF(BD1144-BC1144&lt;0,0,BD1144-BC1144),0)</f>
        <v>6</v>
      </c>
      <c r="BI1144" s="20">
        <f t="shared" ref="BI1144" si="237">IFERROR(IF(BE1144-BD1144&lt;0,0,BE1144-BD1144),0)</f>
        <v>20</v>
      </c>
      <c r="BJ1144" s="306">
        <f t="shared" ref="BJ1144" si="238">IFERROR(IF(BF1144-BE1144&lt;0,0,BF1144-BE1144),0)</f>
        <v>14</v>
      </c>
      <c r="BK1144" s="307">
        <f>IFERROR(SUM(DATA[[#This Row],[fs_fd_ttd]:[fend_fenf_ttd]]),0)</f>
        <v>40</v>
      </c>
      <c r="BL1144" s="20" t="str">
        <f>IF(DATA[[#This Row],[fecha_fs]]&gt;0,TEXT(DATA[[#This Row],[fecha_fs]],"YYYY"),0)</f>
        <v>2025</v>
      </c>
      <c r="BM1144" s="236" t="b">
        <v>1</v>
      </c>
      <c r="BN1144" s="278">
        <f>COUNTIF(DATA[[#This Row],[tiempo_td]], "&lt;=15")</f>
        <v>0</v>
      </c>
      <c r="BO1144" s="222"/>
    </row>
    <row r="1145" spans="1:67" ht="30.6" customHeight="1" x14ac:dyDescent="0.25">
      <c r="A1145" s="4">
        <v>20100211115</v>
      </c>
      <c r="B1145" s="5" t="s">
        <v>41</v>
      </c>
      <c r="C1145" s="52" t="s">
        <v>18</v>
      </c>
      <c r="D1145" s="4" t="s">
        <v>112</v>
      </c>
      <c r="E1145" s="5" t="s">
        <v>1</v>
      </c>
      <c r="F1145" s="24">
        <v>45905</v>
      </c>
      <c r="G1145" s="7" t="s">
        <v>113</v>
      </c>
      <c r="H1145" s="25">
        <f t="shared" si="235"/>
        <v>1</v>
      </c>
      <c r="I1145" s="67">
        <v>4950</v>
      </c>
      <c r="J1145" s="8" t="s">
        <v>115</v>
      </c>
      <c r="K1145" s="9" t="s">
        <v>116</v>
      </c>
      <c r="L1145" s="10" t="s">
        <v>117</v>
      </c>
      <c r="M1145" s="11">
        <v>7</v>
      </c>
      <c r="N1145" s="12" t="s">
        <v>132</v>
      </c>
      <c r="O1145" s="6">
        <v>45926</v>
      </c>
      <c r="P1145" s="115">
        <v>3681</v>
      </c>
      <c r="Q1145" s="14" t="s">
        <v>85</v>
      </c>
      <c r="R1145" s="309"/>
      <c r="S1145" s="309">
        <f>(DATA[[#This Row],[cantidad_fs]]*4.57)</f>
        <v>31.990000000000002</v>
      </c>
      <c r="T1145" s="237">
        <f>DATA[[#This Row],[C. DF]]+DATA[[#This Row],[C.OPE.]]</f>
        <v>31.990000000000002</v>
      </c>
      <c r="U1145" s="15">
        <f>DATA[[#This Row],[SUB TOTAL]]*0.18</f>
        <v>5.7582000000000004</v>
      </c>
      <c r="V1145" s="15">
        <f>IFERROR(ROUND(DATA[[#This Row],[SUB TOTAL]]+DATA[[#This Row],[IGV]],2),0)</f>
        <v>37.75</v>
      </c>
      <c r="W1145" s="16" t="str">
        <f>IF(DATA[[#This Row],[VALORIZACIÓN ]]="-","NO CORRESPONDE",IF(OR(A1145=20558226979,A1145=10470707866,A1145=20111157058,A1145=20100226902),"NO CORRESPONDE",IF(J1145="Emitida",IF(P1145&gt;0,"EMITIDA","PENDIENTE"),"NO CORRESPONDE")))</f>
        <v>EMITIDA</v>
      </c>
      <c r="X1145" s="29"/>
      <c r="Y1145" s="17" t="s">
        <v>118</v>
      </c>
      <c r="Z1145" s="30">
        <v>45930</v>
      </c>
      <c r="AA1145" s="10" t="s">
        <v>150</v>
      </c>
      <c r="AB1145" s="19">
        <v>271</v>
      </c>
      <c r="AC1145" s="20">
        <v>30</v>
      </c>
      <c r="AD1145" s="18">
        <f>DATA[[#This Row],[FECHA DE EMISION]]+DATA[[#This Row],[CONDICION DE PAGO]]</f>
        <v>45960</v>
      </c>
      <c r="AE1145" s="23">
        <f>IF(DATA[[#This Row],[MONEDA]]="USD",VLOOKUP(DATA[[#This Row],[COMBINADA]],#REF!,11,0),1)</f>
        <v>1</v>
      </c>
      <c r="AF1145" s="129" t="str">
        <f>IF(DATA[[#This Row],[SERIE2]]="-","NO CORRESPONDE",IF(W1145="NO CORRESPONDE","NO CORRESPONDE",IF(Z1145&gt;0,"FACTURADO","PENDIENTE")))</f>
        <v>FACTURADO</v>
      </c>
      <c r="AG1145" s="133">
        <f>IFERROR(VLOOKUP(DATA[[#This Row],[COMBINADA]],#REF!,6,0),0)</f>
        <v>0</v>
      </c>
      <c r="AH1145" s="125">
        <f>IFERROR(VLOOKUP(DATA[[#This Row],[COMBINADA]],#REF!,9,0),0)/COUNTIFS(DATA[COMBINADA],DATA[[#This Row],[COMBINADA]])</f>
        <v>0</v>
      </c>
      <c r="AI1145" s="136">
        <f>IFERROR(VLOOKUP(DATA[[#This Row],[COMBINADA]],#REF!,6,0),0)</f>
        <v>0</v>
      </c>
      <c r="AJ1145" s="132">
        <f>IFERROR(VLOOKUP(DATA[[#This Row],[COMBINADA]],#REF!,9,0),0)/COUNTIFS(DATA[COMBINADA],DATA[[#This Row],[COMBINADA]])</f>
        <v>0</v>
      </c>
      <c r="AK1145" s="407">
        <f>IFERROR(VLOOKUP(DATA[[#This Row],[COMBINADA]],#REF!,6,0),0)</f>
        <v>0</v>
      </c>
      <c r="AL1145" s="125">
        <f>IFERROR(VLOOKUP(DATA[[#This Row],[COMBINADA]],#REF!,9,0),0)/COUNTIFS(DATA[COMBINADA],DATA[[#This Row],[COMBINADA]])</f>
        <v>0</v>
      </c>
      <c r="AM1145" s="27">
        <f>IFERROR(VLOOKUP(DATA[[#This Row],[COMBINADA]],#REF!,6,0),0)</f>
        <v>0</v>
      </c>
      <c r="AN1145" s="125">
        <f>IFERROR(VLOOKUP(DATA[[#This Row],[COMBINADA]],#REF!,9,0),0)/COUNTIFS(DATA[COMBINADA],DATA[[#This Row],[COMBINADA]])</f>
        <v>0</v>
      </c>
      <c r="AO1145" s="27">
        <f>IFERROR(VLOOKUP(DATA[[#This Row],[COMBINADA]],#REF!,6,0),0)</f>
        <v>0</v>
      </c>
      <c r="AP1145" s="132">
        <f>IFERROR(VLOOKUP(DATA[[#This Row],[COMBINADA]],#REF!,9,0),0)/COUNTIFS(DATA[COMBINADA],DATA[[#This Row],[COMBINADA]])</f>
        <v>0</v>
      </c>
      <c r="AQ114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50.69</v>
      </c>
      <c r="AR1145" s="26" t="str">
        <f>IFERROR(IF(DATA[[#This Row],[estado_fact]]="FACTURADO",VLOOKUP(DATA[[#This Row],[SERIE2]]&amp;"-"&amp;DATA[[#This Row],[NUMERO]],#REF!,34,0),"NO CORRESPONDE"),"NO CORRESPONDE")</f>
        <v>NO CORRESPONDE</v>
      </c>
      <c r="AS1145" s="22" t="str">
        <f>IF(DATA[[#This Row],[fecha_fs]]&gt;0,TEXT(DATA[[#This Row],[fecha_fs]],"Mmmm"),0)</f>
        <v>Setiembre</v>
      </c>
      <c r="AT1145" s="22" t="str">
        <f>DATA[[#This Row],[SERIE2]]&amp;"-"&amp;DATA[[#This Row],[NUMERO]]</f>
        <v>FF01-271</v>
      </c>
      <c r="AU1145" s="28">
        <f>DATA[[#This Row],[TOTAL]]*DATA[[#This Row],[T.C.]]</f>
        <v>37.75</v>
      </c>
      <c r="AV1145" s="6">
        <f>DATA[[#This Row],[FECHA DE VAL.]]</f>
        <v>45926</v>
      </c>
      <c r="AW1145" s="6">
        <f>DATA[[#This Row],[FECHA DE EMISION]]</f>
        <v>45930</v>
      </c>
      <c r="AX1145" s="6">
        <f>DATA[[#This Row],[F1]]</f>
        <v>0</v>
      </c>
      <c r="AY1145" s="20">
        <f>IF(AV1145-DATA[[#This Row],[fecha_fs]]&lt;0,0,AV1145-DATA[[#This Row],[fecha_fs]])</f>
        <v>21</v>
      </c>
      <c r="AZ1145" s="20">
        <f t="shared" si="231"/>
        <v>4</v>
      </c>
      <c r="BA1145" s="53">
        <f t="shared" si="232"/>
        <v>0</v>
      </c>
      <c r="BB1145" s="195">
        <f>IFERROR(SUM(DATA[[#This Row],[fs_val_ttf]:[fact_pago_ttf]]),0)</f>
        <v>25</v>
      </c>
      <c r="BC1145" s="233">
        <v>45933</v>
      </c>
      <c r="BD1145" s="233">
        <v>45940</v>
      </c>
      <c r="BE1145" s="233">
        <v>45940</v>
      </c>
      <c r="BF1145" s="233">
        <v>45945</v>
      </c>
      <c r="BG1145" s="20">
        <f>IFERROR(IF(BC1145-DATA[[#This Row],[fecha_fs]]&lt;0,0,BC1145-DATA[[#This Row],[fecha_fs]]),0)</f>
        <v>28</v>
      </c>
      <c r="BH1145" s="20">
        <f t="shared" si="227"/>
        <v>7</v>
      </c>
      <c r="BI1145" s="20">
        <f t="shared" si="228"/>
        <v>0</v>
      </c>
      <c r="BJ1145" s="20">
        <f t="shared" si="229"/>
        <v>5</v>
      </c>
      <c r="BK1145" s="282">
        <f>IFERROR(SUM(DATA[[#This Row],[fs_fd_ttd]:[fend_fenf_ttd]]),0)</f>
        <v>40</v>
      </c>
      <c r="BL1145" s="20" t="str">
        <f>IF(DATA[[#This Row],[fecha_fs]]&gt;0,TEXT(DATA[[#This Row],[fecha_fs]],"YYYY"),0)</f>
        <v>2025</v>
      </c>
      <c r="BM1145" s="236" t="b">
        <v>1</v>
      </c>
      <c r="BN1145" s="278">
        <f>COUNTIF(DATA[[#This Row],[tiempo_td]], "&lt;=15")</f>
        <v>0</v>
      </c>
      <c r="BO1145" s="222"/>
    </row>
    <row r="1146" spans="1:67" ht="30.6" customHeight="1" x14ac:dyDescent="0.25">
      <c r="A1146" s="4">
        <v>20100211115</v>
      </c>
      <c r="B1146" s="5" t="s">
        <v>41</v>
      </c>
      <c r="C1146" s="52" t="s">
        <v>18</v>
      </c>
      <c r="D1146" s="4" t="s">
        <v>120</v>
      </c>
      <c r="E1146" s="5" t="s">
        <v>3</v>
      </c>
      <c r="F1146" s="24">
        <v>45905</v>
      </c>
      <c r="G1146" s="7" t="s">
        <v>113</v>
      </c>
      <c r="H1146" s="25">
        <f t="shared" si="235"/>
        <v>1</v>
      </c>
      <c r="I1146" s="67">
        <v>4951</v>
      </c>
      <c r="J1146" s="8" t="s">
        <v>115</v>
      </c>
      <c r="K1146" s="9" t="s">
        <v>121</v>
      </c>
      <c r="L1146" s="10" t="s">
        <v>117</v>
      </c>
      <c r="M1146" s="11">
        <v>90</v>
      </c>
      <c r="N1146" s="12" t="s">
        <v>132</v>
      </c>
      <c r="O1146" s="6">
        <v>45926</v>
      </c>
      <c r="P1146" s="115">
        <v>3679</v>
      </c>
      <c r="Q1146" s="14" t="s">
        <v>85</v>
      </c>
      <c r="R1146" s="74"/>
      <c r="S1146" s="15">
        <f>(DATA[[#This Row],[cantidad_fs]]*4.17)</f>
        <v>375.3</v>
      </c>
      <c r="T1146" s="237">
        <f>DATA[[#This Row],[C. DF]]+DATA[[#This Row],[C.OPE.]]</f>
        <v>375.3</v>
      </c>
      <c r="U1146" s="15">
        <f>DATA[[#This Row],[SUB TOTAL]]*0.18</f>
        <v>67.554000000000002</v>
      </c>
      <c r="V1146" s="15">
        <f>IFERROR(ROUND(DATA[[#This Row],[SUB TOTAL]]+DATA[[#This Row],[IGV]],2),0)</f>
        <v>442.85</v>
      </c>
      <c r="W1146" s="16" t="str">
        <f>IF(DATA[[#This Row],[VALORIZACIÓN ]]="-","NO CORRESPONDE",IF(OR(A1146=20558226979,A1146=10470707866,A1146=20111157058,A1146=20100226902),"NO CORRESPONDE",IF(J1146="Emitida",IF(P1146&gt;0,"EMITIDA","PENDIENTE"),"NO CORRESPONDE")))</f>
        <v>EMITIDA</v>
      </c>
      <c r="X1146" s="29"/>
      <c r="Y1146" s="17" t="s">
        <v>118</v>
      </c>
      <c r="Z1146" s="30">
        <v>45930</v>
      </c>
      <c r="AA1146" s="10" t="s">
        <v>150</v>
      </c>
      <c r="AB1146" s="19">
        <v>269</v>
      </c>
      <c r="AC1146" s="20">
        <v>30</v>
      </c>
      <c r="AD1146" s="18">
        <f>DATA[[#This Row],[FECHA DE EMISION]]+DATA[[#This Row],[CONDICION DE PAGO]]</f>
        <v>45960</v>
      </c>
      <c r="AE1146" s="23">
        <f>IF(DATA[[#This Row],[MONEDA]]="USD",VLOOKUP(DATA[[#This Row],[COMBINADA]],#REF!,11,0),1)</f>
        <v>1</v>
      </c>
      <c r="AF1146" s="129" t="str">
        <f>IF(DATA[[#This Row],[SERIE2]]="-","NO CORRESPONDE",IF(W1146="NO CORRESPONDE","NO CORRESPONDE",IF(Z1146&gt;0,"FACTURADO","PENDIENTE")))</f>
        <v>FACTURADO</v>
      </c>
      <c r="AG1146" s="133">
        <f>IFERROR(VLOOKUP(DATA[[#This Row],[COMBINADA]],#REF!,6,0),0)</f>
        <v>0</v>
      </c>
      <c r="AH1146" s="125">
        <f>IFERROR(VLOOKUP(DATA[[#This Row],[COMBINADA]],#REF!,9,0),0)/COUNTIFS(DATA[COMBINADA],DATA[[#This Row],[COMBINADA]])</f>
        <v>0</v>
      </c>
      <c r="AI1146" s="136">
        <f>IFERROR(VLOOKUP(DATA[[#This Row],[COMBINADA]],#REF!,6,0),0)</f>
        <v>0</v>
      </c>
      <c r="AJ1146" s="132">
        <f>IFERROR(VLOOKUP(DATA[[#This Row],[COMBINADA]],#REF!,9,0),0)/COUNTIFS(DATA[COMBINADA],DATA[[#This Row],[COMBINADA]])</f>
        <v>0</v>
      </c>
      <c r="AK1146" s="407">
        <f>IFERROR(VLOOKUP(DATA[[#This Row],[COMBINADA]],#REF!,6,0),0)</f>
        <v>0</v>
      </c>
      <c r="AL1146" s="125">
        <f>IFERROR(VLOOKUP(DATA[[#This Row],[COMBINADA]],#REF!,9,0),0)/COUNTIFS(DATA[COMBINADA],DATA[[#This Row],[COMBINADA]])</f>
        <v>0</v>
      </c>
      <c r="AM1146" s="27">
        <f>IFERROR(VLOOKUP(DATA[[#This Row],[COMBINADA]],#REF!,6,0),0)</f>
        <v>0</v>
      </c>
      <c r="AN1146" s="125">
        <f>IFERROR(VLOOKUP(DATA[[#This Row],[COMBINADA]],#REF!,9,0),0)/COUNTIFS(DATA[COMBINADA],DATA[[#This Row],[COMBINADA]])</f>
        <v>0</v>
      </c>
      <c r="AO1146" s="27">
        <f>IFERROR(VLOOKUP(DATA[[#This Row],[COMBINADA]],#REF!,6,0),0)</f>
        <v>0</v>
      </c>
      <c r="AP1146" s="132">
        <f>IFERROR(VLOOKUP(DATA[[#This Row],[COMBINADA]],#REF!,9,0),0)/COUNTIFS(DATA[COMBINADA],DATA[[#This Row],[COMBINADA]])</f>
        <v>0</v>
      </c>
      <c r="AQ114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146" s="26" t="str">
        <f>IFERROR(IF(DATA[[#This Row],[estado_fact]]="FACTURADO",VLOOKUP(DATA[[#This Row],[SERIE2]]&amp;"-"&amp;DATA[[#This Row],[NUMERO]],#REF!,34,0),"NO CORRESPONDE"),"NO CORRESPONDE")</f>
        <v>NO CORRESPONDE</v>
      </c>
      <c r="AS1146" s="22" t="str">
        <f>IF(DATA[[#This Row],[fecha_fs]]&gt;0,TEXT(DATA[[#This Row],[fecha_fs]],"Mmmm"),0)</f>
        <v>Setiembre</v>
      </c>
      <c r="AT1146" s="22" t="str">
        <f>DATA[[#This Row],[SERIE2]]&amp;"-"&amp;DATA[[#This Row],[NUMERO]]</f>
        <v>FF01-269</v>
      </c>
      <c r="AU1146" s="28">
        <f>DATA[[#This Row],[TOTAL]]*DATA[[#This Row],[T.C.]]</f>
        <v>442.85</v>
      </c>
      <c r="AV1146" s="6">
        <f>DATA[[#This Row],[FECHA DE VAL.]]</f>
        <v>45926</v>
      </c>
      <c r="AW1146" s="6">
        <f>DATA[[#This Row],[FECHA DE EMISION]]</f>
        <v>45930</v>
      </c>
      <c r="AX1146" s="6">
        <f>DATA[[#This Row],[F1]]</f>
        <v>0</v>
      </c>
      <c r="AY1146" s="20">
        <f>IF(AV1146-DATA[[#This Row],[fecha_fs]]&lt;0,0,AV1146-DATA[[#This Row],[fecha_fs]])</f>
        <v>21</v>
      </c>
      <c r="AZ1146" s="20">
        <f t="shared" si="231"/>
        <v>4</v>
      </c>
      <c r="BA1146" s="53">
        <f t="shared" si="232"/>
        <v>0</v>
      </c>
      <c r="BB1146" s="195">
        <f>IFERROR(SUM(DATA[[#This Row],[fs_val_ttf]:[fact_pago_ttf]]),0)</f>
        <v>25</v>
      </c>
      <c r="BC1146" s="233">
        <v>45932</v>
      </c>
      <c r="BD1146" s="233">
        <v>45939</v>
      </c>
      <c r="BE1146" s="233">
        <v>45939</v>
      </c>
      <c r="BF1146" s="233">
        <v>45940</v>
      </c>
      <c r="BG1146" s="20">
        <f>IFERROR(IF(BC1146-DATA[[#This Row],[fecha_fs]]&lt;0,0,BC1146-DATA[[#This Row],[fecha_fs]]),0)</f>
        <v>27</v>
      </c>
      <c r="BH1146" s="20">
        <f t="shared" si="227"/>
        <v>7</v>
      </c>
      <c r="BI1146" s="20">
        <f t="shared" si="228"/>
        <v>0</v>
      </c>
      <c r="BJ1146" s="20">
        <f t="shared" si="229"/>
        <v>1</v>
      </c>
      <c r="BK1146" s="282">
        <f>IFERROR(SUM(DATA[[#This Row],[fs_fd_ttd]:[fend_fenf_ttd]]),0)</f>
        <v>35</v>
      </c>
      <c r="BL1146" s="20" t="str">
        <f>IF(DATA[[#This Row],[fecha_fs]]&gt;0,TEXT(DATA[[#This Row],[fecha_fs]],"YYYY"),0)</f>
        <v>2025</v>
      </c>
      <c r="BM1146" s="236" t="b">
        <v>1</v>
      </c>
      <c r="BN1146" s="308">
        <f>COUNTIF(DATA[[#This Row],[tiempo_td]], "&lt;=15")</f>
        <v>0</v>
      </c>
      <c r="BO1146" s="222"/>
    </row>
    <row r="1147" spans="1:67" ht="30.6" customHeight="1" x14ac:dyDescent="0.25">
      <c r="A1147" s="4">
        <v>20100192064</v>
      </c>
      <c r="B1147" s="5" t="s">
        <v>60</v>
      </c>
      <c r="C1147" s="52" t="s">
        <v>64</v>
      </c>
      <c r="D1147" s="4" t="s">
        <v>112</v>
      </c>
      <c r="E1147" s="5" t="s">
        <v>1</v>
      </c>
      <c r="F1147" s="24">
        <v>45905</v>
      </c>
      <c r="G1147" s="7" t="s">
        <v>113</v>
      </c>
      <c r="H1147" s="25">
        <f t="shared" si="235"/>
        <v>1</v>
      </c>
      <c r="I1147" s="67">
        <v>4952</v>
      </c>
      <c r="J1147" s="8" t="s">
        <v>115</v>
      </c>
      <c r="K1147" s="9" t="s">
        <v>136</v>
      </c>
      <c r="L1147" s="10" t="s">
        <v>137</v>
      </c>
      <c r="M1147" s="11">
        <v>22</v>
      </c>
      <c r="N1147" s="12" t="s">
        <v>122</v>
      </c>
      <c r="O1147" s="6">
        <v>45926</v>
      </c>
      <c r="P1147" s="71">
        <v>3693</v>
      </c>
      <c r="Q1147" s="14" t="s">
        <v>123</v>
      </c>
      <c r="R1147" s="15">
        <f>DATA[[#This Row],[cantidad_fs]]*23.7</f>
        <v>521.4</v>
      </c>
      <c r="S1147" s="309"/>
      <c r="T1147" s="237">
        <f>DATA[[#This Row],[C. DF]]+DATA[[#This Row],[C.OPE.]]</f>
        <v>521.4</v>
      </c>
      <c r="U1147" s="15">
        <f>DATA[[#This Row],[SUB TOTAL]]*0.18</f>
        <v>93.85199999999999</v>
      </c>
      <c r="V1147" s="15">
        <f>IFERROR(ROUND(DATA[[#This Row],[SUB TOTAL]]+DATA[[#This Row],[IGV]],2),0)</f>
        <v>615.25</v>
      </c>
      <c r="W1147" s="16" t="str">
        <f>IF(DATA[[#This Row],[VALORIZACIÓN ]]="-","NO CORRESPONDE",IF(OR(A1147=20558226979,A1147=10470707866,A1147=20111157058,A1147=20100226902),"NO CORRESPONDE",IF(J1147="Emitida",IF(P1147&gt;0,"EMITIDA","PENDIENTE"),"NO CORRESPONDE")))</f>
        <v>EMITIDA</v>
      </c>
      <c r="X1147" s="29"/>
      <c r="Y1147" s="17" t="s">
        <v>118</v>
      </c>
      <c r="Z1147" s="30">
        <v>45930</v>
      </c>
      <c r="AA1147" s="10" t="s">
        <v>349</v>
      </c>
      <c r="AB1147" s="19">
        <v>3</v>
      </c>
      <c r="AC1147" s="20">
        <v>30</v>
      </c>
      <c r="AD1147" s="18">
        <f>DATA[[#This Row],[FECHA DE EMISION]]+DATA[[#This Row],[CONDICION DE PAGO]]</f>
        <v>45960</v>
      </c>
      <c r="AE1147" s="23" t="e">
        <f>IF(DATA[[#This Row],[MONEDA]]="USD",VLOOKUP(DATA[[#This Row],[COMBINADA]],#REF!,11,0),1)</f>
        <v>#REF!</v>
      </c>
      <c r="AF1147" s="129" t="str">
        <f>IF(DATA[[#This Row],[SERIE2]]="-","NO CORRESPONDE",IF(W1147="NO CORRESPONDE","NO CORRESPONDE",IF(Z1147&gt;0,"FACTURADO","PENDIENTE")))</f>
        <v>FACTURADO</v>
      </c>
      <c r="AG1147" s="133">
        <f>IFERROR(VLOOKUP(DATA[[#This Row],[COMBINADA]],#REF!,6,0),0)</f>
        <v>0</v>
      </c>
      <c r="AH1147" s="125">
        <f>IFERROR(VLOOKUP(DATA[[#This Row],[COMBINADA]],#REF!,9,0),0)/COUNTIFS(DATA[COMBINADA],DATA[[#This Row],[COMBINADA]])</f>
        <v>0</v>
      </c>
      <c r="AI1147" s="136">
        <f>IFERROR(VLOOKUP(DATA[[#This Row],[COMBINADA]],#REF!,6,0),0)</f>
        <v>0</v>
      </c>
      <c r="AJ1147" s="132">
        <f>IFERROR(VLOOKUP(DATA[[#This Row],[COMBINADA]],#REF!,9,0),0)/COUNTIFS(DATA[COMBINADA],DATA[[#This Row],[COMBINADA]])</f>
        <v>0</v>
      </c>
      <c r="AK1147" s="407">
        <f>IFERROR(VLOOKUP(DATA[[#This Row],[COMBINADA]],#REF!,6,0),0)</f>
        <v>0</v>
      </c>
      <c r="AL1147" s="125">
        <f>IFERROR(VLOOKUP(DATA[[#This Row],[COMBINADA]],#REF!,9,0),0)/COUNTIFS(DATA[COMBINADA],DATA[[#This Row],[COMBINADA]])</f>
        <v>0</v>
      </c>
      <c r="AM1147" s="27">
        <f>IFERROR(VLOOKUP(DATA[[#This Row],[COMBINADA]],#REF!,6,0),0)</f>
        <v>0</v>
      </c>
      <c r="AN1147" s="125">
        <f>IFERROR(VLOOKUP(DATA[[#This Row],[COMBINADA]],#REF!,9,0),0)/COUNTIFS(DATA[COMBINADA],DATA[[#This Row],[COMBINADA]])</f>
        <v>0</v>
      </c>
      <c r="AO1147" s="27">
        <f>IFERROR(VLOOKUP(DATA[[#This Row],[COMBINADA]],#REF!,6,0),0)</f>
        <v>0</v>
      </c>
      <c r="AP1147" s="132">
        <f>IFERROR(VLOOKUP(DATA[[#This Row],[COMBINADA]],#REF!,9,0),0)/COUNTIFS(DATA[COMBINADA],DATA[[#This Row],[COMBINADA]])</f>
        <v>0</v>
      </c>
      <c r="AQ114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542.36833333333334</v>
      </c>
      <c r="AR1147" s="26" t="str">
        <f>IFERROR(IF(DATA[[#This Row],[estado_fact]]="FACTURADO",VLOOKUP(DATA[[#This Row],[SERIE2]]&amp;"-"&amp;DATA[[#This Row],[NUMERO]],#REF!,34,0),"NO CORRESPONDE"),"NO CORRESPONDE")</f>
        <v>NO CORRESPONDE</v>
      </c>
      <c r="AS1147" s="22" t="str">
        <f>IF(DATA[[#This Row],[fecha_fs]]&gt;0,TEXT(DATA[[#This Row],[fecha_fs]],"Mmmm"),0)</f>
        <v>Setiembre</v>
      </c>
      <c r="AT1147" s="22" t="str">
        <f>DATA[[#This Row],[SERIE2]]&amp;"-"&amp;DATA[[#This Row],[NUMERO]]</f>
        <v>FF04-3</v>
      </c>
      <c r="AU1147" s="28" t="e">
        <f>DATA[[#This Row],[TOTAL]]*DATA[[#This Row],[T.C.]]</f>
        <v>#REF!</v>
      </c>
      <c r="AV1147" s="6">
        <f>DATA[[#This Row],[FECHA DE VAL.]]</f>
        <v>45926</v>
      </c>
      <c r="AW1147" s="6">
        <f>DATA[[#This Row],[FECHA DE EMISION]]</f>
        <v>45930</v>
      </c>
      <c r="AX1147" s="6">
        <f>DATA[[#This Row],[F1]]</f>
        <v>0</v>
      </c>
      <c r="AY1147" s="20">
        <f>IF(AV1147-DATA[[#This Row],[fecha_fs]]&lt;0,0,AV1147-DATA[[#This Row],[fecha_fs]])</f>
        <v>21</v>
      </c>
      <c r="AZ1147" s="20">
        <f t="shared" si="231"/>
        <v>4</v>
      </c>
      <c r="BA1147" s="53">
        <f t="shared" si="232"/>
        <v>0</v>
      </c>
      <c r="BB1147" s="195">
        <f>IFERROR(SUM(DATA[[#This Row],[fs_val_ttf]:[fact_pago_ttf]]),0)</f>
        <v>25</v>
      </c>
      <c r="BC1147" s="233">
        <v>45908</v>
      </c>
      <c r="BD1147" s="233">
        <v>45919</v>
      </c>
      <c r="BE1147" s="233">
        <v>45951</v>
      </c>
      <c r="BF1147" s="276" t="s">
        <v>270</v>
      </c>
      <c r="BG1147" s="20">
        <f>IFERROR(IF(BC1147-DATA[[#This Row],[fecha_fs]]&lt;0,0,BC1147-DATA[[#This Row],[fecha_fs]]),0)</f>
        <v>3</v>
      </c>
      <c r="BH1147" s="20">
        <f t="shared" si="227"/>
        <v>11</v>
      </c>
      <c r="BI1147" s="20">
        <f t="shared" si="228"/>
        <v>32</v>
      </c>
      <c r="BJ1147" s="20">
        <f t="shared" si="229"/>
        <v>0</v>
      </c>
      <c r="BK1147" s="282">
        <f>IFERROR(SUM(DATA[[#This Row],[fs_fd_ttd]:[fend_fenf_ttd]]),0)</f>
        <v>46</v>
      </c>
      <c r="BL1147" s="20" t="str">
        <f>IF(DATA[[#This Row],[fecha_fs]]&gt;0,TEXT(DATA[[#This Row],[fecha_fs]],"YYYY"),0)</f>
        <v>2025</v>
      </c>
      <c r="BM1147" s="236" t="b">
        <v>0</v>
      </c>
      <c r="BN1147" s="278">
        <f>COUNTIF(DATA[[#This Row],[tiempo_td]], "&lt;=15")</f>
        <v>0</v>
      </c>
      <c r="BO1147" s="222"/>
    </row>
    <row r="1148" spans="1:67" ht="30.6" customHeight="1" x14ac:dyDescent="0.25">
      <c r="A1148" s="4">
        <v>20100192064</v>
      </c>
      <c r="B1148" s="5" t="s">
        <v>60</v>
      </c>
      <c r="C1148" s="52" t="s">
        <v>64</v>
      </c>
      <c r="D1148" s="4" t="s">
        <v>112</v>
      </c>
      <c r="E1148" s="5" t="s">
        <v>1</v>
      </c>
      <c r="F1148" s="24">
        <v>45905</v>
      </c>
      <c r="G1148" s="7" t="s">
        <v>113</v>
      </c>
      <c r="H1148" s="25">
        <f t="shared" si="235"/>
        <v>1</v>
      </c>
      <c r="I1148" s="67">
        <v>4953</v>
      </c>
      <c r="J1148" s="8" t="s">
        <v>115</v>
      </c>
      <c r="K1148" s="9" t="s">
        <v>136</v>
      </c>
      <c r="L1148" s="10" t="s">
        <v>137</v>
      </c>
      <c r="M1148" s="11">
        <v>16</v>
      </c>
      <c r="N1148" s="12" t="s">
        <v>122</v>
      </c>
      <c r="O1148" s="6">
        <v>45926</v>
      </c>
      <c r="P1148" s="71">
        <v>3693</v>
      </c>
      <c r="Q1148" s="14" t="s">
        <v>123</v>
      </c>
      <c r="R1148" s="15">
        <f>DATA[[#This Row],[cantidad_fs]]*23.7</f>
        <v>379.2</v>
      </c>
      <c r="S1148" s="309"/>
      <c r="T1148" s="237">
        <f>DATA[[#This Row],[C. DF]]+DATA[[#This Row],[C.OPE.]]</f>
        <v>379.2</v>
      </c>
      <c r="U1148" s="15">
        <f>DATA[[#This Row],[SUB TOTAL]]*0.18</f>
        <v>68.256</v>
      </c>
      <c r="V1148" s="15">
        <f>IFERROR(ROUND(DATA[[#This Row],[SUB TOTAL]]+DATA[[#This Row],[IGV]],2),0)</f>
        <v>447.46</v>
      </c>
      <c r="W1148" s="16" t="str">
        <f>IF(DATA[[#This Row],[VALORIZACIÓN ]]="-","NO CORRESPONDE",IF(OR(A1148=20558226979,A1148=10470707866,A1148=20111157058,A1148=20100226902),"NO CORRESPONDE",IF(J1148="Emitida",IF(P1148&gt;0,"EMITIDA","PENDIENTE"),"NO CORRESPONDE")))</f>
        <v>EMITIDA</v>
      </c>
      <c r="X1148" s="29"/>
      <c r="Y1148" s="17" t="s">
        <v>118</v>
      </c>
      <c r="Z1148" s="30">
        <v>45930</v>
      </c>
      <c r="AA1148" s="10" t="s">
        <v>349</v>
      </c>
      <c r="AB1148" s="19">
        <v>3</v>
      </c>
      <c r="AC1148" s="20">
        <v>30</v>
      </c>
      <c r="AD1148" s="18">
        <f>DATA[[#This Row],[FECHA DE EMISION]]+DATA[[#This Row],[CONDICION DE PAGO]]</f>
        <v>45960</v>
      </c>
      <c r="AE1148" s="23" t="e">
        <f>IF(DATA[[#This Row],[MONEDA]]="USD",VLOOKUP(DATA[[#This Row],[COMBINADA]],#REF!,11,0),1)</f>
        <v>#REF!</v>
      </c>
      <c r="AF1148" s="129" t="str">
        <f>IF(DATA[[#This Row],[SERIE2]]="-","NO CORRESPONDE",IF(W1148="NO CORRESPONDE","NO CORRESPONDE",IF(Z1148&gt;0,"FACTURADO","PENDIENTE")))</f>
        <v>FACTURADO</v>
      </c>
      <c r="AG1148" s="133">
        <f>IFERROR(VLOOKUP(DATA[[#This Row],[COMBINADA]],#REF!,6,0),0)</f>
        <v>0</v>
      </c>
      <c r="AH1148" s="125">
        <f>IFERROR(VLOOKUP(DATA[[#This Row],[COMBINADA]],#REF!,9,0),0)/COUNTIFS(DATA[COMBINADA],DATA[[#This Row],[COMBINADA]])</f>
        <v>0</v>
      </c>
      <c r="AI1148" s="136">
        <f>IFERROR(VLOOKUP(DATA[[#This Row],[COMBINADA]],#REF!,6,0),0)</f>
        <v>0</v>
      </c>
      <c r="AJ1148" s="132">
        <f>IFERROR(VLOOKUP(DATA[[#This Row],[COMBINADA]],#REF!,9,0),0)/COUNTIFS(DATA[COMBINADA],DATA[[#This Row],[COMBINADA]])</f>
        <v>0</v>
      </c>
      <c r="AK1148" s="407">
        <f>IFERROR(VLOOKUP(DATA[[#This Row],[COMBINADA]],#REF!,6,0),0)</f>
        <v>0</v>
      </c>
      <c r="AL1148" s="125">
        <f>IFERROR(VLOOKUP(DATA[[#This Row],[COMBINADA]],#REF!,9,0),0)/COUNTIFS(DATA[COMBINADA],DATA[[#This Row],[COMBINADA]])</f>
        <v>0</v>
      </c>
      <c r="AM1148" s="27">
        <f>IFERROR(VLOOKUP(DATA[[#This Row],[COMBINADA]],#REF!,6,0),0)</f>
        <v>0</v>
      </c>
      <c r="AN1148" s="125">
        <f>IFERROR(VLOOKUP(DATA[[#This Row],[COMBINADA]],#REF!,9,0),0)/COUNTIFS(DATA[COMBINADA],DATA[[#This Row],[COMBINADA]])</f>
        <v>0</v>
      </c>
      <c r="AO1148" s="27">
        <f>IFERROR(VLOOKUP(DATA[[#This Row],[COMBINADA]],#REF!,6,0),0)</f>
        <v>0</v>
      </c>
      <c r="AP1148" s="132">
        <f>IFERROR(VLOOKUP(DATA[[#This Row],[COMBINADA]],#REF!,9,0),0)/COUNTIFS(DATA[COMBINADA],DATA[[#This Row],[COMBINADA]])</f>
        <v>0</v>
      </c>
      <c r="AQ114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542.36833333333334</v>
      </c>
      <c r="AR1148" s="26" t="str">
        <f>IFERROR(IF(DATA[[#This Row],[estado_fact]]="FACTURADO",VLOOKUP(DATA[[#This Row],[SERIE2]]&amp;"-"&amp;DATA[[#This Row],[NUMERO]],#REF!,34,0),"NO CORRESPONDE"),"NO CORRESPONDE")</f>
        <v>NO CORRESPONDE</v>
      </c>
      <c r="AS1148" s="22" t="str">
        <f>IF(DATA[[#This Row],[fecha_fs]]&gt;0,TEXT(DATA[[#This Row],[fecha_fs]],"Mmmm"),0)</f>
        <v>Setiembre</v>
      </c>
      <c r="AT1148" s="22" t="str">
        <f>DATA[[#This Row],[SERIE2]]&amp;"-"&amp;DATA[[#This Row],[NUMERO]]</f>
        <v>FF04-3</v>
      </c>
      <c r="AU1148" s="28" t="e">
        <f>DATA[[#This Row],[TOTAL]]*DATA[[#This Row],[T.C.]]</f>
        <v>#REF!</v>
      </c>
      <c r="AV1148" s="6">
        <f>DATA[[#This Row],[FECHA DE VAL.]]</f>
        <v>45926</v>
      </c>
      <c r="AW1148" s="6">
        <f>DATA[[#This Row],[FECHA DE EMISION]]</f>
        <v>45930</v>
      </c>
      <c r="AX1148" s="6">
        <f>DATA[[#This Row],[F1]]</f>
        <v>0</v>
      </c>
      <c r="AY1148" s="20">
        <f>IF(AV1148-DATA[[#This Row],[fecha_fs]]&lt;0,0,AV1148-DATA[[#This Row],[fecha_fs]])</f>
        <v>21</v>
      </c>
      <c r="AZ1148" s="20">
        <f t="shared" si="231"/>
        <v>4</v>
      </c>
      <c r="BA1148" s="53">
        <f t="shared" si="232"/>
        <v>0</v>
      </c>
      <c r="BB1148" s="195">
        <f>IFERROR(SUM(DATA[[#This Row],[fs_val_ttf]:[fact_pago_ttf]]),0)</f>
        <v>25</v>
      </c>
      <c r="BC1148" s="233">
        <v>45908</v>
      </c>
      <c r="BD1148" s="233">
        <v>45919</v>
      </c>
      <c r="BE1148" s="233">
        <v>45951</v>
      </c>
      <c r="BF1148" s="276" t="s">
        <v>270</v>
      </c>
      <c r="BG1148" s="20">
        <f>IFERROR(IF(BC1148-DATA[[#This Row],[fecha_fs]]&lt;0,0,BC1148-DATA[[#This Row],[fecha_fs]]),0)</f>
        <v>3</v>
      </c>
      <c r="BH1148" s="20">
        <f t="shared" si="227"/>
        <v>11</v>
      </c>
      <c r="BI1148" s="20">
        <f t="shared" si="228"/>
        <v>32</v>
      </c>
      <c r="BJ1148" s="20">
        <f t="shared" si="229"/>
        <v>0</v>
      </c>
      <c r="BK1148" s="282">
        <f>IFERROR(SUM(DATA[[#This Row],[fs_fd_ttd]:[fend_fenf_ttd]]),0)</f>
        <v>46</v>
      </c>
      <c r="BL1148" s="20" t="str">
        <f>IF(DATA[[#This Row],[fecha_fs]]&gt;0,TEXT(DATA[[#This Row],[fecha_fs]],"YYYY"),0)</f>
        <v>2025</v>
      </c>
      <c r="BM1148" s="236" t="b">
        <v>0</v>
      </c>
      <c r="BN1148" s="278">
        <f>COUNTIF(DATA[[#This Row],[tiempo_td]], "&lt;=15")</f>
        <v>0</v>
      </c>
      <c r="BO1148" s="222"/>
    </row>
    <row r="1149" spans="1:67" ht="30.6" customHeight="1" x14ac:dyDescent="0.25">
      <c r="A1149" s="4">
        <v>20419158462</v>
      </c>
      <c r="B1149" s="5" t="s">
        <v>2</v>
      </c>
      <c r="C1149" s="52" t="s">
        <v>6</v>
      </c>
      <c r="D1149" s="4" t="s">
        <v>120</v>
      </c>
      <c r="E1149" s="5" t="s">
        <v>3</v>
      </c>
      <c r="F1149" s="24">
        <v>45905</v>
      </c>
      <c r="G1149" s="7" t="s">
        <v>113</v>
      </c>
      <c r="H1149" s="25">
        <f t="shared" si="235"/>
        <v>1</v>
      </c>
      <c r="I1149" s="67">
        <v>4954</v>
      </c>
      <c r="J1149" s="8" t="s">
        <v>115</v>
      </c>
      <c r="K1149" s="9" t="s">
        <v>156</v>
      </c>
      <c r="L1149" s="10" t="s">
        <v>117</v>
      </c>
      <c r="M1149" s="11">
        <v>610</v>
      </c>
      <c r="N1149" s="12" t="s">
        <v>325</v>
      </c>
      <c r="O1149" s="6">
        <v>45908</v>
      </c>
      <c r="P1149" s="13">
        <v>3648</v>
      </c>
      <c r="Q1149" s="14" t="s">
        <v>85</v>
      </c>
      <c r="R1149" s="309"/>
      <c r="S1149" s="15">
        <f>1429.7/2</f>
        <v>714.85</v>
      </c>
      <c r="T1149" s="237">
        <f>DATA[[#This Row],[C. DF]]+DATA[[#This Row],[C.OPE.]]</f>
        <v>714.85</v>
      </c>
      <c r="U1149" s="15">
        <f>DATA[[#This Row],[SUB TOTAL]]*0.18</f>
        <v>128.673</v>
      </c>
      <c r="V1149" s="15">
        <f>IFERROR(ROUND(DATA[[#This Row],[SUB TOTAL]]+DATA[[#This Row],[IGV]],2),0)</f>
        <v>843.52</v>
      </c>
      <c r="W1149" s="16" t="str">
        <f>IF(DATA[[#This Row],[VALORIZACIÓN ]]="-","NO CORRESPONDE",IF(OR(A1149=20558226979,A1149=10470707866,A1149=20111157058,A1149=20100226902),"NO CORRESPONDE",IF(J1149="Emitida",IF(P1149&gt;0,"EMITIDA","PENDIENTE"),"NO CORRESPONDE")))</f>
        <v>EMITIDA</v>
      </c>
      <c r="X1149" s="29"/>
      <c r="Y1149" s="17" t="s">
        <v>118</v>
      </c>
      <c r="Z1149" s="30">
        <v>45965</v>
      </c>
      <c r="AA1149" s="10" t="s">
        <v>150</v>
      </c>
      <c r="AB1149" s="19">
        <v>330</v>
      </c>
      <c r="AC1149" s="20">
        <v>2</v>
      </c>
      <c r="AD1149" s="18">
        <f>DATA[[#This Row],[FECHA DE EMISION]]+DATA[[#This Row],[CONDICION DE PAGO]]</f>
        <v>45967</v>
      </c>
      <c r="AE1149" s="23">
        <f>IF(DATA[[#This Row],[MONEDA]]="USD",VLOOKUP(DATA[[#This Row],[COMBINADA]],#REF!,11,0),1)</f>
        <v>1</v>
      </c>
      <c r="AF1149" s="129" t="str">
        <f>IF(DATA[[#This Row],[SERIE2]]="-","NO CORRESPONDE",IF(W1149="NO CORRESPONDE","NO CORRESPONDE",IF(Z1149&gt;0,"FACTURADO","PENDIENTE")))</f>
        <v>FACTURADO</v>
      </c>
      <c r="AG1149" s="133">
        <f>IFERROR(VLOOKUP(DATA[[#This Row],[COMBINADA]],#REF!,6,0),0)</f>
        <v>0</v>
      </c>
      <c r="AH1149" s="125">
        <f>IFERROR(VLOOKUP(DATA[[#This Row],[COMBINADA]],#REF!,9,0),0)/COUNTIFS(DATA[COMBINADA],DATA[[#This Row],[COMBINADA]])</f>
        <v>0</v>
      </c>
      <c r="AI1149" s="136">
        <f>IFERROR(VLOOKUP(DATA[[#This Row],[COMBINADA]],#REF!,6,0),0)</f>
        <v>0</v>
      </c>
      <c r="AJ1149" s="132">
        <f>IFERROR(VLOOKUP(DATA[[#This Row],[COMBINADA]],#REF!,9,0),0)/COUNTIFS(DATA[COMBINADA],DATA[[#This Row],[COMBINADA]])</f>
        <v>0</v>
      </c>
      <c r="AK1149" s="407">
        <f>IFERROR(VLOOKUP(DATA[[#This Row],[COMBINADA]],#REF!,6,0),0)</f>
        <v>0</v>
      </c>
      <c r="AL1149" s="125">
        <f>IFERROR(VLOOKUP(DATA[[#This Row],[COMBINADA]],#REF!,9,0),0)/COUNTIFS(DATA[COMBINADA],DATA[[#This Row],[COMBINADA]])</f>
        <v>0</v>
      </c>
      <c r="AM1149" s="27">
        <f>IFERROR(VLOOKUP(DATA[[#This Row],[COMBINADA]],#REF!,6,0),0)</f>
        <v>0</v>
      </c>
      <c r="AN1149" s="125">
        <f>IFERROR(VLOOKUP(DATA[[#This Row],[COMBINADA]],#REF!,9,0),0)/COUNTIFS(DATA[COMBINADA],DATA[[#This Row],[COMBINADA]])</f>
        <v>0</v>
      </c>
      <c r="AO1149" s="27">
        <f>IFERROR(VLOOKUP(DATA[[#This Row],[COMBINADA]],#REF!,6,0),0)</f>
        <v>0</v>
      </c>
      <c r="AP1149" s="132">
        <f>IFERROR(VLOOKUP(DATA[[#This Row],[COMBINADA]],#REF!,9,0),0)/COUNTIFS(DATA[COMBINADA],DATA[[#This Row],[COMBINADA]])</f>
        <v>0</v>
      </c>
      <c r="AQ114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1149" s="26" t="str">
        <f>IFERROR(IF(DATA[[#This Row],[estado_fact]]="FACTURADO",VLOOKUP(DATA[[#This Row],[SERIE2]]&amp;"-"&amp;DATA[[#This Row],[NUMERO]],#REF!,34,0),"NO CORRESPONDE"),"NO CORRESPONDE")</f>
        <v>NO CORRESPONDE</v>
      </c>
      <c r="AS1149" s="22" t="str">
        <f>IF(DATA[[#This Row],[fecha_fs]]&gt;0,TEXT(DATA[[#This Row],[fecha_fs]],"Mmmm"),0)</f>
        <v>Setiembre</v>
      </c>
      <c r="AT1149" s="22" t="str">
        <f>DATA[[#This Row],[SERIE2]]&amp;"-"&amp;DATA[[#This Row],[NUMERO]]</f>
        <v>FF01-330</v>
      </c>
      <c r="AU1149" s="28">
        <f>DATA[[#This Row],[TOTAL]]*DATA[[#This Row],[T.C.]]</f>
        <v>843.52</v>
      </c>
      <c r="AV1149" s="6">
        <f>DATA[[#This Row],[FECHA DE VAL.]]</f>
        <v>45908</v>
      </c>
      <c r="AW1149" s="6">
        <f>DATA[[#This Row],[FECHA DE EMISION]]</f>
        <v>45965</v>
      </c>
      <c r="AX1149" s="6">
        <f>DATA[[#This Row],[F1]]</f>
        <v>0</v>
      </c>
      <c r="AY1149" s="20">
        <f>IF(AV1149-DATA[[#This Row],[fecha_fs]]&lt;0,0,AV1149-DATA[[#This Row],[fecha_fs]])</f>
        <v>3</v>
      </c>
      <c r="AZ1149" s="20">
        <f t="shared" si="231"/>
        <v>57</v>
      </c>
      <c r="BA1149" s="53">
        <f t="shared" si="232"/>
        <v>0</v>
      </c>
      <c r="BB1149" s="195">
        <f>IFERROR(SUM(DATA[[#This Row],[fs_val_ttf]:[fact_pago_ttf]]),0)</f>
        <v>60</v>
      </c>
      <c r="BC1149" s="233">
        <v>45905</v>
      </c>
      <c r="BD1149" s="233">
        <v>45905</v>
      </c>
      <c r="BE1149" s="233">
        <v>45916</v>
      </c>
      <c r="BF1149" s="233">
        <v>45916</v>
      </c>
      <c r="BG1149" s="20">
        <f>IFERROR(IF(BC1149-DATA[[#This Row],[fecha_fs]]&lt;0,0,BC1149-DATA[[#This Row],[fecha_fs]]),0)</f>
        <v>0</v>
      </c>
      <c r="BH1149" s="20">
        <f t="shared" si="227"/>
        <v>0</v>
      </c>
      <c r="BI1149" s="20">
        <f t="shared" si="228"/>
        <v>11</v>
      </c>
      <c r="BJ1149" s="20">
        <f t="shared" si="229"/>
        <v>0</v>
      </c>
      <c r="BK1149" s="282">
        <f>IFERROR(SUM(DATA[[#This Row],[fs_fd_ttd]:[fend_fenf_ttd]]),0)</f>
        <v>11</v>
      </c>
      <c r="BL1149" s="20" t="str">
        <f>IF(DATA[[#This Row],[fecha_fs]]&gt;0,TEXT(DATA[[#This Row],[fecha_fs]],"YYYY"),0)</f>
        <v>2025</v>
      </c>
      <c r="BM1149" s="236" t="b">
        <v>1</v>
      </c>
      <c r="BN1149" s="308">
        <f>COUNTIF(DATA[[#This Row],[tiempo_td]], "&lt;=15")</f>
        <v>1</v>
      </c>
      <c r="BO1149" s="222"/>
    </row>
    <row r="1150" spans="1:67" ht="30.6" customHeight="1" x14ac:dyDescent="0.25">
      <c r="A1150" s="4">
        <v>20141637941</v>
      </c>
      <c r="B1150" s="5" t="s">
        <v>79</v>
      </c>
      <c r="C1150" s="52" t="s">
        <v>18</v>
      </c>
      <c r="D1150" s="4" t="s">
        <v>120</v>
      </c>
      <c r="E1150" s="5" t="s">
        <v>3</v>
      </c>
      <c r="F1150" s="24">
        <v>45905</v>
      </c>
      <c r="G1150" s="7" t="s">
        <v>113</v>
      </c>
      <c r="H1150" s="25">
        <f t="shared" si="235"/>
        <v>1</v>
      </c>
      <c r="I1150" s="67">
        <v>4955</v>
      </c>
      <c r="J1150" s="8" t="s">
        <v>115</v>
      </c>
      <c r="K1150" s="9" t="s">
        <v>121</v>
      </c>
      <c r="L1150" s="10" t="s">
        <v>117</v>
      </c>
      <c r="M1150" s="11">
        <v>1000</v>
      </c>
      <c r="N1150" s="12" t="s">
        <v>125</v>
      </c>
      <c r="O1150" s="6">
        <v>45909</v>
      </c>
      <c r="P1150" s="110">
        <v>3651</v>
      </c>
      <c r="Q1150" s="14" t="s">
        <v>85</v>
      </c>
      <c r="R1150" s="309">
        <f>80+((DATA[[#This Row],[cantidad_fs]]-1000)*0.08)</f>
        <v>80</v>
      </c>
      <c r="S1150" s="309">
        <v>832</v>
      </c>
      <c r="T1150" s="237">
        <f>DATA[[#This Row],[C. DF]]+DATA[[#This Row],[C.OPE.]]</f>
        <v>912</v>
      </c>
      <c r="U1150" s="15">
        <f>DATA[[#This Row],[SUB TOTAL]]*0.18</f>
        <v>164.16</v>
      </c>
      <c r="V1150" s="15">
        <f>IFERROR(ROUND(DATA[[#This Row],[SUB TOTAL]]+DATA[[#This Row],[IGV]],2),0)</f>
        <v>1076.1600000000001</v>
      </c>
      <c r="W1150" s="16" t="str">
        <f>IF(DATA[[#This Row],[VALORIZACIÓN ]]="-","NO CORRESPONDE",IF(OR(A1150=20558226979,A1150=10470707866,A1150=20111157058,A1150=20100226902),"NO CORRESPONDE",IF(J1150="Emitida",IF(P1150&gt;0,"EMITIDA","PENDIENTE"),"NO CORRESPONDE")))</f>
        <v>EMITIDA</v>
      </c>
      <c r="X1150" s="29"/>
      <c r="Y1150" s="17" t="s">
        <v>118</v>
      </c>
      <c r="Z1150" s="30">
        <v>45909</v>
      </c>
      <c r="AA1150" s="10" t="s">
        <v>150</v>
      </c>
      <c r="AB1150" s="19">
        <v>245</v>
      </c>
      <c r="AC1150" s="20">
        <v>30</v>
      </c>
      <c r="AD1150" s="18">
        <f>DATA[[#This Row],[FECHA DE EMISION]]+DATA[[#This Row],[CONDICION DE PAGO]]</f>
        <v>45939</v>
      </c>
      <c r="AE1150" s="23">
        <f>IF(DATA[[#This Row],[MONEDA]]="USD",VLOOKUP(DATA[[#This Row],[COMBINADA]],#REF!,11,0),1)</f>
        <v>1</v>
      </c>
      <c r="AF1150" s="129" t="str">
        <f>IF(DATA[[#This Row],[SERIE2]]="-","NO CORRESPONDE",IF(W1150="NO CORRESPONDE","NO CORRESPONDE",IF(Z1150&gt;0,"FACTURADO","PENDIENTE")))</f>
        <v>FACTURADO</v>
      </c>
      <c r="AG1150" s="133">
        <f>IFERROR(VLOOKUP(DATA[[#This Row],[COMBINADA]],#REF!,6,0),0)</f>
        <v>0</v>
      </c>
      <c r="AH1150" s="125">
        <f>IFERROR(VLOOKUP(DATA[[#This Row],[COMBINADA]],#REF!,9,0),0)/COUNTIFS(DATA[COMBINADA],DATA[[#This Row],[COMBINADA]])</f>
        <v>0</v>
      </c>
      <c r="AI1150" s="136">
        <f>IFERROR(VLOOKUP(DATA[[#This Row],[COMBINADA]],#REF!,6,0),0)</f>
        <v>0</v>
      </c>
      <c r="AJ1150" s="132">
        <f>IFERROR(VLOOKUP(DATA[[#This Row],[COMBINADA]],#REF!,9,0),0)/COUNTIFS(DATA[COMBINADA],DATA[[#This Row],[COMBINADA]])</f>
        <v>0</v>
      </c>
      <c r="AK1150" s="407">
        <f>IFERROR(VLOOKUP(DATA[[#This Row],[COMBINADA]],#REF!,6,0),0)</f>
        <v>0</v>
      </c>
      <c r="AL1150" s="125">
        <f>IFERROR(VLOOKUP(DATA[[#This Row],[COMBINADA]],#REF!,9,0),0)/COUNTIFS(DATA[COMBINADA],DATA[[#This Row],[COMBINADA]])</f>
        <v>0</v>
      </c>
      <c r="AM1150" s="27">
        <f>IFERROR(VLOOKUP(DATA[[#This Row],[COMBINADA]],#REF!,6,0),0)</f>
        <v>0</v>
      </c>
      <c r="AN1150" s="125">
        <f>IFERROR(VLOOKUP(DATA[[#This Row],[COMBINADA]],#REF!,9,0),0)/COUNTIFS(DATA[COMBINADA],DATA[[#This Row],[COMBINADA]])</f>
        <v>0</v>
      </c>
      <c r="AO1150" s="27">
        <f>IFERROR(VLOOKUP(DATA[[#This Row],[COMBINADA]],#REF!,6,0),0)</f>
        <v>0</v>
      </c>
      <c r="AP1150" s="132">
        <f>IFERROR(VLOOKUP(DATA[[#This Row],[COMBINADA]],#REF!,9,0),0)/COUNTIFS(DATA[COMBINADA],DATA[[#This Row],[COMBINADA]])</f>
        <v>0</v>
      </c>
      <c r="AQ115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1088.4325000000001</v>
      </c>
      <c r="AR1150" s="26" t="str">
        <f>IFERROR(IF(DATA[[#This Row],[estado_fact]]="FACTURADO",VLOOKUP(DATA[[#This Row],[SERIE2]]&amp;"-"&amp;DATA[[#This Row],[NUMERO]],#REF!,34,0),"NO CORRESPONDE"),"NO CORRESPONDE")</f>
        <v>NO CORRESPONDE</v>
      </c>
      <c r="AS1150" s="22" t="str">
        <f>IF(DATA[[#This Row],[fecha_fs]]&gt;0,TEXT(DATA[[#This Row],[fecha_fs]],"Mmmm"),0)</f>
        <v>Setiembre</v>
      </c>
      <c r="AT1150" s="22" t="str">
        <f>DATA[[#This Row],[SERIE2]]&amp;"-"&amp;DATA[[#This Row],[NUMERO]]</f>
        <v>FF01-245</v>
      </c>
      <c r="AU1150" s="28">
        <f>DATA[[#This Row],[TOTAL]]*DATA[[#This Row],[T.C.]]</f>
        <v>1076.1600000000001</v>
      </c>
      <c r="AV1150" s="6">
        <f>DATA[[#This Row],[FECHA DE VAL.]]</f>
        <v>45909</v>
      </c>
      <c r="AW1150" s="6">
        <f>DATA[[#This Row],[FECHA DE EMISION]]</f>
        <v>45909</v>
      </c>
      <c r="AX1150" s="6">
        <f>DATA[[#This Row],[F1]]</f>
        <v>0</v>
      </c>
      <c r="AY1150" s="20">
        <f>IF(AV1150-DATA[[#This Row],[fecha_fs]]&lt;0,0,AV1150-DATA[[#This Row],[fecha_fs]])</f>
        <v>4</v>
      </c>
      <c r="AZ1150" s="20">
        <f t="shared" si="231"/>
        <v>0</v>
      </c>
      <c r="BA1150" s="53">
        <f t="shared" si="232"/>
        <v>0</v>
      </c>
      <c r="BB1150" s="195">
        <f>IFERROR(SUM(DATA[[#This Row],[fs_val_ttf]:[fact_pago_ttf]]),0)</f>
        <v>4</v>
      </c>
      <c r="BC1150" s="233">
        <v>45905</v>
      </c>
      <c r="BD1150" s="233">
        <v>45911</v>
      </c>
      <c r="BE1150" s="377">
        <v>45931</v>
      </c>
      <c r="BF1150" s="233">
        <v>45939</v>
      </c>
      <c r="BG1150" s="20">
        <f>IFERROR(IF(BC1150-DATA[[#This Row],[fecha_fs]]&lt;0,0,BC1150-DATA[[#This Row],[fecha_fs]]),0)</f>
        <v>0</v>
      </c>
      <c r="BH1150" s="20">
        <f t="shared" si="227"/>
        <v>6</v>
      </c>
      <c r="BI1150" s="20">
        <f t="shared" si="228"/>
        <v>20</v>
      </c>
      <c r="BJ1150" s="20">
        <f t="shared" si="229"/>
        <v>8</v>
      </c>
      <c r="BK1150" s="282">
        <f>IFERROR(SUM(DATA[[#This Row],[fs_fd_ttd]:[fend_fenf_ttd]]),0)</f>
        <v>34</v>
      </c>
      <c r="BL1150" s="20" t="str">
        <f>IF(DATA[[#This Row],[fecha_fs]]&gt;0,TEXT(DATA[[#This Row],[fecha_fs]],"YYYY"),0)</f>
        <v>2025</v>
      </c>
      <c r="BM1150" s="236" t="b">
        <v>1</v>
      </c>
      <c r="BN1150" s="278">
        <f>COUNTIF(DATA[[#This Row],[tiempo_td]], "&lt;=15")</f>
        <v>0</v>
      </c>
      <c r="BO1150" s="222"/>
    </row>
    <row r="1151" spans="1:67" ht="30.6" customHeight="1" x14ac:dyDescent="0.25">
      <c r="A1151" s="4">
        <v>20159473148</v>
      </c>
      <c r="B1151" s="5" t="s">
        <v>280</v>
      </c>
      <c r="C1151" s="52" t="s">
        <v>20</v>
      </c>
      <c r="D1151" s="4" t="s">
        <v>120</v>
      </c>
      <c r="E1151" s="5" t="s">
        <v>3</v>
      </c>
      <c r="F1151" s="24">
        <v>45905</v>
      </c>
      <c r="G1151" s="7" t="s">
        <v>113</v>
      </c>
      <c r="H1151" s="25">
        <f t="shared" si="235"/>
        <v>1</v>
      </c>
      <c r="I1151" s="67">
        <v>4956</v>
      </c>
      <c r="J1151" s="8" t="s">
        <v>115</v>
      </c>
      <c r="K1151" s="9" t="s">
        <v>121</v>
      </c>
      <c r="L1151" s="10" t="s">
        <v>117</v>
      </c>
      <c r="M1151" s="11">
        <v>510</v>
      </c>
      <c r="N1151" s="12" t="s">
        <v>249</v>
      </c>
      <c r="O1151" s="6">
        <v>45908</v>
      </c>
      <c r="P1151" s="83">
        <v>3649</v>
      </c>
      <c r="Q1151" s="14" t="s">
        <v>85</v>
      </c>
      <c r="R1151" s="15">
        <f>DATA[[#This Row],[cantidad_fs]]*0.08</f>
        <v>40.800000000000004</v>
      </c>
      <c r="S1151" s="15">
        <v>908.43</v>
      </c>
      <c r="T1151" s="237">
        <f>DATA[[#This Row],[C. DF]]+DATA[[#This Row],[C.OPE.]]</f>
        <v>949.2299999999999</v>
      </c>
      <c r="U1151" s="15">
        <f>DATA[[#This Row],[SUB TOTAL]]*0.18</f>
        <v>170.86139999999997</v>
      </c>
      <c r="V1151" s="15">
        <f>IFERROR(ROUND(DATA[[#This Row],[SUB TOTAL]]+DATA[[#This Row],[IGV]],2),0)</f>
        <v>1120.0899999999999</v>
      </c>
      <c r="W1151" s="16" t="str">
        <f>IF(DATA[[#This Row],[VALORIZACIÓN ]]="-","NO CORRESPONDE",IF(OR(A1151=20558226979,A1151=10470707866,A1151=20111157058,A1151=20100226902),"NO CORRESPONDE",IF(J1151="Emitida",IF(P1151&gt;0,"EMITIDA","PENDIENTE"),"NO CORRESPONDE")))</f>
        <v>EMITIDA</v>
      </c>
      <c r="X1151" s="29"/>
      <c r="Y1151" s="17" t="s">
        <v>118</v>
      </c>
      <c r="Z1151" s="30">
        <v>45910</v>
      </c>
      <c r="AA1151" s="10" t="s">
        <v>150</v>
      </c>
      <c r="AB1151" s="19">
        <v>248</v>
      </c>
      <c r="AC1151" s="20">
        <v>60</v>
      </c>
      <c r="AD1151" s="18">
        <f>DATA[[#This Row],[FECHA DE EMISION]]+DATA[[#This Row],[CONDICION DE PAGO]]</f>
        <v>45970</v>
      </c>
      <c r="AE1151" s="23">
        <f>IF(DATA[[#This Row],[MONEDA]]="USD",VLOOKUP(DATA[[#This Row],[COMBINADA]],#REF!,11,0),1)</f>
        <v>1</v>
      </c>
      <c r="AF1151" s="129" t="str">
        <f>IF(DATA[[#This Row],[SERIE2]]="-","NO CORRESPONDE",IF(W1151="NO CORRESPONDE","NO CORRESPONDE",IF(Z1151&gt;0,"FACTURADO","PENDIENTE")))</f>
        <v>FACTURADO</v>
      </c>
      <c r="AG1151" s="133">
        <f>IFERROR(VLOOKUP(DATA[[#This Row],[COMBINADA]],#REF!,6,0),0)</f>
        <v>0</v>
      </c>
      <c r="AH1151" s="125">
        <f>IFERROR(VLOOKUP(DATA[[#This Row],[COMBINADA]],#REF!,9,0),0)/COUNTIFS(DATA[COMBINADA],DATA[[#This Row],[COMBINADA]])</f>
        <v>0</v>
      </c>
      <c r="AI1151" s="136">
        <f>IFERROR(VLOOKUP(DATA[[#This Row],[COMBINADA]],#REF!,6,0),0)</f>
        <v>0</v>
      </c>
      <c r="AJ1151" s="132">
        <f>IFERROR(VLOOKUP(DATA[[#This Row],[COMBINADA]],#REF!,9,0),0)/COUNTIFS(DATA[COMBINADA],DATA[[#This Row],[COMBINADA]])</f>
        <v>0</v>
      </c>
      <c r="AK1151" s="407">
        <f>IFERROR(VLOOKUP(DATA[[#This Row],[COMBINADA]],#REF!,6,0),0)</f>
        <v>0</v>
      </c>
      <c r="AL1151" s="125">
        <f>IFERROR(VLOOKUP(DATA[[#This Row],[COMBINADA]],#REF!,9,0),0)/COUNTIFS(DATA[COMBINADA],DATA[[#This Row],[COMBINADA]])</f>
        <v>0</v>
      </c>
      <c r="AM1151" s="27">
        <f>IFERROR(VLOOKUP(DATA[[#This Row],[COMBINADA]],#REF!,6,0),0)</f>
        <v>0</v>
      </c>
      <c r="AN1151" s="125">
        <f>IFERROR(VLOOKUP(DATA[[#This Row],[COMBINADA]],#REF!,9,0),0)/COUNTIFS(DATA[COMBINADA],DATA[[#This Row],[COMBINADA]])</f>
        <v>0</v>
      </c>
      <c r="AO1151" s="27">
        <f>IFERROR(VLOOKUP(DATA[[#This Row],[COMBINADA]],#REF!,6,0),0)</f>
        <v>0</v>
      </c>
      <c r="AP1151" s="132">
        <f>IFERROR(VLOOKUP(DATA[[#This Row],[COMBINADA]],#REF!,9,0),0)/COUNTIFS(DATA[COMBINADA],DATA[[#This Row],[COMBINADA]])</f>
        <v>0</v>
      </c>
      <c r="AQ115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1114.7433333333331</v>
      </c>
      <c r="AR1151" s="26" t="str">
        <f>IFERROR(IF(DATA[[#This Row],[estado_fact]]="FACTURADO",VLOOKUP(DATA[[#This Row],[SERIE2]]&amp;"-"&amp;DATA[[#This Row],[NUMERO]],#REF!,34,0),"NO CORRESPONDE"),"NO CORRESPONDE")</f>
        <v>NO CORRESPONDE</v>
      </c>
      <c r="AS1151" s="22" t="str">
        <f>IF(DATA[[#This Row],[fecha_fs]]&gt;0,TEXT(DATA[[#This Row],[fecha_fs]],"Mmmm"),0)</f>
        <v>Setiembre</v>
      </c>
      <c r="AT1151" s="22" t="str">
        <f>DATA[[#This Row],[SERIE2]]&amp;"-"&amp;DATA[[#This Row],[NUMERO]]</f>
        <v>FF01-248</v>
      </c>
      <c r="AU1151" s="28">
        <f>DATA[[#This Row],[TOTAL]]*DATA[[#This Row],[T.C.]]</f>
        <v>1120.0899999999999</v>
      </c>
      <c r="AV1151" s="6">
        <f>DATA[[#This Row],[FECHA DE VAL.]]</f>
        <v>45908</v>
      </c>
      <c r="AW1151" s="6">
        <f>DATA[[#This Row],[FECHA DE EMISION]]</f>
        <v>45910</v>
      </c>
      <c r="AX1151" s="6">
        <f>DATA[[#This Row],[F1]]</f>
        <v>0</v>
      </c>
      <c r="AY1151" s="20">
        <f>IF(AV1151-DATA[[#This Row],[fecha_fs]]&lt;0,0,AV1151-DATA[[#This Row],[fecha_fs]])</f>
        <v>3</v>
      </c>
      <c r="AZ1151" s="20">
        <f t="shared" si="231"/>
        <v>2</v>
      </c>
      <c r="BA1151" s="53">
        <f t="shared" si="232"/>
        <v>0</v>
      </c>
      <c r="BB1151" s="195">
        <f>IFERROR(SUM(DATA[[#This Row],[fs_val_ttf]:[fact_pago_ttf]]),0)</f>
        <v>5</v>
      </c>
      <c r="BC1151" s="233">
        <v>45905</v>
      </c>
      <c r="BD1151" s="233">
        <v>45911</v>
      </c>
      <c r="BE1151" s="233">
        <v>45911</v>
      </c>
      <c r="BF1151" s="233">
        <v>45932</v>
      </c>
      <c r="BG1151" s="20">
        <f>IFERROR(IF(BC1151-DATA[[#This Row],[fecha_fs]]&lt;0,0,BC1151-DATA[[#This Row],[fecha_fs]]),0)</f>
        <v>0</v>
      </c>
      <c r="BH1151" s="20">
        <f t="shared" si="227"/>
        <v>6</v>
      </c>
      <c r="BI1151" s="20">
        <f t="shared" si="228"/>
        <v>0</v>
      </c>
      <c r="BJ1151" s="20">
        <f t="shared" si="229"/>
        <v>21</v>
      </c>
      <c r="BK1151" s="282">
        <f>IFERROR(SUM(DATA[[#This Row],[fs_fd_ttd]:[fend_fenf_ttd]]),0)</f>
        <v>27</v>
      </c>
      <c r="BL1151" s="20" t="str">
        <f>IF(DATA[[#This Row],[fecha_fs]]&gt;0,TEXT(DATA[[#This Row],[fecha_fs]],"YYYY"),0)</f>
        <v>2025</v>
      </c>
      <c r="BM1151" s="236" t="b">
        <v>1</v>
      </c>
      <c r="BN1151" s="278">
        <f>COUNTIF(DATA[[#This Row],[tiempo_td]], "&lt;=15")</f>
        <v>0</v>
      </c>
      <c r="BO1151" s="222"/>
    </row>
    <row r="1152" spans="1:67" ht="30.6" customHeight="1" x14ac:dyDescent="0.25">
      <c r="A1152" s="4">
        <v>20419158462</v>
      </c>
      <c r="B1152" s="5" t="s">
        <v>2</v>
      </c>
      <c r="C1152" s="52" t="s">
        <v>155</v>
      </c>
      <c r="D1152" s="4" t="s">
        <v>120</v>
      </c>
      <c r="E1152" s="5" t="s">
        <v>3</v>
      </c>
      <c r="F1152" s="24">
        <v>45905</v>
      </c>
      <c r="G1152" s="7" t="s">
        <v>113</v>
      </c>
      <c r="H1152" s="25">
        <f t="shared" si="235"/>
        <v>1</v>
      </c>
      <c r="I1152" s="67">
        <v>4957</v>
      </c>
      <c r="J1152" s="8" t="s">
        <v>115</v>
      </c>
      <c r="K1152" s="9" t="s">
        <v>156</v>
      </c>
      <c r="L1152" s="10" t="s">
        <v>117</v>
      </c>
      <c r="M1152" s="11">
        <v>440</v>
      </c>
      <c r="N1152" s="12" t="s">
        <v>326</v>
      </c>
      <c r="O1152" s="6">
        <v>45908</v>
      </c>
      <c r="P1152" s="13">
        <v>3648</v>
      </c>
      <c r="Q1152" s="14" t="s">
        <v>85</v>
      </c>
      <c r="R1152" s="309"/>
      <c r="S1152" s="15">
        <f>1429.7/2</f>
        <v>714.85</v>
      </c>
      <c r="T1152" s="237">
        <f>DATA[[#This Row],[C. DF]]+DATA[[#This Row],[C.OPE.]]</f>
        <v>714.85</v>
      </c>
      <c r="U1152" s="15">
        <f>DATA[[#This Row],[SUB TOTAL]]*0.18</f>
        <v>128.673</v>
      </c>
      <c r="V1152" s="15">
        <f>IFERROR(ROUND(DATA[[#This Row],[SUB TOTAL]]+DATA[[#This Row],[IGV]],2),0)</f>
        <v>843.52</v>
      </c>
      <c r="W1152" s="16" t="str">
        <f>IF(DATA[[#This Row],[VALORIZACIÓN ]]="-","NO CORRESPONDE",IF(OR(A1152=20558226979,A1152=10470707866,A1152=20111157058,A1152=20100226902),"NO CORRESPONDE",IF(J1152="Emitida",IF(P1152&gt;0,"EMITIDA","PENDIENTE"),"NO CORRESPONDE")))</f>
        <v>EMITIDA</v>
      </c>
      <c r="X1152" s="29"/>
      <c r="Y1152" s="17" t="s">
        <v>118</v>
      </c>
      <c r="Z1152" s="30">
        <v>45965</v>
      </c>
      <c r="AA1152" s="10" t="s">
        <v>150</v>
      </c>
      <c r="AB1152" s="19">
        <v>330</v>
      </c>
      <c r="AC1152" s="20">
        <v>2</v>
      </c>
      <c r="AD1152" s="18">
        <f>DATA[[#This Row],[FECHA DE EMISION]]+DATA[[#This Row],[CONDICION DE PAGO]]</f>
        <v>45967</v>
      </c>
      <c r="AE1152" s="23">
        <f>IF(DATA[[#This Row],[MONEDA]]="USD",VLOOKUP(DATA[[#This Row],[COMBINADA]],#REF!,11,0),1)</f>
        <v>1</v>
      </c>
      <c r="AF1152" s="129" t="str">
        <f>IF(DATA[[#This Row],[SERIE2]]="-","NO CORRESPONDE",IF(W1152="NO CORRESPONDE","NO CORRESPONDE",IF(Z1152&gt;0,"FACTURADO","PENDIENTE")))</f>
        <v>FACTURADO</v>
      </c>
      <c r="AG1152" s="133">
        <f>IFERROR(VLOOKUP(DATA[[#This Row],[COMBINADA]],#REF!,6,0),0)</f>
        <v>0</v>
      </c>
      <c r="AH1152" s="125">
        <f>IFERROR(VLOOKUP(DATA[[#This Row],[COMBINADA]],#REF!,9,0),0)/COUNTIFS(DATA[COMBINADA],DATA[[#This Row],[COMBINADA]])</f>
        <v>0</v>
      </c>
      <c r="AI1152" s="136">
        <f>IFERROR(VLOOKUP(DATA[[#This Row],[COMBINADA]],#REF!,6,0),0)</f>
        <v>0</v>
      </c>
      <c r="AJ1152" s="132">
        <f>IFERROR(VLOOKUP(DATA[[#This Row],[COMBINADA]],#REF!,9,0),0)/COUNTIFS(DATA[COMBINADA],DATA[[#This Row],[COMBINADA]])</f>
        <v>0</v>
      </c>
      <c r="AK1152" s="407">
        <f>IFERROR(VLOOKUP(DATA[[#This Row],[COMBINADA]],#REF!,6,0),0)</f>
        <v>0</v>
      </c>
      <c r="AL1152" s="125">
        <f>IFERROR(VLOOKUP(DATA[[#This Row],[COMBINADA]],#REF!,9,0),0)/COUNTIFS(DATA[COMBINADA],DATA[[#This Row],[COMBINADA]])</f>
        <v>0</v>
      </c>
      <c r="AM1152" s="27">
        <f>IFERROR(VLOOKUP(DATA[[#This Row],[COMBINADA]],#REF!,6,0),0)</f>
        <v>0</v>
      </c>
      <c r="AN1152" s="125">
        <f>IFERROR(VLOOKUP(DATA[[#This Row],[COMBINADA]],#REF!,9,0),0)/COUNTIFS(DATA[COMBINADA],DATA[[#This Row],[COMBINADA]])</f>
        <v>0</v>
      </c>
      <c r="AO1152" s="27">
        <f>IFERROR(VLOOKUP(DATA[[#This Row],[COMBINADA]],#REF!,6,0),0)</f>
        <v>0</v>
      </c>
      <c r="AP1152" s="132">
        <f>IFERROR(VLOOKUP(DATA[[#This Row],[COMBINADA]],#REF!,9,0),0)/COUNTIFS(DATA[COMBINADA],DATA[[#This Row],[COMBINADA]])</f>
        <v>0</v>
      </c>
      <c r="AQ115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1152" s="26" t="str">
        <f>IFERROR(IF(DATA[[#This Row],[estado_fact]]="FACTURADO",VLOOKUP(DATA[[#This Row],[SERIE2]]&amp;"-"&amp;DATA[[#This Row],[NUMERO]],#REF!,34,0),"NO CORRESPONDE"),"NO CORRESPONDE")</f>
        <v>NO CORRESPONDE</v>
      </c>
      <c r="AS1152" s="22" t="str">
        <f>IF(DATA[[#This Row],[fecha_fs]]&gt;0,TEXT(DATA[[#This Row],[fecha_fs]],"Mmmm"),0)</f>
        <v>Setiembre</v>
      </c>
      <c r="AT1152" s="22" t="str">
        <f>DATA[[#This Row],[SERIE2]]&amp;"-"&amp;DATA[[#This Row],[NUMERO]]</f>
        <v>FF01-330</v>
      </c>
      <c r="AU1152" s="28">
        <f>DATA[[#This Row],[TOTAL]]*DATA[[#This Row],[T.C.]]</f>
        <v>843.52</v>
      </c>
      <c r="AV1152" s="6">
        <f>DATA[[#This Row],[FECHA DE VAL.]]</f>
        <v>45908</v>
      </c>
      <c r="AW1152" s="6">
        <f>DATA[[#This Row],[FECHA DE EMISION]]</f>
        <v>45965</v>
      </c>
      <c r="AX1152" s="6">
        <f>DATA[[#This Row],[F1]]</f>
        <v>0</v>
      </c>
      <c r="AY1152" s="20">
        <f>IF(AV1152-DATA[[#This Row],[fecha_fs]]&lt;0,0,AV1152-DATA[[#This Row],[fecha_fs]])</f>
        <v>3</v>
      </c>
      <c r="AZ1152" s="20">
        <f t="shared" si="231"/>
        <v>57</v>
      </c>
      <c r="BA1152" s="53">
        <f t="shared" si="232"/>
        <v>0</v>
      </c>
      <c r="BB1152" s="195">
        <f>IFERROR(SUM(DATA[[#This Row],[fs_val_ttf]:[fact_pago_ttf]]),0)</f>
        <v>60</v>
      </c>
      <c r="BC1152" s="233">
        <v>45905</v>
      </c>
      <c r="BD1152" s="233">
        <v>45905</v>
      </c>
      <c r="BE1152" s="233">
        <v>45916</v>
      </c>
      <c r="BF1152" s="233">
        <v>45916</v>
      </c>
      <c r="BG1152" s="20">
        <f>IFERROR(IF(BC1152-DATA[[#This Row],[fecha_fs]]&lt;0,0,BC1152-DATA[[#This Row],[fecha_fs]]),0)</f>
        <v>0</v>
      </c>
      <c r="BH1152" s="20">
        <f t="shared" si="227"/>
        <v>0</v>
      </c>
      <c r="BI1152" s="20">
        <f t="shared" si="228"/>
        <v>11</v>
      </c>
      <c r="BJ1152" s="20">
        <f t="shared" si="229"/>
        <v>0</v>
      </c>
      <c r="BK1152" s="282">
        <f>IFERROR(SUM(DATA[[#This Row],[fs_fd_ttd]:[fend_fenf_ttd]]),0)</f>
        <v>11</v>
      </c>
      <c r="BL1152" s="20" t="str">
        <f>IF(DATA[[#This Row],[fecha_fs]]&gt;0,TEXT(DATA[[#This Row],[fecha_fs]],"YYYY"),0)</f>
        <v>2025</v>
      </c>
      <c r="BM1152" s="236" t="b">
        <v>1</v>
      </c>
      <c r="BN1152" s="278">
        <f>COUNTIF(DATA[[#This Row],[tiempo_td]], "&lt;=15")</f>
        <v>1</v>
      </c>
      <c r="BO1152" s="222"/>
    </row>
    <row r="1153" spans="1:67" ht="30.6" customHeight="1" x14ac:dyDescent="0.25">
      <c r="A1153" s="4">
        <v>20100192064</v>
      </c>
      <c r="B1153" s="5" t="s">
        <v>60</v>
      </c>
      <c r="C1153" s="52" t="s">
        <v>65</v>
      </c>
      <c r="D1153" s="4" t="s">
        <v>290</v>
      </c>
      <c r="E1153" s="5" t="s">
        <v>294</v>
      </c>
      <c r="F1153" s="24">
        <v>45908</v>
      </c>
      <c r="G1153" s="7" t="s">
        <v>142</v>
      </c>
      <c r="H1153" s="25">
        <f>IF(G1153="","",IF(G1153="LIM",2,1))</f>
        <v>2</v>
      </c>
      <c r="I1153" s="67">
        <v>1134</v>
      </c>
      <c r="J1153" s="8" t="s">
        <v>115</v>
      </c>
      <c r="K1153" s="9" t="s">
        <v>195</v>
      </c>
      <c r="L1153" s="10" t="s">
        <v>117</v>
      </c>
      <c r="M1153" s="11">
        <v>7000</v>
      </c>
      <c r="N1153" s="12" t="s">
        <v>180</v>
      </c>
      <c r="O1153" s="6">
        <v>45926</v>
      </c>
      <c r="P1153" s="71">
        <v>3694</v>
      </c>
      <c r="Q1153" s="14" t="s">
        <v>123</v>
      </c>
      <c r="R1153" s="321">
        <f>(DATA[[#This Row],[cantidad_fs]]/1000)*(37+81.01)</f>
        <v>826.07</v>
      </c>
      <c r="S1153" s="56">
        <v>103.6</v>
      </c>
      <c r="T1153" s="309">
        <f>DATA[[#This Row],[C. DF]]+DATA[[#This Row],[C.OPE.]]</f>
        <v>929.67000000000007</v>
      </c>
      <c r="U1153" s="15">
        <f>DATA[[#This Row],[SUB TOTAL]]*0.18</f>
        <v>167.34059999999999</v>
      </c>
      <c r="V1153" s="15">
        <f>IFERROR(ROUND(DATA[[#This Row],[SUB TOTAL]]+DATA[[#This Row],[IGV]],2),0)</f>
        <v>1097.01</v>
      </c>
      <c r="W1153" s="16" t="str">
        <f>IF(DATA[[#This Row],[VALORIZACIÓN ]]="-","NO CORRESPONDE",IF(OR(A1153=20558226979,A1153=10470707866,A1153=20111157058,A1153=20100226902),"NO CORRESPONDE",IF(J1153="Emitida",IF(P1153&gt;0,"EMITIDA","PENDIENTE"),"NO CORRESPONDE")))</f>
        <v>EMITIDA</v>
      </c>
      <c r="X1153" s="29"/>
      <c r="Y1153" s="17" t="s">
        <v>118</v>
      </c>
      <c r="Z1153" s="30">
        <v>45929</v>
      </c>
      <c r="AA1153" s="10" t="s">
        <v>150</v>
      </c>
      <c r="AB1153" s="19">
        <v>268</v>
      </c>
      <c r="AC1153" s="20">
        <v>30</v>
      </c>
      <c r="AD1153" s="18">
        <f>DATA[[#This Row],[FECHA DE EMISION]]+DATA[[#This Row],[CONDICION DE PAGO]]</f>
        <v>45959</v>
      </c>
      <c r="AE1153" s="23" t="e">
        <f>IF(DATA[[#This Row],[MONEDA]]="USD",VLOOKUP(DATA[[#This Row],[COMBINADA]],#REF!,11,0),1)</f>
        <v>#REF!</v>
      </c>
      <c r="AF1153" s="129" t="str">
        <f>IF(DATA[[#This Row],[SERIE2]]="-","NO CORRESPONDE",IF(W1153="NO CORRESPONDE","NO CORRESPONDE",IF(Z1153&gt;0,"FACTURADO","PENDIENTE")))</f>
        <v>FACTURADO</v>
      </c>
      <c r="AG1153" s="133">
        <f>IFERROR(VLOOKUP(DATA[[#This Row],[COMBINADA]],#REF!,6,0),0)</f>
        <v>0</v>
      </c>
      <c r="AH1153" s="125">
        <f>IFERROR(VLOOKUP(DATA[[#This Row],[COMBINADA]],#REF!,9,0),0)/COUNTIFS(DATA[COMBINADA],DATA[[#This Row],[COMBINADA]])</f>
        <v>0</v>
      </c>
      <c r="AI1153" s="136">
        <f>IFERROR(VLOOKUP(DATA[[#This Row],[COMBINADA]],#REF!,6,0),0)</f>
        <v>0</v>
      </c>
      <c r="AJ1153" s="132">
        <f>IFERROR(VLOOKUP(DATA[[#This Row],[COMBINADA]],#REF!,9,0),0)/COUNTIFS(DATA[COMBINADA],DATA[[#This Row],[COMBINADA]])</f>
        <v>0</v>
      </c>
      <c r="AK1153" s="407">
        <f>IFERROR(VLOOKUP(DATA[[#This Row],[COMBINADA]],#REF!,6,0),0)</f>
        <v>0</v>
      </c>
      <c r="AL1153" s="125">
        <f>IFERROR(VLOOKUP(DATA[[#This Row],[COMBINADA]],#REF!,9,0),0)/COUNTIFS(DATA[COMBINADA],DATA[[#This Row],[COMBINADA]])</f>
        <v>0</v>
      </c>
      <c r="AM1153" s="27">
        <f>IFERROR(VLOOKUP(DATA[[#This Row],[COMBINADA]],#REF!,6,0),0)</f>
        <v>0</v>
      </c>
      <c r="AN1153" s="125">
        <f>IFERROR(VLOOKUP(DATA[[#This Row],[COMBINADA]],#REF!,9,0),0)/COUNTIFS(DATA[COMBINADA],DATA[[#This Row],[COMBINADA]])</f>
        <v>0</v>
      </c>
      <c r="AO1153" s="27">
        <f>IFERROR(VLOOKUP(DATA[[#This Row],[COMBINADA]],#REF!,6,0),0)</f>
        <v>0</v>
      </c>
      <c r="AP1153" s="132">
        <f>IFERROR(VLOOKUP(DATA[[#This Row],[COMBINADA]],#REF!,9,0),0)/COUNTIFS(DATA[COMBINADA],DATA[[#This Row],[COMBINADA]])</f>
        <v>0</v>
      </c>
      <c r="AQ115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535.76357142857137</v>
      </c>
      <c r="AR1153" s="26" t="str">
        <f>IFERROR(IF(DATA[[#This Row],[estado_fact]]="FACTURADO",VLOOKUP(DATA[[#This Row],[SERIE2]]&amp;"-"&amp;DATA[[#This Row],[NUMERO]],#REF!,34,0),"NO CORRESPONDE"),"NO CORRESPONDE")</f>
        <v>NO CORRESPONDE</v>
      </c>
      <c r="AS1153" s="22" t="str">
        <f>IF(DATA[[#This Row],[fecha_fs]]&gt;0,TEXT(DATA[[#This Row],[fecha_fs]],"Mmmm"),0)</f>
        <v>Setiembre</v>
      </c>
      <c r="AT1153" s="22" t="str">
        <f>DATA[[#This Row],[SERIE2]]&amp;"-"&amp;DATA[[#This Row],[NUMERO]]</f>
        <v>FF01-268</v>
      </c>
      <c r="AU1153" s="28" t="e">
        <f>DATA[[#This Row],[TOTAL]]*DATA[[#This Row],[T.C.]]</f>
        <v>#REF!</v>
      </c>
      <c r="AV1153" s="6">
        <f>DATA[[#This Row],[FECHA DE VAL.]]</f>
        <v>45926</v>
      </c>
      <c r="AW1153" s="6">
        <f>DATA[[#This Row],[FECHA DE EMISION]]</f>
        <v>45929</v>
      </c>
      <c r="AX1153" s="6">
        <f>DATA[[#This Row],[F1]]</f>
        <v>0</v>
      </c>
      <c r="AY1153" s="20">
        <f>IF(AV1153-DATA[[#This Row],[fecha_fs]]&lt;0,0,AV1153-DATA[[#This Row],[fecha_fs]])</f>
        <v>18</v>
      </c>
      <c r="AZ1153" s="20">
        <f>IF(AW1153-AV1153&lt;0,0,AW1153-AV1153)</f>
        <v>3</v>
      </c>
      <c r="BA1153" s="53">
        <f>IF(AX1153-AW1153&lt;0,0,AX1153-AW1153)</f>
        <v>0</v>
      </c>
      <c r="BB1153" s="305">
        <f>IFERROR(SUM(DATA[[#This Row],[fs_val_ttf]:[fact_pago_ttf]]),0)</f>
        <v>21</v>
      </c>
      <c r="BC1153" s="318">
        <v>45908</v>
      </c>
      <c r="BD1153" s="318">
        <v>45929</v>
      </c>
      <c r="BE1153" s="318">
        <v>45931</v>
      </c>
      <c r="BF1153" s="233">
        <v>45945</v>
      </c>
      <c r="BG1153" s="20">
        <f>IFERROR(IF(BC1153-DATA[[#This Row],[fecha_fs]]&lt;0,0,BC1153-DATA[[#This Row],[fecha_fs]]),0)</f>
        <v>0</v>
      </c>
      <c r="BH1153" s="20">
        <f t="shared" ref="BH1153" si="239">IFERROR(IF(BD1153-BC1153&lt;0,0,BD1153-BC1153),0)</f>
        <v>21</v>
      </c>
      <c r="BI1153" s="20">
        <f t="shared" ref="BI1153" si="240">IFERROR(IF(BE1153-BD1153&lt;0,0,BE1153-BD1153),0)</f>
        <v>2</v>
      </c>
      <c r="BJ1153" s="306">
        <f t="shared" ref="BJ1153" si="241">IFERROR(IF(BF1153-BE1153&lt;0,0,BF1153-BE1153),0)</f>
        <v>14</v>
      </c>
      <c r="BK1153" s="307">
        <f>IFERROR(SUM(DATA[[#This Row],[fs_fd_ttd]:[fend_fenf_ttd]]),0)</f>
        <v>37</v>
      </c>
      <c r="BL1153" s="20" t="str">
        <f>IF(DATA[[#This Row],[fecha_fs]]&gt;0,TEXT(DATA[[#This Row],[fecha_fs]],"YYYY"),0)</f>
        <v>2025</v>
      </c>
      <c r="BM1153" s="236" t="b">
        <v>1</v>
      </c>
      <c r="BN1153" s="278">
        <f>COUNTIF(DATA[[#This Row],[tiempo_td]], "&lt;=15")</f>
        <v>0</v>
      </c>
      <c r="BO1153" s="222"/>
    </row>
    <row r="1154" spans="1:67" ht="30.6" customHeight="1" x14ac:dyDescent="0.25">
      <c r="A1154" s="4">
        <v>20100211115</v>
      </c>
      <c r="B1154" s="5" t="s">
        <v>41</v>
      </c>
      <c r="C1154" s="52" t="s">
        <v>18</v>
      </c>
      <c r="D1154" s="4" t="s">
        <v>120</v>
      </c>
      <c r="E1154" s="5" t="s">
        <v>3</v>
      </c>
      <c r="F1154" s="24">
        <v>45908</v>
      </c>
      <c r="G1154" s="7" t="s">
        <v>113</v>
      </c>
      <c r="H1154" s="25">
        <f t="shared" ref="H1154:H1165" si="242">IF(G1154="","",IF(G1154="LIM",2,1))</f>
        <v>1</v>
      </c>
      <c r="I1154" s="67">
        <v>4958</v>
      </c>
      <c r="J1154" s="8" t="s">
        <v>115</v>
      </c>
      <c r="K1154" s="9" t="s">
        <v>121</v>
      </c>
      <c r="L1154" s="10" t="s">
        <v>117</v>
      </c>
      <c r="M1154" s="11">
        <v>90</v>
      </c>
      <c r="N1154" s="12" t="s">
        <v>132</v>
      </c>
      <c r="O1154" s="6">
        <v>45926</v>
      </c>
      <c r="P1154" s="115">
        <v>3679</v>
      </c>
      <c r="Q1154" s="14" t="s">
        <v>85</v>
      </c>
      <c r="R1154" s="74"/>
      <c r="S1154" s="15">
        <f>(DATA[[#This Row],[cantidad_fs]]*4.17)</f>
        <v>375.3</v>
      </c>
      <c r="T1154" s="237">
        <f>DATA[[#This Row],[C. DF]]+DATA[[#This Row],[C.OPE.]]</f>
        <v>375.3</v>
      </c>
      <c r="U1154" s="15">
        <f>DATA[[#This Row],[SUB TOTAL]]*0.18</f>
        <v>67.554000000000002</v>
      </c>
      <c r="V1154" s="15">
        <f>IFERROR(ROUND(DATA[[#This Row],[SUB TOTAL]]+DATA[[#This Row],[IGV]],2),0)</f>
        <v>442.85</v>
      </c>
      <c r="W1154" s="16" t="str">
        <f>IF(DATA[[#This Row],[VALORIZACIÓN ]]="-","NO CORRESPONDE",IF(OR(A1154=20558226979,A1154=10470707866,A1154=20111157058,A1154=20100226902),"NO CORRESPONDE",IF(J1154="Emitida",IF(P1154&gt;0,"EMITIDA","PENDIENTE"),"NO CORRESPONDE")))</f>
        <v>EMITIDA</v>
      </c>
      <c r="X1154" s="29"/>
      <c r="Y1154" s="17" t="s">
        <v>118</v>
      </c>
      <c r="Z1154" s="30">
        <v>45930</v>
      </c>
      <c r="AA1154" s="10" t="s">
        <v>150</v>
      </c>
      <c r="AB1154" s="19">
        <v>269</v>
      </c>
      <c r="AC1154" s="20">
        <v>30</v>
      </c>
      <c r="AD1154" s="18">
        <f>DATA[[#This Row],[FECHA DE EMISION]]+DATA[[#This Row],[CONDICION DE PAGO]]</f>
        <v>45960</v>
      </c>
      <c r="AE1154" s="23">
        <f>IF(DATA[[#This Row],[MONEDA]]="USD",VLOOKUP(DATA[[#This Row],[COMBINADA]],#REF!,11,0),1)</f>
        <v>1</v>
      </c>
      <c r="AF1154" s="129" t="str">
        <f>IF(DATA[[#This Row],[SERIE2]]="-","NO CORRESPONDE",IF(W1154="NO CORRESPONDE","NO CORRESPONDE",IF(Z1154&gt;0,"FACTURADO","PENDIENTE")))</f>
        <v>FACTURADO</v>
      </c>
      <c r="AG1154" s="133">
        <f>IFERROR(VLOOKUP(DATA[[#This Row],[COMBINADA]],#REF!,6,0),0)</f>
        <v>0</v>
      </c>
      <c r="AH1154" s="125">
        <f>IFERROR(VLOOKUP(DATA[[#This Row],[COMBINADA]],#REF!,9,0),0)/COUNTIFS(DATA[COMBINADA],DATA[[#This Row],[COMBINADA]])</f>
        <v>0</v>
      </c>
      <c r="AI1154" s="136">
        <f>IFERROR(VLOOKUP(DATA[[#This Row],[COMBINADA]],#REF!,6,0),0)</f>
        <v>0</v>
      </c>
      <c r="AJ1154" s="132">
        <f>IFERROR(VLOOKUP(DATA[[#This Row],[COMBINADA]],#REF!,9,0),0)/COUNTIFS(DATA[COMBINADA],DATA[[#This Row],[COMBINADA]])</f>
        <v>0</v>
      </c>
      <c r="AK1154" s="407">
        <f>IFERROR(VLOOKUP(DATA[[#This Row],[COMBINADA]],#REF!,6,0),0)</f>
        <v>0</v>
      </c>
      <c r="AL1154" s="125">
        <f>IFERROR(VLOOKUP(DATA[[#This Row],[COMBINADA]],#REF!,9,0),0)/COUNTIFS(DATA[COMBINADA],DATA[[#This Row],[COMBINADA]])</f>
        <v>0</v>
      </c>
      <c r="AM1154" s="27">
        <f>IFERROR(VLOOKUP(DATA[[#This Row],[COMBINADA]],#REF!,6,0),0)</f>
        <v>0</v>
      </c>
      <c r="AN1154" s="125">
        <f>IFERROR(VLOOKUP(DATA[[#This Row],[COMBINADA]],#REF!,9,0),0)/COUNTIFS(DATA[COMBINADA],DATA[[#This Row],[COMBINADA]])</f>
        <v>0</v>
      </c>
      <c r="AO1154" s="27">
        <f>IFERROR(VLOOKUP(DATA[[#This Row],[COMBINADA]],#REF!,6,0),0)</f>
        <v>0</v>
      </c>
      <c r="AP1154" s="132">
        <f>IFERROR(VLOOKUP(DATA[[#This Row],[COMBINADA]],#REF!,9,0),0)/COUNTIFS(DATA[COMBINADA],DATA[[#This Row],[COMBINADA]])</f>
        <v>0</v>
      </c>
      <c r="AQ115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154" s="26" t="str">
        <f>IFERROR(IF(DATA[[#This Row],[estado_fact]]="FACTURADO",VLOOKUP(DATA[[#This Row],[SERIE2]]&amp;"-"&amp;DATA[[#This Row],[NUMERO]],#REF!,34,0),"NO CORRESPONDE"),"NO CORRESPONDE")</f>
        <v>NO CORRESPONDE</v>
      </c>
      <c r="AS1154" s="22" t="str">
        <f>IF(DATA[[#This Row],[fecha_fs]]&gt;0,TEXT(DATA[[#This Row],[fecha_fs]],"Mmmm"),0)</f>
        <v>Setiembre</v>
      </c>
      <c r="AT1154" s="22" t="str">
        <f>DATA[[#This Row],[SERIE2]]&amp;"-"&amp;DATA[[#This Row],[NUMERO]]</f>
        <v>FF01-269</v>
      </c>
      <c r="AU1154" s="28">
        <f>DATA[[#This Row],[TOTAL]]*DATA[[#This Row],[T.C.]]</f>
        <v>442.85</v>
      </c>
      <c r="AV1154" s="6">
        <f>DATA[[#This Row],[FECHA DE VAL.]]</f>
        <v>45926</v>
      </c>
      <c r="AW1154" s="6">
        <f>DATA[[#This Row],[FECHA DE EMISION]]</f>
        <v>45930</v>
      </c>
      <c r="AX1154" s="6">
        <f>DATA[[#This Row],[F1]]</f>
        <v>0</v>
      </c>
      <c r="AY1154" s="20">
        <f>IF(AV1154-DATA[[#This Row],[fecha_fs]]&lt;0,0,AV1154-DATA[[#This Row],[fecha_fs]])</f>
        <v>18</v>
      </c>
      <c r="AZ1154" s="20">
        <f t="shared" ref="AZ1154:AZ1165" si="243">IF(AW1154-AV1154&lt;0,0,AW1154-AV1154)</f>
        <v>4</v>
      </c>
      <c r="BA1154" s="53">
        <f t="shared" ref="BA1154:BA1165" si="244">IF(AX1154-AW1154&lt;0,0,AX1154-AW1154)</f>
        <v>0</v>
      </c>
      <c r="BB1154" s="195">
        <f>IFERROR(SUM(DATA[[#This Row],[fs_val_ttf]:[fact_pago_ttf]]),0)</f>
        <v>22</v>
      </c>
      <c r="BC1154" s="233">
        <v>45932</v>
      </c>
      <c r="BD1154" s="233">
        <v>45939</v>
      </c>
      <c r="BE1154" s="233">
        <v>45939</v>
      </c>
      <c r="BF1154" s="233">
        <v>45940</v>
      </c>
      <c r="BG1154" s="20">
        <f>IFERROR(IF(BC1154-DATA[[#This Row],[fecha_fs]]&lt;0,0,BC1154-DATA[[#This Row],[fecha_fs]]),0)</f>
        <v>24</v>
      </c>
      <c r="BH1154" s="20">
        <f t="shared" ref="BH1154:BH1165" si="245">IFERROR(IF(BD1154-BC1154&lt;0,0,BD1154-BC1154),0)</f>
        <v>7</v>
      </c>
      <c r="BI1154" s="20">
        <f t="shared" ref="BI1154:BI1165" si="246">IFERROR(IF(BE1154-BD1154&lt;0,0,BE1154-BD1154),0)</f>
        <v>0</v>
      </c>
      <c r="BJ1154" s="20">
        <f t="shared" ref="BJ1154:BJ1165" si="247">IFERROR(IF(BF1154-BE1154&lt;0,0,BF1154-BE1154),0)</f>
        <v>1</v>
      </c>
      <c r="BK1154" s="282">
        <f>IFERROR(SUM(DATA[[#This Row],[fs_fd_ttd]:[fend_fenf_ttd]]),0)</f>
        <v>32</v>
      </c>
      <c r="BL1154" s="20" t="str">
        <f>IF(DATA[[#This Row],[fecha_fs]]&gt;0,TEXT(DATA[[#This Row],[fecha_fs]],"YYYY"),0)</f>
        <v>2025</v>
      </c>
      <c r="BM1154" s="236" t="b">
        <v>1</v>
      </c>
      <c r="BN1154" s="278">
        <f>COUNTIF(DATA[[#This Row],[tiempo_td]], "&lt;=15")</f>
        <v>0</v>
      </c>
      <c r="BO1154" s="222"/>
    </row>
    <row r="1155" spans="1:67" ht="30.6" customHeight="1" x14ac:dyDescent="0.25">
      <c r="A1155" s="4">
        <v>20100226902</v>
      </c>
      <c r="B1155" s="5" t="s">
        <v>24</v>
      </c>
      <c r="C1155" s="52" t="s">
        <v>18</v>
      </c>
      <c r="D1155" s="4" t="s">
        <v>120</v>
      </c>
      <c r="E1155" s="5" t="s">
        <v>3</v>
      </c>
      <c r="F1155" s="24">
        <v>45908</v>
      </c>
      <c r="G1155" s="7" t="s">
        <v>113</v>
      </c>
      <c r="H1155" s="25">
        <f t="shared" si="242"/>
        <v>1</v>
      </c>
      <c r="I1155" s="67">
        <v>4959</v>
      </c>
      <c r="J1155" s="8" t="s">
        <v>115</v>
      </c>
      <c r="K1155" s="9" t="s">
        <v>121</v>
      </c>
      <c r="L1155" s="10" t="s">
        <v>117</v>
      </c>
      <c r="M1155" s="11">
        <v>440</v>
      </c>
      <c r="N1155" s="12" t="s">
        <v>327</v>
      </c>
      <c r="O1155" s="295"/>
      <c r="P1155" s="296" t="s">
        <v>114</v>
      </c>
      <c r="Q1155" s="297"/>
      <c r="R1155" s="298"/>
      <c r="S1155" s="298"/>
      <c r="T1155" s="298">
        <v>0</v>
      </c>
      <c r="U1155" s="298">
        <v>0</v>
      </c>
      <c r="V1155" s="298">
        <v>0</v>
      </c>
      <c r="W1155" s="16" t="s">
        <v>128</v>
      </c>
      <c r="X1155" s="299"/>
      <c r="Y1155" s="17" t="s">
        <v>128</v>
      </c>
      <c r="Z1155" s="300"/>
      <c r="AA1155" s="301"/>
      <c r="AB1155" s="302"/>
      <c r="AC1155" s="303"/>
      <c r="AD1155" s="304">
        <v>0</v>
      </c>
      <c r="AE1155" s="23">
        <v>1</v>
      </c>
      <c r="AF1155" s="129" t="s">
        <v>128</v>
      </c>
      <c r="AG1155" s="310">
        <f>IFERROR(VLOOKUP(DATA[[#This Row],[COMBINADA]],#REF!,6,0),0)</f>
        <v>0</v>
      </c>
      <c r="AH1155" s="311">
        <f>IFERROR(VLOOKUP(DATA[[#This Row],[COMBINADA]],#REF!,9,0),0)/COUNTIFS(DATA[COMBINADA],DATA[[#This Row],[COMBINADA]])</f>
        <v>0</v>
      </c>
      <c r="AI1155" s="310">
        <f>IFERROR(VLOOKUP(DATA[[#This Row],[COMBINADA]],#REF!,6,0),0)</f>
        <v>0</v>
      </c>
      <c r="AJ1155" s="311">
        <f>IFERROR(VLOOKUP(DATA[[#This Row],[COMBINADA]],#REF!,9,0),0)/COUNTIFS(DATA[COMBINADA],DATA[[#This Row],[COMBINADA]])</f>
        <v>0</v>
      </c>
      <c r="AK1155" s="413">
        <f>IFERROR(VLOOKUP(DATA[[#This Row],[COMBINADA]],#REF!,6,0),0)</f>
        <v>0</v>
      </c>
      <c r="AL1155" s="311">
        <f>IFERROR(VLOOKUP(DATA[[#This Row],[COMBINADA]],#REF!,9,0),0)/COUNTIFS(DATA[COMBINADA],DATA[[#This Row],[COMBINADA]])</f>
        <v>0</v>
      </c>
      <c r="AM1155" s="312">
        <f>IFERROR(VLOOKUP(DATA[[#This Row],[COMBINADA]],#REF!,6,0),0)</f>
        <v>0</v>
      </c>
      <c r="AN1155" s="311">
        <f>IFERROR(VLOOKUP(DATA[[#This Row],[COMBINADA]],#REF!,9,0),0)/COUNTIFS(DATA[COMBINADA],DATA[[#This Row],[COMBINADA]])</f>
        <v>0</v>
      </c>
      <c r="AO1155" s="313">
        <f>IFERROR(VLOOKUP(DATA[[#This Row],[COMBINADA]],#REF!,6,0),0)</f>
        <v>0</v>
      </c>
      <c r="AP1155" s="311">
        <f>IFERROR(VLOOKUP(DATA[[#This Row],[COMBINADA]],#REF!,9,0),0)/COUNTIFS(DATA[COMBINADA],DATA[[#This Row],[COMBINADA]])</f>
        <v>0</v>
      </c>
      <c r="AQ1155" s="314">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155" s="315" t="str">
        <f>IFERROR(IF(DATA[[#This Row],[estado_fact]]="FACTURADO",VLOOKUP(DATA[[#This Row],[SERIE2]]&amp;"-"&amp;DATA[[#This Row],[NUMERO]],#REF!,34,0),"NO CORRESPONDE"),"NO CORRESPONDE")</f>
        <v>NO CORRESPONDE</v>
      </c>
      <c r="AS1155" s="22" t="str">
        <f>IF(DATA[[#This Row],[fecha_fs]]&gt;0,TEXT(DATA[[#This Row],[fecha_fs]],"Mmmm"),0)</f>
        <v>Setiembre</v>
      </c>
      <c r="AT1155" s="22" t="str">
        <f>DATA[[#This Row],[SERIE2]]&amp;"-"&amp;DATA[[#This Row],[NUMERO]]</f>
        <v>-</v>
      </c>
      <c r="AU1155" s="28">
        <f>DATA[[#This Row],[TOTAL]]*DATA[[#This Row],[T.C.]]</f>
        <v>0</v>
      </c>
      <c r="AV1155" s="6">
        <f>DATA[[#This Row],[FECHA DE VAL.]]</f>
        <v>0</v>
      </c>
      <c r="AW1155" s="6">
        <f>DATA[[#This Row],[FECHA DE EMISION]]</f>
        <v>0</v>
      </c>
      <c r="AX1155" s="6"/>
      <c r="AY1155" s="20">
        <f>IF(AV1155-DATA[[#This Row],[fecha_fs]]&lt;0,0,AV1155-DATA[[#This Row],[fecha_fs]])</f>
        <v>0</v>
      </c>
      <c r="AZ1155" s="20">
        <f t="shared" si="243"/>
        <v>0</v>
      </c>
      <c r="BA1155" s="53">
        <f t="shared" si="244"/>
        <v>0</v>
      </c>
      <c r="BB1155" s="195">
        <f>IFERROR(SUM(DATA[[#This Row],[fs_val_ttf]:[fact_pago_ttf]]),0)</f>
        <v>0</v>
      </c>
      <c r="BC1155" s="233">
        <v>45908</v>
      </c>
      <c r="BD1155" s="233">
        <v>45908</v>
      </c>
      <c r="BE1155" s="233">
        <v>45933</v>
      </c>
      <c r="BF1155" s="233">
        <v>45933</v>
      </c>
      <c r="BG1155" s="20">
        <f>IFERROR(IF(BC1155-DATA[[#This Row],[fecha_fs]]&lt;0,0,BC1155-DATA[[#This Row],[fecha_fs]]),0)</f>
        <v>0</v>
      </c>
      <c r="BH1155" s="20">
        <f t="shared" si="245"/>
        <v>0</v>
      </c>
      <c r="BI1155" s="20">
        <f t="shared" si="246"/>
        <v>25</v>
      </c>
      <c r="BJ1155" s="20">
        <f t="shared" si="247"/>
        <v>0</v>
      </c>
      <c r="BK1155" s="282">
        <f>IFERROR(SUM(DATA[[#This Row],[fs_fd_ttd]:[fend_fenf_ttd]]),0)</f>
        <v>25</v>
      </c>
      <c r="BL1155" s="20" t="str">
        <f>IF(DATA[[#This Row],[fecha_fs]]&gt;0,TEXT(DATA[[#This Row],[fecha_fs]],"YYYY"),0)</f>
        <v>2025</v>
      </c>
      <c r="BM1155" s="236" t="b">
        <v>1</v>
      </c>
      <c r="BN1155" s="278">
        <f>COUNTIF(DATA[[#This Row],[tiempo_td]], "&lt;=15")</f>
        <v>0</v>
      </c>
      <c r="BO1155" s="222"/>
    </row>
    <row r="1156" spans="1:67" ht="30.6" customHeight="1" x14ac:dyDescent="0.25">
      <c r="A1156" s="4">
        <v>20141637941</v>
      </c>
      <c r="B1156" s="5" t="s">
        <v>79</v>
      </c>
      <c r="C1156" s="52" t="s">
        <v>18</v>
      </c>
      <c r="D1156" s="4" t="s">
        <v>120</v>
      </c>
      <c r="E1156" s="5" t="s">
        <v>3</v>
      </c>
      <c r="F1156" s="24">
        <v>45908</v>
      </c>
      <c r="G1156" s="7" t="s">
        <v>113</v>
      </c>
      <c r="H1156" s="25">
        <f t="shared" si="242"/>
        <v>1</v>
      </c>
      <c r="I1156" s="67">
        <v>4960</v>
      </c>
      <c r="J1156" s="8" t="s">
        <v>115</v>
      </c>
      <c r="K1156" s="9" t="s">
        <v>121</v>
      </c>
      <c r="L1156" s="10" t="s">
        <v>117</v>
      </c>
      <c r="M1156" s="11">
        <v>1160</v>
      </c>
      <c r="N1156" s="12" t="s">
        <v>125</v>
      </c>
      <c r="O1156" s="6">
        <v>45909</v>
      </c>
      <c r="P1156" s="110">
        <v>3651</v>
      </c>
      <c r="Q1156" s="14" t="s">
        <v>85</v>
      </c>
      <c r="R1156" s="309">
        <f>80+((DATA[[#This Row],[cantidad_fs]]-1000)*0.08)</f>
        <v>92.8</v>
      </c>
      <c r="S1156" s="309">
        <v>832</v>
      </c>
      <c r="T1156" s="237">
        <f>DATA[[#This Row],[C. DF]]+DATA[[#This Row],[C.OPE.]]</f>
        <v>924.8</v>
      </c>
      <c r="U1156" s="15">
        <f>DATA[[#This Row],[SUB TOTAL]]*0.18</f>
        <v>166.464</v>
      </c>
      <c r="V1156" s="15">
        <f>IFERROR(ROUND(DATA[[#This Row],[SUB TOTAL]]+DATA[[#This Row],[IGV]],2),0)</f>
        <v>1091.26</v>
      </c>
      <c r="W1156" s="16" t="str">
        <f>IF(DATA[[#This Row],[VALORIZACIÓN ]]="-","NO CORRESPONDE",IF(OR(A1156=20558226979,A1156=10470707866,A1156=20111157058,A1156=20100226902),"NO CORRESPONDE",IF(J1156="Emitida",IF(P1156&gt;0,"EMITIDA","PENDIENTE"),"NO CORRESPONDE")))</f>
        <v>EMITIDA</v>
      </c>
      <c r="X1156" s="29"/>
      <c r="Y1156" s="17" t="s">
        <v>118</v>
      </c>
      <c r="Z1156" s="30">
        <v>45909</v>
      </c>
      <c r="AA1156" s="10" t="s">
        <v>150</v>
      </c>
      <c r="AB1156" s="19">
        <v>245</v>
      </c>
      <c r="AC1156" s="20">
        <v>30</v>
      </c>
      <c r="AD1156" s="18">
        <f>DATA[[#This Row],[FECHA DE EMISION]]+DATA[[#This Row],[CONDICION DE PAGO]]</f>
        <v>45939</v>
      </c>
      <c r="AE1156" s="23">
        <f>IF(DATA[[#This Row],[MONEDA]]="USD",VLOOKUP(DATA[[#This Row],[COMBINADA]],#REF!,11,0),1)</f>
        <v>1</v>
      </c>
      <c r="AF1156" s="129" t="str">
        <f>IF(DATA[[#This Row],[SERIE2]]="-","NO CORRESPONDE",IF(W1156="NO CORRESPONDE","NO CORRESPONDE",IF(Z1156&gt;0,"FACTURADO","PENDIENTE")))</f>
        <v>FACTURADO</v>
      </c>
      <c r="AG1156" s="133">
        <f>IFERROR(VLOOKUP(DATA[[#This Row],[COMBINADA]],#REF!,6,0),0)</f>
        <v>0</v>
      </c>
      <c r="AH1156" s="125">
        <f>IFERROR(VLOOKUP(DATA[[#This Row],[COMBINADA]],#REF!,9,0),0)/COUNTIFS(DATA[COMBINADA],DATA[[#This Row],[COMBINADA]])</f>
        <v>0</v>
      </c>
      <c r="AI1156" s="136">
        <f>IFERROR(VLOOKUP(DATA[[#This Row],[COMBINADA]],#REF!,6,0),0)</f>
        <v>0</v>
      </c>
      <c r="AJ1156" s="132">
        <f>IFERROR(VLOOKUP(DATA[[#This Row],[COMBINADA]],#REF!,9,0),0)/COUNTIFS(DATA[COMBINADA],DATA[[#This Row],[COMBINADA]])</f>
        <v>0</v>
      </c>
      <c r="AK1156" s="407">
        <f>IFERROR(VLOOKUP(DATA[[#This Row],[COMBINADA]],#REF!,6,0),0)</f>
        <v>0</v>
      </c>
      <c r="AL1156" s="125">
        <f>IFERROR(VLOOKUP(DATA[[#This Row],[COMBINADA]],#REF!,9,0),0)/COUNTIFS(DATA[COMBINADA],DATA[[#This Row],[COMBINADA]])</f>
        <v>0</v>
      </c>
      <c r="AM1156" s="27">
        <f>IFERROR(VLOOKUP(DATA[[#This Row],[COMBINADA]],#REF!,6,0),0)</f>
        <v>0</v>
      </c>
      <c r="AN1156" s="125">
        <f>IFERROR(VLOOKUP(DATA[[#This Row],[COMBINADA]],#REF!,9,0),0)/COUNTIFS(DATA[COMBINADA],DATA[[#This Row],[COMBINADA]])</f>
        <v>0</v>
      </c>
      <c r="AO1156" s="27">
        <f>IFERROR(VLOOKUP(DATA[[#This Row],[COMBINADA]],#REF!,6,0),0)</f>
        <v>0</v>
      </c>
      <c r="AP1156" s="132">
        <f>IFERROR(VLOOKUP(DATA[[#This Row],[COMBINADA]],#REF!,9,0),0)/COUNTIFS(DATA[COMBINADA],DATA[[#This Row],[COMBINADA]])</f>
        <v>0</v>
      </c>
      <c r="AQ115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1088.4325000000001</v>
      </c>
      <c r="AR1156" s="26" t="str">
        <f>IFERROR(IF(DATA[[#This Row],[estado_fact]]="FACTURADO",VLOOKUP(DATA[[#This Row],[SERIE2]]&amp;"-"&amp;DATA[[#This Row],[NUMERO]],#REF!,34,0),"NO CORRESPONDE"),"NO CORRESPONDE")</f>
        <v>NO CORRESPONDE</v>
      </c>
      <c r="AS1156" s="22" t="str">
        <f>IF(DATA[[#This Row],[fecha_fs]]&gt;0,TEXT(DATA[[#This Row],[fecha_fs]],"Mmmm"),0)</f>
        <v>Setiembre</v>
      </c>
      <c r="AT1156" s="22" t="str">
        <f>DATA[[#This Row],[SERIE2]]&amp;"-"&amp;DATA[[#This Row],[NUMERO]]</f>
        <v>FF01-245</v>
      </c>
      <c r="AU1156" s="28">
        <f>DATA[[#This Row],[TOTAL]]*DATA[[#This Row],[T.C.]]</f>
        <v>1091.26</v>
      </c>
      <c r="AV1156" s="6">
        <f>DATA[[#This Row],[FECHA DE VAL.]]</f>
        <v>45909</v>
      </c>
      <c r="AW1156" s="6">
        <f>DATA[[#This Row],[FECHA DE EMISION]]</f>
        <v>45909</v>
      </c>
      <c r="AX1156" s="6">
        <f>DATA[[#This Row],[F1]]</f>
        <v>0</v>
      </c>
      <c r="AY1156" s="20">
        <f>IF(AV1156-DATA[[#This Row],[fecha_fs]]&lt;0,0,AV1156-DATA[[#This Row],[fecha_fs]])</f>
        <v>1</v>
      </c>
      <c r="AZ1156" s="20">
        <f t="shared" si="243"/>
        <v>0</v>
      </c>
      <c r="BA1156" s="53">
        <f t="shared" si="244"/>
        <v>0</v>
      </c>
      <c r="BB1156" s="195">
        <f>IFERROR(SUM(DATA[[#This Row],[fs_val_ttf]:[fact_pago_ttf]]),0)</f>
        <v>1</v>
      </c>
      <c r="BC1156" s="233">
        <v>45908</v>
      </c>
      <c r="BD1156" s="233">
        <v>45911</v>
      </c>
      <c r="BE1156" s="377">
        <v>45931</v>
      </c>
      <c r="BF1156" s="233">
        <v>45939</v>
      </c>
      <c r="BG1156" s="20">
        <f>IFERROR(IF(BC1156-DATA[[#This Row],[fecha_fs]]&lt;0,0,BC1156-DATA[[#This Row],[fecha_fs]]),0)</f>
        <v>0</v>
      </c>
      <c r="BH1156" s="20">
        <f t="shared" si="245"/>
        <v>3</v>
      </c>
      <c r="BI1156" s="20">
        <f t="shared" si="246"/>
        <v>20</v>
      </c>
      <c r="BJ1156" s="20">
        <f t="shared" si="247"/>
        <v>8</v>
      </c>
      <c r="BK1156" s="282">
        <f>IFERROR(SUM(DATA[[#This Row],[fs_fd_ttd]:[fend_fenf_ttd]]),0)</f>
        <v>31</v>
      </c>
      <c r="BL1156" s="20" t="str">
        <f>IF(DATA[[#This Row],[fecha_fs]]&gt;0,TEXT(DATA[[#This Row],[fecha_fs]],"YYYY"),0)</f>
        <v>2025</v>
      </c>
      <c r="BM1156" s="236" t="b">
        <v>1</v>
      </c>
      <c r="BN1156" s="278">
        <f>COUNTIF(DATA[[#This Row],[tiempo_td]], "&lt;=15")</f>
        <v>0</v>
      </c>
      <c r="BO1156" s="222"/>
    </row>
    <row r="1157" spans="1:67" ht="30.6" customHeight="1" x14ac:dyDescent="0.25">
      <c r="A1157" s="4">
        <v>20549457879</v>
      </c>
      <c r="B1157" s="5" t="s">
        <v>320</v>
      </c>
      <c r="C1157" s="52" t="s">
        <v>321</v>
      </c>
      <c r="D1157" s="4" t="s">
        <v>120</v>
      </c>
      <c r="E1157" s="5" t="s">
        <v>3</v>
      </c>
      <c r="F1157" s="24">
        <v>45908</v>
      </c>
      <c r="G1157" s="7" t="s">
        <v>113</v>
      </c>
      <c r="H1157" s="25">
        <f t="shared" si="242"/>
        <v>1</v>
      </c>
      <c r="I1157" s="67">
        <v>4961</v>
      </c>
      <c r="J1157" s="8" t="s">
        <v>115</v>
      </c>
      <c r="K1157" s="9" t="s">
        <v>121</v>
      </c>
      <c r="L1157" s="10" t="s">
        <v>117</v>
      </c>
      <c r="M1157" s="11">
        <v>630</v>
      </c>
      <c r="N1157" s="12" t="s">
        <v>200</v>
      </c>
      <c r="O1157" s="6">
        <v>45909</v>
      </c>
      <c r="P1157" s="13">
        <v>3652</v>
      </c>
      <c r="Q1157" s="14" t="s">
        <v>85</v>
      </c>
      <c r="R1157" s="309">
        <v>963</v>
      </c>
      <c r="S1157" s="309"/>
      <c r="T1157" s="237">
        <f>DATA[[#This Row],[C. DF]]+DATA[[#This Row],[C.OPE.]]</f>
        <v>963</v>
      </c>
      <c r="U1157" s="15">
        <f>DATA[[#This Row],[SUB TOTAL]]*0.18</f>
        <v>173.34</v>
      </c>
      <c r="V1157" s="15">
        <f>IFERROR(ROUND(DATA[[#This Row],[SUB TOTAL]]+DATA[[#This Row],[IGV]],2),0)</f>
        <v>1136.3399999999999</v>
      </c>
      <c r="W1157" s="16" t="str">
        <f>IF(DATA[[#This Row],[VALORIZACIÓN ]]="-","NO CORRESPONDE",IF(OR(A1157=20558226979,A1157=10470707866,A1157=20111157058,A1157=20100226902),"NO CORRESPONDE",IF(J1157="Emitida",IF(P1157&gt;0,"EMITIDA","PENDIENTE"),"NO CORRESPONDE")))</f>
        <v>EMITIDA</v>
      </c>
      <c r="X1157" s="29"/>
      <c r="Y1157" s="17" t="s">
        <v>118</v>
      </c>
      <c r="Z1157" s="30">
        <v>45910</v>
      </c>
      <c r="AA1157" s="10" t="s">
        <v>150</v>
      </c>
      <c r="AB1157" s="19">
        <v>247</v>
      </c>
      <c r="AC1157" s="20">
        <v>15</v>
      </c>
      <c r="AD1157" s="18">
        <f>DATA[[#This Row],[FECHA DE EMISION]]+DATA[[#This Row],[CONDICION DE PAGO]]</f>
        <v>45925</v>
      </c>
      <c r="AE1157" s="23">
        <f>IF(DATA[[#This Row],[MONEDA]]="USD",VLOOKUP(DATA[[#This Row],[COMBINADA]],#REF!,11,0),1)</f>
        <v>1</v>
      </c>
      <c r="AF1157" s="129" t="str">
        <f>IF(DATA[[#This Row],[SERIE2]]="-","NO CORRESPONDE",IF(W1157="NO CORRESPONDE","NO CORRESPONDE",IF(Z1157&gt;0,"FACTURADO","PENDIENTE")))</f>
        <v>FACTURADO</v>
      </c>
      <c r="AG1157" s="133">
        <f>IFERROR(VLOOKUP(DATA[[#This Row],[COMBINADA]],#REF!,6,0),0)</f>
        <v>0</v>
      </c>
      <c r="AH1157" s="125">
        <f>IFERROR(VLOOKUP(DATA[[#This Row],[COMBINADA]],#REF!,9,0),0)/COUNTIFS(DATA[COMBINADA],DATA[[#This Row],[COMBINADA]])</f>
        <v>0</v>
      </c>
      <c r="AI1157" s="136">
        <f>IFERROR(VLOOKUP(DATA[[#This Row],[COMBINADA]],#REF!,6,0),0)</f>
        <v>0</v>
      </c>
      <c r="AJ1157" s="132">
        <f>IFERROR(VLOOKUP(DATA[[#This Row],[COMBINADA]],#REF!,9,0),0)/COUNTIFS(DATA[COMBINADA],DATA[[#This Row],[COMBINADA]])</f>
        <v>0</v>
      </c>
      <c r="AK1157" s="407">
        <f>IFERROR(VLOOKUP(DATA[[#This Row],[COMBINADA]],#REF!,6,0),0)</f>
        <v>0</v>
      </c>
      <c r="AL1157" s="125">
        <f>IFERROR(VLOOKUP(DATA[[#This Row],[COMBINADA]],#REF!,9,0),0)/COUNTIFS(DATA[COMBINADA],DATA[[#This Row],[COMBINADA]])</f>
        <v>0</v>
      </c>
      <c r="AM1157" s="27">
        <f>IFERROR(VLOOKUP(DATA[[#This Row],[COMBINADA]],#REF!,6,0),0)</f>
        <v>0</v>
      </c>
      <c r="AN1157" s="125">
        <f>IFERROR(VLOOKUP(DATA[[#This Row],[COMBINADA]],#REF!,9,0),0)/COUNTIFS(DATA[COMBINADA],DATA[[#This Row],[COMBINADA]])</f>
        <v>0</v>
      </c>
      <c r="AO1157" s="27">
        <f>IFERROR(VLOOKUP(DATA[[#This Row],[COMBINADA]],#REF!,6,0),0)</f>
        <v>0</v>
      </c>
      <c r="AP1157" s="132">
        <f>IFERROR(VLOOKUP(DATA[[#This Row],[COMBINADA]],#REF!,9,0),0)/COUNTIFS(DATA[COMBINADA],DATA[[#This Row],[COMBINADA]])</f>
        <v>0</v>
      </c>
      <c r="AQ115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1136.3399999999999</v>
      </c>
      <c r="AR1157" s="26" t="str">
        <f>IFERROR(IF(DATA[[#This Row],[estado_fact]]="FACTURADO",VLOOKUP(DATA[[#This Row],[SERIE2]]&amp;"-"&amp;DATA[[#This Row],[NUMERO]],#REF!,34,0),"NO CORRESPONDE"),"NO CORRESPONDE")</f>
        <v>NO CORRESPONDE</v>
      </c>
      <c r="AS1157" s="22" t="str">
        <f>IF(DATA[[#This Row],[fecha_fs]]&gt;0,TEXT(DATA[[#This Row],[fecha_fs]],"Mmmm"),0)</f>
        <v>Setiembre</v>
      </c>
      <c r="AT1157" s="22" t="str">
        <f>DATA[[#This Row],[SERIE2]]&amp;"-"&amp;DATA[[#This Row],[NUMERO]]</f>
        <v>FF01-247</v>
      </c>
      <c r="AU1157" s="28">
        <f>DATA[[#This Row],[TOTAL]]*DATA[[#This Row],[T.C.]]</f>
        <v>1136.3399999999999</v>
      </c>
      <c r="AV1157" s="6">
        <f>DATA[[#This Row],[FECHA DE VAL.]]</f>
        <v>45909</v>
      </c>
      <c r="AW1157" s="6">
        <f>DATA[[#This Row],[FECHA DE EMISION]]</f>
        <v>45910</v>
      </c>
      <c r="AX1157" s="6">
        <f>DATA[[#This Row],[F1]]</f>
        <v>0</v>
      </c>
      <c r="AY1157" s="20">
        <f>IF(AV1157-DATA[[#This Row],[fecha_fs]]&lt;0,0,AV1157-DATA[[#This Row],[fecha_fs]])</f>
        <v>1</v>
      </c>
      <c r="AZ1157" s="20">
        <f t="shared" si="243"/>
        <v>1</v>
      </c>
      <c r="BA1157" s="53">
        <f t="shared" si="244"/>
        <v>0</v>
      </c>
      <c r="BB1157" s="195">
        <f>IFERROR(SUM(DATA[[#This Row],[fs_val_ttf]:[fact_pago_ttf]]),0)</f>
        <v>2</v>
      </c>
      <c r="BC1157" s="234" t="s">
        <v>270</v>
      </c>
      <c r="BD1157" s="234" t="s">
        <v>270</v>
      </c>
      <c r="BE1157" s="234" t="s">
        <v>270</v>
      </c>
      <c r="BF1157" s="234" t="s">
        <v>270</v>
      </c>
      <c r="BG1157" s="20">
        <f>IFERROR(IF(BC1157-DATA[[#This Row],[fecha_fs]]&lt;0,0,BC1157-DATA[[#This Row],[fecha_fs]]),0)</f>
        <v>0</v>
      </c>
      <c r="BH1157" s="20">
        <f t="shared" si="245"/>
        <v>0</v>
      </c>
      <c r="BI1157" s="20">
        <f t="shared" si="246"/>
        <v>0</v>
      </c>
      <c r="BJ1157" s="20">
        <f t="shared" si="247"/>
        <v>0</v>
      </c>
      <c r="BK1157" s="282">
        <f>IFERROR(SUM(DATA[[#This Row],[fs_fd_ttd]:[fend_fenf_ttd]]),0)</f>
        <v>0</v>
      </c>
      <c r="BL1157" s="20" t="str">
        <f>IF(DATA[[#This Row],[fecha_fs]]&gt;0,TEXT(DATA[[#This Row],[fecha_fs]],"YYYY"),0)</f>
        <v>2025</v>
      </c>
      <c r="BM1157" s="236" t="b">
        <v>0</v>
      </c>
      <c r="BN1157" s="278">
        <f>COUNTIF(DATA[[#This Row],[tiempo_td]], "&lt;=15")</f>
        <v>1</v>
      </c>
      <c r="BO1157" s="222"/>
    </row>
    <row r="1158" spans="1:67" ht="30.6" customHeight="1" x14ac:dyDescent="0.25">
      <c r="A1158" s="4">
        <v>20100192064</v>
      </c>
      <c r="B1158" s="5" t="s">
        <v>60</v>
      </c>
      <c r="C1158" s="52" t="s">
        <v>43</v>
      </c>
      <c r="D1158" s="4" t="s">
        <v>120</v>
      </c>
      <c r="E1158" s="5" t="s">
        <v>3</v>
      </c>
      <c r="F1158" s="24">
        <v>45908</v>
      </c>
      <c r="G1158" s="7" t="s">
        <v>113</v>
      </c>
      <c r="H1158" s="25">
        <f t="shared" si="242"/>
        <v>1</v>
      </c>
      <c r="I1158" s="67">
        <v>4962</v>
      </c>
      <c r="J1158" s="8" t="s">
        <v>115</v>
      </c>
      <c r="K1158" s="9" t="s">
        <v>121</v>
      </c>
      <c r="L1158" s="10" t="s">
        <v>117</v>
      </c>
      <c r="M1158" s="11">
        <v>470</v>
      </c>
      <c r="N1158" s="12" t="s">
        <v>125</v>
      </c>
      <c r="O1158" s="6">
        <v>45926</v>
      </c>
      <c r="P1158" s="71">
        <v>3688</v>
      </c>
      <c r="Q1158" s="14" t="s">
        <v>123</v>
      </c>
      <c r="R1158" s="237">
        <f>(DATA[[#This Row],[cantidad_fs]]/1000)*(47+174.34)</f>
        <v>104.02979999999999</v>
      </c>
      <c r="S1158" s="237">
        <v>137</v>
      </c>
      <c r="T1158" s="237">
        <f>DATA[[#This Row],[C. DF]]+DATA[[#This Row],[C.OPE.]]</f>
        <v>241.02979999999999</v>
      </c>
      <c r="U1158" s="15">
        <f>DATA[[#This Row],[SUB TOTAL]]*0.18</f>
        <v>43.385363999999996</v>
      </c>
      <c r="V1158" s="15">
        <f>IFERROR(ROUND(DATA[[#This Row],[SUB TOTAL]]+DATA[[#This Row],[IGV]],2),0)</f>
        <v>284.42</v>
      </c>
      <c r="W1158" s="16" t="str">
        <f>IF(DATA[[#This Row],[VALORIZACIÓN ]]="-","NO CORRESPONDE",IF(OR(A1158=20558226979,A1158=10470707866,A1158=20111157058,A1158=20100226902),"NO CORRESPONDE",IF(J1158="Emitida",IF(P1158&gt;0,"EMITIDA","PENDIENTE"),"NO CORRESPONDE")))</f>
        <v>EMITIDA</v>
      </c>
      <c r="X1158" s="29"/>
      <c r="Y1158" s="17" t="s">
        <v>118</v>
      </c>
      <c r="Z1158" s="30">
        <v>45930</v>
      </c>
      <c r="AA1158" s="10" t="s">
        <v>349</v>
      </c>
      <c r="AB1158" s="19">
        <v>3</v>
      </c>
      <c r="AC1158" s="20">
        <v>30</v>
      </c>
      <c r="AD1158" s="18">
        <f>DATA[[#This Row],[FECHA DE EMISION]]+DATA[[#This Row],[CONDICION DE PAGO]]</f>
        <v>45960</v>
      </c>
      <c r="AE1158" s="23" t="e">
        <f>IF(DATA[[#This Row],[MONEDA]]="USD",VLOOKUP(DATA[[#This Row],[COMBINADA]],#REF!,11,0),1)</f>
        <v>#REF!</v>
      </c>
      <c r="AF1158" s="129" t="str">
        <f>IF(DATA[[#This Row],[SERIE2]]="-","NO CORRESPONDE",IF(W1158="NO CORRESPONDE","NO CORRESPONDE",IF(Z1158&gt;0,"FACTURADO","PENDIENTE")))</f>
        <v>FACTURADO</v>
      </c>
      <c r="AG1158" s="133">
        <f>IFERROR(VLOOKUP(DATA[[#This Row],[COMBINADA]],#REF!,6,0),0)</f>
        <v>0</v>
      </c>
      <c r="AH1158" s="125">
        <f>IFERROR(VLOOKUP(DATA[[#This Row],[COMBINADA]],#REF!,9,0),0)/COUNTIFS(DATA[COMBINADA],DATA[[#This Row],[COMBINADA]])</f>
        <v>0</v>
      </c>
      <c r="AI1158" s="136">
        <f>IFERROR(VLOOKUP(DATA[[#This Row],[COMBINADA]],#REF!,6,0),0)</f>
        <v>0</v>
      </c>
      <c r="AJ1158" s="132">
        <f>IFERROR(VLOOKUP(DATA[[#This Row],[COMBINADA]],#REF!,9,0),0)/COUNTIFS(DATA[COMBINADA],DATA[[#This Row],[COMBINADA]])</f>
        <v>0</v>
      </c>
      <c r="AK1158" s="407">
        <f>IFERROR(VLOOKUP(DATA[[#This Row],[COMBINADA]],#REF!,6,0),0)</f>
        <v>0</v>
      </c>
      <c r="AL1158" s="125">
        <f>IFERROR(VLOOKUP(DATA[[#This Row],[COMBINADA]],#REF!,9,0),0)/COUNTIFS(DATA[COMBINADA],DATA[[#This Row],[COMBINADA]])</f>
        <v>0</v>
      </c>
      <c r="AM1158" s="27">
        <f>IFERROR(VLOOKUP(DATA[[#This Row],[COMBINADA]],#REF!,6,0),0)</f>
        <v>0</v>
      </c>
      <c r="AN1158" s="125">
        <f>IFERROR(VLOOKUP(DATA[[#This Row],[COMBINADA]],#REF!,9,0),0)/COUNTIFS(DATA[COMBINADA],DATA[[#This Row],[COMBINADA]])</f>
        <v>0</v>
      </c>
      <c r="AO1158" s="27">
        <f>IFERROR(VLOOKUP(DATA[[#This Row],[COMBINADA]],#REF!,6,0),0)</f>
        <v>0</v>
      </c>
      <c r="AP1158" s="132">
        <f>IFERROR(VLOOKUP(DATA[[#This Row],[COMBINADA]],#REF!,9,0),0)/COUNTIFS(DATA[COMBINADA],DATA[[#This Row],[COMBINADA]])</f>
        <v>0</v>
      </c>
      <c r="AQ115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542.36833333333334</v>
      </c>
      <c r="AR1158" s="26" t="str">
        <f>IFERROR(IF(DATA[[#This Row],[estado_fact]]="FACTURADO",VLOOKUP(DATA[[#This Row],[SERIE2]]&amp;"-"&amp;DATA[[#This Row],[NUMERO]],#REF!,34,0),"NO CORRESPONDE"),"NO CORRESPONDE")</f>
        <v>NO CORRESPONDE</v>
      </c>
      <c r="AS1158" s="22" t="str">
        <f>IF(DATA[[#This Row],[fecha_fs]]&gt;0,TEXT(DATA[[#This Row],[fecha_fs]],"Mmmm"),0)</f>
        <v>Setiembre</v>
      </c>
      <c r="AT1158" s="22" t="str">
        <f>DATA[[#This Row],[SERIE2]]&amp;"-"&amp;DATA[[#This Row],[NUMERO]]</f>
        <v>FF04-3</v>
      </c>
      <c r="AU1158" s="28" t="e">
        <f>DATA[[#This Row],[TOTAL]]*DATA[[#This Row],[T.C.]]</f>
        <v>#REF!</v>
      </c>
      <c r="AV1158" s="6">
        <f>DATA[[#This Row],[FECHA DE VAL.]]</f>
        <v>45926</v>
      </c>
      <c r="AW1158" s="6">
        <f>DATA[[#This Row],[FECHA DE EMISION]]</f>
        <v>45930</v>
      </c>
      <c r="AX1158" s="6">
        <f>DATA[[#This Row],[F1]]</f>
        <v>0</v>
      </c>
      <c r="AY1158" s="20">
        <f>IF(AV1158-DATA[[#This Row],[fecha_fs]]&lt;0,0,AV1158-DATA[[#This Row],[fecha_fs]])</f>
        <v>18</v>
      </c>
      <c r="AZ1158" s="20">
        <f t="shared" si="243"/>
        <v>4</v>
      </c>
      <c r="BA1158" s="53">
        <f t="shared" si="244"/>
        <v>0</v>
      </c>
      <c r="BB1158" s="195">
        <f>IFERROR(SUM(DATA[[#This Row],[fs_val_ttf]:[fact_pago_ttf]]),0)</f>
        <v>22</v>
      </c>
      <c r="BC1158" s="233">
        <v>45915</v>
      </c>
      <c r="BD1158" s="233">
        <v>45932</v>
      </c>
      <c r="BE1158" s="233">
        <v>45933</v>
      </c>
      <c r="BF1158" s="233">
        <v>45945</v>
      </c>
      <c r="BG1158" s="20">
        <f>IFERROR(IF(BC1158-DATA[[#This Row],[fecha_fs]]&lt;0,0,BC1158-DATA[[#This Row],[fecha_fs]]),0)</f>
        <v>7</v>
      </c>
      <c r="BH1158" s="20">
        <f t="shared" si="245"/>
        <v>17</v>
      </c>
      <c r="BI1158" s="20">
        <f t="shared" si="246"/>
        <v>1</v>
      </c>
      <c r="BJ1158" s="20">
        <f t="shared" si="247"/>
        <v>12</v>
      </c>
      <c r="BK1158" s="282">
        <f>IFERROR(SUM(DATA[[#This Row],[fs_fd_ttd]:[fend_fenf_ttd]]),0)</f>
        <v>37</v>
      </c>
      <c r="BL1158" s="20" t="str">
        <f>IF(DATA[[#This Row],[fecha_fs]]&gt;0,TEXT(DATA[[#This Row],[fecha_fs]],"YYYY"),0)</f>
        <v>2025</v>
      </c>
      <c r="BM1158" s="236" t="b">
        <v>1</v>
      </c>
      <c r="BN1158" s="278">
        <f>COUNTIF(DATA[[#This Row],[tiempo_td]], "&lt;=15")</f>
        <v>0</v>
      </c>
      <c r="BO1158" s="222"/>
    </row>
    <row r="1159" spans="1:67" ht="30.6" customHeight="1" x14ac:dyDescent="0.25">
      <c r="A1159" s="4">
        <v>20100055237</v>
      </c>
      <c r="B1159" s="5" t="s">
        <v>21</v>
      </c>
      <c r="C1159" s="52" t="s">
        <v>138</v>
      </c>
      <c r="D1159" s="4" t="s">
        <v>139</v>
      </c>
      <c r="E1159" s="5" t="s">
        <v>23</v>
      </c>
      <c r="F1159" s="24">
        <v>45909</v>
      </c>
      <c r="G1159" s="7" t="s">
        <v>113</v>
      </c>
      <c r="H1159" s="25">
        <f t="shared" si="242"/>
        <v>1</v>
      </c>
      <c r="I1159" s="67">
        <v>4963</v>
      </c>
      <c r="J1159" s="8" t="s">
        <v>115</v>
      </c>
      <c r="K1159" s="9" t="s">
        <v>121</v>
      </c>
      <c r="L1159" s="10" t="s">
        <v>117</v>
      </c>
      <c r="M1159" s="11">
        <v>170</v>
      </c>
      <c r="N1159" s="12" t="s">
        <v>132</v>
      </c>
      <c r="O1159" s="6">
        <v>45930</v>
      </c>
      <c r="P1159" s="54">
        <v>3707</v>
      </c>
      <c r="Q1159" s="14" t="s">
        <v>85</v>
      </c>
      <c r="R1159" s="309"/>
      <c r="S1159" s="15">
        <v>297.92</v>
      </c>
      <c r="T1159" s="237">
        <f>DATA[[#This Row],[C. DF]]+DATA[[#This Row],[C.OPE.]]</f>
        <v>297.92</v>
      </c>
      <c r="U1159" s="15">
        <f>DATA[[#This Row],[SUB TOTAL]]*0.18</f>
        <v>53.625599999999999</v>
      </c>
      <c r="V1159" s="15">
        <f>IFERROR(ROUND(DATA[[#This Row],[SUB TOTAL]]+DATA[[#This Row],[IGV]],2),0)</f>
        <v>351.55</v>
      </c>
      <c r="W1159" s="16" t="str">
        <f>IF(DATA[[#This Row],[VALORIZACIÓN ]]="-","NO CORRESPONDE",IF(OR(A1159=20558226979,A1159=10470707866,A1159=20111157058,A1159=20100226902),"NO CORRESPONDE",IF(J1159="Emitida",IF(P1159&gt;0,"EMITIDA","PENDIENTE"),"NO CORRESPONDE")))</f>
        <v>EMITIDA</v>
      </c>
      <c r="X1159" s="29"/>
      <c r="Y1159" s="17" t="s">
        <v>118</v>
      </c>
      <c r="Z1159" s="30">
        <v>45940</v>
      </c>
      <c r="AA1159" s="10" t="s">
        <v>150</v>
      </c>
      <c r="AB1159" s="19">
        <v>286</v>
      </c>
      <c r="AC1159" s="20">
        <v>30</v>
      </c>
      <c r="AD1159" s="18">
        <f>DATA[[#This Row],[FECHA DE EMISION]]+DATA[[#This Row],[CONDICION DE PAGO]]</f>
        <v>45970</v>
      </c>
      <c r="AE1159" s="23">
        <f>IF(DATA[[#This Row],[MONEDA]]="USD",VLOOKUP(DATA[[#This Row],[COMBINADA]],#REF!,11,0),1)</f>
        <v>1</v>
      </c>
      <c r="AF1159" s="129" t="str">
        <f>IF(DATA[[#This Row],[SERIE2]]="-","NO CORRESPONDE",IF(W1159="NO CORRESPONDE","NO CORRESPONDE",IF(Z1159&gt;0,"FACTURADO","PENDIENTE")))</f>
        <v>FACTURADO</v>
      </c>
      <c r="AG1159" s="133">
        <f>IFERROR(VLOOKUP(DATA[[#This Row],[COMBINADA]],#REF!,6,0),0)</f>
        <v>0</v>
      </c>
      <c r="AH1159" s="125">
        <f>IFERROR(VLOOKUP(DATA[[#This Row],[COMBINADA]],#REF!,9,0),0)/COUNTIFS(DATA[COMBINADA],DATA[[#This Row],[COMBINADA]])</f>
        <v>0</v>
      </c>
      <c r="AI1159" s="136">
        <f>IFERROR(VLOOKUP(DATA[[#This Row],[COMBINADA]],#REF!,6,0),0)</f>
        <v>0</v>
      </c>
      <c r="AJ1159" s="132">
        <f>IFERROR(VLOOKUP(DATA[[#This Row],[COMBINADA]],#REF!,9,0),0)/COUNTIFS(DATA[COMBINADA],DATA[[#This Row],[COMBINADA]])</f>
        <v>0</v>
      </c>
      <c r="AK1159" s="407">
        <f>IFERROR(VLOOKUP(DATA[[#This Row],[COMBINADA]],#REF!,6,0),0)</f>
        <v>0</v>
      </c>
      <c r="AL1159" s="125">
        <f>IFERROR(VLOOKUP(DATA[[#This Row],[COMBINADA]],#REF!,9,0),0)/COUNTIFS(DATA[COMBINADA],DATA[[#This Row],[COMBINADA]])</f>
        <v>0</v>
      </c>
      <c r="AM1159" s="27">
        <f>IFERROR(VLOOKUP(DATA[[#This Row],[COMBINADA]],#REF!,6,0),0)</f>
        <v>0</v>
      </c>
      <c r="AN1159" s="125">
        <f>IFERROR(VLOOKUP(DATA[[#This Row],[COMBINADA]],#REF!,9,0),0)/COUNTIFS(DATA[COMBINADA],DATA[[#This Row],[COMBINADA]])</f>
        <v>0</v>
      </c>
      <c r="AO1159" s="27">
        <f>IFERROR(VLOOKUP(DATA[[#This Row],[COMBINADA]],#REF!,6,0),0)</f>
        <v>0</v>
      </c>
      <c r="AP1159" s="132">
        <f>IFERROR(VLOOKUP(DATA[[#This Row],[COMBINADA]],#REF!,9,0),0)/COUNTIFS(DATA[COMBINADA],DATA[[#This Row],[COMBINADA]])</f>
        <v>0</v>
      </c>
      <c r="AQ115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159" s="26" t="str">
        <f>IFERROR(IF(DATA[[#This Row],[estado_fact]]="FACTURADO",VLOOKUP(DATA[[#This Row],[SERIE2]]&amp;"-"&amp;DATA[[#This Row],[NUMERO]],#REF!,34,0),"NO CORRESPONDE"),"NO CORRESPONDE")</f>
        <v>NO CORRESPONDE</v>
      </c>
      <c r="AS1159" s="22" t="str">
        <f>IF(DATA[[#This Row],[fecha_fs]]&gt;0,TEXT(DATA[[#This Row],[fecha_fs]],"Mmmm"),0)</f>
        <v>Setiembre</v>
      </c>
      <c r="AT1159" s="22" t="str">
        <f>DATA[[#This Row],[SERIE2]]&amp;"-"&amp;DATA[[#This Row],[NUMERO]]</f>
        <v>FF01-286</v>
      </c>
      <c r="AU1159" s="28">
        <f>DATA[[#This Row],[TOTAL]]*DATA[[#This Row],[T.C.]]</f>
        <v>351.55</v>
      </c>
      <c r="AV1159" s="6">
        <f>DATA[[#This Row],[FECHA DE VAL.]]</f>
        <v>45930</v>
      </c>
      <c r="AW1159" s="6">
        <f>DATA[[#This Row],[FECHA DE EMISION]]</f>
        <v>45940</v>
      </c>
      <c r="AX1159" s="6">
        <f>DATA[[#This Row],[F1]]</f>
        <v>0</v>
      </c>
      <c r="AY1159" s="20">
        <f>IF(AV1159-DATA[[#This Row],[fecha_fs]]&lt;0,0,AV1159-DATA[[#This Row],[fecha_fs]])</f>
        <v>21</v>
      </c>
      <c r="AZ1159" s="20">
        <f t="shared" si="243"/>
        <v>10</v>
      </c>
      <c r="BA1159" s="53">
        <f t="shared" si="244"/>
        <v>0</v>
      </c>
      <c r="BB1159" s="195">
        <f>IFERROR(SUM(DATA[[#This Row],[fs_val_ttf]:[fact_pago_ttf]]),0)</f>
        <v>31</v>
      </c>
      <c r="BC1159" s="233">
        <v>45909</v>
      </c>
      <c r="BD1159" s="233">
        <v>45909</v>
      </c>
      <c r="BE1159" s="233">
        <v>45932</v>
      </c>
      <c r="BF1159" s="233">
        <v>45932</v>
      </c>
      <c r="BG1159" s="20">
        <f>IFERROR(IF(BC1159-DATA[[#This Row],[fecha_fs]]&lt;0,0,BC1159-DATA[[#This Row],[fecha_fs]]),0)</f>
        <v>0</v>
      </c>
      <c r="BH1159" s="20">
        <f t="shared" si="245"/>
        <v>0</v>
      </c>
      <c r="BI1159" s="20">
        <f t="shared" si="246"/>
        <v>23</v>
      </c>
      <c r="BJ1159" s="20">
        <f t="shared" si="247"/>
        <v>0</v>
      </c>
      <c r="BK1159" s="282">
        <f>IFERROR(SUM(DATA[[#This Row],[fs_fd_ttd]:[fend_fenf_ttd]]),0)</f>
        <v>23</v>
      </c>
      <c r="BL1159" s="20" t="str">
        <f>IF(DATA[[#This Row],[fecha_fs]]&gt;0,TEXT(DATA[[#This Row],[fecha_fs]],"YYYY"),0)</f>
        <v>2025</v>
      </c>
      <c r="BM1159" s="236" t="b">
        <v>1</v>
      </c>
      <c r="BN1159" s="278">
        <f>COUNTIF(DATA[[#This Row],[tiempo_td]], "&lt;=15")</f>
        <v>0</v>
      </c>
      <c r="BO1159" s="222"/>
    </row>
    <row r="1160" spans="1:67" ht="30.6" customHeight="1" x14ac:dyDescent="0.25">
      <c r="A1160" s="4">
        <v>20454186002</v>
      </c>
      <c r="B1160" s="5" t="s">
        <v>25</v>
      </c>
      <c r="C1160" s="52" t="s">
        <v>18</v>
      </c>
      <c r="D1160" s="4" t="s">
        <v>120</v>
      </c>
      <c r="E1160" s="5" t="s">
        <v>3</v>
      </c>
      <c r="F1160" s="24">
        <v>45908</v>
      </c>
      <c r="G1160" s="7" t="s">
        <v>113</v>
      </c>
      <c r="H1160" s="25">
        <f t="shared" si="242"/>
        <v>1</v>
      </c>
      <c r="I1160" s="67">
        <v>4964</v>
      </c>
      <c r="J1160" s="8" t="s">
        <v>115</v>
      </c>
      <c r="K1160" s="9" t="s">
        <v>121</v>
      </c>
      <c r="L1160" s="10" t="s">
        <v>117</v>
      </c>
      <c r="M1160" s="11">
        <v>3680</v>
      </c>
      <c r="N1160" s="12" t="s">
        <v>135</v>
      </c>
      <c r="O1160" s="6">
        <v>45909</v>
      </c>
      <c r="P1160" s="13">
        <v>3650</v>
      </c>
      <c r="Q1160" s="14" t="s">
        <v>85</v>
      </c>
      <c r="R1160" s="15">
        <f>1485.02+((DATA[[#This Row],[cantidad_fs]]-3000)*0.49)</f>
        <v>1818.22</v>
      </c>
      <c r="S1160" s="309"/>
      <c r="T1160" s="237">
        <f>DATA[[#This Row],[C. DF]]+DATA[[#This Row],[C.OPE.]]</f>
        <v>1818.22</v>
      </c>
      <c r="U1160" s="15">
        <f>DATA[[#This Row],[SUB TOTAL]]*0.18</f>
        <v>327.27960000000002</v>
      </c>
      <c r="V1160" s="15">
        <f>IFERROR(ROUND(DATA[[#This Row],[SUB TOTAL]]+DATA[[#This Row],[IGV]],2),0)</f>
        <v>2145.5</v>
      </c>
      <c r="W1160" s="16" t="str">
        <f>IF(DATA[[#This Row],[VALORIZACIÓN ]]="-","NO CORRESPONDE",IF(OR(A1160=20558226979,A1160=10470707866,A1160=20111157058,A1160=20100226902),"NO CORRESPONDE",IF(J1160="Emitida",IF(P1160&gt;0,"EMITIDA","PENDIENTE"),"NO CORRESPONDE")))</f>
        <v>EMITIDA</v>
      </c>
      <c r="X1160" s="29"/>
      <c r="Y1160" s="17" t="s">
        <v>118</v>
      </c>
      <c r="Z1160" s="30">
        <v>45910</v>
      </c>
      <c r="AA1160" s="10" t="s">
        <v>150</v>
      </c>
      <c r="AB1160" s="19">
        <v>246</v>
      </c>
      <c r="AC1160" s="20">
        <v>7</v>
      </c>
      <c r="AD1160" s="18">
        <f>DATA[[#This Row],[FECHA DE EMISION]]+DATA[[#This Row],[CONDICION DE PAGO]]</f>
        <v>45917</v>
      </c>
      <c r="AE1160" s="23">
        <f>IF(DATA[[#This Row],[MONEDA]]="USD",VLOOKUP(DATA[[#This Row],[COMBINADA]],#REF!,11,0),1)</f>
        <v>1</v>
      </c>
      <c r="AF1160" s="129" t="str">
        <f>IF(DATA[[#This Row],[SERIE2]]="-","NO CORRESPONDE",IF(W1160="NO CORRESPONDE","NO CORRESPONDE",IF(Z1160&gt;0,"FACTURADO","PENDIENTE")))</f>
        <v>FACTURADO</v>
      </c>
      <c r="AG1160" s="133">
        <f>IFERROR(VLOOKUP(DATA[[#This Row],[COMBINADA]],#REF!,6,0),0)</f>
        <v>0</v>
      </c>
      <c r="AH1160" s="125">
        <f>IFERROR(VLOOKUP(DATA[[#This Row],[COMBINADA]],#REF!,9,0),0)/COUNTIFS(DATA[COMBINADA],DATA[[#This Row],[COMBINADA]])</f>
        <v>0</v>
      </c>
      <c r="AI1160" s="136">
        <f>IFERROR(VLOOKUP(DATA[[#This Row],[COMBINADA]],#REF!,6,0),0)</f>
        <v>0</v>
      </c>
      <c r="AJ1160" s="132">
        <f>IFERROR(VLOOKUP(DATA[[#This Row],[COMBINADA]],#REF!,9,0),0)/COUNTIFS(DATA[COMBINADA],DATA[[#This Row],[COMBINADA]])</f>
        <v>0</v>
      </c>
      <c r="AK1160" s="407">
        <f>IFERROR(VLOOKUP(DATA[[#This Row],[COMBINADA]],#REF!,6,0),0)</f>
        <v>0</v>
      </c>
      <c r="AL1160" s="125">
        <f>IFERROR(VLOOKUP(DATA[[#This Row],[COMBINADA]],#REF!,9,0),0)/COUNTIFS(DATA[COMBINADA],DATA[[#This Row],[COMBINADA]])</f>
        <v>0</v>
      </c>
      <c r="AM1160" s="27">
        <f>IFERROR(VLOOKUP(DATA[[#This Row],[COMBINADA]],#REF!,6,0),0)</f>
        <v>0</v>
      </c>
      <c r="AN1160" s="125">
        <f>IFERROR(VLOOKUP(DATA[[#This Row],[COMBINADA]],#REF!,9,0),0)/COUNTIFS(DATA[COMBINADA],DATA[[#This Row],[COMBINADA]])</f>
        <v>0</v>
      </c>
      <c r="AO1160" s="27">
        <f>IFERROR(VLOOKUP(DATA[[#This Row],[COMBINADA]],#REF!,6,0),0)</f>
        <v>0</v>
      </c>
      <c r="AP1160" s="132">
        <f>IFERROR(VLOOKUP(DATA[[#This Row],[COMBINADA]],#REF!,9,0),0)/COUNTIFS(DATA[COMBINADA],DATA[[#This Row],[COMBINADA]])</f>
        <v>0</v>
      </c>
      <c r="AQ116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2145.5</v>
      </c>
      <c r="AR1160" s="26" t="str">
        <f>IFERROR(IF(DATA[[#This Row],[estado_fact]]="FACTURADO",VLOOKUP(DATA[[#This Row],[SERIE2]]&amp;"-"&amp;DATA[[#This Row],[NUMERO]],#REF!,34,0),"NO CORRESPONDE"),"NO CORRESPONDE")</f>
        <v>NO CORRESPONDE</v>
      </c>
      <c r="AS1160" s="22" t="str">
        <f>IF(DATA[[#This Row],[fecha_fs]]&gt;0,TEXT(DATA[[#This Row],[fecha_fs]],"Mmmm"),0)</f>
        <v>Setiembre</v>
      </c>
      <c r="AT1160" s="22" t="str">
        <f>DATA[[#This Row],[SERIE2]]&amp;"-"&amp;DATA[[#This Row],[NUMERO]]</f>
        <v>FF01-246</v>
      </c>
      <c r="AU1160" s="28">
        <f>DATA[[#This Row],[TOTAL]]*DATA[[#This Row],[T.C.]]</f>
        <v>2145.5</v>
      </c>
      <c r="AV1160" s="6">
        <f>DATA[[#This Row],[FECHA DE VAL.]]</f>
        <v>45909</v>
      </c>
      <c r="AW1160" s="6">
        <f>DATA[[#This Row],[FECHA DE EMISION]]</f>
        <v>45910</v>
      </c>
      <c r="AX1160" s="6">
        <f>DATA[[#This Row],[F1]]</f>
        <v>0</v>
      </c>
      <c r="AY1160" s="20">
        <f>IF(AV1160-DATA[[#This Row],[fecha_fs]]&lt;0,0,AV1160-DATA[[#This Row],[fecha_fs]])</f>
        <v>1</v>
      </c>
      <c r="AZ1160" s="20">
        <f t="shared" si="243"/>
        <v>1</v>
      </c>
      <c r="BA1160" s="53">
        <f t="shared" si="244"/>
        <v>0</v>
      </c>
      <c r="BB1160" s="195">
        <f>IFERROR(SUM(DATA[[#This Row],[fs_val_ttf]:[fact_pago_ttf]]),0)</f>
        <v>2</v>
      </c>
      <c r="BC1160" s="233">
        <v>45909</v>
      </c>
      <c r="BD1160" s="233">
        <v>45911</v>
      </c>
      <c r="BE1160" s="233">
        <v>45933</v>
      </c>
      <c r="BF1160" s="233">
        <v>45939</v>
      </c>
      <c r="BG1160" s="20">
        <f>IFERROR(IF(BC1160-DATA[[#This Row],[fecha_fs]]&lt;0,0,BC1160-DATA[[#This Row],[fecha_fs]]),0)</f>
        <v>1</v>
      </c>
      <c r="BH1160" s="20">
        <f t="shared" si="245"/>
        <v>2</v>
      </c>
      <c r="BI1160" s="20">
        <f t="shared" si="246"/>
        <v>22</v>
      </c>
      <c r="BJ1160" s="20">
        <f t="shared" si="247"/>
        <v>6</v>
      </c>
      <c r="BK1160" s="282">
        <f>IFERROR(SUM(DATA[[#This Row],[fs_fd_ttd]:[fend_fenf_ttd]]),0)</f>
        <v>31</v>
      </c>
      <c r="BL1160" s="20" t="str">
        <f>IF(DATA[[#This Row],[fecha_fs]]&gt;0,TEXT(DATA[[#This Row],[fecha_fs]],"YYYY"),0)</f>
        <v>2025</v>
      </c>
      <c r="BM1160" s="236" t="b">
        <v>1</v>
      </c>
      <c r="BN1160" s="278">
        <f>COUNTIF(DATA[[#This Row],[tiempo_td]], "&lt;=15")</f>
        <v>0</v>
      </c>
      <c r="BO1160" s="222"/>
    </row>
    <row r="1161" spans="1:67" ht="30.6" customHeight="1" x14ac:dyDescent="0.25">
      <c r="A1161" s="4">
        <v>20419158462</v>
      </c>
      <c r="B1161" s="5" t="s">
        <v>2</v>
      </c>
      <c r="C1161" s="52" t="s">
        <v>11</v>
      </c>
      <c r="D1161" s="4" t="s">
        <v>120</v>
      </c>
      <c r="E1161" s="5" t="s">
        <v>3</v>
      </c>
      <c r="F1161" s="24">
        <v>45909</v>
      </c>
      <c r="G1161" s="7" t="s">
        <v>113</v>
      </c>
      <c r="H1161" s="25">
        <f t="shared" si="242"/>
        <v>1</v>
      </c>
      <c r="I1161" s="67">
        <v>4965</v>
      </c>
      <c r="J1161" s="8" t="s">
        <v>115</v>
      </c>
      <c r="K1161" s="9" t="s">
        <v>156</v>
      </c>
      <c r="L1161" s="10" t="s">
        <v>117</v>
      </c>
      <c r="M1161" s="11">
        <v>300</v>
      </c>
      <c r="N1161" s="12" t="s">
        <v>132</v>
      </c>
      <c r="O1161" s="6">
        <v>45910</v>
      </c>
      <c r="P1161" s="13">
        <v>3653</v>
      </c>
      <c r="Q1161" s="14" t="s">
        <v>85</v>
      </c>
      <c r="R1161" s="309"/>
      <c r="S1161" s="15">
        <f>1429.7/3</f>
        <v>476.56666666666666</v>
      </c>
      <c r="T1161" s="237">
        <f>DATA[[#This Row],[C. DF]]+DATA[[#This Row],[C.OPE.]]</f>
        <v>476.56666666666666</v>
      </c>
      <c r="U1161" s="15">
        <f>DATA[[#This Row],[SUB TOTAL]]*0.18</f>
        <v>85.781999999999996</v>
      </c>
      <c r="V1161" s="15">
        <f>IFERROR(ROUND(DATA[[#This Row],[SUB TOTAL]]+DATA[[#This Row],[IGV]],2),0)</f>
        <v>562.35</v>
      </c>
      <c r="W1161" s="16" t="str">
        <f>IF(DATA[[#This Row],[VALORIZACIÓN ]]="-","NO CORRESPONDE",IF(OR(A1161=20558226979,A1161=10470707866,A1161=20111157058,A1161=20100226902),"NO CORRESPONDE",IF(J1161="Emitida",IF(P1161&gt;0,"EMITIDA","PENDIENTE"),"NO CORRESPONDE")))</f>
        <v>EMITIDA</v>
      </c>
      <c r="X1161" s="29"/>
      <c r="Y1161" s="17" t="s">
        <v>118</v>
      </c>
      <c r="Z1161" s="30">
        <v>45965</v>
      </c>
      <c r="AA1161" s="10" t="s">
        <v>150</v>
      </c>
      <c r="AB1161" s="19">
        <v>325</v>
      </c>
      <c r="AC1161" s="20">
        <v>2</v>
      </c>
      <c r="AD1161" s="18">
        <f>DATA[[#This Row],[FECHA DE EMISION]]+DATA[[#This Row],[CONDICION DE PAGO]]</f>
        <v>45967</v>
      </c>
      <c r="AE1161" s="23">
        <f>IF(DATA[[#This Row],[MONEDA]]="USD",VLOOKUP(DATA[[#This Row],[COMBINADA]],#REF!,11,0),1)</f>
        <v>1</v>
      </c>
      <c r="AF1161" s="129" t="str">
        <f>IF(DATA[[#This Row],[SERIE2]]="-","NO CORRESPONDE",IF(W1161="NO CORRESPONDE","NO CORRESPONDE",IF(Z1161&gt;0,"FACTURADO","PENDIENTE")))</f>
        <v>FACTURADO</v>
      </c>
      <c r="AG1161" s="133">
        <f>IFERROR(VLOOKUP(DATA[[#This Row],[COMBINADA]],#REF!,6,0),0)</f>
        <v>0</v>
      </c>
      <c r="AH1161" s="125">
        <f>IFERROR(VLOOKUP(DATA[[#This Row],[COMBINADA]],#REF!,9,0),0)/COUNTIFS(DATA[COMBINADA],DATA[[#This Row],[COMBINADA]])</f>
        <v>0</v>
      </c>
      <c r="AI1161" s="136">
        <f>IFERROR(VLOOKUP(DATA[[#This Row],[COMBINADA]],#REF!,6,0),0)</f>
        <v>0</v>
      </c>
      <c r="AJ1161" s="132">
        <f>IFERROR(VLOOKUP(DATA[[#This Row],[COMBINADA]],#REF!,9,0),0)/COUNTIFS(DATA[COMBINADA],DATA[[#This Row],[COMBINADA]])</f>
        <v>0</v>
      </c>
      <c r="AK1161" s="407">
        <f>IFERROR(VLOOKUP(DATA[[#This Row],[COMBINADA]],#REF!,6,0),0)</f>
        <v>0</v>
      </c>
      <c r="AL1161" s="125">
        <f>IFERROR(VLOOKUP(DATA[[#This Row],[COMBINADA]],#REF!,9,0),0)/COUNTIFS(DATA[COMBINADA],DATA[[#This Row],[COMBINADA]])</f>
        <v>0</v>
      </c>
      <c r="AM1161" s="27">
        <f>IFERROR(VLOOKUP(DATA[[#This Row],[COMBINADA]],#REF!,6,0),0)</f>
        <v>0</v>
      </c>
      <c r="AN1161" s="125">
        <f>IFERROR(VLOOKUP(DATA[[#This Row],[COMBINADA]],#REF!,9,0),0)/COUNTIFS(DATA[COMBINADA],DATA[[#This Row],[COMBINADA]])</f>
        <v>0</v>
      </c>
      <c r="AO1161" s="27">
        <f>IFERROR(VLOOKUP(DATA[[#This Row],[COMBINADA]],#REF!,6,0),0)</f>
        <v>0</v>
      </c>
      <c r="AP1161" s="132">
        <f>IFERROR(VLOOKUP(DATA[[#This Row],[COMBINADA]],#REF!,9,0),0)/COUNTIFS(DATA[COMBINADA],DATA[[#This Row],[COMBINADA]])</f>
        <v>0</v>
      </c>
      <c r="AQ116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562.35</v>
      </c>
      <c r="AR1161" s="26" t="str">
        <f>IFERROR(IF(DATA[[#This Row],[estado_fact]]="FACTURADO",VLOOKUP(DATA[[#This Row],[SERIE2]]&amp;"-"&amp;DATA[[#This Row],[NUMERO]],#REF!,34,0),"NO CORRESPONDE"),"NO CORRESPONDE")</f>
        <v>NO CORRESPONDE</v>
      </c>
      <c r="AS1161" s="22" t="str">
        <f>IF(DATA[[#This Row],[fecha_fs]]&gt;0,TEXT(DATA[[#This Row],[fecha_fs]],"Mmmm"),0)</f>
        <v>Setiembre</v>
      </c>
      <c r="AT1161" s="22" t="str">
        <f>DATA[[#This Row],[SERIE2]]&amp;"-"&amp;DATA[[#This Row],[NUMERO]]</f>
        <v>FF01-325</v>
      </c>
      <c r="AU1161" s="28">
        <f>DATA[[#This Row],[TOTAL]]*DATA[[#This Row],[T.C.]]</f>
        <v>562.35</v>
      </c>
      <c r="AV1161" s="6">
        <f>DATA[[#This Row],[FECHA DE VAL.]]</f>
        <v>45910</v>
      </c>
      <c r="AW1161" s="6">
        <f>DATA[[#This Row],[FECHA DE EMISION]]</f>
        <v>45965</v>
      </c>
      <c r="AX1161" s="6">
        <f>DATA[[#This Row],[F1]]</f>
        <v>0</v>
      </c>
      <c r="AY1161" s="20">
        <f>IF(AV1161-DATA[[#This Row],[fecha_fs]]&lt;0,0,AV1161-DATA[[#This Row],[fecha_fs]])</f>
        <v>1</v>
      </c>
      <c r="AZ1161" s="20">
        <f t="shared" si="243"/>
        <v>55</v>
      </c>
      <c r="BA1161" s="53">
        <f t="shared" si="244"/>
        <v>0</v>
      </c>
      <c r="BB1161" s="195">
        <f>IFERROR(SUM(DATA[[#This Row],[fs_val_ttf]:[fact_pago_ttf]]),0)</f>
        <v>56</v>
      </c>
      <c r="BC1161" s="233">
        <v>45909</v>
      </c>
      <c r="BD1161" s="233">
        <v>45909</v>
      </c>
      <c r="BE1161" s="233">
        <v>45916</v>
      </c>
      <c r="BF1161" s="233">
        <v>45916</v>
      </c>
      <c r="BG1161" s="20">
        <f>IFERROR(IF(BC1161-DATA[[#This Row],[fecha_fs]]&lt;0,0,BC1161-DATA[[#This Row],[fecha_fs]]),0)</f>
        <v>0</v>
      </c>
      <c r="BH1161" s="20">
        <f t="shared" si="245"/>
        <v>0</v>
      </c>
      <c r="BI1161" s="20">
        <f t="shared" si="246"/>
        <v>7</v>
      </c>
      <c r="BJ1161" s="20">
        <f t="shared" si="247"/>
        <v>0</v>
      </c>
      <c r="BK1161" s="282">
        <f>IFERROR(SUM(DATA[[#This Row],[fs_fd_ttd]:[fend_fenf_ttd]]),0)</f>
        <v>7</v>
      </c>
      <c r="BL1161" s="20" t="str">
        <f>IF(DATA[[#This Row],[fecha_fs]]&gt;0,TEXT(DATA[[#This Row],[fecha_fs]],"YYYY"),0)</f>
        <v>2025</v>
      </c>
      <c r="BM1161" s="236" t="b">
        <v>1</v>
      </c>
      <c r="BN1161" s="278">
        <f>COUNTIF(DATA[[#This Row],[tiempo_td]], "&lt;=15")</f>
        <v>1</v>
      </c>
      <c r="BO1161" s="222"/>
    </row>
    <row r="1162" spans="1:67" ht="30.6" customHeight="1" x14ac:dyDescent="0.25">
      <c r="A1162" s="4">
        <v>20100192064</v>
      </c>
      <c r="B1162" s="5" t="s">
        <v>60</v>
      </c>
      <c r="C1162" s="52" t="s">
        <v>59</v>
      </c>
      <c r="D1162" s="4" t="s">
        <v>120</v>
      </c>
      <c r="E1162" s="5" t="s">
        <v>3</v>
      </c>
      <c r="F1162" s="24">
        <v>45909</v>
      </c>
      <c r="G1162" s="7" t="s">
        <v>113</v>
      </c>
      <c r="H1162" s="25">
        <f t="shared" si="242"/>
        <v>1</v>
      </c>
      <c r="I1162" s="67">
        <v>4966</v>
      </c>
      <c r="J1162" s="8" t="s">
        <v>115</v>
      </c>
      <c r="K1162" s="9" t="s">
        <v>121</v>
      </c>
      <c r="L1162" s="10" t="s">
        <v>117</v>
      </c>
      <c r="M1162" s="11">
        <v>380</v>
      </c>
      <c r="N1162" s="12" t="s">
        <v>125</v>
      </c>
      <c r="O1162" s="6">
        <v>45926</v>
      </c>
      <c r="P1162" s="71">
        <v>3687</v>
      </c>
      <c r="Q1162" s="14" t="s">
        <v>123</v>
      </c>
      <c r="R1162" s="15">
        <f>(DATA[[#This Row],[cantidad_fs]]/1000)*(47+169.83)</f>
        <v>82.395400000000009</v>
      </c>
      <c r="S1162" s="15">
        <v>67</v>
      </c>
      <c r="T1162" s="237">
        <f>DATA[[#This Row],[C. DF]]+DATA[[#This Row],[C.OPE.]]</f>
        <v>149.3954</v>
      </c>
      <c r="U1162" s="15">
        <f>DATA[[#This Row],[SUB TOTAL]]*0.18</f>
        <v>26.891171999999997</v>
      </c>
      <c r="V1162" s="15">
        <f>IFERROR(ROUND(DATA[[#This Row],[SUB TOTAL]]+DATA[[#This Row],[IGV]],2),0)</f>
        <v>176.29</v>
      </c>
      <c r="W1162" s="16" t="str">
        <f>IF(DATA[[#This Row],[VALORIZACIÓN ]]="-","NO CORRESPONDE",IF(OR(A1162=20558226979,A1162=10470707866,A1162=20111157058,A1162=20100226902),"NO CORRESPONDE",IF(J1162="Emitida",IF(P1162&gt;0,"EMITIDA","PENDIENTE"),"NO CORRESPONDE")))</f>
        <v>EMITIDA</v>
      </c>
      <c r="X1162" s="29"/>
      <c r="Y1162" s="17" t="s">
        <v>118</v>
      </c>
      <c r="Z1162" s="30">
        <v>45930</v>
      </c>
      <c r="AA1162" s="10" t="s">
        <v>349</v>
      </c>
      <c r="AB1162" s="19">
        <v>3</v>
      </c>
      <c r="AC1162" s="20">
        <v>30</v>
      </c>
      <c r="AD1162" s="18">
        <f>DATA[[#This Row],[FECHA DE EMISION]]+DATA[[#This Row],[CONDICION DE PAGO]]</f>
        <v>45960</v>
      </c>
      <c r="AE1162" s="23" t="e">
        <f>IF(DATA[[#This Row],[MONEDA]]="USD",VLOOKUP(DATA[[#This Row],[COMBINADA]],#REF!,11,0),1)</f>
        <v>#REF!</v>
      </c>
      <c r="AF1162" s="129" t="str">
        <f>IF(DATA[[#This Row],[SERIE2]]="-","NO CORRESPONDE",IF(W1162="NO CORRESPONDE","NO CORRESPONDE",IF(Z1162&gt;0,"FACTURADO","PENDIENTE")))</f>
        <v>FACTURADO</v>
      </c>
      <c r="AG1162" s="133">
        <f>IFERROR(VLOOKUP(DATA[[#This Row],[COMBINADA]],#REF!,6,0),0)</f>
        <v>0</v>
      </c>
      <c r="AH1162" s="125">
        <f>IFERROR(VLOOKUP(DATA[[#This Row],[COMBINADA]],#REF!,9,0),0)/COUNTIFS(DATA[COMBINADA],DATA[[#This Row],[COMBINADA]])</f>
        <v>0</v>
      </c>
      <c r="AI1162" s="136">
        <f>IFERROR(VLOOKUP(DATA[[#This Row],[COMBINADA]],#REF!,6,0),0)</f>
        <v>0</v>
      </c>
      <c r="AJ1162" s="132">
        <f>IFERROR(VLOOKUP(DATA[[#This Row],[COMBINADA]],#REF!,9,0),0)/COUNTIFS(DATA[COMBINADA],DATA[[#This Row],[COMBINADA]])</f>
        <v>0</v>
      </c>
      <c r="AK1162" s="407">
        <f>IFERROR(VLOOKUP(DATA[[#This Row],[COMBINADA]],#REF!,6,0),0)</f>
        <v>0</v>
      </c>
      <c r="AL1162" s="125">
        <f>IFERROR(VLOOKUP(DATA[[#This Row],[COMBINADA]],#REF!,9,0),0)/COUNTIFS(DATA[COMBINADA],DATA[[#This Row],[COMBINADA]])</f>
        <v>0</v>
      </c>
      <c r="AM1162" s="27">
        <f>IFERROR(VLOOKUP(DATA[[#This Row],[COMBINADA]],#REF!,6,0),0)</f>
        <v>0</v>
      </c>
      <c r="AN1162" s="125">
        <f>IFERROR(VLOOKUP(DATA[[#This Row],[COMBINADA]],#REF!,9,0),0)/COUNTIFS(DATA[COMBINADA],DATA[[#This Row],[COMBINADA]])</f>
        <v>0</v>
      </c>
      <c r="AO1162" s="27">
        <f>IFERROR(VLOOKUP(DATA[[#This Row],[COMBINADA]],#REF!,6,0),0)</f>
        <v>0</v>
      </c>
      <c r="AP1162" s="132">
        <f>IFERROR(VLOOKUP(DATA[[#This Row],[COMBINADA]],#REF!,9,0),0)/COUNTIFS(DATA[COMBINADA],DATA[[#This Row],[COMBINADA]])</f>
        <v>0</v>
      </c>
      <c r="AQ116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542.36833333333334</v>
      </c>
      <c r="AR1162" s="26" t="str">
        <f>IFERROR(IF(DATA[[#This Row],[estado_fact]]="FACTURADO",VLOOKUP(DATA[[#This Row],[SERIE2]]&amp;"-"&amp;DATA[[#This Row],[NUMERO]],#REF!,34,0),"NO CORRESPONDE"),"NO CORRESPONDE")</f>
        <v>NO CORRESPONDE</v>
      </c>
      <c r="AS1162" s="22" t="str">
        <f>IF(DATA[[#This Row],[fecha_fs]]&gt;0,TEXT(DATA[[#This Row],[fecha_fs]],"Mmmm"),0)</f>
        <v>Setiembre</v>
      </c>
      <c r="AT1162" s="22" t="str">
        <f>DATA[[#This Row],[SERIE2]]&amp;"-"&amp;DATA[[#This Row],[NUMERO]]</f>
        <v>FF04-3</v>
      </c>
      <c r="AU1162" s="28" t="e">
        <f>DATA[[#This Row],[TOTAL]]*DATA[[#This Row],[T.C.]]</f>
        <v>#REF!</v>
      </c>
      <c r="AV1162" s="6">
        <f>DATA[[#This Row],[FECHA DE VAL.]]</f>
        <v>45926</v>
      </c>
      <c r="AW1162" s="6">
        <f>DATA[[#This Row],[FECHA DE EMISION]]</f>
        <v>45930</v>
      </c>
      <c r="AX1162" s="6">
        <f>DATA[[#This Row],[F1]]</f>
        <v>0</v>
      </c>
      <c r="AY1162" s="20">
        <f>IF(AV1162-DATA[[#This Row],[fecha_fs]]&lt;0,0,AV1162-DATA[[#This Row],[fecha_fs]])</f>
        <v>17</v>
      </c>
      <c r="AZ1162" s="20">
        <f t="shared" si="243"/>
        <v>4</v>
      </c>
      <c r="BA1162" s="53">
        <f t="shared" si="244"/>
        <v>0</v>
      </c>
      <c r="BB1162" s="195">
        <f>IFERROR(SUM(DATA[[#This Row],[fs_val_ttf]:[fact_pago_ttf]]),0)</f>
        <v>21</v>
      </c>
      <c r="BC1162" s="233">
        <v>45924</v>
      </c>
      <c r="BD1162" s="233">
        <v>45933</v>
      </c>
      <c r="BE1162" s="233">
        <v>45936</v>
      </c>
      <c r="BF1162" s="233">
        <v>45945</v>
      </c>
      <c r="BG1162" s="20">
        <f>IFERROR(IF(BC1162-DATA[[#This Row],[fecha_fs]]&lt;0,0,BC1162-DATA[[#This Row],[fecha_fs]]),0)</f>
        <v>15</v>
      </c>
      <c r="BH1162" s="20">
        <f t="shared" si="245"/>
        <v>9</v>
      </c>
      <c r="BI1162" s="20">
        <f t="shared" si="246"/>
        <v>3</v>
      </c>
      <c r="BJ1162" s="20">
        <f t="shared" si="247"/>
        <v>9</v>
      </c>
      <c r="BK1162" s="282">
        <f>IFERROR(SUM(DATA[[#This Row],[fs_fd_ttd]:[fend_fenf_ttd]]),0)</f>
        <v>36</v>
      </c>
      <c r="BL1162" s="20" t="str">
        <f>IF(DATA[[#This Row],[fecha_fs]]&gt;0,TEXT(DATA[[#This Row],[fecha_fs]],"YYYY"),0)</f>
        <v>2025</v>
      </c>
      <c r="BM1162" s="236" t="b">
        <v>1</v>
      </c>
      <c r="BN1162" s="278">
        <f>COUNTIF(DATA[[#This Row],[tiempo_td]], "&lt;=15")</f>
        <v>0</v>
      </c>
      <c r="BO1162" s="222"/>
    </row>
    <row r="1163" spans="1:67" ht="30.6" customHeight="1" x14ac:dyDescent="0.25">
      <c r="A1163" s="4">
        <v>20419158462</v>
      </c>
      <c r="B1163" s="5" t="s">
        <v>2</v>
      </c>
      <c r="C1163" s="52" t="s">
        <v>12</v>
      </c>
      <c r="D1163" s="4" t="s">
        <v>120</v>
      </c>
      <c r="E1163" s="5" t="s">
        <v>3</v>
      </c>
      <c r="F1163" s="24">
        <v>45909</v>
      </c>
      <c r="G1163" s="7" t="s">
        <v>113</v>
      </c>
      <c r="H1163" s="25">
        <f t="shared" si="242"/>
        <v>1</v>
      </c>
      <c r="I1163" s="67">
        <v>4967</v>
      </c>
      <c r="J1163" s="8" t="s">
        <v>115</v>
      </c>
      <c r="K1163" s="9" t="s">
        <v>156</v>
      </c>
      <c r="L1163" s="10" t="s">
        <v>117</v>
      </c>
      <c r="M1163" s="11">
        <v>150</v>
      </c>
      <c r="N1163" s="12" t="s">
        <v>132</v>
      </c>
      <c r="O1163" s="6">
        <v>45910</v>
      </c>
      <c r="P1163" s="13">
        <v>3653</v>
      </c>
      <c r="Q1163" s="14" t="s">
        <v>85</v>
      </c>
      <c r="R1163" s="309"/>
      <c r="S1163" s="15">
        <f>1429.7/3</f>
        <v>476.56666666666666</v>
      </c>
      <c r="T1163" s="237">
        <f>DATA[[#This Row],[C. DF]]+DATA[[#This Row],[C.OPE.]]</f>
        <v>476.56666666666666</v>
      </c>
      <c r="U1163" s="15">
        <f>DATA[[#This Row],[SUB TOTAL]]*0.18</f>
        <v>85.781999999999996</v>
      </c>
      <c r="V1163" s="15">
        <f>IFERROR(ROUND(DATA[[#This Row],[SUB TOTAL]]+DATA[[#This Row],[IGV]],2),0)</f>
        <v>562.35</v>
      </c>
      <c r="W1163" s="16" t="str">
        <f>IF(DATA[[#This Row],[VALORIZACIÓN ]]="-","NO CORRESPONDE",IF(OR(A1163=20558226979,A1163=10470707866,A1163=20111157058,A1163=20100226902),"NO CORRESPONDE",IF(J1163="Emitida",IF(P1163&gt;0,"EMITIDA","PENDIENTE"),"NO CORRESPONDE")))</f>
        <v>EMITIDA</v>
      </c>
      <c r="X1163" s="29"/>
      <c r="Y1163" s="17" t="s">
        <v>118</v>
      </c>
      <c r="Z1163" s="30">
        <v>45965</v>
      </c>
      <c r="AA1163" s="10" t="s">
        <v>150</v>
      </c>
      <c r="AB1163" s="19">
        <v>325</v>
      </c>
      <c r="AC1163" s="20">
        <v>2</v>
      </c>
      <c r="AD1163" s="18">
        <f>DATA[[#This Row],[FECHA DE EMISION]]+DATA[[#This Row],[CONDICION DE PAGO]]</f>
        <v>45967</v>
      </c>
      <c r="AE1163" s="23">
        <f>IF(DATA[[#This Row],[MONEDA]]="USD",VLOOKUP(DATA[[#This Row],[COMBINADA]],#REF!,11,0),1)</f>
        <v>1</v>
      </c>
      <c r="AF1163" s="129" t="str">
        <f>IF(DATA[[#This Row],[SERIE2]]="-","NO CORRESPONDE",IF(W1163="NO CORRESPONDE","NO CORRESPONDE",IF(Z1163&gt;0,"FACTURADO","PENDIENTE")))</f>
        <v>FACTURADO</v>
      </c>
      <c r="AG1163" s="133">
        <f>IFERROR(VLOOKUP(DATA[[#This Row],[COMBINADA]],#REF!,6,0),0)</f>
        <v>0</v>
      </c>
      <c r="AH1163" s="125">
        <f>IFERROR(VLOOKUP(DATA[[#This Row],[COMBINADA]],#REF!,9,0),0)/COUNTIFS(DATA[COMBINADA],DATA[[#This Row],[COMBINADA]])</f>
        <v>0</v>
      </c>
      <c r="AI1163" s="136">
        <f>IFERROR(VLOOKUP(DATA[[#This Row],[COMBINADA]],#REF!,6,0),0)</f>
        <v>0</v>
      </c>
      <c r="AJ1163" s="132">
        <f>IFERROR(VLOOKUP(DATA[[#This Row],[COMBINADA]],#REF!,9,0),0)/COUNTIFS(DATA[COMBINADA],DATA[[#This Row],[COMBINADA]])</f>
        <v>0</v>
      </c>
      <c r="AK1163" s="407">
        <f>IFERROR(VLOOKUP(DATA[[#This Row],[COMBINADA]],#REF!,6,0),0)</f>
        <v>0</v>
      </c>
      <c r="AL1163" s="125">
        <f>IFERROR(VLOOKUP(DATA[[#This Row],[COMBINADA]],#REF!,9,0),0)/COUNTIFS(DATA[COMBINADA],DATA[[#This Row],[COMBINADA]])</f>
        <v>0</v>
      </c>
      <c r="AM1163" s="27">
        <f>IFERROR(VLOOKUP(DATA[[#This Row],[COMBINADA]],#REF!,6,0),0)</f>
        <v>0</v>
      </c>
      <c r="AN1163" s="125">
        <f>IFERROR(VLOOKUP(DATA[[#This Row],[COMBINADA]],#REF!,9,0),0)/COUNTIFS(DATA[COMBINADA],DATA[[#This Row],[COMBINADA]])</f>
        <v>0</v>
      </c>
      <c r="AO1163" s="27">
        <f>IFERROR(VLOOKUP(DATA[[#This Row],[COMBINADA]],#REF!,6,0),0)</f>
        <v>0</v>
      </c>
      <c r="AP1163" s="132">
        <f>IFERROR(VLOOKUP(DATA[[#This Row],[COMBINADA]],#REF!,9,0),0)/COUNTIFS(DATA[COMBINADA],DATA[[#This Row],[COMBINADA]])</f>
        <v>0</v>
      </c>
      <c r="AQ116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562.35</v>
      </c>
      <c r="AR1163" s="26" t="str">
        <f>IFERROR(IF(DATA[[#This Row],[estado_fact]]="FACTURADO",VLOOKUP(DATA[[#This Row],[SERIE2]]&amp;"-"&amp;DATA[[#This Row],[NUMERO]],#REF!,34,0),"NO CORRESPONDE"),"NO CORRESPONDE")</f>
        <v>NO CORRESPONDE</v>
      </c>
      <c r="AS1163" s="22" t="str">
        <f>IF(DATA[[#This Row],[fecha_fs]]&gt;0,TEXT(DATA[[#This Row],[fecha_fs]],"Mmmm"),0)</f>
        <v>Setiembre</v>
      </c>
      <c r="AT1163" s="22" t="str">
        <f>DATA[[#This Row],[SERIE2]]&amp;"-"&amp;DATA[[#This Row],[NUMERO]]</f>
        <v>FF01-325</v>
      </c>
      <c r="AU1163" s="28">
        <f>DATA[[#This Row],[TOTAL]]*DATA[[#This Row],[T.C.]]</f>
        <v>562.35</v>
      </c>
      <c r="AV1163" s="6">
        <f>DATA[[#This Row],[FECHA DE VAL.]]</f>
        <v>45910</v>
      </c>
      <c r="AW1163" s="6">
        <f>DATA[[#This Row],[FECHA DE EMISION]]</f>
        <v>45965</v>
      </c>
      <c r="AX1163" s="6">
        <f>DATA[[#This Row],[F1]]</f>
        <v>0</v>
      </c>
      <c r="AY1163" s="20">
        <f>IF(AV1163-DATA[[#This Row],[fecha_fs]]&lt;0,0,AV1163-DATA[[#This Row],[fecha_fs]])</f>
        <v>1</v>
      </c>
      <c r="AZ1163" s="20">
        <f t="shared" si="243"/>
        <v>55</v>
      </c>
      <c r="BA1163" s="53">
        <f t="shared" si="244"/>
        <v>0</v>
      </c>
      <c r="BB1163" s="195">
        <f>IFERROR(SUM(DATA[[#This Row],[fs_val_ttf]:[fact_pago_ttf]]),0)</f>
        <v>56</v>
      </c>
      <c r="BC1163" s="233">
        <v>45909</v>
      </c>
      <c r="BD1163" s="233">
        <v>45909</v>
      </c>
      <c r="BE1163" s="233">
        <v>45916</v>
      </c>
      <c r="BF1163" s="233">
        <v>45916</v>
      </c>
      <c r="BG1163" s="20">
        <f>IFERROR(IF(BC1163-DATA[[#This Row],[fecha_fs]]&lt;0,0,BC1163-DATA[[#This Row],[fecha_fs]]),0)</f>
        <v>0</v>
      </c>
      <c r="BH1163" s="20">
        <f t="shared" si="245"/>
        <v>0</v>
      </c>
      <c r="BI1163" s="20">
        <f t="shared" si="246"/>
        <v>7</v>
      </c>
      <c r="BJ1163" s="20">
        <f t="shared" si="247"/>
        <v>0</v>
      </c>
      <c r="BK1163" s="282">
        <f>IFERROR(SUM(DATA[[#This Row],[fs_fd_ttd]:[fend_fenf_ttd]]),0)</f>
        <v>7</v>
      </c>
      <c r="BL1163" s="20" t="str">
        <f>IF(DATA[[#This Row],[fecha_fs]]&gt;0,TEXT(DATA[[#This Row],[fecha_fs]],"YYYY"),0)</f>
        <v>2025</v>
      </c>
      <c r="BM1163" s="236" t="b">
        <v>1</v>
      </c>
      <c r="BN1163" s="278">
        <f>COUNTIF(DATA[[#This Row],[tiempo_td]], "&lt;=15")</f>
        <v>1</v>
      </c>
      <c r="BO1163" s="222"/>
    </row>
    <row r="1164" spans="1:67" ht="30.6" customHeight="1" x14ac:dyDescent="0.25">
      <c r="A1164" s="4">
        <v>20419158462</v>
      </c>
      <c r="B1164" s="5" t="s">
        <v>2</v>
      </c>
      <c r="C1164" s="52" t="s">
        <v>13</v>
      </c>
      <c r="D1164" s="4" t="s">
        <v>120</v>
      </c>
      <c r="E1164" s="5" t="s">
        <v>3</v>
      </c>
      <c r="F1164" s="24">
        <v>45909</v>
      </c>
      <c r="G1164" s="7" t="s">
        <v>113</v>
      </c>
      <c r="H1164" s="25">
        <f t="shared" si="242"/>
        <v>1</v>
      </c>
      <c r="I1164" s="67">
        <v>4968</v>
      </c>
      <c r="J1164" s="8" t="s">
        <v>115</v>
      </c>
      <c r="K1164" s="9" t="s">
        <v>156</v>
      </c>
      <c r="L1164" s="10" t="s">
        <v>117</v>
      </c>
      <c r="M1164" s="11">
        <v>325</v>
      </c>
      <c r="N1164" s="12" t="s">
        <v>132</v>
      </c>
      <c r="O1164" s="6">
        <v>45910</v>
      </c>
      <c r="P1164" s="13">
        <v>3653</v>
      </c>
      <c r="Q1164" s="14" t="s">
        <v>85</v>
      </c>
      <c r="R1164" s="309"/>
      <c r="S1164" s="15">
        <f>1429.7/3</f>
        <v>476.56666666666666</v>
      </c>
      <c r="T1164" s="237">
        <f>DATA[[#This Row],[C. DF]]+DATA[[#This Row],[C.OPE.]]</f>
        <v>476.56666666666666</v>
      </c>
      <c r="U1164" s="15">
        <f>DATA[[#This Row],[SUB TOTAL]]*0.18</f>
        <v>85.781999999999996</v>
      </c>
      <c r="V1164" s="15">
        <f>IFERROR(ROUND(DATA[[#This Row],[SUB TOTAL]]+DATA[[#This Row],[IGV]],2),0)</f>
        <v>562.35</v>
      </c>
      <c r="W1164" s="16" t="str">
        <f>IF(DATA[[#This Row],[VALORIZACIÓN ]]="-","NO CORRESPONDE",IF(OR(A1164=20558226979,A1164=10470707866,A1164=20111157058,A1164=20100226902),"NO CORRESPONDE",IF(J1164="Emitida",IF(P1164&gt;0,"EMITIDA","PENDIENTE"),"NO CORRESPONDE")))</f>
        <v>EMITIDA</v>
      </c>
      <c r="X1164" s="29"/>
      <c r="Y1164" s="17" t="s">
        <v>118</v>
      </c>
      <c r="Z1164" s="30">
        <v>45965</v>
      </c>
      <c r="AA1164" s="10" t="s">
        <v>150</v>
      </c>
      <c r="AB1164" s="19">
        <v>325</v>
      </c>
      <c r="AC1164" s="20">
        <v>2</v>
      </c>
      <c r="AD1164" s="18">
        <f>DATA[[#This Row],[FECHA DE EMISION]]+DATA[[#This Row],[CONDICION DE PAGO]]</f>
        <v>45967</v>
      </c>
      <c r="AE1164" s="23">
        <f>IF(DATA[[#This Row],[MONEDA]]="USD",VLOOKUP(DATA[[#This Row],[COMBINADA]],#REF!,11,0),1)</f>
        <v>1</v>
      </c>
      <c r="AF1164" s="129" t="str">
        <f>IF(DATA[[#This Row],[SERIE2]]="-","NO CORRESPONDE",IF(W1164="NO CORRESPONDE","NO CORRESPONDE",IF(Z1164&gt;0,"FACTURADO","PENDIENTE")))</f>
        <v>FACTURADO</v>
      </c>
      <c r="AG1164" s="133">
        <f>IFERROR(VLOOKUP(DATA[[#This Row],[COMBINADA]],#REF!,6,0),0)</f>
        <v>0</v>
      </c>
      <c r="AH1164" s="125">
        <f>IFERROR(VLOOKUP(DATA[[#This Row],[COMBINADA]],#REF!,9,0),0)/COUNTIFS(DATA[COMBINADA],DATA[[#This Row],[COMBINADA]])</f>
        <v>0</v>
      </c>
      <c r="AI1164" s="136">
        <f>IFERROR(VLOOKUP(DATA[[#This Row],[COMBINADA]],#REF!,6,0),0)</f>
        <v>0</v>
      </c>
      <c r="AJ1164" s="132">
        <f>IFERROR(VLOOKUP(DATA[[#This Row],[COMBINADA]],#REF!,9,0),0)/COUNTIFS(DATA[COMBINADA],DATA[[#This Row],[COMBINADA]])</f>
        <v>0</v>
      </c>
      <c r="AK1164" s="407">
        <f>IFERROR(VLOOKUP(DATA[[#This Row],[COMBINADA]],#REF!,6,0),0)</f>
        <v>0</v>
      </c>
      <c r="AL1164" s="125">
        <f>IFERROR(VLOOKUP(DATA[[#This Row],[COMBINADA]],#REF!,9,0),0)/COUNTIFS(DATA[COMBINADA],DATA[[#This Row],[COMBINADA]])</f>
        <v>0</v>
      </c>
      <c r="AM1164" s="27">
        <f>IFERROR(VLOOKUP(DATA[[#This Row],[COMBINADA]],#REF!,6,0),0)</f>
        <v>0</v>
      </c>
      <c r="AN1164" s="125">
        <f>IFERROR(VLOOKUP(DATA[[#This Row],[COMBINADA]],#REF!,9,0),0)/COUNTIFS(DATA[COMBINADA],DATA[[#This Row],[COMBINADA]])</f>
        <v>0</v>
      </c>
      <c r="AO1164" s="27">
        <f>IFERROR(VLOOKUP(DATA[[#This Row],[COMBINADA]],#REF!,6,0),0)</f>
        <v>0</v>
      </c>
      <c r="AP1164" s="132">
        <f>IFERROR(VLOOKUP(DATA[[#This Row],[COMBINADA]],#REF!,9,0),0)/COUNTIFS(DATA[COMBINADA],DATA[[#This Row],[COMBINADA]])</f>
        <v>0</v>
      </c>
      <c r="AQ116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562.35</v>
      </c>
      <c r="AR1164" s="26" t="str">
        <f>IFERROR(IF(DATA[[#This Row],[estado_fact]]="FACTURADO",VLOOKUP(DATA[[#This Row],[SERIE2]]&amp;"-"&amp;DATA[[#This Row],[NUMERO]],#REF!,34,0),"NO CORRESPONDE"),"NO CORRESPONDE")</f>
        <v>NO CORRESPONDE</v>
      </c>
      <c r="AS1164" s="22" t="str">
        <f>IF(DATA[[#This Row],[fecha_fs]]&gt;0,TEXT(DATA[[#This Row],[fecha_fs]],"Mmmm"),0)</f>
        <v>Setiembre</v>
      </c>
      <c r="AT1164" s="22" t="str">
        <f>DATA[[#This Row],[SERIE2]]&amp;"-"&amp;DATA[[#This Row],[NUMERO]]</f>
        <v>FF01-325</v>
      </c>
      <c r="AU1164" s="28">
        <f>DATA[[#This Row],[TOTAL]]*DATA[[#This Row],[T.C.]]</f>
        <v>562.35</v>
      </c>
      <c r="AV1164" s="6">
        <f>DATA[[#This Row],[FECHA DE VAL.]]</f>
        <v>45910</v>
      </c>
      <c r="AW1164" s="6">
        <f>DATA[[#This Row],[FECHA DE EMISION]]</f>
        <v>45965</v>
      </c>
      <c r="AX1164" s="6">
        <f>DATA[[#This Row],[F1]]</f>
        <v>0</v>
      </c>
      <c r="AY1164" s="20">
        <f>IF(AV1164-DATA[[#This Row],[fecha_fs]]&lt;0,0,AV1164-DATA[[#This Row],[fecha_fs]])</f>
        <v>1</v>
      </c>
      <c r="AZ1164" s="20">
        <f t="shared" si="243"/>
        <v>55</v>
      </c>
      <c r="BA1164" s="53">
        <f t="shared" si="244"/>
        <v>0</v>
      </c>
      <c r="BB1164" s="195">
        <f>IFERROR(SUM(DATA[[#This Row],[fs_val_ttf]:[fact_pago_ttf]]),0)</f>
        <v>56</v>
      </c>
      <c r="BC1164" s="233">
        <v>45909</v>
      </c>
      <c r="BD1164" s="233">
        <v>45909</v>
      </c>
      <c r="BE1164" s="233">
        <v>45916</v>
      </c>
      <c r="BF1164" s="233">
        <v>45916</v>
      </c>
      <c r="BG1164" s="20">
        <f>IFERROR(IF(BC1164-DATA[[#This Row],[fecha_fs]]&lt;0,0,BC1164-DATA[[#This Row],[fecha_fs]]),0)</f>
        <v>0</v>
      </c>
      <c r="BH1164" s="20">
        <f t="shared" si="245"/>
        <v>0</v>
      </c>
      <c r="BI1164" s="20">
        <f t="shared" si="246"/>
        <v>7</v>
      </c>
      <c r="BJ1164" s="20">
        <f t="shared" si="247"/>
        <v>0</v>
      </c>
      <c r="BK1164" s="282">
        <f>IFERROR(SUM(DATA[[#This Row],[fs_fd_ttd]:[fend_fenf_ttd]]),0)</f>
        <v>7</v>
      </c>
      <c r="BL1164" s="20" t="str">
        <f>IF(DATA[[#This Row],[fecha_fs]]&gt;0,TEXT(DATA[[#This Row],[fecha_fs]],"YYYY"),0)</f>
        <v>2025</v>
      </c>
      <c r="BM1164" s="236" t="b">
        <v>1</v>
      </c>
      <c r="BN1164" s="278">
        <f>COUNTIF(DATA[[#This Row],[tiempo_td]], "&lt;=15")</f>
        <v>1</v>
      </c>
      <c r="BO1164" s="222"/>
    </row>
    <row r="1165" spans="1:67" ht="30.6" customHeight="1" x14ac:dyDescent="0.25">
      <c r="A1165" s="4">
        <v>20419158462</v>
      </c>
      <c r="B1165" s="5" t="s">
        <v>2</v>
      </c>
      <c r="C1165" s="52" t="s">
        <v>147</v>
      </c>
      <c r="D1165" s="4" t="s">
        <v>112</v>
      </c>
      <c r="E1165" s="5" t="s">
        <v>1</v>
      </c>
      <c r="F1165" s="24">
        <v>45909</v>
      </c>
      <c r="G1165" s="7" t="s">
        <v>113</v>
      </c>
      <c r="H1165" s="25">
        <f t="shared" si="242"/>
        <v>1</v>
      </c>
      <c r="I1165" s="67">
        <v>4969</v>
      </c>
      <c r="J1165" s="8" t="s">
        <v>115</v>
      </c>
      <c r="K1165" s="9" t="s">
        <v>116</v>
      </c>
      <c r="L1165" s="10" t="s">
        <v>117</v>
      </c>
      <c r="M1165" s="11">
        <v>1130</v>
      </c>
      <c r="N1165" s="12" t="s">
        <v>125</v>
      </c>
      <c r="O1165" s="6">
        <v>45910</v>
      </c>
      <c r="P1165" s="13">
        <v>3654</v>
      </c>
      <c r="Q1165" s="14" t="s">
        <v>85</v>
      </c>
      <c r="R1165" s="15">
        <f>DATA[[#This Row],[cantidad_fs]]*0.97</f>
        <v>1096.0999999999999</v>
      </c>
      <c r="S1165" s="56">
        <v>845.2</v>
      </c>
      <c r="T1165" s="237">
        <f>DATA[[#This Row],[C. DF]]+DATA[[#This Row],[C.OPE.]]</f>
        <v>1941.3</v>
      </c>
      <c r="U1165" s="15">
        <f>DATA[[#This Row],[SUB TOTAL]]*0.18</f>
        <v>349.43399999999997</v>
      </c>
      <c r="V1165" s="15">
        <f>IFERROR(ROUND(DATA[[#This Row],[SUB TOTAL]]+DATA[[#This Row],[IGV]],2),0)</f>
        <v>2290.73</v>
      </c>
      <c r="W1165" s="16" t="str">
        <f>IF(DATA[[#This Row],[VALORIZACIÓN ]]="-","NO CORRESPONDE",IF(OR(A1165=20558226979,A1165=10470707866,A1165=20111157058,A1165=20100226902),"NO CORRESPONDE",IF(J1165="Emitida",IF(P1165&gt;0,"EMITIDA","PENDIENTE"),"NO CORRESPONDE")))</f>
        <v>EMITIDA</v>
      </c>
      <c r="X1165" s="29"/>
      <c r="Y1165" s="17" t="s">
        <v>232</v>
      </c>
      <c r="Z1165" s="30"/>
      <c r="AA1165" s="10"/>
      <c r="AB1165" s="19"/>
      <c r="AC1165" s="20"/>
      <c r="AD1165" s="18">
        <f>DATA[[#This Row],[FECHA DE EMISION]]+DATA[[#This Row],[CONDICION DE PAGO]]</f>
        <v>0</v>
      </c>
      <c r="AE1165" s="23">
        <f>IF(DATA[[#This Row],[MONEDA]]="USD",VLOOKUP(DATA[[#This Row],[COMBINADA]],#REF!,11,0),1)</f>
        <v>1</v>
      </c>
      <c r="AF1165" s="129" t="str">
        <f>IF(DATA[[#This Row],[SERIE2]]="-","NO CORRESPONDE",IF(W1165="NO CORRESPONDE","NO CORRESPONDE",IF(Z1165&gt;0,"FACTURADO","PENDIENTE")))</f>
        <v>PENDIENTE</v>
      </c>
      <c r="AG1165" s="133">
        <f>IFERROR(VLOOKUP(DATA[[#This Row],[COMBINADA]],#REF!,6,0),0)</f>
        <v>0</v>
      </c>
      <c r="AH1165" s="125">
        <f>IFERROR(VLOOKUP(DATA[[#This Row],[COMBINADA]],#REF!,9,0),0)/COUNTIFS(DATA[COMBINADA],DATA[[#This Row],[COMBINADA]])</f>
        <v>0</v>
      </c>
      <c r="AI1165" s="136">
        <f>IFERROR(VLOOKUP(DATA[[#This Row],[COMBINADA]],#REF!,6,0),0)</f>
        <v>0</v>
      </c>
      <c r="AJ1165" s="132">
        <f>IFERROR(VLOOKUP(DATA[[#This Row],[COMBINADA]],#REF!,9,0),0)/COUNTIFS(DATA[COMBINADA],DATA[[#This Row],[COMBINADA]])</f>
        <v>0</v>
      </c>
      <c r="AK1165" s="407">
        <f>IFERROR(VLOOKUP(DATA[[#This Row],[COMBINADA]],#REF!,6,0),0)</f>
        <v>0</v>
      </c>
      <c r="AL1165" s="125">
        <f>IFERROR(VLOOKUP(DATA[[#This Row],[COMBINADA]],#REF!,9,0),0)/COUNTIFS(DATA[COMBINADA],DATA[[#This Row],[COMBINADA]])</f>
        <v>0</v>
      </c>
      <c r="AM1165" s="27">
        <f>IFERROR(VLOOKUP(DATA[[#This Row],[COMBINADA]],#REF!,6,0),0)</f>
        <v>0</v>
      </c>
      <c r="AN1165" s="125">
        <f>IFERROR(VLOOKUP(DATA[[#This Row],[COMBINADA]],#REF!,9,0),0)/COUNTIFS(DATA[COMBINADA],DATA[[#This Row],[COMBINADA]])</f>
        <v>0</v>
      </c>
      <c r="AO1165" s="27">
        <f>IFERROR(VLOOKUP(DATA[[#This Row],[COMBINADA]],#REF!,6,0),0)</f>
        <v>0</v>
      </c>
      <c r="AP1165" s="132">
        <f>IFERROR(VLOOKUP(DATA[[#This Row],[COMBINADA]],#REF!,9,0),0)/COUNTIFS(DATA[COMBINADA],DATA[[#This Row],[COMBINADA]])</f>
        <v>0</v>
      </c>
      <c r="AQ116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165" s="26" t="str">
        <f>IFERROR(IF(DATA[[#This Row],[estado_fact]]="FACTURADO",VLOOKUP(DATA[[#This Row],[SERIE2]]&amp;"-"&amp;DATA[[#This Row],[NUMERO]],#REF!,34,0),"NO CORRESPONDE"),"NO CORRESPONDE")</f>
        <v>NO CORRESPONDE</v>
      </c>
      <c r="AS1165" s="22" t="str">
        <f>IF(DATA[[#This Row],[fecha_fs]]&gt;0,TEXT(DATA[[#This Row],[fecha_fs]],"Mmmm"),0)</f>
        <v>Setiembre</v>
      </c>
      <c r="AT1165" s="22" t="str">
        <f>DATA[[#This Row],[SERIE2]]&amp;"-"&amp;DATA[[#This Row],[NUMERO]]</f>
        <v>-</v>
      </c>
      <c r="AU1165" s="28">
        <f>DATA[[#This Row],[TOTAL]]*DATA[[#This Row],[T.C.]]</f>
        <v>2290.73</v>
      </c>
      <c r="AV1165" s="6">
        <f>DATA[[#This Row],[FECHA DE VAL.]]</f>
        <v>45910</v>
      </c>
      <c r="AW1165" s="6">
        <f>DATA[[#This Row],[FECHA DE EMISION]]</f>
        <v>0</v>
      </c>
      <c r="AX1165" s="6">
        <f>DATA[[#This Row],[F1]]</f>
        <v>0</v>
      </c>
      <c r="AY1165" s="20">
        <f>IF(AV1165-DATA[[#This Row],[fecha_fs]]&lt;0,0,AV1165-DATA[[#This Row],[fecha_fs]])</f>
        <v>1</v>
      </c>
      <c r="AZ1165" s="20">
        <f t="shared" si="243"/>
        <v>0</v>
      </c>
      <c r="BA1165" s="53">
        <f t="shared" si="244"/>
        <v>0</v>
      </c>
      <c r="BB1165" s="195">
        <f>IFERROR(SUM(DATA[[#This Row],[fs_val_ttf]:[fact_pago_ttf]]),0)</f>
        <v>1</v>
      </c>
      <c r="BC1165" s="233">
        <v>45911</v>
      </c>
      <c r="BD1165" s="233">
        <v>45922</v>
      </c>
      <c r="BE1165" s="233">
        <v>45924</v>
      </c>
      <c r="BF1165" s="185">
        <v>45951</v>
      </c>
      <c r="BG1165" s="20">
        <f>IFERROR(IF(BC1165-DATA[[#This Row],[fecha_fs]]&lt;0,0,BC1165-DATA[[#This Row],[fecha_fs]]),0)</f>
        <v>2</v>
      </c>
      <c r="BH1165" s="20">
        <f t="shared" si="245"/>
        <v>11</v>
      </c>
      <c r="BI1165" s="20">
        <f t="shared" si="246"/>
        <v>2</v>
      </c>
      <c r="BJ1165" s="20">
        <f t="shared" si="247"/>
        <v>27</v>
      </c>
      <c r="BK1165" s="282">
        <f>IFERROR(SUM(DATA[[#This Row],[fs_fd_ttd]:[fend_fenf_ttd]]),0)</f>
        <v>42</v>
      </c>
      <c r="BL1165" s="20" t="str">
        <f>IF(DATA[[#This Row],[fecha_fs]]&gt;0,TEXT(DATA[[#This Row],[fecha_fs]],"YYYY"),0)</f>
        <v>2025</v>
      </c>
      <c r="BM1165" s="236" t="b">
        <v>1</v>
      </c>
      <c r="BN1165" s="278">
        <f>COUNTIF(DATA[[#This Row],[tiempo_td]], "&lt;=15")</f>
        <v>0</v>
      </c>
      <c r="BO1165" s="222"/>
    </row>
    <row r="1166" spans="1:67" ht="30.6" customHeight="1" x14ac:dyDescent="0.25">
      <c r="A1166" s="4">
        <v>20462509236</v>
      </c>
      <c r="B1166" s="5" t="s">
        <v>81</v>
      </c>
      <c r="C1166" s="52" t="s">
        <v>329</v>
      </c>
      <c r="D1166" s="4" t="s">
        <v>112</v>
      </c>
      <c r="E1166" s="5" t="s">
        <v>1</v>
      </c>
      <c r="F1166" s="24">
        <v>45911</v>
      </c>
      <c r="G1166" s="7" t="s">
        <v>113</v>
      </c>
      <c r="H1166" s="25">
        <f t="shared" ref="H1166:H1193" si="248">IF(G1166="","",IF(G1166="LIM",2,1))</f>
        <v>1</v>
      </c>
      <c r="I1166" s="67">
        <v>4970</v>
      </c>
      <c r="J1166" s="8" t="s">
        <v>115</v>
      </c>
      <c r="K1166" s="9" t="s">
        <v>116</v>
      </c>
      <c r="L1166" s="10" t="s">
        <v>117</v>
      </c>
      <c r="M1166" s="11">
        <v>10</v>
      </c>
      <c r="N1166" s="12" t="s">
        <v>167</v>
      </c>
      <c r="O1166" s="6">
        <v>45915</v>
      </c>
      <c r="P1166" s="13">
        <v>3657</v>
      </c>
      <c r="Q1166" s="14" t="s">
        <v>85</v>
      </c>
      <c r="R1166" s="15">
        <f>970/2</f>
        <v>485</v>
      </c>
      <c r="S1166" s="56">
        <f>1199.9/2</f>
        <v>599.95000000000005</v>
      </c>
      <c r="T1166" s="237">
        <f>DATA[[#This Row],[C. DF]]+DATA[[#This Row],[C.OPE.]]</f>
        <v>1084.95</v>
      </c>
      <c r="U1166" s="15">
        <f>DATA[[#This Row],[SUB TOTAL]]*0.18</f>
        <v>195.291</v>
      </c>
      <c r="V1166" s="15">
        <f>IFERROR(ROUND(DATA[[#This Row],[SUB TOTAL]]+DATA[[#This Row],[IGV]],2),0)</f>
        <v>1280.24</v>
      </c>
      <c r="W1166" s="16" t="str">
        <f>IF(DATA[[#This Row],[VALORIZACIÓN ]]="-","NO CORRESPONDE",IF(OR(A1166=20558226979,A1166=10470707866,A1166=20111157058,A1166=20100226902),"NO CORRESPONDE",IF(J1166="Emitida",IF(P1166&gt;0,"EMITIDA","PENDIENTE"),"NO CORRESPONDE")))</f>
        <v>EMITIDA</v>
      </c>
      <c r="X1166" s="29" t="s">
        <v>331</v>
      </c>
      <c r="Y1166" s="17" t="s">
        <v>118</v>
      </c>
      <c r="Z1166" s="30">
        <v>45972</v>
      </c>
      <c r="AA1166" s="10" t="s">
        <v>150</v>
      </c>
      <c r="AB1166" s="19">
        <v>353</v>
      </c>
      <c r="AC1166" s="20">
        <v>60</v>
      </c>
      <c r="AD1166" s="18">
        <f>DATA[[#This Row],[FECHA DE EMISION]]+DATA[[#This Row],[CONDICION DE PAGO]]</f>
        <v>46032</v>
      </c>
      <c r="AE1166" s="23">
        <f>IF(DATA[[#This Row],[MONEDA]]="USD",VLOOKUP(DATA[[#This Row],[COMBINADA]],#REF!,11,0),1)</f>
        <v>1</v>
      </c>
      <c r="AF1166" s="129" t="str">
        <f>IF(DATA[[#This Row],[SERIE2]]="-","NO CORRESPONDE",IF(W1166="NO CORRESPONDE","NO CORRESPONDE",IF(Z1166&gt;0,"FACTURADO","PENDIENTE")))</f>
        <v>FACTURADO</v>
      </c>
      <c r="AG1166" s="133">
        <f>IFERROR(VLOOKUP(DATA[[#This Row],[COMBINADA]],#REF!,6,0),0)</f>
        <v>0</v>
      </c>
      <c r="AH1166" s="125">
        <f>IFERROR(VLOOKUP(DATA[[#This Row],[COMBINADA]],#REF!,9,0),0)/COUNTIFS(DATA[COMBINADA],DATA[[#This Row],[COMBINADA]])</f>
        <v>0</v>
      </c>
      <c r="AI1166" s="136">
        <f>IFERROR(VLOOKUP(DATA[[#This Row],[COMBINADA]],#REF!,6,0),0)</f>
        <v>0</v>
      </c>
      <c r="AJ1166" s="132">
        <f>IFERROR(VLOOKUP(DATA[[#This Row],[COMBINADA]],#REF!,9,0),0)/COUNTIFS(DATA[COMBINADA],DATA[[#This Row],[COMBINADA]])</f>
        <v>0</v>
      </c>
      <c r="AK1166" s="407">
        <f>IFERROR(VLOOKUP(DATA[[#This Row],[COMBINADA]],#REF!,6,0),0)</f>
        <v>0</v>
      </c>
      <c r="AL1166" s="125">
        <f>IFERROR(VLOOKUP(DATA[[#This Row],[COMBINADA]],#REF!,9,0),0)/COUNTIFS(DATA[COMBINADA],DATA[[#This Row],[COMBINADA]])</f>
        <v>0</v>
      </c>
      <c r="AM1166" s="27">
        <f>IFERROR(VLOOKUP(DATA[[#This Row],[COMBINADA]],#REF!,6,0),0)</f>
        <v>0</v>
      </c>
      <c r="AN1166" s="125">
        <f>IFERROR(VLOOKUP(DATA[[#This Row],[COMBINADA]],#REF!,9,0),0)/COUNTIFS(DATA[COMBINADA],DATA[[#This Row],[COMBINADA]])</f>
        <v>0</v>
      </c>
      <c r="AO1166" s="27">
        <f>IFERROR(VLOOKUP(DATA[[#This Row],[COMBINADA]],#REF!,6,0),0)</f>
        <v>0</v>
      </c>
      <c r="AP1166" s="132">
        <f>IFERROR(VLOOKUP(DATA[[#This Row],[COMBINADA]],#REF!,9,0),0)/COUNTIFS(DATA[COMBINADA],DATA[[#This Row],[COMBINADA]])</f>
        <v>0</v>
      </c>
      <c r="AQ116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1280.24</v>
      </c>
      <c r="AR1166" s="26" t="str">
        <f>IFERROR(IF(DATA[[#This Row],[estado_fact]]="FACTURADO",VLOOKUP(DATA[[#This Row],[SERIE2]]&amp;"-"&amp;DATA[[#This Row],[NUMERO]],#REF!,34,0),"NO CORRESPONDE"),"NO CORRESPONDE")</f>
        <v>NO CORRESPONDE</v>
      </c>
      <c r="AS1166" s="22" t="str">
        <f>IF(DATA[[#This Row],[fecha_fs]]&gt;0,TEXT(DATA[[#This Row],[fecha_fs]],"Mmmm"),0)</f>
        <v>Setiembre</v>
      </c>
      <c r="AT1166" s="22" t="str">
        <f>DATA[[#This Row],[SERIE2]]&amp;"-"&amp;DATA[[#This Row],[NUMERO]]</f>
        <v>FF01-353</v>
      </c>
      <c r="AU1166" s="28">
        <f>DATA[[#This Row],[TOTAL]]*DATA[[#This Row],[T.C.]]</f>
        <v>1280.24</v>
      </c>
      <c r="AV1166" s="6">
        <f>DATA[[#This Row],[FECHA DE VAL.]]</f>
        <v>45915</v>
      </c>
      <c r="AW1166" s="6">
        <f>DATA[[#This Row],[FECHA DE EMISION]]</f>
        <v>45972</v>
      </c>
      <c r="AX1166" s="6">
        <f>DATA[[#This Row],[F1]]</f>
        <v>0</v>
      </c>
      <c r="AY1166" s="20">
        <f>IF(AV1166-DATA[[#This Row],[fecha_fs]]&lt;0,0,AV1166-DATA[[#This Row],[fecha_fs]])</f>
        <v>4</v>
      </c>
      <c r="AZ1166" s="20">
        <f t="shared" ref="AZ1166:AZ1193" si="249">IF(AW1166-AV1166&lt;0,0,AW1166-AV1166)</f>
        <v>57</v>
      </c>
      <c r="BA1166" s="53">
        <f t="shared" ref="BA1166:BA1193" si="250">IF(AX1166-AW1166&lt;0,0,AX1166-AW1166)</f>
        <v>0</v>
      </c>
      <c r="BB1166" s="195">
        <f>IFERROR(SUM(DATA[[#This Row],[fs_val_ttf]:[fact_pago_ttf]]),0)</f>
        <v>61</v>
      </c>
      <c r="BC1166" s="233">
        <v>45917</v>
      </c>
      <c r="BD1166" s="233">
        <v>45925</v>
      </c>
      <c r="BE1166" s="233">
        <v>45931</v>
      </c>
      <c r="BF1166" s="233">
        <v>45939</v>
      </c>
      <c r="BG1166" s="20">
        <f>IFERROR(IF(BC1166-DATA[[#This Row],[fecha_fs]]&lt;0,0,BC1166-DATA[[#This Row],[fecha_fs]]),0)</f>
        <v>6</v>
      </c>
      <c r="BH1166" s="20">
        <f t="shared" ref="BH1166:BH1193" si="251">IFERROR(IF(BD1166-BC1166&lt;0,0,BD1166-BC1166),0)</f>
        <v>8</v>
      </c>
      <c r="BI1166" s="20">
        <f t="shared" ref="BI1166:BI1193" si="252">IFERROR(IF(BE1166-BD1166&lt;0,0,BE1166-BD1166),0)</f>
        <v>6</v>
      </c>
      <c r="BJ1166" s="20">
        <f t="shared" ref="BJ1166:BJ1193" si="253">IFERROR(IF(BF1166-BE1166&lt;0,0,BF1166-BE1166),0)</f>
        <v>8</v>
      </c>
      <c r="BK1166" s="282">
        <f>IFERROR(SUM(DATA[[#This Row],[fs_fd_ttd]:[fend_fenf_ttd]]),0)</f>
        <v>28</v>
      </c>
      <c r="BL1166" s="20" t="str">
        <f>IF(DATA[[#This Row],[fecha_fs]]&gt;0,TEXT(DATA[[#This Row],[fecha_fs]],"YYYY"),0)</f>
        <v>2025</v>
      </c>
      <c r="BM1166" s="236" t="b">
        <v>1</v>
      </c>
      <c r="BN1166" s="278">
        <f>COUNTIF(DATA[[#This Row],[tiempo_td]], "&lt;=15")</f>
        <v>0</v>
      </c>
      <c r="BO1166" s="222"/>
    </row>
    <row r="1167" spans="1:67" ht="30.6" customHeight="1" x14ac:dyDescent="0.25">
      <c r="A1167" s="4">
        <v>20100211115</v>
      </c>
      <c r="B1167" s="5" t="s">
        <v>41</v>
      </c>
      <c r="C1167" s="52" t="s">
        <v>18</v>
      </c>
      <c r="D1167" s="4" t="s">
        <v>120</v>
      </c>
      <c r="E1167" s="5" t="s">
        <v>3</v>
      </c>
      <c r="F1167" s="24">
        <v>45910</v>
      </c>
      <c r="G1167" s="7" t="s">
        <v>113</v>
      </c>
      <c r="H1167" s="25">
        <f t="shared" si="248"/>
        <v>1</v>
      </c>
      <c r="I1167" s="67">
        <v>4971</v>
      </c>
      <c r="J1167" s="8" t="s">
        <v>115</v>
      </c>
      <c r="K1167" s="9" t="s">
        <v>121</v>
      </c>
      <c r="L1167" s="10" t="s">
        <v>117</v>
      </c>
      <c r="M1167" s="11">
        <v>90</v>
      </c>
      <c r="N1167" s="12" t="s">
        <v>132</v>
      </c>
      <c r="O1167" s="6">
        <v>45926</v>
      </c>
      <c r="P1167" s="115">
        <v>3679</v>
      </c>
      <c r="Q1167" s="14" t="s">
        <v>85</v>
      </c>
      <c r="R1167" s="74"/>
      <c r="S1167" s="15">
        <f>(DATA[[#This Row],[cantidad_fs]]*4.17)</f>
        <v>375.3</v>
      </c>
      <c r="T1167" s="237">
        <f>DATA[[#This Row],[C. DF]]+DATA[[#This Row],[C.OPE.]]</f>
        <v>375.3</v>
      </c>
      <c r="U1167" s="15">
        <f>DATA[[#This Row],[SUB TOTAL]]*0.18</f>
        <v>67.554000000000002</v>
      </c>
      <c r="V1167" s="15">
        <f>IFERROR(ROUND(DATA[[#This Row],[SUB TOTAL]]+DATA[[#This Row],[IGV]],2),0)</f>
        <v>442.85</v>
      </c>
      <c r="W1167" s="16" t="str">
        <f>IF(DATA[[#This Row],[VALORIZACIÓN ]]="-","NO CORRESPONDE",IF(OR(A1167=20558226979,A1167=10470707866,A1167=20111157058,A1167=20100226902),"NO CORRESPONDE",IF(J1167="Emitida",IF(P1167&gt;0,"EMITIDA","PENDIENTE"),"NO CORRESPONDE")))</f>
        <v>EMITIDA</v>
      </c>
      <c r="X1167" s="29"/>
      <c r="Y1167" s="17" t="s">
        <v>118</v>
      </c>
      <c r="Z1167" s="30">
        <v>45930</v>
      </c>
      <c r="AA1167" s="10" t="s">
        <v>150</v>
      </c>
      <c r="AB1167" s="19">
        <v>269</v>
      </c>
      <c r="AC1167" s="20">
        <v>30</v>
      </c>
      <c r="AD1167" s="18">
        <f>DATA[[#This Row],[FECHA DE EMISION]]+DATA[[#This Row],[CONDICION DE PAGO]]</f>
        <v>45960</v>
      </c>
      <c r="AE1167" s="23">
        <f>IF(DATA[[#This Row],[MONEDA]]="USD",VLOOKUP(DATA[[#This Row],[COMBINADA]],#REF!,11,0),1)</f>
        <v>1</v>
      </c>
      <c r="AF1167" s="129" t="str">
        <f>IF(DATA[[#This Row],[SERIE2]]="-","NO CORRESPONDE",IF(W1167="NO CORRESPONDE","NO CORRESPONDE",IF(Z1167&gt;0,"FACTURADO","PENDIENTE")))</f>
        <v>FACTURADO</v>
      </c>
      <c r="AG1167" s="133">
        <f>IFERROR(VLOOKUP(DATA[[#This Row],[COMBINADA]],#REF!,6,0),0)</f>
        <v>0</v>
      </c>
      <c r="AH1167" s="125">
        <f>IFERROR(VLOOKUP(DATA[[#This Row],[COMBINADA]],#REF!,9,0),0)/COUNTIFS(DATA[COMBINADA],DATA[[#This Row],[COMBINADA]])</f>
        <v>0</v>
      </c>
      <c r="AI1167" s="136">
        <f>IFERROR(VLOOKUP(DATA[[#This Row],[COMBINADA]],#REF!,6,0),0)</f>
        <v>0</v>
      </c>
      <c r="AJ1167" s="132">
        <f>IFERROR(VLOOKUP(DATA[[#This Row],[COMBINADA]],#REF!,9,0),0)/COUNTIFS(DATA[COMBINADA],DATA[[#This Row],[COMBINADA]])</f>
        <v>0</v>
      </c>
      <c r="AK1167" s="407">
        <f>IFERROR(VLOOKUP(DATA[[#This Row],[COMBINADA]],#REF!,6,0),0)</f>
        <v>0</v>
      </c>
      <c r="AL1167" s="125">
        <f>IFERROR(VLOOKUP(DATA[[#This Row],[COMBINADA]],#REF!,9,0),0)/COUNTIFS(DATA[COMBINADA],DATA[[#This Row],[COMBINADA]])</f>
        <v>0</v>
      </c>
      <c r="AM1167" s="27">
        <f>IFERROR(VLOOKUP(DATA[[#This Row],[COMBINADA]],#REF!,6,0),0)</f>
        <v>0</v>
      </c>
      <c r="AN1167" s="125">
        <f>IFERROR(VLOOKUP(DATA[[#This Row],[COMBINADA]],#REF!,9,0),0)/COUNTIFS(DATA[COMBINADA],DATA[[#This Row],[COMBINADA]])</f>
        <v>0</v>
      </c>
      <c r="AO1167" s="27">
        <f>IFERROR(VLOOKUP(DATA[[#This Row],[COMBINADA]],#REF!,6,0),0)</f>
        <v>0</v>
      </c>
      <c r="AP1167" s="132">
        <f>IFERROR(VLOOKUP(DATA[[#This Row],[COMBINADA]],#REF!,9,0),0)/COUNTIFS(DATA[COMBINADA],DATA[[#This Row],[COMBINADA]])</f>
        <v>0</v>
      </c>
      <c r="AQ116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167" s="26" t="str">
        <f>IFERROR(IF(DATA[[#This Row],[estado_fact]]="FACTURADO",VLOOKUP(DATA[[#This Row],[SERIE2]]&amp;"-"&amp;DATA[[#This Row],[NUMERO]],#REF!,34,0),"NO CORRESPONDE"),"NO CORRESPONDE")</f>
        <v>NO CORRESPONDE</v>
      </c>
      <c r="AS1167" s="22" t="str">
        <f>IF(DATA[[#This Row],[fecha_fs]]&gt;0,TEXT(DATA[[#This Row],[fecha_fs]],"Mmmm"),0)</f>
        <v>Setiembre</v>
      </c>
      <c r="AT1167" s="22" t="str">
        <f>DATA[[#This Row],[SERIE2]]&amp;"-"&amp;DATA[[#This Row],[NUMERO]]</f>
        <v>FF01-269</v>
      </c>
      <c r="AU1167" s="28">
        <f>DATA[[#This Row],[TOTAL]]*DATA[[#This Row],[T.C.]]</f>
        <v>442.85</v>
      </c>
      <c r="AV1167" s="6">
        <f>DATA[[#This Row],[FECHA DE VAL.]]</f>
        <v>45926</v>
      </c>
      <c r="AW1167" s="6">
        <f>DATA[[#This Row],[FECHA DE EMISION]]</f>
        <v>45930</v>
      </c>
      <c r="AX1167" s="6">
        <f>DATA[[#This Row],[F1]]</f>
        <v>0</v>
      </c>
      <c r="AY1167" s="20">
        <f>IF(AV1167-DATA[[#This Row],[fecha_fs]]&lt;0,0,AV1167-DATA[[#This Row],[fecha_fs]])</f>
        <v>16</v>
      </c>
      <c r="AZ1167" s="20">
        <f t="shared" si="249"/>
        <v>4</v>
      </c>
      <c r="BA1167" s="53">
        <f t="shared" si="250"/>
        <v>0</v>
      </c>
      <c r="BB1167" s="195">
        <f>IFERROR(SUM(DATA[[#This Row],[fs_val_ttf]:[fact_pago_ttf]]),0)</f>
        <v>20</v>
      </c>
      <c r="BC1167" s="233">
        <v>45932</v>
      </c>
      <c r="BD1167" s="233">
        <v>45939</v>
      </c>
      <c r="BE1167" s="233">
        <v>45939</v>
      </c>
      <c r="BF1167" s="233">
        <v>45940</v>
      </c>
      <c r="BG1167" s="20">
        <f>IFERROR(IF(BC1167-DATA[[#This Row],[fecha_fs]]&lt;0,0,BC1167-DATA[[#This Row],[fecha_fs]]),0)</f>
        <v>22</v>
      </c>
      <c r="BH1167" s="20">
        <f t="shared" si="251"/>
        <v>7</v>
      </c>
      <c r="BI1167" s="20">
        <f t="shared" si="252"/>
        <v>0</v>
      </c>
      <c r="BJ1167" s="20">
        <f t="shared" si="253"/>
        <v>1</v>
      </c>
      <c r="BK1167" s="282">
        <f>IFERROR(SUM(DATA[[#This Row],[fs_fd_ttd]:[fend_fenf_ttd]]),0)</f>
        <v>30</v>
      </c>
      <c r="BL1167" s="20" t="str">
        <f>IF(DATA[[#This Row],[fecha_fs]]&gt;0,TEXT(DATA[[#This Row],[fecha_fs]],"YYYY"),0)</f>
        <v>2025</v>
      </c>
      <c r="BM1167" s="236" t="b">
        <v>1</v>
      </c>
      <c r="BN1167" s="278">
        <f>COUNTIF(DATA[[#This Row],[tiempo_td]], "&lt;=15")</f>
        <v>0</v>
      </c>
      <c r="BO1167" s="222"/>
    </row>
    <row r="1168" spans="1:67" ht="30.6" customHeight="1" x14ac:dyDescent="0.25">
      <c r="A1168" s="4">
        <v>20141637941</v>
      </c>
      <c r="B1168" s="5" t="s">
        <v>79</v>
      </c>
      <c r="C1168" s="52" t="s">
        <v>18</v>
      </c>
      <c r="D1168" s="4" t="s">
        <v>120</v>
      </c>
      <c r="E1168" s="5" t="s">
        <v>3</v>
      </c>
      <c r="F1168" s="24">
        <v>45910</v>
      </c>
      <c r="G1168" s="7" t="s">
        <v>113</v>
      </c>
      <c r="H1168" s="25">
        <f t="shared" si="248"/>
        <v>1</v>
      </c>
      <c r="I1168" s="67">
        <v>4972</v>
      </c>
      <c r="J1168" s="8" t="s">
        <v>115</v>
      </c>
      <c r="K1168" s="9" t="s">
        <v>121</v>
      </c>
      <c r="L1168" s="10" t="s">
        <v>117</v>
      </c>
      <c r="M1168" s="11">
        <v>980</v>
      </c>
      <c r="N1168" s="12" t="s">
        <v>125</v>
      </c>
      <c r="O1168" s="6">
        <v>45918</v>
      </c>
      <c r="P1168" s="110">
        <v>3665</v>
      </c>
      <c r="Q1168" s="14" t="s">
        <v>85</v>
      </c>
      <c r="R1168" s="15">
        <v>80</v>
      </c>
      <c r="S1168" s="309">
        <v>832</v>
      </c>
      <c r="T1168" s="237">
        <f>DATA[[#This Row],[C. DF]]+DATA[[#This Row],[C.OPE.]]</f>
        <v>912</v>
      </c>
      <c r="U1168" s="15">
        <f>DATA[[#This Row],[SUB TOTAL]]*0.18</f>
        <v>164.16</v>
      </c>
      <c r="V1168" s="15">
        <f>IFERROR(ROUND(DATA[[#This Row],[SUB TOTAL]]+DATA[[#This Row],[IGV]],2),0)</f>
        <v>1076.1600000000001</v>
      </c>
      <c r="W1168" s="16" t="str">
        <f>IF(DATA[[#This Row],[VALORIZACIÓN ]]="-","NO CORRESPONDE",IF(OR(A1168=20558226979,A1168=10470707866,A1168=20111157058,A1168=20100226902),"NO CORRESPONDE",IF(J1168="Emitida",IF(P1168&gt;0,"EMITIDA","PENDIENTE"),"NO CORRESPONDE")))</f>
        <v>EMITIDA</v>
      </c>
      <c r="X1168" s="29"/>
      <c r="Y1168" s="17" t="s">
        <v>118</v>
      </c>
      <c r="Z1168" s="30">
        <v>45931</v>
      </c>
      <c r="AA1168" s="10" t="s">
        <v>150</v>
      </c>
      <c r="AB1168" s="19">
        <v>273</v>
      </c>
      <c r="AC1168" s="20">
        <v>30</v>
      </c>
      <c r="AD1168" s="18">
        <f>DATA[[#This Row],[FECHA DE EMISION]]+DATA[[#This Row],[CONDICION DE PAGO]]</f>
        <v>45961</v>
      </c>
      <c r="AE1168" s="23">
        <f>IF(DATA[[#This Row],[MONEDA]]="USD",VLOOKUP(DATA[[#This Row],[COMBINADA]],#REF!,11,0),1)</f>
        <v>1</v>
      </c>
      <c r="AF1168" s="129" t="str">
        <f>IF(DATA[[#This Row],[SERIE2]]="-","NO CORRESPONDE",IF(W1168="NO CORRESPONDE","NO CORRESPONDE",IF(Z1168&gt;0,"FACTURADO","PENDIENTE")))</f>
        <v>FACTURADO</v>
      </c>
      <c r="AG1168" s="133">
        <f>IFERROR(VLOOKUP(DATA[[#This Row],[COMBINADA]],#REF!,6,0),0)</f>
        <v>0</v>
      </c>
      <c r="AH1168" s="125">
        <f>IFERROR(VLOOKUP(DATA[[#This Row],[COMBINADA]],#REF!,9,0),0)/COUNTIFS(DATA[COMBINADA],DATA[[#This Row],[COMBINADA]])</f>
        <v>0</v>
      </c>
      <c r="AI1168" s="136">
        <f>IFERROR(VLOOKUP(DATA[[#This Row],[COMBINADA]],#REF!,6,0),0)</f>
        <v>0</v>
      </c>
      <c r="AJ1168" s="132">
        <f>IFERROR(VLOOKUP(DATA[[#This Row],[COMBINADA]],#REF!,9,0),0)/COUNTIFS(DATA[COMBINADA],DATA[[#This Row],[COMBINADA]])</f>
        <v>0</v>
      </c>
      <c r="AK1168" s="407">
        <f>IFERROR(VLOOKUP(DATA[[#This Row],[COMBINADA]],#REF!,6,0),0)</f>
        <v>0</v>
      </c>
      <c r="AL1168" s="125">
        <f>IFERROR(VLOOKUP(DATA[[#This Row],[COMBINADA]],#REF!,9,0),0)/COUNTIFS(DATA[COMBINADA],DATA[[#This Row],[COMBINADA]])</f>
        <v>0</v>
      </c>
      <c r="AM1168" s="27">
        <f>IFERROR(VLOOKUP(DATA[[#This Row],[COMBINADA]],#REF!,6,0),0)</f>
        <v>0</v>
      </c>
      <c r="AN1168" s="125">
        <f>IFERROR(VLOOKUP(DATA[[#This Row],[COMBINADA]],#REF!,9,0),0)/COUNTIFS(DATA[COMBINADA],DATA[[#This Row],[COMBINADA]])</f>
        <v>0</v>
      </c>
      <c r="AO1168" s="27">
        <f>IFERROR(VLOOKUP(DATA[[#This Row],[COMBINADA]],#REF!,6,0),0)</f>
        <v>0</v>
      </c>
      <c r="AP1168" s="132">
        <f>IFERROR(VLOOKUP(DATA[[#This Row],[COMBINADA]],#REF!,9,0),0)/COUNTIFS(DATA[COMBINADA],DATA[[#This Row],[COMBINADA]])</f>
        <v>0</v>
      </c>
      <c r="AQ116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1088.4324999999999</v>
      </c>
      <c r="AR1168" s="26" t="str">
        <f>IFERROR(IF(DATA[[#This Row],[estado_fact]]="FACTURADO",VLOOKUP(DATA[[#This Row],[SERIE2]]&amp;"-"&amp;DATA[[#This Row],[NUMERO]],#REF!,34,0),"NO CORRESPONDE"),"NO CORRESPONDE")</f>
        <v>NO CORRESPONDE</v>
      </c>
      <c r="AS1168" s="22" t="str">
        <f>IF(DATA[[#This Row],[fecha_fs]]&gt;0,TEXT(DATA[[#This Row],[fecha_fs]],"Mmmm"),0)</f>
        <v>Setiembre</v>
      </c>
      <c r="AT1168" s="22" t="str">
        <f>DATA[[#This Row],[SERIE2]]&amp;"-"&amp;DATA[[#This Row],[NUMERO]]</f>
        <v>FF01-273</v>
      </c>
      <c r="AU1168" s="28">
        <f>DATA[[#This Row],[TOTAL]]*DATA[[#This Row],[T.C.]]</f>
        <v>1076.1600000000001</v>
      </c>
      <c r="AV1168" s="6">
        <f>DATA[[#This Row],[FECHA DE VAL.]]</f>
        <v>45918</v>
      </c>
      <c r="AW1168" s="6">
        <f>DATA[[#This Row],[FECHA DE EMISION]]</f>
        <v>45931</v>
      </c>
      <c r="AX1168" s="6">
        <f>DATA[[#This Row],[F1]]</f>
        <v>0</v>
      </c>
      <c r="AY1168" s="20">
        <f>IF(AV1168-DATA[[#This Row],[fecha_fs]]&lt;0,0,AV1168-DATA[[#This Row],[fecha_fs]])</f>
        <v>8</v>
      </c>
      <c r="AZ1168" s="20">
        <f t="shared" si="249"/>
        <v>13</v>
      </c>
      <c r="BA1168" s="53">
        <f t="shared" si="250"/>
        <v>0</v>
      </c>
      <c r="BB1168" s="195">
        <f>IFERROR(SUM(DATA[[#This Row],[fs_val_ttf]:[fact_pago_ttf]]),0)</f>
        <v>21</v>
      </c>
      <c r="BC1168" s="233">
        <v>45910</v>
      </c>
      <c r="BD1168" s="233">
        <v>45911</v>
      </c>
      <c r="BE1168" s="377">
        <v>45931</v>
      </c>
      <c r="BF1168" s="233">
        <v>45939</v>
      </c>
      <c r="BG1168" s="20">
        <f>IFERROR(IF(BC1168-DATA[[#This Row],[fecha_fs]]&lt;0,0,BC1168-DATA[[#This Row],[fecha_fs]]),0)</f>
        <v>0</v>
      </c>
      <c r="BH1168" s="20">
        <f t="shared" si="251"/>
        <v>1</v>
      </c>
      <c r="BI1168" s="20">
        <f t="shared" si="252"/>
        <v>20</v>
      </c>
      <c r="BJ1168" s="20">
        <f t="shared" si="253"/>
        <v>8</v>
      </c>
      <c r="BK1168" s="282">
        <f>IFERROR(SUM(DATA[[#This Row],[fs_fd_ttd]:[fend_fenf_ttd]]),0)</f>
        <v>29</v>
      </c>
      <c r="BL1168" s="20" t="str">
        <f>IF(DATA[[#This Row],[fecha_fs]]&gt;0,TEXT(DATA[[#This Row],[fecha_fs]],"YYYY"),0)</f>
        <v>2025</v>
      </c>
      <c r="BM1168" s="236" t="b">
        <v>1</v>
      </c>
      <c r="BN1168" s="278">
        <f>COUNTIF(DATA[[#This Row],[tiempo_td]], "&lt;=15")</f>
        <v>0</v>
      </c>
      <c r="BO1168" s="222"/>
    </row>
    <row r="1169" spans="1:67" ht="30.6" customHeight="1" x14ac:dyDescent="0.25">
      <c r="A1169" s="4">
        <v>20100226902</v>
      </c>
      <c r="B1169" s="5" t="s">
        <v>24</v>
      </c>
      <c r="C1169" s="52" t="s">
        <v>18</v>
      </c>
      <c r="D1169" s="4" t="s">
        <v>120</v>
      </c>
      <c r="E1169" s="5" t="s">
        <v>3</v>
      </c>
      <c r="F1169" s="24">
        <v>45910</v>
      </c>
      <c r="G1169" s="7" t="s">
        <v>113</v>
      </c>
      <c r="H1169" s="25">
        <f t="shared" si="248"/>
        <v>1</v>
      </c>
      <c r="I1169" s="67">
        <v>4973</v>
      </c>
      <c r="J1169" s="8" t="s">
        <v>115</v>
      </c>
      <c r="K1169" s="9" t="s">
        <v>121</v>
      </c>
      <c r="L1169" s="10" t="s">
        <v>117</v>
      </c>
      <c r="M1169" s="11">
        <v>450</v>
      </c>
      <c r="N1169" s="12" t="s">
        <v>327</v>
      </c>
      <c r="O1169" s="295"/>
      <c r="P1169" s="296" t="s">
        <v>114</v>
      </c>
      <c r="Q1169" s="297"/>
      <c r="R1169" s="298"/>
      <c r="S1169" s="298"/>
      <c r="T1169" s="298">
        <v>0</v>
      </c>
      <c r="U1169" s="298">
        <v>0</v>
      </c>
      <c r="V1169" s="298">
        <v>0</v>
      </c>
      <c r="W1169" s="16" t="s">
        <v>128</v>
      </c>
      <c r="X1169" s="299"/>
      <c r="Y1169" s="17" t="s">
        <v>128</v>
      </c>
      <c r="Z1169" s="300"/>
      <c r="AA1169" s="301"/>
      <c r="AB1169" s="302"/>
      <c r="AC1169" s="303"/>
      <c r="AD1169" s="304">
        <v>0</v>
      </c>
      <c r="AE1169" s="23">
        <v>1</v>
      </c>
      <c r="AF1169" s="129" t="s">
        <v>128</v>
      </c>
      <c r="AG1169" s="310">
        <f>IFERROR(VLOOKUP(DATA[[#This Row],[COMBINADA]],#REF!,6,0),0)</f>
        <v>0</v>
      </c>
      <c r="AH1169" s="311">
        <f>IFERROR(VLOOKUP(DATA[[#This Row],[COMBINADA]],#REF!,9,0),0)/COUNTIFS(DATA[COMBINADA],DATA[[#This Row],[COMBINADA]])</f>
        <v>0</v>
      </c>
      <c r="AI1169" s="310">
        <f>IFERROR(VLOOKUP(DATA[[#This Row],[COMBINADA]],#REF!,6,0),0)</f>
        <v>0</v>
      </c>
      <c r="AJ1169" s="311">
        <f>IFERROR(VLOOKUP(DATA[[#This Row],[COMBINADA]],#REF!,9,0),0)/COUNTIFS(DATA[COMBINADA],DATA[[#This Row],[COMBINADA]])</f>
        <v>0</v>
      </c>
      <c r="AK1169" s="413">
        <f>IFERROR(VLOOKUP(DATA[[#This Row],[COMBINADA]],#REF!,6,0),0)</f>
        <v>0</v>
      </c>
      <c r="AL1169" s="311">
        <f>IFERROR(VLOOKUP(DATA[[#This Row],[COMBINADA]],#REF!,9,0),0)/COUNTIFS(DATA[COMBINADA],DATA[[#This Row],[COMBINADA]])</f>
        <v>0</v>
      </c>
      <c r="AM1169" s="312">
        <f>IFERROR(VLOOKUP(DATA[[#This Row],[COMBINADA]],#REF!,6,0),0)</f>
        <v>0</v>
      </c>
      <c r="AN1169" s="311">
        <f>IFERROR(VLOOKUP(DATA[[#This Row],[COMBINADA]],#REF!,9,0),0)/COUNTIFS(DATA[COMBINADA],DATA[[#This Row],[COMBINADA]])</f>
        <v>0</v>
      </c>
      <c r="AO1169" s="313">
        <f>IFERROR(VLOOKUP(DATA[[#This Row],[COMBINADA]],#REF!,6,0),0)</f>
        <v>0</v>
      </c>
      <c r="AP1169" s="311">
        <f>IFERROR(VLOOKUP(DATA[[#This Row],[COMBINADA]],#REF!,9,0),0)/COUNTIFS(DATA[COMBINADA],DATA[[#This Row],[COMBINADA]])</f>
        <v>0</v>
      </c>
      <c r="AQ1169" s="314">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169" s="315" t="str">
        <f>IFERROR(IF(DATA[[#This Row],[estado_fact]]="FACTURADO",VLOOKUP(DATA[[#This Row],[SERIE2]]&amp;"-"&amp;DATA[[#This Row],[NUMERO]],#REF!,34,0),"NO CORRESPONDE"),"NO CORRESPONDE")</f>
        <v>NO CORRESPONDE</v>
      </c>
      <c r="AS1169" s="22" t="str">
        <f>IF(DATA[[#This Row],[fecha_fs]]&gt;0,TEXT(DATA[[#This Row],[fecha_fs]],"Mmmm"),0)</f>
        <v>Setiembre</v>
      </c>
      <c r="AT1169" s="22" t="str">
        <f>DATA[[#This Row],[SERIE2]]&amp;"-"&amp;DATA[[#This Row],[NUMERO]]</f>
        <v>-</v>
      </c>
      <c r="AU1169" s="28">
        <f>DATA[[#This Row],[TOTAL]]*DATA[[#This Row],[T.C.]]</f>
        <v>0</v>
      </c>
      <c r="AV1169" s="6">
        <f>DATA[[#This Row],[FECHA DE VAL.]]</f>
        <v>0</v>
      </c>
      <c r="AW1169" s="6">
        <f>DATA[[#This Row],[FECHA DE EMISION]]</f>
        <v>0</v>
      </c>
      <c r="AX1169" s="6"/>
      <c r="AY1169" s="20">
        <f>IF(AV1169-DATA[[#This Row],[fecha_fs]]&lt;0,0,AV1169-DATA[[#This Row],[fecha_fs]])</f>
        <v>0</v>
      </c>
      <c r="AZ1169" s="20">
        <f t="shared" si="249"/>
        <v>0</v>
      </c>
      <c r="BA1169" s="53">
        <f t="shared" si="250"/>
        <v>0</v>
      </c>
      <c r="BB1169" s="195">
        <f>IFERROR(SUM(DATA[[#This Row],[fs_val_ttf]:[fact_pago_ttf]]),0)</f>
        <v>0</v>
      </c>
      <c r="BC1169" s="233">
        <v>45910</v>
      </c>
      <c r="BD1169" s="233">
        <v>45910</v>
      </c>
      <c r="BE1169" s="233">
        <v>45933</v>
      </c>
      <c r="BF1169" s="233">
        <v>45933</v>
      </c>
      <c r="BG1169" s="20">
        <f>IFERROR(IF(BC1169-DATA[[#This Row],[fecha_fs]]&lt;0,0,BC1169-DATA[[#This Row],[fecha_fs]]),0)</f>
        <v>0</v>
      </c>
      <c r="BH1169" s="20">
        <f t="shared" si="251"/>
        <v>0</v>
      </c>
      <c r="BI1169" s="20">
        <f t="shared" si="252"/>
        <v>23</v>
      </c>
      <c r="BJ1169" s="20">
        <f t="shared" si="253"/>
        <v>0</v>
      </c>
      <c r="BK1169" s="282">
        <f>IFERROR(SUM(DATA[[#This Row],[fs_fd_ttd]:[fend_fenf_ttd]]),0)</f>
        <v>23</v>
      </c>
      <c r="BL1169" s="20" t="str">
        <f>IF(DATA[[#This Row],[fecha_fs]]&gt;0,TEXT(DATA[[#This Row],[fecha_fs]],"YYYY"),0)</f>
        <v>2025</v>
      </c>
      <c r="BM1169" s="236" t="b">
        <v>1</v>
      </c>
      <c r="BN1169" s="278">
        <f>COUNTIF(DATA[[#This Row],[tiempo_td]], "&lt;=15")</f>
        <v>0</v>
      </c>
      <c r="BO1169" s="222"/>
    </row>
    <row r="1170" spans="1:67" ht="30.6" customHeight="1" x14ac:dyDescent="0.25">
      <c r="A1170" s="4">
        <v>20100192064</v>
      </c>
      <c r="B1170" s="5" t="s">
        <v>60</v>
      </c>
      <c r="C1170" s="52" t="s">
        <v>63</v>
      </c>
      <c r="D1170" s="4" t="s">
        <v>120</v>
      </c>
      <c r="E1170" s="5" t="s">
        <v>3</v>
      </c>
      <c r="F1170" s="24">
        <v>45910</v>
      </c>
      <c r="G1170" s="7" t="s">
        <v>142</v>
      </c>
      <c r="H1170" s="25">
        <f t="shared" ref="H1170:H1171" si="254">IF(G1170="","",IF(G1170="LIM",2,1))</f>
        <v>2</v>
      </c>
      <c r="I1170" s="67">
        <v>1135</v>
      </c>
      <c r="J1170" s="8" t="s">
        <v>115</v>
      </c>
      <c r="K1170" s="9" t="s">
        <v>121</v>
      </c>
      <c r="L1170" s="10" t="s">
        <v>117</v>
      </c>
      <c r="M1170" s="11">
        <v>280</v>
      </c>
      <c r="N1170" s="12" t="s">
        <v>180</v>
      </c>
      <c r="O1170" s="6">
        <v>45926</v>
      </c>
      <c r="P1170" s="71">
        <v>3697</v>
      </c>
      <c r="Q1170" s="14" t="s">
        <v>123</v>
      </c>
      <c r="R1170" s="15">
        <f>(DATA[[#This Row],[cantidad_fs]]/1000)*(37+82.74)</f>
        <v>33.527200000000001</v>
      </c>
      <c r="S1170" s="15">
        <v>148.53</v>
      </c>
      <c r="T1170" s="237">
        <f>DATA[[#This Row],[C. DF]]+DATA[[#This Row],[C.OPE.]]</f>
        <v>182.05719999999999</v>
      </c>
      <c r="U1170" s="15">
        <f>DATA[[#This Row],[SUB TOTAL]]*0.18</f>
        <v>32.770295999999995</v>
      </c>
      <c r="V1170" s="15">
        <f>IFERROR(ROUND(DATA[[#This Row],[SUB TOTAL]]+DATA[[#This Row],[IGV]],2),0)</f>
        <v>214.83</v>
      </c>
      <c r="W1170" s="16" t="str">
        <f>IF(DATA[[#This Row],[VALORIZACIÓN ]]="-","NO CORRESPONDE",IF(OR(A1170=20558226979,A1170=10470707866,A1170=20111157058,A1170=20100226902),"NO CORRESPONDE",IF(J1170="Emitida",IF(P1170&gt;0,"EMITIDA","PENDIENTE"),"NO CORRESPONDE")))</f>
        <v>EMITIDA</v>
      </c>
      <c r="X1170" s="29"/>
      <c r="Y1170" s="17" t="s">
        <v>118</v>
      </c>
      <c r="Z1170" s="30">
        <v>45929</v>
      </c>
      <c r="AA1170" s="10" t="s">
        <v>150</v>
      </c>
      <c r="AB1170" s="19">
        <v>268</v>
      </c>
      <c r="AC1170" s="20">
        <v>30</v>
      </c>
      <c r="AD1170" s="18">
        <f>DATA[[#This Row],[FECHA DE EMISION]]+DATA[[#This Row],[CONDICION DE PAGO]]</f>
        <v>45959</v>
      </c>
      <c r="AE1170" s="23" t="e">
        <f>IF(DATA[[#This Row],[MONEDA]]="USD",VLOOKUP(DATA[[#This Row],[COMBINADA]],#REF!,11,0),1)</f>
        <v>#REF!</v>
      </c>
      <c r="AF1170" s="129" t="str">
        <f>IF(DATA[[#This Row],[SERIE2]]="-","NO CORRESPONDE",IF(W1170="NO CORRESPONDE","NO CORRESPONDE",IF(Z1170&gt;0,"FACTURADO","PENDIENTE")))</f>
        <v>FACTURADO</v>
      </c>
      <c r="AG1170" s="133">
        <f>IFERROR(VLOOKUP(DATA[[#This Row],[COMBINADA]],#REF!,6,0),0)</f>
        <v>0</v>
      </c>
      <c r="AH1170" s="125">
        <f>IFERROR(VLOOKUP(DATA[[#This Row],[COMBINADA]],#REF!,9,0),0)/COUNTIFS(DATA[COMBINADA],DATA[[#This Row],[COMBINADA]])</f>
        <v>0</v>
      </c>
      <c r="AI1170" s="136">
        <f>IFERROR(VLOOKUP(DATA[[#This Row],[COMBINADA]],#REF!,6,0),0)</f>
        <v>0</v>
      </c>
      <c r="AJ1170" s="132">
        <f>IFERROR(VLOOKUP(DATA[[#This Row],[COMBINADA]],#REF!,9,0),0)/COUNTIFS(DATA[COMBINADA],DATA[[#This Row],[COMBINADA]])</f>
        <v>0</v>
      </c>
      <c r="AK1170" s="407">
        <f>IFERROR(VLOOKUP(DATA[[#This Row],[COMBINADA]],#REF!,6,0),0)</f>
        <v>0</v>
      </c>
      <c r="AL1170" s="125">
        <f>IFERROR(VLOOKUP(DATA[[#This Row],[COMBINADA]],#REF!,9,0),0)/COUNTIFS(DATA[COMBINADA],DATA[[#This Row],[COMBINADA]])</f>
        <v>0</v>
      </c>
      <c r="AM1170" s="27">
        <f>IFERROR(VLOOKUP(DATA[[#This Row],[COMBINADA]],#REF!,6,0),0)</f>
        <v>0</v>
      </c>
      <c r="AN1170" s="125">
        <f>IFERROR(VLOOKUP(DATA[[#This Row],[COMBINADA]],#REF!,9,0),0)/COUNTIFS(DATA[COMBINADA],DATA[[#This Row],[COMBINADA]])</f>
        <v>0</v>
      </c>
      <c r="AO1170" s="27">
        <f>IFERROR(VLOOKUP(DATA[[#This Row],[COMBINADA]],#REF!,6,0),0)</f>
        <v>0</v>
      </c>
      <c r="AP1170" s="132">
        <f>IFERROR(VLOOKUP(DATA[[#This Row],[COMBINADA]],#REF!,9,0),0)/COUNTIFS(DATA[COMBINADA],DATA[[#This Row],[COMBINADA]])</f>
        <v>0</v>
      </c>
      <c r="AQ117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535.76357142857137</v>
      </c>
      <c r="AR1170" s="26" t="str">
        <f>IFERROR(IF(DATA[[#This Row],[estado_fact]]="FACTURADO",VLOOKUP(DATA[[#This Row],[SERIE2]]&amp;"-"&amp;DATA[[#This Row],[NUMERO]],#REF!,34,0),"NO CORRESPONDE"),"NO CORRESPONDE")</f>
        <v>NO CORRESPONDE</v>
      </c>
      <c r="AS1170" s="22" t="str">
        <f>IF(DATA[[#This Row],[fecha_fs]]&gt;0,TEXT(DATA[[#This Row],[fecha_fs]],"Mmmm"),0)</f>
        <v>Setiembre</v>
      </c>
      <c r="AT1170" s="22" t="str">
        <f>DATA[[#This Row],[SERIE2]]&amp;"-"&amp;DATA[[#This Row],[NUMERO]]</f>
        <v>FF01-268</v>
      </c>
      <c r="AU1170" s="28" t="e">
        <f>DATA[[#This Row],[TOTAL]]*DATA[[#This Row],[T.C.]]</f>
        <v>#REF!</v>
      </c>
      <c r="AV1170" s="6">
        <f>DATA[[#This Row],[FECHA DE VAL.]]</f>
        <v>45926</v>
      </c>
      <c r="AW1170" s="6">
        <f>DATA[[#This Row],[FECHA DE EMISION]]</f>
        <v>45929</v>
      </c>
      <c r="AX1170" s="6">
        <f>DATA[[#This Row],[F1]]</f>
        <v>0</v>
      </c>
      <c r="AY1170" s="20">
        <f>IF(AV1170-DATA[[#This Row],[fecha_fs]]&lt;0,0,AV1170-DATA[[#This Row],[fecha_fs]])</f>
        <v>16</v>
      </c>
      <c r="AZ1170" s="20">
        <f t="shared" ref="AZ1170:AZ1171" si="255">IF(AW1170-AV1170&lt;0,0,AW1170-AV1170)</f>
        <v>3</v>
      </c>
      <c r="BA1170" s="53">
        <f t="shared" ref="BA1170:BA1171" si="256">IF(AX1170-AW1170&lt;0,0,AX1170-AW1170)</f>
        <v>0</v>
      </c>
      <c r="BB1170" s="195">
        <f>IFERROR(SUM(DATA[[#This Row],[fs_val_ttf]:[fact_pago_ttf]]),0)</f>
        <v>19</v>
      </c>
      <c r="BC1170" s="233">
        <v>45916</v>
      </c>
      <c r="BD1170" s="233">
        <v>45932</v>
      </c>
      <c r="BE1170" s="233">
        <v>45936</v>
      </c>
      <c r="BF1170" s="233">
        <v>45945</v>
      </c>
      <c r="BG1170" s="20">
        <f>IFERROR(IF(BC1170-DATA[[#This Row],[fecha_fs]]&lt;0,0,BC1170-DATA[[#This Row],[fecha_fs]]),0)</f>
        <v>6</v>
      </c>
      <c r="BH1170" s="20">
        <f t="shared" ref="BH1170:BH1171" si="257">IFERROR(IF(BD1170-BC1170&lt;0,0,BD1170-BC1170),0)</f>
        <v>16</v>
      </c>
      <c r="BI1170" s="20">
        <f t="shared" ref="BI1170:BI1171" si="258">IFERROR(IF(BE1170-BD1170&lt;0,0,BE1170-BD1170),0)</f>
        <v>4</v>
      </c>
      <c r="BJ1170" s="20">
        <f t="shared" ref="BJ1170:BJ1171" si="259">IFERROR(IF(BF1170-BE1170&lt;0,0,BF1170-BE1170),0)</f>
        <v>9</v>
      </c>
      <c r="BK1170" s="282">
        <f>IFERROR(SUM(DATA[[#This Row],[fs_fd_ttd]:[fend_fenf_ttd]]),0)</f>
        <v>35</v>
      </c>
      <c r="BL1170" s="20" t="str">
        <f>IF(DATA[[#This Row],[fecha_fs]]&gt;0,TEXT(DATA[[#This Row],[fecha_fs]],"YYYY"),0)</f>
        <v>2025</v>
      </c>
      <c r="BM1170" s="236" t="b">
        <v>1</v>
      </c>
      <c r="BN1170" s="278">
        <f>COUNTIF(DATA[[#This Row],[tiempo_td]], "&lt;=15")</f>
        <v>0</v>
      </c>
      <c r="BO1170" s="222"/>
    </row>
    <row r="1171" spans="1:67" ht="30.6" customHeight="1" x14ac:dyDescent="0.25">
      <c r="A1171" s="4">
        <v>20100192064</v>
      </c>
      <c r="B1171" s="5" t="s">
        <v>60</v>
      </c>
      <c r="C1171" s="52" t="s">
        <v>63</v>
      </c>
      <c r="D1171" s="4" t="s">
        <v>112</v>
      </c>
      <c r="E1171" s="5" t="s">
        <v>1</v>
      </c>
      <c r="F1171" s="24">
        <v>45910</v>
      </c>
      <c r="G1171" s="7" t="s">
        <v>142</v>
      </c>
      <c r="H1171" s="25">
        <f t="shared" si="254"/>
        <v>2</v>
      </c>
      <c r="I1171" s="67">
        <v>1136</v>
      </c>
      <c r="J1171" s="8" t="s">
        <v>115</v>
      </c>
      <c r="K1171" s="9" t="s">
        <v>116</v>
      </c>
      <c r="L1171" s="10" t="s">
        <v>117</v>
      </c>
      <c r="M1171" s="11">
        <v>15</v>
      </c>
      <c r="N1171" s="12" t="s">
        <v>180</v>
      </c>
      <c r="O1171" s="6">
        <v>45926</v>
      </c>
      <c r="P1171" s="71">
        <v>3698</v>
      </c>
      <c r="Q1171" s="14" t="s">
        <v>123</v>
      </c>
      <c r="R1171" s="15">
        <f>(DATA[[#This Row],[cantidad_fs]]/1000)*(147+82.74)</f>
        <v>3.4460999999999999</v>
      </c>
      <c r="S1171" s="15">
        <v>148.53</v>
      </c>
      <c r="T1171" s="237">
        <f>DATA[[#This Row],[C. DF]]+DATA[[#This Row],[C.OPE.]]</f>
        <v>151.9761</v>
      </c>
      <c r="U1171" s="15">
        <f>DATA[[#This Row],[SUB TOTAL]]*0.18</f>
        <v>27.355698</v>
      </c>
      <c r="V1171" s="15">
        <f>IFERROR(ROUND(DATA[[#This Row],[SUB TOTAL]]+DATA[[#This Row],[IGV]],2),0)</f>
        <v>179.33</v>
      </c>
      <c r="W1171" s="16" t="str">
        <f>IF(DATA[[#This Row],[VALORIZACIÓN ]]="-","NO CORRESPONDE",IF(OR(A1171=20558226979,A1171=10470707866,A1171=20111157058,A1171=20100226902),"NO CORRESPONDE",IF(J1171="Emitida",IF(P1171&gt;0,"EMITIDA","PENDIENTE"),"NO CORRESPONDE")))</f>
        <v>EMITIDA</v>
      </c>
      <c r="X1171" s="29"/>
      <c r="Y1171" s="17" t="s">
        <v>118</v>
      </c>
      <c r="Z1171" s="30">
        <v>45929</v>
      </c>
      <c r="AA1171" s="10" t="s">
        <v>150</v>
      </c>
      <c r="AB1171" s="19">
        <v>268</v>
      </c>
      <c r="AC1171" s="20">
        <v>30</v>
      </c>
      <c r="AD1171" s="18">
        <f>DATA[[#This Row],[FECHA DE EMISION]]+DATA[[#This Row],[CONDICION DE PAGO]]</f>
        <v>45959</v>
      </c>
      <c r="AE1171" s="23" t="e">
        <f>IF(DATA[[#This Row],[MONEDA]]="USD",VLOOKUP(DATA[[#This Row],[COMBINADA]],#REF!,11,0),1)</f>
        <v>#REF!</v>
      </c>
      <c r="AF1171" s="129" t="str">
        <f>IF(DATA[[#This Row],[SERIE2]]="-","NO CORRESPONDE",IF(W1171="NO CORRESPONDE","NO CORRESPONDE",IF(Z1171&gt;0,"FACTURADO","PENDIENTE")))</f>
        <v>FACTURADO</v>
      </c>
      <c r="AG1171" s="133">
        <f>IFERROR(VLOOKUP(DATA[[#This Row],[COMBINADA]],#REF!,6,0),0)</f>
        <v>0</v>
      </c>
      <c r="AH1171" s="125">
        <f>IFERROR(VLOOKUP(DATA[[#This Row],[COMBINADA]],#REF!,9,0),0)/COUNTIFS(DATA[COMBINADA],DATA[[#This Row],[COMBINADA]])</f>
        <v>0</v>
      </c>
      <c r="AI1171" s="136">
        <f>IFERROR(VLOOKUP(DATA[[#This Row],[COMBINADA]],#REF!,6,0),0)</f>
        <v>0</v>
      </c>
      <c r="AJ1171" s="132">
        <f>IFERROR(VLOOKUP(DATA[[#This Row],[COMBINADA]],#REF!,9,0),0)/COUNTIFS(DATA[COMBINADA],DATA[[#This Row],[COMBINADA]])</f>
        <v>0</v>
      </c>
      <c r="AK1171" s="407">
        <f>IFERROR(VLOOKUP(DATA[[#This Row],[COMBINADA]],#REF!,6,0),0)</f>
        <v>0</v>
      </c>
      <c r="AL1171" s="125">
        <f>IFERROR(VLOOKUP(DATA[[#This Row],[COMBINADA]],#REF!,9,0),0)/COUNTIFS(DATA[COMBINADA],DATA[[#This Row],[COMBINADA]])</f>
        <v>0</v>
      </c>
      <c r="AM1171" s="27">
        <f>IFERROR(VLOOKUP(DATA[[#This Row],[COMBINADA]],#REF!,6,0),0)</f>
        <v>0</v>
      </c>
      <c r="AN1171" s="125">
        <f>IFERROR(VLOOKUP(DATA[[#This Row],[COMBINADA]],#REF!,9,0),0)/COUNTIFS(DATA[COMBINADA],DATA[[#This Row],[COMBINADA]])</f>
        <v>0</v>
      </c>
      <c r="AO1171" s="27">
        <f>IFERROR(VLOOKUP(DATA[[#This Row],[COMBINADA]],#REF!,6,0),0)</f>
        <v>0</v>
      </c>
      <c r="AP1171" s="132">
        <f>IFERROR(VLOOKUP(DATA[[#This Row],[COMBINADA]],#REF!,9,0),0)/COUNTIFS(DATA[COMBINADA],DATA[[#This Row],[COMBINADA]])</f>
        <v>0</v>
      </c>
      <c r="AQ117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535.76357142857137</v>
      </c>
      <c r="AR1171" s="26" t="str">
        <f>IFERROR(IF(DATA[[#This Row],[estado_fact]]="FACTURADO",VLOOKUP(DATA[[#This Row],[SERIE2]]&amp;"-"&amp;DATA[[#This Row],[NUMERO]],#REF!,34,0),"NO CORRESPONDE"),"NO CORRESPONDE")</f>
        <v>NO CORRESPONDE</v>
      </c>
      <c r="AS1171" s="22" t="str">
        <f>IF(DATA[[#This Row],[fecha_fs]]&gt;0,TEXT(DATA[[#This Row],[fecha_fs]],"Mmmm"),0)</f>
        <v>Setiembre</v>
      </c>
      <c r="AT1171" s="22" t="str">
        <f>DATA[[#This Row],[SERIE2]]&amp;"-"&amp;DATA[[#This Row],[NUMERO]]</f>
        <v>FF01-268</v>
      </c>
      <c r="AU1171" s="28" t="e">
        <f>DATA[[#This Row],[TOTAL]]*DATA[[#This Row],[T.C.]]</f>
        <v>#REF!</v>
      </c>
      <c r="AV1171" s="6">
        <f>DATA[[#This Row],[FECHA DE VAL.]]</f>
        <v>45926</v>
      </c>
      <c r="AW1171" s="6">
        <f>DATA[[#This Row],[FECHA DE EMISION]]</f>
        <v>45929</v>
      </c>
      <c r="AX1171" s="6">
        <f>DATA[[#This Row],[F1]]</f>
        <v>0</v>
      </c>
      <c r="AY1171" s="20">
        <f>IF(AV1171-DATA[[#This Row],[fecha_fs]]&lt;0,0,AV1171-DATA[[#This Row],[fecha_fs]])</f>
        <v>16</v>
      </c>
      <c r="AZ1171" s="20">
        <f t="shared" si="255"/>
        <v>3</v>
      </c>
      <c r="BA1171" s="53">
        <f t="shared" si="256"/>
        <v>0</v>
      </c>
      <c r="BB1171" s="195">
        <f>IFERROR(SUM(DATA[[#This Row],[fs_val_ttf]:[fact_pago_ttf]]),0)</f>
        <v>19</v>
      </c>
      <c r="BC1171" s="233">
        <v>45911</v>
      </c>
      <c r="BD1171" s="233">
        <v>45919</v>
      </c>
      <c r="BE1171" s="233">
        <v>45931</v>
      </c>
      <c r="BF1171" s="233">
        <v>45945</v>
      </c>
      <c r="BG1171" s="20">
        <f>IFERROR(IF(BC1171-DATA[[#This Row],[fecha_fs]]&lt;0,0,BC1171-DATA[[#This Row],[fecha_fs]]),0)</f>
        <v>1</v>
      </c>
      <c r="BH1171" s="20">
        <f t="shared" si="257"/>
        <v>8</v>
      </c>
      <c r="BI1171" s="20">
        <f t="shared" si="258"/>
        <v>12</v>
      </c>
      <c r="BJ1171" s="20">
        <f t="shared" si="259"/>
        <v>14</v>
      </c>
      <c r="BK1171" s="282">
        <f>IFERROR(SUM(DATA[[#This Row],[fs_fd_ttd]:[fend_fenf_ttd]]),0)</f>
        <v>35</v>
      </c>
      <c r="BL1171" s="20" t="str">
        <f>IF(DATA[[#This Row],[fecha_fs]]&gt;0,TEXT(DATA[[#This Row],[fecha_fs]],"YYYY"),0)</f>
        <v>2025</v>
      </c>
      <c r="BM1171" s="236" t="b">
        <v>1</v>
      </c>
      <c r="BN1171" s="278">
        <f>COUNTIF(DATA[[#This Row],[tiempo_td]], "&lt;=15")</f>
        <v>0</v>
      </c>
      <c r="BO1171" s="222"/>
    </row>
    <row r="1172" spans="1:67" ht="30.6" customHeight="1" x14ac:dyDescent="0.25">
      <c r="A1172" s="4">
        <v>20419158462</v>
      </c>
      <c r="B1172" s="5" t="s">
        <v>2</v>
      </c>
      <c r="C1172" s="52" t="s">
        <v>147</v>
      </c>
      <c r="D1172" s="4" t="s">
        <v>120</v>
      </c>
      <c r="E1172" s="5" t="s">
        <v>3</v>
      </c>
      <c r="F1172" s="24">
        <v>45911</v>
      </c>
      <c r="G1172" s="7" t="s">
        <v>113</v>
      </c>
      <c r="H1172" s="25">
        <f t="shared" si="248"/>
        <v>1</v>
      </c>
      <c r="I1172" s="67">
        <v>4974</v>
      </c>
      <c r="J1172" s="8" t="s">
        <v>115</v>
      </c>
      <c r="K1172" s="9" t="s">
        <v>148</v>
      </c>
      <c r="L1172" s="10" t="s">
        <v>117</v>
      </c>
      <c r="M1172" s="11">
        <v>4220</v>
      </c>
      <c r="N1172" s="12" t="s">
        <v>122</v>
      </c>
      <c r="O1172" s="6">
        <v>45912</v>
      </c>
      <c r="P1172" s="323">
        <v>3655</v>
      </c>
      <c r="Q1172" s="14" t="s">
        <v>85</v>
      </c>
      <c r="R1172" s="74"/>
      <c r="S1172" s="56">
        <v>2597.6999999999998</v>
      </c>
      <c r="T1172" s="237">
        <f>DATA[[#This Row],[C. DF]]+DATA[[#This Row],[C.OPE.]]</f>
        <v>2597.6999999999998</v>
      </c>
      <c r="U1172" s="15">
        <f>DATA[[#This Row],[SUB TOTAL]]*0.18</f>
        <v>467.58599999999996</v>
      </c>
      <c r="V1172" s="15">
        <f>IFERROR(ROUND(DATA[[#This Row],[SUB TOTAL]]+DATA[[#This Row],[IGV]],2),0)</f>
        <v>3065.29</v>
      </c>
      <c r="W1172" s="16" t="str">
        <f>IF(DATA[[#This Row],[VALORIZACIÓN ]]="-","NO CORRESPONDE",IF(OR(A1172=20558226979,A1172=10470707866,A1172=20111157058,A1172=20100226902),"NO CORRESPONDE",IF(J1172="Emitida",IF(P1172&gt;0,"EMITIDA","PENDIENTE"),"NO CORRESPONDE")))</f>
        <v>EMITIDA</v>
      </c>
      <c r="X1172" s="29"/>
      <c r="Y1172" s="17" t="s">
        <v>232</v>
      </c>
      <c r="Z1172" s="30"/>
      <c r="AA1172" s="10"/>
      <c r="AB1172" s="19"/>
      <c r="AC1172" s="20"/>
      <c r="AD1172" s="18">
        <f>DATA[[#This Row],[FECHA DE EMISION]]+DATA[[#This Row],[CONDICION DE PAGO]]</f>
        <v>0</v>
      </c>
      <c r="AE1172" s="23">
        <f>IF(DATA[[#This Row],[MONEDA]]="USD",VLOOKUP(DATA[[#This Row],[COMBINADA]],#REF!,11,0),1)</f>
        <v>1</v>
      </c>
      <c r="AF1172" s="129" t="str">
        <f>IF(DATA[[#This Row],[SERIE2]]="-","NO CORRESPONDE",IF(W1172="NO CORRESPONDE","NO CORRESPONDE",IF(Z1172&gt;0,"FACTURADO","PENDIENTE")))</f>
        <v>PENDIENTE</v>
      </c>
      <c r="AG1172" s="133">
        <f>IFERROR(VLOOKUP(DATA[[#This Row],[COMBINADA]],#REF!,6,0),0)</f>
        <v>0</v>
      </c>
      <c r="AH1172" s="125">
        <f>IFERROR(VLOOKUP(DATA[[#This Row],[COMBINADA]],#REF!,9,0),0)/COUNTIFS(DATA[COMBINADA],DATA[[#This Row],[COMBINADA]])</f>
        <v>0</v>
      </c>
      <c r="AI1172" s="136">
        <f>IFERROR(VLOOKUP(DATA[[#This Row],[COMBINADA]],#REF!,6,0),0)</f>
        <v>0</v>
      </c>
      <c r="AJ1172" s="132">
        <f>IFERROR(VLOOKUP(DATA[[#This Row],[COMBINADA]],#REF!,9,0),0)/COUNTIFS(DATA[COMBINADA],DATA[[#This Row],[COMBINADA]])</f>
        <v>0</v>
      </c>
      <c r="AK1172" s="407">
        <f>IFERROR(VLOOKUP(DATA[[#This Row],[COMBINADA]],#REF!,6,0),0)</f>
        <v>0</v>
      </c>
      <c r="AL1172" s="125">
        <f>IFERROR(VLOOKUP(DATA[[#This Row],[COMBINADA]],#REF!,9,0),0)/COUNTIFS(DATA[COMBINADA],DATA[[#This Row],[COMBINADA]])</f>
        <v>0</v>
      </c>
      <c r="AM1172" s="27">
        <f>IFERROR(VLOOKUP(DATA[[#This Row],[COMBINADA]],#REF!,6,0),0)</f>
        <v>0</v>
      </c>
      <c r="AN1172" s="125">
        <f>IFERROR(VLOOKUP(DATA[[#This Row],[COMBINADA]],#REF!,9,0),0)/COUNTIFS(DATA[COMBINADA],DATA[[#This Row],[COMBINADA]])</f>
        <v>0</v>
      </c>
      <c r="AO1172" s="27">
        <f>IFERROR(VLOOKUP(DATA[[#This Row],[COMBINADA]],#REF!,6,0),0)</f>
        <v>0</v>
      </c>
      <c r="AP1172" s="132">
        <f>IFERROR(VLOOKUP(DATA[[#This Row],[COMBINADA]],#REF!,9,0),0)/COUNTIFS(DATA[COMBINADA],DATA[[#This Row],[COMBINADA]])</f>
        <v>0</v>
      </c>
      <c r="AQ117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172" s="26" t="str">
        <f>IFERROR(IF(DATA[[#This Row],[estado_fact]]="FACTURADO",VLOOKUP(DATA[[#This Row],[SERIE2]]&amp;"-"&amp;DATA[[#This Row],[NUMERO]],#REF!,34,0),"NO CORRESPONDE"),"NO CORRESPONDE")</f>
        <v>NO CORRESPONDE</v>
      </c>
      <c r="AS1172" s="22" t="str">
        <f>IF(DATA[[#This Row],[fecha_fs]]&gt;0,TEXT(DATA[[#This Row],[fecha_fs]],"Mmmm"),0)</f>
        <v>Setiembre</v>
      </c>
      <c r="AT1172" s="22" t="str">
        <f>DATA[[#This Row],[SERIE2]]&amp;"-"&amp;DATA[[#This Row],[NUMERO]]</f>
        <v>-</v>
      </c>
      <c r="AU1172" s="28">
        <f>DATA[[#This Row],[TOTAL]]*DATA[[#This Row],[T.C.]]</f>
        <v>3065.29</v>
      </c>
      <c r="AV1172" s="6">
        <f>DATA[[#This Row],[FECHA DE VAL.]]</f>
        <v>45912</v>
      </c>
      <c r="AW1172" s="6">
        <f>DATA[[#This Row],[FECHA DE EMISION]]</f>
        <v>0</v>
      </c>
      <c r="AX1172" s="6">
        <f>DATA[[#This Row],[F1]]</f>
        <v>0</v>
      </c>
      <c r="AY1172" s="20">
        <f>IF(AV1172-DATA[[#This Row],[fecha_fs]]&lt;0,0,AV1172-DATA[[#This Row],[fecha_fs]])</f>
        <v>1</v>
      </c>
      <c r="AZ1172" s="20">
        <f t="shared" si="249"/>
        <v>0</v>
      </c>
      <c r="BA1172" s="53">
        <f t="shared" si="250"/>
        <v>0</v>
      </c>
      <c r="BB1172" s="195">
        <f>IFERROR(SUM(DATA[[#This Row],[fs_val_ttf]:[fact_pago_ttf]]),0)</f>
        <v>1</v>
      </c>
      <c r="BC1172" s="233">
        <v>45911</v>
      </c>
      <c r="BD1172" s="233">
        <v>45911</v>
      </c>
      <c r="BE1172" s="233">
        <v>45916</v>
      </c>
      <c r="BF1172" s="233">
        <v>45916</v>
      </c>
      <c r="BG1172" s="20">
        <f>IFERROR(IF(BC1172-DATA[[#This Row],[fecha_fs]]&lt;0,0,BC1172-DATA[[#This Row],[fecha_fs]]),0)</f>
        <v>0</v>
      </c>
      <c r="BH1172" s="20">
        <f t="shared" si="251"/>
        <v>0</v>
      </c>
      <c r="BI1172" s="20">
        <f t="shared" si="252"/>
        <v>5</v>
      </c>
      <c r="BJ1172" s="20">
        <f t="shared" si="253"/>
        <v>0</v>
      </c>
      <c r="BK1172" s="282">
        <f>IFERROR(SUM(DATA[[#This Row],[fs_fd_ttd]:[fend_fenf_ttd]]),0)</f>
        <v>5</v>
      </c>
      <c r="BL1172" s="20" t="str">
        <f>IF(DATA[[#This Row],[fecha_fs]]&gt;0,TEXT(DATA[[#This Row],[fecha_fs]],"YYYY"),0)</f>
        <v>2025</v>
      </c>
      <c r="BM1172" s="236" t="b">
        <v>1</v>
      </c>
      <c r="BN1172" s="278">
        <f>COUNTIF(DATA[[#This Row],[tiempo_td]], "&lt;=15")</f>
        <v>1</v>
      </c>
      <c r="BO1172" s="222"/>
    </row>
    <row r="1173" spans="1:67" ht="30.6" customHeight="1" x14ac:dyDescent="0.25">
      <c r="A1173" s="4">
        <v>20100055237</v>
      </c>
      <c r="B1173" s="5" t="s">
        <v>21</v>
      </c>
      <c r="C1173" s="52" t="s">
        <v>138</v>
      </c>
      <c r="D1173" s="4" t="s">
        <v>139</v>
      </c>
      <c r="E1173" s="5" t="s">
        <v>23</v>
      </c>
      <c r="F1173" s="24">
        <v>45911</v>
      </c>
      <c r="G1173" s="7" t="s">
        <v>113</v>
      </c>
      <c r="H1173" s="25">
        <f t="shared" si="248"/>
        <v>1</v>
      </c>
      <c r="I1173" s="67">
        <v>4975</v>
      </c>
      <c r="J1173" s="8" t="s">
        <v>115</v>
      </c>
      <c r="K1173" s="9" t="s">
        <v>121</v>
      </c>
      <c r="L1173" s="10" t="s">
        <v>117</v>
      </c>
      <c r="M1173" s="11">
        <v>60</v>
      </c>
      <c r="N1173" s="12" t="s">
        <v>132</v>
      </c>
      <c r="O1173" s="6">
        <v>45930</v>
      </c>
      <c r="P1173" s="54">
        <v>3707</v>
      </c>
      <c r="Q1173" s="14" t="s">
        <v>85</v>
      </c>
      <c r="R1173" s="309"/>
      <c r="S1173" s="15">
        <v>297.92</v>
      </c>
      <c r="T1173" s="237">
        <f>DATA[[#This Row],[C. DF]]+DATA[[#This Row],[C.OPE.]]</f>
        <v>297.92</v>
      </c>
      <c r="U1173" s="15">
        <f>DATA[[#This Row],[SUB TOTAL]]*0.18</f>
        <v>53.625599999999999</v>
      </c>
      <c r="V1173" s="15">
        <f>IFERROR(ROUND(DATA[[#This Row],[SUB TOTAL]]+DATA[[#This Row],[IGV]],2),0)</f>
        <v>351.55</v>
      </c>
      <c r="W1173" s="16" t="str">
        <f>IF(DATA[[#This Row],[VALORIZACIÓN ]]="-","NO CORRESPONDE",IF(OR(A1173=20558226979,A1173=10470707866,A1173=20111157058,A1173=20100226902),"NO CORRESPONDE",IF(J1173="Emitida",IF(P1173&gt;0,"EMITIDA","PENDIENTE"),"NO CORRESPONDE")))</f>
        <v>EMITIDA</v>
      </c>
      <c r="X1173" s="29"/>
      <c r="Y1173" s="17" t="s">
        <v>118</v>
      </c>
      <c r="Z1173" s="30">
        <v>45940</v>
      </c>
      <c r="AA1173" s="10" t="s">
        <v>150</v>
      </c>
      <c r="AB1173" s="19">
        <v>286</v>
      </c>
      <c r="AC1173" s="20">
        <v>30</v>
      </c>
      <c r="AD1173" s="18">
        <f>DATA[[#This Row],[FECHA DE EMISION]]+DATA[[#This Row],[CONDICION DE PAGO]]</f>
        <v>45970</v>
      </c>
      <c r="AE1173" s="23">
        <f>IF(DATA[[#This Row],[MONEDA]]="USD",VLOOKUP(DATA[[#This Row],[COMBINADA]],#REF!,11,0),1)</f>
        <v>1</v>
      </c>
      <c r="AF1173" s="129" t="str">
        <f>IF(DATA[[#This Row],[SERIE2]]="-","NO CORRESPONDE",IF(W1173="NO CORRESPONDE","NO CORRESPONDE",IF(Z1173&gt;0,"FACTURADO","PENDIENTE")))</f>
        <v>FACTURADO</v>
      </c>
      <c r="AG1173" s="133">
        <f>IFERROR(VLOOKUP(DATA[[#This Row],[COMBINADA]],#REF!,6,0),0)</f>
        <v>0</v>
      </c>
      <c r="AH1173" s="125">
        <f>IFERROR(VLOOKUP(DATA[[#This Row],[COMBINADA]],#REF!,9,0),0)/COUNTIFS(DATA[COMBINADA],DATA[[#This Row],[COMBINADA]])</f>
        <v>0</v>
      </c>
      <c r="AI1173" s="136">
        <f>IFERROR(VLOOKUP(DATA[[#This Row],[COMBINADA]],#REF!,6,0),0)</f>
        <v>0</v>
      </c>
      <c r="AJ1173" s="132">
        <f>IFERROR(VLOOKUP(DATA[[#This Row],[COMBINADA]],#REF!,9,0),0)/COUNTIFS(DATA[COMBINADA],DATA[[#This Row],[COMBINADA]])</f>
        <v>0</v>
      </c>
      <c r="AK1173" s="407">
        <f>IFERROR(VLOOKUP(DATA[[#This Row],[COMBINADA]],#REF!,6,0),0)</f>
        <v>0</v>
      </c>
      <c r="AL1173" s="125">
        <f>IFERROR(VLOOKUP(DATA[[#This Row],[COMBINADA]],#REF!,9,0),0)/COUNTIFS(DATA[COMBINADA],DATA[[#This Row],[COMBINADA]])</f>
        <v>0</v>
      </c>
      <c r="AM1173" s="27">
        <f>IFERROR(VLOOKUP(DATA[[#This Row],[COMBINADA]],#REF!,6,0),0)</f>
        <v>0</v>
      </c>
      <c r="AN1173" s="125">
        <f>IFERROR(VLOOKUP(DATA[[#This Row],[COMBINADA]],#REF!,9,0),0)/COUNTIFS(DATA[COMBINADA],DATA[[#This Row],[COMBINADA]])</f>
        <v>0</v>
      </c>
      <c r="AO1173" s="27">
        <f>IFERROR(VLOOKUP(DATA[[#This Row],[COMBINADA]],#REF!,6,0),0)</f>
        <v>0</v>
      </c>
      <c r="AP1173" s="132">
        <f>IFERROR(VLOOKUP(DATA[[#This Row],[COMBINADA]],#REF!,9,0),0)/COUNTIFS(DATA[COMBINADA],DATA[[#This Row],[COMBINADA]])</f>
        <v>0</v>
      </c>
      <c r="AQ117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173" s="26" t="str">
        <f>IFERROR(IF(DATA[[#This Row],[estado_fact]]="FACTURADO",VLOOKUP(DATA[[#This Row],[SERIE2]]&amp;"-"&amp;DATA[[#This Row],[NUMERO]],#REF!,34,0),"NO CORRESPONDE"),"NO CORRESPONDE")</f>
        <v>NO CORRESPONDE</v>
      </c>
      <c r="AS1173" s="22" t="str">
        <f>IF(DATA[[#This Row],[fecha_fs]]&gt;0,TEXT(DATA[[#This Row],[fecha_fs]],"Mmmm"),0)</f>
        <v>Setiembre</v>
      </c>
      <c r="AT1173" s="22" t="str">
        <f>DATA[[#This Row],[SERIE2]]&amp;"-"&amp;DATA[[#This Row],[NUMERO]]</f>
        <v>FF01-286</v>
      </c>
      <c r="AU1173" s="28">
        <f>DATA[[#This Row],[TOTAL]]*DATA[[#This Row],[T.C.]]</f>
        <v>351.55</v>
      </c>
      <c r="AV1173" s="6">
        <f>DATA[[#This Row],[FECHA DE VAL.]]</f>
        <v>45930</v>
      </c>
      <c r="AW1173" s="6">
        <f>DATA[[#This Row],[FECHA DE EMISION]]</f>
        <v>45940</v>
      </c>
      <c r="AX1173" s="6">
        <f>DATA[[#This Row],[F1]]</f>
        <v>0</v>
      </c>
      <c r="AY1173" s="20">
        <f>IF(AV1173-DATA[[#This Row],[fecha_fs]]&lt;0,0,AV1173-DATA[[#This Row],[fecha_fs]])</f>
        <v>19</v>
      </c>
      <c r="AZ1173" s="20">
        <f t="shared" si="249"/>
        <v>10</v>
      </c>
      <c r="BA1173" s="53">
        <f t="shared" si="250"/>
        <v>0</v>
      </c>
      <c r="BB1173" s="195">
        <f>IFERROR(SUM(DATA[[#This Row],[fs_val_ttf]:[fact_pago_ttf]]),0)</f>
        <v>29</v>
      </c>
      <c r="BC1173" s="233">
        <v>45911</v>
      </c>
      <c r="BD1173" s="233">
        <v>45911</v>
      </c>
      <c r="BE1173" s="233">
        <v>45932</v>
      </c>
      <c r="BF1173" s="233">
        <v>45932</v>
      </c>
      <c r="BG1173" s="20">
        <f>IFERROR(IF(BC1173-DATA[[#This Row],[fecha_fs]]&lt;0,0,BC1173-DATA[[#This Row],[fecha_fs]]),0)</f>
        <v>0</v>
      </c>
      <c r="BH1173" s="20">
        <f t="shared" si="251"/>
        <v>0</v>
      </c>
      <c r="BI1173" s="20">
        <f t="shared" si="252"/>
        <v>21</v>
      </c>
      <c r="BJ1173" s="20">
        <f t="shared" si="253"/>
        <v>0</v>
      </c>
      <c r="BK1173" s="282">
        <f>IFERROR(SUM(DATA[[#This Row],[fs_fd_ttd]:[fend_fenf_ttd]]),0)</f>
        <v>21</v>
      </c>
      <c r="BL1173" s="20" t="str">
        <f>IF(DATA[[#This Row],[fecha_fs]]&gt;0,TEXT(DATA[[#This Row],[fecha_fs]],"YYYY"),0)</f>
        <v>2025</v>
      </c>
      <c r="BM1173" s="236" t="b">
        <v>1</v>
      </c>
      <c r="BN1173" s="278">
        <f>COUNTIF(DATA[[#This Row],[tiempo_td]], "&lt;=15")</f>
        <v>0</v>
      </c>
      <c r="BO1173" s="222"/>
    </row>
    <row r="1174" spans="1:67" ht="30.6" customHeight="1" x14ac:dyDescent="0.25">
      <c r="A1174" s="4">
        <v>20462509236</v>
      </c>
      <c r="B1174" s="5" t="s">
        <v>81</v>
      </c>
      <c r="C1174" s="52" t="s">
        <v>328</v>
      </c>
      <c r="D1174" s="4" t="s">
        <v>112</v>
      </c>
      <c r="E1174" s="5" t="s">
        <v>1</v>
      </c>
      <c r="F1174" s="24">
        <v>45911</v>
      </c>
      <c r="G1174" s="7" t="s">
        <v>113</v>
      </c>
      <c r="H1174" s="25">
        <f t="shared" si="248"/>
        <v>1</v>
      </c>
      <c r="I1174" s="67">
        <v>4976</v>
      </c>
      <c r="J1174" s="8" t="s">
        <v>115</v>
      </c>
      <c r="K1174" s="9" t="s">
        <v>116</v>
      </c>
      <c r="L1174" s="10" t="s">
        <v>117</v>
      </c>
      <c r="M1174" s="11">
        <v>40</v>
      </c>
      <c r="N1174" s="12" t="s">
        <v>167</v>
      </c>
      <c r="O1174" s="6">
        <v>45915</v>
      </c>
      <c r="P1174" s="13">
        <v>3658</v>
      </c>
      <c r="Q1174" s="14" t="s">
        <v>85</v>
      </c>
      <c r="R1174" s="15">
        <f>970/2</f>
        <v>485</v>
      </c>
      <c r="S1174" s="56">
        <f>1199.9/2</f>
        <v>599.95000000000005</v>
      </c>
      <c r="T1174" s="237">
        <f>DATA[[#This Row],[C. DF]]+DATA[[#This Row],[C.OPE.]]</f>
        <v>1084.95</v>
      </c>
      <c r="U1174" s="15">
        <f>DATA[[#This Row],[SUB TOTAL]]*0.18</f>
        <v>195.291</v>
      </c>
      <c r="V1174" s="15">
        <f>IFERROR(ROUND(DATA[[#This Row],[SUB TOTAL]]+DATA[[#This Row],[IGV]],2),0)</f>
        <v>1280.24</v>
      </c>
      <c r="W1174" s="16" t="str">
        <f>IF(DATA[[#This Row],[VALORIZACIÓN ]]="-","NO CORRESPONDE",IF(OR(A1174=20558226979,A1174=10470707866,A1174=20111157058,A1174=20100226902),"NO CORRESPONDE",IF(J1174="Emitida",IF(P1174&gt;0,"EMITIDA","PENDIENTE"),"NO CORRESPONDE")))</f>
        <v>EMITIDA</v>
      </c>
      <c r="X1174" s="29" t="s">
        <v>331</v>
      </c>
      <c r="Y1174" s="17" t="s">
        <v>118</v>
      </c>
      <c r="Z1174" s="30">
        <v>45944</v>
      </c>
      <c r="AA1174" s="10" t="s">
        <v>150</v>
      </c>
      <c r="AB1174" s="19">
        <v>291</v>
      </c>
      <c r="AC1174" s="20">
        <v>60</v>
      </c>
      <c r="AD1174" s="18">
        <f>DATA[[#This Row],[FECHA DE EMISION]]+DATA[[#This Row],[CONDICION DE PAGO]]</f>
        <v>46004</v>
      </c>
      <c r="AE1174" s="23">
        <f>IF(DATA[[#This Row],[MONEDA]]="USD",VLOOKUP(DATA[[#This Row],[COMBINADA]],#REF!,11,0),1)</f>
        <v>1</v>
      </c>
      <c r="AF1174" s="129" t="str">
        <f>IF(DATA[[#This Row],[SERIE2]]="-","NO CORRESPONDE",IF(W1174="NO CORRESPONDE","NO CORRESPONDE",IF(Z1174&gt;0,"FACTURADO","PENDIENTE")))</f>
        <v>FACTURADO</v>
      </c>
      <c r="AG1174" s="133">
        <f>IFERROR(VLOOKUP(DATA[[#This Row],[COMBINADA]],#REF!,6,0),0)</f>
        <v>0</v>
      </c>
      <c r="AH1174" s="125">
        <f>IFERROR(VLOOKUP(DATA[[#This Row],[COMBINADA]],#REF!,9,0),0)/COUNTIFS(DATA[COMBINADA],DATA[[#This Row],[COMBINADA]])</f>
        <v>0</v>
      </c>
      <c r="AI1174" s="136">
        <f>IFERROR(VLOOKUP(DATA[[#This Row],[COMBINADA]],#REF!,6,0),0)</f>
        <v>0</v>
      </c>
      <c r="AJ1174" s="132">
        <f>IFERROR(VLOOKUP(DATA[[#This Row],[COMBINADA]],#REF!,9,0),0)/COUNTIFS(DATA[COMBINADA],DATA[[#This Row],[COMBINADA]])</f>
        <v>0</v>
      </c>
      <c r="AK1174" s="407">
        <f>IFERROR(VLOOKUP(DATA[[#This Row],[COMBINADA]],#REF!,6,0),0)</f>
        <v>0</v>
      </c>
      <c r="AL1174" s="125">
        <f>IFERROR(VLOOKUP(DATA[[#This Row],[COMBINADA]],#REF!,9,0),0)/COUNTIFS(DATA[COMBINADA],DATA[[#This Row],[COMBINADA]])</f>
        <v>0</v>
      </c>
      <c r="AM1174" s="27">
        <f>IFERROR(VLOOKUP(DATA[[#This Row],[COMBINADA]],#REF!,6,0),0)</f>
        <v>0</v>
      </c>
      <c r="AN1174" s="125">
        <f>IFERROR(VLOOKUP(DATA[[#This Row],[COMBINADA]],#REF!,9,0),0)/COUNTIFS(DATA[COMBINADA],DATA[[#This Row],[COMBINADA]])</f>
        <v>0</v>
      </c>
      <c r="AO1174" s="27">
        <f>IFERROR(VLOOKUP(DATA[[#This Row],[COMBINADA]],#REF!,6,0),0)</f>
        <v>0</v>
      </c>
      <c r="AP1174" s="132">
        <f>IFERROR(VLOOKUP(DATA[[#This Row],[COMBINADA]],#REF!,9,0),0)/COUNTIFS(DATA[COMBINADA],DATA[[#This Row],[COMBINADA]])</f>
        <v>0</v>
      </c>
      <c r="AQ117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1280.24</v>
      </c>
      <c r="AR1174" s="26" t="str">
        <f>IFERROR(IF(DATA[[#This Row],[estado_fact]]="FACTURADO",VLOOKUP(DATA[[#This Row],[SERIE2]]&amp;"-"&amp;DATA[[#This Row],[NUMERO]],#REF!,34,0),"NO CORRESPONDE"),"NO CORRESPONDE")</f>
        <v>NO CORRESPONDE</v>
      </c>
      <c r="AS1174" s="22" t="str">
        <f>IF(DATA[[#This Row],[fecha_fs]]&gt;0,TEXT(DATA[[#This Row],[fecha_fs]],"Mmmm"),0)</f>
        <v>Setiembre</v>
      </c>
      <c r="AT1174" s="22" t="str">
        <f>DATA[[#This Row],[SERIE2]]&amp;"-"&amp;DATA[[#This Row],[NUMERO]]</f>
        <v>FF01-291</v>
      </c>
      <c r="AU1174" s="28">
        <f>DATA[[#This Row],[TOTAL]]*DATA[[#This Row],[T.C.]]</f>
        <v>1280.24</v>
      </c>
      <c r="AV1174" s="6">
        <f>DATA[[#This Row],[FECHA DE VAL.]]</f>
        <v>45915</v>
      </c>
      <c r="AW1174" s="6">
        <f>DATA[[#This Row],[FECHA DE EMISION]]</f>
        <v>45944</v>
      </c>
      <c r="AX1174" s="6">
        <f>DATA[[#This Row],[F1]]</f>
        <v>0</v>
      </c>
      <c r="AY1174" s="20">
        <f>IF(AV1174-DATA[[#This Row],[fecha_fs]]&lt;0,0,AV1174-DATA[[#This Row],[fecha_fs]])</f>
        <v>4</v>
      </c>
      <c r="AZ1174" s="20">
        <f t="shared" si="249"/>
        <v>29</v>
      </c>
      <c r="BA1174" s="53">
        <f t="shared" si="250"/>
        <v>0</v>
      </c>
      <c r="BB1174" s="195">
        <f>IFERROR(SUM(DATA[[#This Row],[fs_val_ttf]:[fact_pago_ttf]]),0)</f>
        <v>33</v>
      </c>
      <c r="BC1174" s="233">
        <v>45917</v>
      </c>
      <c r="BD1174" s="233">
        <v>45925</v>
      </c>
      <c r="BE1174" s="233">
        <v>45931</v>
      </c>
      <c r="BF1174" s="233">
        <v>45939</v>
      </c>
      <c r="BG1174" s="20">
        <f>IFERROR(IF(BC1174-DATA[[#This Row],[fecha_fs]]&lt;0,0,BC1174-DATA[[#This Row],[fecha_fs]]),0)</f>
        <v>6</v>
      </c>
      <c r="BH1174" s="20">
        <f t="shared" si="251"/>
        <v>8</v>
      </c>
      <c r="BI1174" s="20">
        <f t="shared" si="252"/>
        <v>6</v>
      </c>
      <c r="BJ1174" s="20">
        <f t="shared" si="253"/>
        <v>8</v>
      </c>
      <c r="BK1174" s="282">
        <f>IFERROR(SUM(DATA[[#This Row],[fs_fd_ttd]:[fend_fenf_ttd]]),0)</f>
        <v>28</v>
      </c>
      <c r="BL1174" s="20" t="str">
        <f>IF(DATA[[#This Row],[fecha_fs]]&gt;0,TEXT(DATA[[#This Row],[fecha_fs]],"YYYY"),0)</f>
        <v>2025</v>
      </c>
      <c r="BM1174" s="236" t="b">
        <v>1</v>
      </c>
      <c r="BN1174" s="278">
        <f>COUNTIF(DATA[[#This Row],[tiempo_td]], "&lt;=15")</f>
        <v>0</v>
      </c>
      <c r="BO1174" s="222"/>
    </row>
    <row r="1175" spans="1:67" ht="30.6" customHeight="1" x14ac:dyDescent="0.25">
      <c r="A1175" s="4">
        <v>20462509236</v>
      </c>
      <c r="B1175" s="5" t="s">
        <v>81</v>
      </c>
      <c r="C1175" s="52" t="s">
        <v>263</v>
      </c>
      <c r="D1175" s="4" t="s">
        <v>112</v>
      </c>
      <c r="E1175" s="5" t="s">
        <v>1</v>
      </c>
      <c r="F1175" s="24">
        <v>45911</v>
      </c>
      <c r="G1175" s="7" t="s">
        <v>113</v>
      </c>
      <c r="H1175" s="25">
        <f t="shared" si="248"/>
        <v>1</v>
      </c>
      <c r="I1175" s="67">
        <v>4977</v>
      </c>
      <c r="J1175" s="8" t="s">
        <v>115</v>
      </c>
      <c r="K1175" s="9" t="s">
        <v>116</v>
      </c>
      <c r="L1175" s="10" t="s">
        <v>117</v>
      </c>
      <c r="M1175" s="11">
        <v>50</v>
      </c>
      <c r="N1175" s="12" t="s">
        <v>167</v>
      </c>
      <c r="O1175" s="6">
        <v>45915</v>
      </c>
      <c r="P1175" s="13">
        <v>3659</v>
      </c>
      <c r="Q1175" s="14" t="s">
        <v>85</v>
      </c>
      <c r="R1175" s="56">
        <f>970/2</f>
        <v>485</v>
      </c>
      <c r="S1175" s="56">
        <f>1199.9/2</f>
        <v>599.95000000000005</v>
      </c>
      <c r="T1175" s="237">
        <f>DATA[[#This Row],[C. DF]]+DATA[[#This Row],[C.OPE.]]</f>
        <v>1084.95</v>
      </c>
      <c r="U1175" s="15">
        <f>DATA[[#This Row],[SUB TOTAL]]*0.18</f>
        <v>195.291</v>
      </c>
      <c r="V1175" s="15">
        <f>IFERROR(ROUND(DATA[[#This Row],[SUB TOTAL]]+DATA[[#This Row],[IGV]],2),0)</f>
        <v>1280.24</v>
      </c>
      <c r="W1175" s="16" t="str">
        <f>IF(DATA[[#This Row],[VALORIZACIÓN ]]="-","NO CORRESPONDE",IF(OR(A1175=20558226979,A1175=10470707866,A1175=20111157058,A1175=20100226902),"NO CORRESPONDE",IF(J1175="Emitida",IF(P1175&gt;0,"EMITIDA","PENDIENTE"),"NO CORRESPONDE")))</f>
        <v>EMITIDA</v>
      </c>
      <c r="X1175" s="29" t="s">
        <v>331</v>
      </c>
      <c r="Y1175" s="17" t="s">
        <v>118</v>
      </c>
      <c r="Z1175" s="30">
        <v>45944</v>
      </c>
      <c r="AA1175" s="10" t="s">
        <v>150</v>
      </c>
      <c r="AB1175" s="19">
        <v>292</v>
      </c>
      <c r="AC1175" s="20">
        <v>60</v>
      </c>
      <c r="AD1175" s="18">
        <f>DATA[[#This Row],[FECHA DE EMISION]]+DATA[[#This Row],[CONDICION DE PAGO]]</f>
        <v>46004</v>
      </c>
      <c r="AE1175" s="23">
        <f>IF(DATA[[#This Row],[MONEDA]]="USD",VLOOKUP(DATA[[#This Row],[COMBINADA]],#REF!,11,0),1)</f>
        <v>1</v>
      </c>
      <c r="AF1175" s="129" t="str">
        <f>IF(DATA[[#This Row],[SERIE2]]="-","NO CORRESPONDE",IF(W1175="NO CORRESPONDE","NO CORRESPONDE",IF(Z1175&gt;0,"FACTURADO","PENDIENTE")))</f>
        <v>FACTURADO</v>
      </c>
      <c r="AG1175" s="133">
        <f>IFERROR(VLOOKUP(DATA[[#This Row],[COMBINADA]],#REF!,6,0),0)</f>
        <v>0</v>
      </c>
      <c r="AH1175" s="125">
        <f>IFERROR(VLOOKUP(DATA[[#This Row],[COMBINADA]],#REF!,9,0),0)/COUNTIFS(DATA[COMBINADA],DATA[[#This Row],[COMBINADA]])</f>
        <v>0</v>
      </c>
      <c r="AI1175" s="136">
        <f>IFERROR(VLOOKUP(DATA[[#This Row],[COMBINADA]],#REF!,6,0),0)</f>
        <v>0</v>
      </c>
      <c r="AJ1175" s="132">
        <f>IFERROR(VLOOKUP(DATA[[#This Row],[COMBINADA]],#REF!,9,0),0)/COUNTIFS(DATA[COMBINADA],DATA[[#This Row],[COMBINADA]])</f>
        <v>0</v>
      </c>
      <c r="AK1175" s="407">
        <f>IFERROR(VLOOKUP(DATA[[#This Row],[COMBINADA]],#REF!,6,0),0)</f>
        <v>0</v>
      </c>
      <c r="AL1175" s="125">
        <f>IFERROR(VLOOKUP(DATA[[#This Row],[COMBINADA]],#REF!,9,0),0)/COUNTIFS(DATA[COMBINADA],DATA[[#This Row],[COMBINADA]])</f>
        <v>0</v>
      </c>
      <c r="AM1175" s="27">
        <f>IFERROR(VLOOKUP(DATA[[#This Row],[COMBINADA]],#REF!,6,0),0)</f>
        <v>0</v>
      </c>
      <c r="AN1175" s="125">
        <f>IFERROR(VLOOKUP(DATA[[#This Row],[COMBINADA]],#REF!,9,0),0)/COUNTIFS(DATA[COMBINADA],DATA[[#This Row],[COMBINADA]])</f>
        <v>0</v>
      </c>
      <c r="AO1175" s="27">
        <f>IFERROR(VLOOKUP(DATA[[#This Row],[COMBINADA]],#REF!,6,0),0)</f>
        <v>0</v>
      </c>
      <c r="AP1175" s="132">
        <f>IFERROR(VLOOKUP(DATA[[#This Row],[COMBINADA]],#REF!,9,0),0)/COUNTIFS(DATA[COMBINADA],DATA[[#This Row],[COMBINADA]])</f>
        <v>0</v>
      </c>
      <c r="AQ117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1280.24</v>
      </c>
      <c r="AR1175" s="26" t="str">
        <f>IFERROR(IF(DATA[[#This Row],[estado_fact]]="FACTURADO",VLOOKUP(DATA[[#This Row],[SERIE2]]&amp;"-"&amp;DATA[[#This Row],[NUMERO]],#REF!,34,0),"NO CORRESPONDE"),"NO CORRESPONDE")</f>
        <v>NO CORRESPONDE</v>
      </c>
      <c r="AS1175" s="22" t="str">
        <f>IF(DATA[[#This Row],[fecha_fs]]&gt;0,TEXT(DATA[[#This Row],[fecha_fs]],"Mmmm"),0)</f>
        <v>Setiembre</v>
      </c>
      <c r="AT1175" s="22" t="str">
        <f>DATA[[#This Row],[SERIE2]]&amp;"-"&amp;DATA[[#This Row],[NUMERO]]</f>
        <v>FF01-292</v>
      </c>
      <c r="AU1175" s="28">
        <f>DATA[[#This Row],[TOTAL]]*DATA[[#This Row],[T.C.]]</f>
        <v>1280.24</v>
      </c>
      <c r="AV1175" s="6">
        <f>DATA[[#This Row],[FECHA DE VAL.]]</f>
        <v>45915</v>
      </c>
      <c r="AW1175" s="6">
        <f>DATA[[#This Row],[FECHA DE EMISION]]</f>
        <v>45944</v>
      </c>
      <c r="AX1175" s="6">
        <f>DATA[[#This Row],[F1]]</f>
        <v>0</v>
      </c>
      <c r="AY1175" s="20">
        <f>IF(AV1175-DATA[[#This Row],[fecha_fs]]&lt;0,0,AV1175-DATA[[#This Row],[fecha_fs]])</f>
        <v>4</v>
      </c>
      <c r="AZ1175" s="20">
        <f t="shared" si="249"/>
        <v>29</v>
      </c>
      <c r="BA1175" s="53">
        <f t="shared" si="250"/>
        <v>0</v>
      </c>
      <c r="BB1175" s="195">
        <f>IFERROR(SUM(DATA[[#This Row],[fs_val_ttf]:[fact_pago_ttf]]),0)</f>
        <v>33</v>
      </c>
      <c r="BC1175" s="233">
        <v>45917</v>
      </c>
      <c r="BD1175" s="233">
        <v>45925</v>
      </c>
      <c r="BE1175" s="233">
        <v>45931</v>
      </c>
      <c r="BF1175" s="233">
        <v>45939</v>
      </c>
      <c r="BG1175" s="20">
        <f>IFERROR(IF(BC1175-DATA[[#This Row],[fecha_fs]]&lt;0,0,BC1175-DATA[[#This Row],[fecha_fs]]),0)</f>
        <v>6</v>
      </c>
      <c r="BH1175" s="20">
        <f t="shared" si="251"/>
        <v>8</v>
      </c>
      <c r="BI1175" s="20">
        <f t="shared" si="252"/>
        <v>6</v>
      </c>
      <c r="BJ1175" s="20">
        <f t="shared" si="253"/>
        <v>8</v>
      </c>
      <c r="BK1175" s="282">
        <f>IFERROR(SUM(DATA[[#This Row],[fs_fd_ttd]:[fend_fenf_ttd]]),0)</f>
        <v>28</v>
      </c>
      <c r="BL1175" s="20" t="str">
        <f>IF(DATA[[#This Row],[fecha_fs]]&gt;0,TEXT(DATA[[#This Row],[fecha_fs]],"YYYY"),0)</f>
        <v>2025</v>
      </c>
      <c r="BM1175" s="236" t="b">
        <v>1</v>
      </c>
      <c r="BN1175" s="278">
        <f>COUNTIF(DATA[[#This Row],[tiempo_td]], "&lt;=15")</f>
        <v>0</v>
      </c>
      <c r="BO1175" s="222"/>
    </row>
    <row r="1176" spans="1:67" ht="30.6" customHeight="1" x14ac:dyDescent="0.25">
      <c r="A1176" s="4">
        <v>20455825742</v>
      </c>
      <c r="B1176" s="5" t="s">
        <v>56</v>
      </c>
      <c r="C1176" s="52" t="s">
        <v>18</v>
      </c>
      <c r="D1176" s="4" t="s">
        <v>112</v>
      </c>
      <c r="E1176" s="5" t="s">
        <v>1</v>
      </c>
      <c r="F1176" s="24">
        <v>45911</v>
      </c>
      <c r="G1176" s="7" t="s">
        <v>113</v>
      </c>
      <c r="H1176" s="25">
        <f t="shared" si="248"/>
        <v>1</v>
      </c>
      <c r="I1176" s="67">
        <v>4978</v>
      </c>
      <c r="J1176" s="8" t="s">
        <v>115</v>
      </c>
      <c r="K1176" s="9" t="s">
        <v>116</v>
      </c>
      <c r="L1176" s="10" t="s">
        <v>117</v>
      </c>
      <c r="M1176" s="11">
        <v>1590</v>
      </c>
      <c r="N1176" s="12" t="s">
        <v>125</v>
      </c>
      <c r="O1176" s="6">
        <v>45915</v>
      </c>
      <c r="P1176" s="13">
        <v>3656</v>
      </c>
      <c r="Q1176" s="14" t="s">
        <v>85</v>
      </c>
      <c r="R1176" s="15">
        <f>DATA[[#This Row],[cantidad_fs]]*0.97</f>
        <v>1542.3</v>
      </c>
      <c r="S1176" s="15">
        <v>990</v>
      </c>
      <c r="T1176" s="237">
        <f>DATA[[#This Row],[C. DF]]+DATA[[#This Row],[C.OPE.]]</f>
        <v>2532.3000000000002</v>
      </c>
      <c r="U1176" s="15">
        <f>DATA[[#This Row],[SUB TOTAL]]*0.18</f>
        <v>455.81400000000002</v>
      </c>
      <c r="V1176" s="15">
        <f>IFERROR(ROUND(DATA[[#This Row],[SUB TOTAL]]+DATA[[#This Row],[IGV]],2),0)</f>
        <v>2988.11</v>
      </c>
      <c r="W1176" s="16" t="str">
        <f>IF(DATA[[#This Row],[VALORIZACIÓN ]]="-","NO CORRESPONDE",IF(OR(A1176=20558226979,A1176=10470707866,A1176=20111157058,A1176=20100226902),"NO CORRESPONDE",IF(J1176="Emitida",IF(P1176&gt;0,"EMITIDA","PENDIENTE"),"NO CORRESPONDE")))</f>
        <v>EMITIDA</v>
      </c>
      <c r="X1176" s="29"/>
      <c r="Y1176" s="17" t="s">
        <v>118</v>
      </c>
      <c r="Z1176" s="30">
        <v>45954</v>
      </c>
      <c r="AA1176" s="10" t="s">
        <v>150</v>
      </c>
      <c r="AB1176" s="19">
        <v>305</v>
      </c>
      <c r="AC1176" s="20">
        <v>30</v>
      </c>
      <c r="AD1176" s="18">
        <f>DATA[[#This Row],[FECHA DE EMISION]]+DATA[[#This Row],[CONDICION DE PAGO]]</f>
        <v>45984</v>
      </c>
      <c r="AE1176" s="23">
        <f>IF(DATA[[#This Row],[MONEDA]]="USD",VLOOKUP(DATA[[#This Row],[COMBINADA]],#REF!,11,0),1)</f>
        <v>1</v>
      </c>
      <c r="AF1176" s="129" t="str">
        <f>IF(DATA[[#This Row],[SERIE2]]="-","NO CORRESPONDE",IF(W1176="NO CORRESPONDE","NO CORRESPONDE",IF(Z1176&gt;0,"FACTURADO","PENDIENTE")))</f>
        <v>FACTURADO</v>
      </c>
      <c r="AG1176" s="133">
        <f>IFERROR(VLOOKUP(DATA[[#This Row],[COMBINADA]],#REF!,6,0),0)</f>
        <v>0</v>
      </c>
      <c r="AH1176" s="125">
        <f>IFERROR(VLOOKUP(DATA[[#This Row],[COMBINADA]],#REF!,9,0),0)/COUNTIFS(DATA[COMBINADA],DATA[[#This Row],[COMBINADA]])</f>
        <v>0</v>
      </c>
      <c r="AI1176" s="136">
        <f>IFERROR(VLOOKUP(DATA[[#This Row],[COMBINADA]],#REF!,6,0),0)</f>
        <v>0</v>
      </c>
      <c r="AJ1176" s="132">
        <f>IFERROR(VLOOKUP(DATA[[#This Row],[COMBINADA]],#REF!,9,0),0)/COUNTIFS(DATA[COMBINADA],DATA[[#This Row],[COMBINADA]])</f>
        <v>0</v>
      </c>
      <c r="AK1176" s="407">
        <f>IFERROR(VLOOKUP(DATA[[#This Row],[COMBINADA]],#REF!,6,0),0)</f>
        <v>0</v>
      </c>
      <c r="AL1176" s="125">
        <f>IFERROR(VLOOKUP(DATA[[#This Row],[COMBINADA]],#REF!,9,0),0)/COUNTIFS(DATA[COMBINADA],DATA[[#This Row],[COMBINADA]])</f>
        <v>0</v>
      </c>
      <c r="AM1176" s="27">
        <f>IFERROR(VLOOKUP(DATA[[#This Row],[COMBINADA]],#REF!,6,0),0)</f>
        <v>0</v>
      </c>
      <c r="AN1176" s="125">
        <f>IFERROR(VLOOKUP(DATA[[#This Row],[COMBINADA]],#REF!,9,0),0)/COUNTIFS(DATA[COMBINADA],DATA[[#This Row],[COMBINADA]])</f>
        <v>0</v>
      </c>
      <c r="AO1176" s="27">
        <f>IFERROR(VLOOKUP(DATA[[#This Row],[COMBINADA]],#REF!,6,0),0)</f>
        <v>0</v>
      </c>
      <c r="AP1176" s="132">
        <f>IFERROR(VLOOKUP(DATA[[#This Row],[COMBINADA]],#REF!,9,0),0)/COUNTIFS(DATA[COMBINADA],DATA[[#This Row],[COMBINADA]])</f>
        <v>0</v>
      </c>
      <c r="AQ117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1724.155</v>
      </c>
      <c r="AR1176" s="26" t="str">
        <f>IFERROR(IF(DATA[[#This Row],[estado_fact]]="FACTURADO",VLOOKUP(DATA[[#This Row],[SERIE2]]&amp;"-"&amp;DATA[[#This Row],[NUMERO]],#REF!,34,0),"NO CORRESPONDE"),"NO CORRESPONDE")</f>
        <v>NO CORRESPONDE</v>
      </c>
      <c r="AS1176" s="22" t="str">
        <f>IF(DATA[[#This Row],[fecha_fs]]&gt;0,TEXT(DATA[[#This Row],[fecha_fs]],"Mmmm"),0)</f>
        <v>Setiembre</v>
      </c>
      <c r="AT1176" s="22" t="str">
        <f>DATA[[#This Row],[SERIE2]]&amp;"-"&amp;DATA[[#This Row],[NUMERO]]</f>
        <v>FF01-305</v>
      </c>
      <c r="AU1176" s="28">
        <f>DATA[[#This Row],[TOTAL]]*DATA[[#This Row],[T.C.]]</f>
        <v>2988.11</v>
      </c>
      <c r="AV1176" s="6">
        <f>DATA[[#This Row],[FECHA DE VAL.]]</f>
        <v>45915</v>
      </c>
      <c r="AW1176" s="6">
        <f>DATA[[#This Row],[FECHA DE EMISION]]</f>
        <v>45954</v>
      </c>
      <c r="AX1176" s="6">
        <f>DATA[[#This Row],[F1]]</f>
        <v>0</v>
      </c>
      <c r="AY1176" s="20">
        <f>IF(AV1176-DATA[[#This Row],[fecha_fs]]&lt;0,0,AV1176-DATA[[#This Row],[fecha_fs]])</f>
        <v>4</v>
      </c>
      <c r="AZ1176" s="20">
        <f t="shared" si="249"/>
        <v>39</v>
      </c>
      <c r="BA1176" s="53">
        <f t="shared" si="250"/>
        <v>0</v>
      </c>
      <c r="BB1176" s="195">
        <f>IFERROR(SUM(DATA[[#This Row],[fs_val_ttf]:[fact_pago_ttf]]),0)</f>
        <v>43</v>
      </c>
      <c r="BC1176" s="233">
        <v>45917</v>
      </c>
      <c r="BD1176" s="233">
        <v>45925</v>
      </c>
      <c r="BE1176" s="233">
        <v>45929</v>
      </c>
      <c r="BF1176" s="398">
        <v>45939</v>
      </c>
      <c r="BG1176" s="20">
        <f>IFERROR(IF(BC1176-DATA[[#This Row],[fecha_fs]]&lt;0,0,BC1176-DATA[[#This Row],[fecha_fs]]),0)</f>
        <v>6</v>
      </c>
      <c r="BH1176" s="20">
        <f t="shared" si="251"/>
        <v>8</v>
      </c>
      <c r="BI1176" s="20">
        <f t="shared" si="252"/>
        <v>4</v>
      </c>
      <c r="BJ1176" s="20">
        <f t="shared" si="253"/>
        <v>10</v>
      </c>
      <c r="BK1176" s="282">
        <f>IFERROR(SUM(DATA[[#This Row],[fs_fd_ttd]:[fend_fenf_ttd]]),0)</f>
        <v>28</v>
      </c>
      <c r="BL1176" s="20" t="str">
        <f>IF(DATA[[#This Row],[fecha_fs]]&gt;0,TEXT(DATA[[#This Row],[fecha_fs]],"YYYY"),0)</f>
        <v>2025</v>
      </c>
      <c r="BM1176" s="236" t="b">
        <v>1</v>
      </c>
      <c r="BN1176" s="278">
        <f>COUNTIF(DATA[[#This Row],[tiempo_td]], "&lt;=15")</f>
        <v>0</v>
      </c>
      <c r="BO1176" s="222"/>
    </row>
    <row r="1177" spans="1:67" ht="30.6" customHeight="1" x14ac:dyDescent="0.25">
      <c r="A1177" s="4">
        <v>20455825742</v>
      </c>
      <c r="B1177" s="5" t="s">
        <v>56</v>
      </c>
      <c r="C1177" s="52" t="s">
        <v>18</v>
      </c>
      <c r="D1177" s="4" t="s">
        <v>152</v>
      </c>
      <c r="E1177" s="5" t="s">
        <v>10</v>
      </c>
      <c r="F1177" s="24">
        <v>45911</v>
      </c>
      <c r="G1177" s="7" t="s">
        <v>113</v>
      </c>
      <c r="H1177" s="25">
        <f t="shared" si="248"/>
        <v>1</v>
      </c>
      <c r="I1177" s="67">
        <v>4979</v>
      </c>
      <c r="J1177" s="8" t="s">
        <v>115</v>
      </c>
      <c r="K1177" s="9" t="s">
        <v>153</v>
      </c>
      <c r="L1177" s="10" t="s">
        <v>117</v>
      </c>
      <c r="M1177" s="11">
        <v>80</v>
      </c>
      <c r="N1177" s="12" t="s">
        <v>125</v>
      </c>
      <c r="O1177" s="6">
        <v>45915</v>
      </c>
      <c r="P1177" s="13">
        <v>3656</v>
      </c>
      <c r="Q1177" s="14" t="s">
        <v>85</v>
      </c>
      <c r="R1177" s="74"/>
      <c r="S1177" s="15">
        <v>390</v>
      </c>
      <c r="T1177" s="237">
        <f>DATA[[#This Row],[C. DF]]+DATA[[#This Row],[C.OPE.]]</f>
        <v>390</v>
      </c>
      <c r="U1177" s="15">
        <f>DATA[[#This Row],[SUB TOTAL]]*0.18</f>
        <v>70.2</v>
      </c>
      <c r="V1177" s="15">
        <f>IFERROR(ROUND(DATA[[#This Row],[SUB TOTAL]]+DATA[[#This Row],[IGV]],2),0)</f>
        <v>460.2</v>
      </c>
      <c r="W1177" s="16" t="str">
        <f>IF(DATA[[#This Row],[VALORIZACIÓN ]]="-","NO CORRESPONDE",IF(OR(A1177=20558226979,A1177=10470707866,A1177=20111157058,A1177=20100226902),"NO CORRESPONDE",IF(J1177="Emitida",IF(P1177&gt;0,"EMITIDA","PENDIENTE"),"NO CORRESPONDE")))</f>
        <v>EMITIDA</v>
      </c>
      <c r="X1177" s="29"/>
      <c r="Y1177" s="17" t="s">
        <v>118</v>
      </c>
      <c r="Z1177" s="30">
        <v>45954</v>
      </c>
      <c r="AA1177" s="10" t="s">
        <v>150</v>
      </c>
      <c r="AB1177" s="19">
        <v>305</v>
      </c>
      <c r="AC1177" s="20">
        <v>30</v>
      </c>
      <c r="AD1177" s="18">
        <f>DATA[[#This Row],[FECHA DE EMISION]]+DATA[[#This Row],[CONDICION DE PAGO]]</f>
        <v>45984</v>
      </c>
      <c r="AE1177" s="23">
        <f>IF(DATA[[#This Row],[MONEDA]]="USD",VLOOKUP(DATA[[#This Row],[COMBINADA]],#REF!,11,0),1)</f>
        <v>1</v>
      </c>
      <c r="AF1177" s="129" t="str">
        <f>IF(DATA[[#This Row],[SERIE2]]="-","NO CORRESPONDE",IF(W1177="NO CORRESPONDE","NO CORRESPONDE",IF(Z1177&gt;0,"FACTURADO","PENDIENTE")))</f>
        <v>FACTURADO</v>
      </c>
      <c r="AG1177" s="133">
        <f>IFERROR(VLOOKUP(DATA[[#This Row],[COMBINADA]],#REF!,6,0),0)</f>
        <v>0</v>
      </c>
      <c r="AH1177" s="125">
        <f>IFERROR(VLOOKUP(DATA[[#This Row],[COMBINADA]],#REF!,9,0),0)/COUNTIFS(DATA[COMBINADA],DATA[[#This Row],[COMBINADA]])</f>
        <v>0</v>
      </c>
      <c r="AI1177" s="136">
        <f>IFERROR(VLOOKUP(DATA[[#This Row],[COMBINADA]],#REF!,6,0),0)</f>
        <v>0</v>
      </c>
      <c r="AJ1177" s="132">
        <f>IFERROR(VLOOKUP(DATA[[#This Row],[COMBINADA]],#REF!,9,0),0)/COUNTIFS(DATA[COMBINADA],DATA[[#This Row],[COMBINADA]])</f>
        <v>0</v>
      </c>
      <c r="AK1177" s="407">
        <f>IFERROR(VLOOKUP(DATA[[#This Row],[COMBINADA]],#REF!,6,0),0)</f>
        <v>0</v>
      </c>
      <c r="AL1177" s="125">
        <f>IFERROR(VLOOKUP(DATA[[#This Row],[COMBINADA]],#REF!,9,0),0)/COUNTIFS(DATA[COMBINADA],DATA[[#This Row],[COMBINADA]])</f>
        <v>0</v>
      </c>
      <c r="AM1177" s="27">
        <f>IFERROR(VLOOKUP(DATA[[#This Row],[COMBINADA]],#REF!,6,0),0)</f>
        <v>0</v>
      </c>
      <c r="AN1177" s="125">
        <f>IFERROR(VLOOKUP(DATA[[#This Row],[COMBINADA]],#REF!,9,0),0)/COUNTIFS(DATA[COMBINADA],DATA[[#This Row],[COMBINADA]])</f>
        <v>0</v>
      </c>
      <c r="AO1177" s="27">
        <f>IFERROR(VLOOKUP(DATA[[#This Row],[COMBINADA]],#REF!,6,0),0)</f>
        <v>0</v>
      </c>
      <c r="AP1177" s="132">
        <f>IFERROR(VLOOKUP(DATA[[#This Row],[COMBINADA]],#REF!,9,0),0)/COUNTIFS(DATA[COMBINADA],DATA[[#This Row],[COMBINADA]])</f>
        <v>0</v>
      </c>
      <c r="AQ117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1724.155</v>
      </c>
      <c r="AR1177" s="26" t="str">
        <f>IFERROR(IF(DATA[[#This Row],[estado_fact]]="FACTURADO",VLOOKUP(DATA[[#This Row],[SERIE2]]&amp;"-"&amp;DATA[[#This Row],[NUMERO]],#REF!,34,0),"NO CORRESPONDE"),"NO CORRESPONDE")</f>
        <v>NO CORRESPONDE</v>
      </c>
      <c r="AS1177" s="22" t="str">
        <f>IF(DATA[[#This Row],[fecha_fs]]&gt;0,TEXT(DATA[[#This Row],[fecha_fs]],"Mmmm"),0)</f>
        <v>Setiembre</v>
      </c>
      <c r="AT1177" s="22" t="str">
        <f>DATA[[#This Row],[SERIE2]]&amp;"-"&amp;DATA[[#This Row],[NUMERO]]</f>
        <v>FF01-305</v>
      </c>
      <c r="AU1177" s="28">
        <f>DATA[[#This Row],[TOTAL]]*DATA[[#This Row],[T.C.]]</f>
        <v>460.2</v>
      </c>
      <c r="AV1177" s="6">
        <f>DATA[[#This Row],[FECHA DE VAL.]]</f>
        <v>45915</v>
      </c>
      <c r="AW1177" s="6">
        <f>DATA[[#This Row],[FECHA DE EMISION]]</f>
        <v>45954</v>
      </c>
      <c r="AX1177" s="6">
        <f>DATA[[#This Row],[F1]]</f>
        <v>0</v>
      </c>
      <c r="AY1177" s="20">
        <f>IF(AV1177-DATA[[#This Row],[fecha_fs]]&lt;0,0,AV1177-DATA[[#This Row],[fecha_fs]])</f>
        <v>4</v>
      </c>
      <c r="AZ1177" s="20">
        <f t="shared" si="249"/>
        <v>39</v>
      </c>
      <c r="BA1177" s="53">
        <f t="shared" si="250"/>
        <v>0</v>
      </c>
      <c r="BB1177" s="195">
        <f>IFERROR(SUM(DATA[[#This Row],[fs_val_ttf]:[fact_pago_ttf]]),0)</f>
        <v>43</v>
      </c>
      <c r="BC1177" s="233">
        <v>45924</v>
      </c>
      <c r="BD1177" s="233">
        <v>45937</v>
      </c>
      <c r="BE1177" s="233">
        <v>45937</v>
      </c>
      <c r="BF1177" s="398">
        <v>45939</v>
      </c>
      <c r="BG1177" s="20">
        <f>IFERROR(IF(BC1177-DATA[[#This Row],[fecha_fs]]&lt;0,0,BC1177-DATA[[#This Row],[fecha_fs]]),0)</f>
        <v>13</v>
      </c>
      <c r="BH1177" s="20">
        <f t="shared" si="251"/>
        <v>13</v>
      </c>
      <c r="BI1177" s="20">
        <f t="shared" si="252"/>
        <v>0</v>
      </c>
      <c r="BJ1177" s="20">
        <f t="shared" si="253"/>
        <v>2</v>
      </c>
      <c r="BK1177" s="282">
        <f>IFERROR(SUM(DATA[[#This Row],[fs_fd_ttd]:[fend_fenf_ttd]]),0)</f>
        <v>28</v>
      </c>
      <c r="BL1177" s="20" t="str">
        <f>IF(DATA[[#This Row],[fecha_fs]]&gt;0,TEXT(DATA[[#This Row],[fecha_fs]],"YYYY"),0)</f>
        <v>2025</v>
      </c>
      <c r="BM1177" s="236" t="b">
        <v>1</v>
      </c>
      <c r="BN1177" s="278">
        <f>COUNTIF(DATA[[#This Row],[tiempo_td]], "&lt;=15")</f>
        <v>0</v>
      </c>
      <c r="BO1177" s="222"/>
    </row>
    <row r="1178" spans="1:67" ht="30.6" customHeight="1" x14ac:dyDescent="0.25">
      <c r="A1178" s="4">
        <v>20100192064</v>
      </c>
      <c r="B1178" s="5" t="s">
        <v>60</v>
      </c>
      <c r="C1178" s="52" t="s">
        <v>66</v>
      </c>
      <c r="D1178" s="4" t="s">
        <v>120</v>
      </c>
      <c r="E1178" s="5" t="s">
        <v>3</v>
      </c>
      <c r="F1178" s="24">
        <v>45911</v>
      </c>
      <c r="G1178" s="7" t="s">
        <v>142</v>
      </c>
      <c r="H1178" s="25">
        <f>IF(G1178="","",IF(G1178="LIM",2,1))</f>
        <v>2</v>
      </c>
      <c r="I1178" s="67">
        <v>1137</v>
      </c>
      <c r="J1178" s="8" t="s">
        <v>115</v>
      </c>
      <c r="K1178" s="9" t="s">
        <v>169</v>
      </c>
      <c r="L1178" s="10" t="s">
        <v>117</v>
      </c>
      <c r="M1178" s="11">
        <v>1790</v>
      </c>
      <c r="N1178" s="12" t="s">
        <v>332</v>
      </c>
      <c r="O1178" s="6">
        <v>45926</v>
      </c>
      <c r="P1178" s="71">
        <v>3699</v>
      </c>
      <c r="Q1178" s="14" t="s">
        <v>123</v>
      </c>
      <c r="R1178" s="74"/>
      <c r="S1178" s="56">
        <f>227</f>
        <v>227</v>
      </c>
      <c r="T1178" s="237">
        <f>DATA[[#This Row],[C. DF]]+DATA[[#This Row],[C.OPE.]]</f>
        <v>227</v>
      </c>
      <c r="U1178" s="15">
        <f>DATA[[#This Row],[SUB TOTAL]]*0.18</f>
        <v>40.86</v>
      </c>
      <c r="V1178" s="15">
        <f>IFERROR(ROUND(DATA[[#This Row],[SUB TOTAL]]+DATA[[#This Row],[IGV]],2),0)</f>
        <v>267.86</v>
      </c>
      <c r="W1178" s="16" t="str">
        <f>IF(DATA[[#This Row],[VALORIZACIÓN ]]="-","NO CORRESPONDE",IF(OR(A1178=20558226979,A1178=10470707866,A1178=20111157058,A1178=20100226902),"NO CORRESPONDE",IF(J1178="Emitida",IF(P1178&gt;0,"EMITIDA","PENDIENTE"),"NO CORRESPONDE")))</f>
        <v>EMITIDA</v>
      </c>
      <c r="X1178" s="29"/>
      <c r="Y1178" s="17" t="s">
        <v>118</v>
      </c>
      <c r="Z1178" s="30">
        <v>45929</v>
      </c>
      <c r="AA1178" s="10" t="s">
        <v>150</v>
      </c>
      <c r="AB1178" s="19">
        <v>268</v>
      </c>
      <c r="AC1178" s="20">
        <v>30</v>
      </c>
      <c r="AD1178" s="18">
        <f>DATA[[#This Row],[FECHA DE EMISION]]+DATA[[#This Row],[CONDICION DE PAGO]]</f>
        <v>45959</v>
      </c>
      <c r="AE1178" s="23" t="e">
        <f>IF(DATA[[#This Row],[MONEDA]]="USD",VLOOKUP(DATA[[#This Row],[COMBINADA]],#REF!,11,0),1)</f>
        <v>#REF!</v>
      </c>
      <c r="AF1178" s="129" t="str">
        <f>IF(DATA[[#This Row],[SERIE2]]="-","NO CORRESPONDE",IF(W1178="NO CORRESPONDE","NO CORRESPONDE",IF(Z1178&gt;0,"FACTURADO","PENDIENTE")))</f>
        <v>FACTURADO</v>
      </c>
      <c r="AG1178" s="133">
        <f>IFERROR(VLOOKUP(DATA[[#This Row],[COMBINADA]],#REF!,6,0),0)</f>
        <v>0</v>
      </c>
      <c r="AH1178" s="125">
        <f>IFERROR(VLOOKUP(DATA[[#This Row],[COMBINADA]],#REF!,9,0),0)/COUNTIFS(DATA[COMBINADA],DATA[[#This Row],[COMBINADA]])</f>
        <v>0</v>
      </c>
      <c r="AI1178" s="136">
        <f>IFERROR(VLOOKUP(DATA[[#This Row],[COMBINADA]],#REF!,6,0),0)</f>
        <v>0</v>
      </c>
      <c r="AJ1178" s="132">
        <f>IFERROR(VLOOKUP(DATA[[#This Row],[COMBINADA]],#REF!,9,0),0)/COUNTIFS(DATA[COMBINADA],DATA[[#This Row],[COMBINADA]])</f>
        <v>0</v>
      </c>
      <c r="AK1178" s="407">
        <f>IFERROR(VLOOKUP(DATA[[#This Row],[COMBINADA]],#REF!,6,0),0)</f>
        <v>0</v>
      </c>
      <c r="AL1178" s="125">
        <f>IFERROR(VLOOKUP(DATA[[#This Row],[COMBINADA]],#REF!,9,0),0)/COUNTIFS(DATA[COMBINADA],DATA[[#This Row],[COMBINADA]])</f>
        <v>0</v>
      </c>
      <c r="AM1178" s="27">
        <f>IFERROR(VLOOKUP(DATA[[#This Row],[COMBINADA]],#REF!,6,0),0)</f>
        <v>0</v>
      </c>
      <c r="AN1178" s="125">
        <f>IFERROR(VLOOKUP(DATA[[#This Row],[COMBINADA]],#REF!,9,0),0)/COUNTIFS(DATA[COMBINADA],DATA[[#This Row],[COMBINADA]])</f>
        <v>0</v>
      </c>
      <c r="AO1178" s="27">
        <f>IFERROR(VLOOKUP(DATA[[#This Row],[COMBINADA]],#REF!,6,0),0)</f>
        <v>0</v>
      </c>
      <c r="AP1178" s="132">
        <f>IFERROR(VLOOKUP(DATA[[#This Row],[COMBINADA]],#REF!,9,0),0)/COUNTIFS(DATA[COMBINADA],DATA[[#This Row],[COMBINADA]])</f>
        <v>0</v>
      </c>
      <c r="AQ117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535.76357142857137</v>
      </c>
      <c r="AR1178" s="26" t="str">
        <f>IFERROR(IF(DATA[[#This Row],[estado_fact]]="FACTURADO",VLOOKUP(DATA[[#This Row],[SERIE2]]&amp;"-"&amp;DATA[[#This Row],[NUMERO]],#REF!,34,0),"NO CORRESPONDE"),"NO CORRESPONDE")</f>
        <v>NO CORRESPONDE</v>
      </c>
      <c r="AS1178" s="22" t="str">
        <f>IF(DATA[[#This Row],[fecha_fs]]&gt;0,TEXT(DATA[[#This Row],[fecha_fs]],"Mmmm"),0)</f>
        <v>Setiembre</v>
      </c>
      <c r="AT1178" s="22" t="str">
        <f>DATA[[#This Row],[SERIE2]]&amp;"-"&amp;DATA[[#This Row],[NUMERO]]</f>
        <v>FF01-268</v>
      </c>
      <c r="AU1178" s="28" t="e">
        <f>DATA[[#This Row],[TOTAL]]*DATA[[#This Row],[T.C.]]</f>
        <v>#REF!</v>
      </c>
      <c r="AV1178" s="6">
        <f>DATA[[#This Row],[FECHA DE VAL.]]</f>
        <v>45926</v>
      </c>
      <c r="AW1178" s="6">
        <f>DATA[[#This Row],[FECHA DE EMISION]]</f>
        <v>45929</v>
      </c>
      <c r="AX1178" s="6">
        <f>DATA[[#This Row],[F1]]</f>
        <v>0</v>
      </c>
      <c r="AY1178" s="20">
        <f>IF(AV1178-DATA[[#This Row],[fecha_fs]]&lt;0,0,AV1178-DATA[[#This Row],[fecha_fs]])</f>
        <v>15</v>
      </c>
      <c r="AZ1178" s="20">
        <f>IF(AW1178-AV1178&lt;0,0,AW1178-AV1178)</f>
        <v>3</v>
      </c>
      <c r="BA1178" s="53">
        <f>IF(AX1178-AW1178&lt;0,0,AX1178-AW1178)</f>
        <v>0</v>
      </c>
      <c r="BB1178" s="195">
        <f>IFERROR(SUM(DATA[[#This Row],[fs_val_ttf]:[fact_pago_ttf]]),0)</f>
        <v>18</v>
      </c>
      <c r="BC1178" s="378">
        <v>45911</v>
      </c>
      <c r="BD1178" s="185">
        <v>45911</v>
      </c>
      <c r="BE1178" s="185">
        <v>45931</v>
      </c>
      <c r="BF1178" s="185">
        <v>45931</v>
      </c>
      <c r="BG1178" s="20">
        <f>IFERROR(IF(BC1178-DATA[[#This Row],[fecha_fs]]&lt;0,0,BC1178-DATA[[#This Row],[fecha_fs]]),0)</f>
        <v>0</v>
      </c>
      <c r="BH1178" s="20">
        <f>IFERROR(IF(BD1178-BC1178&lt;0,0,BD1178-BC1178),0)</f>
        <v>0</v>
      </c>
      <c r="BI1178" s="20">
        <f>IFERROR(IF(BE1178-BD1178&lt;0,0,BE1178-BD1178),0)</f>
        <v>20</v>
      </c>
      <c r="BJ1178" s="53">
        <f>IFERROR(IF(BF1178-BE1178&lt;0,0,BF1178-BE1178),0)</f>
        <v>0</v>
      </c>
      <c r="BK1178" s="218">
        <f>IFERROR(SUM(DATA[[#This Row],[fs_fd_ttd]:[fend_fenf_ttd]]),0)</f>
        <v>20</v>
      </c>
      <c r="BL1178" s="20" t="str">
        <f>IF(DATA[[#This Row],[fecha_fs]]&gt;0,TEXT(DATA[[#This Row],[fecha_fs]],"YYYY"),0)</f>
        <v>2025</v>
      </c>
      <c r="BM1178" s="236" t="b">
        <v>1</v>
      </c>
      <c r="BN1178" s="278">
        <f>COUNTIF(DATA[[#This Row],[tiempo_td]], "&lt;=15")</f>
        <v>0</v>
      </c>
      <c r="BO1178" s="222"/>
    </row>
    <row r="1179" spans="1:67" ht="30.6" customHeight="1" x14ac:dyDescent="0.25">
      <c r="A1179" s="4">
        <v>20141637941</v>
      </c>
      <c r="B1179" s="5" t="s">
        <v>79</v>
      </c>
      <c r="C1179" s="52" t="s">
        <v>18</v>
      </c>
      <c r="D1179" s="4" t="s">
        <v>120</v>
      </c>
      <c r="E1179" s="5" t="s">
        <v>3</v>
      </c>
      <c r="F1179" s="24">
        <v>45912</v>
      </c>
      <c r="G1179" s="7" t="s">
        <v>113</v>
      </c>
      <c r="H1179" s="25">
        <f t="shared" si="248"/>
        <v>1</v>
      </c>
      <c r="I1179" s="67">
        <v>4980</v>
      </c>
      <c r="J1179" s="8" t="s">
        <v>115</v>
      </c>
      <c r="K1179" s="9" t="s">
        <v>121</v>
      </c>
      <c r="L1179" s="10" t="s">
        <v>117</v>
      </c>
      <c r="M1179" s="11">
        <v>1500</v>
      </c>
      <c r="N1179" s="12" t="s">
        <v>122</v>
      </c>
      <c r="O1179" s="6">
        <v>45918</v>
      </c>
      <c r="P1179" s="110">
        <v>3665</v>
      </c>
      <c r="Q1179" s="14" t="s">
        <v>85</v>
      </c>
      <c r="R1179" s="309">
        <f>80+((DATA[[#This Row],[cantidad_fs]]-1000)*0.08)</f>
        <v>120</v>
      </c>
      <c r="S1179" s="309">
        <v>832</v>
      </c>
      <c r="T1179" s="237">
        <f>DATA[[#This Row],[C. DF]]+DATA[[#This Row],[C.OPE.]]</f>
        <v>952</v>
      </c>
      <c r="U1179" s="15">
        <f>DATA[[#This Row],[SUB TOTAL]]*0.18</f>
        <v>171.35999999999999</v>
      </c>
      <c r="V1179" s="15">
        <f>IFERROR(ROUND(DATA[[#This Row],[SUB TOTAL]]+DATA[[#This Row],[IGV]],2),0)</f>
        <v>1123.3599999999999</v>
      </c>
      <c r="W1179" s="16" t="str">
        <f>IF(DATA[[#This Row],[VALORIZACIÓN ]]="-","NO CORRESPONDE",IF(OR(A1179=20558226979,A1179=10470707866,A1179=20111157058,A1179=20100226902),"NO CORRESPONDE",IF(J1179="Emitida",IF(P1179&gt;0,"EMITIDA","PENDIENTE"),"NO CORRESPONDE")))</f>
        <v>EMITIDA</v>
      </c>
      <c r="X1179" s="29"/>
      <c r="Y1179" s="17" t="s">
        <v>118</v>
      </c>
      <c r="Z1179" s="30">
        <v>45931</v>
      </c>
      <c r="AA1179" s="10" t="s">
        <v>150</v>
      </c>
      <c r="AB1179" s="19">
        <v>273</v>
      </c>
      <c r="AC1179" s="20">
        <v>30</v>
      </c>
      <c r="AD1179" s="18">
        <f>DATA[[#This Row],[FECHA DE EMISION]]+DATA[[#This Row],[CONDICION DE PAGO]]</f>
        <v>45961</v>
      </c>
      <c r="AE1179" s="23">
        <f>IF(DATA[[#This Row],[MONEDA]]="USD",VLOOKUP(DATA[[#This Row],[COMBINADA]],#REF!,11,0),1)</f>
        <v>1</v>
      </c>
      <c r="AF1179" s="129" t="str">
        <f>IF(DATA[[#This Row],[SERIE2]]="-","NO CORRESPONDE",IF(W1179="NO CORRESPONDE","NO CORRESPONDE",IF(Z1179&gt;0,"FACTURADO","PENDIENTE")))</f>
        <v>FACTURADO</v>
      </c>
      <c r="AG1179" s="133">
        <f>IFERROR(VLOOKUP(DATA[[#This Row],[COMBINADA]],#REF!,6,0),0)</f>
        <v>0</v>
      </c>
      <c r="AH1179" s="125">
        <f>IFERROR(VLOOKUP(DATA[[#This Row],[COMBINADA]],#REF!,9,0),0)/COUNTIFS(DATA[COMBINADA],DATA[[#This Row],[COMBINADA]])</f>
        <v>0</v>
      </c>
      <c r="AI1179" s="136">
        <f>IFERROR(VLOOKUP(DATA[[#This Row],[COMBINADA]],#REF!,6,0),0)</f>
        <v>0</v>
      </c>
      <c r="AJ1179" s="132">
        <f>IFERROR(VLOOKUP(DATA[[#This Row],[COMBINADA]],#REF!,9,0),0)/COUNTIFS(DATA[COMBINADA],DATA[[#This Row],[COMBINADA]])</f>
        <v>0</v>
      </c>
      <c r="AK1179" s="407">
        <f>IFERROR(VLOOKUP(DATA[[#This Row],[COMBINADA]],#REF!,6,0),0)</f>
        <v>0</v>
      </c>
      <c r="AL1179" s="125">
        <f>IFERROR(VLOOKUP(DATA[[#This Row],[COMBINADA]],#REF!,9,0),0)/COUNTIFS(DATA[COMBINADA],DATA[[#This Row],[COMBINADA]])</f>
        <v>0</v>
      </c>
      <c r="AM1179" s="27">
        <f>IFERROR(VLOOKUP(DATA[[#This Row],[COMBINADA]],#REF!,6,0),0)</f>
        <v>0</v>
      </c>
      <c r="AN1179" s="125">
        <f>IFERROR(VLOOKUP(DATA[[#This Row],[COMBINADA]],#REF!,9,0),0)/COUNTIFS(DATA[COMBINADA],DATA[[#This Row],[COMBINADA]])</f>
        <v>0</v>
      </c>
      <c r="AO1179" s="27">
        <f>IFERROR(VLOOKUP(DATA[[#This Row],[COMBINADA]],#REF!,6,0),0)</f>
        <v>0</v>
      </c>
      <c r="AP1179" s="132">
        <f>IFERROR(VLOOKUP(DATA[[#This Row],[COMBINADA]],#REF!,9,0),0)/COUNTIFS(DATA[COMBINADA],DATA[[#This Row],[COMBINADA]])</f>
        <v>0</v>
      </c>
      <c r="AQ117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1088.4324999999999</v>
      </c>
      <c r="AR1179" s="26" t="str">
        <f>IFERROR(IF(DATA[[#This Row],[estado_fact]]="FACTURADO",VLOOKUP(DATA[[#This Row],[SERIE2]]&amp;"-"&amp;DATA[[#This Row],[NUMERO]],#REF!,34,0),"NO CORRESPONDE"),"NO CORRESPONDE")</f>
        <v>NO CORRESPONDE</v>
      </c>
      <c r="AS1179" s="22" t="str">
        <f>IF(DATA[[#This Row],[fecha_fs]]&gt;0,TEXT(DATA[[#This Row],[fecha_fs]],"Mmmm"),0)</f>
        <v>Setiembre</v>
      </c>
      <c r="AT1179" s="22" t="str">
        <f>DATA[[#This Row],[SERIE2]]&amp;"-"&amp;DATA[[#This Row],[NUMERO]]</f>
        <v>FF01-273</v>
      </c>
      <c r="AU1179" s="28">
        <f>DATA[[#This Row],[TOTAL]]*DATA[[#This Row],[T.C.]]</f>
        <v>1123.3599999999999</v>
      </c>
      <c r="AV1179" s="6">
        <f>DATA[[#This Row],[FECHA DE VAL.]]</f>
        <v>45918</v>
      </c>
      <c r="AW1179" s="6">
        <f>DATA[[#This Row],[FECHA DE EMISION]]</f>
        <v>45931</v>
      </c>
      <c r="AX1179" s="6">
        <f>DATA[[#This Row],[F1]]</f>
        <v>0</v>
      </c>
      <c r="AY1179" s="20">
        <f>IF(AV1179-DATA[[#This Row],[fecha_fs]]&lt;0,0,AV1179-DATA[[#This Row],[fecha_fs]])</f>
        <v>6</v>
      </c>
      <c r="AZ1179" s="20">
        <f t="shared" si="249"/>
        <v>13</v>
      </c>
      <c r="BA1179" s="53">
        <f t="shared" si="250"/>
        <v>0</v>
      </c>
      <c r="BB1179" s="195">
        <f>IFERROR(SUM(DATA[[#This Row],[fs_val_ttf]:[fact_pago_ttf]]),0)</f>
        <v>19</v>
      </c>
      <c r="BC1179" s="233">
        <v>45912</v>
      </c>
      <c r="BD1179" s="233">
        <v>45929</v>
      </c>
      <c r="BE1179" s="377">
        <v>45931</v>
      </c>
      <c r="BF1179" s="233">
        <v>45939</v>
      </c>
      <c r="BG1179" s="20">
        <f>IFERROR(IF(BC1179-DATA[[#This Row],[fecha_fs]]&lt;0,0,BC1179-DATA[[#This Row],[fecha_fs]]),0)</f>
        <v>0</v>
      </c>
      <c r="BH1179" s="20">
        <f t="shared" si="251"/>
        <v>17</v>
      </c>
      <c r="BI1179" s="20">
        <f t="shared" si="252"/>
        <v>2</v>
      </c>
      <c r="BJ1179" s="20">
        <f t="shared" si="253"/>
        <v>8</v>
      </c>
      <c r="BK1179" s="282">
        <f>IFERROR(SUM(DATA[[#This Row],[fs_fd_ttd]:[fend_fenf_ttd]]),0)</f>
        <v>27</v>
      </c>
      <c r="BL1179" s="20" t="str">
        <f>IF(DATA[[#This Row],[fecha_fs]]&gt;0,TEXT(DATA[[#This Row],[fecha_fs]],"YYYY"),0)</f>
        <v>2025</v>
      </c>
      <c r="BM1179" s="236" t="b">
        <v>1</v>
      </c>
      <c r="BN1179" s="278">
        <f>COUNTIF(DATA[[#This Row],[tiempo_td]], "&lt;=15")</f>
        <v>0</v>
      </c>
      <c r="BO1179" s="222"/>
    </row>
    <row r="1180" spans="1:67" ht="30.6" customHeight="1" x14ac:dyDescent="0.25">
      <c r="A1180" s="4">
        <v>20100211115</v>
      </c>
      <c r="B1180" s="5" t="s">
        <v>41</v>
      </c>
      <c r="C1180" s="52" t="s">
        <v>18</v>
      </c>
      <c r="D1180" s="4" t="s">
        <v>120</v>
      </c>
      <c r="E1180" s="5" t="s">
        <v>3</v>
      </c>
      <c r="F1180" s="24">
        <v>45912</v>
      </c>
      <c r="G1180" s="7" t="s">
        <v>113</v>
      </c>
      <c r="H1180" s="25">
        <f t="shared" si="248"/>
        <v>1</v>
      </c>
      <c r="I1180" s="67">
        <v>4981</v>
      </c>
      <c r="J1180" s="8" t="s">
        <v>115</v>
      </c>
      <c r="K1180" s="9" t="s">
        <v>121</v>
      </c>
      <c r="L1180" s="10" t="s">
        <v>117</v>
      </c>
      <c r="M1180" s="11">
        <v>90</v>
      </c>
      <c r="N1180" s="12" t="s">
        <v>132</v>
      </c>
      <c r="O1180" s="6">
        <v>45926</v>
      </c>
      <c r="P1180" s="115">
        <v>3679</v>
      </c>
      <c r="Q1180" s="14" t="s">
        <v>85</v>
      </c>
      <c r="R1180" s="74"/>
      <c r="S1180" s="15">
        <f>(DATA[[#This Row],[cantidad_fs]]*4.17)</f>
        <v>375.3</v>
      </c>
      <c r="T1180" s="237">
        <f>DATA[[#This Row],[C. DF]]+DATA[[#This Row],[C.OPE.]]</f>
        <v>375.3</v>
      </c>
      <c r="U1180" s="15">
        <f>DATA[[#This Row],[SUB TOTAL]]*0.18</f>
        <v>67.554000000000002</v>
      </c>
      <c r="V1180" s="15">
        <f>IFERROR(ROUND(DATA[[#This Row],[SUB TOTAL]]+DATA[[#This Row],[IGV]],2),0)</f>
        <v>442.85</v>
      </c>
      <c r="W1180" s="16" t="str">
        <f>IF(DATA[[#This Row],[VALORIZACIÓN ]]="-","NO CORRESPONDE",IF(OR(A1180=20558226979,A1180=10470707866,A1180=20111157058,A1180=20100226902),"NO CORRESPONDE",IF(J1180="Emitida",IF(P1180&gt;0,"EMITIDA","PENDIENTE"),"NO CORRESPONDE")))</f>
        <v>EMITIDA</v>
      </c>
      <c r="X1180" s="29"/>
      <c r="Y1180" s="17" t="s">
        <v>118</v>
      </c>
      <c r="Z1180" s="30">
        <v>45930</v>
      </c>
      <c r="AA1180" s="10" t="s">
        <v>150</v>
      </c>
      <c r="AB1180" s="19">
        <v>269</v>
      </c>
      <c r="AC1180" s="20">
        <v>30</v>
      </c>
      <c r="AD1180" s="18">
        <f>DATA[[#This Row],[FECHA DE EMISION]]+DATA[[#This Row],[CONDICION DE PAGO]]</f>
        <v>45960</v>
      </c>
      <c r="AE1180" s="23">
        <f>IF(DATA[[#This Row],[MONEDA]]="USD",VLOOKUP(DATA[[#This Row],[COMBINADA]],#REF!,11,0),1)</f>
        <v>1</v>
      </c>
      <c r="AF1180" s="129" t="str">
        <f>IF(DATA[[#This Row],[SERIE2]]="-","NO CORRESPONDE",IF(W1180="NO CORRESPONDE","NO CORRESPONDE",IF(Z1180&gt;0,"FACTURADO","PENDIENTE")))</f>
        <v>FACTURADO</v>
      </c>
      <c r="AG1180" s="133">
        <f>IFERROR(VLOOKUP(DATA[[#This Row],[COMBINADA]],#REF!,6,0),0)</f>
        <v>0</v>
      </c>
      <c r="AH1180" s="125">
        <f>IFERROR(VLOOKUP(DATA[[#This Row],[COMBINADA]],#REF!,9,0),0)/COUNTIFS(DATA[COMBINADA],DATA[[#This Row],[COMBINADA]])</f>
        <v>0</v>
      </c>
      <c r="AI1180" s="136">
        <f>IFERROR(VLOOKUP(DATA[[#This Row],[COMBINADA]],#REF!,6,0),0)</f>
        <v>0</v>
      </c>
      <c r="AJ1180" s="132">
        <f>IFERROR(VLOOKUP(DATA[[#This Row],[COMBINADA]],#REF!,9,0),0)/COUNTIFS(DATA[COMBINADA],DATA[[#This Row],[COMBINADA]])</f>
        <v>0</v>
      </c>
      <c r="AK1180" s="407">
        <f>IFERROR(VLOOKUP(DATA[[#This Row],[COMBINADA]],#REF!,6,0),0)</f>
        <v>0</v>
      </c>
      <c r="AL1180" s="125">
        <f>IFERROR(VLOOKUP(DATA[[#This Row],[COMBINADA]],#REF!,9,0),0)/COUNTIFS(DATA[COMBINADA],DATA[[#This Row],[COMBINADA]])</f>
        <v>0</v>
      </c>
      <c r="AM1180" s="27">
        <f>IFERROR(VLOOKUP(DATA[[#This Row],[COMBINADA]],#REF!,6,0),0)</f>
        <v>0</v>
      </c>
      <c r="AN1180" s="125">
        <f>IFERROR(VLOOKUP(DATA[[#This Row],[COMBINADA]],#REF!,9,0),0)/COUNTIFS(DATA[COMBINADA],DATA[[#This Row],[COMBINADA]])</f>
        <v>0</v>
      </c>
      <c r="AO1180" s="27">
        <f>IFERROR(VLOOKUP(DATA[[#This Row],[COMBINADA]],#REF!,6,0),0)</f>
        <v>0</v>
      </c>
      <c r="AP1180" s="132">
        <f>IFERROR(VLOOKUP(DATA[[#This Row],[COMBINADA]],#REF!,9,0),0)/COUNTIFS(DATA[COMBINADA],DATA[[#This Row],[COMBINADA]])</f>
        <v>0</v>
      </c>
      <c r="AQ118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180" s="26" t="str">
        <f>IFERROR(IF(DATA[[#This Row],[estado_fact]]="FACTURADO",VLOOKUP(DATA[[#This Row],[SERIE2]]&amp;"-"&amp;DATA[[#This Row],[NUMERO]],#REF!,34,0),"NO CORRESPONDE"),"NO CORRESPONDE")</f>
        <v>NO CORRESPONDE</v>
      </c>
      <c r="AS1180" s="22" t="str">
        <f>IF(DATA[[#This Row],[fecha_fs]]&gt;0,TEXT(DATA[[#This Row],[fecha_fs]],"Mmmm"),0)</f>
        <v>Setiembre</v>
      </c>
      <c r="AT1180" s="22" t="str">
        <f>DATA[[#This Row],[SERIE2]]&amp;"-"&amp;DATA[[#This Row],[NUMERO]]</f>
        <v>FF01-269</v>
      </c>
      <c r="AU1180" s="28">
        <f>DATA[[#This Row],[TOTAL]]*DATA[[#This Row],[T.C.]]</f>
        <v>442.85</v>
      </c>
      <c r="AV1180" s="6">
        <f>DATA[[#This Row],[FECHA DE VAL.]]</f>
        <v>45926</v>
      </c>
      <c r="AW1180" s="6">
        <f>DATA[[#This Row],[FECHA DE EMISION]]</f>
        <v>45930</v>
      </c>
      <c r="AX1180" s="6">
        <f>DATA[[#This Row],[F1]]</f>
        <v>0</v>
      </c>
      <c r="AY1180" s="20">
        <f>IF(AV1180-DATA[[#This Row],[fecha_fs]]&lt;0,0,AV1180-DATA[[#This Row],[fecha_fs]])</f>
        <v>14</v>
      </c>
      <c r="AZ1180" s="20">
        <f t="shared" si="249"/>
        <v>4</v>
      </c>
      <c r="BA1180" s="53">
        <f t="shared" si="250"/>
        <v>0</v>
      </c>
      <c r="BB1180" s="195">
        <f>IFERROR(SUM(DATA[[#This Row],[fs_val_ttf]:[fact_pago_ttf]]),0)</f>
        <v>18</v>
      </c>
      <c r="BC1180" s="233">
        <v>45932</v>
      </c>
      <c r="BD1180" s="233">
        <v>45939</v>
      </c>
      <c r="BE1180" s="233">
        <v>45939</v>
      </c>
      <c r="BF1180" s="233">
        <v>45940</v>
      </c>
      <c r="BG1180" s="20">
        <f>IFERROR(IF(BC1180-DATA[[#This Row],[fecha_fs]]&lt;0,0,BC1180-DATA[[#This Row],[fecha_fs]]),0)</f>
        <v>20</v>
      </c>
      <c r="BH1180" s="20">
        <f t="shared" si="251"/>
        <v>7</v>
      </c>
      <c r="BI1180" s="20">
        <f t="shared" si="252"/>
        <v>0</v>
      </c>
      <c r="BJ1180" s="20">
        <f t="shared" si="253"/>
        <v>1</v>
      </c>
      <c r="BK1180" s="282">
        <f>IFERROR(SUM(DATA[[#This Row],[fs_fd_ttd]:[fend_fenf_ttd]]),0)</f>
        <v>28</v>
      </c>
      <c r="BL1180" s="20" t="str">
        <f>IF(DATA[[#This Row],[fecha_fs]]&gt;0,TEXT(DATA[[#This Row],[fecha_fs]],"YYYY"),0)</f>
        <v>2025</v>
      </c>
      <c r="BM1180" s="236" t="b">
        <v>1</v>
      </c>
      <c r="BN1180" s="278">
        <f>COUNTIF(DATA[[#This Row],[tiempo_td]], "&lt;=15")</f>
        <v>0</v>
      </c>
      <c r="BO1180" s="222"/>
    </row>
    <row r="1181" spans="1:67" ht="30.6" customHeight="1" x14ac:dyDescent="0.25">
      <c r="A1181" s="4">
        <v>20100211115</v>
      </c>
      <c r="B1181" s="5" t="s">
        <v>41</v>
      </c>
      <c r="C1181" s="52" t="s">
        <v>18</v>
      </c>
      <c r="D1181" s="4" t="s">
        <v>112</v>
      </c>
      <c r="E1181" s="5" t="s">
        <v>1</v>
      </c>
      <c r="F1181" s="24">
        <v>45912</v>
      </c>
      <c r="G1181" s="7" t="s">
        <v>113</v>
      </c>
      <c r="H1181" s="25">
        <f t="shared" si="248"/>
        <v>1</v>
      </c>
      <c r="I1181" s="67">
        <v>4982</v>
      </c>
      <c r="J1181" s="8" t="s">
        <v>115</v>
      </c>
      <c r="K1181" s="9" t="s">
        <v>116</v>
      </c>
      <c r="L1181" s="10" t="s">
        <v>117</v>
      </c>
      <c r="M1181" s="11">
        <v>13</v>
      </c>
      <c r="N1181" s="12" t="s">
        <v>132</v>
      </c>
      <c r="O1181" s="6">
        <v>45926</v>
      </c>
      <c r="P1181" s="115">
        <v>3681</v>
      </c>
      <c r="Q1181" s="14" t="s">
        <v>85</v>
      </c>
      <c r="R1181" s="309"/>
      <c r="S1181" s="309">
        <f>(DATA[[#This Row],[cantidad_fs]]*4.57)</f>
        <v>59.410000000000004</v>
      </c>
      <c r="T1181" s="237">
        <f>DATA[[#This Row],[C. DF]]+DATA[[#This Row],[C.OPE.]]</f>
        <v>59.410000000000004</v>
      </c>
      <c r="U1181" s="15">
        <f>DATA[[#This Row],[SUB TOTAL]]*0.18</f>
        <v>10.6938</v>
      </c>
      <c r="V1181" s="15">
        <f>IFERROR(ROUND(DATA[[#This Row],[SUB TOTAL]]+DATA[[#This Row],[IGV]],2),0)</f>
        <v>70.099999999999994</v>
      </c>
      <c r="W1181" s="16" t="str">
        <f>IF(DATA[[#This Row],[VALORIZACIÓN ]]="-","NO CORRESPONDE",IF(OR(A1181=20558226979,A1181=10470707866,A1181=20111157058,A1181=20100226902),"NO CORRESPONDE",IF(J1181="Emitida",IF(P1181&gt;0,"EMITIDA","PENDIENTE"),"NO CORRESPONDE")))</f>
        <v>EMITIDA</v>
      </c>
      <c r="X1181" s="29"/>
      <c r="Y1181" s="17" t="s">
        <v>118</v>
      </c>
      <c r="Z1181" s="30">
        <v>45930</v>
      </c>
      <c r="AA1181" s="10" t="s">
        <v>150</v>
      </c>
      <c r="AB1181" s="19">
        <v>271</v>
      </c>
      <c r="AC1181" s="20">
        <v>30</v>
      </c>
      <c r="AD1181" s="18">
        <f>DATA[[#This Row],[FECHA DE EMISION]]+DATA[[#This Row],[CONDICION DE PAGO]]</f>
        <v>45960</v>
      </c>
      <c r="AE1181" s="23">
        <f>IF(DATA[[#This Row],[MONEDA]]="USD",VLOOKUP(DATA[[#This Row],[COMBINADA]],#REF!,11,0),1)</f>
        <v>1</v>
      </c>
      <c r="AF1181" s="129" t="str">
        <f>IF(DATA[[#This Row],[SERIE2]]="-","NO CORRESPONDE",IF(W1181="NO CORRESPONDE","NO CORRESPONDE",IF(Z1181&gt;0,"FACTURADO","PENDIENTE")))</f>
        <v>FACTURADO</v>
      </c>
      <c r="AG1181" s="133">
        <f>IFERROR(VLOOKUP(DATA[[#This Row],[COMBINADA]],#REF!,6,0),0)</f>
        <v>0</v>
      </c>
      <c r="AH1181" s="125">
        <f>IFERROR(VLOOKUP(DATA[[#This Row],[COMBINADA]],#REF!,9,0),0)/COUNTIFS(DATA[COMBINADA],DATA[[#This Row],[COMBINADA]])</f>
        <v>0</v>
      </c>
      <c r="AI1181" s="136">
        <f>IFERROR(VLOOKUP(DATA[[#This Row],[COMBINADA]],#REF!,6,0),0)</f>
        <v>0</v>
      </c>
      <c r="AJ1181" s="132">
        <f>IFERROR(VLOOKUP(DATA[[#This Row],[COMBINADA]],#REF!,9,0),0)/COUNTIFS(DATA[COMBINADA],DATA[[#This Row],[COMBINADA]])</f>
        <v>0</v>
      </c>
      <c r="AK1181" s="407">
        <f>IFERROR(VLOOKUP(DATA[[#This Row],[COMBINADA]],#REF!,6,0),0)</f>
        <v>0</v>
      </c>
      <c r="AL1181" s="125">
        <f>IFERROR(VLOOKUP(DATA[[#This Row],[COMBINADA]],#REF!,9,0),0)/COUNTIFS(DATA[COMBINADA],DATA[[#This Row],[COMBINADA]])</f>
        <v>0</v>
      </c>
      <c r="AM1181" s="27">
        <f>IFERROR(VLOOKUP(DATA[[#This Row],[COMBINADA]],#REF!,6,0),0)</f>
        <v>0</v>
      </c>
      <c r="AN1181" s="125">
        <f>IFERROR(VLOOKUP(DATA[[#This Row],[COMBINADA]],#REF!,9,0),0)/COUNTIFS(DATA[COMBINADA],DATA[[#This Row],[COMBINADA]])</f>
        <v>0</v>
      </c>
      <c r="AO1181" s="27">
        <f>IFERROR(VLOOKUP(DATA[[#This Row],[COMBINADA]],#REF!,6,0),0)</f>
        <v>0</v>
      </c>
      <c r="AP1181" s="132">
        <f>IFERROR(VLOOKUP(DATA[[#This Row],[COMBINADA]],#REF!,9,0),0)/COUNTIFS(DATA[COMBINADA],DATA[[#This Row],[COMBINADA]])</f>
        <v>0</v>
      </c>
      <c r="AQ118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50.69</v>
      </c>
      <c r="AR1181" s="26" t="str">
        <f>IFERROR(IF(DATA[[#This Row],[estado_fact]]="FACTURADO",VLOOKUP(DATA[[#This Row],[SERIE2]]&amp;"-"&amp;DATA[[#This Row],[NUMERO]],#REF!,34,0),"NO CORRESPONDE"),"NO CORRESPONDE")</f>
        <v>NO CORRESPONDE</v>
      </c>
      <c r="AS1181" s="22" t="str">
        <f>IF(DATA[[#This Row],[fecha_fs]]&gt;0,TEXT(DATA[[#This Row],[fecha_fs]],"Mmmm"),0)</f>
        <v>Setiembre</v>
      </c>
      <c r="AT1181" s="22" t="str">
        <f>DATA[[#This Row],[SERIE2]]&amp;"-"&amp;DATA[[#This Row],[NUMERO]]</f>
        <v>FF01-271</v>
      </c>
      <c r="AU1181" s="28">
        <f>DATA[[#This Row],[TOTAL]]*DATA[[#This Row],[T.C.]]</f>
        <v>70.099999999999994</v>
      </c>
      <c r="AV1181" s="6">
        <f>DATA[[#This Row],[FECHA DE VAL.]]</f>
        <v>45926</v>
      </c>
      <c r="AW1181" s="6">
        <f>DATA[[#This Row],[FECHA DE EMISION]]</f>
        <v>45930</v>
      </c>
      <c r="AX1181" s="6">
        <f>DATA[[#This Row],[F1]]</f>
        <v>0</v>
      </c>
      <c r="AY1181" s="20">
        <f>IF(AV1181-DATA[[#This Row],[fecha_fs]]&lt;0,0,AV1181-DATA[[#This Row],[fecha_fs]])</f>
        <v>14</v>
      </c>
      <c r="AZ1181" s="20">
        <f t="shared" si="249"/>
        <v>4</v>
      </c>
      <c r="BA1181" s="53">
        <f t="shared" si="250"/>
        <v>0</v>
      </c>
      <c r="BB1181" s="195">
        <f>IFERROR(SUM(DATA[[#This Row],[fs_val_ttf]:[fact_pago_ttf]]),0)</f>
        <v>18</v>
      </c>
      <c r="BC1181" s="233">
        <v>45933</v>
      </c>
      <c r="BD1181" s="233">
        <v>45940</v>
      </c>
      <c r="BE1181" s="233">
        <v>45940</v>
      </c>
      <c r="BF1181" s="233">
        <v>45945</v>
      </c>
      <c r="BG1181" s="20">
        <f>IFERROR(IF(BC1181-DATA[[#This Row],[fecha_fs]]&lt;0,0,BC1181-DATA[[#This Row],[fecha_fs]]),0)</f>
        <v>21</v>
      </c>
      <c r="BH1181" s="20">
        <f t="shared" si="251"/>
        <v>7</v>
      </c>
      <c r="BI1181" s="20">
        <f t="shared" si="252"/>
        <v>0</v>
      </c>
      <c r="BJ1181" s="20">
        <f t="shared" si="253"/>
        <v>5</v>
      </c>
      <c r="BK1181" s="282">
        <f>IFERROR(SUM(DATA[[#This Row],[fs_fd_ttd]:[fend_fenf_ttd]]),0)</f>
        <v>33</v>
      </c>
      <c r="BL1181" s="20" t="str">
        <f>IF(DATA[[#This Row],[fecha_fs]]&gt;0,TEXT(DATA[[#This Row],[fecha_fs]],"YYYY"),0)</f>
        <v>2025</v>
      </c>
      <c r="BM1181" s="236" t="b">
        <v>1</v>
      </c>
      <c r="BN1181" s="278">
        <f>COUNTIF(DATA[[#This Row],[tiempo_td]], "&lt;=15")</f>
        <v>0</v>
      </c>
      <c r="BO1181" s="222"/>
    </row>
    <row r="1182" spans="1:67" ht="30.6" customHeight="1" x14ac:dyDescent="0.25">
      <c r="A1182" s="4">
        <v>20100226902</v>
      </c>
      <c r="B1182" s="5" t="s">
        <v>24</v>
      </c>
      <c r="C1182" s="52" t="s">
        <v>18</v>
      </c>
      <c r="D1182" s="4" t="s">
        <v>120</v>
      </c>
      <c r="E1182" s="5" t="s">
        <v>3</v>
      </c>
      <c r="F1182" s="24">
        <v>45912</v>
      </c>
      <c r="G1182" s="7" t="s">
        <v>113</v>
      </c>
      <c r="H1182" s="25">
        <f t="shared" si="248"/>
        <v>1</v>
      </c>
      <c r="I1182" s="67">
        <v>4983</v>
      </c>
      <c r="J1182" s="8" t="s">
        <v>115</v>
      </c>
      <c r="K1182" s="9" t="s">
        <v>121</v>
      </c>
      <c r="L1182" s="10" t="s">
        <v>117</v>
      </c>
      <c r="M1182" s="11">
        <v>840</v>
      </c>
      <c r="N1182" s="12" t="s">
        <v>327</v>
      </c>
      <c r="O1182" s="295"/>
      <c r="P1182" s="296" t="s">
        <v>114</v>
      </c>
      <c r="Q1182" s="297"/>
      <c r="R1182" s="298"/>
      <c r="S1182" s="298"/>
      <c r="T1182" s="298">
        <v>0</v>
      </c>
      <c r="U1182" s="298">
        <v>0</v>
      </c>
      <c r="V1182" s="298">
        <v>0</v>
      </c>
      <c r="W1182" s="16" t="s">
        <v>128</v>
      </c>
      <c r="X1182" s="299"/>
      <c r="Y1182" s="17" t="s">
        <v>128</v>
      </c>
      <c r="Z1182" s="300"/>
      <c r="AA1182" s="301"/>
      <c r="AB1182" s="302"/>
      <c r="AC1182" s="303"/>
      <c r="AD1182" s="304">
        <v>0</v>
      </c>
      <c r="AE1182" s="23">
        <v>1</v>
      </c>
      <c r="AF1182" s="129" t="s">
        <v>128</v>
      </c>
      <c r="AG1182" s="310">
        <f>IFERROR(VLOOKUP(DATA[[#This Row],[COMBINADA]],#REF!,6,0),0)</f>
        <v>0</v>
      </c>
      <c r="AH1182" s="311">
        <f>IFERROR(VLOOKUP(DATA[[#This Row],[COMBINADA]],#REF!,9,0),0)/COUNTIFS(DATA[COMBINADA],DATA[[#This Row],[COMBINADA]])</f>
        <v>0</v>
      </c>
      <c r="AI1182" s="310">
        <f>IFERROR(VLOOKUP(DATA[[#This Row],[COMBINADA]],#REF!,6,0),0)</f>
        <v>0</v>
      </c>
      <c r="AJ1182" s="311">
        <f>IFERROR(VLOOKUP(DATA[[#This Row],[COMBINADA]],#REF!,9,0),0)/COUNTIFS(DATA[COMBINADA],DATA[[#This Row],[COMBINADA]])</f>
        <v>0</v>
      </c>
      <c r="AK1182" s="413">
        <f>IFERROR(VLOOKUP(DATA[[#This Row],[COMBINADA]],#REF!,6,0),0)</f>
        <v>0</v>
      </c>
      <c r="AL1182" s="311">
        <f>IFERROR(VLOOKUP(DATA[[#This Row],[COMBINADA]],#REF!,9,0),0)/COUNTIFS(DATA[COMBINADA],DATA[[#This Row],[COMBINADA]])</f>
        <v>0</v>
      </c>
      <c r="AM1182" s="312">
        <f>IFERROR(VLOOKUP(DATA[[#This Row],[COMBINADA]],#REF!,6,0),0)</f>
        <v>0</v>
      </c>
      <c r="AN1182" s="311">
        <f>IFERROR(VLOOKUP(DATA[[#This Row],[COMBINADA]],#REF!,9,0),0)/COUNTIFS(DATA[COMBINADA],DATA[[#This Row],[COMBINADA]])</f>
        <v>0</v>
      </c>
      <c r="AO1182" s="313">
        <f>IFERROR(VLOOKUP(DATA[[#This Row],[COMBINADA]],#REF!,6,0),0)</f>
        <v>0</v>
      </c>
      <c r="AP1182" s="311">
        <f>IFERROR(VLOOKUP(DATA[[#This Row],[COMBINADA]],#REF!,9,0),0)/COUNTIFS(DATA[COMBINADA],DATA[[#This Row],[COMBINADA]])</f>
        <v>0</v>
      </c>
      <c r="AQ1182" s="314">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182" s="315" t="str">
        <f>IFERROR(IF(DATA[[#This Row],[estado_fact]]="FACTURADO",VLOOKUP(DATA[[#This Row],[SERIE2]]&amp;"-"&amp;DATA[[#This Row],[NUMERO]],#REF!,34,0),"NO CORRESPONDE"),"NO CORRESPONDE")</f>
        <v>NO CORRESPONDE</v>
      </c>
      <c r="AS1182" s="22" t="str">
        <f>IF(DATA[[#This Row],[fecha_fs]]&gt;0,TEXT(DATA[[#This Row],[fecha_fs]],"Mmmm"),0)</f>
        <v>Setiembre</v>
      </c>
      <c r="AT1182" s="22" t="str">
        <f>DATA[[#This Row],[SERIE2]]&amp;"-"&amp;DATA[[#This Row],[NUMERO]]</f>
        <v>-</v>
      </c>
      <c r="AU1182" s="28">
        <f>DATA[[#This Row],[TOTAL]]*DATA[[#This Row],[T.C.]]</f>
        <v>0</v>
      </c>
      <c r="AV1182" s="6">
        <f>DATA[[#This Row],[FECHA DE VAL.]]</f>
        <v>0</v>
      </c>
      <c r="AW1182" s="6">
        <f>DATA[[#This Row],[FECHA DE EMISION]]</f>
        <v>0</v>
      </c>
      <c r="AX1182" s="6">
        <f>DATA[[#This Row],[F1]]</f>
        <v>0</v>
      </c>
      <c r="AY1182" s="20">
        <f>IF(AV1182-DATA[[#This Row],[fecha_fs]]&lt;0,0,AV1182-DATA[[#This Row],[fecha_fs]])</f>
        <v>0</v>
      </c>
      <c r="AZ1182" s="20">
        <f t="shared" si="249"/>
        <v>0</v>
      </c>
      <c r="BA1182" s="53">
        <f t="shared" si="250"/>
        <v>0</v>
      </c>
      <c r="BB1182" s="195">
        <f>IFERROR(SUM(DATA[[#This Row],[fs_val_ttf]:[fact_pago_ttf]]),0)</f>
        <v>0</v>
      </c>
      <c r="BC1182" s="233">
        <v>45912</v>
      </c>
      <c r="BD1182" s="233">
        <v>45912</v>
      </c>
      <c r="BE1182" s="233">
        <v>45933</v>
      </c>
      <c r="BF1182" s="233">
        <v>45933</v>
      </c>
      <c r="BG1182" s="20">
        <f>IFERROR(IF(BC1182-DATA[[#This Row],[fecha_fs]]&lt;0,0,BC1182-DATA[[#This Row],[fecha_fs]]),0)</f>
        <v>0</v>
      </c>
      <c r="BH1182" s="20">
        <f t="shared" si="251"/>
        <v>0</v>
      </c>
      <c r="BI1182" s="20">
        <f t="shared" si="252"/>
        <v>21</v>
      </c>
      <c r="BJ1182" s="20">
        <f t="shared" si="253"/>
        <v>0</v>
      </c>
      <c r="BK1182" s="282">
        <f>IFERROR(SUM(DATA[[#This Row],[fs_fd_ttd]:[fend_fenf_ttd]]),0)</f>
        <v>21</v>
      </c>
      <c r="BL1182" s="20" t="str">
        <f>IF(DATA[[#This Row],[fecha_fs]]&gt;0,TEXT(DATA[[#This Row],[fecha_fs]],"YYYY"),0)</f>
        <v>2025</v>
      </c>
      <c r="BM1182" s="236" t="b">
        <v>1</v>
      </c>
      <c r="BN1182" s="278">
        <f>COUNTIF(DATA[[#This Row],[tiempo_td]], "&lt;=15")</f>
        <v>0</v>
      </c>
      <c r="BO1182" s="222"/>
    </row>
    <row r="1183" spans="1:67" ht="30.6" customHeight="1" x14ac:dyDescent="0.25">
      <c r="A1183" s="4">
        <v>20100192064</v>
      </c>
      <c r="B1183" s="5" t="s">
        <v>60</v>
      </c>
      <c r="C1183" s="52" t="s">
        <v>43</v>
      </c>
      <c r="D1183" s="4" t="s">
        <v>120</v>
      </c>
      <c r="E1183" s="5" t="s">
        <v>3</v>
      </c>
      <c r="F1183" s="24">
        <v>45912</v>
      </c>
      <c r="G1183" s="7" t="s">
        <v>113</v>
      </c>
      <c r="H1183" s="25">
        <f t="shared" si="248"/>
        <v>1</v>
      </c>
      <c r="I1183" s="67">
        <v>4984</v>
      </c>
      <c r="J1183" s="8" t="s">
        <v>115</v>
      </c>
      <c r="K1183" s="9" t="s">
        <v>121</v>
      </c>
      <c r="L1183" s="10" t="s">
        <v>117</v>
      </c>
      <c r="M1183" s="11">
        <v>730</v>
      </c>
      <c r="N1183" s="12" t="s">
        <v>122</v>
      </c>
      <c r="O1183" s="6">
        <v>45926</v>
      </c>
      <c r="P1183" s="71">
        <v>3688</v>
      </c>
      <c r="Q1183" s="14" t="s">
        <v>123</v>
      </c>
      <c r="R1183" s="237">
        <f>(DATA[[#This Row],[cantidad_fs]]/1000)*(47+174.34)</f>
        <v>161.57820000000001</v>
      </c>
      <c r="S1183" s="237">
        <v>137</v>
      </c>
      <c r="T1183" s="237">
        <f>DATA[[#This Row],[C. DF]]+DATA[[#This Row],[C.OPE.]]</f>
        <v>298.57820000000004</v>
      </c>
      <c r="U1183" s="15">
        <f>DATA[[#This Row],[SUB TOTAL]]*0.18</f>
        <v>53.744076000000007</v>
      </c>
      <c r="V1183" s="15">
        <f>IFERROR(ROUND(DATA[[#This Row],[SUB TOTAL]]+DATA[[#This Row],[IGV]],2),0)</f>
        <v>352.32</v>
      </c>
      <c r="W1183" s="16" t="str">
        <f>IF(DATA[[#This Row],[VALORIZACIÓN ]]="-","NO CORRESPONDE",IF(OR(A1183=20558226979,A1183=10470707866,A1183=20111157058,A1183=20100226902),"NO CORRESPONDE",IF(J1183="Emitida",IF(P1183&gt;0,"EMITIDA","PENDIENTE"),"NO CORRESPONDE")))</f>
        <v>EMITIDA</v>
      </c>
      <c r="X1183" s="29"/>
      <c r="Y1183" s="17" t="s">
        <v>118</v>
      </c>
      <c r="Z1183" s="30">
        <v>45930</v>
      </c>
      <c r="AA1183" s="10" t="s">
        <v>349</v>
      </c>
      <c r="AB1183" s="19">
        <v>3</v>
      </c>
      <c r="AC1183" s="20">
        <v>30</v>
      </c>
      <c r="AD1183" s="18">
        <f>DATA[[#This Row],[FECHA DE EMISION]]+DATA[[#This Row],[CONDICION DE PAGO]]</f>
        <v>45960</v>
      </c>
      <c r="AE1183" s="23" t="e">
        <f>IF(DATA[[#This Row],[MONEDA]]="USD",VLOOKUP(DATA[[#This Row],[COMBINADA]],#REF!,11,0),1)</f>
        <v>#REF!</v>
      </c>
      <c r="AF1183" s="129" t="str">
        <f>IF(DATA[[#This Row],[SERIE2]]="-","NO CORRESPONDE",IF(W1183="NO CORRESPONDE","NO CORRESPONDE",IF(Z1183&gt;0,"FACTURADO","PENDIENTE")))</f>
        <v>FACTURADO</v>
      </c>
      <c r="AG1183" s="133">
        <f>IFERROR(VLOOKUP(DATA[[#This Row],[COMBINADA]],#REF!,6,0),0)</f>
        <v>0</v>
      </c>
      <c r="AH1183" s="125">
        <f>IFERROR(VLOOKUP(DATA[[#This Row],[COMBINADA]],#REF!,9,0),0)/COUNTIFS(DATA[COMBINADA],DATA[[#This Row],[COMBINADA]])</f>
        <v>0</v>
      </c>
      <c r="AI1183" s="136">
        <f>IFERROR(VLOOKUP(DATA[[#This Row],[COMBINADA]],#REF!,6,0),0)</f>
        <v>0</v>
      </c>
      <c r="AJ1183" s="132">
        <f>IFERROR(VLOOKUP(DATA[[#This Row],[COMBINADA]],#REF!,9,0),0)/COUNTIFS(DATA[COMBINADA],DATA[[#This Row],[COMBINADA]])</f>
        <v>0</v>
      </c>
      <c r="AK1183" s="407">
        <f>IFERROR(VLOOKUP(DATA[[#This Row],[COMBINADA]],#REF!,6,0),0)</f>
        <v>0</v>
      </c>
      <c r="AL1183" s="125">
        <f>IFERROR(VLOOKUP(DATA[[#This Row],[COMBINADA]],#REF!,9,0),0)/COUNTIFS(DATA[COMBINADA],DATA[[#This Row],[COMBINADA]])</f>
        <v>0</v>
      </c>
      <c r="AM1183" s="27">
        <f>IFERROR(VLOOKUP(DATA[[#This Row],[COMBINADA]],#REF!,6,0),0)</f>
        <v>0</v>
      </c>
      <c r="AN1183" s="125">
        <f>IFERROR(VLOOKUP(DATA[[#This Row],[COMBINADA]],#REF!,9,0),0)/COUNTIFS(DATA[COMBINADA],DATA[[#This Row],[COMBINADA]])</f>
        <v>0</v>
      </c>
      <c r="AO1183" s="27">
        <f>IFERROR(VLOOKUP(DATA[[#This Row],[COMBINADA]],#REF!,6,0),0)</f>
        <v>0</v>
      </c>
      <c r="AP1183" s="132">
        <f>IFERROR(VLOOKUP(DATA[[#This Row],[COMBINADA]],#REF!,9,0),0)/COUNTIFS(DATA[COMBINADA],DATA[[#This Row],[COMBINADA]])</f>
        <v>0</v>
      </c>
      <c r="AQ118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542.36833333333334</v>
      </c>
      <c r="AR1183" s="26" t="str">
        <f>IFERROR(IF(DATA[[#This Row],[estado_fact]]="FACTURADO",VLOOKUP(DATA[[#This Row],[SERIE2]]&amp;"-"&amp;DATA[[#This Row],[NUMERO]],#REF!,34,0),"NO CORRESPONDE"),"NO CORRESPONDE")</f>
        <v>NO CORRESPONDE</v>
      </c>
      <c r="AS1183" s="22" t="str">
        <f>IF(DATA[[#This Row],[fecha_fs]]&gt;0,TEXT(DATA[[#This Row],[fecha_fs]],"Mmmm"),0)</f>
        <v>Setiembre</v>
      </c>
      <c r="AT1183" s="22" t="str">
        <f>DATA[[#This Row],[SERIE2]]&amp;"-"&amp;DATA[[#This Row],[NUMERO]]</f>
        <v>FF04-3</v>
      </c>
      <c r="AU1183" s="28" t="e">
        <f>DATA[[#This Row],[TOTAL]]*DATA[[#This Row],[T.C.]]</f>
        <v>#REF!</v>
      </c>
      <c r="AV1183" s="6">
        <f>DATA[[#This Row],[FECHA DE VAL.]]</f>
        <v>45926</v>
      </c>
      <c r="AW1183" s="6">
        <f>DATA[[#This Row],[FECHA DE EMISION]]</f>
        <v>45930</v>
      </c>
      <c r="AX1183" s="6">
        <f>DATA[[#This Row],[F1]]</f>
        <v>0</v>
      </c>
      <c r="AY1183" s="20">
        <f>IF(AV1183-DATA[[#This Row],[fecha_fs]]&lt;0,0,AV1183-DATA[[#This Row],[fecha_fs]])</f>
        <v>14</v>
      </c>
      <c r="AZ1183" s="20">
        <f t="shared" si="249"/>
        <v>4</v>
      </c>
      <c r="BA1183" s="53">
        <f t="shared" si="250"/>
        <v>0</v>
      </c>
      <c r="BB1183" s="195">
        <f>IFERROR(SUM(DATA[[#This Row],[fs_val_ttf]:[fact_pago_ttf]]),0)</f>
        <v>18</v>
      </c>
      <c r="BC1183" s="233">
        <v>45924</v>
      </c>
      <c r="BD1183" s="233">
        <v>45933</v>
      </c>
      <c r="BE1183" s="233">
        <v>45936</v>
      </c>
      <c r="BF1183" s="233">
        <v>45945</v>
      </c>
      <c r="BG1183" s="20">
        <f>IFERROR(IF(BC1183-DATA[[#This Row],[fecha_fs]]&lt;0,0,BC1183-DATA[[#This Row],[fecha_fs]]),0)</f>
        <v>12</v>
      </c>
      <c r="BH1183" s="20">
        <f t="shared" si="251"/>
        <v>9</v>
      </c>
      <c r="BI1183" s="20">
        <f t="shared" si="252"/>
        <v>3</v>
      </c>
      <c r="BJ1183" s="20">
        <f t="shared" si="253"/>
        <v>9</v>
      </c>
      <c r="BK1183" s="282">
        <f>IFERROR(SUM(DATA[[#This Row],[fs_fd_ttd]:[fend_fenf_ttd]]),0)</f>
        <v>33</v>
      </c>
      <c r="BL1183" s="20" t="str">
        <f>IF(DATA[[#This Row],[fecha_fs]]&gt;0,TEXT(DATA[[#This Row],[fecha_fs]],"YYYY"),0)</f>
        <v>2025</v>
      </c>
      <c r="BM1183" s="236" t="b">
        <v>1</v>
      </c>
      <c r="BN1183" s="278">
        <f>COUNTIF(DATA[[#This Row],[tiempo_td]], "&lt;=15")</f>
        <v>0</v>
      </c>
      <c r="BO1183" s="222"/>
    </row>
    <row r="1184" spans="1:67" ht="30.6" customHeight="1" x14ac:dyDescent="0.25">
      <c r="A1184" s="4">
        <v>20100192064</v>
      </c>
      <c r="B1184" s="5" t="s">
        <v>60</v>
      </c>
      <c r="C1184" s="52" t="s">
        <v>43</v>
      </c>
      <c r="D1184" s="4" t="s">
        <v>112</v>
      </c>
      <c r="E1184" s="5" t="s">
        <v>1</v>
      </c>
      <c r="F1184" s="24">
        <v>45912</v>
      </c>
      <c r="G1184" s="7" t="s">
        <v>113</v>
      </c>
      <c r="H1184" s="25">
        <f t="shared" si="248"/>
        <v>1</v>
      </c>
      <c r="I1184" s="67">
        <v>4985</v>
      </c>
      <c r="J1184" s="8" t="s">
        <v>115</v>
      </c>
      <c r="K1184" s="9" t="s">
        <v>116</v>
      </c>
      <c r="L1184" s="10" t="s">
        <v>117</v>
      </c>
      <c r="M1184" s="11">
        <v>590</v>
      </c>
      <c r="N1184" s="12" t="s">
        <v>132</v>
      </c>
      <c r="O1184" s="6">
        <v>45926</v>
      </c>
      <c r="P1184" s="71">
        <v>3689</v>
      </c>
      <c r="Q1184" s="14" t="s">
        <v>123</v>
      </c>
      <c r="R1184" s="15">
        <f>(DATA[[#This Row],[cantidad_fs]]/1000)*(143+175.34)</f>
        <v>187.82060000000001</v>
      </c>
      <c r="S1184" s="15">
        <v>137</v>
      </c>
      <c r="T1184" s="237">
        <f>DATA[[#This Row],[C. DF]]+DATA[[#This Row],[C.OPE.]]</f>
        <v>324.82060000000001</v>
      </c>
      <c r="U1184" s="15">
        <f>DATA[[#This Row],[SUB TOTAL]]*0.18</f>
        <v>58.467708000000002</v>
      </c>
      <c r="V1184" s="15">
        <f>IFERROR(ROUND(DATA[[#This Row],[SUB TOTAL]]+DATA[[#This Row],[IGV]],2),0)</f>
        <v>383.29</v>
      </c>
      <c r="W1184" s="16" t="str">
        <f>IF(DATA[[#This Row],[VALORIZACIÓN ]]="-","NO CORRESPONDE",IF(OR(A1184=20558226979,A1184=10470707866,A1184=20111157058,A1184=20100226902),"NO CORRESPONDE",IF(J1184="Emitida",IF(P1184&gt;0,"EMITIDA","PENDIENTE"),"NO CORRESPONDE")))</f>
        <v>EMITIDA</v>
      </c>
      <c r="X1184" s="29"/>
      <c r="Y1184" s="17" t="s">
        <v>118</v>
      </c>
      <c r="Z1184" s="30">
        <v>45930</v>
      </c>
      <c r="AA1184" s="10" t="s">
        <v>349</v>
      </c>
      <c r="AB1184" s="19">
        <v>3</v>
      </c>
      <c r="AC1184" s="20">
        <v>30</v>
      </c>
      <c r="AD1184" s="18">
        <f>DATA[[#This Row],[FECHA DE EMISION]]+DATA[[#This Row],[CONDICION DE PAGO]]</f>
        <v>45960</v>
      </c>
      <c r="AE1184" s="23" t="e">
        <f>IF(DATA[[#This Row],[MONEDA]]="USD",VLOOKUP(DATA[[#This Row],[COMBINADA]],#REF!,11,0),1)</f>
        <v>#REF!</v>
      </c>
      <c r="AF1184" s="129" t="str">
        <f>IF(DATA[[#This Row],[SERIE2]]="-","NO CORRESPONDE",IF(W1184="NO CORRESPONDE","NO CORRESPONDE",IF(Z1184&gt;0,"FACTURADO","PENDIENTE")))</f>
        <v>FACTURADO</v>
      </c>
      <c r="AG1184" s="133">
        <f>IFERROR(VLOOKUP(DATA[[#This Row],[COMBINADA]],#REF!,6,0),0)</f>
        <v>0</v>
      </c>
      <c r="AH1184" s="125">
        <f>IFERROR(VLOOKUP(DATA[[#This Row],[COMBINADA]],#REF!,9,0),0)/COUNTIFS(DATA[COMBINADA],DATA[[#This Row],[COMBINADA]])</f>
        <v>0</v>
      </c>
      <c r="AI1184" s="136">
        <f>IFERROR(VLOOKUP(DATA[[#This Row],[COMBINADA]],#REF!,6,0),0)</f>
        <v>0</v>
      </c>
      <c r="AJ1184" s="132">
        <f>IFERROR(VLOOKUP(DATA[[#This Row],[COMBINADA]],#REF!,9,0),0)/COUNTIFS(DATA[COMBINADA],DATA[[#This Row],[COMBINADA]])</f>
        <v>0</v>
      </c>
      <c r="AK1184" s="407">
        <f>IFERROR(VLOOKUP(DATA[[#This Row],[COMBINADA]],#REF!,6,0),0)</f>
        <v>0</v>
      </c>
      <c r="AL1184" s="125">
        <f>IFERROR(VLOOKUP(DATA[[#This Row],[COMBINADA]],#REF!,9,0),0)/COUNTIFS(DATA[COMBINADA],DATA[[#This Row],[COMBINADA]])</f>
        <v>0</v>
      </c>
      <c r="AM1184" s="27">
        <f>IFERROR(VLOOKUP(DATA[[#This Row],[COMBINADA]],#REF!,6,0),0)</f>
        <v>0</v>
      </c>
      <c r="AN1184" s="125">
        <f>IFERROR(VLOOKUP(DATA[[#This Row],[COMBINADA]],#REF!,9,0),0)/COUNTIFS(DATA[COMBINADA],DATA[[#This Row],[COMBINADA]])</f>
        <v>0</v>
      </c>
      <c r="AO1184" s="27">
        <f>IFERROR(VLOOKUP(DATA[[#This Row],[COMBINADA]],#REF!,6,0),0)</f>
        <v>0</v>
      </c>
      <c r="AP1184" s="132">
        <f>IFERROR(VLOOKUP(DATA[[#This Row],[COMBINADA]],#REF!,9,0),0)/COUNTIFS(DATA[COMBINADA],DATA[[#This Row],[COMBINADA]])</f>
        <v>0</v>
      </c>
      <c r="AQ118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542.36833333333334</v>
      </c>
      <c r="AR1184" s="26" t="str">
        <f>IFERROR(IF(DATA[[#This Row],[estado_fact]]="FACTURADO",VLOOKUP(DATA[[#This Row],[SERIE2]]&amp;"-"&amp;DATA[[#This Row],[NUMERO]],#REF!,34,0),"NO CORRESPONDE"),"NO CORRESPONDE")</f>
        <v>NO CORRESPONDE</v>
      </c>
      <c r="AS1184" s="22" t="str">
        <f>IF(DATA[[#This Row],[fecha_fs]]&gt;0,TEXT(DATA[[#This Row],[fecha_fs]],"Mmmm"),0)</f>
        <v>Setiembre</v>
      </c>
      <c r="AT1184" s="22" t="str">
        <f>DATA[[#This Row],[SERIE2]]&amp;"-"&amp;DATA[[#This Row],[NUMERO]]</f>
        <v>FF04-3</v>
      </c>
      <c r="AU1184" s="28" t="e">
        <f>DATA[[#This Row],[TOTAL]]*DATA[[#This Row],[T.C.]]</f>
        <v>#REF!</v>
      </c>
      <c r="AV1184" s="6">
        <f>DATA[[#This Row],[FECHA DE VAL.]]</f>
        <v>45926</v>
      </c>
      <c r="AW1184" s="6">
        <f>DATA[[#This Row],[FECHA DE EMISION]]</f>
        <v>45930</v>
      </c>
      <c r="AX1184" s="6">
        <f>DATA[[#This Row],[F1]]</f>
        <v>0</v>
      </c>
      <c r="AY1184" s="20">
        <f>IF(AV1184-DATA[[#This Row],[fecha_fs]]&lt;0,0,AV1184-DATA[[#This Row],[fecha_fs]])</f>
        <v>14</v>
      </c>
      <c r="AZ1184" s="20">
        <f t="shared" si="249"/>
        <v>4</v>
      </c>
      <c r="BA1184" s="53">
        <f t="shared" si="250"/>
        <v>0</v>
      </c>
      <c r="BB1184" s="195">
        <f>IFERROR(SUM(DATA[[#This Row],[fs_val_ttf]:[fact_pago_ttf]]),0)</f>
        <v>18</v>
      </c>
      <c r="BC1184" s="233">
        <v>45924</v>
      </c>
      <c r="BD1184" s="233">
        <v>45932</v>
      </c>
      <c r="BE1184" s="233">
        <v>45933</v>
      </c>
      <c r="BF1184" s="233">
        <v>45945</v>
      </c>
      <c r="BG1184" s="20">
        <f>IFERROR(IF(BC1184-DATA[[#This Row],[fecha_fs]]&lt;0,0,BC1184-DATA[[#This Row],[fecha_fs]]),0)</f>
        <v>12</v>
      </c>
      <c r="BH1184" s="20">
        <f t="shared" si="251"/>
        <v>8</v>
      </c>
      <c r="BI1184" s="20">
        <f t="shared" si="252"/>
        <v>1</v>
      </c>
      <c r="BJ1184" s="20">
        <f t="shared" si="253"/>
        <v>12</v>
      </c>
      <c r="BK1184" s="282">
        <f>IFERROR(SUM(DATA[[#This Row],[fs_fd_ttd]:[fend_fenf_ttd]]),0)</f>
        <v>33</v>
      </c>
      <c r="BL1184" s="20" t="str">
        <f>IF(DATA[[#This Row],[fecha_fs]]&gt;0,TEXT(DATA[[#This Row],[fecha_fs]],"YYYY"),0)</f>
        <v>2025</v>
      </c>
      <c r="BM1184" s="236" t="b">
        <v>1</v>
      </c>
      <c r="BN1184" s="278">
        <f>COUNTIF(DATA[[#This Row],[tiempo_td]], "&lt;=15")</f>
        <v>0</v>
      </c>
      <c r="BO1184" s="222"/>
    </row>
    <row r="1185" spans="1:67" ht="30.6" customHeight="1" x14ac:dyDescent="0.25">
      <c r="A1185" s="4">
        <v>20610105620</v>
      </c>
      <c r="B1185" s="5" t="s">
        <v>311</v>
      </c>
      <c r="C1185" s="52" t="s">
        <v>312</v>
      </c>
      <c r="D1185" s="4" t="s">
        <v>120</v>
      </c>
      <c r="E1185" s="5" t="s">
        <v>3</v>
      </c>
      <c r="F1185" s="24">
        <v>45912</v>
      </c>
      <c r="G1185" s="7" t="s">
        <v>113</v>
      </c>
      <c r="H1185" s="25">
        <f t="shared" si="248"/>
        <v>1</v>
      </c>
      <c r="I1185" s="67">
        <v>4986</v>
      </c>
      <c r="J1185" s="8" t="s">
        <v>115</v>
      </c>
      <c r="K1185" s="9" t="s">
        <v>121</v>
      </c>
      <c r="L1185" s="10" t="s">
        <v>117</v>
      </c>
      <c r="M1185" s="11">
        <v>860</v>
      </c>
      <c r="N1185" s="12" t="s">
        <v>249</v>
      </c>
      <c r="O1185" s="6">
        <v>45930</v>
      </c>
      <c r="P1185" s="370">
        <v>3709</v>
      </c>
      <c r="Q1185" s="14" t="s">
        <v>85</v>
      </c>
      <c r="R1185" s="237">
        <v>80</v>
      </c>
      <c r="S1185" s="237">
        <v>2120</v>
      </c>
      <c r="T1185" s="237">
        <f>DATA[[#This Row],[C. DF]]+DATA[[#This Row],[C.OPE.]]</f>
        <v>2200</v>
      </c>
      <c r="U1185" s="15">
        <f>DATA[[#This Row],[SUB TOTAL]]*0.18</f>
        <v>396</v>
      </c>
      <c r="V1185" s="15">
        <f>IFERROR(ROUND(DATA[[#This Row],[SUB TOTAL]]+DATA[[#This Row],[IGV]],2),0)</f>
        <v>2596</v>
      </c>
      <c r="W1185" s="16" t="str">
        <f>IF(DATA[[#This Row],[VALORIZACIÓN ]]="-","NO CORRESPONDE",IF(OR(A1185=20558226979,A1185=10470707866,A1185=20111157058,A1185=20100226902),"NO CORRESPONDE",IF(J1185="Emitida",IF(P1185&gt;0,"EMITIDA","PENDIENTE"),"NO CORRESPONDE")))</f>
        <v>EMITIDA</v>
      </c>
      <c r="X1185" s="29"/>
      <c r="Y1185" s="17" t="s">
        <v>118</v>
      </c>
      <c r="Z1185" s="30">
        <v>45968</v>
      </c>
      <c r="AA1185" s="10" t="s">
        <v>150</v>
      </c>
      <c r="AB1185" s="19">
        <v>349</v>
      </c>
      <c r="AC1185" s="20">
        <v>30</v>
      </c>
      <c r="AD1185" s="18">
        <f>DATA[[#This Row],[FECHA DE EMISION]]+DATA[[#This Row],[CONDICION DE PAGO]]</f>
        <v>45998</v>
      </c>
      <c r="AE1185" s="23">
        <f>IF(DATA[[#This Row],[MONEDA]]="USD",VLOOKUP(DATA[[#This Row],[COMBINADA]],#REF!,11,0),1)</f>
        <v>1</v>
      </c>
      <c r="AF1185" s="129" t="str">
        <f>IF(DATA[[#This Row],[SERIE2]]="-","NO CORRESPONDE",IF(W1185="NO CORRESPONDE","NO CORRESPONDE",IF(Z1185&gt;0,"FACTURADO","PENDIENTE")))</f>
        <v>FACTURADO</v>
      </c>
      <c r="AG1185" s="133">
        <f>IFERROR(VLOOKUP(DATA[[#This Row],[COMBINADA]],#REF!,6,0),0)</f>
        <v>0</v>
      </c>
      <c r="AH1185" s="125">
        <f>IFERROR(VLOOKUP(DATA[[#This Row],[COMBINADA]],#REF!,9,0),0)/COUNTIFS(DATA[COMBINADA],DATA[[#This Row],[COMBINADA]])</f>
        <v>0</v>
      </c>
      <c r="AI1185" s="136">
        <f>IFERROR(VLOOKUP(DATA[[#This Row],[COMBINADA]],#REF!,6,0),0)</f>
        <v>0</v>
      </c>
      <c r="AJ1185" s="132">
        <f>IFERROR(VLOOKUP(DATA[[#This Row],[COMBINADA]],#REF!,9,0),0)/COUNTIFS(DATA[COMBINADA],DATA[[#This Row],[COMBINADA]])</f>
        <v>0</v>
      </c>
      <c r="AK1185" s="407">
        <f>IFERROR(VLOOKUP(DATA[[#This Row],[COMBINADA]],#REF!,6,0),0)</f>
        <v>0</v>
      </c>
      <c r="AL1185" s="125">
        <f>IFERROR(VLOOKUP(DATA[[#This Row],[COMBINADA]],#REF!,9,0),0)/COUNTIFS(DATA[COMBINADA],DATA[[#This Row],[COMBINADA]])</f>
        <v>0</v>
      </c>
      <c r="AM1185" s="27">
        <f>IFERROR(VLOOKUP(DATA[[#This Row],[COMBINADA]],#REF!,6,0),0)</f>
        <v>0</v>
      </c>
      <c r="AN1185" s="125">
        <f>IFERROR(VLOOKUP(DATA[[#This Row],[COMBINADA]],#REF!,9,0),0)/COUNTIFS(DATA[COMBINADA],DATA[[#This Row],[COMBINADA]])</f>
        <v>0</v>
      </c>
      <c r="AO1185" s="27">
        <f>IFERROR(VLOOKUP(DATA[[#This Row],[COMBINADA]],#REF!,6,0),0)</f>
        <v>0</v>
      </c>
      <c r="AP1185" s="132">
        <f>IFERROR(VLOOKUP(DATA[[#This Row],[COMBINADA]],#REF!,9,0),0)/COUNTIFS(DATA[COMBINADA],DATA[[#This Row],[COMBINADA]])</f>
        <v>0</v>
      </c>
      <c r="AQ118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2515.7599999999998</v>
      </c>
      <c r="AR1185" s="26" t="str">
        <f>IFERROR(IF(DATA[[#This Row],[estado_fact]]="FACTURADO",VLOOKUP(DATA[[#This Row],[SERIE2]]&amp;"-"&amp;DATA[[#This Row],[NUMERO]],#REF!,34,0),"NO CORRESPONDE"),"NO CORRESPONDE")</f>
        <v>NO CORRESPONDE</v>
      </c>
      <c r="AS1185" s="22" t="str">
        <f>IF(DATA[[#This Row],[fecha_fs]]&gt;0,TEXT(DATA[[#This Row],[fecha_fs]],"Mmmm"),0)</f>
        <v>Setiembre</v>
      </c>
      <c r="AT1185" s="22" t="str">
        <f>DATA[[#This Row],[SERIE2]]&amp;"-"&amp;DATA[[#This Row],[NUMERO]]</f>
        <v>FF01-349</v>
      </c>
      <c r="AU1185" s="28">
        <f>DATA[[#This Row],[TOTAL]]*DATA[[#This Row],[T.C.]]</f>
        <v>2596</v>
      </c>
      <c r="AV1185" s="6">
        <f>DATA[[#This Row],[FECHA DE VAL.]]</f>
        <v>45930</v>
      </c>
      <c r="AW1185" s="6">
        <f>DATA[[#This Row],[FECHA DE EMISION]]</f>
        <v>45968</v>
      </c>
      <c r="AX1185" s="6">
        <f>DATA[[#This Row],[F1]]</f>
        <v>0</v>
      </c>
      <c r="AY1185" s="20">
        <f>IF(AV1185-DATA[[#This Row],[fecha_fs]]&lt;0,0,AV1185-DATA[[#This Row],[fecha_fs]])</f>
        <v>18</v>
      </c>
      <c r="AZ1185" s="20">
        <f t="shared" si="249"/>
        <v>38</v>
      </c>
      <c r="BA1185" s="53">
        <f t="shared" si="250"/>
        <v>0</v>
      </c>
      <c r="BB1185" s="195">
        <f>IFERROR(SUM(DATA[[#This Row],[fs_val_ttf]:[fact_pago_ttf]]),0)</f>
        <v>56</v>
      </c>
      <c r="BC1185" s="233">
        <v>45915</v>
      </c>
      <c r="BD1185" s="233">
        <v>45929</v>
      </c>
      <c r="BE1185" s="377">
        <v>45929</v>
      </c>
      <c r="BF1185" s="233">
        <v>45957</v>
      </c>
      <c r="BG1185" s="20">
        <f>IFERROR(IF(BC1185-DATA[[#This Row],[fecha_fs]]&lt;0,0,BC1185-DATA[[#This Row],[fecha_fs]]),0)</f>
        <v>3</v>
      </c>
      <c r="BH1185" s="20">
        <f t="shared" si="251"/>
        <v>14</v>
      </c>
      <c r="BI1185" s="20">
        <f t="shared" si="252"/>
        <v>0</v>
      </c>
      <c r="BJ1185" s="20">
        <f t="shared" si="253"/>
        <v>28</v>
      </c>
      <c r="BK1185" s="282">
        <f>IFERROR(SUM(DATA[[#This Row],[fs_fd_ttd]:[fend_fenf_ttd]]),0)</f>
        <v>45</v>
      </c>
      <c r="BL1185" s="20" t="str">
        <f>IF(DATA[[#This Row],[fecha_fs]]&gt;0,TEXT(DATA[[#This Row],[fecha_fs]],"YYYY"),0)</f>
        <v>2025</v>
      </c>
      <c r="BM1185" s="236" t="b">
        <v>1</v>
      </c>
      <c r="BN1185" s="278">
        <f>COUNTIF(DATA[[#This Row],[tiempo_td]], "&lt;=15")</f>
        <v>0</v>
      </c>
      <c r="BO1185" s="222"/>
    </row>
    <row r="1186" spans="1:67" ht="30.6" customHeight="1" x14ac:dyDescent="0.25">
      <c r="A1186" s="4">
        <v>20610105620</v>
      </c>
      <c r="B1186" s="5" t="s">
        <v>311</v>
      </c>
      <c r="C1186" s="52" t="s">
        <v>312</v>
      </c>
      <c r="D1186" s="4" t="s">
        <v>120</v>
      </c>
      <c r="E1186" s="5" t="s">
        <v>3</v>
      </c>
      <c r="F1186" s="24">
        <v>45912</v>
      </c>
      <c r="G1186" s="7" t="s">
        <v>113</v>
      </c>
      <c r="H1186" s="25">
        <f t="shared" si="248"/>
        <v>1</v>
      </c>
      <c r="I1186" s="67">
        <v>4987</v>
      </c>
      <c r="J1186" s="8" t="s">
        <v>115</v>
      </c>
      <c r="K1186" s="9" t="s">
        <v>121</v>
      </c>
      <c r="L1186" s="10" t="s">
        <v>117</v>
      </c>
      <c r="M1186" s="11">
        <v>1020</v>
      </c>
      <c r="N1186" s="12" t="s">
        <v>249</v>
      </c>
      <c r="O1186" s="6">
        <v>45930</v>
      </c>
      <c r="P1186" s="370">
        <v>3709</v>
      </c>
      <c r="Q1186" s="14" t="s">
        <v>85</v>
      </c>
      <c r="R1186" s="237">
        <f>80+((DATA[[#This Row],[cantidad_fs]]-1000)*0.08)</f>
        <v>81.599999999999994</v>
      </c>
      <c r="S1186" s="237">
        <v>2120</v>
      </c>
      <c r="T1186" s="237">
        <f>DATA[[#This Row],[C. DF]]+DATA[[#This Row],[C.OPE.]]</f>
        <v>2201.6</v>
      </c>
      <c r="U1186" s="15">
        <f>DATA[[#This Row],[SUB TOTAL]]*0.18</f>
        <v>396.28799999999995</v>
      </c>
      <c r="V1186" s="15">
        <f>IFERROR(ROUND(DATA[[#This Row],[SUB TOTAL]]+DATA[[#This Row],[IGV]],2),0)</f>
        <v>2597.89</v>
      </c>
      <c r="W1186" s="16" t="str">
        <f>IF(DATA[[#This Row],[VALORIZACIÓN ]]="-","NO CORRESPONDE",IF(OR(A1186=20558226979,A1186=10470707866,A1186=20111157058,A1186=20100226902),"NO CORRESPONDE",IF(J1186="Emitida",IF(P1186&gt;0,"EMITIDA","PENDIENTE"),"NO CORRESPONDE")))</f>
        <v>EMITIDA</v>
      </c>
      <c r="X1186" s="29"/>
      <c r="Y1186" s="17" t="s">
        <v>118</v>
      </c>
      <c r="Z1186" s="30">
        <v>45968</v>
      </c>
      <c r="AA1186" s="10" t="s">
        <v>150</v>
      </c>
      <c r="AB1186" s="19">
        <v>349</v>
      </c>
      <c r="AC1186" s="20">
        <v>30</v>
      </c>
      <c r="AD1186" s="18">
        <f>DATA[[#This Row],[FECHA DE EMISION]]+DATA[[#This Row],[CONDICION DE PAGO]]</f>
        <v>45998</v>
      </c>
      <c r="AE1186" s="23">
        <f>IF(DATA[[#This Row],[MONEDA]]="USD",VLOOKUP(DATA[[#This Row],[COMBINADA]],#REF!,11,0),1)</f>
        <v>1</v>
      </c>
      <c r="AF1186" s="129" t="str">
        <f>IF(DATA[[#This Row],[SERIE2]]="-","NO CORRESPONDE",IF(W1186="NO CORRESPONDE","NO CORRESPONDE",IF(Z1186&gt;0,"FACTURADO","PENDIENTE")))</f>
        <v>FACTURADO</v>
      </c>
      <c r="AG1186" s="133">
        <f>IFERROR(VLOOKUP(DATA[[#This Row],[COMBINADA]],#REF!,6,0),0)</f>
        <v>0</v>
      </c>
      <c r="AH1186" s="125">
        <f>IFERROR(VLOOKUP(DATA[[#This Row],[COMBINADA]],#REF!,9,0),0)/COUNTIFS(DATA[COMBINADA],DATA[[#This Row],[COMBINADA]])</f>
        <v>0</v>
      </c>
      <c r="AI1186" s="136">
        <f>IFERROR(VLOOKUP(DATA[[#This Row],[COMBINADA]],#REF!,6,0),0)</f>
        <v>0</v>
      </c>
      <c r="AJ1186" s="132">
        <f>IFERROR(VLOOKUP(DATA[[#This Row],[COMBINADA]],#REF!,9,0),0)/COUNTIFS(DATA[COMBINADA],DATA[[#This Row],[COMBINADA]])</f>
        <v>0</v>
      </c>
      <c r="AK1186" s="407">
        <f>IFERROR(VLOOKUP(DATA[[#This Row],[COMBINADA]],#REF!,6,0),0)</f>
        <v>0</v>
      </c>
      <c r="AL1186" s="125">
        <f>IFERROR(VLOOKUP(DATA[[#This Row],[COMBINADA]],#REF!,9,0),0)/COUNTIFS(DATA[COMBINADA],DATA[[#This Row],[COMBINADA]])</f>
        <v>0</v>
      </c>
      <c r="AM1186" s="27">
        <f>IFERROR(VLOOKUP(DATA[[#This Row],[COMBINADA]],#REF!,6,0),0)</f>
        <v>0</v>
      </c>
      <c r="AN1186" s="125">
        <f>IFERROR(VLOOKUP(DATA[[#This Row],[COMBINADA]],#REF!,9,0),0)/COUNTIFS(DATA[COMBINADA],DATA[[#This Row],[COMBINADA]])</f>
        <v>0</v>
      </c>
      <c r="AO1186" s="27">
        <f>IFERROR(VLOOKUP(DATA[[#This Row],[COMBINADA]],#REF!,6,0),0)</f>
        <v>0</v>
      </c>
      <c r="AP1186" s="132">
        <f>IFERROR(VLOOKUP(DATA[[#This Row],[COMBINADA]],#REF!,9,0),0)/COUNTIFS(DATA[COMBINADA],DATA[[#This Row],[COMBINADA]])</f>
        <v>0</v>
      </c>
      <c r="AQ118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2515.7599999999998</v>
      </c>
      <c r="AR1186" s="26" t="str">
        <f>IFERROR(IF(DATA[[#This Row],[estado_fact]]="FACTURADO",VLOOKUP(DATA[[#This Row],[SERIE2]]&amp;"-"&amp;DATA[[#This Row],[NUMERO]],#REF!,34,0),"NO CORRESPONDE"),"NO CORRESPONDE")</f>
        <v>NO CORRESPONDE</v>
      </c>
      <c r="AS1186" s="22" t="str">
        <f>IF(DATA[[#This Row],[fecha_fs]]&gt;0,TEXT(DATA[[#This Row],[fecha_fs]],"Mmmm"),0)</f>
        <v>Setiembre</v>
      </c>
      <c r="AT1186" s="22" t="str">
        <f>DATA[[#This Row],[SERIE2]]&amp;"-"&amp;DATA[[#This Row],[NUMERO]]</f>
        <v>FF01-349</v>
      </c>
      <c r="AU1186" s="28">
        <f>DATA[[#This Row],[TOTAL]]*DATA[[#This Row],[T.C.]]</f>
        <v>2597.89</v>
      </c>
      <c r="AV1186" s="6">
        <f>DATA[[#This Row],[FECHA DE VAL.]]</f>
        <v>45930</v>
      </c>
      <c r="AW1186" s="6">
        <f>DATA[[#This Row],[FECHA DE EMISION]]</f>
        <v>45968</v>
      </c>
      <c r="AX1186" s="6">
        <f>DATA[[#This Row],[F1]]</f>
        <v>0</v>
      </c>
      <c r="AY1186" s="20">
        <f>IF(AV1186-DATA[[#This Row],[fecha_fs]]&lt;0,0,AV1186-DATA[[#This Row],[fecha_fs]])</f>
        <v>18</v>
      </c>
      <c r="AZ1186" s="20">
        <f t="shared" si="249"/>
        <v>38</v>
      </c>
      <c r="BA1186" s="53">
        <f t="shared" si="250"/>
        <v>0</v>
      </c>
      <c r="BB1186" s="195">
        <f>IFERROR(SUM(DATA[[#This Row],[fs_val_ttf]:[fact_pago_ttf]]),0)</f>
        <v>56</v>
      </c>
      <c r="BC1186" s="233">
        <v>45917</v>
      </c>
      <c r="BD1186" s="377">
        <v>45929</v>
      </c>
      <c r="BE1186" s="377">
        <v>45929</v>
      </c>
      <c r="BF1186" s="233">
        <v>45957</v>
      </c>
      <c r="BG1186" s="20">
        <f>IFERROR(IF(BC1186-DATA[[#This Row],[fecha_fs]]&lt;0,0,BC1186-DATA[[#This Row],[fecha_fs]]),0)</f>
        <v>5</v>
      </c>
      <c r="BH1186" s="20">
        <f t="shared" si="251"/>
        <v>12</v>
      </c>
      <c r="BI1186" s="20">
        <f t="shared" si="252"/>
        <v>0</v>
      </c>
      <c r="BJ1186" s="20">
        <f t="shared" si="253"/>
        <v>28</v>
      </c>
      <c r="BK1186" s="282">
        <f>IFERROR(SUM(DATA[[#This Row],[fs_fd_ttd]:[fend_fenf_ttd]]),0)</f>
        <v>45</v>
      </c>
      <c r="BL1186" s="20" t="str">
        <f>IF(DATA[[#This Row],[fecha_fs]]&gt;0,TEXT(DATA[[#This Row],[fecha_fs]],"YYYY"),0)</f>
        <v>2025</v>
      </c>
      <c r="BM1186" s="236" t="b">
        <v>1</v>
      </c>
      <c r="BN1186" s="278">
        <f>COUNTIF(DATA[[#This Row],[tiempo_td]], "&lt;=15")</f>
        <v>0</v>
      </c>
      <c r="BO1186" s="222"/>
    </row>
    <row r="1187" spans="1:67" ht="30.6" customHeight="1" x14ac:dyDescent="0.25">
      <c r="A1187" s="4">
        <v>20141637941</v>
      </c>
      <c r="B1187" s="5" t="s">
        <v>79</v>
      </c>
      <c r="C1187" s="52" t="s">
        <v>18</v>
      </c>
      <c r="D1187" s="4" t="s">
        <v>120</v>
      </c>
      <c r="E1187" s="5" t="s">
        <v>3</v>
      </c>
      <c r="F1187" s="24">
        <v>45915</v>
      </c>
      <c r="G1187" s="7" t="s">
        <v>113</v>
      </c>
      <c r="H1187" s="25">
        <f t="shared" si="248"/>
        <v>1</v>
      </c>
      <c r="I1187" s="67">
        <v>4988</v>
      </c>
      <c r="J1187" s="8" t="s">
        <v>115</v>
      </c>
      <c r="K1187" s="9" t="s">
        <v>121</v>
      </c>
      <c r="L1187" s="10" t="s">
        <v>117</v>
      </c>
      <c r="M1187" s="11">
        <v>1020</v>
      </c>
      <c r="N1187" s="12" t="s">
        <v>330</v>
      </c>
      <c r="O1187" s="6">
        <v>45918</v>
      </c>
      <c r="P1187" s="110">
        <v>3665</v>
      </c>
      <c r="Q1187" s="14" t="s">
        <v>85</v>
      </c>
      <c r="R1187" s="309">
        <f>80+((DATA[[#This Row],[cantidad_fs]]-1000)*0.08)</f>
        <v>81.599999999999994</v>
      </c>
      <c r="S1187" s="309">
        <v>832</v>
      </c>
      <c r="T1187" s="237">
        <f>DATA[[#This Row],[C. DF]]+DATA[[#This Row],[C.OPE.]]</f>
        <v>913.6</v>
      </c>
      <c r="U1187" s="15">
        <f>DATA[[#This Row],[SUB TOTAL]]*0.18</f>
        <v>164.44800000000001</v>
      </c>
      <c r="V1187" s="15">
        <f>IFERROR(ROUND(DATA[[#This Row],[SUB TOTAL]]+DATA[[#This Row],[IGV]],2),0)</f>
        <v>1078.05</v>
      </c>
      <c r="W1187" s="16" t="str">
        <f>IF(DATA[[#This Row],[VALORIZACIÓN ]]="-","NO CORRESPONDE",IF(OR(A1187=20558226979,A1187=10470707866,A1187=20111157058,A1187=20100226902),"NO CORRESPONDE",IF(J1187="Emitida",IF(P1187&gt;0,"EMITIDA","PENDIENTE"),"NO CORRESPONDE")))</f>
        <v>EMITIDA</v>
      </c>
      <c r="X1187" s="29"/>
      <c r="Y1187" s="17" t="s">
        <v>118</v>
      </c>
      <c r="Z1187" s="30">
        <v>45931</v>
      </c>
      <c r="AA1187" s="10" t="s">
        <v>150</v>
      </c>
      <c r="AB1187" s="19">
        <v>273</v>
      </c>
      <c r="AC1187" s="20">
        <v>30</v>
      </c>
      <c r="AD1187" s="18">
        <f>DATA[[#This Row],[FECHA DE EMISION]]+DATA[[#This Row],[CONDICION DE PAGO]]</f>
        <v>45961</v>
      </c>
      <c r="AE1187" s="23">
        <f>IF(DATA[[#This Row],[MONEDA]]="USD",VLOOKUP(DATA[[#This Row],[COMBINADA]],#REF!,11,0),1)</f>
        <v>1</v>
      </c>
      <c r="AF1187" s="129" t="str">
        <f>IF(DATA[[#This Row],[SERIE2]]="-","NO CORRESPONDE",IF(W1187="NO CORRESPONDE","NO CORRESPONDE",IF(Z1187&gt;0,"FACTURADO","PENDIENTE")))</f>
        <v>FACTURADO</v>
      </c>
      <c r="AG1187" s="133">
        <f>IFERROR(VLOOKUP(DATA[[#This Row],[COMBINADA]],#REF!,6,0),0)</f>
        <v>0</v>
      </c>
      <c r="AH1187" s="125">
        <f>IFERROR(VLOOKUP(DATA[[#This Row],[COMBINADA]],#REF!,9,0),0)/COUNTIFS(DATA[COMBINADA],DATA[[#This Row],[COMBINADA]])</f>
        <v>0</v>
      </c>
      <c r="AI1187" s="136">
        <f>IFERROR(VLOOKUP(DATA[[#This Row],[COMBINADA]],#REF!,6,0),0)</f>
        <v>0</v>
      </c>
      <c r="AJ1187" s="132">
        <f>IFERROR(VLOOKUP(DATA[[#This Row],[COMBINADA]],#REF!,9,0),0)/COUNTIFS(DATA[COMBINADA],DATA[[#This Row],[COMBINADA]])</f>
        <v>0</v>
      </c>
      <c r="AK1187" s="407">
        <f>IFERROR(VLOOKUP(DATA[[#This Row],[COMBINADA]],#REF!,6,0),0)</f>
        <v>0</v>
      </c>
      <c r="AL1187" s="125">
        <f>IFERROR(VLOOKUP(DATA[[#This Row],[COMBINADA]],#REF!,9,0),0)/COUNTIFS(DATA[COMBINADA],DATA[[#This Row],[COMBINADA]])</f>
        <v>0</v>
      </c>
      <c r="AM1187" s="27">
        <f>IFERROR(VLOOKUP(DATA[[#This Row],[COMBINADA]],#REF!,6,0),0)</f>
        <v>0</v>
      </c>
      <c r="AN1187" s="125">
        <f>IFERROR(VLOOKUP(DATA[[#This Row],[COMBINADA]],#REF!,9,0),0)/COUNTIFS(DATA[COMBINADA],DATA[[#This Row],[COMBINADA]])</f>
        <v>0</v>
      </c>
      <c r="AO1187" s="27">
        <f>IFERROR(VLOOKUP(DATA[[#This Row],[COMBINADA]],#REF!,6,0),0)</f>
        <v>0</v>
      </c>
      <c r="AP1187" s="132">
        <f>IFERROR(VLOOKUP(DATA[[#This Row],[COMBINADA]],#REF!,9,0),0)/COUNTIFS(DATA[COMBINADA],DATA[[#This Row],[COMBINADA]])</f>
        <v>0</v>
      </c>
      <c r="AQ118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1088.4324999999999</v>
      </c>
      <c r="AR1187" s="26" t="str">
        <f>IFERROR(IF(DATA[[#This Row],[estado_fact]]="FACTURADO",VLOOKUP(DATA[[#This Row],[SERIE2]]&amp;"-"&amp;DATA[[#This Row],[NUMERO]],#REF!,34,0),"NO CORRESPONDE"),"NO CORRESPONDE")</f>
        <v>NO CORRESPONDE</v>
      </c>
      <c r="AS1187" s="22" t="str">
        <f>IF(DATA[[#This Row],[fecha_fs]]&gt;0,TEXT(DATA[[#This Row],[fecha_fs]],"Mmmm"),0)</f>
        <v>Setiembre</v>
      </c>
      <c r="AT1187" s="22" t="str">
        <f>DATA[[#This Row],[SERIE2]]&amp;"-"&amp;DATA[[#This Row],[NUMERO]]</f>
        <v>FF01-273</v>
      </c>
      <c r="AU1187" s="28">
        <f>DATA[[#This Row],[TOTAL]]*DATA[[#This Row],[T.C.]]</f>
        <v>1078.05</v>
      </c>
      <c r="AV1187" s="6">
        <f>DATA[[#This Row],[FECHA DE VAL.]]</f>
        <v>45918</v>
      </c>
      <c r="AW1187" s="6">
        <f>DATA[[#This Row],[FECHA DE EMISION]]</f>
        <v>45931</v>
      </c>
      <c r="AX1187" s="6">
        <f>DATA[[#This Row],[F1]]</f>
        <v>0</v>
      </c>
      <c r="AY1187" s="20">
        <f>IF(AV1187-DATA[[#This Row],[fecha_fs]]&lt;0,0,AV1187-DATA[[#This Row],[fecha_fs]])</f>
        <v>3</v>
      </c>
      <c r="AZ1187" s="20">
        <f t="shared" si="249"/>
        <v>13</v>
      </c>
      <c r="BA1187" s="53">
        <f t="shared" si="250"/>
        <v>0</v>
      </c>
      <c r="BB1187" s="195">
        <f>IFERROR(SUM(DATA[[#This Row],[fs_val_ttf]:[fact_pago_ttf]]),0)</f>
        <v>16</v>
      </c>
      <c r="BC1187" s="233">
        <v>45917</v>
      </c>
      <c r="BD1187" s="185">
        <v>45929</v>
      </c>
      <c r="BE1187" s="377">
        <v>45931</v>
      </c>
      <c r="BF1187" s="233">
        <v>45939</v>
      </c>
      <c r="BG1187" s="20">
        <f>IFERROR(IF(BC1187-DATA[[#This Row],[fecha_fs]]&lt;0,0,BC1187-DATA[[#This Row],[fecha_fs]]),0)</f>
        <v>2</v>
      </c>
      <c r="BH1187" s="20">
        <f t="shared" si="251"/>
        <v>12</v>
      </c>
      <c r="BI1187" s="20">
        <f t="shared" si="252"/>
        <v>2</v>
      </c>
      <c r="BJ1187" s="20">
        <f t="shared" si="253"/>
        <v>8</v>
      </c>
      <c r="BK1187" s="282">
        <f>IFERROR(SUM(DATA[[#This Row],[fs_fd_ttd]:[fend_fenf_ttd]]),0)</f>
        <v>24</v>
      </c>
      <c r="BL1187" s="20" t="str">
        <f>IF(DATA[[#This Row],[fecha_fs]]&gt;0,TEXT(DATA[[#This Row],[fecha_fs]],"YYYY"),0)</f>
        <v>2025</v>
      </c>
      <c r="BM1187" s="236" t="b">
        <v>1</v>
      </c>
      <c r="BN1187" s="278">
        <f>COUNTIF(DATA[[#This Row],[tiempo_td]], "&lt;=15")</f>
        <v>0</v>
      </c>
      <c r="BO1187" s="222"/>
    </row>
    <row r="1188" spans="1:67" ht="36" customHeight="1" x14ac:dyDescent="0.25">
      <c r="A1188" s="4">
        <v>20419158462</v>
      </c>
      <c r="B1188" s="5" t="s">
        <v>2</v>
      </c>
      <c r="C1188" s="52" t="s">
        <v>9</v>
      </c>
      <c r="D1188" s="4" t="s">
        <v>120</v>
      </c>
      <c r="E1188" s="5" t="s">
        <v>3</v>
      </c>
      <c r="F1188" s="24">
        <v>45915</v>
      </c>
      <c r="G1188" s="7" t="s">
        <v>113</v>
      </c>
      <c r="H1188" s="25">
        <f t="shared" si="248"/>
        <v>1</v>
      </c>
      <c r="I1188" s="67">
        <v>4989</v>
      </c>
      <c r="J1188" s="8" t="s">
        <v>115</v>
      </c>
      <c r="K1188" s="9" t="s">
        <v>156</v>
      </c>
      <c r="L1188" s="10" t="s">
        <v>117</v>
      </c>
      <c r="M1188" s="11">
        <v>230</v>
      </c>
      <c r="N1188" s="12" t="s">
        <v>249</v>
      </c>
      <c r="O1188" s="6">
        <v>45916</v>
      </c>
      <c r="P1188" s="13">
        <v>3661</v>
      </c>
      <c r="Q1188" s="14" t="s">
        <v>85</v>
      </c>
      <c r="R1188" s="74"/>
      <c r="S1188" s="15">
        <f>1429.7/2</f>
        <v>714.85</v>
      </c>
      <c r="T1188" s="237">
        <f>DATA[[#This Row],[C. DF]]+DATA[[#This Row],[C.OPE.]]</f>
        <v>714.85</v>
      </c>
      <c r="U1188" s="15">
        <f>DATA[[#This Row],[SUB TOTAL]]*0.18</f>
        <v>128.673</v>
      </c>
      <c r="V1188" s="15">
        <f>IFERROR(ROUND(DATA[[#This Row],[SUB TOTAL]]+DATA[[#This Row],[IGV]],2),0)</f>
        <v>843.52</v>
      </c>
      <c r="W1188" s="16" t="str">
        <f>IF(DATA[[#This Row],[VALORIZACIÓN ]]="-","NO CORRESPONDE",IF(OR(A1188=20558226979,A1188=10470707866,A1188=20111157058,A1188=20100226902),"NO CORRESPONDE",IF(J1188="Emitida",IF(P1188&gt;0,"EMITIDA","PENDIENTE"),"NO CORRESPONDE")))</f>
        <v>EMITIDA</v>
      </c>
      <c r="X1188" s="29"/>
      <c r="Y1188" s="17" t="s">
        <v>118</v>
      </c>
      <c r="Z1188" s="30">
        <v>45965</v>
      </c>
      <c r="AA1188" s="10" t="s">
        <v>150</v>
      </c>
      <c r="AB1188" s="19">
        <v>331</v>
      </c>
      <c r="AC1188" s="20">
        <v>2</v>
      </c>
      <c r="AD1188" s="18">
        <f>DATA[[#This Row],[FECHA DE EMISION]]+DATA[[#This Row],[CONDICION DE PAGO]]</f>
        <v>45967</v>
      </c>
      <c r="AE1188" s="23">
        <f>IF(DATA[[#This Row],[MONEDA]]="USD",VLOOKUP(DATA[[#This Row],[COMBINADA]],#REF!,11,0),1)</f>
        <v>1</v>
      </c>
      <c r="AF1188" s="129" t="str">
        <f>IF(DATA[[#This Row],[SERIE2]]="-","NO CORRESPONDE",IF(W1188="NO CORRESPONDE","NO CORRESPONDE",IF(Z1188&gt;0,"FACTURADO","PENDIENTE")))</f>
        <v>FACTURADO</v>
      </c>
      <c r="AG1188" s="133">
        <f>IFERROR(VLOOKUP(DATA[[#This Row],[COMBINADA]],#REF!,6,0),0)</f>
        <v>0</v>
      </c>
      <c r="AH1188" s="125">
        <f>IFERROR(VLOOKUP(DATA[[#This Row],[COMBINADA]],#REF!,9,0),0)/COUNTIFS(DATA[COMBINADA],DATA[[#This Row],[COMBINADA]])</f>
        <v>0</v>
      </c>
      <c r="AI1188" s="136">
        <f>IFERROR(VLOOKUP(DATA[[#This Row],[COMBINADA]],#REF!,6,0),0)</f>
        <v>0</v>
      </c>
      <c r="AJ1188" s="132">
        <f>IFERROR(VLOOKUP(DATA[[#This Row],[COMBINADA]],#REF!,9,0),0)/COUNTIFS(DATA[COMBINADA],DATA[[#This Row],[COMBINADA]])</f>
        <v>0</v>
      </c>
      <c r="AK1188" s="407">
        <f>IFERROR(VLOOKUP(DATA[[#This Row],[COMBINADA]],#REF!,6,0),0)</f>
        <v>0</v>
      </c>
      <c r="AL1188" s="125">
        <f>IFERROR(VLOOKUP(DATA[[#This Row],[COMBINADA]],#REF!,9,0),0)/COUNTIFS(DATA[COMBINADA],DATA[[#This Row],[COMBINADA]])</f>
        <v>0</v>
      </c>
      <c r="AM1188" s="27">
        <f>IFERROR(VLOOKUP(DATA[[#This Row],[COMBINADA]],#REF!,6,0),0)</f>
        <v>0</v>
      </c>
      <c r="AN1188" s="125">
        <f>IFERROR(VLOOKUP(DATA[[#This Row],[COMBINADA]],#REF!,9,0),0)/COUNTIFS(DATA[COMBINADA],DATA[[#This Row],[COMBINADA]])</f>
        <v>0</v>
      </c>
      <c r="AO1188" s="27">
        <f>IFERROR(VLOOKUP(DATA[[#This Row],[COMBINADA]],#REF!,6,0),0)</f>
        <v>0</v>
      </c>
      <c r="AP1188" s="132">
        <f>IFERROR(VLOOKUP(DATA[[#This Row],[COMBINADA]],#REF!,9,0),0)/COUNTIFS(DATA[COMBINADA],DATA[[#This Row],[COMBINADA]])</f>
        <v>0</v>
      </c>
      <c r="AQ118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1188" s="26" t="str">
        <f>IFERROR(IF(DATA[[#This Row],[estado_fact]]="FACTURADO",VLOOKUP(DATA[[#This Row],[SERIE2]]&amp;"-"&amp;DATA[[#This Row],[NUMERO]],#REF!,34,0),"NO CORRESPONDE"),"NO CORRESPONDE")</f>
        <v>NO CORRESPONDE</v>
      </c>
      <c r="AS1188" s="22" t="str">
        <f>IF(DATA[[#This Row],[fecha_fs]]&gt;0,TEXT(DATA[[#This Row],[fecha_fs]],"Mmmm"),0)</f>
        <v>Setiembre</v>
      </c>
      <c r="AT1188" s="22" t="str">
        <f>DATA[[#This Row],[SERIE2]]&amp;"-"&amp;DATA[[#This Row],[NUMERO]]</f>
        <v>FF01-331</v>
      </c>
      <c r="AU1188" s="28">
        <f>DATA[[#This Row],[TOTAL]]*DATA[[#This Row],[T.C.]]</f>
        <v>843.52</v>
      </c>
      <c r="AV1188" s="6">
        <f>DATA[[#This Row],[FECHA DE VAL.]]</f>
        <v>45916</v>
      </c>
      <c r="AW1188" s="6">
        <f>DATA[[#This Row],[FECHA DE EMISION]]</f>
        <v>45965</v>
      </c>
      <c r="AX1188" s="6">
        <f>DATA[[#This Row],[F1]]</f>
        <v>0</v>
      </c>
      <c r="AY1188" s="20">
        <f>IF(AV1188-DATA[[#This Row],[fecha_fs]]&lt;0,0,AV1188-DATA[[#This Row],[fecha_fs]])</f>
        <v>1</v>
      </c>
      <c r="AZ1188" s="20">
        <f t="shared" si="249"/>
        <v>49</v>
      </c>
      <c r="BA1188" s="53">
        <f t="shared" si="250"/>
        <v>0</v>
      </c>
      <c r="BB1188" s="195">
        <f>IFERROR(SUM(DATA[[#This Row],[fs_val_ttf]:[fact_pago_ttf]]),0)</f>
        <v>50</v>
      </c>
      <c r="BC1188" s="233">
        <v>45915</v>
      </c>
      <c r="BD1188" s="233">
        <v>45915</v>
      </c>
      <c r="BE1188" s="233">
        <v>45922</v>
      </c>
      <c r="BF1188" s="233">
        <v>45922</v>
      </c>
      <c r="BG1188" s="20">
        <f>IFERROR(IF(BC1188-DATA[[#This Row],[fecha_fs]]&lt;0,0,BC1188-DATA[[#This Row],[fecha_fs]]),0)</f>
        <v>0</v>
      </c>
      <c r="BH1188" s="20">
        <f t="shared" si="251"/>
        <v>0</v>
      </c>
      <c r="BI1188" s="20">
        <f t="shared" si="252"/>
        <v>7</v>
      </c>
      <c r="BJ1188" s="20">
        <f t="shared" si="253"/>
        <v>0</v>
      </c>
      <c r="BK1188" s="282">
        <f>IFERROR(SUM(DATA[[#This Row],[fs_fd_ttd]:[fend_fenf_ttd]]),0)</f>
        <v>7</v>
      </c>
      <c r="BL1188" s="20" t="str">
        <f>IF(DATA[[#This Row],[fecha_fs]]&gt;0,TEXT(DATA[[#This Row],[fecha_fs]],"YYYY"),0)</f>
        <v>2025</v>
      </c>
      <c r="BM1188" s="236" t="b">
        <v>1</v>
      </c>
      <c r="BN1188" s="278">
        <f>COUNTIF(DATA[[#This Row],[tiempo_td]], "&lt;=15")</f>
        <v>1</v>
      </c>
      <c r="BO1188" s="222"/>
    </row>
    <row r="1189" spans="1:67" ht="30.6" customHeight="1" x14ac:dyDescent="0.25">
      <c r="A1189" s="4">
        <v>20100211115</v>
      </c>
      <c r="B1189" s="5" t="s">
        <v>41</v>
      </c>
      <c r="C1189" s="52" t="s">
        <v>18</v>
      </c>
      <c r="D1189" s="4" t="s">
        <v>120</v>
      </c>
      <c r="E1189" s="5" t="s">
        <v>3</v>
      </c>
      <c r="F1189" s="24">
        <v>45915</v>
      </c>
      <c r="G1189" s="7" t="s">
        <v>113</v>
      </c>
      <c r="H1189" s="25">
        <f t="shared" si="248"/>
        <v>1</v>
      </c>
      <c r="I1189" s="67">
        <v>4990</v>
      </c>
      <c r="J1189" s="8" t="s">
        <v>115</v>
      </c>
      <c r="K1189" s="9" t="s">
        <v>121</v>
      </c>
      <c r="L1189" s="10" t="s">
        <v>117</v>
      </c>
      <c r="M1189" s="11">
        <v>90</v>
      </c>
      <c r="N1189" s="12" t="s">
        <v>132</v>
      </c>
      <c r="O1189" s="6">
        <v>45926</v>
      </c>
      <c r="P1189" s="115">
        <v>3679</v>
      </c>
      <c r="Q1189" s="14" t="s">
        <v>85</v>
      </c>
      <c r="R1189" s="74"/>
      <c r="S1189" s="15">
        <f>(DATA[[#This Row],[cantidad_fs]]*4.17)</f>
        <v>375.3</v>
      </c>
      <c r="T1189" s="237">
        <f>DATA[[#This Row],[C. DF]]+DATA[[#This Row],[C.OPE.]]</f>
        <v>375.3</v>
      </c>
      <c r="U1189" s="15">
        <f>DATA[[#This Row],[SUB TOTAL]]*0.18</f>
        <v>67.554000000000002</v>
      </c>
      <c r="V1189" s="15">
        <f>IFERROR(ROUND(DATA[[#This Row],[SUB TOTAL]]+DATA[[#This Row],[IGV]],2),0)</f>
        <v>442.85</v>
      </c>
      <c r="W1189" s="16" t="str">
        <f>IF(DATA[[#This Row],[VALORIZACIÓN ]]="-","NO CORRESPONDE",IF(OR(A1189=20558226979,A1189=10470707866,A1189=20111157058,A1189=20100226902),"NO CORRESPONDE",IF(J1189="Emitida",IF(P1189&gt;0,"EMITIDA","PENDIENTE"),"NO CORRESPONDE")))</f>
        <v>EMITIDA</v>
      </c>
      <c r="X1189" s="29"/>
      <c r="Y1189" s="17" t="s">
        <v>118</v>
      </c>
      <c r="Z1189" s="30">
        <v>45930</v>
      </c>
      <c r="AA1189" s="10" t="s">
        <v>150</v>
      </c>
      <c r="AB1189" s="19">
        <v>269</v>
      </c>
      <c r="AC1189" s="20">
        <v>30</v>
      </c>
      <c r="AD1189" s="18">
        <f>DATA[[#This Row],[FECHA DE EMISION]]+DATA[[#This Row],[CONDICION DE PAGO]]</f>
        <v>45960</v>
      </c>
      <c r="AE1189" s="23">
        <f>IF(DATA[[#This Row],[MONEDA]]="USD",VLOOKUP(DATA[[#This Row],[COMBINADA]],#REF!,11,0),1)</f>
        <v>1</v>
      </c>
      <c r="AF1189" s="129" t="str">
        <f>IF(DATA[[#This Row],[SERIE2]]="-","NO CORRESPONDE",IF(W1189="NO CORRESPONDE","NO CORRESPONDE",IF(Z1189&gt;0,"FACTURADO","PENDIENTE")))</f>
        <v>FACTURADO</v>
      </c>
      <c r="AG1189" s="133">
        <f>IFERROR(VLOOKUP(DATA[[#This Row],[COMBINADA]],#REF!,6,0),0)</f>
        <v>0</v>
      </c>
      <c r="AH1189" s="125">
        <f>IFERROR(VLOOKUP(DATA[[#This Row],[COMBINADA]],#REF!,9,0),0)/COUNTIFS(DATA[COMBINADA],DATA[[#This Row],[COMBINADA]])</f>
        <v>0</v>
      </c>
      <c r="AI1189" s="136">
        <f>IFERROR(VLOOKUP(DATA[[#This Row],[COMBINADA]],#REF!,6,0),0)</f>
        <v>0</v>
      </c>
      <c r="AJ1189" s="132">
        <f>IFERROR(VLOOKUP(DATA[[#This Row],[COMBINADA]],#REF!,9,0),0)/COUNTIFS(DATA[COMBINADA],DATA[[#This Row],[COMBINADA]])</f>
        <v>0</v>
      </c>
      <c r="AK1189" s="407">
        <f>IFERROR(VLOOKUP(DATA[[#This Row],[COMBINADA]],#REF!,6,0),0)</f>
        <v>0</v>
      </c>
      <c r="AL1189" s="125">
        <f>IFERROR(VLOOKUP(DATA[[#This Row],[COMBINADA]],#REF!,9,0),0)/COUNTIFS(DATA[COMBINADA],DATA[[#This Row],[COMBINADA]])</f>
        <v>0</v>
      </c>
      <c r="AM1189" s="27">
        <f>IFERROR(VLOOKUP(DATA[[#This Row],[COMBINADA]],#REF!,6,0),0)</f>
        <v>0</v>
      </c>
      <c r="AN1189" s="125">
        <f>IFERROR(VLOOKUP(DATA[[#This Row],[COMBINADA]],#REF!,9,0),0)/COUNTIFS(DATA[COMBINADA],DATA[[#This Row],[COMBINADA]])</f>
        <v>0</v>
      </c>
      <c r="AO1189" s="27">
        <f>IFERROR(VLOOKUP(DATA[[#This Row],[COMBINADA]],#REF!,6,0),0)</f>
        <v>0</v>
      </c>
      <c r="AP1189" s="132">
        <f>IFERROR(VLOOKUP(DATA[[#This Row],[COMBINADA]],#REF!,9,0),0)/COUNTIFS(DATA[COMBINADA],DATA[[#This Row],[COMBINADA]])</f>
        <v>0</v>
      </c>
      <c r="AQ118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189" s="26" t="str">
        <f>IFERROR(IF(DATA[[#This Row],[estado_fact]]="FACTURADO",VLOOKUP(DATA[[#This Row],[SERIE2]]&amp;"-"&amp;DATA[[#This Row],[NUMERO]],#REF!,34,0),"NO CORRESPONDE"),"NO CORRESPONDE")</f>
        <v>NO CORRESPONDE</v>
      </c>
      <c r="AS1189" s="22" t="str">
        <f>IF(DATA[[#This Row],[fecha_fs]]&gt;0,TEXT(DATA[[#This Row],[fecha_fs]],"Mmmm"),0)</f>
        <v>Setiembre</v>
      </c>
      <c r="AT1189" s="22" t="str">
        <f>DATA[[#This Row],[SERIE2]]&amp;"-"&amp;DATA[[#This Row],[NUMERO]]</f>
        <v>FF01-269</v>
      </c>
      <c r="AU1189" s="28">
        <f>DATA[[#This Row],[TOTAL]]*DATA[[#This Row],[T.C.]]</f>
        <v>442.85</v>
      </c>
      <c r="AV1189" s="6">
        <f>DATA[[#This Row],[FECHA DE VAL.]]</f>
        <v>45926</v>
      </c>
      <c r="AW1189" s="6">
        <f>DATA[[#This Row],[FECHA DE EMISION]]</f>
        <v>45930</v>
      </c>
      <c r="AX1189" s="6">
        <f>DATA[[#This Row],[F1]]</f>
        <v>0</v>
      </c>
      <c r="AY1189" s="20">
        <f>IF(AV1189-DATA[[#This Row],[fecha_fs]]&lt;0,0,AV1189-DATA[[#This Row],[fecha_fs]])</f>
        <v>11</v>
      </c>
      <c r="AZ1189" s="20">
        <f t="shared" si="249"/>
        <v>4</v>
      </c>
      <c r="BA1189" s="53">
        <f t="shared" si="250"/>
        <v>0</v>
      </c>
      <c r="BB1189" s="195">
        <f>IFERROR(SUM(DATA[[#This Row],[fs_val_ttf]:[fact_pago_ttf]]),0)</f>
        <v>15</v>
      </c>
      <c r="BC1189" s="233">
        <v>45932</v>
      </c>
      <c r="BD1189" s="233">
        <v>45939</v>
      </c>
      <c r="BE1189" s="233">
        <v>45939</v>
      </c>
      <c r="BF1189" s="233">
        <v>45940</v>
      </c>
      <c r="BG1189" s="20">
        <f>IFERROR(IF(BC1189-DATA[[#This Row],[fecha_fs]]&lt;0,0,BC1189-DATA[[#This Row],[fecha_fs]]),0)</f>
        <v>17</v>
      </c>
      <c r="BH1189" s="20">
        <f t="shared" si="251"/>
        <v>7</v>
      </c>
      <c r="BI1189" s="20">
        <f t="shared" si="252"/>
        <v>0</v>
      </c>
      <c r="BJ1189" s="20">
        <f t="shared" si="253"/>
        <v>1</v>
      </c>
      <c r="BK1189" s="282">
        <f>IFERROR(SUM(DATA[[#This Row],[fs_fd_ttd]:[fend_fenf_ttd]]),0)</f>
        <v>25</v>
      </c>
      <c r="BL1189" s="20" t="str">
        <f>IF(DATA[[#This Row],[fecha_fs]]&gt;0,TEXT(DATA[[#This Row],[fecha_fs]],"YYYY"),0)</f>
        <v>2025</v>
      </c>
      <c r="BM1189" s="236" t="b">
        <v>1</v>
      </c>
      <c r="BN1189" s="278">
        <f>COUNTIF(DATA[[#This Row],[tiempo_td]], "&lt;=15")</f>
        <v>0</v>
      </c>
      <c r="BO1189" s="222"/>
    </row>
    <row r="1190" spans="1:67" ht="30.6" customHeight="1" x14ac:dyDescent="0.25">
      <c r="A1190" s="4">
        <v>20419158462</v>
      </c>
      <c r="B1190" s="5" t="s">
        <v>2</v>
      </c>
      <c r="C1190" s="52" t="s">
        <v>174</v>
      </c>
      <c r="D1190" s="4" t="s">
        <v>120</v>
      </c>
      <c r="E1190" s="5" t="s">
        <v>3</v>
      </c>
      <c r="F1190" s="24">
        <v>45915</v>
      </c>
      <c r="G1190" s="7" t="s">
        <v>113</v>
      </c>
      <c r="H1190" s="25">
        <f t="shared" si="248"/>
        <v>1</v>
      </c>
      <c r="I1190" s="67">
        <v>4991</v>
      </c>
      <c r="J1190" s="8" t="s">
        <v>115</v>
      </c>
      <c r="K1190" s="9" t="s">
        <v>156</v>
      </c>
      <c r="L1190" s="10" t="s">
        <v>117</v>
      </c>
      <c r="M1190" s="11">
        <v>200</v>
      </c>
      <c r="N1190" s="12" t="s">
        <v>249</v>
      </c>
      <c r="O1190" s="6">
        <v>45916</v>
      </c>
      <c r="P1190" s="13">
        <v>3661</v>
      </c>
      <c r="Q1190" s="14" t="s">
        <v>85</v>
      </c>
      <c r="R1190" s="74"/>
      <c r="S1190" s="15">
        <f>1429.7/2</f>
        <v>714.85</v>
      </c>
      <c r="T1190" s="237">
        <f>DATA[[#This Row],[C. DF]]+DATA[[#This Row],[C.OPE.]]</f>
        <v>714.85</v>
      </c>
      <c r="U1190" s="15">
        <f>DATA[[#This Row],[SUB TOTAL]]*0.18</f>
        <v>128.673</v>
      </c>
      <c r="V1190" s="15">
        <f>IFERROR(ROUND(DATA[[#This Row],[SUB TOTAL]]+DATA[[#This Row],[IGV]],2),0)</f>
        <v>843.52</v>
      </c>
      <c r="W1190" s="16" t="str">
        <f>IF(DATA[[#This Row],[VALORIZACIÓN ]]="-","NO CORRESPONDE",IF(OR(A1190=20558226979,A1190=10470707866,A1190=20111157058,A1190=20100226902),"NO CORRESPONDE",IF(J1190="Emitida",IF(P1190&gt;0,"EMITIDA","PENDIENTE"),"NO CORRESPONDE")))</f>
        <v>EMITIDA</v>
      </c>
      <c r="X1190" s="29"/>
      <c r="Y1190" s="17" t="s">
        <v>118</v>
      </c>
      <c r="Z1190" s="30">
        <v>45965</v>
      </c>
      <c r="AA1190" s="10" t="s">
        <v>150</v>
      </c>
      <c r="AB1190" s="19">
        <v>331</v>
      </c>
      <c r="AC1190" s="20">
        <v>2</v>
      </c>
      <c r="AD1190" s="18">
        <f>DATA[[#This Row],[FECHA DE EMISION]]+DATA[[#This Row],[CONDICION DE PAGO]]</f>
        <v>45967</v>
      </c>
      <c r="AE1190" s="23">
        <f>IF(DATA[[#This Row],[MONEDA]]="USD",VLOOKUP(DATA[[#This Row],[COMBINADA]],#REF!,11,0),1)</f>
        <v>1</v>
      </c>
      <c r="AF1190" s="129" t="str">
        <f>IF(DATA[[#This Row],[SERIE2]]="-","NO CORRESPONDE",IF(W1190="NO CORRESPONDE","NO CORRESPONDE",IF(Z1190&gt;0,"FACTURADO","PENDIENTE")))</f>
        <v>FACTURADO</v>
      </c>
      <c r="AG1190" s="133">
        <f>IFERROR(VLOOKUP(DATA[[#This Row],[COMBINADA]],#REF!,6,0),0)</f>
        <v>0</v>
      </c>
      <c r="AH1190" s="125">
        <f>IFERROR(VLOOKUP(DATA[[#This Row],[COMBINADA]],#REF!,9,0),0)/COUNTIFS(DATA[COMBINADA],DATA[[#This Row],[COMBINADA]])</f>
        <v>0</v>
      </c>
      <c r="AI1190" s="136">
        <f>IFERROR(VLOOKUP(DATA[[#This Row],[COMBINADA]],#REF!,6,0),0)</f>
        <v>0</v>
      </c>
      <c r="AJ1190" s="132">
        <f>IFERROR(VLOOKUP(DATA[[#This Row],[COMBINADA]],#REF!,9,0),0)/COUNTIFS(DATA[COMBINADA],DATA[[#This Row],[COMBINADA]])</f>
        <v>0</v>
      </c>
      <c r="AK1190" s="407">
        <f>IFERROR(VLOOKUP(DATA[[#This Row],[COMBINADA]],#REF!,6,0),0)</f>
        <v>0</v>
      </c>
      <c r="AL1190" s="125">
        <f>IFERROR(VLOOKUP(DATA[[#This Row],[COMBINADA]],#REF!,9,0),0)/COUNTIFS(DATA[COMBINADA],DATA[[#This Row],[COMBINADA]])</f>
        <v>0</v>
      </c>
      <c r="AM1190" s="27">
        <f>IFERROR(VLOOKUP(DATA[[#This Row],[COMBINADA]],#REF!,6,0),0)</f>
        <v>0</v>
      </c>
      <c r="AN1190" s="125">
        <f>IFERROR(VLOOKUP(DATA[[#This Row],[COMBINADA]],#REF!,9,0),0)/COUNTIFS(DATA[COMBINADA],DATA[[#This Row],[COMBINADA]])</f>
        <v>0</v>
      </c>
      <c r="AO1190" s="27">
        <f>IFERROR(VLOOKUP(DATA[[#This Row],[COMBINADA]],#REF!,6,0),0)</f>
        <v>0</v>
      </c>
      <c r="AP1190" s="132">
        <f>IFERROR(VLOOKUP(DATA[[#This Row],[COMBINADA]],#REF!,9,0),0)/COUNTIFS(DATA[COMBINADA],DATA[[#This Row],[COMBINADA]])</f>
        <v>0</v>
      </c>
      <c r="AQ119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843.52</v>
      </c>
      <c r="AR1190" s="26" t="str">
        <f>IFERROR(IF(DATA[[#This Row],[estado_fact]]="FACTURADO",VLOOKUP(DATA[[#This Row],[SERIE2]]&amp;"-"&amp;DATA[[#This Row],[NUMERO]],#REF!,34,0),"NO CORRESPONDE"),"NO CORRESPONDE")</f>
        <v>NO CORRESPONDE</v>
      </c>
      <c r="AS1190" s="22" t="str">
        <f>IF(DATA[[#This Row],[fecha_fs]]&gt;0,TEXT(DATA[[#This Row],[fecha_fs]],"Mmmm"),0)</f>
        <v>Setiembre</v>
      </c>
      <c r="AT1190" s="22" t="str">
        <f>DATA[[#This Row],[SERIE2]]&amp;"-"&amp;DATA[[#This Row],[NUMERO]]</f>
        <v>FF01-331</v>
      </c>
      <c r="AU1190" s="28">
        <f>DATA[[#This Row],[TOTAL]]*DATA[[#This Row],[T.C.]]</f>
        <v>843.52</v>
      </c>
      <c r="AV1190" s="6">
        <f>DATA[[#This Row],[FECHA DE VAL.]]</f>
        <v>45916</v>
      </c>
      <c r="AW1190" s="6">
        <f>DATA[[#This Row],[FECHA DE EMISION]]</f>
        <v>45965</v>
      </c>
      <c r="AX1190" s="6">
        <f>DATA[[#This Row],[F1]]</f>
        <v>0</v>
      </c>
      <c r="AY1190" s="20">
        <f>IF(AV1190-DATA[[#This Row],[fecha_fs]]&lt;0,0,AV1190-DATA[[#This Row],[fecha_fs]])</f>
        <v>1</v>
      </c>
      <c r="AZ1190" s="20">
        <f t="shared" si="249"/>
        <v>49</v>
      </c>
      <c r="BA1190" s="53">
        <f t="shared" si="250"/>
        <v>0</v>
      </c>
      <c r="BB1190" s="195">
        <f>IFERROR(SUM(DATA[[#This Row],[fs_val_ttf]:[fact_pago_ttf]]),0)</f>
        <v>50</v>
      </c>
      <c r="BC1190" s="233">
        <v>45915</v>
      </c>
      <c r="BD1190" s="233">
        <v>45915</v>
      </c>
      <c r="BE1190" s="233">
        <v>45922</v>
      </c>
      <c r="BF1190" s="233">
        <v>45922</v>
      </c>
      <c r="BG1190" s="20">
        <f>IFERROR(IF(BC1190-DATA[[#This Row],[fecha_fs]]&lt;0,0,BC1190-DATA[[#This Row],[fecha_fs]]),0)</f>
        <v>0</v>
      </c>
      <c r="BH1190" s="20">
        <f t="shared" si="251"/>
        <v>0</v>
      </c>
      <c r="BI1190" s="20">
        <f t="shared" si="252"/>
        <v>7</v>
      </c>
      <c r="BJ1190" s="20">
        <f t="shared" si="253"/>
        <v>0</v>
      </c>
      <c r="BK1190" s="282">
        <f>IFERROR(SUM(DATA[[#This Row],[fs_fd_ttd]:[fend_fenf_ttd]]),0)</f>
        <v>7</v>
      </c>
      <c r="BL1190" s="20" t="str">
        <f>IF(DATA[[#This Row],[fecha_fs]]&gt;0,TEXT(DATA[[#This Row],[fecha_fs]],"YYYY"),0)</f>
        <v>2025</v>
      </c>
      <c r="BM1190" s="236" t="b">
        <v>1</v>
      </c>
      <c r="BN1190" s="278">
        <f>COUNTIF(DATA[[#This Row],[tiempo_td]], "&lt;=15")</f>
        <v>1</v>
      </c>
      <c r="BO1190" s="222"/>
    </row>
    <row r="1191" spans="1:67" ht="30.6" customHeight="1" x14ac:dyDescent="0.25">
      <c r="A1191" s="4">
        <v>20558226979</v>
      </c>
      <c r="B1191" s="5" t="s">
        <v>45</v>
      </c>
      <c r="C1191" s="52" t="s">
        <v>18</v>
      </c>
      <c r="D1191" s="4" t="s">
        <v>120</v>
      </c>
      <c r="E1191" s="5" t="s">
        <v>3</v>
      </c>
      <c r="F1191" s="24">
        <v>45910</v>
      </c>
      <c r="G1191" s="7" t="s">
        <v>113</v>
      </c>
      <c r="H1191" s="25">
        <f t="shared" si="248"/>
        <v>1</v>
      </c>
      <c r="I1191" s="67">
        <v>4992</v>
      </c>
      <c r="J1191" s="8" t="s">
        <v>115</v>
      </c>
      <c r="K1191" s="9" t="s">
        <v>121</v>
      </c>
      <c r="L1191" s="10" t="s">
        <v>117</v>
      </c>
      <c r="M1191" s="111">
        <v>3500</v>
      </c>
      <c r="N1191" s="12" t="s">
        <v>122</v>
      </c>
      <c r="O1191" s="359"/>
      <c r="P1191" s="371" t="s">
        <v>114</v>
      </c>
      <c r="Q1191" s="372"/>
      <c r="R1191" s="373"/>
      <c r="S1191" s="373"/>
      <c r="T1191" s="373">
        <f>DATA[[#This Row],[C. DF]]+DATA[[#This Row],[C.OPE.]]</f>
        <v>0</v>
      </c>
      <c r="U1191" s="373">
        <f>DATA[[#This Row],[SUB TOTAL]]*0.18</f>
        <v>0</v>
      </c>
      <c r="V1191" s="373">
        <f>IFERROR(ROUND(DATA[[#This Row],[SUB TOTAL]]+DATA[[#This Row],[IGV]],2),0)</f>
        <v>0</v>
      </c>
      <c r="W1191" s="73" t="str">
        <f>IF(DATA[[#This Row],[VALORIZACIÓN ]]="-","NO CORRESPONDE",IF(OR(A1191=20558226979,A1191=10470707866,A1191=20111157058,A1191=20100226902),"NO CORRESPONDE",IF(J1191="Emitida",IF(P1191&gt;0,"EMITIDA","PENDIENTE"),"NO CORRESPONDE")))</f>
        <v>NO CORRESPONDE</v>
      </c>
      <c r="X1191" s="46"/>
      <c r="Y1191" s="17" t="s">
        <v>128</v>
      </c>
      <c r="Z1191" s="48"/>
      <c r="AA1191" s="49"/>
      <c r="AB1191" s="50"/>
      <c r="AC1191" s="51"/>
      <c r="AD1191" s="59">
        <f>DATA[[#This Row],[FECHA DE EMISION]]+DATA[[#This Row],[CONDICION DE PAGO]]</f>
        <v>0</v>
      </c>
      <c r="AE1191" s="23">
        <f>IF(DATA[[#This Row],[MONEDA]]="USD",VLOOKUP(DATA[[#This Row],[COMBINADA]],#REF!,11,0),1)</f>
        <v>1</v>
      </c>
      <c r="AF1191" s="129" t="str">
        <f>IF(DATA[[#This Row],[SERIE2]]="-","NO CORRESPONDE",IF(W1191="NO CORRESPONDE","NO CORRESPONDE",IF(Z1191&gt;0,"FACTURADO","PENDIENTE")))</f>
        <v>NO CORRESPONDE</v>
      </c>
      <c r="AG1191" s="208">
        <f>IFERROR(VLOOKUP(DATA[[#This Row],[COMBINADA]],#REF!,6,0),0)</f>
        <v>0</v>
      </c>
      <c r="AH1191" s="209">
        <f>IFERROR(VLOOKUP(DATA[[#This Row],[COMBINADA]],#REF!,9,0),0)/COUNTIFS(DATA[COMBINADA],DATA[[#This Row],[COMBINADA]])</f>
        <v>0</v>
      </c>
      <c r="AI1191" s="140">
        <f>IFERROR(VLOOKUP(DATA[[#This Row],[COMBINADA]],#REF!,6,0),0)</f>
        <v>0</v>
      </c>
      <c r="AJ1191" s="126">
        <f>IFERROR(VLOOKUP(DATA[[#This Row],[COMBINADA]],#REF!,9,0),0)/COUNTIFS(DATA[COMBINADA],DATA[[#This Row],[COMBINADA]])</f>
        <v>0</v>
      </c>
      <c r="AK1191" s="61">
        <f>IFERROR(VLOOKUP(DATA[[#This Row],[COMBINADA]],#REF!,6,0),0)</f>
        <v>0</v>
      </c>
      <c r="AL1191" s="126">
        <f>IFERROR(VLOOKUP(DATA[[#This Row],[COMBINADA]],#REF!,9,0),0)/COUNTIFS(DATA[COMBINADA],DATA[[#This Row],[COMBINADA]])</f>
        <v>0</v>
      </c>
      <c r="AM1191" s="61">
        <f>IFERROR(VLOOKUP(DATA[[#This Row],[COMBINADA]],#REF!,6,0),0)</f>
        <v>0</v>
      </c>
      <c r="AN1191" s="62">
        <f>IFERROR(VLOOKUP(DATA[[#This Row],[COMBINADA]],#REF!,9,0),0)/COUNTIFS(DATA[COMBINADA],DATA[[#This Row],[COMBINADA]])</f>
        <v>0</v>
      </c>
      <c r="AO1191" s="61">
        <f>IFERROR(VLOOKUP(DATA[[#This Row],[COMBINADA]],#REF!,6,0),0)</f>
        <v>0</v>
      </c>
      <c r="AP1191" s="62">
        <f>IFERROR(VLOOKUP(DATA[[#This Row],[COMBINADA]],#REF!,9,0),0)/COUNTIFS(DATA[COMBINADA],DATA[[#This Row],[COMBINADA]])</f>
        <v>0</v>
      </c>
      <c r="AQ1191"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191" s="22" t="str">
        <f>IFERROR(IF(DATA[[#This Row],[estado_fact]]="FACTURADO",VLOOKUP(DATA[[#This Row],[SERIE2]]&amp;"-"&amp;DATA[[#This Row],[NUMERO]],#REF!,34,0),"NO CORRESPONDE"),"NO CORRESPONDE")</f>
        <v>NO CORRESPONDE</v>
      </c>
      <c r="AS1191" s="198" t="str">
        <f>IF(DATA[[#This Row],[fecha_fs]]&gt;0,TEXT(DATA[[#This Row],[fecha_fs]],"Mmmm"),0)</f>
        <v>Setiembre</v>
      </c>
      <c r="AT1191" s="199" t="str">
        <f>DATA[[#This Row],[SERIE2]]&amp;"-"&amp;DATA[[#This Row],[NUMERO]]</f>
        <v>-</v>
      </c>
      <c r="AU1191" s="198">
        <f>DATA[[#This Row],[TOTAL]]*DATA[[#This Row],[T.C.]]</f>
        <v>0</v>
      </c>
      <c r="AV1191" s="40">
        <f>DATA[[#This Row],[FECHA DE VAL.]]</f>
        <v>0</v>
      </c>
      <c r="AW1191" s="40">
        <f>DATA[[#This Row],[FECHA DE EMISION]]</f>
        <v>0</v>
      </c>
      <c r="AX1191" s="40">
        <f>DATA[[#This Row],[F1]]</f>
        <v>0</v>
      </c>
      <c r="AY1191" s="49">
        <f>IF(AV1191-DATA[[#This Row],[fecha_fs]]&lt;0,0,AV1191-DATA[[#This Row],[fecha_fs]])</f>
        <v>0</v>
      </c>
      <c r="AZ1191" s="49">
        <f t="shared" si="249"/>
        <v>0</v>
      </c>
      <c r="BA1191" s="49">
        <f t="shared" si="250"/>
        <v>0</v>
      </c>
      <c r="BB1191" s="195">
        <f>IFERROR(SUM(DATA[[#This Row],[fs_val_ttf]:[fact_pago_ttf]]),0)</f>
        <v>0</v>
      </c>
      <c r="BC1191" s="233">
        <v>45910</v>
      </c>
      <c r="BD1191" s="233">
        <v>45936</v>
      </c>
      <c r="BE1191" s="233">
        <v>45936</v>
      </c>
      <c r="BF1191" s="233">
        <v>45937</v>
      </c>
      <c r="BG1191" s="20">
        <f>IFERROR(IF(BC1191-DATA[[#This Row],[fecha_fs]]&lt;0,0,BC1191-DATA[[#This Row],[fecha_fs]]),0)</f>
        <v>0</v>
      </c>
      <c r="BH1191" s="20">
        <f t="shared" si="251"/>
        <v>26</v>
      </c>
      <c r="BI1191" s="20">
        <f t="shared" si="252"/>
        <v>0</v>
      </c>
      <c r="BJ1191" s="20">
        <f t="shared" si="253"/>
        <v>1</v>
      </c>
      <c r="BK1191" s="282">
        <f>IFERROR(SUM(DATA[[#This Row],[fs_fd_ttd]:[fend_fenf_ttd]]),0)</f>
        <v>27</v>
      </c>
      <c r="BL1191" s="20" t="str">
        <f>IF(DATA[[#This Row],[fecha_fs]]&gt;0,TEXT(DATA[[#This Row],[fecha_fs]],"YYYY"),0)</f>
        <v>2025</v>
      </c>
      <c r="BM1191" s="221" t="b">
        <v>1</v>
      </c>
      <c r="BN1191" s="278">
        <f>COUNTIF(DATA[[#This Row],[tiempo_td]], "&lt;=15")</f>
        <v>0</v>
      </c>
      <c r="BO1191" s="222"/>
    </row>
    <row r="1192" spans="1:67" ht="33.75" customHeight="1" x14ac:dyDescent="0.25">
      <c r="A1192" s="4">
        <v>20610105620</v>
      </c>
      <c r="B1192" s="5" t="s">
        <v>311</v>
      </c>
      <c r="C1192" s="52" t="s">
        <v>312</v>
      </c>
      <c r="D1192" s="4" t="s">
        <v>120</v>
      </c>
      <c r="E1192" s="5" t="s">
        <v>3</v>
      </c>
      <c r="F1192" s="24">
        <v>45915</v>
      </c>
      <c r="G1192" s="7" t="s">
        <v>113</v>
      </c>
      <c r="H1192" s="25">
        <f t="shared" si="248"/>
        <v>1</v>
      </c>
      <c r="I1192" s="67">
        <v>4993</v>
      </c>
      <c r="J1192" s="8" t="s">
        <v>115</v>
      </c>
      <c r="K1192" s="9" t="s">
        <v>121</v>
      </c>
      <c r="L1192" s="10" t="s">
        <v>117</v>
      </c>
      <c r="M1192" s="11">
        <v>1330</v>
      </c>
      <c r="N1192" s="12" t="s">
        <v>122</v>
      </c>
      <c r="O1192" s="6">
        <v>45930</v>
      </c>
      <c r="P1192" s="370">
        <v>3709</v>
      </c>
      <c r="Q1192" s="14" t="s">
        <v>85</v>
      </c>
      <c r="R1192" s="237">
        <f>80+((DATA[[#This Row],[cantidad_fs]]-1000)*0.08)</f>
        <v>106.4</v>
      </c>
      <c r="S1192" s="237">
        <v>2120</v>
      </c>
      <c r="T1192" s="237">
        <f>DATA[[#This Row],[C. DF]]+DATA[[#This Row],[C.OPE.]]</f>
        <v>2226.4</v>
      </c>
      <c r="U1192" s="15">
        <f>DATA[[#This Row],[SUB TOTAL]]*0.18</f>
        <v>400.75200000000001</v>
      </c>
      <c r="V1192" s="15">
        <f>IFERROR(ROUND(DATA[[#This Row],[SUB TOTAL]]+DATA[[#This Row],[IGV]],2),0)</f>
        <v>2627.15</v>
      </c>
      <c r="W1192" s="16" t="str">
        <f>IF(DATA[[#This Row],[VALORIZACIÓN ]]="-","NO CORRESPONDE",IF(OR(A1192=20558226979,A1192=10470707866,A1192=20111157058,A1192=20100226902),"NO CORRESPONDE",IF(J1192="Emitida",IF(P1192&gt;0,"EMITIDA","PENDIENTE"),"NO CORRESPONDE")))</f>
        <v>EMITIDA</v>
      </c>
      <c r="X1192" s="29" t="s">
        <v>335</v>
      </c>
      <c r="Y1192" s="17" t="s">
        <v>118</v>
      </c>
      <c r="Z1192" s="30">
        <v>45968</v>
      </c>
      <c r="AA1192" s="10" t="s">
        <v>150</v>
      </c>
      <c r="AB1192" s="19">
        <v>349</v>
      </c>
      <c r="AC1192" s="20">
        <v>30</v>
      </c>
      <c r="AD1192" s="18">
        <f>DATA[[#This Row],[FECHA DE EMISION]]+DATA[[#This Row],[CONDICION DE PAGO]]</f>
        <v>45998</v>
      </c>
      <c r="AE1192" s="23">
        <f>IF(DATA[[#This Row],[MONEDA]]="USD",VLOOKUP(DATA[[#This Row],[COMBINADA]],#REF!,11,0),1)</f>
        <v>1</v>
      </c>
      <c r="AF1192" s="129" t="str">
        <f>IF(DATA[[#This Row],[SERIE2]]="-","NO CORRESPONDE",IF(W1192="NO CORRESPONDE","NO CORRESPONDE",IF(Z1192&gt;0,"FACTURADO","PENDIENTE")))</f>
        <v>FACTURADO</v>
      </c>
      <c r="AG1192" s="133">
        <f>IFERROR(VLOOKUP(DATA[[#This Row],[COMBINADA]],#REF!,6,0),0)</f>
        <v>0</v>
      </c>
      <c r="AH1192" s="125">
        <f>IFERROR(VLOOKUP(DATA[[#This Row],[COMBINADA]],#REF!,9,0),0)/COUNTIFS(DATA[COMBINADA],DATA[[#This Row],[COMBINADA]])</f>
        <v>0</v>
      </c>
      <c r="AI1192" s="136">
        <f>IFERROR(VLOOKUP(DATA[[#This Row],[COMBINADA]],#REF!,6,0),0)</f>
        <v>0</v>
      </c>
      <c r="AJ1192" s="132">
        <f>IFERROR(VLOOKUP(DATA[[#This Row],[COMBINADA]],#REF!,9,0),0)/COUNTIFS(DATA[COMBINADA],DATA[[#This Row],[COMBINADA]])</f>
        <v>0</v>
      </c>
      <c r="AK1192" s="407">
        <f>IFERROR(VLOOKUP(DATA[[#This Row],[COMBINADA]],#REF!,6,0),0)</f>
        <v>0</v>
      </c>
      <c r="AL1192" s="125">
        <f>IFERROR(VLOOKUP(DATA[[#This Row],[COMBINADA]],#REF!,9,0),0)/COUNTIFS(DATA[COMBINADA],DATA[[#This Row],[COMBINADA]])</f>
        <v>0</v>
      </c>
      <c r="AM1192" s="27">
        <f>IFERROR(VLOOKUP(DATA[[#This Row],[COMBINADA]],#REF!,6,0),0)</f>
        <v>0</v>
      </c>
      <c r="AN1192" s="125">
        <f>IFERROR(VLOOKUP(DATA[[#This Row],[COMBINADA]],#REF!,9,0),0)/COUNTIFS(DATA[COMBINADA],DATA[[#This Row],[COMBINADA]])</f>
        <v>0</v>
      </c>
      <c r="AO1192" s="27">
        <f>IFERROR(VLOOKUP(DATA[[#This Row],[COMBINADA]],#REF!,6,0),0)</f>
        <v>0</v>
      </c>
      <c r="AP1192" s="132">
        <f>IFERROR(VLOOKUP(DATA[[#This Row],[COMBINADA]],#REF!,9,0),0)/COUNTIFS(DATA[COMBINADA],DATA[[#This Row],[COMBINADA]])</f>
        <v>0</v>
      </c>
      <c r="AQ119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2515.7599999999998</v>
      </c>
      <c r="AR1192" s="26" t="str">
        <f>IFERROR(IF(DATA[[#This Row],[estado_fact]]="FACTURADO",VLOOKUP(DATA[[#This Row],[SERIE2]]&amp;"-"&amp;DATA[[#This Row],[NUMERO]],#REF!,34,0),"NO CORRESPONDE"),"NO CORRESPONDE")</f>
        <v>NO CORRESPONDE</v>
      </c>
      <c r="AS1192" s="22" t="str">
        <f>IF(DATA[[#This Row],[fecha_fs]]&gt;0,TEXT(DATA[[#This Row],[fecha_fs]],"Mmmm"),0)</f>
        <v>Setiembre</v>
      </c>
      <c r="AT1192" s="22" t="str">
        <f>DATA[[#This Row],[SERIE2]]&amp;"-"&amp;DATA[[#This Row],[NUMERO]]</f>
        <v>FF01-349</v>
      </c>
      <c r="AU1192" s="28">
        <f>DATA[[#This Row],[TOTAL]]*DATA[[#This Row],[T.C.]]</f>
        <v>2627.15</v>
      </c>
      <c r="AV1192" s="6">
        <f>DATA[[#This Row],[FECHA DE VAL.]]</f>
        <v>45930</v>
      </c>
      <c r="AW1192" s="6">
        <f>DATA[[#This Row],[FECHA DE EMISION]]</f>
        <v>45968</v>
      </c>
      <c r="AX1192" s="6">
        <f>DATA[[#This Row],[F1]]</f>
        <v>0</v>
      </c>
      <c r="AY1192" s="20">
        <f>IF(AV1192-DATA[[#This Row],[fecha_fs]]&lt;0,0,AV1192-DATA[[#This Row],[fecha_fs]])</f>
        <v>15</v>
      </c>
      <c r="AZ1192" s="20">
        <f t="shared" si="249"/>
        <v>38</v>
      </c>
      <c r="BA1192" s="53">
        <f t="shared" si="250"/>
        <v>0</v>
      </c>
      <c r="BB1192" s="195">
        <f>IFERROR(SUM(DATA[[#This Row],[fs_val_ttf]:[fact_pago_ttf]]),0)</f>
        <v>53</v>
      </c>
      <c r="BC1192" s="233">
        <v>45915</v>
      </c>
      <c r="BD1192" s="377">
        <v>45929</v>
      </c>
      <c r="BE1192" s="377">
        <v>45929</v>
      </c>
      <c r="BF1192" s="233">
        <v>45957</v>
      </c>
      <c r="BG1192" s="20">
        <f>IFERROR(IF(BC1192-DATA[[#This Row],[fecha_fs]]&lt;0,0,BC1192-DATA[[#This Row],[fecha_fs]]),0)</f>
        <v>0</v>
      </c>
      <c r="BH1192" s="20">
        <f t="shared" si="251"/>
        <v>14</v>
      </c>
      <c r="BI1192" s="20">
        <f t="shared" si="252"/>
        <v>0</v>
      </c>
      <c r="BJ1192" s="20">
        <f t="shared" si="253"/>
        <v>28</v>
      </c>
      <c r="BK1192" s="282">
        <f>IFERROR(SUM(DATA[[#This Row],[fs_fd_ttd]:[fend_fenf_ttd]]),0)</f>
        <v>42</v>
      </c>
      <c r="BL1192" s="20" t="str">
        <f>IF(DATA[[#This Row],[fecha_fs]]&gt;0,TEXT(DATA[[#This Row],[fecha_fs]],"YYYY"),0)</f>
        <v>2025</v>
      </c>
      <c r="BM1192" s="236" t="b">
        <v>1</v>
      </c>
      <c r="BN1192" s="278">
        <f>COUNTIF(DATA[[#This Row],[tiempo_td]], "&lt;=15")</f>
        <v>0</v>
      </c>
      <c r="BO1192" s="222"/>
    </row>
    <row r="1193" spans="1:67" ht="30.6" customHeight="1" x14ac:dyDescent="0.25">
      <c r="A1193" s="4">
        <v>20462509236</v>
      </c>
      <c r="B1193" s="5" t="s">
        <v>81</v>
      </c>
      <c r="C1193" s="52" t="s">
        <v>328</v>
      </c>
      <c r="D1193" s="52" t="s">
        <v>133</v>
      </c>
      <c r="E1193" s="5" t="s">
        <v>291</v>
      </c>
      <c r="F1193" s="24">
        <v>45911</v>
      </c>
      <c r="G1193" s="7" t="s">
        <v>113</v>
      </c>
      <c r="H1193" s="25">
        <f t="shared" si="248"/>
        <v>1</v>
      </c>
      <c r="I1193" s="67">
        <v>4994</v>
      </c>
      <c r="J1193" s="8" t="s">
        <v>115</v>
      </c>
      <c r="K1193" s="9" t="s">
        <v>134</v>
      </c>
      <c r="L1193" s="10" t="s">
        <v>117</v>
      </c>
      <c r="M1193" s="11">
        <v>20</v>
      </c>
      <c r="N1193" s="12" t="s">
        <v>132</v>
      </c>
      <c r="O1193" s="6">
        <v>45915</v>
      </c>
      <c r="P1193" s="13">
        <v>3658</v>
      </c>
      <c r="Q1193" s="14" t="s">
        <v>85</v>
      </c>
      <c r="R1193" s="15">
        <f>970/2</f>
        <v>485</v>
      </c>
      <c r="S1193" s="56">
        <f>1199.9/2</f>
        <v>599.95000000000005</v>
      </c>
      <c r="T1193" s="237">
        <f>DATA[[#This Row],[C. DF]]+DATA[[#This Row],[C.OPE.]]</f>
        <v>1084.95</v>
      </c>
      <c r="U1193" s="15">
        <f>DATA[[#This Row],[SUB TOTAL]]*0.18</f>
        <v>195.291</v>
      </c>
      <c r="V1193" s="15">
        <f>IFERROR(ROUND(DATA[[#This Row],[SUB TOTAL]]+DATA[[#This Row],[IGV]],2),0)</f>
        <v>1280.24</v>
      </c>
      <c r="W1193" s="16" t="str">
        <f>IF(DATA[[#This Row],[VALORIZACIÓN ]]="-","NO CORRESPONDE",IF(OR(A1193=20558226979,A1193=10470707866,A1193=20111157058,A1193=20100226902),"NO CORRESPONDE",IF(J1193="Emitida",IF(P1193&gt;0,"EMITIDA","PENDIENTE"),"NO CORRESPONDE")))</f>
        <v>EMITIDA</v>
      </c>
      <c r="X1193" s="29" t="s">
        <v>331</v>
      </c>
      <c r="Y1193" s="17" t="s">
        <v>118</v>
      </c>
      <c r="Z1193" s="30">
        <v>45944</v>
      </c>
      <c r="AA1193" s="10" t="s">
        <v>150</v>
      </c>
      <c r="AB1193" s="19">
        <v>291</v>
      </c>
      <c r="AC1193" s="20">
        <v>60</v>
      </c>
      <c r="AD1193" s="18">
        <f>DATA[[#This Row],[FECHA DE EMISION]]+DATA[[#This Row],[CONDICION DE PAGO]]</f>
        <v>46004</v>
      </c>
      <c r="AE1193" s="23">
        <f>IF(DATA[[#This Row],[MONEDA]]="USD",VLOOKUP(DATA[[#This Row],[COMBINADA]],#REF!,11,0),1)</f>
        <v>1</v>
      </c>
      <c r="AF1193" s="129" t="str">
        <f>IF(DATA[[#This Row],[SERIE2]]="-","NO CORRESPONDE",IF(W1193="NO CORRESPONDE","NO CORRESPONDE",IF(Z1193&gt;0,"FACTURADO","PENDIENTE")))</f>
        <v>FACTURADO</v>
      </c>
      <c r="AG1193" s="133">
        <f>IFERROR(VLOOKUP(DATA[[#This Row],[COMBINADA]],#REF!,6,0),0)</f>
        <v>0</v>
      </c>
      <c r="AH1193" s="125">
        <f>IFERROR(VLOOKUP(DATA[[#This Row],[COMBINADA]],#REF!,9,0),0)/COUNTIFS(DATA[COMBINADA],DATA[[#This Row],[COMBINADA]])</f>
        <v>0</v>
      </c>
      <c r="AI1193" s="136">
        <f>IFERROR(VLOOKUP(DATA[[#This Row],[COMBINADA]],#REF!,6,0),0)</f>
        <v>0</v>
      </c>
      <c r="AJ1193" s="132">
        <f>IFERROR(VLOOKUP(DATA[[#This Row],[COMBINADA]],#REF!,9,0),0)/COUNTIFS(DATA[COMBINADA],DATA[[#This Row],[COMBINADA]])</f>
        <v>0</v>
      </c>
      <c r="AK1193" s="407">
        <f>IFERROR(VLOOKUP(DATA[[#This Row],[COMBINADA]],#REF!,6,0),0)</f>
        <v>0</v>
      </c>
      <c r="AL1193" s="125">
        <f>IFERROR(VLOOKUP(DATA[[#This Row],[COMBINADA]],#REF!,9,0),0)/COUNTIFS(DATA[COMBINADA],DATA[[#This Row],[COMBINADA]])</f>
        <v>0</v>
      </c>
      <c r="AM1193" s="27">
        <f>IFERROR(VLOOKUP(DATA[[#This Row],[COMBINADA]],#REF!,6,0),0)</f>
        <v>0</v>
      </c>
      <c r="AN1193" s="125">
        <f>IFERROR(VLOOKUP(DATA[[#This Row],[COMBINADA]],#REF!,9,0),0)/COUNTIFS(DATA[COMBINADA],DATA[[#This Row],[COMBINADA]])</f>
        <v>0</v>
      </c>
      <c r="AO1193" s="27">
        <f>IFERROR(VLOOKUP(DATA[[#This Row],[COMBINADA]],#REF!,6,0),0)</f>
        <v>0</v>
      </c>
      <c r="AP1193" s="132">
        <f>IFERROR(VLOOKUP(DATA[[#This Row],[COMBINADA]],#REF!,9,0),0)/COUNTIFS(DATA[COMBINADA],DATA[[#This Row],[COMBINADA]])</f>
        <v>0</v>
      </c>
      <c r="AQ119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1280.24</v>
      </c>
      <c r="AR1193" s="26" t="str">
        <f>IFERROR(IF(DATA[[#This Row],[estado_fact]]="FACTURADO",VLOOKUP(DATA[[#This Row],[SERIE2]]&amp;"-"&amp;DATA[[#This Row],[NUMERO]],#REF!,34,0),"NO CORRESPONDE"),"NO CORRESPONDE")</f>
        <v>NO CORRESPONDE</v>
      </c>
      <c r="AS1193" s="22" t="str">
        <f>IF(DATA[[#This Row],[fecha_fs]]&gt;0,TEXT(DATA[[#This Row],[fecha_fs]],"Mmmm"),0)</f>
        <v>Setiembre</v>
      </c>
      <c r="AT1193" s="22" t="str">
        <f>DATA[[#This Row],[SERIE2]]&amp;"-"&amp;DATA[[#This Row],[NUMERO]]</f>
        <v>FF01-291</v>
      </c>
      <c r="AU1193" s="28">
        <f>DATA[[#This Row],[TOTAL]]*DATA[[#This Row],[T.C.]]</f>
        <v>1280.24</v>
      </c>
      <c r="AV1193" s="6">
        <f>DATA[[#This Row],[FECHA DE VAL.]]</f>
        <v>45915</v>
      </c>
      <c r="AW1193" s="6">
        <f>DATA[[#This Row],[FECHA DE EMISION]]</f>
        <v>45944</v>
      </c>
      <c r="AX1193" s="6">
        <f>DATA[[#This Row],[F1]]</f>
        <v>0</v>
      </c>
      <c r="AY1193" s="20">
        <f>IF(AV1193-DATA[[#This Row],[fecha_fs]]&lt;0,0,AV1193-DATA[[#This Row],[fecha_fs]])</f>
        <v>4</v>
      </c>
      <c r="AZ1193" s="20">
        <f t="shared" si="249"/>
        <v>29</v>
      </c>
      <c r="BA1193" s="53">
        <f t="shared" si="250"/>
        <v>0</v>
      </c>
      <c r="BB1193" s="195">
        <f>IFERROR(SUM(DATA[[#This Row],[fs_val_ttf]:[fact_pago_ttf]]),0)</f>
        <v>33</v>
      </c>
      <c r="BC1193" s="233">
        <v>45917</v>
      </c>
      <c r="BD1193" s="233">
        <v>45925</v>
      </c>
      <c r="BE1193" s="233">
        <v>45931</v>
      </c>
      <c r="BF1193" s="233">
        <v>45939</v>
      </c>
      <c r="BG1193" s="20">
        <f>IFERROR(IF(BC1193-DATA[[#This Row],[fecha_fs]]&lt;0,0,BC1193-DATA[[#This Row],[fecha_fs]]),0)</f>
        <v>6</v>
      </c>
      <c r="BH1193" s="20">
        <f t="shared" si="251"/>
        <v>8</v>
      </c>
      <c r="BI1193" s="20">
        <f t="shared" si="252"/>
        <v>6</v>
      </c>
      <c r="BJ1193" s="20">
        <f t="shared" si="253"/>
        <v>8</v>
      </c>
      <c r="BK1193" s="282">
        <f>IFERROR(SUM(DATA[[#This Row],[fs_fd_ttd]:[fend_fenf_ttd]]),0)</f>
        <v>28</v>
      </c>
      <c r="BL1193" s="20" t="str">
        <f>IF(DATA[[#This Row],[fecha_fs]]&gt;0,TEXT(DATA[[#This Row],[fecha_fs]],"YYYY"),0)</f>
        <v>2025</v>
      </c>
      <c r="BM1193" s="236" t="b">
        <v>1</v>
      </c>
      <c r="BN1193" s="278">
        <f>COUNTIF(DATA[[#This Row],[tiempo_td]], "&lt;=15")</f>
        <v>0</v>
      </c>
      <c r="BO1193" s="222"/>
    </row>
    <row r="1194" spans="1:67" ht="30.6" customHeight="1" x14ac:dyDescent="0.25">
      <c r="A1194" s="4">
        <v>20141637941</v>
      </c>
      <c r="B1194" s="5" t="s">
        <v>79</v>
      </c>
      <c r="C1194" s="52" t="s">
        <v>18</v>
      </c>
      <c r="D1194" s="4" t="s">
        <v>120</v>
      </c>
      <c r="E1194" s="5" t="s">
        <v>3</v>
      </c>
      <c r="F1194" s="24">
        <v>45917</v>
      </c>
      <c r="G1194" s="7" t="s">
        <v>113</v>
      </c>
      <c r="H1194" s="25">
        <f t="shared" ref="H1194:H1207" si="260">IF(G1194="","",IF(G1194="LIM",2,1))</f>
        <v>1</v>
      </c>
      <c r="I1194" s="67">
        <v>4995</v>
      </c>
      <c r="J1194" s="8" t="s">
        <v>115</v>
      </c>
      <c r="K1194" s="9" t="s">
        <v>121</v>
      </c>
      <c r="L1194" s="10" t="s">
        <v>117</v>
      </c>
      <c r="M1194" s="11">
        <v>920</v>
      </c>
      <c r="N1194" s="12" t="s">
        <v>249</v>
      </c>
      <c r="O1194" s="6">
        <v>45918</v>
      </c>
      <c r="P1194" s="110">
        <v>3665</v>
      </c>
      <c r="Q1194" s="14" t="s">
        <v>85</v>
      </c>
      <c r="R1194" s="15">
        <v>80</v>
      </c>
      <c r="S1194" s="309">
        <v>832</v>
      </c>
      <c r="T1194" s="237">
        <f>DATA[[#This Row],[C. DF]]+DATA[[#This Row],[C.OPE.]]</f>
        <v>912</v>
      </c>
      <c r="U1194" s="15">
        <f>DATA[[#This Row],[SUB TOTAL]]*0.18</f>
        <v>164.16</v>
      </c>
      <c r="V1194" s="15">
        <f>IFERROR(ROUND(DATA[[#This Row],[SUB TOTAL]]+DATA[[#This Row],[IGV]],2),0)</f>
        <v>1076.1600000000001</v>
      </c>
      <c r="W1194" s="16" t="str">
        <f>IF(DATA[[#This Row],[VALORIZACIÓN ]]="-","NO CORRESPONDE",IF(OR(A1194=20558226979,A1194=10470707866,A1194=20111157058,A1194=20100226902),"NO CORRESPONDE",IF(J1194="Emitida",IF(P1194&gt;0,"EMITIDA","PENDIENTE"),"NO CORRESPONDE")))</f>
        <v>EMITIDA</v>
      </c>
      <c r="X1194" s="29"/>
      <c r="Y1194" s="17" t="s">
        <v>118</v>
      </c>
      <c r="Z1194" s="30">
        <v>45931</v>
      </c>
      <c r="AA1194" s="10" t="s">
        <v>150</v>
      </c>
      <c r="AB1194" s="19">
        <v>273</v>
      </c>
      <c r="AC1194" s="20">
        <v>30</v>
      </c>
      <c r="AD1194" s="18">
        <f>DATA[[#This Row],[FECHA DE EMISION]]+DATA[[#This Row],[CONDICION DE PAGO]]</f>
        <v>45961</v>
      </c>
      <c r="AE1194" s="23">
        <f>IF(DATA[[#This Row],[MONEDA]]="USD",VLOOKUP(DATA[[#This Row],[COMBINADA]],#REF!,11,0),1)</f>
        <v>1</v>
      </c>
      <c r="AF1194" s="129" t="str">
        <f>IF(DATA[[#This Row],[SERIE2]]="-","NO CORRESPONDE",IF(W1194="NO CORRESPONDE","NO CORRESPONDE",IF(Z1194&gt;0,"FACTURADO","PENDIENTE")))</f>
        <v>FACTURADO</v>
      </c>
      <c r="AG1194" s="133">
        <f>IFERROR(VLOOKUP(DATA[[#This Row],[COMBINADA]],#REF!,6,0),0)</f>
        <v>0</v>
      </c>
      <c r="AH1194" s="125">
        <f>IFERROR(VLOOKUP(DATA[[#This Row],[COMBINADA]],#REF!,9,0),0)/COUNTIFS(DATA[COMBINADA],DATA[[#This Row],[COMBINADA]])</f>
        <v>0</v>
      </c>
      <c r="AI1194" s="136">
        <f>IFERROR(VLOOKUP(DATA[[#This Row],[COMBINADA]],#REF!,6,0),0)</f>
        <v>0</v>
      </c>
      <c r="AJ1194" s="132">
        <f>IFERROR(VLOOKUP(DATA[[#This Row],[COMBINADA]],#REF!,9,0),0)/COUNTIFS(DATA[COMBINADA],DATA[[#This Row],[COMBINADA]])</f>
        <v>0</v>
      </c>
      <c r="AK1194" s="407">
        <f>IFERROR(VLOOKUP(DATA[[#This Row],[COMBINADA]],#REF!,6,0),0)</f>
        <v>0</v>
      </c>
      <c r="AL1194" s="125">
        <f>IFERROR(VLOOKUP(DATA[[#This Row],[COMBINADA]],#REF!,9,0),0)/COUNTIFS(DATA[COMBINADA],DATA[[#This Row],[COMBINADA]])</f>
        <v>0</v>
      </c>
      <c r="AM1194" s="27">
        <f>IFERROR(VLOOKUP(DATA[[#This Row],[COMBINADA]],#REF!,6,0),0)</f>
        <v>0</v>
      </c>
      <c r="AN1194" s="125">
        <f>IFERROR(VLOOKUP(DATA[[#This Row],[COMBINADA]],#REF!,9,0),0)/COUNTIFS(DATA[COMBINADA],DATA[[#This Row],[COMBINADA]])</f>
        <v>0</v>
      </c>
      <c r="AO1194" s="27">
        <f>IFERROR(VLOOKUP(DATA[[#This Row],[COMBINADA]],#REF!,6,0),0)</f>
        <v>0</v>
      </c>
      <c r="AP1194" s="132">
        <f>IFERROR(VLOOKUP(DATA[[#This Row],[COMBINADA]],#REF!,9,0),0)/COUNTIFS(DATA[COMBINADA],DATA[[#This Row],[COMBINADA]])</f>
        <v>0</v>
      </c>
      <c r="AQ119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1088.4324999999999</v>
      </c>
      <c r="AR1194" s="26" t="str">
        <f>IFERROR(IF(DATA[[#This Row],[estado_fact]]="FACTURADO",VLOOKUP(DATA[[#This Row],[SERIE2]]&amp;"-"&amp;DATA[[#This Row],[NUMERO]],#REF!,34,0),"NO CORRESPONDE"),"NO CORRESPONDE")</f>
        <v>NO CORRESPONDE</v>
      </c>
      <c r="AS1194" s="22" t="str">
        <f>IF(DATA[[#This Row],[fecha_fs]]&gt;0,TEXT(DATA[[#This Row],[fecha_fs]],"Mmmm"),0)</f>
        <v>Setiembre</v>
      </c>
      <c r="AT1194" s="22" t="str">
        <f>DATA[[#This Row],[SERIE2]]&amp;"-"&amp;DATA[[#This Row],[NUMERO]]</f>
        <v>FF01-273</v>
      </c>
      <c r="AU1194" s="28">
        <f>DATA[[#This Row],[TOTAL]]*DATA[[#This Row],[T.C.]]</f>
        <v>1076.1600000000001</v>
      </c>
      <c r="AV1194" s="6">
        <f>DATA[[#This Row],[FECHA DE VAL.]]</f>
        <v>45918</v>
      </c>
      <c r="AW1194" s="6">
        <f>DATA[[#This Row],[FECHA DE EMISION]]</f>
        <v>45931</v>
      </c>
      <c r="AX1194" s="6">
        <f>DATA[[#This Row],[F1]]</f>
        <v>0</v>
      </c>
      <c r="AY1194" s="20">
        <f>IF(AV1194-DATA[[#This Row],[fecha_fs]]&lt;0,0,AV1194-DATA[[#This Row],[fecha_fs]])</f>
        <v>1</v>
      </c>
      <c r="AZ1194" s="20">
        <f t="shared" ref="AZ1194:AZ1207" si="261">IF(AW1194-AV1194&lt;0,0,AW1194-AV1194)</f>
        <v>13</v>
      </c>
      <c r="BA1194" s="53">
        <f t="shared" ref="BA1194:BA1207" si="262">IF(AX1194-AW1194&lt;0,0,AX1194-AW1194)</f>
        <v>0</v>
      </c>
      <c r="BB1194" s="195">
        <f>IFERROR(SUM(DATA[[#This Row],[fs_val_ttf]:[fact_pago_ttf]]),0)</f>
        <v>14</v>
      </c>
      <c r="BC1194" s="233">
        <v>45917</v>
      </c>
      <c r="BD1194" s="185">
        <v>45929</v>
      </c>
      <c r="BE1194" s="377">
        <v>45931</v>
      </c>
      <c r="BF1194" s="233">
        <v>45939</v>
      </c>
      <c r="BG1194" s="20">
        <f>IFERROR(IF(BC1194-DATA[[#This Row],[fecha_fs]]&lt;0,0,BC1194-DATA[[#This Row],[fecha_fs]]),0)</f>
        <v>0</v>
      </c>
      <c r="BH1194" s="20">
        <f t="shared" ref="BH1194:BH1207" si="263">IFERROR(IF(BD1194-BC1194&lt;0,0,BD1194-BC1194),0)</f>
        <v>12</v>
      </c>
      <c r="BI1194" s="20">
        <f t="shared" ref="BI1194:BI1207" si="264">IFERROR(IF(BE1194-BD1194&lt;0,0,BE1194-BD1194),0)</f>
        <v>2</v>
      </c>
      <c r="BJ1194" s="20">
        <f t="shared" ref="BJ1194:BJ1207" si="265">IFERROR(IF(BF1194-BE1194&lt;0,0,BF1194-BE1194),0)</f>
        <v>8</v>
      </c>
      <c r="BK1194" s="282">
        <f>IFERROR(SUM(DATA[[#This Row],[fs_fd_ttd]:[fend_fenf_ttd]]),0)</f>
        <v>22</v>
      </c>
      <c r="BL1194" s="20" t="str">
        <f>IF(DATA[[#This Row],[fecha_fs]]&gt;0,TEXT(DATA[[#This Row],[fecha_fs]],"YYYY"),0)</f>
        <v>2025</v>
      </c>
      <c r="BM1194" s="236" t="b">
        <v>1</v>
      </c>
      <c r="BN1194" s="278">
        <f>COUNTIF(DATA[[#This Row],[tiempo_td]], "&lt;=15")</f>
        <v>0</v>
      </c>
      <c r="BO1194" s="222"/>
    </row>
    <row r="1195" spans="1:67" ht="30.6" customHeight="1" x14ac:dyDescent="0.25">
      <c r="A1195" s="4">
        <v>20462509236</v>
      </c>
      <c r="B1195" s="5" t="s">
        <v>81</v>
      </c>
      <c r="C1195" s="52" t="s">
        <v>329</v>
      </c>
      <c r="D1195" s="52" t="s">
        <v>133</v>
      </c>
      <c r="E1195" s="5" t="s">
        <v>291</v>
      </c>
      <c r="F1195" s="24">
        <v>45911</v>
      </c>
      <c r="G1195" s="7" t="s">
        <v>113</v>
      </c>
      <c r="H1195" s="25">
        <f t="shared" si="260"/>
        <v>1</v>
      </c>
      <c r="I1195" s="67">
        <v>4996</v>
      </c>
      <c r="J1195" s="8" t="s">
        <v>115</v>
      </c>
      <c r="K1195" s="9" t="s">
        <v>134</v>
      </c>
      <c r="L1195" s="10" t="s">
        <v>117</v>
      </c>
      <c r="M1195" s="11">
        <v>20</v>
      </c>
      <c r="N1195" s="12" t="s">
        <v>132</v>
      </c>
      <c r="O1195" s="6">
        <v>45915</v>
      </c>
      <c r="P1195" s="13">
        <v>3657</v>
      </c>
      <c r="Q1195" s="14" t="s">
        <v>85</v>
      </c>
      <c r="R1195" s="15">
        <f>970/2</f>
        <v>485</v>
      </c>
      <c r="S1195" s="56">
        <f>1199.9/2</f>
        <v>599.95000000000005</v>
      </c>
      <c r="T1195" s="237">
        <f>DATA[[#This Row],[C. DF]]+DATA[[#This Row],[C.OPE.]]</f>
        <v>1084.95</v>
      </c>
      <c r="U1195" s="15">
        <f>DATA[[#This Row],[SUB TOTAL]]*0.18</f>
        <v>195.291</v>
      </c>
      <c r="V1195" s="15">
        <f>IFERROR(ROUND(DATA[[#This Row],[SUB TOTAL]]+DATA[[#This Row],[IGV]],2),0)</f>
        <v>1280.24</v>
      </c>
      <c r="W1195" s="16" t="str">
        <f>IF(DATA[[#This Row],[VALORIZACIÓN ]]="-","NO CORRESPONDE",IF(OR(A1195=20558226979,A1195=10470707866,A1195=20111157058,A1195=20100226902),"NO CORRESPONDE",IF(J1195="Emitida",IF(P1195&gt;0,"EMITIDA","PENDIENTE"),"NO CORRESPONDE")))</f>
        <v>EMITIDA</v>
      </c>
      <c r="X1195" s="29" t="s">
        <v>331</v>
      </c>
      <c r="Y1195" s="17" t="s">
        <v>118</v>
      </c>
      <c r="Z1195" s="30">
        <v>45972</v>
      </c>
      <c r="AA1195" s="10" t="s">
        <v>150</v>
      </c>
      <c r="AB1195" s="19">
        <v>353</v>
      </c>
      <c r="AC1195" s="20">
        <v>60</v>
      </c>
      <c r="AD1195" s="18">
        <f>DATA[[#This Row],[FECHA DE EMISION]]+DATA[[#This Row],[CONDICION DE PAGO]]</f>
        <v>46032</v>
      </c>
      <c r="AE1195" s="23">
        <f>IF(DATA[[#This Row],[MONEDA]]="USD",VLOOKUP(DATA[[#This Row],[COMBINADA]],#REF!,11,0),1)</f>
        <v>1</v>
      </c>
      <c r="AF1195" s="129" t="str">
        <f>IF(DATA[[#This Row],[SERIE2]]="-","NO CORRESPONDE",IF(W1195="NO CORRESPONDE","NO CORRESPONDE",IF(Z1195&gt;0,"FACTURADO","PENDIENTE")))</f>
        <v>FACTURADO</v>
      </c>
      <c r="AG1195" s="133">
        <f>IFERROR(VLOOKUP(DATA[[#This Row],[COMBINADA]],#REF!,6,0),0)</f>
        <v>0</v>
      </c>
      <c r="AH1195" s="125">
        <f>IFERROR(VLOOKUP(DATA[[#This Row],[COMBINADA]],#REF!,9,0),0)/COUNTIFS(DATA[COMBINADA],DATA[[#This Row],[COMBINADA]])</f>
        <v>0</v>
      </c>
      <c r="AI1195" s="136">
        <f>IFERROR(VLOOKUP(DATA[[#This Row],[COMBINADA]],#REF!,6,0),0)</f>
        <v>0</v>
      </c>
      <c r="AJ1195" s="132">
        <f>IFERROR(VLOOKUP(DATA[[#This Row],[COMBINADA]],#REF!,9,0),0)/COUNTIFS(DATA[COMBINADA],DATA[[#This Row],[COMBINADA]])</f>
        <v>0</v>
      </c>
      <c r="AK1195" s="407">
        <f>IFERROR(VLOOKUP(DATA[[#This Row],[COMBINADA]],#REF!,6,0),0)</f>
        <v>0</v>
      </c>
      <c r="AL1195" s="125">
        <f>IFERROR(VLOOKUP(DATA[[#This Row],[COMBINADA]],#REF!,9,0),0)/COUNTIFS(DATA[COMBINADA],DATA[[#This Row],[COMBINADA]])</f>
        <v>0</v>
      </c>
      <c r="AM1195" s="27">
        <f>IFERROR(VLOOKUP(DATA[[#This Row],[COMBINADA]],#REF!,6,0),0)</f>
        <v>0</v>
      </c>
      <c r="AN1195" s="125">
        <f>IFERROR(VLOOKUP(DATA[[#This Row],[COMBINADA]],#REF!,9,0),0)/COUNTIFS(DATA[COMBINADA],DATA[[#This Row],[COMBINADA]])</f>
        <v>0</v>
      </c>
      <c r="AO1195" s="27">
        <f>IFERROR(VLOOKUP(DATA[[#This Row],[COMBINADA]],#REF!,6,0),0)</f>
        <v>0</v>
      </c>
      <c r="AP1195" s="132">
        <f>IFERROR(VLOOKUP(DATA[[#This Row],[COMBINADA]],#REF!,9,0),0)/COUNTIFS(DATA[COMBINADA],DATA[[#This Row],[COMBINADA]])</f>
        <v>0</v>
      </c>
      <c r="AQ119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1280.24</v>
      </c>
      <c r="AR1195" s="26" t="str">
        <f>IFERROR(IF(DATA[[#This Row],[estado_fact]]="FACTURADO",VLOOKUP(DATA[[#This Row],[SERIE2]]&amp;"-"&amp;DATA[[#This Row],[NUMERO]],#REF!,34,0),"NO CORRESPONDE"),"NO CORRESPONDE")</f>
        <v>NO CORRESPONDE</v>
      </c>
      <c r="AS1195" s="22" t="str">
        <f>IF(DATA[[#This Row],[fecha_fs]]&gt;0,TEXT(DATA[[#This Row],[fecha_fs]],"Mmmm"),0)</f>
        <v>Setiembre</v>
      </c>
      <c r="AT1195" s="22" t="str">
        <f>DATA[[#This Row],[SERIE2]]&amp;"-"&amp;DATA[[#This Row],[NUMERO]]</f>
        <v>FF01-353</v>
      </c>
      <c r="AU1195" s="28">
        <f>DATA[[#This Row],[TOTAL]]*DATA[[#This Row],[T.C.]]</f>
        <v>1280.24</v>
      </c>
      <c r="AV1195" s="6">
        <f>DATA[[#This Row],[FECHA DE VAL.]]</f>
        <v>45915</v>
      </c>
      <c r="AW1195" s="6">
        <f>DATA[[#This Row],[FECHA DE EMISION]]</f>
        <v>45972</v>
      </c>
      <c r="AX1195" s="6">
        <f>DATA[[#This Row],[F1]]</f>
        <v>0</v>
      </c>
      <c r="AY1195" s="20">
        <f>IF(AV1195-DATA[[#This Row],[fecha_fs]]&lt;0,0,AV1195-DATA[[#This Row],[fecha_fs]])</f>
        <v>4</v>
      </c>
      <c r="AZ1195" s="20">
        <f t="shared" si="261"/>
        <v>57</v>
      </c>
      <c r="BA1195" s="53">
        <f t="shared" si="262"/>
        <v>0</v>
      </c>
      <c r="BB1195" s="195">
        <f>IFERROR(SUM(DATA[[#This Row],[fs_val_ttf]:[fact_pago_ttf]]),0)</f>
        <v>61</v>
      </c>
      <c r="BC1195" s="233">
        <v>45917</v>
      </c>
      <c r="BD1195" s="233">
        <v>45925</v>
      </c>
      <c r="BE1195" s="233">
        <v>45931</v>
      </c>
      <c r="BF1195" s="233">
        <v>45939</v>
      </c>
      <c r="BG1195" s="20">
        <f>IFERROR(IF(BC1195-DATA[[#This Row],[fecha_fs]]&lt;0,0,BC1195-DATA[[#This Row],[fecha_fs]]),0)</f>
        <v>6</v>
      </c>
      <c r="BH1195" s="20">
        <f t="shared" si="263"/>
        <v>8</v>
      </c>
      <c r="BI1195" s="20">
        <f t="shared" si="264"/>
        <v>6</v>
      </c>
      <c r="BJ1195" s="20">
        <f t="shared" si="265"/>
        <v>8</v>
      </c>
      <c r="BK1195" s="282">
        <f>IFERROR(SUM(DATA[[#This Row],[fs_fd_ttd]:[fend_fenf_ttd]]),0)</f>
        <v>28</v>
      </c>
      <c r="BL1195" s="20" t="str">
        <f>IF(DATA[[#This Row],[fecha_fs]]&gt;0,TEXT(DATA[[#This Row],[fecha_fs]],"YYYY"),0)</f>
        <v>2025</v>
      </c>
      <c r="BM1195" s="236" t="b">
        <v>1</v>
      </c>
      <c r="BN1195" s="278">
        <f>COUNTIF(DATA[[#This Row],[tiempo_td]], "&lt;=15")</f>
        <v>0</v>
      </c>
      <c r="BO1195" s="222"/>
    </row>
    <row r="1196" spans="1:67" ht="30.6" customHeight="1" x14ac:dyDescent="0.25">
      <c r="A1196" s="4">
        <v>20462509236</v>
      </c>
      <c r="B1196" s="5" t="s">
        <v>81</v>
      </c>
      <c r="C1196" s="52" t="s">
        <v>263</v>
      </c>
      <c r="D1196" s="52" t="s">
        <v>133</v>
      </c>
      <c r="E1196" s="5" t="s">
        <v>291</v>
      </c>
      <c r="F1196" s="24">
        <v>45911</v>
      </c>
      <c r="G1196" s="7" t="s">
        <v>113</v>
      </c>
      <c r="H1196" s="25">
        <f t="shared" si="260"/>
        <v>1</v>
      </c>
      <c r="I1196" s="67">
        <v>4997</v>
      </c>
      <c r="J1196" s="8" t="s">
        <v>115</v>
      </c>
      <c r="K1196" s="9" t="s">
        <v>134</v>
      </c>
      <c r="L1196" s="10" t="s">
        <v>117</v>
      </c>
      <c r="M1196" s="11">
        <v>70</v>
      </c>
      <c r="N1196" s="12" t="s">
        <v>132</v>
      </c>
      <c r="O1196" s="6">
        <v>45915</v>
      </c>
      <c r="P1196" s="13">
        <v>3659</v>
      </c>
      <c r="Q1196" s="14" t="s">
        <v>85</v>
      </c>
      <c r="R1196" s="56">
        <f>970/2</f>
        <v>485</v>
      </c>
      <c r="S1196" s="56">
        <f>1199.9/2</f>
        <v>599.95000000000005</v>
      </c>
      <c r="T1196" s="237">
        <f>DATA[[#This Row],[C. DF]]+DATA[[#This Row],[C.OPE.]]</f>
        <v>1084.95</v>
      </c>
      <c r="U1196" s="15">
        <f>DATA[[#This Row],[SUB TOTAL]]*0.18</f>
        <v>195.291</v>
      </c>
      <c r="V1196" s="15">
        <f>IFERROR(ROUND(DATA[[#This Row],[SUB TOTAL]]+DATA[[#This Row],[IGV]],2),0)</f>
        <v>1280.24</v>
      </c>
      <c r="W1196" s="16" t="str">
        <f>IF(DATA[[#This Row],[VALORIZACIÓN ]]="-","NO CORRESPONDE",IF(OR(A1196=20558226979,A1196=10470707866,A1196=20111157058,A1196=20100226902),"NO CORRESPONDE",IF(J1196="Emitida",IF(P1196&gt;0,"EMITIDA","PENDIENTE"),"NO CORRESPONDE")))</f>
        <v>EMITIDA</v>
      </c>
      <c r="X1196" s="29" t="s">
        <v>331</v>
      </c>
      <c r="Y1196" s="17" t="s">
        <v>118</v>
      </c>
      <c r="Z1196" s="30">
        <v>45944</v>
      </c>
      <c r="AA1196" s="10" t="s">
        <v>150</v>
      </c>
      <c r="AB1196" s="19">
        <v>292</v>
      </c>
      <c r="AC1196" s="20">
        <v>60</v>
      </c>
      <c r="AD1196" s="18">
        <f>DATA[[#This Row],[FECHA DE EMISION]]+DATA[[#This Row],[CONDICION DE PAGO]]</f>
        <v>46004</v>
      </c>
      <c r="AE1196" s="23">
        <f>IF(DATA[[#This Row],[MONEDA]]="USD",VLOOKUP(DATA[[#This Row],[COMBINADA]],#REF!,11,0),1)</f>
        <v>1</v>
      </c>
      <c r="AF1196" s="129" t="str">
        <f>IF(DATA[[#This Row],[SERIE2]]="-","NO CORRESPONDE",IF(W1196="NO CORRESPONDE","NO CORRESPONDE",IF(Z1196&gt;0,"FACTURADO","PENDIENTE")))</f>
        <v>FACTURADO</v>
      </c>
      <c r="AG1196" s="133">
        <f>IFERROR(VLOOKUP(DATA[[#This Row],[COMBINADA]],#REF!,6,0),0)</f>
        <v>0</v>
      </c>
      <c r="AH1196" s="125">
        <f>IFERROR(VLOOKUP(DATA[[#This Row],[COMBINADA]],#REF!,9,0),0)/COUNTIFS(DATA[COMBINADA],DATA[[#This Row],[COMBINADA]])</f>
        <v>0</v>
      </c>
      <c r="AI1196" s="136">
        <f>IFERROR(VLOOKUP(DATA[[#This Row],[COMBINADA]],#REF!,6,0),0)</f>
        <v>0</v>
      </c>
      <c r="AJ1196" s="132">
        <f>IFERROR(VLOOKUP(DATA[[#This Row],[COMBINADA]],#REF!,9,0),0)/COUNTIFS(DATA[COMBINADA],DATA[[#This Row],[COMBINADA]])</f>
        <v>0</v>
      </c>
      <c r="AK1196" s="407">
        <f>IFERROR(VLOOKUP(DATA[[#This Row],[COMBINADA]],#REF!,6,0),0)</f>
        <v>0</v>
      </c>
      <c r="AL1196" s="125">
        <f>IFERROR(VLOOKUP(DATA[[#This Row],[COMBINADA]],#REF!,9,0),0)/COUNTIFS(DATA[COMBINADA],DATA[[#This Row],[COMBINADA]])</f>
        <v>0</v>
      </c>
      <c r="AM1196" s="27">
        <f>IFERROR(VLOOKUP(DATA[[#This Row],[COMBINADA]],#REF!,6,0),0)</f>
        <v>0</v>
      </c>
      <c r="AN1196" s="125">
        <f>IFERROR(VLOOKUP(DATA[[#This Row],[COMBINADA]],#REF!,9,0),0)/COUNTIFS(DATA[COMBINADA],DATA[[#This Row],[COMBINADA]])</f>
        <v>0</v>
      </c>
      <c r="AO1196" s="27">
        <f>IFERROR(VLOOKUP(DATA[[#This Row],[COMBINADA]],#REF!,6,0),0)</f>
        <v>0</v>
      </c>
      <c r="AP1196" s="132">
        <f>IFERROR(VLOOKUP(DATA[[#This Row],[COMBINADA]],#REF!,9,0),0)/COUNTIFS(DATA[COMBINADA],DATA[[#This Row],[COMBINADA]])</f>
        <v>0</v>
      </c>
      <c r="AQ119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1280.24</v>
      </c>
      <c r="AR1196" s="26" t="str">
        <f>IFERROR(IF(DATA[[#This Row],[estado_fact]]="FACTURADO",VLOOKUP(DATA[[#This Row],[SERIE2]]&amp;"-"&amp;DATA[[#This Row],[NUMERO]],#REF!,34,0),"NO CORRESPONDE"),"NO CORRESPONDE")</f>
        <v>NO CORRESPONDE</v>
      </c>
      <c r="AS1196" s="22" t="str">
        <f>IF(DATA[[#This Row],[fecha_fs]]&gt;0,TEXT(DATA[[#This Row],[fecha_fs]],"Mmmm"),0)</f>
        <v>Setiembre</v>
      </c>
      <c r="AT1196" s="22" t="str">
        <f>DATA[[#This Row],[SERIE2]]&amp;"-"&amp;DATA[[#This Row],[NUMERO]]</f>
        <v>FF01-292</v>
      </c>
      <c r="AU1196" s="28">
        <f>DATA[[#This Row],[TOTAL]]*DATA[[#This Row],[T.C.]]</f>
        <v>1280.24</v>
      </c>
      <c r="AV1196" s="6">
        <f>DATA[[#This Row],[FECHA DE VAL.]]</f>
        <v>45915</v>
      </c>
      <c r="AW1196" s="6">
        <f>DATA[[#This Row],[FECHA DE EMISION]]</f>
        <v>45944</v>
      </c>
      <c r="AX1196" s="6">
        <f>DATA[[#This Row],[F1]]</f>
        <v>0</v>
      </c>
      <c r="AY1196" s="20">
        <f>IF(AV1196-DATA[[#This Row],[fecha_fs]]&lt;0,0,AV1196-DATA[[#This Row],[fecha_fs]])</f>
        <v>4</v>
      </c>
      <c r="AZ1196" s="20">
        <f t="shared" si="261"/>
        <v>29</v>
      </c>
      <c r="BA1196" s="53">
        <f t="shared" si="262"/>
        <v>0</v>
      </c>
      <c r="BB1196" s="195">
        <f>IFERROR(SUM(DATA[[#This Row],[fs_val_ttf]:[fact_pago_ttf]]),0)</f>
        <v>33</v>
      </c>
      <c r="BC1196" s="233">
        <v>45917</v>
      </c>
      <c r="BD1196" s="233">
        <v>45925</v>
      </c>
      <c r="BE1196" s="233">
        <v>45931</v>
      </c>
      <c r="BF1196" s="233">
        <v>45939</v>
      </c>
      <c r="BG1196" s="20">
        <f>IFERROR(IF(BC1196-DATA[[#This Row],[fecha_fs]]&lt;0,0,BC1196-DATA[[#This Row],[fecha_fs]]),0)</f>
        <v>6</v>
      </c>
      <c r="BH1196" s="20">
        <f t="shared" si="263"/>
        <v>8</v>
      </c>
      <c r="BI1196" s="20">
        <f t="shared" si="264"/>
        <v>6</v>
      </c>
      <c r="BJ1196" s="20">
        <f t="shared" si="265"/>
        <v>8</v>
      </c>
      <c r="BK1196" s="282">
        <f>IFERROR(SUM(DATA[[#This Row],[fs_fd_ttd]:[fend_fenf_ttd]]),0)</f>
        <v>28</v>
      </c>
      <c r="BL1196" s="20" t="str">
        <f>IF(DATA[[#This Row],[fecha_fs]]&gt;0,TEXT(DATA[[#This Row],[fecha_fs]],"YYYY"),0)</f>
        <v>2025</v>
      </c>
      <c r="BM1196" s="236" t="b">
        <v>1</v>
      </c>
      <c r="BN1196" s="278">
        <f>COUNTIF(DATA[[#This Row],[tiempo_td]], "&lt;=15")</f>
        <v>0</v>
      </c>
      <c r="BO1196" s="222"/>
    </row>
    <row r="1197" spans="1:67" ht="30.6" customHeight="1" x14ac:dyDescent="0.25">
      <c r="A1197" s="4">
        <v>20100192064</v>
      </c>
      <c r="B1197" s="5" t="s">
        <v>60</v>
      </c>
      <c r="C1197" s="52" t="s">
        <v>65</v>
      </c>
      <c r="D1197" s="4" t="s">
        <v>120</v>
      </c>
      <c r="E1197" s="5" t="s">
        <v>3</v>
      </c>
      <c r="F1197" s="24">
        <v>45916</v>
      </c>
      <c r="G1197" s="7" t="s">
        <v>142</v>
      </c>
      <c r="H1197" s="25">
        <f t="shared" ref="H1197:H1198" si="266">IF(G1197="","",IF(G1197="LIM",2,1))</f>
        <v>2</v>
      </c>
      <c r="I1197" s="67">
        <v>1138</v>
      </c>
      <c r="J1197" s="8" t="s">
        <v>115</v>
      </c>
      <c r="K1197" s="9" t="s">
        <v>121</v>
      </c>
      <c r="L1197" s="10" t="s">
        <v>117</v>
      </c>
      <c r="M1197" s="11">
        <v>570</v>
      </c>
      <c r="N1197" s="12" t="s">
        <v>180</v>
      </c>
      <c r="O1197" s="6">
        <v>45926</v>
      </c>
      <c r="P1197" s="71">
        <v>3694</v>
      </c>
      <c r="Q1197" s="14" t="s">
        <v>123</v>
      </c>
      <c r="R1197" s="206">
        <f>(DATA[[#This Row],[cantidad_fs]]/1000)*(37+81.01)</f>
        <v>67.265699999999995</v>
      </c>
      <c r="S1197" s="15">
        <v>103.6</v>
      </c>
      <c r="T1197" s="309">
        <f>DATA[[#This Row],[C. DF]]+DATA[[#This Row],[C.OPE.]]</f>
        <v>170.8657</v>
      </c>
      <c r="U1197" s="15">
        <f>DATA[[#This Row],[SUB TOTAL]]*0.18</f>
        <v>30.755825999999999</v>
      </c>
      <c r="V1197" s="15">
        <f>IFERROR(ROUND(DATA[[#This Row],[SUB TOTAL]]+DATA[[#This Row],[IGV]],2),0)</f>
        <v>201.62</v>
      </c>
      <c r="W1197" s="16" t="str">
        <f>IF(DATA[[#This Row],[VALORIZACIÓN ]]="-","NO CORRESPONDE",IF(OR(A1197=20558226979,A1197=10470707866,A1197=20111157058,A1197=20100226902),"NO CORRESPONDE",IF(J1197="Emitida",IF(P1197&gt;0,"EMITIDA","PENDIENTE"),"NO CORRESPONDE")))</f>
        <v>EMITIDA</v>
      </c>
      <c r="X1197" s="29"/>
      <c r="Y1197" s="17" t="s">
        <v>118</v>
      </c>
      <c r="Z1197" s="30">
        <v>45929</v>
      </c>
      <c r="AA1197" s="10" t="s">
        <v>150</v>
      </c>
      <c r="AB1197" s="19">
        <v>268</v>
      </c>
      <c r="AC1197" s="20">
        <v>30</v>
      </c>
      <c r="AD1197" s="18">
        <f>DATA[[#This Row],[FECHA DE EMISION]]+DATA[[#This Row],[CONDICION DE PAGO]]</f>
        <v>45959</v>
      </c>
      <c r="AE1197" s="23" t="e">
        <f>IF(DATA[[#This Row],[MONEDA]]="USD",VLOOKUP(DATA[[#This Row],[COMBINADA]],#REF!,11,0),1)</f>
        <v>#REF!</v>
      </c>
      <c r="AF1197" s="129" t="str">
        <f>IF(DATA[[#This Row],[SERIE2]]="-","NO CORRESPONDE",IF(W1197="NO CORRESPONDE","NO CORRESPONDE",IF(Z1197&gt;0,"FACTURADO","PENDIENTE")))</f>
        <v>FACTURADO</v>
      </c>
      <c r="AG1197" s="133">
        <f>IFERROR(VLOOKUP(DATA[[#This Row],[COMBINADA]],#REF!,6,0),0)</f>
        <v>0</v>
      </c>
      <c r="AH1197" s="125">
        <f>IFERROR(VLOOKUP(DATA[[#This Row],[COMBINADA]],#REF!,9,0),0)/COUNTIFS(DATA[COMBINADA],DATA[[#This Row],[COMBINADA]])</f>
        <v>0</v>
      </c>
      <c r="AI1197" s="136">
        <f>IFERROR(VLOOKUP(DATA[[#This Row],[COMBINADA]],#REF!,6,0),0)</f>
        <v>0</v>
      </c>
      <c r="AJ1197" s="132">
        <f>IFERROR(VLOOKUP(DATA[[#This Row],[COMBINADA]],#REF!,9,0),0)/COUNTIFS(DATA[COMBINADA],DATA[[#This Row],[COMBINADA]])</f>
        <v>0</v>
      </c>
      <c r="AK1197" s="407">
        <f>IFERROR(VLOOKUP(DATA[[#This Row],[COMBINADA]],#REF!,6,0),0)</f>
        <v>0</v>
      </c>
      <c r="AL1197" s="125">
        <f>IFERROR(VLOOKUP(DATA[[#This Row],[COMBINADA]],#REF!,9,0),0)/COUNTIFS(DATA[COMBINADA],DATA[[#This Row],[COMBINADA]])</f>
        <v>0</v>
      </c>
      <c r="AM1197" s="27">
        <f>IFERROR(VLOOKUP(DATA[[#This Row],[COMBINADA]],#REF!,6,0),0)</f>
        <v>0</v>
      </c>
      <c r="AN1197" s="125">
        <f>IFERROR(VLOOKUP(DATA[[#This Row],[COMBINADA]],#REF!,9,0),0)/COUNTIFS(DATA[COMBINADA],DATA[[#This Row],[COMBINADA]])</f>
        <v>0</v>
      </c>
      <c r="AO1197" s="27">
        <f>IFERROR(VLOOKUP(DATA[[#This Row],[COMBINADA]],#REF!,6,0),0)</f>
        <v>0</v>
      </c>
      <c r="AP1197" s="132">
        <f>IFERROR(VLOOKUP(DATA[[#This Row],[COMBINADA]],#REF!,9,0),0)/COUNTIFS(DATA[COMBINADA],DATA[[#This Row],[COMBINADA]])</f>
        <v>0</v>
      </c>
      <c r="AQ119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535.76357142857137</v>
      </c>
      <c r="AR1197" s="26" t="str">
        <f>IFERROR(IF(DATA[[#This Row],[estado_fact]]="FACTURADO",VLOOKUP(DATA[[#This Row],[SERIE2]]&amp;"-"&amp;DATA[[#This Row],[NUMERO]],#REF!,34,0),"NO CORRESPONDE"),"NO CORRESPONDE")</f>
        <v>NO CORRESPONDE</v>
      </c>
      <c r="AS1197" s="22" t="str">
        <f>IF(DATA[[#This Row],[fecha_fs]]&gt;0,TEXT(DATA[[#This Row],[fecha_fs]],"Mmmm"),0)</f>
        <v>Setiembre</v>
      </c>
      <c r="AT1197" s="22" t="str">
        <f>DATA[[#This Row],[SERIE2]]&amp;"-"&amp;DATA[[#This Row],[NUMERO]]</f>
        <v>FF01-268</v>
      </c>
      <c r="AU1197" s="28" t="e">
        <f>DATA[[#This Row],[TOTAL]]*DATA[[#This Row],[T.C.]]</f>
        <v>#REF!</v>
      </c>
      <c r="AV1197" s="6">
        <f>DATA[[#This Row],[FECHA DE VAL.]]</f>
        <v>45926</v>
      </c>
      <c r="AW1197" s="6">
        <f>DATA[[#This Row],[FECHA DE EMISION]]</f>
        <v>45929</v>
      </c>
      <c r="AX1197" s="6">
        <f>DATA[[#This Row],[F1]]</f>
        <v>0</v>
      </c>
      <c r="AY1197" s="20">
        <f>IF(AV1197-DATA[[#This Row],[fecha_fs]]&lt;0,0,AV1197-DATA[[#This Row],[fecha_fs]])</f>
        <v>10</v>
      </c>
      <c r="AZ1197" s="20">
        <f t="shared" ref="AZ1197:AZ1198" si="267">IF(AW1197-AV1197&lt;0,0,AW1197-AV1197)</f>
        <v>3</v>
      </c>
      <c r="BA1197" s="53">
        <f t="shared" ref="BA1197:BA1198" si="268">IF(AX1197-AW1197&lt;0,0,AX1197-AW1197)</f>
        <v>0</v>
      </c>
      <c r="BB1197" s="305">
        <f>IFERROR(SUM(DATA[[#This Row],[fs_val_ttf]:[fact_pago_ttf]]),0)</f>
        <v>13</v>
      </c>
      <c r="BC1197" s="318">
        <v>45916</v>
      </c>
      <c r="BD1197" s="318">
        <v>45932</v>
      </c>
      <c r="BE1197" s="318">
        <v>45936</v>
      </c>
      <c r="BF1197" s="233">
        <v>45945</v>
      </c>
      <c r="BG1197" s="20">
        <f>IFERROR(IF(BC1197-DATA[[#This Row],[fecha_fs]]&lt;0,0,BC1197-DATA[[#This Row],[fecha_fs]]),0)</f>
        <v>0</v>
      </c>
      <c r="BH1197" s="20">
        <f t="shared" si="263"/>
        <v>16</v>
      </c>
      <c r="BI1197" s="20">
        <f t="shared" si="264"/>
        <v>4</v>
      </c>
      <c r="BJ1197" s="306">
        <f t="shared" si="265"/>
        <v>9</v>
      </c>
      <c r="BK1197" s="307">
        <f>IFERROR(SUM(DATA[[#This Row],[fs_fd_ttd]:[fend_fenf_ttd]]),0)</f>
        <v>29</v>
      </c>
      <c r="BL1197" s="20" t="str">
        <f>IF(DATA[[#This Row],[fecha_fs]]&gt;0,TEXT(DATA[[#This Row],[fecha_fs]],"YYYY"),0)</f>
        <v>2025</v>
      </c>
      <c r="BM1197" s="236" t="b">
        <v>1</v>
      </c>
      <c r="BN1197" s="278">
        <f>COUNTIF(DATA[[#This Row],[tiempo_td]], "&lt;=15")</f>
        <v>0</v>
      </c>
      <c r="BO1197" s="222"/>
    </row>
    <row r="1198" spans="1:67" ht="30.6" customHeight="1" x14ac:dyDescent="0.25">
      <c r="A1198" s="4">
        <v>20100192064</v>
      </c>
      <c r="B1198" s="5" t="s">
        <v>60</v>
      </c>
      <c r="C1198" s="52" t="s">
        <v>65</v>
      </c>
      <c r="D1198" s="4" t="s">
        <v>120</v>
      </c>
      <c r="E1198" s="5" t="s">
        <v>3</v>
      </c>
      <c r="F1198" s="24">
        <v>45911</v>
      </c>
      <c r="G1198" s="7" t="s">
        <v>142</v>
      </c>
      <c r="H1198" s="25">
        <f t="shared" si="266"/>
        <v>2</v>
      </c>
      <c r="I1198" s="67">
        <v>1139</v>
      </c>
      <c r="J1198" s="8" t="s">
        <v>115</v>
      </c>
      <c r="K1198" s="9" t="s">
        <v>121</v>
      </c>
      <c r="L1198" s="10" t="s">
        <v>117</v>
      </c>
      <c r="M1198" s="11">
        <v>690</v>
      </c>
      <c r="N1198" s="12" t="s">
        <v>180</v>
      </c>
      <c r="O1198" s="6">
        <v>45926</v>
      </c>
      <c r="P1198" s="71">
        <v>3694</v>
      </c>
      <c r="Q1198" s="14" t="s">
        <v>123</v>
      </c>
      <c r="R1198" s="206">
        <f>(DATA[[#This Row],[cantidad_fs]]/1000)*(37+81.01)</f>
        <v>81.426900000000003</v>
      </c>
      <c r="S1198" s="15">
        <v>103.6</v>
      </c>
      <c r="T1198" s="309">
        <f>DATA[[#This Row],[C. DF]]+DATA[[#This Row],[C.OPE.]]</f>
        <v>185.02690000000001</v>
      </c>
      <c r="U1198" s="15">
        <f>DATA[[#This Row],[SUB TOTAL]]*0.18</f>
        <v>33.304842000000001</v>
      </c>
      <c r="V1198" s="15">
        <f>IFERROR(ROUND(DATA[[#This Row],[SUB TOTAL]]+DATA[[#This Row],[IGV]],2),0)</f>
        <v>218.33</v>
      </c>
      <c r="W1198" s="16" t="str">
        <f>IF(DATA[[#This Row],[VALORIZACIÓN ]]="-","NO CORRESPONDE",IF(OR(A1198=20558226979,A1198=10470707866,A1198=20111157058,A1198=20100226902),"NO CORRESPONDE",IF(J1198="Emitida",IF(P1198&gt;0,"EMITIDA","PENDIENTE"),"NO CORRESPONDE")))</f>
        <v>EMITIDA</v>
      </c>
      <c r="X1198" s="29"/>
      <c r="Y1198" s="17" t="s">
        <v>118</v>
      </c>
      <c r="Z1198" s="30">
        <v>45929</v>
      </c>
      <c r="AA1198" s="10" t="s">
        <v>150</v>
      </c>
      <c r="AB1198" s="19">
        <v>268</v>
      </c>
      <c r="AC1198" s="20">
        <v>30</v>
      </c>
      <c r="AD1198" s="18">
        <f>DATA[[#This Row],[FECHA DE EMISION]]+DATA[[#This Row],[CONDICION DE PAGO]]</f>
        <v>45959</v>
      </c>
      <c r="AE1198" s="23" t="e">
        <f>IF(DATA[[#This Row],[MONEDA]]="USD",VLOOKUP(DATA[[#This Row],[COMBINADA]],#REF!,11,0),1)</f>
        <v>#REF!</v>
      </c>
      <c r="AF1198" s="129" t="str">
        <f>IF(DATA[[#This Row],[SERIE2]]="-","NO CORRESPONDE",IF(W1198="NO CORRESPONDE","NO CORRESPONDE",IF(Z1198&gt;0,"FACTURADO","PENDIENTE")))</f>
        <v>FACTURADO</v>
      </c>
      <c r="AG1198" s="133">
        <f>IFERROR(VLOOKUP(DATA[[#This Row],[COMBINADA]],#REF!,6,0),0)</f>
        <v>0</v>
      </c>
      <c r="AH1198" s="125">
        <f>IFERROR(VLOOKUP(DATA[[#This Row],[COMBINADA]],#REF!,9,0),0)/COUNTIFS(DATA[COMBINADA],DATA[[#This Row],[COMBINADA]])</f>
        <v>0</v>
      </c>
      <c r="AI1198" s="136">
        <f>IFERROR(VLOOKUP(DATA[[#This Row],[COMBINADA]],#REF!,6,0),0)</f>
        <v>0</v>
      </c>
      <c r="AJ1198" s="132">
        <f>IFERROR(VLOOKUP(DATA[[#This Row],[COMBINADA]],#REF!,9,0),0)/COUNTIFS(DATA[COMBINADA],DATA[[#This Row],[COMBINADA]])</f>
        <v>0</v>
      </c>
      <c r="AK1198" s="407">
        <f>IFERROR(VLOOKUP(DATA[[#This Row],[COMBINADA]],#REF!,6,0),0)</f>
        <v>0</v>
      </c>
      <c r="AL1198" s="125">
        <f>IFERROR(VLOOKUP(DATA[[#This Row],[COMBINADA]],#REF!,9,0),0)/COUNTIFS(DATA[COMBINADA],DATA[[#This Row],[COMBINADA]])</f>
        <v>0</v>
      </c>
      <c r="AM1198" s="27">
        <f>IFERROR(VLOOKUP(DATA[[#This Row],[COMBINADA]],#REF!,6,0),0)</f>
        <v>0</v>
      </c>
      <c r="AN1198" s="125">
        <f>IFERROR(VLOOKUP(DATA[[#This Row],[COMBINADA]],#REF!,9,0),0)/COUNTIFS(DATA[COMBINADA],DATA[[#This Row],[COMBINADA]])</f>
        <v>0</v>
      </c>
      <c r="AO1198" s="27">
        <f>IFERROR(VLOOKUP(DATA[[#This Row],[COMBINADA]],#REF!,6,0),0)</f>
        <v>0</v>
      </c>
      <c r="AP1198" s="132">
        <f>IFERROR(VLOOKUP(DATA[[#This Row],[COMBINADA]],#REF!,9,0),0)/COUNTIFS(DATA[COMBINADA],DATA[[#This Row],[COMBINADA]])</f>
        <v>0</v>
      </c>
      <c r="AQ119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535.76357142857137</v>
      </c>
      <c r="AR1198" s="26" t="str">
        <f>IFERROR(IF(DATA[[#This Row],[estado_fact]]="FACTURADO",VLOOKUP(DATA[[#This Row],[SERIE2]]&amp;"-"&amp;DATA[[#This Row],[NUMERO]],#REF!,34,0),"NO CORRESPONDE"),"NO CORRESPONDE")</f>
        <v>NO CORRESPONDE</v>
      </c>
      <c r="AS1198" s="22" t="str">
        <f>IF(DATA[[#This Row],[fecha_fs]]&gt;0,TEXT(DATA[[#This Row],[fecha_fs]],"Mmmm"),0)</f>
        <v>Setiembre</v>
      </c>
      <c r="AT1198" s="22" t="str">
        <f>DATA[[#This Row],[SERIE2]]&amp;"-"&amp;DATA[[#This Row],[NUMERO]]</f>
        <v>FF01-268</v>
      </c>
      <c r="AU1198" s="28" t="e">
        <f>DATA[[#This Row],[TOTAL]]*DATA[[#This Row],[T.C.]]</f>
        <v>#REF!</v>
      </c>
      <c r="AV1198" s="6">
        <f>DATA[[#This Row],[FECHA DE VAL.]]</f>
        <v>45926</v>
      </c>
      <c r="AW1198" s="6">
        <f>DATA[[#This Row],[FECHA DE EMISION]]</f>
        <v>45929</v>
      </c>
      <c r="AX1198" s="6">
        <f>DATA[[#This Row],[F1]]</f>
        <v>0</v>
      </c>
      <c r="AY1198" s="20">
        <f>IF(AV1198-DATA[[#This Row],[fecha_fs]]&lt;0,0,AV1198-DATA[[#This Row],[fecha_fs]])</f>
        <v>15</v>
      </c>
      <c r="AZ1198" s="20">
        <f t="shared" si="267"/>
        <v>3</v>
      </c>
      <c r="BA1198" s="53">
        <f t="shared" si="268"/>
        <v>0</v>
      </c>
      <c r="BB1198" s="305">
        <f>IFERROR(SUM(DATA[[#This Row],[fs_val_ttf]:[fact_pago_ttf]]),0)</f>
        <v>18</v>
      </c>
      <c r="BC1198" s="318">
        <v>45916</v>
      </c>
      <c r="BD1198" s="318">
        <v>45932</v>
      </c>
      <c r="BE1198" s="318">
        <v>45936</v>
      </c>
      <c r="BF1198" s="233">
        <v>45945</v>
      </c>
      <c r="BG1198" s="20">
        <f>IFERROR(IF(BC1198-DATA[[#This Row],[fecha_fs]]&lt;0,0,BC1198-DATA[[#This Row],[fecha_fs]]),0)</f>
        <v>5</v>
      </c>
      <c r="BH1198" s="20">
        <f t="shared" si="263"/>
        <v>16</v>
      </c>
      <c r="BI1198" s="20">
        <f t="shared" si="264"/>
        <v>4</v>
      </c>
      <c r="BJ1198" s="306">
        <f t="shared" si="265"/>
        <v>9</v>
      </c>
      <c r="BK1198" s="307">
        <f>IFERROR(SUM(DATA[[#This Row],[fs_fd_ttd]:[fend_fenf_ttd]]),0)</f>
        <v>34</v>
      </c>
      <c r="BL1198" s="20" t="str">
        <f>IF(DATA[[#This Row],[fecha_fs]]&gt;0,TEXT(DATA[[#This Row],[fecha_fs]],"YYYY"),0)</f>
        <v>2025</v>
      </c>
      <c r="BM1198" s="236" t="b">
        <v>1</v>
      </c>
      <c r="BN1198" s="278">
        <f>COUNTIF(DATA[[#This Row],[tiempo_td]], "&lt;=15")</f>
        <v>0</v>
      </c>
      <c r="BO1198" s="222"/>
    </row>
    <row r="1199" spans="1:67" ht="30.6" customHeight="1" x14ac:dyDescent="0.25">
      <c r="A1199" s="4">
        <v>20100055237</v>
      </c>
      <c r="B1199" s="5" t="s">
        <v>21</v>
      </c>
      <c r="C1199" s="52" t="s">
        <v>138</v>
      </c>
      <c r="D1199" s="4" t="s">
        <v>139</v>
      </c>
      <c r="E1199" s="5" t="s">
        <v>23</v>
      </c>
      <c r="F1199" s="24">
        <v>45916</v>
      </c>
      <c r="G1199" s="7" t="s">
        <v>113</v>
      </c>
      <c r="H1199" s="25">
        <f t="shared" si="260"/>
        <v>1</v>
      </c>
      <c r="I1199" s="67">
        <v>4998</v>
      </c>
      <c r="J1199" s="8" t="s">
        <v>115</v>
      </c>
      <c r="K1199" s="9" t="s">
        <v>121</v>
      </c>
      <c r="L1199" s="10" t="s">
        <v>117</v>
      </c>
      <c r="M1199" s="11">
        <v>120</v>
      </c>
      <c r="N1199" s="12" t="s">
        <v>249</v>
      </c>
      <c r="O1199" s="6">
        <v>45930</v>
      </c>
      <c r="P1199" s="54">
        <v>3707</v>
      </c>
      <c r="Q1199" s="14" t="s">
        <v>85</v>
      </c>
      <c r="R1199" s="309"/>
      <c r="S1199" s="15">
        <v>297.92</v>
      </c>
      <c r="T1199" s="237">
        <f>DATA[[#This Row],[C. DF]]+DATA[[#This Row],[C.OPE.]]</f>
        <v>297.92</v>
      </c>
      <c r="U1199" s="15">
        <f>DATA[[#This Row],[SUB TOTAL]]*0.18</f>
        <v>53.625599999999999</v>
      </c>
      <c r="V1199" s="15">
        <f>IFERROR(ROUND(DATA[[#This Row],[SUB TOTAL]]+DATA[[#This Row],[IGV]],2),0)</f>
        <v>351.55</v>
      </c>
      <c r="W1199" s="16" t="str">
        <f>IF(DATA[[#This Row],[VALORIZACIÓN ]]="-","NO CORRESPONDE",IF(OR(A1199=20558226979,A1199=10470707866,A1199=20111157058,A1199=20100226902),"NO CORRESPONDE",IF(J1199="Emitida",IF(P1199&gt;0,"EMITIDA","PENDIENTE"),"NO CORRESPONDE")))</f>
        <v>EMITIDA</v>
      </c>
      <c r="X1199" s="29"/>
      <c r="Y1199" s="17" t="s">
        <v>118</v>
      </c>
      <c r="Z1199" s="30">
        <v>45940</v>
      </c>
      <c r="AA1199" s="10" t="s">
        <v>150</v>
      </c>
      <c r="AB1199" s="19">
        <v>286</v>
      </c>
      <c r="AC1199" s="20">
        <v>30</v>
      </c>
      <c r="AD1199" s="18">
        <f>DATA[[#This Row],[FECHA DE EMISION]]+DATA[[#This Row],[CONDICION DE PAGO]]</f>
        <v>45970</v>
      </c>
      <c r="AE1199" s="23">
        <f>IF(DATA[[#This Row],[MONEDA]]="USD",VLOOKUP(DATA[[#This Row],[COMBINADA]],#REF!,11,0),1)</f>
        <v>1</v>
      </c>
      <c r="AF1199" s="129" t="str">
        <f>IF(DATA[[#This Row],[SERIE2]]="-","NO CORRESPONDE",IF(W1199="NO CORRESPONDE","NO CORRESPONDE",IF(Z1199&gt;0,"FACTURADO","PENDIENTE")))</f>
        <v>FACTURADO</v>
      </c>
      <c r="AG1199" s="133">
        <f>IFERROR(VLOOKUP(DATA[[#This Row],[COMBINADA]],#REF!,6,0),0)</f>
        <v>0</v>
      </c>
      <c r="AH1199" s="125">
        <f>IFERROR(VLOOKUP(DATA[[#This Row],[COMBINADA]],#REF!,9,0),0)/COUNTIFS(DATA[COMBINADA],DATA[[#This Row],[COMBINADA]])</f>
        <v>0</v>
      </c>
      <c r="AI1199" s="136">
        <f>IFERROR(VLOOKUP(DATA[[#This Row],[COMBINADA]],#REF!,6,0),0)</f>
        <v>0</v>
      </c>
      <c r="AJ1199" s="132">
        <f>IFERROR(VLOOKUP(DATA[[#This Row],[COMBINADA]],#REF!,9,0),0)/COUNTIFS(DATA[COMBINADA],DATA[[#This Row],[COMBINADA]])</f>
        <v>0</v>
      </c>
      <c r="AK1199" s="407">
        <f>IFERROR(VLOOKUP(DATA[[#This Row],[COMBINADA]],#REF!,6,0),0)</f>
        <v>0</v>
      </c>
      <c r="AL1199" s="125">
        <f>IFERROR(VLOOKUP(DATA[[#This Row],[COMBINADA]],#REF!,9,0),0)/COUNTIFS(DATA[COMBINADA],DATA[[#This Row],[COMBINADA]])</f>
        <v>0</v>
      </c>
      <c r="AM1199" s="27">
        <f>IFERROR(VLOOKUP(DATA[[#This Row],[COMBINADA]],#REF!,6,0),0)</f>
        <v>0</v>
      </c>
      <c r="AN1199" s="125">
        <f>IFERROR(VLOOKUP(DATA[[#This Row],[COMBINADA]],#REF!,9,0),0)/COUNTIFS(DATA[COMBINADA],DATA[[#This Row],[COMBINADA]])</f>
        <v>0</v>
      </c>
      <c r="AO1199" s="27">
        <f>IFERROR(VLOOKUP(DATA[[#This Row],[COMBINADA]],#REF!,6,0),0)</f>
        <v>0</v>
      </c>
      <c r="AP1199" s="132">
        <f>IFERROR(VLOOKUP(DATA[[#This Row],[COMBINADA]],#REF!,9,0),0)/COUNTIFS(DATA[COMBINADA],DATA[[#This Row],[COMBINADA]])</f>
        <v>0</v>
      </c>
      <c r="AQ119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199" s="26" t="str">
        <f>IFERROR(IF(DATA[[#This Row],[estado_fact]]="FACTURADO",VLOOKUP(DATA[[#This Row],[SERIE2]]&amp;"-"&amp;DATA[[#This Row],[NUMERO]],#REF!,34,0),"NO CORRESPONDE"),"NO CORRESPONDE")</f>
        <v>NO CORRESPONDE</v>
      </c>
      <c r="AS1199" s="22" t="str">
        <f>IF(DATA[[#This Row],[fecha_fs]]&gt;0,TEXT(DATA[[#This Row],[fecha_fs]],"Mmmm"),0)</f>
        <v>Setiembre</v>
      </c>
      <c r="AT1199" s="22" t="str">
        <f>DATA[[#This Row],[SERIE2]]&amp;"-"&amp;DATA[[#This Row],[NUMERO]]</f>
        <v>FF01-286</v>
      </c>
      <c r="AU1199" s="28">
        <f>DATA[[#This Row],[TOTAL]]*DATA[[#This Row],[T.C.]]</f>
        <v>351.55</v>
      </c>
      <c r="AV1199" s="6">
        <f>DATA[[#This Row],[FECHA DE VAL.]]</f>
        <v>45930</v>
      </c>
      <c r="AW1199" s="6">
        <f>DATA[[#This Row],[FECHA DE EMISION]]</f>
        <v>45940</v>
      </c>
      <c r="AX1199" s="6">
        <f>DATA[[#This Row],[F1]]</f>
        <v>0</v>
      </c>
      <c r="AY1199" s="20">
        <f>IF(AV1199-DATA[[#This Row],[fecha_fs]]&lt;0,0,AV1199-DATA[[#This Row],[fecha_fs]])</f>
        <v>14</v>
      </c>
      <c r="AZ1199" s="20">
        <f t="shared" si="261"/>
        <v>10</v>
      </c>
      <c r="BA1199" s="53">
        <f t="shared" si="262"/>
        <v>0</v>
      </c>
      <c r="BB1199" s="195">
        <f>IFERROR(SUM(DATA[[#This Row],[fs_val_ttf]:[fact_pago_ttf]]),0)</f>
        <v>24</v>
      </c>
      <c r="BC1199" s="233">
        <v>45916</v>
      </c>
      <c r="BD1199" s="233">
        <v>45916</v>
      </c>
      <c r="BE1199" s="233">
        <v>45932</v>
      </c>
      <c r="BF1199" s="233">
        <v>45932</v>
      </c>
      <c r="BG1199" s="20">
        <f>IFERROR(IF(BC1199-DATA[[#This Row],[fecha_fs]]&lt;0,0,BC1199-DATA[[#This Row],[fecha_fs]]),0)</f>
        <v>0</v>
      </c>
      <c r="BH1199" s="20">
        <f t="shared" si="263"/>
        <v>0</v>
      </c>
      <c r="BI1199" s="20">
        <f t="shared" si="264"/>
        <v>16</v>
      </c>
      <c r="BJ1199" s="20">
        <f t="shared" si="265"/>
        <v>0</v>
      </c>
      <c r="BK1199" s="282">
        <f>IFERROR(SUM(DATA[[#This Row],[fs_fd_ttd]:[fend_fenf_ttd]]),0)</f>
        <v>16</v>
      </c>
      <c r="BL1199" s="20" t="str">
        <f>IF(DATA[[#This Row],[fecha_fs]]&gt;0,TEXT(DATA[[#This Row],[fecha_fs]],"YYYY"),0)</f>
        <v>2025</v>
      </c>
      <c r="BM1199" s="236" t="b">
        <v>1</v>
      </c>
      <c r="BN1199" s="278">
        <f>COUNTIF(DATA[[#This Row],[tiempo_td]], "&lt;=15")</f>
        <v>0</v>
      </c>
      <c r="BO1199" s="222"/>
    </row>
    <row r="1200" spans="1:67" ht="30.6" customHeight="1" x14ac:dyDescent="0.25">
      <c r="A1200" s="4">
        <v>20505675836</v>
      </c>
      <c r="B1200" s="5" t="s">
        <v>42</v>
      </c>
      <c r="C1200" s="52" t="s">
        <v>43</v>
      </c>
      <c r="D1200" s="4" t="s">
        <v>112</v>
      </c>
      <c r="E1200" s="5" t="s">
        <v>1</v>
      </c>
      <c r="F1200" s="24">
        <v>45916</v>
      </c>
      <c r="G1200" s="7" t="s">
        <v>113</v>
      </c>
      <c r="H1200" s="25">
        <f t="shared" si="260"/>
        <v>1</v>
      </c>
      <c r="I1200" s="67">
        <v>4999</v>
      </c>
      <c r="J1200" s="8" t="s">
        <v>115</v>
      </c>
      <c r="K1200" s="9" t="s">
        <v>116</v>
      </c>
      <c r="L1200" s="10" t="s">
        <v>117</v>
      </c>
      <c r="M1200" s="11">
        <v>2200</v>
      </c>
      <c r="N1200" s="12" t="s">
        <v>122</v>
      </c>
      <c r="O1200" s="6">
        <v>45926</v>
      </c>
      <c r="P1200" s="71">
        <v>3683</v>
      </c>
      <c r="Q1200" s="14" t="s">
        <v>85</v>
      </c>
      <c r="R1200" s="15">
        <f>(DATA[[#This Row],[cantidad_fs]]-600)*0.97</f>
        <v>1552</v>
      </c>
      <c r="S1200" s="15">
        <v>1427.2</v>
      </c>
      <c r="T1200" s="237">
        <f>DATA[[#This Row],[C. DF]]+DATA[[#This Row],[C.OPE.]]</f>
        <v>2979.2</v>
      </c>
      <c r="U1200" s="15">
        <f>DATA[[#This Row],[SUB TOTAL]]*0.18</f>
        <v>536.25599999999997</v>
      </c>
      <c r="V1200" s="15">
        <f>IFERROR(ROUND(DATA[[#This Row],[SUB TOTAL]]+DATA[[#This Row],[IGV]],2),0)</f>
        <v>3515.46</v>
      </c>
      <c r="W1200" s="16" t="str">
        <f>IF(DATA[[#This Row],[VALORIZACIÓN ]]="-","NO CORRESPONDE",IF(OR(A1200=20558226979,A1200=10470707866,A1200=20111157058,A1200=20100226902),"NO CORRESPONDE",IF(J1200="Emitida",IF(P1200&gt;0,"EMITIDA","PENDIENTE"),"NO CORRESPONDE")))</f>
        <v>EMITIDA</v>
      </c>
      <c r="X1200" s="29"/>
      <c r="Y1200" s="17" t="s">
        <v>118</v>
      </c>
      <c r="Z1200" s="30">
        <v>45968</v>
      </c>
      <c r="AA1200" s="10" t="s">
        <v>150</v>
      </c>
      <c r="AB1200" s="19">
        <v>341</v>
      </c>
      <c r="AC1200" s="20">
        <v>30</v>
      </c>
      <c r="AD1200" s="18">
        <f>DATA[[#This Row],[FECHA DE EMISION]]+DATA[[#This Row],[CONDICION DE PAGO]]</f>
        <v>45998</v>
      </c>
      <c r="AE1200" s="23">
        <f>IF(DATA[[#This Row],[MONEDA]]="USD",VLOOKUP(DATA[[#This Row],[COMBINADA]],#REF!,11,0),1)</f>
        <v>1</v>
      </c>
      <c r="AF1200" s="129" t="str">
        <f>IF(DATA[[#This Row],[SERIE2]]="-","NO CORRESPONDE",IF(W1200="NO CORRESPONDE","NO CORRESPONDE",IF(Z1200&gt;0,"FACTURADO","PENDIENTE")))</f>
        <v>FACTURADO</v>
      </c>
      <c r="AG1200" s="133">
        <f>IFERROR(VLOOKUP(DATA[[#This Row],[COMBINADA]],#REF!,6,0),0)</f>
        <v>0</v>
      </c>
      <c r="AH1200" s="125">
        <f>IFERROR(VLOOKUP(DATA[[#This Row],[COMBINADA]],#REF!,9,0),0)/COUNTIFS(DATA[COMBINADA],DATA[[#This Row],[COMBINADA]])</f>
        <v>0</v>
      </c>
      <c r="AI1200" s="136">
        <f>IFERROR(VLOOKUP(DATA[[#This Row],[COMBINADA]],#REF!,6,0),0)</f>
        <v>0</v>
      </c>
      <c r="AJ1200" s="132">
        <f>IFERROR(VLOOKUP(DATA[[#This Row],[COMBINADA]],#REF!,9,0),0)/COUNTIFS(DATA[COMBINADA],DATA[[#This Row],[COMBINADA]])</f>
        <v>0</v>
      </c>
      <c r="AK1200" s="407">
        <f>IFERROR(VLOOKUP(DATA[[#This Row],[COMBINADA]],#REF!,6,0),0)</f>
        <v>0</v>
      </c>
      <c r="AL1200" s="125">
        <f>IFERROR(VLOOKUP(DATA[[#This Row],[COMBINADA]],#REF!,9,0),0)/COUNTIFS(DATA[COMBINADA],DATA[[#This Row],[COMBINADA]])</f>
        <v>0</v>
      </c>
      <c r="AM1200" s="27">
        <f>IFERROR(VLOOKUP(DATA[[#This Row],[COMBINADA]],#REF!,6,0),0)</f>
        <v>0</v>
      </c>
      <c r="AN1200" s="125">
        <f>IFERROR(VLOOKUP(DATA[[#This Row],[COMBINADA]],#REF!,9,0),0)/COUNTIFS(DATA[COMBINADA],DATA[[#This Row],[COMBINADA]])</f>
        <v>0</v>
      </c>
      <c r="AO1200" s="27">
        <f>IFERROR(VLOOKUP(DATA[[#This Row],[COMBINADA]],#REF!,6,0),0)</f>
        <v>0</v>
      </c>
      <c r="AP1200" s="132">
        <f>IFERROR(VLOOKUP(DATA[[#This Row],[COMBINADA]],#REF!,9,0),0)/COUNTIFS(DATA[COMBINADA],DATA[[#This Row],[COMBINADA]])</f>
        <v>0</v>
      </c>
      <c r="AQ120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2087.2925</v>
      </c>
      <c r="AR1200" s="26" t="str">
        <f>IFERROR(IF(DATA[[#This Row],[estado_fact]]="FACTURADO",VLOOKUP(DATA[[#This Row],[SERIE2]]&amp;"-"&amp;DATA[[#This Row],[NUMERO]],#REF!,34,0),"NO CORRESPONDE"),"NO CORRESPONDE")</f>
        <v>NO CORRESPONDE</v>
      </c>
      <c r="AS1200" s="22" t="str">
        <f>IF(DATA[[#This Row],[fecha_fs]]&gt;0,TEXT(DATA[[#This Row],[fecha_fs]],"Mmmm"),0)</f>
        <v>Setiembre</v>
      </c>
      <c r="AT1200" s="22" t="str">
        <f>DATA[[#This Row],[SERIE2]]&amp;"-"&amp;DATA[[#This Row],[NUMERO]]</f>
        <v>FF01-341</v>
      </c>
      <c r="AU1200" s="28">
        <f>DATA[[#This Row],[TOTAL]]*DATA[[#This Row],[T.C.]]</f>
        <v>3515.46</v>
      </c>
      <c r="AV1200" s="6">
        <f>DATA[[#This Row],[FECHA DE VAL.]]</f>
        <v>45926</v>
      </c>
      <c r="AW1200" s="6">
        <f>DATA[[#This Row],[FECHA DE EMISION]]</f>
        <v>45968</v>
      </c>
      <c r="AX1200" s="6">
        <f>DATA[[#This Row],[F1]]</f>
        <v>0</v>
      </c>
      <c r="AY1200" s="20">
        <f>IF(AV1200-DATA[[#This Row],[fecha_fs]]&lt;0,0,AV1200-DATA[[#This Row],[fecha_fs]])</f>
        <v>10</v>
      </c>
      <c r="AZ1200" s="20">
        <f t="shared" si="261"/>
        <v>42</v>
      </c>
      <c r="BA1200" s="53">
        <f t="shared" si="262"/>
        <v>0</v>
      </c>
      <c r="BB1200" s="195">
        <f>IFERROR(SUM(DATA[[#This Row],[fs_val_ttf]:[fact_pago_ttf]]),0)</f>
        <v>52</v>
      </c>
      <c r="BC1200" s="233">
        <v>45924</v>
      </c>
      <c r="BD1200" s="233">
        <v>45932</v>
      </c>
      <c r="BE1200" s="233">
        <v>45933</v>
      </c>
      <c r="BF1200" s="233">
        <v>45943</v>
      </c>
      <c r="BG1200" s="20">
        <f>IFERROR(IF(BC1200-DATA[[#This Row],[fecha_fs]]&lt;0,0,BC1200-DATA[[#This Row],[fecha_fs]]),0)</f>
        <v>8</v>
      </c>
      <c r="BH1200" s="20">
        <f t="shared" si="263"/>
        <v>8</v>
      </c>
      <c r="BI1200" s="20">
        <f t="shared" si="264"/>
        <v>1</v>
      </c>
      <c r="BJ1200" s="20">
        <f t="shared" si="265"/>
        <v>10</v>
      </c>
      <c r="BK1200" s="282">
        <f>IFERROR(SUM(DATA[[#This Row],[fs_fd_ttd]:[fend_fenf_ttd]]),0)</f>
        <v>27</v>
      </c>
      <c r="BL1200" s="20" t="str">
        <f>IF(DATA[[#This Row],[fecha_fs]]&gt;0,TEXT(DATA[[#This Row],[fecha_fs]],"YYYY"),0)</f>
        <v>2025</v>
      </c>
      <c r="BM1200" s="236" t="b">
        <v>1</v>
      </c>
      <c r="BN1200" s="278">
        <f>COUNTIF(DATA[[#This Row],[tiempo_td]], "&lt;=15")</f>
        <v>0</v>
      </c>
      <c r="BO1200" s="222"/>
    </row>
    <row r="1201" spans="1:67" ht="30.6" customHeight="1" x14ac:dyDescent="0.25">
      <c r="A1201" s="4">
        <v>20498459791</v>
      </c>
      <c r="B1201" s="5" t="s">
        <v>49</v>
      </c>
      <c r="C1201" s="52" t="s">
        <v>18</v>
      </c>
      <c r="D1201" s="4" t="s">
        <v>112</v>
      </c>
      <c r="E1201" s="5" t="s">
        <v>1</v>
      </c>
      <c r="F1201" s="24">
        <v>45916</v>
      </c>
      <c r="G1201" s="7" t="s">
        <v>113</v>
      </c>
      <c r="H1201" s="25">
        <f t="shared" si="260"/>
        <v>1</v>
      </c>
      <c r="I1201" s="67">
        <v>5000</v>
      </c>
      <c r="J1201" s="8" t="s">
        <v>115</v>
      </c>
      <c r="K1201" s="9" t="s">
        <v>116</v>
      </c>
      <c r="L1201" s="10" t="s">
        <v>117</v>
      </c>
      <c r="M1201" s="11">
        <v>620</v>
      </c>
      <c r="N1201" s="12" t="s">
        <v>249</v>
      </c>
      <c r="O1201" s="6">
        <v>45917</v>
      </c>
      <c r="P1201" s="13">
        <v>3663</v>
      </c>
      <c r="Q1201" s="14" t="s">
        <v>85</v>
      </c>
      <c r="R1201" s="321">
        <f>DATA[[#This Row],[cantidad_fs]]*0.97</f>
        <v>601.4</v>
      </c>
      <c r="S1201" s="321">
        <v>599.70000000000005</v>
      </c>
      <c r="T1201" s="237">
        <f>DATA[[#This Row],[C. DF]]+DATA[[#This Row],[C.OPE.]]</f>
        <v>1201.0999999999999</v>
      </c>
      <c r="U1201" s="15">
        <f>DATA[[#This Row],[SUB TOTAL]]*0.18</f>
        <v>216.19799999999998</v>
      </c>
      <c r="V1201" s="15">
        <f>IFERROR(ROUND(DATA[[#This Row],[SUB TOTAL]]+DATA[[#This Row],[IGV]],2),0)</f>
        <v>1417.3</v>
      </c>
      <c r="W1201" s="16" t="str">
        <f>IF(DATA[[#This Row],[VALORIZACIÓN ]]="-","NO CORRESPONDE",IF(OR(A1201=20558226979,A1201=10470707866,A1201=20111157058,A1201=20100226902),"NO CORRESPONDE",IF(J1201="Emitida",IF(P1201&gt;0,"EMITIDA","PENDIENTE"),"NO CORRESPONDE")))</f>
        <v>EMITIDA</v>
      </c>
      <c r="X1201" s="29"/>
      <c r="Y1201" s="17" t="s">
        <v>118</v>
      </c>
      <c r="Z1201" s="30">
        <v>45932</v>
      </c>
      <c r="AA1201" s="10" t="s">
        <v>150</v>
      </c>
      <c r="AB1201" s="19">
        <v>277</v>
      </c>
      <c r="AC1201" s="20">
        <v>15</v>
      </c>
      <c r="AD1201" s="18">
        <f>DATA[[#This Row],[FECHA DE EMISION]]+DATA[[#This Row],[CONDICION DE PAGO]]</f>
        <v>45947</v>
      </c>
      <c r="AE1201" s="23">
        <f>IF(DATA[[#This Row],[MONEDA]]="USD",VLOOKUP(DATA[[#This Row],[COMBINADA]],#REF!,11,0),1)</f>
        <v>1</v>
      </c>
      <c r="AF1201" s="129" t="str">
        <f>IF(DATA[[#This Row],[SERIE2]]="-","NO CORRESPONDE",IF(W1201="NO CORRESPONDE","NO CORRESPONDE",IF(Z1201&gt;0,"FACTURADO","PENDIENTE")))</f>
        <v>FACTURADO</v>
      </c>
      <c r="AG1201" s="133">
        <f>IFERROR(VLOOKUP(DATA[[#This Row],[COMBINADA]],#REF!,6,0),0)</f>
        <v>0</v>
      </c>
      <c r="AH1201" s="125">
        <f>IFERROR(VLOOKUP(DATA[[#This Row],[COMBINADA]],#REF!,9,0),0)/COUNTIFS(DATA[COMBINADA],DATA[[#This Row],[COMBINADA]])</f>
        <v>0</v>
      </c>
      <c r="AI1201" s="136">
        <f>IFERROR(VLOOKUP(DATA[[#This Row],[COMBINADA]],#REF!,6,0),0)</f>
        <v>0</v>
      </c>
      <c r="AJ1201" s="132">
        <f>IFERROR(VLOOKUP(DATA[[#This Row],[COMBINADA]],#REF!,9,0),0)/COUNTIFS(DATA[COMBINADA],DATA[[#This Row],[COMBINADA]])</f>
        <v>0</v>
      </c>
      <c r="AK1201" s="407">
        <f>IFERROR(VLOOKUP(DATA[[#This Row],[COMBINADA]],#REF!,6,0),0)</f>
        <v>0</v>
      </c>
      <c r="AL1201" s="125">
        <f>IFERROR(VLOOKUP(DATA[[#This Row],[COMBINADA]],#REF!,9,0),0)/COUNTIFS(DATA[COMBINADA],DATA[[#This Row],[COMBINADA]])</f>
        <v>0</v>
      </c>
      <c r="AM1201" s="27">
        <f>IFERROR(VLOOKUP(DATA[[#This Row],[COMBINADA]],#REF!,6,0),0)</f>
        <v>0</v>
      </c>
      <c r="AN1201" s="125">
        <f>IFERROR(VLOOKUP(DATA[[#This Row],[COMBINADA]],#REF!,9,0),0)/COUNTIFS(DATA[COMBINADA],DATA[[#This Row],[COMBINADA]])</f>
        <v>0</v>
      </c>
      <c r="AO1201" s="27">
        <f>IFERROR(VLOOKUP(DATA[[#This Row],[COMBINADA]],#REF!,6,0),0)</f>
        <v>0</v>
      </c>
      <c r="AP1201" s="132">
        <f>IFERROR(VLOOKUP(DATA[[#This Row],[COMBINADA]],#REF!,9,0),0)/COUNTIFS(DATA[COMBINADA],DATA[[#This Row],[COMBINADA]])</f>
        <v>0</v>
      </c>
      <c r="AQ120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1417.3</v>
      </c>
      <c r="AR1201" s="26" t="str">
        <f>IFERROR(IF(DATA[[#This Row],[estado_fact]]="FACTURADO",VLOOKUP(DATA[[#This Row],[SERIE2]]&amp;"-"&amp;DATA[[#This Row],[NUMERO]],#REF!,34,0),"NO CORRESPONDE"),"NO CORRESPONDE")</f>
        <v>NO CORRESPONDE</v>
      </c>
      <c r="AS1201" s="22" t="str">
        <f>IF(DATA[[#This Row],[fecha_fs]]&gt;0,TEXT(DATA[[#This Row],[fecha_fs]],"Mmmm"),0)</f>
        <v>Setiembre</v>
      </c>
      <c r="AT1201" s="22" t="str">
        <f>DATA[[#This Row],[SERIE2]]&amp;"-"&amp;DATA[[#This Row],[NUMERO]]</f>
        <v>FF01-277</v>
      </c>
      <c r="AU1201" s="28">
        <f>DATA[[#This Row],[TOTAL]]*DATA[[#This Row],[T.C.]]</f>
        <v>1417.3</v>
      </c>
      <c r="AV1201" s="6">
        <f>DATA[[#This Row],[FECHA DE VAL.]]</f>
        <v>45917</v>
      </c>
      <c r="AW1201" s="6">
        <f>DATA[[#This Row],[FECHA DE EMISION]]</f>
        <v>45932</v>
      </c>
      <c r="AX1201" s="6">
        <f>DATA[[#This Row],[F1]]</f>
        <v>0</v>
      </c>
      <c r="AY1201" s="20">
        <f>IF(AV1201-DATA[[#This Row],[fecha_fs]]&lt;0,0,AV1201-DATA[[#This Row],[fecha_fs]])</f>
        <v>1</v>
      </c>
      <c r="AZ1201" s="20">
        <f t="shared" si="261"/>
        <v>15</v>
      </c>
      <c r="BA1201" s="53">
        <f t="shared" si="262"/>
        <v>0</v>
      </c>
      <c r="BB1201" s="195">
        <f>IFERROR(SUM(DATA[[#This Row],[fs_val_ttf]:[fact_pago_ttf]]),0)</f>
        <v>16</v>
      </c>
      <c r="BC1201" s="233">
        <v>45916</v>
      </c>
      <c r="BD1201" s="233">
        <v>45929</v>
      </c>
      <c r="BE1201" s="233">
        <v>45932</v>
      </c>
      <c r="BF1201" s="398">
        <v>45939</v>
      </c>
      <c r="BG1201" s="20">
        <f>IFERROR(IF(BC1201-DATA[[#This Row],[fecha_fs]]&lt;0,0,BC1201-DATA[[#This Row],[fecha_fs]]),0)</f>
        <v>0</v>
      </c>
      <c r="BH1201" s="20">
        <f t="shared" si="263"/>
        <v>13</v>
      </c>
      <c r="BI1201" s="20">
        <f t="shared" si="264"/>
        <v>3</v>
      </c>
      <c r="BJ1201" s="20">
        <f t="shared" si="265"/>
        <v>7</v>
      </c>
      <c r="BK1201" s="282">
        <f>IFERROR(SUM(DATA[[#This Row],[fs_fd_ttd]:[fend_fenf_ttd]]),0)</f>
        <v>23</v>
      </c>
      <c r="BL1201" s="20" t="str">
        <f>IF(DATA[[#This Row],[fecha_fs]]&gt;0,TEXT(DATA[[#This Row],[fecha_fs]],"YYYY"),0)</f>
        <v>2025</v>
      </c>
      <c r="BM1201" s="236" t="b">
        <v>1</v>
      </c>
      <c r="BN1201" s="278">
        <f>COUNTIF(DATA[[#This Row],[tiempo_td]], "&lt;=15")</f>
        <v>0</v>
      </c>
      <c r="BO1201" s="222"/>
    </row>
    <row r="1202" spans="1:67" ht="30.6" customHeight="1" x14ac:dyDescent="0.25">
      <c r="A1202" s="4">
        <v>20505675836</v>
      </c>
      <c r="B1202" s="5" t="s">
        <v>42</v>
      </c>
      <c r="C1202" s="52" t="s">
        <v>43</v>
      </c>
      <c r="D1202" s="4" t="s">
        <v>157</v>
      </c>
      <c r="E1202" s="5" t="s">
        <v>44</v>
      </c>
      <c r="F1202" s="24">
        <v>45916</v>
      </c>
      <c r="G1202" s="7" t="s">
        <v>113</v>
      </c>
      <c r="H1202" s="25">
        <f t="shared" si="260"/>
        <v>1</v>
      </c>
      <c r="I1202" s="67">
        <v>5001</v>
      </c>
      <c r="J1202" s="8" t="s">
        <v>115</v>
      </c>
      <c r="K1202" s="9" t="s">
        <v>158</v>
      </c>
      <c r="L1202" s="10" t="s">
        <v>137</v>
      </c>
      <c r="M1202" s="11">
        <v>1</v>
      </c>
      <c r="N1202" s="12" t="s">
        <v>122</v>
      </c>
      <c r="O1202" s="6">
        <v>45926</v>
      </c>
      <c r="P1202" s="71">
        <v>3684</v>
      </c>
      <c r="Q1202" s="14" t="s">
        <v>85</v>
      </c>
      <c r="R1202" s="309"/>
      <c r="S1202" s="15">
        <v>396.7</v>
      </c>
      <c r="T1202" s="237">
        <f>DATA[[#This Row],[C. DF]]+DATA[[#This Row],[C.OPE.]]</f>
        <v>396.7</v>
      </c>
      <c r="U1202" s="15">
        <f>DATA[[#This Row],[SUB TOTAL]]*0.18</f>
        <v>71.405999999999992</v>
      </c>
      <c r="V1202" s="15">
        <f>IFERROR(ROUND(DATA[[#This Row],[SUB TOTAL]]+DATA[[#This Row],[IGV]],2),0)</f>
        <v>468.11</v>
      </c>
      <c r="W1202" s="16" t="str">
        <f>IF(DATA[[#This Row],[VALORIZACIÓN ]]="-","NO CORRESPONDE",IF(OR(A1202=20558226979,A1202=10470707866,A1202=20111157058,A1202=20100226902),"NO CORRESPONDE",IF(J1202="Emitida",IF(P1202&gt;0,"EMITIDA","PENDIENTE"),"NO CORRESPONDE")))</f>
        <v>EMITIDA</v>
      </c>
      <c r="X1202" s="29"/>
      <c r="Y1202" s="17" t="s">
        <v>118</v>
      </c>
      <c r="Z1202" s="30">
        <v>45933</v>
      </c>
      <c r="AA1202" s="10" t="s">
        <v>150</v>
      </c>
      <c r="AB1202" s="19">
        <v>280</v>
      </c>
      <c r="AC1202" s="20">
        <v>30</v>
      </c>
      <c r="AD1202" s="18">
        <f>DATA[[#This Row],[FECHA DE EMISION]]+DATA[[#This Row],[CONDICION DE PAGO]]</f>
        <v>45963</v>
      </c>
      <c r="AE1202" s="23">
        <f>IF(DATA[[#This Row],[MONEDA]]="USD",VLOOKUP(DATA[[#This Row],[COMBINADA]],#REF!,11,0),1)</f>
        <v>1</v>
      </c>
      <c r="AF1202" s="129" t="str">
        <f>IF(DATA[[#This Row],[SERIE2]]="-","NO CORRESPONDE",IF(W1202="NO CORRESPONDE","NO CORRESPONDE",IF(Z1202&gt;0,"FACTURADO","PENDIENTE")))</f>
        <v>FACTURADO</v>
      </c>
      <c r="AG1202" s="133">
        <f>IFERROR(VLOOKUP(DATA[[#This Row],[COMBINADA]],#REF!,6,0),0)</f>
        <v>0</v>
      </c>
      <c r="AH1202" s="125">
        <f>IFERROR(VLOOKUP(DATA[[#This Row],[COMBINADA]],#REF!,9,0),0)/COUNTIFS(DATA[COMBINADA],DATA[[#This Row],[COMBINADA]])</f>
        <v>0</v>
      </c>
      <c r="AI1202" s="136">
        <f>IFERROR(VLOOKUP(DATA[[#This Row],[COMBINADA]],#REF!,6,0),0)</f>
        <v>0</v>
      </c>
      <c r="AJ1202" s="132">
        <f>IFERROR(VLOOKUP(DATA[[#This Row],[COMBINADA]],#REF!,9,0),0)/COUNTIFS(DATA[COMBINADA],DATA[[#This Row],[COMBINADA]])</f>
        <v>0</v>
      </c>
      <c r="AK1202" s="407">
        <f>IFERROR(VLOOKUP(DATA[[#This Row],[COMBINADA]],#REF!,6,0),0)</f>
        <v>0</v>
      </c>
      <c r="AL1202" s="125">
        <f>IFERROR(VLOOKUP(DATA[[#This Row],[COMBINADA]],#REF!,9,0),0)/COUNTIFS(DATA[COMBINADA],DATA[[#This Row],[COMBINADA]])</f>
        <v>0</v>
      </c>
      <c r="AM1202" s="27">
        <f>IFERROR(VLOOKUP(DATA[[#This Row],[COMBINADA]],#REF!,6,0),0)</f>
        <v>0</v>
      </c>
      <c r="AN1202" s="125">
        <f>IFERROR(VLOOKUP(DATA[[#This Row],[COMBINADA]],#REF!,9,0),0)/COUNTIFS(DATA[COMBINADA],DATA[[#This Row],[COMBINADA]])</f>
        <v>0</v>
      </c>
      <c r="AO1202" s="27">
        <f>IFERROR(VLOOKUP(DATA[[#This Row],[COMBINADA]],#REF!,6,0),0)</f>
        <v>0</v>
      </c>
      <c r="AP1202" s="132">
        <f>IFERROR(VLOOKUP(DATA[[#This Row],[COMBINADA]],#REF!,9,0),0)/COUNTIFS(DATA[COMBINADA],DATA[[#This Row],[COMBINADA]])</f>
        <v>0</v>
      </c>
      <c r="AQ120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468.11</v>
      </c>
      <c r="AR1202" s="26" t="str">
        <f>IFERROR(IF(DATA[[#This Row],[estado_fact]]="FACTURADO",VLOOKUP(DATA[[#This Row],[SERIE2]]&amp;"-"&amp;DATA[[#This Row],[NUMERO]],#REF!,34,0),"NO CORRESPONDE"),"NO CORRESPONDE")</f>
        <v>NO CORRESPONDE</v>
      </c>
      <c r="AS1202" s="22" t="str">
        <f>IF(DATA[[#This Row],[fecha_fs]]&gt;0,TEXT(DATA[[#This Row],[fecha_fs]],"Mmmm"),0)</f>
        <v>Setiembre</v>
      </c>
      <c r="AT1202" s="22" t="str">
        <f>DATA[[#This Row],[SERIE2]]&amp;"-"&amp;DATA[[#This Row],[NUMERO]]</f>
        <v>FF01-280</v>
      </c>
      <c r="AU1202" s="28">
        <f>DATA[[#This Row],[TOTAL]]*DATA[[#This Row],[T.C.]]</f>
        <v>468.11</v>
      </c>
      <c r="AV1202" s="6">
        <f>DATA[[#This Row],[FECHA DE VAL.]]</f>
        <v>45926</v>
      </c>
      <c r="AW1202" s="6">
        <f>DATA[[#This Row],[FECHA DE EMISION]]</f>
        <v>45933</v>
      </c>
      <c r="AX1202" s="6">
        <f>DATA[[#This Row],[F1]]</f>
        <v>0</v>
      </c>
      <c r="AY1202" s="20">
        <f>IF(AV1202-DATA[[#This Row],[fecha_fs]]&lt;0,0,AV1202-DATA[[#This Row],[fecha_fs]])</f>
        <v>10</v>
      </c>
      <c r="AZ1202" s="20">
        <f t="shared" si="261"/>
        <v>7</v>
      </c>
      <c r="BA1202" s="53">
        <f t="shared" si="262"/>
        <v>0</v>
      </c>
      <c r="BB1202" s="195">
        <f>IFERROR(SUM(DATA[[#This Row],[fs_val_ttf]:[fact_pago_ttf]]),0)</f>
        <v>17</v>
      </c>
      <c r="BC1202" s="233">
        <v>45916</v>
      </c>
      <c r="BD1202" s="233">
        <v>45916</v>
      </c>
      <c r="BE1202" s="233">
        <v>45930</v>
      </c>
      <c r="BF1202" s="233">
        <v>45930</v>
      </c>
      <c r="BG1202" s="20">
        <f>IFERROR(IF(BC1202-DATA[[#This Row],[fecha_fs]]&lt;0,0,BC1202-DATA[[#This Row],[fecha_fs]]),0)</f>
        <v>0</v>
      </c>
      <c r="BH1202" s="20">
        <f t="shared" si="263"/>
        <v>0</v>
      </c>
      <c r="BI1202" s="20">
        <f t="shared" si="264"/>
        <v>14</v>
      </c>
      <c r="BJ1202" s="20">
        <f t="shared" si="265"/>
        <v>0</v>
      </c>
      <c r="BK1202" s="282">
        <f>IFERROR(SUM(DATA[[#This Row],[fs_fd_ttd]:[fend_fenf_ttd]]),0)</f>
        <v>14</v>
      </c>
      <c r="BL1202" s="20" t="str">
        <f>IF(DATA[[#This Row],[fecha_fs]]&gt;0,TEXT(DATA[[#This Row],[fecha_fs]],"YYYY"),0)</f>
        <v>2025</v>
      </c>
      <c r="BM1202" s="236" t="b">
        <v>1</v>
      </c>
      <c r="BN1202" s="278">
        <f>COUNTIF(DATA[[#This Row],[tiempo_td]], "&lt;=15")</f>
        <v>1</v>
      </c>
      <c r="BO1202" s="222"/>
    </row>
    <row r="1203" spans="1:67" ht="30.6" customHeight="1" x14ac:dyDescent="0.25">
      <c r="A1203" s="4">
        <v>20454186002</v>
      </c>
      <c r="B1203" s="5" t="s">
        <v>25</v>
      </c>
      <c r="C1203" s="52" t="s">
        <v>18</v>
      </c>
      <c r="D1203" s="4" t="s">
        <v>112</v>
      </c>
      <c r="E1203" s="5" t="s">
        <v>1</v>
      </c>
      <c r="F1203" s="24">
        <v>45916</v>
      </c>
      <c r="G1203" s="7" t="s">
        <v>113</v>
      </c>
      <c r="H1203" s="25">
        <f t="shared" si="260"/>
        <v>1</v>
      </c>
      <c r="I1203" s="67">
        <v>5002</v>
      </c>
      <c r="J1203" s="8" t="s">
        <v>115</v>
      </c>
      <c r="K1203" s="9" t="s">
        <v>116</v>
      </c>
      <c r="L1203" s="10" t="s">
        <v>117</v>
      </c>
      <c r="M1203" s="11">
        <v>100</v>
      </c>
      <c r="N1203" s="12" t="s">
        <v>132</v>
      </c>
      <c r="O1203" s="6"/>
      <c r="P1203" s="13" t="s">
        <v>114</v>
      </c>
      <c r="Q1203" s="14"/>
      <c r="R1203" s="74"/>
      <c r="S1203" s="321"/>
      <c r="T1203" s="237">
        <f>DATA[[#This Row],[C. DF]]+DATA[[#This Row],[C.OPE.]]</f>
        <v>0</v>
      </c>
      <c r="U1203" s="15">
        <f>DATA[[#This Row],[SUB TOTAL]]*0.18</f>
        <v>0</v>
      </c>
      <c r="V1203" s="15">
        <f>IFERROR(ROUND(DATA[[#This Row],[SUB TOTAL]]+DATA[[#This Row],[IGV]],2),0)</f>
        <v>0</v>
      </c>
      <c r="W1203" s="16" t="str">
        <f>IF(DATA[[#This Row],[VALORIZACIÓN ]]="-","NO CORRESPONDE",IF(OR(A1203=20558226979,A1203=10470707866,A1203=20111157058,A1203=20100226902),"NO CORRESPONDE",IF(J1203="Emitida",IF(P1203&gt;0,"EMITIDA","PENDIENTE"),"NO CORRESPONDE")))</f>
        <v>NO CORRESPONDE</v>
      </c>
      <c r="X1203" s="29" t="s">
        <v>314</v>
      </c>
      <c r="Y1203" s="17" t="s">
        <v>128</v>
      </c>
      <c r="Z1203" s="30"/>
      <c r="AA1203" s="10"/>
      <c r="AB1203" s="19"/>
      <c r="AC1203" s="20"/>
      <c r="AD1203" s="18">
        <f>DATA[[#This Row],[FECHA DE EMISION]]+DATA[[#This Row],[CONDICION DE PAGO]]</f>
        <v>0</v>
      </c>
      <c r="AE1203" s="23">
        <f>IF(DATA[[#This Row],[MONEDA]]="USD",VLOOKUP(DATA[[#This Row],[COMBINADA]],#REF!,11,0),1)</f>
        <v>1</v>
      </c>
      <c r="AF1203" s="129" t="str">
        <f>IF(DATA[[#This Row],[SERIE2]]="-","NO CORRESPONDE",IF(W1203="NO CORRESPONDE","NO CORRESPONDE",IF(Z1203&gt;0,"FACTURADO","PENDIENTE")))</f>
        <v>NO CORRESPONDE</v>
      </c>
      <c r="AG1203" s="133">
        <f>IFERROR(VLOOKUP(DATA[[#This Row],[COMBINADA]],#REF!,6,0),0)</f>
        <v>0</v>
      </c>
      <c r="AH1203" s="125">
        <f>IFERROR(VLOOKUP(DATA[[#This Row],[COMBINADA]],#REF!,9,0),0)/COUNTIFS(DATA[COMBINADA],DATA[[#This Row],[COMBINADA]])</f>
        <v>0</v>
      </c>
      <c r="AI1203" s="136">
        <f>IFERROR(VLOOKUP(DATA[[#This Row],[COMBINADA]],#REF!,6,0),0)</f>
        <v>0</v>
      </c>
      <c r="AJ1203" s="132">
        <f>IFERROR(VLOOKUP(DATA[[#This Row],[COMBINADA]],#REF!,9,0),0)/COUNTIFS(DATA[COMBINADA],DATA[[#This Row],[COMBINADA]])</f>
        <v>0</v>
      </c>
      <c r="AK1203" s="407">
        <f>IFERROR(VLOOKUP(DATA[[#This Row],[COMBINADA]],#REF!,6,0),0)</f>
        <v>0</v>
      </c>
      <c r="AL1203" s="125">
        <f>IFERROR(VLOOKUP(DATA[[#This Row],[COMBINADA]],#REF!,9,0),0)/COUNTIFS(DATA[COMBINADA],DATA[[#This Row],[COMBINADA]])</f>
        <v>0</v>
      </c>
      <c r="AM1203" s="27">
        <f>IFERROR(VLOOKUP(DATA[[#This Row],[COMBINADA]],#REF!,6,0),0)</f>
        <v>0</v>
      </c>
      <c r="AN1203" s="125">
        <f>IFERROR(VLOOKUP(DATA[[#This Row],[COMBINADA]],#REF!,9,0),0)/COUNTIFS(DATA[COMBINADA],DATA[[#This Row],[COMBINADA]])</f>
        <v>0</v>
      </c>
      <c r="AO1203" s="27">
        <f>IFERROR(VLOOKUP(DATA[[#This Row],[COMBINADA]],#REF!,6,0),0)</f>
        <v>0</v>
      </c>
      <c r="AP1203" s="132">
        <f>IFERROR(VLOOKUP(DATA[[#This Row],[COMBINADA]],#REF!,9,0),0)/COUNTIFS(DATA[COMBINADA],DATA[[#This Row],[COMBINADA]])</f>
        <v>0</v>
      </c>
      <c r="AQ120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203" s="26" t="str">
        <f>IFERROR(IF(DATA[[#This Row],[estado_fact]]="FACTURADO",VLOOKUP(DATA[[#This Row],[SERIE2]]&amp;"-"&amp;DATA[[#This Row],[NUMERO]],#REF!,34,0),"NO CORRESPONDE"),"NO CORRESPONDE")</f>
        <v>NO CORRESPONDE</v>
      </c>
      <c r="AS1203" s="22" t="str">
        <f>IF(DATA[[#This Row],[fecha_fs]]&gt;0,TEXT(DATA[[#This Row],[fecha_fs]],"Mmmm"),0)</f>
        <v>Setiembre</v>
      </c>
      <c r="AT1203" s="22" t="str">
        <f>DATA[[#This Row],[SERIE2]]&amp;"-"&amp;DATA[[#This Row],[NUMERO]]</f>
        <v>-</v>
      </c>
      <c r="AU1203" s="28">
        <f>DATA[[#This Row],[TOTAL]]*DATA[[#This Row],[T.C.]]</f>
        <v>0</v>
      </c>
      <c r="AV1203" s="6">
        <f>DATA[[#This Row],[FECHA DE VAL.]]</f>
        <v>0</v>
      </c>
      <c r="AW1203" s="6">
        <f>DATA[[#This Row],[FECHA DE EMISION]]</f>
        <v>0</v>
      </c>
      <c r="AX1203" s="6">
        <f>DATA[[#This Row],[F1]]</f>
        <v>0</v>
      </c>
      <c r="AY1203" s="20">
        <f>IF(AV1203-DATA[[#This Row],[fecha_fs]]&lt;0,0,AV1203-DATA[[#This Row],[fecha_fs]])</f>
        <v>0</v>
      </c>
      <c r="AZ1203" s="20">
        <f t="shared" si="261"/>
        <v>0</v>
      </c>
      <c r="BA1203" s="53">
        <f t="shared" si="262"/>
        <v>0</v>
      </c>
      <c r="BB1203" s="195">
        <f>IFERROR(SUM(DATA[[#This Row],[fs_val_ttf]:[fact_pago_ttf]]),0)</f>
        <v>0</v>
      </c>
      <c r="BC1203" s="185">
        <v>45920</v>
      </c>
      <c r="BD1203" s="233">
        <v>45943</v>
      </c>
      <c r="BE1203" s="233">
        <v>45943</v>
      </c>
      <c r="BF1203" s="233">
        <v>45950</v>
      </c>
      <c r="BG1203" s="20">
        <f>IFERROR(IF(BC1203-DATA[[#This Row],[fecha_fs]]&lt;0,0,BC1203-DATA[[#This Row],[fecha_fs]]),0)</f>
        <v>4</v>
      </c>
      <c r="BH1203" s="20">
        <f t="shared" si="263"/>
        <v>23</v>
      </c>
      <c r="BI1203" s="20">
        <f t="shared" si="264"/>
        <v>0</v>
      </c>
      <c r="BJ1203" s="20">
        <f t="shared" si="265"/>
        <v>7</v>
      </c>
      <c r="BK1203" s="282">
        <f>IFERROR(SUM(DATA[[#This Row],[fs_fd_ttd]:[fend_fenf_ttd]]),0)</f>
        <v>34</v>
      </c>
      <c r="BL1203" s="20" t="str">
        <f>IF(DATA[[#This Row],[fecha_fs]]&gt;0,TEXT(DATA[[#This Row],[fecha_fs]],"YYYY"),0)</f>
        <v>2025</v>
      </c>
      <c r="BM1203" s="236" t="b">
        <v>1</v>
      </c>
      <c r="BN1203" s="278">
        <f>COUNTIF(DATA[[#This Row],[tiempo_td]], "&lt;=15")</f>
        <v>0</v>
      </c>
      <c r="BO1203" s="222"/>
    </row>
    <row r="1204" spans="1:67" ht="30.6" customHeight="1" x14ac:dyDescent="0.25">
      <c r="A1204" s="4">
        <v>20610105620</v>
      </c>
      <c r="B1204" s="5" t="s">
        <v>311</v>
      </c>
      <c r="C1204" s="52" t="s">
        <v>312</v>
      </c>
      <c r="D1204" s="4" t="s">
        <v>120</v>
      </c>
      <c r="E1204" s="5" t="s">
        <v>3</v>
      </c>
      <c r="F1204" s="24">
        <v>45912</v>
      </c>
      <c r="G1204" s="7" t="s">
        <v>113</v>
      </c>
      <c r="H1204" s="25">
        <f t="shared" si="260"/>
        <v>1</v>
      </c>
      <c r="I1204" s="67">
        <v>5003</v>
      </c>
      <c r="J1204" s="8" t="s">
        <v>115</v>
      </c>
      <c r="K1204" s="9" t="s">
        <v>121</v>
      </c>
      <c r="L1204" s="10" t="s">
        <v>117</v>
      </c>
      <c r="M1204" s="11">
        <v>1070</v>
      </c>
      <c r="N1204" s="12" t="s">
        <v>249</v>
      </c>
      <c r="O1204" s="6">
        <v>45930</v>
      </c>
      <c r="P1204" s="400">
        <v>3709</v>
      </c>
      <c r="Q1204" s="14" t="s">
        <v>85</v>
      </c>
      <c r="R1204" s="237">
        <f>80+((DATA[[#This Row],[cantidad_fs]]-1000)*0.08)</f>
        <v>85.6</v>
      </c>
      <c r="S1204" s="321">
        <v>2120</v>
      </c>
      <c r="T1204" s="237">
        <f>DATA[[#This Row],[C. DF]]+DATA[[#This Row],[C.OPE.]]</f>
        <v>2205.6</v>
      </c>
      <c r="U1204" s="15">
        <f>DATA[[#This Row],[SUB TOTAL]]*0.18</f>
        <v>397.00799999999998</v>
      </c>
      <c r="V1204" s="15">
        <f>IFERROR(ROUND(DATA[[#This Row],[SUB TOTAL]]+DATA[[#This Row],[IGV]],2),0)</f>
        <v>2602.61</v>
      </c>
      <c r="W1204" s="16" t="str">
        <f>IF(DATA[[#This Row],[VALORIZACIÓN ]]="-","NO CORRESPONDE",IF(OR(A1204=20558226979,A1204=10470707866,A1204=20111157058,A1204=20100226902),"NO CORRESPONDE",IF(J1204="Emitida",IF(P1204&gt;0,"EMITIDA","PENDIENTE"),"NO CORRESPONDE")))</f>
        <v>EMITIDA</v>
      </c>
      <c r="X1204" s="29"/>
      <c r="Y1204" s="17" t="s">
        <v>118</v>
      </c>
      <c r="Z1204" s="30">
        <v>45968</v>
      </c>
      <c r="AA1204" s="10" t="s">
        <v>150</v>
      </c>
      <c r="AB1204" s="19">
        <v>349</v>
      </c>
      <c r="AC1204" s="20">
        <v>30</v>
      </c>
      <c r="AD1204" s="18">
        <f>DATA[[#This Row],[FECHA DE EMISION]]+DATA[[#This Row],[CONDICION DE PAGO]]</f>
        <v>45998</v>
      </c>
      <c r="AE1204" s="23">
        <f>IF(DATA[[#This Row],[MONEDA]]="USD",VLOOKUP(DATA[[#This Row],[COMBINADA]],#REF!,11,0),1)</f>
        <v>1</v>
      </c>
      <c r="AF1204" s="129" t="str">
        <f>IF(DATA[[#This Row],[SERIE2]]="-","NO CORRESPONDE",IF(W1204="NO CORRESPONDE","NO CORRESPONDE",IF(Z1204&gt;0,"FACTURADO","PENDIENTE")))</f>
        <v>FACTURADO</v>
      </c>
      <c r="AG1204" s="133">
        <f>IFERROR(VLOOKUP(DATA[[#This Row],[COMBINADA]],#REF!,6,0),0)</f>
        <v>0</v>
      </c>
      <c r="AH1204" s="125">
        <f>IFERROR(VLOOKUP(DATA[[#This Row],[COMBINADA]],#REF!,9,0),0)/COUNTIFS(DATA[COMBINADA],DATA[[#This Row],[COMBINADA]])</f>
        <v>0</v>
      </c>
      <c r="AI1204" s="136">
        <f>IFERROR(VLOOKUP(DATA[[#This Row],[COMBINADA]],#REF!,6,0),0)</f>
        <v>0</v>
      </c>
      <c r="AJ1204" s="132">
        <f>IFERROR(VLOOKUP(DATA[[#This Row],[COMBINADA]],#REF!,9,0),0)/COUNTIFS(DATA[COMBINADA],DATA[[#This Row],[COMBINADA]])</f>
        <v>0</v>
      </c>
      <c r="AK1204" s="407">
        <f>IFERROR(VLOOKUP(DATA[[#This Row],[COMBINADA]],#REF!,6,0),0)</f>
        <v>0</v>
      </c>
      <c r="AL1204" s="125">
        <f>IFERROR(VLOOKUP(DATA[[#This Row],[COMBINADA]],#REF!,9,0),0)/COUNTIFS(DATA[COMBINADA],DATA[[#This Row],[COMBINADA]])</f>
        <v>0</v>
      </c>
      <c r="AM1204" s="27">
        <f>IFERROR(VLOOKUP(DATA[[#This Row],[COMBINADA]],#REF!,6,0),0)</f>
        <v>0</v>
      </c>
      <c r="AN1204" s="125">
        <f>IFERROR(VLOOKUP(DATA[[#This Row],[COMBINADA]],#REF!,9,0),0)/COUNTIFS(DATA[COMBINADA],DATA[[#This Row],[COMBINADA]])</f>
        <v>0</v>
      </c>
      <c r="AO1204" s="27">
        <f>IFERROR(VLOOKUP(DATA[[#This Row],[COMBINADA]],#REF!,6,0),0)</f>
        <v>0</v>
      </c>
      <c r="AP1204" s="132">
        <f>IFERROR(VLOOKUP(DATA[[#This Row],[COMBINADA]],#REF!,9,0),0)/COUNTIFS(DATA[COMBINADA],DATA[[#This Row],[COMBINADA]])</f>
        <v>0</v>
      </c>
      <c r="AQ120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2515.7599999999998</v>
      </c>
      <c r="AR1204" s="26" t="str">
        <f>IFERROR(IF(DATA[[#This Row],[estado_fact]]="FACTURADO",VLOOKUP(DATA[[#This Row],[SERIE2]]&amp;"-"&amp;DATA[[#This Row],[NUMERO]],#REF!,34,0),"NO CORRESPONDE"),"NO CORRESPONDE")</f>
        <v>NO CORRESPONDE</v>
      </c>
      <c r="AS1204" s="22" t="str">
        <f>IF(DATA[[#This Row],[fecha_fs]]&gt;0,TEXT(DATA[[#This Row],[fecha_fs]],"Mmmm"),0)</f>
        <v>Setiembre</v>
      </c>
      <c r="AT1204" s="22" t="str">
        <f>DATA[[#This Row],[SERIE2]]&amp;"-"&amp;DATA[[#This Row],[NUMERO]]</f>
        <v>FF01-349</v>
      </c>
      <c r="AU1204" s="28">
        <f>DATA[[#This Row],[TOTAL]]*DATA[[#This Row],[T.C.]]</f>
        <v>2602.61</v>
      </c>
      <c r="AV1204" s="6">
        <f>DATA[[#This Row],[FECHA DE VAL.]]</f>
        <v>45930</v>
      </c>
      <c r="AW1204" s="6">
        <f>DATA[[#This Row],[FECHA DE EMISION]]</f>
        <v>45968</v>
      </c>
      <c r="AX1204" s="6">
        <f>DATA[[#This Row],[F1]]</f>
        <v>0</v>
      </c>
      <c r="AY1204" s="20">
        <f>IF(AV1204-DATA[[#This Row],[fecha_fs]]&lt;0,0,AV1204-DATA[[#This Row],[fecha_fs]])</f>
        <v>18</v>
      </c>
      <c r="AZ1204" s="20">
        <f t="shared" si="261"/>
        <v>38</v>
      </c>
      <c r="BA1204" s="53">
        <f t="shared" si="262"/>
        <v>0</v>
      </c>
      <c r="BB1204" s="195">
        <f>IFERROR(SUM(DATA[[#This Row],[fs_val_ttf]:[fact_pago_ttf]]),0)</f>
        <v>56</v>
      </c>
      <c r="BC1204" s="233">
        <v>45917</v>
      </c>
      <c r="BD1204" s="377">
        <v>45929</v>
      </c>
      <c r="BE1204" s="377">
        <v>45929</v>
      </c>
      <c r="BF1204" s="233">
        <v>45957</v>
      </c>
      <c r="BG1204" s="20">
        <f>IFERROR(IF(BC1204-DATA[[#This Row],[fecha_fs]]&lt;0,0,BC1204-DATA[[#This Row],[fecha_fs]]),0)</f>
        <v>5</v>
      </c>
      <c r="BH1204" s="20">
        <f t="shared" si="263"/>
        <v>12</v>
      </c>
      <c r="BI1204" s="20">
        <f t="shared" si="264"/>
        <v>0</v>
      </c>
      <c r="BJ1204" s="20">
        <f t="shared" si="265"/>
        <v>28</v>
      </c>
      <c r="BK1204" s="282">
        <f>IFERROR(SUM(DATA[[#This Row],[fs_fd_ttd]:[fend_fenf_ttd]]),0)</f>
        <v>45</v>
      </c>
      <c r="BL1204" s="20" t="str">
        <f>IF(DATA[[#This Row],[fecha_fs]]&gt;0,TEXT(DATA[[#This Row],[fecha_fs]],"YYYY"),0)</f>
        <v>2025</v>
      </c>
      <c r="BM1204" s="236" t="b">
        <v>1</v>
      </c>
      <c r="BN1204" s="278">
        <f>COUNTIF(DATA[[#This Row],[tiempo_td]], "&lt;=15")</f>
        <v>0</v>
      </c>
      <c r="BO1204" s="222"/>
    </row>
    <row r="1205" spans="1:67" ht="30.6" customHeight="1" x14ac:dyDescent="0.25">
      <c r="A1205" s="325">
        <v>20558226979</v>
      </c>
      <c r="B1205" s="326" t="s">
        <v>45</v>
      </c>
      <c r="C1205" s="52" t="s">
        <v>18</v>
      </c>
      <c r="D1205" s="4" t="s">
        <v>120</v>
      </c>
      <c r="E1205" s="326" t="s">
        <v>3</v>
      </c>
      <c r="F1205" s="328">
        <v>45911</v>
      </c>
      <c r="G1205" s="329" t="s">
        <v>113</v>
      </c>
      <c r="H1205" s="330">
        <f t="shared" si="260"/>
        <v>1</v>
      </c>
      <c r="I1205" s="331">
        <v>5004</v>
      </c>
      <c r="J1205" s="8" t="s">
        <v>115</v>
      </c>
      <c r="K1205" s="9" t="s">
        <v>121</v>
      </c>
      <c r="L1205" s="10" t="s">
        <v>117</v>
      </c>
      <c r="M1205" s="335">
        <v>4220</v>
      </c>
      <c r="N1205" s="12" t="s">
        <v>122</v>
      </c>
      <c r="O1205" s="359"/>
      <c r="P1205" s="371" t="s">
        <v>114</v>
      </c>
      <c r="Q1205" s="372"/>
      <c r="R1205" s="373"/>
      <c r="S1205" s="373"/>
      <c r="T1205" s="373">
        <f>DATA[[#This Row],[C. DF]]+DATA[[#This Row],[C.OPE.]]</f>
        <v>0</v>
      </c>
      <c r="U1205" s="373">
        <f>DATA[[#This Row],[SUB TOTAL]]*0.18</f>
        <v>0</v>
      </c>
      <c r="V1205" s="373">
        <f>IFERROR(ROUND(DATA[[#This Row],[SUB TOTAL]]+DATA[[#This Row],[IGV]],2),0)</f>
        <v>0</v>
      </c>
      <c r="W1205" s="339" t="str">
        <f>IF(DATA[[#This Row],[VALORIZACIÓN ]]="-","NO CORRESPONDE",IF(OR(A1205=20558226979,A1205=10470707866,A1205=20111157058,A1205=20100226902),"NO CORRESPONDE",IF(J1205="Emitida",IF(P1205&gt;0,"EMITIDA","PENDIENTE"),"NO CORRESPONDE")))</f>
        <v>NO CORRESPONDE</v>
      </c>
      <c r="X1205" s="340"/>
      <c r="Y1205" s="341" t="s">
        <v>128</v>
      </c>
      <c r="Z1205" s="342"/>
      <c r="AA1205" s="343"/>
      <c r="AB1205" s="344"/>
      <c r="AC1205" s="345"/>
      <c r="AD1205" s="346">
        <f>DATA[[#This Row],[FECHA DE EMISION]]+DATA[[#This Row],[CONDICION DE PAGO]]</f>
        <v>0</v>
      </c>
      <c r="AE1205" s="347">
        <f>IF(DATA[[#This Row],[MONEDA]]="USD",VLOOKUP(DATA[[#This Row],[COMBINADA]],#REF!,11,0),1)</f>
        <v>1</v>
      </c>
      <c r="AF1205" s="348" t="str">
        <f>IF(DATA[[#This Row],[SERIE2]]="-","NO CORRESPONDE",IF(W1205="NO CORRESPONDE","NO CORRESPONDE",IF(Z1205&gt;0,"FACTURADO","PENDIENTE")))</f>
        <v>NO CORRESPONDE</v>
      </c>
      <c r="AG1205" s="349">
        <f>IFERROR(VLOOKUP(DATA[[#This Row],[COMBINADA]],#REF!,6,0),0)</f>
        <v>0</v>
      </c>
      <c r="AH1205" s="350">
        <f>IFERROR(VLOOKUP(DATA[[#This Row],[COMBINADA]],#REF!,9,0),0)/COUNTIFS(DATA[COMBINADA],DATA[[#This Row],[COMBINADA]])</f>
        <v>0</v>
      </c>
      <c r="AI1205" s="351">
        <f>IFERROR(VLOOKUP(DATA[[#This Row],[COMBINADA]],#REF!,6,0),0)</f>
        <v>0</v>
      </c>
      <c r="AJ1205" s="352">
        <f>IFERROR(VLOOKUP(DATA[[#This Row],[COMBINADA]],#REF!,9,0),0)/COUNTIFS(DATA[COMBINADA],DATA[[#This Row],[COMBINADA]])</f>
        <v>0</v>
      </c>
      <c r="AK1205" s="353">
        <f>IFERROR(VLOOKUP(DATA[[#This Row],[COMBINADA]],#REF!,6,0),0)</f>
        <v>0</v>
      </c>
      <c r="AL1205" s="352">
        <f>IFERROR(VLOOKUP(DATA[[#This Row],[COMBINADA]],#REF!,9,0),0)/COUNTIFS(DATA[COMBINADA],DATA[[#This Row],[COMBINADA]])</f>
        <v>0</v>
      </c>
      <c r="AM1205" s="353">
        <f>IFERROR(VLOOKUP(DATA[[#This Row],[COMBINADA]],#REF!,6,0),0)</f>
        <v>0</v>
      </c>
      <c r="AN1205" s="354">
        <f>IFERROR(VLOOKUP(DATA[[#This Row],[COMBINADA]],#REF!,9,0),0)/COUNTIFS(DATA[COMBINADA],DATA[[#This Row],[COMBINADA]])</f>
        <v>0</v>
      </c>
      <c r="AO1205" s="353">
        <f>IFERROR(VLOOKUP(DATA[[#This Row],[COMBINADA]],#REF!,6,0),0)</f>
        <v>0</v>
      </c>
      <c r="AP1205" s="354">
        <f>IFERROR(VLOOKUP(DATA[[#This Row],[COMBINADA]],#REF!,9,0),0)/COUNTIFS(DATA[COMBINADA],DATA[[#This Row],[COMBINADA]])</f>
        <v>0</v>
      </c>
      <c r="AQ1205" s="355">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205" s="356" t="str">
        <f>IFERROR(IF(DATA[[#This Row],[estado_fact]]="FACTURADO",VLOOKUP(DATA[[#This Row],[SERIE2]]&amp;"-"&amp;DATA[[#This Row],[NUMERO]],#REF!,34,0),"NO CORRESPONDE"),"NO CORRESPONDE")</f>
        <v>NO CORRESPONDE</v>
      </c>
      <c r="AS1205" s="357" t="str">
        <f>IF(DATA[[#This Row],[fecha_fs]]&gt;0,TEXT(DATA[[#This Row],[fecha_fs]],"Mmmm"),0)</f>
        <v>Setiembre</v>
      </c>
      <c r="AT1205" s="358" t="str">
        <f>DATA[[#This Row],[SERIE2]]&amp;"-"&amp;DATA[[#This Row],[NUMERO]]</f>
        <v>-</v>
      </c>
      <c r="AU1205" s="357">
        <f>DATA[[#This Row],[TOTAL]]*DATA[[#This Row],[T.C.]]</f>
        <v>0</v>
      </c>
      <c r="AV1205" s="359">
        <f>DATA[[#This Row],[FECHA DE VAL.]]</f>
        <v>0</v>
      </c>
      <c r="AW1205" s="359">
        <f>DATA[[#This Row],[FECHA DE EMISION]]</f>
        <v>0</v>
      </c>
      <c r="AX1205" s="359">
        <f>DATA[[#This Row],[F1]]</f>
        <v>0</v>
      </c>
      <c r="AY1205" s="343">
        <f>IF(AV1205-DATA[[#This Row],[fecha_fs]]&lt;0,0,AV1205-DATA[[#This Row],[fecha_fs]])</f>
        <v>0</v>
      </c>
      <c r="AZ1205" s="343">
        <f t="shared" si="261"/>
        <v>0</v>
      </c>
      <c r="BA1205" s="343">
        <f t="shared" si="262"/>
        <v>0</v>
      </c>
      <c r="BB1205" s="360">
        <f>IFERROR(SUM(DATA[[#This Row],[fs_val_ttf]:[fact_pago_ttf]]),0)</f>
        <v>0</v>
      </c>
      <c r="BC1205" s="377">
        <v>45911</v>
      </c>
      <c r="BD1205" s="377">
        <v>45936</v>
      </c>
      <c r="BE1205" s="377">
        <v>45936</v>
      </c>
      <c r="BF1205" s="377">
        <v>45937</v>
      </c>
      <c r="BG1205" s="399">
        <f>IFERROR(IF(BC1205-DATA[[#This Row],[fecha_fs]]&lt;0,0,BC1205-DATA[[#This Row],[fecha_fs]]),0)</f>
        <v>0</v>
      </c>
      <c r="BH1205" s="399">
        <f t="shared" si="263"/>
        <v>25</v>
      </c>
      <c r="BI1205" s="399">
        <f t="shared" si="264"/>
        <v>0</v>
      </c>
      <c r="BJ1205" s="399">
        <f t="shared" si="265"/>
        <v>1</v>
      </c>
      <c r="BK1205" s="362">
        <f>IFERROR(SUM(DATA[[#This Row],[fs_fd_ttd]:[fend_fenf_ttd]]),0)</f>
        <v>26</v>
      </c>
      <c r="BL1205" s="20" t="str">
        <f>IF(DATA[[#This Row],[fecha_fs]]&gt;0,TEXT(DATA[[#This Row],[fecha_fs]],"YYYY"),0)</f>
        <v>2025</v>
      </c>
      <c r="BM1205" s="363" t="b">
        <v>1</v>
      </c>
      <c r="BN1205" s="364">
        <f>COUNTIF(DATA[[#This Row],[tiempo_td]], "&lt;=15")</f>
        <v>0</v>
      </c>
      <c r="BO1205" s="365"/>
    </row>
    <row r="1206" spans="1:67" ht="30.6" customHeight="1" x14ac:dyDescent="0.25">
      <c r="A1206" s="4">
        <v>20100211115</v>
      </c>
      <c r="B1206" s="5" t="s">
        <v>41</v>
      </c>
      <c r="C1206" s="52" t="s">
        <v>18</v>
      </c>
      <c r="D1206" s="4" t="s">
        <v>120</v>
      </c>
      <c r="E1206" s="5" t="s">
        <v>3</v>
      </c>
      <c r="F1206" s="24">
        <v>45917</v>
      </c>
      <c r="G1206" s="7" t="s">
        <v>113</v>
      </c>
      <c r="H1206" s="25">
        <f t="shared" si="260"/>
        <v>1</v>
      </c>
      <c r="I1206" s="67">
        <v>5005</v>
      </c>
      <c r="J1206" s="8" t="s">
        <v>115</v>
      </c>
      <c r="K1206" s="9" t="s">
        <v>121</v>
      </c>
      <c r="L1206" s="10" t="s">
        <v>117</v>
      </c>
      <c r="M1206" s="11">
        <v>90</v>
      </c>
      <c r="N1206" s="12" t="s">
        <v>167</v>
      </c>
      <c r="O1206" s="6">
        <v>45926</v>
      </c>
      <c r="P1206" s="115">
        <v>3679</v>
      </c>
      <c r="Q1206" s="14" t="s">
        <v>85</v>
      </c>
      <c r="R1206" s="74"/>
      <c r="S1206" s="15">
        <f>(DATA[[#This Row],[cantidad_fs]]*4.17)</f>
        <v>375.3</v>
      </c>
      <c r="T1206" s="237">
        <f>DATA[[#This Row],[C. DF]]+DATA[[#This Row],[C.OPE.]]</f>
        <v>375.3</v>
      </c>
      <c r="U1206" s="15">
        <f>DATA[[#This Row],[SUB TOTAL]]*0.18</f>
        <v>67.554000000000002</v>
      </c>
      <c r="V1206" s="15">
        <f>IFERROR(ROUND(DATA[[#This Row],[SUB TOTAL]]+DATA[[#This Row],[IGV]],2),0)</f>
        <v>442.85</v>
      </c>
      <c r="W1206" s="16" t="str">
        <f>IF(DATA[[#This Row],[VALORIZACIÓN ]]="-","NO CORRESPONDE",IF(OR(A1206=20558226979,A1206=10470707866,A1206=20111157058,A1206=20100226902),"NO CORRESPONDE",IF(J1206="Emitida",IF(P1206&gt;0,"EMITIDA","PENDIENTE"),"NO CORRESPONDE")))</f>
        <v>EMITIDA</v>
      </c>
      <c r="X1206" s="29"/>
      <c r="Y1206" s="17" t="s">
        <v>118</v>
      </c>
      <c r="Z1206" s="30">
        <v>45930</v>
      </c>
      <c r="AA1206" s="10" t="s">
        <v>150</v>
      </c>
      <c r="AB1206" s="19">
        <v>269</v>
      </c>
      <c r="AC1206" s="20">
        <v>30</v>
      </c>
      <c r="AD1206" s="18">
        <f>DATA[[#This Row],[FECHA DE EMISION]]+DATA[[#This Row],[CONDICION DE PAGO]]</f>
        <v>45960</v>
      </c>
      <c r="AE1206" s="23">
        <f>IF(DATA[[#This Row],[MONEDA]]="USD",VLOOKUP(DATA[[#This Row],[COMBINADA]],#REF!,11,0),1)</f>
        <v>1</v>
      </c>
      <c r="AF1206" s="129" t="str">
        <f>IF(DATA[[#This Row],[SERIE2]]="-","NO CORRESPONDE",IF(W1206="NO CORRESPONDE","NO CORRESPONDE",IF(Z1206&gt;0,"FACTURADO","PENDIENTE")))</f>
        <v>FACTURADO</v>
      </c>
      <c r="AG1206" s="133">
        <f>IFERROR(VLOOKUP(DATA[[#This Row],[COMBINADA]],#REF!,6,0),0)</f>
        <v>0</v>
      </c>
      <c r="AH1206" s="125">
        <f>IFERROR(VLOOKUP(DATA[[#This Row],[COMBINADA]],#REF!,9,0),0)/COUNTIFS(DATA[COMBINADA],DATA[[#This Row],[COMBINADA]])</f>
        <v>0</v>
      </c>
      <c r="AI1206" s="136">
        <f>IFERROR(VLOOKUP(DATA[[#This Row],[COMBINADA]],#REF!,6,0),0)</f>
        <v>0</v>
      </c>
      <c r="AJ1206" s="132">
        <f>IFERROR(VLOOKUP(DATA[[#This Row],[COMBINADA]],#REF!,9,0),0)/COUNTIFS(DATA[COMBINADA],DATA[[#This Row],[COMBINADA]])</f>
        <v>0</v>
      </c>
      <c r="AK1206" s="407">
        <f>IFERROR(VLOOKUP(DATA[[#This Row],[COMBINADA]],#REF!,6,0),0)</f>
        <v>0</v>
      </c>
      <c r="AL1206" s="125">
        <f>IFERROR(VLOOKUP(DATA[[#This Row],[COMBINADA]],#REF!,9,0),0)/COUNTIFS(DATA[COMBINADA],DATA[[#This Row],[COMBINADA]])</f>
        <v>0</v>
      </c>
      <c r="AM1206" s="27">
        <f>IFERROR(VLOOKUP(DATA[[#This Row],[COMBINADA]],#REF!,6,0),0)</f>
        <v>0</v>
      </c>
      <c r="AN1206" s="125">
        <f>IFERROR(VLOOKUP(DATA[[#This Row],[COMBINADA]],#REF!,9,0),0)/COUNTIFS(DATA[COMBINADA],DATA[[#This Row],[COMBINADA]])</f>
        <v>0</v>
      </c>
      <c r="AO1206" s="27">
        <f>IFERROR(VLOOKUP(DATA[[#This Row],[COMBINADA]],#REF!,6,0),0)</f>
        <v>0</v>
      </c>
      <c r="AP1206" s="132">
        <f>IFERROR(VLOOKUP(DATA[[#This Row],[COMBINADA]],#REF!,9,0),0)/COUNTIFS(DATA[COMBINADA],DATA[[#This Row],[COMBINADA]])</f>
        <v>0</v>
      </c>
      <c r="AQ120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206" s="26" t="str">
        <f>IFERROR(IF(DATA[[#This Row],[estado_fact]]="FACTURADO",VLOOKUP(DATA[[#This Row],[SERIE2]]&amp;"-"&amp;DATA[[#This Row],[NUMERO]],#REF!,34,0),"NO CORRESPONDE"),"NO CORRESPONDE")</f>
        <v>NO CORRESPONDE</v>
      </c>
      <c r="AS1206" s="22" t="str">
        <f>IF(DATA[[#This Row],[fecha_fs]]&gt;0,TEXT(DATA[[#This Row],[fecha_fs]],"Mmmm"),0)</f>
        <v>Setiembre</v>
      </c>
      <c r="AT1206" s="22" t="str">
        <f>DATA[[#This Row],[SERIE2]]&amp;"-"&amp;DATA[[#This Row],[NUMERO]]</f>
        <v>FF01-269</v>
      </c>
      <c r="AU1206" s="28">
        <f>DATA[[#This Row],[TOTAL]]*DATA[[#This Row],[T.C.]]</f>
        <v>442.85</v>
      </c>
      <c r="AV1206" s="6">
        <f>DATA[[#This Row],[FECHA DE VAL.]]</f>
        <v>45926</v>
      </c>
      <c r="AW1206" s="6">
        <f>DATA[[#This Row],[FECHA DE EMISION]]</f>
        <v>45930</v>
      </c>
      <c r="AX1206" s="6">
        <f>DATA[[#This Row],[F1]]</f>
        <v>0</v>
      </c>
      <c r="AY1206" s="20">
        <f>IF(AV1206-DATA[[#This Row],[fecha_fs]]&lt;0,0,AV1206-DATA[[#This Row],[fecha_fs]])</f>
        <v>9</v>
      </c>
      <c r="AZ1206" s="20">
        <f t="shared" si="261"/>
        <v>4</v>
      </c>
      <c r="BA1206" s="53">
        <f t="shared" si="262"/>
        <v>0</v>
      </c>
      <c r="BB1206" s="195">
        <f>IFERROR(SUM(DATA[[#This Row],[fs_val_ttf]:[fact_pago_ttf]]),0)</f>
        <v>13</v>
      </c>
      <c r="BC1206" s="233">
        <v>45932</v>
      </c>
      <c r="BD1206" s="233">
        <v>45939</v>
      </c>
      <c r="BE1206" s="233">
        <v>45939</v>
      </c>
      <c r="BF1206" s="233">
        <v>45940</v>
      </c>
      <c r="BG1206" s="20">
        <f>IFERROR(IF(BC1206-DATA[[#This Row],[fecha_fs]]&lt;0,0,BC1206-DATA[[#This Row],[fecha_fs]]),0)</f>
        <v>15</v>
      </c>
      <c r="BH1206" s="20">
        <f t="shared" si="263"/>
        <v>7</v>
      </c>
      <c r="BI1206" s="20">
        <f t="shared" si="264"/>
        <v>0</v>
      </c>
      <c r="BJ1206" s="20">
        <f t="shared" si="265"/>
        <v>1</v>
      </c>
      <c r="BK1206" s="282">
        <f>IFERROR(SUM(DATA[[#This Row],[fs_fd_ttd]:[fend_fenf_ttd]]),0)</f>
        <v>23</v>
      </c>
      <c r="BL1206" s="20" t="str">
        <f>IF(DATA[[#This Row],[fecha_fs]]&gt;0,TEXT(DATA[[#This Row],[fecha_fs]],"YYYY"),0)</f>
        <v>2025</v>
      </c>
      <c r="BM1206" s="236" t="b">
        <v>1</v>
      </c>
      <c r="BN1206" s="278">
        <f>COUNTIF(DATA[[#This Row],[tiempo_td]], "&lt;=15")</f>
        <v>0</v>
      </c>
      <c r="BO1206" s="222"/>
    </row>
    <row r="1207" spans="1:67" ht="30.6" customHeight="1" x14ac:dyDescent="0.25">
      <c r="A1207" s="4">
        <v>20505675836</v>
      </c>
      <c r="B1207" s="5" t="s">
        <v>42</v>
      </c>
      <c r="C1207" s="52" t="s">
        <v>20</v>
      </c>
      <c r="D1207" s="4" t="s">
        <v>112</v>
      </c>
      <c r="E1207" s="5" t="s">
        <v>1</v>
      </c>
      <c r="F1207" s="24">
        <v>45917</v>
      </c>
      <c r="G1207" s="7" t="s">
        <v>113</v>
      </c>
      <c r="H1207" s="25">
        <f t="shared" si="260"/>
        <v>1</v>
      </c>
      <c r="I1207" s="67">
        <v>5006</v>
      </c>
      <c r="J1207" s="8" t="s">
        <v>115</v>
      </c>
      <c r="K1207" s="9" t="s">
        <v>116</v>
      </c>
      <c r="L1207" s="10" t="s">
        <v>117</v>
      </c>
      <c r="M1207" s="11">
        <v>680</v>
      </c>
      <c r="N1207" s="12" t="s">
        <v>249</v>
      </c>
      <c r="O1207" s="6">
        <v>45926</v>
      </c>
      <c r="P1207" s="71">
        <v>3686</v>
      </c>
      <c r="Q1207" s="14" t="s">
        <v>85</v>
      </c>
      <c r="R1207" s="15">
        <f>(DATA[[#This Row],[cantidad_fs]]-600)*0.97</f>
        <v>77.599999999999994</v>
      </c>
      <c r="S1207" s="56">
        <v>1988.35</v>
      </c>
      <c r="T1207" s="237">
        <f>DATA[[#This Row],[C. DF]]+DATA[[#This Row],[C.OPE.]]</f>
        <v>2065.9499999999998</v>
      </c>
      <c r="U1207" s="15">
        <f>DATA[[#This Row],[SUB TOTAL]]*0.18</f>
        <v>371.87099999999998</v>
      </c>
      <c r="V1207" s="15">
        <f>IFERROR(ROUND(DATA[[#This Row],[SUB TOTAL]]+DATA[[#This Row],[IGV]],2),0)</f>
        <v>2437.8200000000002</v>
      </c>
      <c r="W1207" s="16" t="str">
        <f>IF(DATA[[#This Row],[VALORIZACIÓN ]]="-","NO CORRESPONDE",IF(OR(A1207=20558226979,A1207=10470707866,A1207=20111157058,A1207=20100226902),"NO CORRESPONDE",IF(J1207="Emitida",IF(P1207&gt;0,"EMITIDA","PENDIENTE"),"NO CORRESPONDE")))</f>
        <v>EMITIDA</v>
      </c>
      <c r="X1207" s="29"/>
      <c r="Y1207" s="17" t="s">
        <v>118</v>
      </c>
      <c r="Z1207" s="30">
        <v>45968</v>
      </c>
      <c r="AA1207" s="10" t="s">
        <v>150</v>
      </c>
      <c r="AB1207" s="19">
        <v>342</v>
      </c>
      <c r="AC1207" s="20">
        <v>30</v>
      </c>
      <c r="AD1207" s="18">
        <f>DATA[[#This Row],[FECHA DE EMISION]]+DATA[[#This Row],[CONDICION DE PAGO]]</f>
        <v>45998</v>
      </c>
      <c r="AE1207" s="23">
        <f>IF(DATA[[#This Row],[MONEDA]]="USD",VLOOKUP(DATA[[#This Row],[COMBINADA]],#REF!,11,0),1)</f>
        <v>1</v>
      </c>
      <c r="AF1207" s="129" t="str">
        <f>IF(DATA[[#This Row],[SERIE2]]="-","NO CORRESPONDE",IF(W1207="NO CORRESPONDE","NO CORRESPONDE",IF(Z1207&gt;0,"FACTURADO","PENDIENTE")))</f>
        <v>FACTURADO</v>
      </c>
      <c r="AG1207" s="133">
        <f>IFERROR(VLOOKUP(DATA[[#This Row],[COMBINADA]],#REF!,6,0),0)</f>
        <v>0</v>
      </c>
      <c r="AH1207" s="125">
        <f>IFERROR(VLOOKUP(DATA[[#This Row],[COMBINADA]],#REF!,9,0),0)/COUNTIFS(DATA[COMBINADA],DATA[[#This Row],[COMBINADA]])</f>
        <v>0</v>
      </c>
      <c r="AI1207" s="136">
        <f>IFERROR(VLOOKUP(DATA[[#This Row],[COMBINADA]],#REF!,6,0),0)</f>
        <v>0</v>
      </c>
      <c r="AJ1207" s="132">
        <f>IFERROR(VLOOKUP(DATA[[#This Row],[COMBINADA]],#REF!,9,0),0)/COUNTIFS(DATA[COMBINADA],DATA[[#This Row],[COMBINADA]])</f>
        <v>0</v>
      </c>
      <c r="AK1207" s="407">
        <f>IFERROR(VLOOKUP(DATA[[#This Row],[COMBINADA]],#REF!,6,0),0)</f>
        <v>0</v>
      </c>
      <c r="AL1207" s="125">
        <f>IFERROR(VLOOKUP(DATA[[#This Row],[COMBINADA]],#REF!,9,0),0)/COUNTIFS(DATA[COMBINADA],DATA[[#This Row],[COMBINADA]])</f>
        <v>0</v>
      </c>
      <c r="AM1207" s="27">
        <f>IFERROR(VLOOKUP(DATA[[#This Row],[COMBINADA]],#REF!,6,0),0)</f>
        <v>0</v>
      </c>
      <c r="AN1207" s="125">
        <f>IFERROR(VLOOKUP(DATA[[#This Row],[COMBINADA]],#REF!,9,0),0)/COUNTIFS(DATA[COMBINADA],DATA[[#This Row],[COMBINADA]])</f>
        <v>0</v>
      </c>
      <c r="AO1207" s="27">
        <f>IFERROR(VLOOKUP(DATA[[#This Row],[COMBINADA]],#REF!,6,0),0)</f>
        <v>0</v>
      </c>
      <c r="AP1207" s="132">
        <f>IFERROR(VLOOKUP(DATA[[#This Row],[COMBINADA]],#REF!,9,0),0)/COUNTIFS(DATA[COMBINADA],DATA[[#This Row],[COMBINADA]])</f>
        <v>0</v>
      </c>
      <c r="AQ120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2235.7925000000005</v>
      </c>
      <c r="AR1207" s="26" t="str">
        <f>IFERROR(IF(DATA[[#This Row],[estado_fact]]="FACTURADO",VLOOKUP(DATA[[#This Row],[SERIE2]]&amp;"-"&amp;DATA[[#This Row],[NUMERO]],#REF!,34,0),"NO CORRESPONDE"),"NO CORRESPONDE")</f>
        <v>NO CORRESPONDE</v>
      </c>
      <c r="AS1207" s="22" t="str">
        <f>IF(DATA[[#This Row],[fecha_fs]]&gt;0,TEXT(DATA[[#This Row],[fecha_fs]],"Mmmm"),0)</f>
        <v>Setiembre</v>
      </c>
      <c r="AT1207" s="22" t="str">
        <f>DATA[[#This Row],[SERIE2]]&amp;"-"&amp;DATA[[#This Row],[NUMERO]]</f>
        <v>FF01-342</v>
      </c>
      <c r="AU1207" s="28">
        <f>DATA[[#This Row],[TOTAL]]*DATA[[#This Row],[T.C.]]</f>
        <v>2437.8200000000002</v>
      </c>
      <c r="AV1207" s="6">
        <f>DATA[[#This Row],[FECHA DE VAL.]]</f>
        <v>45926</v>
      </c>
      <c r="AW1207" s="6">
        <f>DATA[[#This Row],[FECHA DE EMISION]]</f>
        <v>45968</v>
      </c>
      <c r="AX1207" s="6">
        <f>DATA[[#This Row],[F1]]</f>
        <v>0</v>
      </c>
      <c r="AY1207" s="20">
        <f>IF(AV1207-DATA[[#This Row],[fecha_fs]]&lt;0,0,AV1207-DATA[[#This Row],[fecha_fs]])</f>
        <v>9</v>
      </c>
      <c r="AZ1207" s="20">
        <f t="shared" si="261"/>
        <v>42</v>
      </c>
      <c r="BA1207" s="53">
        <f t="shared" si="262"/>
        <v>0</v>
      </c>
      <c r="BB1207" s="195">
        <f>IFERROR(SUM(DATA[[#This Row],[fs_val_ttf]:[fact_pago_ttf]]),0)</f>
        <v>51</v>
      </c>
      <c r="BC1207" s="233">
        <v>45924</v>
      </c>
      <c r="BD1207" s="233">
        <v>45932</v>
      </c>
      <c r="BE1207" s="233">
        <v>45933</v>
      </c>
      <c r="BF1207" s="233">
        <v>45958</v>
      </c>
      <c r="BG1207" s="20">
        <f>IFERROR(IF(BC1207-DATA[[#This Row],[fecha_fs]]&lt;0,0,BC1207-DATA[[#This Row],[fecha_fs]]),0)</f>
        <v>7</v>
      </c>
      <c r="BH1207" s="20">
        <f t="shared" si="263"/>
        <v>8</v>
      </c>
      <c r="BI1207" s="20">
        <f t="shared" si="264"/>
        <v>1</v>
      </c>
      <c r="BJ1207" s="20">
        <f t="shared" si="265"/>
        <v>25</v>
      </c>
      <c r="BK1207" s="282">
        <f>IFERROR(SUM(DATA[[#This Row],[fs_fd_ttd]:[fend_fenf_ttd]]),0)</f>
        <v>41</v>
      </c>
      <c r="BL1207" s="20" t="str">
        <f>IF(DATA[[#This Row],[fecha_fs]]&gt;0,TEXT(DATA[[#This Row],[fecha_fs]],"YYYY"),0)</f>
        <v>2025</v>
      </c>
      <c r="BM1207" s="236" t="b">
        <v>1</v>
      </c>
      <c r="BN1207" s="278">
        <f>COUNTIF(DATA[[#This Row],[tiempo_td]], "&lt;=15")</f>
        <v>0</v>
      </c>
      <c r="BO1207" s="222"/>
    </row>
    <row r="1208" spans="1:67" ht="30.6" customHeight="1" x14ac:dyDescent="0.25">
      <c r="A1208" s="4">
        <v>20610105620</v>
      </c>
      <c r="B1208" s="5" t="s">
        <v>311</v>
      </c>
      <c r="C1208" s="52" t="s">
        <v>312</v>
      </c>
      <c r="D1208" s="4" t="s">
        <v>120</v>
      </c>
      <c r="E1208" s="5" t="s">
        <v>3</v>
      </c>
      <c r="F1208" s="24">
        <v>45917</v>
      </c>
      <c r="G1208" s="7" t="s">
        <v>113</v>
      </c>
      <c r="H1208" s="25">
        <f t="shared" ref="H1208:H1228" si="269">IF(G1208="","",IF(G1208="LIM",2,1))</f>
        <v>1</v>
      </c>
      <c r="I1208" s="67">
        <v>5007</v>
      </c>
      <c r="J1208" s="8" t="s">
        <v>115</v>
      </c>
      <c r="K1208" s="9" t="s">
        <v>121</v>
      </c>
      <c r="L1208" s="10" t="s">
        <v>117</v>
      </c>
      <c r="M1208" s="11">
        <v>1230</v>
      </c>
      <c r="N1208" s="12" t="s">
        <v>122</v>
      </c>
      <c r="O1208" s="6">
        <v>45930</v>
      </c>
      <c r="P1208" s="370">
        <v>3709</v>
      </c>
      <c r="Q1208" s="14" t="s">
        <v>85</v>
      </c>
      <c r="R1208" s="237">
        <f>80+((DATA[[#This Row],[cantidad_fs]]-1000)*0.08)</f>
        <v>98.4</v>
      </c>
      <c r="S1208" s="321">
        <v>2120</v>
      </c>
      <c r="T1208" s="237">
        <f>DATA[[#This Row],[C. DF]]+DATA[[#This Row],[C.OPE.]]</f>
        <v>2218.4</v>
      </c>
      <c r="U1208" s="15">
        <f>DATA[[#This Row],[SUB TOTAL]]*0.18</f>
        <v>399.31200000000001</v>
      </c>
      <c r="V1208" s="15">
        <f>IFERROR(ROUND(DATA[[#This Row],[SUB TOTAL]]+DATA[[#This Row],[IGV]],2),0)</f>
        <v>2617.71</v>
      </c>
      <c r="W1208" s="16" t="str">
        <f>IF(DATA[[#This Row],[VALORIZACIÓN ]]="-","NO CORRESPONDE",IF(OR(A1208=20558226979,A1208=10470707866,A1208=20111157058,A1208=20100226902),"NO CORRESPONDE",IF(J1208="Emitida",IF(P1208&gt;0,"EMITIDA","PENDIENTE"),"NO CORRESPONDE")))</f>
        <v>EMITIDA</v>
      </c>
      <c r="X1208" s="29"/>
      <c r="Y1208" s="17" t="s">
        <v>118</v>
      </c>
      <c r="Z1208" s="30">
        <v>45968</v>
      </c>
      <c r="AA1208" s="10" t="s">
        <v>150</v>
      </c>
      <c r="AB1208" s="19">
        <v>349</v>
      </c>
      <c r="AC1208" s="20">
        <v>30</v>
      </c>
      <c r="AD1208" s="18">
        <f>DATA[[#This Row],[FECHA DE EMISION]]+DATA[[#This Row],[CONDICION DE PAGO]]</f>
        <v>45998</v>
      </c>
      <c r="AE1208" s="23">
        <f>IF(DATA[[#This Row],[MONEDA]]="USD",VLOOKUP(DATA[[#This Row],[COMBINADA]],#REF!,11,0),1)</f>
        <v>1</v>
      </c>
      <c r="AF1208" s="129" t="str">
        <f>IF(DATA[[#This Row],[SERIE2]]="-","NO CORRESPONDE",IF(W1208="NO CORRESPONDE","NO CORRESPONDE",IF(Z1208&gt;0,"FACTURADO","PENDIENTE")))</f>
        <v>FACTURADO</v>
      </c>
      <c r="AG1208" s="133">
        <f>IFERROR(VLOOKUP(DATA[[#This Row],[COMBINADA]],#REF!,6,0),0)</f>
        <v>0</v>
      </c>
      <c r="AH1208" s="125">
        <f>IFERROR(VLOOKUP(DATA[[#This Row],[COMBINADA]],#REF!,9,0),0)/COUNTIFS(DATA[COMBINADA],DATA[[#This Row],[COMBINADA]])</f>
        <v>0</v>
      </c>
      <c r="AI1208" s="136">
        <f>IFERROR(VLOOKUP(DATA[[#This Row],[COMBINADA]],#REF!,6,0),0)</f>
        <v>0</v>
      </c>
      <c r="AJ1208" s="132">
        <f>IFERROR(VLOOKUP(DATA[[#This Row],[COMBINADA]],#REF!,9,0),0)/COUNTIFS(DATA[COMBINADA],DATA[[#This Row],[COMBINADA]])</f>
        <v>0</v>
      </c>
      <c r="AK1208" s="407">
        <f>IFERROR(VLOOKUP(DATA[[#This Row],[COMBINADA]],#REF!,6,0),0)</f>
        <v>0</v>
      </c>
      <c r="AL1208" s="125">
        <f>IFERROR(VLOOKUP(DATA[[#This Row],[COMBINADA]],#REF!,9,0),0)/COUNTIFS(DATA[COMBINADA],DATA[[#This Row],[COMBINADA]])</f>
        <v>0</v>
      </c>
      <c r="AM1208" s="27">
        <f>IFERROR(VLOOKUP(DATA[[#This Row],[COMBINADA]],#REF!,6,0),0)</f>
        <v>0</v>
      </c>
      <c r="AN1208" s="125">
        <f>IFERROR(VLOOKUP(DATA[[#This Row],[COMBINADA]],#REF!,9,0),0)/COUNTIFS(DATA[COMBINADA],DATA[[#This Row],[COMBINADA]])</f>
        <v>0</v>
      </c>
      <c r="AO1208" s="27">
        <f>IFERROR(VLOOKUP(DATA[[#This Row],[COMBINADA]],#REF!,6,0),0)</f>
        <v>0</v>
      </c>
      <c r="AP1208" s="132">
        <f>IFERROR(VLOOKUP(DATA[[#This Row],[COMBINADA]],#REF!,9,0),0)/COUNTIFS(DATA[COMBINADA],DATA[[#This Row],[COMBINADA]])</f>
        <v>0</v>
      </c>
      <c r="AQ120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2515.7599999999998</v>
      </c>
      <c r="AR1208" s="26" t="str">
        <f>IFERROR(IF(DATA[[#This Row],[estado_fact]]="FACTURADO",VLOOKUP(DATA[[#This Row],[SERIE2]]&amp;"-"&amp;DATA[[#This Row],[NUMERO]],#REF!,34,0),"NO CORRESPONDE"),"NO CORRESPONDE")</f>
        <v>NO CORRESPONDE</v>
      </c>
      <c r="AS1208" s="22" t="str">
        <f>IF(DATA[[#This Row],[fecha_fs]]&gt;0,TEXT(DATA[[#This Row],[fecha_fs]],"Mmmm"),0)</f>
        <v>Setiembre</v>
      </c>
      <c r="AT1208" s="22" t="str">
        <f>DATA[[#This Row],[SERIE2]]&amp;"-"&amp;DATA[[#This Row],[NUMERO]]</f>
        <v>FF01-349</v>
      </c>
      <c r="AU1208" s="28">
        <f>DATA[[#This Row],[TOTAL]]*DATA[[#This Row],[T.C.]]</f>
        <v>2617.71</v>
      </c>
      <c r="AV1208" s="6">
        <f>DATA[[#This Row],[FECHA DE VAL.]]</f>
        <v>45930</v>
      </c>
      <c r="AW1208" s="6">
        <f>DATA[[#This Row],[FECHA DE EMISION]]</f>
        <v>45968</v>
      </c>
      <c r="AX1208" s="6">
        <f>DATA[[#This Row],[F1]]</f>
        <v>0</v>
      </c>
      <c r="AY1208" s="20">
        <f>IF(AV1208-DATA[[#This Row],[fecha_fs]]&lt;0,0,AV1208-DATA[[#This Row],[fecha_fs]])</f>
        <v>13</v>
      </c>
      <c r="AZ1208" s="20">
        <f t="shared" ref="AZ1208:AZ1228" si="270">IF(AW1208-AV1208&lt;0,0,AW1208-AV1208)</f>
        <v>38</v>
      </c>
      <c r="BA1208" s="53">
        <f t="shared" ref="BA1208:BA1228" si="271">IF(AX1208-AW1208&lt;0,0,AX1208-AW1208)</f>
        <v>0</v>
      </c>
      <c r="BB1208" s="195">
        <f>IFERROR(SUM(DATA[[#This Row],[fs_val_ttf]:[fact_pago_ttf]]),0)</f>
        <v>51</v>
      </c>
      <c r="BC1208" s="233">
        <v>45917</v>
      </c>
      <c r="BD1208" s="377">
        <v>45929</v>
      </c>
      <c r="BE1208" s="377">
        <v>45929</v>
      </c>
      <c r="BF1208" s="233">
        <v>45957</v>
      </c>
      <c r="BG1208" s="20">
        <f>IFERROR(IF(BC1208-DATA[[#This Row],[fecha_fs]]&lt;0,0,BC1208-DATA[[#This Row],[fecha_fs]]),0)</f>
        <v>0</v>
      </c>
      <c r="BH1208" s="20">
        <f t="shared" ref="BH1208:BH1228" si="272">IFERROR(IF(BD1208-BC1208&lt;0,0,BD1208-BC1208),0)</f>
        <v>12</v>
      </c>
      <c r="BI1208" s="20">
        <f t="shared" ref="BI1208:BI1228" si="273">IFERROR(IF(BE1208-BD1208&lt;0,0,BE1208-BD1208),0)</f>
        <v>0</v>
      </c>
      <c r="BJ1208" s="20">
        <f t="shared" ref="BJ1208:BJ1228" si="274">IFERROR(IF(BF1208-BE1208&lt;0,0,BF1208-BE1208),0)</f>
        <v>28</v>
      </c>
      <c r="BK1208" s="282">
        <f>IFERROR(SUM(DATA[[#This Row],[fs_fd_ttd]:[fend_fenf_ttd]]),0)</f>
        <v>40</v>
      </c>
      <c r="BL1208" s="20" t="str">
        <f>IF(DATA[[#This Row],[fecha_fs]]&gt;0,TEXT(DATA[[#This Row],[fecha_fs]],"YYYY"),0)</f>
        <v>2025</v>
      </c>
      <c r="BM1208" s="236" t="b">
        <v>1</v>
      </c>
      <c r="BN1208" s="278">
        <f>COUNTIF(DATA[[#This Row],[tiempo_td]], "&lt;=15")</f>
        <v>0</v>
      </c>
      <c r="BO1208" s="222"/>
    </row>
    <row r="1209" spans="1:67" ht="30.6" customHeight="1" x14ac:dyDescent="0.25">
      <c r="A1209" s="4">
        <v>20505675836</v>
      </c>
      <c r="B1209" s="5" t="s">
        <v>42</v>
      </c>
      <c r="C1209" s="52" t="s">
        <v>20</v>
      </c>
      <c r="D1209" s="4" t="s">
        <v>120</v>
      </c>
      <c r="E1209" s="5" t="s">
        <v>3</v>
      </c>
      <c r="F1209" s="24">
        <v>45917</v>
      </c>
      <c r="G1209" s="7" t="s">
        <v>113</v>
      </c>
      <c r="H1209" s="25">
        <f t="shared" si="269"/>
        <v>1</v>
      </c>
      <c r="I1209" s="67">
        <v>5008</v>
      </c>
      <c r="J1209" s="8" t="s">
        <v>115</v>
      </c>
      <c r="K1209" s="9" t="s">
        <v>121</v>
      </c>
      <c r="L1209" s="10" t="s">
        <v>117</v>
      </c>
      <c r="M1209" s="11">
        <v>240</v>
      </c>
      <c r="N1209" s="12" t="s">
        <v>249</v>
      </c>
      <c r="O1209" s="6">
        <v>45926</v>
      </c>
      <c r="P1209" s="71">
        <v>3685</v>
      </c>
      <c r="Q1209" s="14" t="s">
        <v>85</v>
      </c>
      <c r="R1209" s="56">
        <f>(DATA[[#This Row],[cantidad_fs]]-150)*0.67</f>
        <v>60.300000000000004</v>
      </c>
      <c r="S1209" s="15">
        <v>1387.83</v>
      </c>
      <c r="T1209" s="237">
        <f>DATA[[#This Row],[C. DF]]+DATA[[#This Row],[C.OPE.]]</f>
        <v>1448.1299999999999</v>
      </c>
      <c r="U1209" s="15">
        <f>DATA[[#This Row],[SUB TOTAL]]*0.18</f>
        <v>260.66339999999997</v>
      </c>
      <c r="V1209" s="15">
        <f>IFERROR(ROUND(DATA[[#This Row],[SUB TOTAL]]+DATA[[#This Row],[IGV]],2),0)</f>
        <v>1708.79</v>
      </c>
      <c r="W1209" s="16" t="str">
        <f>IF(DATA[[#This Row],[VALORIZACIÓN ]]="-","NO CORRESPONDE",IF(OR(A1209=20558226979,A1209=10470707866,A1209=20111157058,A1209=20100226902),"NO CORRESPONDE",IF(J1209="Emitida",IF(P1209&gt;0,"EMITIDA","PENDIENTE"),"NO CORRESPONDE")))</f>
        <v>EMITIDA</v>
      </c>
      <c r="X1209" s="29"/>
      <c r="Y1209" s="17" t="s">
        <v>118</v>
      </c>
      <c r="Z1209" s="30">
        <v>45968</v>
      </c>
      <c r="AA1209" s="10" t="s">
        <v>150</v>
      </c>
      <c r="AB1209" s="19">
        <v>342</v>
      </c>
      <c r="AC1209" s="20">
        <v>30</v>
      </c>
      <c r="AD1209" s="18">
        <f>DATA[[#This Row],[FECHA DE EMISION]]+DATA[[#This Row],[CONDICION DE PAGO]]</f>
        <v>45998</v>
      </c>
      <c r="AE1209" s="23">
        <f>IF(DATA[[#This Row],[MONEDA]]="USD",VLOOKUP(DATA[[#This Row],[COMBINADA]],#REF!,11,0),1)</f>
        <v>1</v>
      </c>
      <c r="AF1209" s="129" t="str">
        <f>IF(DATA[[#This Row],[SERIE2]]="-","NO CORRESPONDE",IF(W1209="NO CORRESPONDE","NO CORRESPONDE",IF(Z1209&gt;0,"FACTURADO","PENDIENTE")))</f>
        <v>FACTURADO</v>
      </c>
      <c r="AG1209" s="133">
        <f>IFERROR(VLOOKUP(DATA[[#This Row],[COMBINADA]],#REF!,6,0),0)</f>
        <v>0</v>
      </c>
      <c r="AH1209" s="125">
        <f>IFERROR(VLOOKUP(DATA[[#This Row],[COMBINADA]],#REF!,9,0),0)/COUNTIFS(DATA[COMBINADA],DATA[[#This Row],[COMBINADA]])</f>
        <v>0</v>
      </c>
      <c r="AI1209" s="136">
        <f>IFERROR(VLOOKUP(DATA[[#This Row],[COMBINADA]],#REF!,6,0),0)</f>
        <v>0</v>
      </c>
      <c r="AJ1209" s="132">
        <f>IFERROR(VLOOKUP(DATA[[#This Row],[COMBINADA]],#REF!,9,0),0)/COUNTIFS(DATA[COMBINADA],DATA[[#This Row],[COMBINADA]])</f>
        <v>0</v>
      </c>
      <c r="AK1209" s="407">
        <f>IFERROR(VLOOKUP(DATA[[#This Row],[COMBINADA]],#REF!,6,0),0)</f>
        <v>0</v>
      </c>
      <c r="AL1209" s="125">
        <f>IFERROR(VLOOKUP(DATA[[#This Row],[COMBINADA]],#REF!,9,0),0)/COUNTIFS(DATA[COMBINADA],DATA[[#This Row],[COMBINADA]])</f>
        <v>0</v>
      </c>
      <c r="AM1209" s="27">
        <f>IFERROR(VLOOKUP(DATA[[#This Row],[COMBINADA]],#REF!,6,0),0)</f>
        <v>0</v>
      </c>
      <c r="AN1209" s="125">
        <f>IFERROR(VLOOKUP(DATA[[#This Row],[COMBINADA]],#REF!,9,0),0)/COUNTIFS(DATA[COMBINADA],DATA[[#This Row],[COMBINADA]])</f>
        <v>0</v>
      </c>
      <c r="AO1209" s="27">
        <f>IFERROR(VLOOKUP(DATA[[#This Row],[COMBINADA]],#REF!,6,0),0)</f>
        <v>0</v>
      </c>
      <c r="AP1209" s="132">
        <f>IFERROR(VLOOKUP(DATA[[#This Row],[COMBINADA]],#REF!,9,0),0)/COUNTIFS(DATA[COMBINADA],DATA[[#This Row],[COMBINADA]])</f>
        <v>0</v>
      </c>
      <c r="AQ120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2235.7925000000005</v>
      </c>
      <c r="AR1209" s="26" t="str">
        <f>IFERROR(IF(DATA[[#This Row],[estado_fact]]="FACTURADO",VLOOKUP(DATA[[#This Row],[SERIE2]]&amp;"-"&amp;DATA[[#This Row],[NUMERO]],#REF!,34,0),"NO CORRESPONDE"),"NO CORRESPONDE")</f>
        <v>NO CORRESPONDE</v>
      </c>
      <c r="AS1209" s="22" t="str">
        <f>IF(DATA[[#This Row],[fecha_fs]]&gt;0,TEXT(DATA[[#This Row],[fecha_fs]],"Mmmm"),0)</f>
        <v>Setiembre</v>
      </c>
      <c r="AT1209" s="22" t="str">
        <f>DATA[[#This Row],[SERIE2]]&amp;"-"&amp;DATA[[#This Row],[NUMERO]]</f>
        <v>FF01-342</v>
      </c>
      <c r="AU1209" s="28">
        <f>DATA[[#This Row],[TOTAL]]*DATA[[#This Row],[T.C.]]</f>
        <v>1708.79</v>
      </c>
      <c r="AV1209" s="6">
        <f>DATA[[#This Row],[FECHA DE VAL.]]</f>
        <v>45926</v>
      </c>
      <c r="AW1209" s="6">
        <f>DATA[[#This Row],[FECHA DE EMISION]]</f>
        <v>45968</v>
      </c>
      <c r="AX1209" s="6">
        <f>DATA[[#This Row],[F1]]</f>
        <v>0</v>
      </c>
      <c r="AY1209" s="20">
        <f>IF(AV1209-DATA[[#This Row],[fecha_fs]]&lt;0,0,AV1209-DATA[[#This Row],[fecha_fs]])</f>
        <v>9</v>
      </c>
      <c r="AZ1209" s="20">
        <f t="shared" si="270"/>
        <v>42</v>
      </c>
      <c r="BA1209" s="53">
        <f t="shared" si="271"/>
        <v>0</v>
      </c>
      <c r="BB1209" s="195">
        <f>IFERROR(SUM(DATA[[#This Row],[fs_val_ttf]:[fact_pago_ttf]]),0)</f>
        <v>51</v>
      </c>
      <c r="BC1209" s="233">
        <v>45925</v>
      </c>
      <c r="BD1209" s="233">
        <v>45933</v>
      </c>
      <c r="BE1209" s="233">
        <v>45936</v>
      </c>
      <c r="BF1209" s="233">
        <v>45958</v>
      </c>
      <c r="BG1209" s="20">
        <f>IFERROR(IF(BC1209-DATA[[#This Row],[fecha_fs]]&lt;0,0,BC1209-DATA[[#This Row],[fecha_fs]]),0)</f>
        <v>8</v>
      </c>
      <c r="BH1209" s="20">
        <f t="shared" si="272"/>
        <v>8</v>
      </c>
      <c r="BI1209" s="20">
        <f t="shared" si="273"/>
        <v>3</v>
      </c>
      <c r="BJ1209" s="20">
        <f t="shared" si="274"/>
        <v>22</v>
      </c>
      <c r="BK1209" s="282">
        <f>IFERROR(SUM(DATA[[#This Row],[fs_fd_ttd]:[fend_fenf_ttd]]),0)</f>
        <v>41</v>
      </c>
      <c r="BL1209" s="20" t="str">
        <f>IF(DATA[[#This Row],[fecha_fs]]&gt;0,TEXT(DATA[[#This Row],[fecha_fs]],"YYYY"),0)</f>
        <v>2025</v>
      </c>
      <c r="BM1209" s="236" t="b">
        <v>1</v>
      </c>
      <c r="BN1209" s="278">
        <f>COUNTIF(DATA[[#This Row],[tiempo_td]], "&lt;=15")</f>
        <v>0</v>
      </c>
      <c r="BO1209" s="222"/>
    </row>
    <row r="1210" spans="1:67" ht="30.6" customHeight="1" x14ac:dyDescent="0.25">
      <c r="A1210" s="4">
        <v>20100055237</v>
      </c>
      <c r="B1210" s="5" t="s">
        <v>21</v>
      </c>
      <c r="C1210" s="52" t="s">
        <v>138</v>
      </c>
      <c r="D1210" s="4" t="s">
        <v>139</v>
      </c>
      <c r="E1210" s="5" t="s">
        <v>23</v>
      </c>
      <c r="F1210" s="24">
        <v>45918</v>
      </c>
      <c r="G1210" s="7" t="s">
        <v>113</v>
      </c>
      <c r="H1210" s="25">
        <f t="shared" si="269"/>
        <v>1</v>
      </c>
      <c r="I1210" s="67">
        <v>5009</v>
      </c>
      <c r="J1210" s="8" t="s">
        <v>115</v>
      </c>
      <c r="K1210" s="9" t="s">
        <v>121</v>
      </c>
      <c r="L1210" s="10" t="s">
        <v>117</v>
      </c>
      <c r="M1210" s="11">
        <v>40</v>
      </c>
      <c r="N1210" s="12" t="s">
        <v>132</v>
      </c>
      <c r="O1210" s="6">
        <v>45930</v>
      </c>
      <c r="P1210" s="369">
        <v>3707</v>
      </c>
      <c r="Q1210" s="14" t="s">
        <v>85</v>
      </c>
      <c r="R1210" s="321"/>
      <c r="S1210" s="321">
        <v>297.92</v>
      </c>
      <c r="T1210" s="237">
        <f>DATA[[#This Row],[C. DF]]+DATA[[#This Row],[C.OPE.]]</f>
        <v>297.92</v>
      </c>
      <c r="U1210" s="15">
        <f>DATA[[#This Row],[SUB TOTAL]]*0.18</f>
        <v>53.625599999999999</v>
      </c>
      <c r="V1210" s="15">
        <f>IFERROR(ROUND(DATA[[#This Row],[SUB TOTAL]]+DATA[[#This Row],[IGV]],2),0)</f>
        <v>351.55</v>
      </c>
      <c r="W1210" s="16" t="str">
        <f>IF(DATA[[#This Row],[VALORIZACIÓN ]]="-","NO CORRESPONDE",IF(OR(A1210=20558226979,A1210=10470707866,A1210=20111157058,A1210=20100226902),"NO CORRESPONDE",IF(J1210="Emitida",IF(P1210&gt;0,"EMITIDA","PENDIENTE"),"NO CORRESPONDE")))</f>
        <v>EMITIDA</v>
      </c>
      <c r="X1210" s="29"/>
      <c r="Y1210" s="17" t="s">
        <v>118</v>
      </c>
      <c r="Z1210" s="30">
        <v>45940</v>
      </c>
      <c r="AA1210" s="10" t="s">
        <v>150</v>
      </c>
      <c r="AB1210" s="19">
        <v>286</v>
      </c>
      <c r="AC1210" s="20">
        <v>30</v>
      </c>
      <c r="AD1210" s="18">
        <f>DATA[[#This Row],[FECHA DE EMISION]]+DATA[[#This Row],[CONDICION DE PAGO]]</f>
        <v>45970</v>
      </c>
      <c r="AE1210" s="23">
        <f>IF(DATA[[#This Row],[MONEDA]]="USD",VLOOKUP(DATA[[#This Row],[COMBINADA]],#REF!,11,0),1)</f>
        <v>1</v>
      </c>
      <c r="AF1210" s="129" t="str">
        <f>IF(DATA[[#This Row],[SERIE2]]="-","NO CORRESPONDE",IF(W1210="NO CORRESPONDE","NO CORRESPONDE",IF(Z1210&gt;0,"FACTURADO","PENDIENTE")))</f>
        <v>FACTURADO</v>
      </c>
      <c r="AG1210" s="133">
        <f>IFERROR(VLOOKUP(DATA[[#This Row],[COMBINADA]],#REF!,6,0),0)</f>
        <v>0</v>
      </c>
      <c r="AH1210" s="125">
        <f>IFERROR(VLOOKUP(DATA[[#This Row],[COMBINADA]],#REF!,9,0),0)/COUNTIFS(DATA[COMBINADA],DATA[[#This Row],[COMBINADA]])</f>
        <v>0</v>
      </c>
      <c r="AI1210" s="136">
        <f>IFERROR(VLOOKUP(DATA[[#This Row],[COMBINADA]],#REF!,6,0),0)</f>
        <v>0</v>
      </c>
      <c r="AJ1210" s="132">
        <f>IFERROR(VLOOKUP(DATA[[#This Row],[COMBINADA]],#REF!,9,0),0)/COUNTIFS(DATA[COMBINADA],DATA[[#This Row],[COMBINADA]])</f>
        <v>0</v>
      </c>
      <c r="AK1210" s="407">
        <f>IFERROR(VLOOKUP(DATA[[#This Row],[COMBINADA]],#REF!,6,0),0)</f>
        <v>0</v>
      </c>
      <c r="AL1210" s="125">
        <f>IFERROR(VLOOKUP(DATA[[#This Row],[COMBINADA]],#REF!,9,0),0)/COUNTIFS(DATA[COMBINADA],DATA[[#This Row],[COMBINADA]])</f>
        <v>0</v>
      </c>
      <c r="AM1210" s="27">
        <f>IFERROR(VLOOKUP(DATA[[#This Row],[COMBINADA]],#REF!,6,0),0)</f>
        <v>0</v>
      </c>
      <c r="AN1210" s="125">
        <f>IFERROR(VLOOKUP(DATA[[#This Row],[COMBINADA]],#REF!,9,0),0)/COUNTIFS(DATA[COMBINADA],DATA[[#This Row],[COMBINADA]])</f>
        <v>0</v>
      </c>
      <c r="AO1210" s="27">
        <f>IFERROR(VLOOKUP(DATA[[#This Row],[COMBINADA]],#REF!,6,0),0)</f>
        <v>0</v>
      </c>
      <c r="AP1210" s="132">
        <f>IFERROR(VLOOKUP(DATA[[#This Row],[COMBINADA]],#REF!,9,0),0)/COUNTIFS(DATA[COMBINADA],DATA[[#This Row],[COMBINADA]])</f>
        <v>0</v>
      </c>
      <c r="AQ121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210" s="26" t="str">
        <f>IFERROR(IF(DATA[[#This Row],[estado_fact]]="FACTURADO",VLOOKUP(DATA[[#This Row],[SERIE2]]&amp;"-"&amp;DATA[[#This Row],[NUMERO]],#REF!,34,0),"NO CORRESPONDE"),"NO CORRESPONDE")</f>
        <v>NO CORRESPONDE</v>
      </c>
      <c r="AS1210" s="22" t="str">
        <f>IF(DATA[[#This Row],[fecha_fs]]&gt;0,TEXT(DATA[[#This Row],[fecha_fs]],"Mmmm"),0)</f>
        <v>Setiembre</v>
      </c>
      <c r="AT1210" s="22" t="str">
        <f>DATA[[#This Row],[SERIE2]]&amp;"-"&amp;DATA[[#This Row],[NUMERO]]</f>
        <v>FF01-286</v>
      </c>
      <c r="AU1210" s="28">
        <f>DATA[[#This Row],[TOTAL]]*DATA[[#This Row],[T.C.]]</f>
        <v>351.55</v>
      </c>
      <c r="AV1210" s="6">
        <f>DATA[[#This Row],[FECHA DE VAL.]]</f>
        <v>45930</v>
      </c>
      <c r="AW1210" s="6">
        <f>DATA[[#This Row],[FECHA DE EMISION]]</f>
        <v>45940</v>
      </c>
      <c r="AX1210" s="6">
        <f>DATA[[#This Row],[F1]]</f>
        <v>0</v>
      </c>
      <c r="AY1210" s="20">
        <f>IF(AV1210-DATA[[#This Row],[fecha_fs]]&lt;0,0,AV1210-DATA[[#This Row],[fecha_fs]])</f>
        <v>12</v>
      </c>
      <c r="AZ1210" s="20">
        <f t="shared" si="270"/>
        <v>10</v>
      </c>
      <c r="BA1210" s="53">
        <f t="shared" si="271"/>
        <v>0</v>
      </c>
      <c r="BB1210" s="195">
        <f>IFERROR(SUM(DATA[[#This Row],[fs_val_ttf]:[fact_pago_ttf]]),0)</f>
        <v>22</v>
      </c>
      <c r="BC1210" s="233">
        <v>45918</v>
      </c>
      <c r="BD1210" s="233">
        <v>45918</v>
      </c>
      <c r="BE1210" s="233">
        <v>45932</v>
      </c>
      <c r="BF1210" s="233">
        <v>45932</v>
      </c>
      <c r="BG1210" s="20">
        <f>IFERROR(IF(BC1210-DATA[[#This Row],[fecha_fs]]&lt;0,0,BC1210-DATA[[#This Row],[fecha_fs]]),0)</f>
        <v>0</v>
      </c>
      <c r="BH1210" s="20">
        <f t="shared" si="272"/>
        <v>0</v>
      </c>
      <c r="BI1210" s="20">
        <f t="shared" si="273"/>
        <v>14</v>
      </c>
      <c r="BJ1210" s="20">
        <f t="shared" si="274"/>
        <v>0</v>
      </c>
      <c r="BK1210" s="282">
        <f>IFERROR(SUM(DATA[[#This Row],[fs_fd_ttd]:[fend_fenf_ttd]]),0)</f>
        <v>14</v>
      </c>
      <c r="BL1210" s="20" t="str">
        <f>IF(DATA[[#This Row],[fecha_fs]]&gt;0,TEXT(DATA[[#This Row],[fecha_fs]],"YYYY"),0)</f>
        <v>2025</v>
      </c>
      <c r="BM1210" s="236" t="b">
        <v>1</v>
      </c>
      <c r="BN1210" s="278">
        <f>COUNTIF(DATA[[#This Row],[tiempo_td]], "&lt;=15")</f>
        <v>1</v>
      </c>
      <c r="BO1210" s="222"/>
    </row>
    <row r="1211" spans="1:67" ht="30.6" customHeight="1" x14ac:dyDescent="0.25">
      <c r="A1211" s="4">
        <v>20170040938</v>
      </c>
      <c r="B1211" s="5" t="s">
        <v>274</v>
      </c>
      <c r="C1211" s="52" t="s">
        <v>40</v>
      </c>
      <c r="D1211" s="4" t="s">
        <v>120</v>
      </c>
      <c r="E1211" s="5" t="s">
        <v>3</v>
      </c>
      <c r="F1211" s="24">
        <v>45918</v>
      </c>
      <c r="G1211" s="7" t="s">
        <v>113</v>
      </c>
      <c r="H1211" s="25">
        <f t="shared" si="269"/>
        <v>1</v>
      </c>
      <c r="I1211" s="67">
        <v>5010</v>
      </c>
      <c r="J1211" s="8" t="s">
        <v>115</v>
      </c>
      <c r="K1211" s="9" t="s">
        <v>121</v>
      </c>
      <c r="L1211" s="10" t="s">
        <v>117</v>
      </c>
      <c r="M1211" s="11">
        <v>15220</v>
      </c>
      <c r="N1211" s="12" t="s">
        <v>135</v>
      </c>
      <c r="O1211" s="6">
        <v>45926</v>
      </c>
      <c r="P1211" s="13">
        <v>3678</v>
      </c>
      <c r="Q1211" s="14" t="s">
        <v>85</v>
      </c>
      <c r="R1211" s="321">
        <f>DATA[[#This Row],[cantidad_fs]]*0.18</f>
        <v>2739.6</v>
      </c>
      <c r="S1211" s="321">
        <f>4469+(5*500)</f>
        <v>6969</v>
      </c>
      <c r="T1211" s="237">
        <f>DATA[[#This Row],[C. DF]]+DATA[[#This Row],[C.OPE.]]</f>
        <v>9708.6</v>
      </c>
      <c r="U1211" s="15">
        <f>DATA[[#This Row],[SUB TOTAL]]*0.18</f>
        <v>1747.548</v>
      </c>
      <c r="V1211" s="15">
        <f>IFERROR(ROUND(DATA[[#This Row],[SUB TOTAL]]+DATA[[#This Row],[IGV]],2),0)</f>
        <v>11456.15</v>
      </c>
      <c r="W1211" s="16" t="str">
        <f>IF(DATA[[#This Row],[VALORIZACIÓN ]]="-","NO CORRESPONDE",IF(OR(A1211=20558226979,A1211=10470707866,A1211=20111157058,A1211=20100226902),"NO CORRESPONDE",IF(J1211="Emitida",IF(P1211&gt;0,"EMITIDA","PENDIENTE"),"NO CORRESPONDE")))</f>
        <v>EMITIDA</v>
      </c>
      <c r="X1211" s="29"/>
      <c r="Y1211" s="17" t="s">
        <v>118</v>
      </c>
      <c r="Z1211" s="30">
        <v>45946</v>
      </c>
      <c r="AA1211" s="10" t="s">
        <v>150</v>
      </c>
      <c r="AB1211" s="19">
        <v>293</v>
      </c>
      <c r="AC1211" s="20">
        <v>30</v>
      </c>
      <c r="AD1211" s="18">
        <f>DATA[[#This Row],[FECHA DE EMISION]]+DATA[[#This Row],[CONDICION DE PAGO]]</f>
        <v>45976</v>
      </c>
      <c r="AE1211" s="23">
        <f>IF(DATA[[#This Row],[MONEDA]]="USD",VLOOKUP(DATA[[#This Row],[COMBINADA]],#REF!,11,0),1)</f>
        <v>1</v>
      </c>
      <c r="AF1211" s="129" t="str">
        <f>IF(DATA[[#This Row],[SERIE2]]="-","NO CORRESPONDE",IF(W1211="NO CORRESPONDE","NO CORRESPONDE",IF(Z1211&gt;0,"FACTURADO","PENDIENTE")))</f>
        <v>FACTURADO</v>
      </c>
      <c r="AG1211" s="133">
        <f>IFERROR(VLOOKUP(DATA[[#This Row],[COMBINADA]],#REF!,6,0),0)</f>
        <v>0</v>
      </c>
      <c r="AH1211" s="125">
        <f>IFERROR(VLOOKUP(DATA[[#This Row],[COMBINADA]],#REF!,9,0),0)/COUNTIFS(DATA[COMBINADA],DATA[[#This Row],[COMBINADA]])</f>
        <v>0</v>
      </c>
      <c r="AI1211" s="136">
        <f>IFERROR(VLOOKUP(DATA[[#This Row],[COMBINADA]],#REF!,6,0),0)</f>
        <v>0</v>
      </c>
      <c r="AJ1211" s="132">
        <f>IFERROR(VLOOKUP(DATA[[#This Row],[COMBINADA]],#REF!,9,0),0)/COUNTIFS(DATA[COMBINADA],DATA[[#This Row],[COMBINADA]])</f>
        <v>0</v>
      </c>
      <c r="AK1211" s="407">
        <f>IFERROR(VLOOKUP(DATA[[#This Row],[COMBINADA]],#REF!,6,0),0)</f>
        <v>0</v>
      </c>
      <c r="AL1211" s="125">
        <f>IFERROR(VLOOKUP(DATA[[#This Row],[COMBINADA]],#REF!,9,0),0)/COUNTIFS(DATA[COMBINADA],DATA[[#This Row],[COMBINADA]])</f>
        <v>0</v>
      </c>
      <c r="AM1211" s="27">
        <f>IFERROR(VLOOKUP(DATA[[#This Row],[COMBINADA]],#REF!,6,0),0)</f>
        <v>0</v>
      </c>
      <c r="AN1211" s="125">
        <f>IFERROR(VLOOKUP(DATA[[#This Row],[COMBINADA]],#REF!,9,0),0)/COUNTIFS(DATA[COMBINADA],DATA[[#This Row],[COMBINADA]])</f>
        <v>0</v>
      </c>
      <c r="AO1211" s="27">
        <f>IFERROR(VLOOKUP(DATA[[#This Row],[COMBINADA]],#REF!,6,0),0)</f>
        <v>0</v>
      </c>
      <c r="AP1211" s="132">
        <f>IFERROR(VLOOKUP(DATA[[#This Row],[COMBINADA]],#REF!,9,0),0)/COUNTIFS(DATA[COMBINADA],DATA[[#This Row],[COMBINADA]])</f>
        <v>0</v>
      </c>
      <c r="AQ121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11456.15</v>
      </c>
      <c r="AR1211" s="26" t="str">
        <f>IFERROR(IF(DATA[[#This Row],[estado_fact]]="FACTURADO",VLOOKUP(DATA[[#This Row],[SERIE2]]&amp;"-"&amp;DATA[[#This Row],[NUMERO]],#REF!,34,0),"NO CORRESPONDE"),"NO CORRESPONDE")</f>
        <v>NO CORRESPONDE</v>
      </c>
      <c r="AS1211" s="22" t="str">
        <f>IF(DATA[[#This Row],[fecha_fs]]&gt;0,TEXT(DATA[[#This Row],[fecha_fs]],"Mmmm"),0)</f>
        <v>Setiembre</v>
      </c>
      <c r="AT1211" s="22" t="str">
        <f>DATA[[#This Row],[SERIE2]]&amp;"-"&amp;DATA[[#This Row],[NUMERO]]</f>
        <v>FF01-293</v>
      </c>
      <c r="AU1211" s="28">
        <f>DATA[[#This Row],[TOTAL]]*DATA[[#This Row],[T.C.]]</f>
        <v>11456.15</v>
      </c>
      <c r="AV1211" s="6">
        <f>DATA[[#This Row],[FECHA DE VAL.]]</f>
        <v>45926</v>
      </c>
      <c r="AW1211" s="6">
        <f>DATA[[#This Row],[FECHA DE EMISION]]</f>
        <v>45946</v>
      </c>
      <c r="AX1211" s="6">
        <f>DATA[[#This Row],[F1]]</f>
        <v>0</v>
      </c>
      <c r="AY1211" s="20">
        <f>IF(AV1211-DATA[[#This Row],[fecha_fs]]&lt;0,0,AV1211-DATA[[#This Row],[fecha_fs]])</f>
        <v>8</v>
      </c>
      <c r="AZ1211" s="20">
        <f t="shared" si="270"/>
        <v>20</v>
      </c>
      <c r="BA1211" s="53">
        <f t="shared" si="271"/>
        <v>0</v>
      </c>
      <c r="BB1211" s="195">
        <f>IFERROR(SUM(DATA[[#This Row],[fs_val_ttf]:[fact_pago_ttf]]),0)</f>
        <v>28</v>
      </c>
      <c r="BC1211" s="233">
        <v>45918</v>
      </c>
      <c r="BD1211" s="233">
        <v>45929</v>
      </c>
      <c r="BE1211" s="233">
        <v>45932</v>
      </c>
      <c r="BF1211" s="276" t="s">
        <v>270</v>
      </c>
      <c r="BG1211" s="20">
        <f>IFERROR(IF(BC1211-DATA[[#This Row],[fecha_fs]]&lt;0,0,BC1211-DATA[[#This Row],[fecha_fs]]),0)</f>
        <v>0</v>
      </c>
      <c r="BH1211" s="20">
        <f t="shared" si="272"/>
        <v>11</v>
      </c>
      <c r="BI1211" s="20">
        <f t="shared" si="273"/>
        <v>3</v>
      </c>
      <c r="BJ1211" s="20">
        <f t="shared" si="274"/>
        <v>0</v>
      </c>
      <c r="BK1211" s="282">
        <f>IFERROR(SUM(DATA[[#This Row],[fs_fd_ttd]:[fend_fenf_ttd]]),0)</f>
        <v>14</v>
      </c>
      <c r="BL1211" s="20" t="str">
        <f>IF(DATA[[#This Row],[fecha_fs]]&gt;0,TEXT(DATA[[#This Row],[fecha_fs]],"YYYY"),0)</f>
        <v>2025</v>
      </c>
      <c r="BM1211" s="236" t="b">
        <v>0</v>
      </c>
      <c r="BN1211" s="278">
        <f>COUNTIF(DATA[[#This Row],[tiempo_td]], "&lt;=15")</f>
        <v>1</v>
      </c>
      <c r="BO1211" s="222"/>
    </row>
    <row r="1212" spans="1:67" ht="30.6" customHeight="1" x14ac:dyDescent="0.25">
      <c r="A1212" s="4">
        <v>20455278750</v>
      </c>
      <c r="B1212" s="5" t="s">
        <v>333</v>
      </c>
      <c r="C1212" s="52" t="s">
        <v>334</v>
      </c>
      <c r="D1212" s="4" t="s">
        <v>112</v>
      </c>
      <c r="E1212" s="5" t="s">
        <v>1</v>
      </c>
      <c r="F1212" s="24">
        <v>45918</v>
      </c>
      <c r="G1212" s="7" t="s">
        <v>113</v>
      </c>
      <c r="H1212" s="25">
        <f t="shared" si="269"/>
        <v>1</v>
      </c>
      <c r="I1212" s="67">
        <v>5011</v>
      </c>
      <c r="J1212" s="8" t="s">
        <v>115</v>
      </c>
      <c r="K1212" s="9" t="s">
        <v>116</v>
      </c>
      <c r="L1212" s="10" t="s">
        <v>117</v>
      </c>
      <c r="M1212" s="11">
        <v>540</v>
      </c>
      <c r="N1212" s="12" t="s">
        <v>249</v>
      </c>
      <c r="O1212" s="6">
        <v>45922</v>
      </c>
      <c r="P1212" s="13">
        <v>3670</v>
      </c>
      <c r="Q1212" s="14" t="s">
        <v>85</v>
      </c>
      <c r="R1212" s="237">
        <v>400</v>
      </c>
      <c r="S1212" s="237">
        <v>2438.71</v>
      </c>
      <c r="T1212" s="237">
        <f>DATA[[#This Row],[C. DF]]+DATA[[#This Row],[C.OPE.]]</f>
        <v>2838.71</v>
      </c>
      <c r="U1212" s="15">
        <f>DATA[[#This Row],[SUB TOTAL]]*0.18</f>
        <v>510.96780000000001</v>
      </c>
      <c r="V1212" s="15">
        <f>IFERROR(ROUND(DATA[[#This Row],[SUB TOTAL]]+DATA[[#This Row],[IGV]],2),0)</f>
        <v>3349.68</v>
      </c>
      <c r="W1212" s="16" t="str">
        <f>IF(DATA[[#This Row],[VALORIZACIÓN ]]="-","NO CORRESPONDE",IF(OR(A1212=20558226979,A1212=10470707866,A1212=20111157058,A1212=20100226902),"NO CORRESPONDE",IF(J1212="Emitida",IF(P1212&gt;0,"EMITIDA","PENDIENTE"),"NO CORRESPONDE")))</f>
        <v>EMITIDA</v>
      </c>
      <c r="X1212" s="29" t="s">
        <v>353</v>
      </c>
      <c r="Y1212" s="17" t="s">
        <v>118</v>
      </c>
      <c r="Z1212" s="30">
        <v>45925</v>
      </c>
      <c r="AA1212" s="10" t="s">
        <v>150</v>
      </c>
      <c r="AB1212" s="19">
        <v>266</v>
      </c>
      <c r="AC1212" s="20">
        <v>30</v>
      </c>
      <c r="AD1212" s="18">
        <f>DATA[[#This Row],[FECHA DE EMISION]]+DATA[[#This Row],[CONDICION DE PAGO]]</f>
        <v>45955</v>
      </c>
      <c r="AE1212" s="23">
        <f>IF(DATA[[#This Row],[MONEDA]]="USD",VLOOKUP(DATA[[#This Row],[COMBINADA]],#REF!,11,0),1)</f>
        <v>1</v>
      </c>
      <c r="AF1212" s="129" t="str">
        <f>IF(DATA[[#This Row],[SERIE2]]="-","NO CORRESPONDE",IF(W1212="NO CORRESPONDE","NO CORRESPONDE",IF(Z1212&gt;0,"FACTURADO","PENDIENTE")))</f>
        <v>FACTURADO</v>
      </c>
      <c r="AG1212" s="133">
        <f>IFERROR(VLOOKUP(DATA[[#This Row],[COMBINADA]],#REF!,6,0),0)</f>
        <v>0</v>
      </c>
      <c r="AH1212" s="125">
        <f>IFERROR(VLOOKUP(DATA[[#This Row],[COMBINADA]],#REF!,9,0),0)/COUNTIFS(DATA[COMBINADA],DATA[[#This Row],[COMBINADA]])</f>
        <v>0</v>
      </c>
      <c r="AI1212" s="136">
        <f>IFERROR(VLOOKUP(DATA[[#This Row],[COMBINADA]],#REF!,6,0),0)</f>
        <v>0</v>
      </c>
      <c r="AJ1212" s="132">
        <f>IFERROR(VLOOKUP(DATA[[#This Row],[COMBINADA]],#REF!,9,0),0)/COUNTIFS(DATA[COMBINADA],DATA[[#This Row],[COMBINADA]])</f>
        <v>0</v>
      </c>
      <c r="AK1212" s="407">
        <f>IFERROR(VLOOKUP(DATA[[#This Row],[COMBINADA]],#REF!,6,0),0)</f>
        <v>0</v>
      </c>
      <c r="AL1212" s="125">
        <f>IFERROR(VLOOKUP(DATA[[#This Row],[COMBINADA]],#REF!,9,0),0)/COUNTIFS(DATA[COMBINADA],DATA[[#This Row],[COMBINADA]])</f>
        <v>0</v>
      </c>
      <c r="AM1212" s="27">
        <f>IFERROR(VLOOKUP(DATA[[#This Row],[COMBINADA]],#REF!,6,0),0)</f>
        <v>0</v>
      </c>
      <c r="AN1212" s="125">
        <f>IFERROR(VLOOKUP(DATA[[#This Row],[COMBINADA]],#REF!,9,0),0)/COUNTIFS(DATA[COMBINADA],DATA[[#This Row],[COMBINADA]])</f>
        <v>0</v>
      </c>
      <c r="AO1212" s="27">
        <f>IFERROR(VLOOKUP(DATA[[#This Row],[COMBINADA]],#REF!,6,0),0)</f>
        <v>0</v>
      </c>
      <c r="AP1212" s="132">
        <f>IFERROR(VLOOKUP(DATA[[#This Row],[COMBINADA]],#REF!,9,0),0)/COUNTIFS(DATA[COMBINADA],DATA[[#This Row],[COMBINADA]])</f>
        <v>0</v>
      </c>
      <c r="AQ121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3349.68</v>
      </c>
      <c r="AR1212" s="26" t="str">
        <f>IFERROR(IF(DATA[[#This Row],[estado_fact]]="FACTURADO",VLOOKUP(DATA[[#This Row],[SERIE2]]&amp;"-"&amp;DATA[[#This Row],[NUMERO]],#REF!,34,0),"NO CORRESPONDE"),"NO CORRESPONDE")</f>
        <v>NO CORRESPONDE</v>
      </c>
      <c r="AS1212" s="22" t="str">
        <f>IF(DATA[[#This Row],[fecha_fs]]&gt;0,TEXT(DATA[[#This Row],[fecha_fs]],"Mmmm"),0)</f>
        <v>Setiembre</v>
      </c>
      <c r="AT1212" s="22" t="str">
        <f>DATA[[#This Row],[SERIE2]]&amp;"-"&amp;DATA[[#This Row],[NUMERO]]</f>
        <v>FF01-266</v>
      </c>
      <c r="AU1212" s="28">
        <f>DATA[[#This Row],[TOTAL]]*DATA[[#This Row],[T.C.]]</f>
        <v>3349.68</v>
      </c>
      <c r="AV1212" s="6">
        <f>DATA[[#This Row],[FECHA DE VAL.]]</f>
        <v>45922</v>
      </c>
      <c r="AW1212" s="6">
        <f>DATA[[#This Row],[FECHA DE EMISION]]</f>
        <v>45925</v>
      </c>
      <c r="AX1212" s="6">
        <f>DATA[[#This Row],[F1]]</f>
        <v>0</v>
      </c>
      <c r="AY1212" s="20">
        <f>IF(AV1212-DATA[[#This Row],[fecha_fs]]&lt;0,0,AV1212-DATA[[#This Row],[fecha_fs]])</f>
        <v>4</v>
      </c>
      <c r="AZ1212" s="20">
        <f t="shared" si="270"/>
        <v>3</v>
      </c>
      <c r="BA1212" s="53">
        <f t="shared" si="271"/>
        <v>0</v>
      </c>
      <c r="BB1212" s="195">
        <f>IFERROR(SUM(DATA[[#This Row],[fs_val_ttf]:[fact_pago_ttf]]),0)</f>
        <v>7</v>
      </c>
      <c r="BC1212" s="233">
        <v>45918</v>
      </c>
      <c r="BD1212" s="233">
        <v>45936</v>
      </c>
      <c r="BE1212" s="233">
        <v>45936</v>
      </c>
      <c r="BF1212" s="233">
        <v>45936</v>
      </c>
      <c r="BG1212" s="20">
        <f>IFERROR(IF(BC1212-DATA[[#This Row],[fecha_fs]]&lt;0,0,BC1212-DATA[[#This Row],[fecha_fs]]),0)</f>
        <v>0</v>
      </c>
      <c r="BH1212" s="20">
        <f t="shared" si="272"/>
        <v>18</v>
      </c>
      <c r="BI1212" s="20">
        <f t="shared" si="273"/>
        <v>0</v>
      </c>
      <c r="BJ1212" s="20">
        <f t="shared" si="274"/>
        <v>0</v>
      </c>
      <c r="BK1212" s="282">
        <f>IFERROR(SUM(DATA[[#This Row],[fs_fd_ttd]:[fend_fenf_ttd]]),0)</f>
        <v>18</v>
      </c>
      <c r="BL1212" s="20" t="str">
        <f>IF(DATA[[#This Row],[fecha_fs]]&gt;0,TEXT(DATA[[#This Row],[fecha_fs]],"YYYY"),0)</f>
        <v>2025</v>
      </c>
      <c r="BM1212" s="236" t="b">
        <v>1</v>
      </c>
      <c r="BN1212" s="278">
        <f>COUNTIF(DATA[[#This Row],[tiempo_td]], "&lt;=15")</f>
        <v>0</v>
      </c>
      <c r="BO1212" s="222"/>
    </row>
    <row r="1213" spans="1:67" ht="30.6" customHeight="1" x14ac:dyDescent="0.25">
      <c r="A1213" s="4">
        <v>20419158462</v>
      </c>
      <c r="B1213" s="5" t="s">
        <v>2</v>
      </c>
      <c r="C1213" s="52" t="s">
        <v>7</v>
      </c>
      <c r="D1213" s="4" t="s">
        <v>120</v>
      </c>
      <c r="E1213" s="5" t="s">
        <v>3</v>
      </c>
      <c r="F1213" s="24">
        <v>45918</v>
      </c>
      <c r="G1213" s="7" t="s">
        <v>113</v>
      </c>
      <c r="H1213" s="25">
        <f t="shared" si="269"/>
        <v>1</v>
      </c>
      <c r="I1213" s="67">
        <v>5012</v>
      </c>
      <c r="J1213" s="8" t="s">
        <v>115</v>
      </c>
      <c r="K1213" s="9" t="s">
        <v>156</v>
      </c>
      <c r="L1213" s="10" t="s">
        <v>117</v>
      </c>
      <c r="M1213" s="11">
        <v>510</v>
      </c>
      <c r="N1213" s="12" t="s">
        <v>132</v>
      </c>
      <c r="O1213" s="6">
        <v>45919</v>
      </c>
      <c r="P1213" s="13">
        <v>3667</v>
      </c>
      <c r="Q1213" s="14" t="s">
        <v>85</v>
      </c>
      <c r="R1213" s="74"/>
      <c r="S1213" s="324">
        <v>1429.7</v>
      </c>
      <c r="T1213" s="237">
        <f>DATA[[#This Row],[C. DF]]+DATA[[#This Row],[C.OPE.]]</f>
        <v>1429.7</v>
      </c>
      <c r="U1213" s="15">
        <f>DATA[[#This Row],[SUB TOTAL]]*0.18</f>
        <v>257.346</v>
      </c>
      <c r="V1213" s="15">
        <f>IFERROR(ROUND(DATA[[#This Row],[SUB TOTAL]]+DATA[[#This Row],[IGV]],2),0)</f>
        <v>1687.05</v>
      </c>
      <c r="W1213" s="16" t="str">
        <f>IF(DATA[[#This Row],[VALORIZACIÓN ]]="-","NO CORRESPONDE",IF(OR(A1213=20558226979,A1213=10470707866,A1213=20111157058,A1213=20100226902),"NO CORRESPONDE",IF(J1213="Emitida",IF(P1213&gt;0,"EMITIDA","PENDIENTE"),"NO CORRESPONDE")))</f>
        <v>EMITIDA</v>
      </c>
      <c r="X1213" s="29"/>
      <c r="Y1213" s="17" t="s">
        <v>118</v>
      </c>
      <c r="Z1213" s="30">
        <v>45965</v>
      </c>
      <c r="AA1213" s="10" t="s">
        <v>150</v>
      </c>
      <c r="AB1213" s="19">
        <v>332</v>
      </c>
      <c r="AC1213" s="20">
        <v>2</v>
      </c>
      <c r="AD1213" s="18">
        <f>DATA[[#This Row],[FECHA DE EMISION]]+DATA[[#This Row],[CONDICION DE PAGO]]</f>
        <v>45967</v>
      </c>
      <c r="AE1213" s="23">
        <f>IF(DATA[[#This Row],[MONEDA]]="USD",VLOOKUP(DATA[[#This Row],[COMBINADA]],#REF!,11,0),1)</f>
        <v>1</v>
      </c>
      <c r="AF1213" s="129" t="str">
        <f>IF(DATA[[#This Row],[SERIE2]]="-","NO CORRESPONDE",IF(W1213="NO CORRESPONDE","NO CORRESPONDE",IF(Z1213&gt;0,"FACTURADO","PENDIENTE")))</f>
        <v>FACTURADO</v>
      </c>
      <c r="AG1213" s="133">
        <f>IFERROR(VLOOKUP(DATA[[#This Row],[COMBINADA]],#REF!,6,0),0)</f>
        <v>0</v>
      </c>
      <c r="AH1213" s="125">
        <f>IFERROR(VLOOKUP(DATA[[#This Row],[COMBINADA]],#REF!,9,0),0)/COUNTIFS(DATA[COMBINADA],DATA[[#This Row],[COMBINADA]])</f>
        <v>0</v>
      </c>
      <c r="AI1213" s="136">
        <f>IFERROR(VLOOKUP(DATA[[#This Row],[COMBINADA]],#REF!,6,0),0)</f>
        <v>0</v>
      </c>
      <c r="AJ1213" s="132">
        <f>IFERROR(VLOOKUP(DATA[[#This Row],[COMBINADA]],#REF!,9,0),0)/COUNTIFS(DATA[COMBINADA],DATA[[#This Row],[COMBINADA]])</f>
        <v>0</v>
      </c>
      <c r="AK1213" s="407">
        <f>IFERROR(VLOOKUP(DATA[[#This Row],[COMBINADA]],#REF!,6,0),0)</f>
        <v>0</v>
      </c>
      <c r="AL1213" s="125">
        <f>IFERROR(VLOOKUP(DATA[[#This Row],[COMBINADA]],#REF!,9,0),0)/COUNTIFS(DATA[COMBINADA],DATA[[#This Row],[COMBINADA]])</f>
        <v>0</v>
      </c>
      <c r="AM1213" s="27">
        <f>IFERROR(VLOOKUP(DATA[[#This Row],[COMBINADA]],#REF!,6,0),0)</f>
        <v>0</v>
      </c>
      <c r="AN1213" s="125">
        <f>IFERROR(VLOOKUP(DATA[[#This Row],[COMBINADA]],#REF!,9,0),0)/COUNTIFS(DATA[COMBINADA],DATA[[#This Row],[COMBINADA]])</f>
        <v>0</v>
      </c>
      <c r="AO1213" s="27">
        <f>IFERROR(VLOOKUP(DATA[[#This Row],[COMBINADA]],#REF!,6,0),0)</f>
        <v>0</v>
      </c>
      <c r="AP1213" s="132">
        <f>IFERROR(VLOOKUP(DATA[[#This Row],[COMBINADA]],#REF!,9,0),0)/COUNTIFS(DATA[COMBINADA],DATA[[#This Row],[COMBINADA]])</f>
        <v>0</v>
      </c>
      <c r="AQ121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1687.05</v>
      </c>
      <c r="AR1213" s="26" t="str">
        <f>IFERROR(IF(DATA[[#This Row],[estado_fact]]="FACTURADO",VLOOKUP(DATA[[#This Row],[SERIE2]]&amp;"-"&amp;DATA[[#This Row],[NUMERO]],#REF!,34,0),"NO CORRESPONDE"),"NO CORRESPONDE")</f>
        <v>NO CORRESPONDE</v>
      </c>
      <c r="AS1213" s="22" t="str">
        <f>IF(DATA[[#This Row],[fecha_fs]]&gt;0,TEXT(DATA[[#This Row],[fecha_fs]],"Mmmm"),0)</f>
        <v>Setiembre</v>
      </c>
      <c r="AT1213" s="22" t="str">
        <f>DATA[[#This Row],[SERIE2]]&amp;"-"&amp;DATA[[#This Row],[NUMERO]]</f>
        <v>FF01-332</v>
      </c>
      <c r="AU1213" s="28">
        <f>DATA[[#This Row],[TOTAL]]*DATA[[#This Row],[T.C.]]</f>
        <v>1687.05</v>
      </c>
      <c r="AV1213" s="6">
        <f>DATA[[#This Row],[FECHA DE VAL.]]</f>
        <v>45919</v>
      </c>
      <c r="AW1213" s="6">
        <f>DATA[[#This Row],[FECHA DE EMISION]]</f>
        <v>45965</v>
      </c>
      <c r="AX1213" s="6">
        <f>DATA[[#This Row],[F1]]</f>
        <v>0</v>
      </c>
      <c r="AY1213" s="20">
        <f>IF(AV1213-DATA[[#This Row],[fecha_fs]]&lt;0,0,AV1213-DATA[[#This Row],[fecha_fs]])</f>
        <v>1</v>
      </c>
      <c r="AZ1213" s="20">
        <f t="shared" si="270"/>
        <v>46</v>
      </c>
      <c r="BA1213" s="53">
        <f t="shared" si="271"/>
        <v>0</v>
      </c>
      <c r="BB1213" s="195">
        <f>IFERROR(SUM(DATA[[#This Row],[fs_val_ttf]:[fact_pago_ttf]]),0)</f>
        <v>47</v>
      </c>
      <c r="BC1213" s="233">
        <v>45918</v>
      </c>
      <c r="BD1213" s="233">
        <v>45918</v>
      </c>
      <c r="BE1213" s="233">
        <v>45922</v>
      </c>
      <c r="BF1213" s="233">
        <v>45922</v>
      </c>
      <c r="BG1213" s="20">
        <f>IFERROR(IF(BC1213-DATA[[#This Row],[fecha_fs]]&lt;0,0,BC1213-DATA[[#This Row],[fecha_fs]]),0)</f>
        <v>0</v>
      </c>
      <c r="BH1213" s="20">
        <f t="shared" si="272"/>
        <v>0</v>
      </c>
      <c r="BI1213" s="20">
        <f t="shared" si="273"/>
        <v>4</v>
      </c>
      <c r="BJ1213" s="20">
        <f t="shared" si="274"/>
        <v>0</v>
      </c>
      <c r="BK1213" s="282">
        <f>IFERROR(SUM(DATA[[#This Row],[fs_fd_ttd]:[fend_fenf_ttd]]),0)</f>
        <v>4</v>
      </c>
      <c r="BL1213" s="20" t="str">
        <f>IF(DATA[[#This Row],[fecha_fs]]&gt;0,TEXT(DATA[[#This Row],[fecha_fs]],"YYYY"),0)</f>
        <v>2025</v>
      </c>
      <c r="BM1213" s="236" t="b">
        <v>1</v>
      </c>
      <c r="BN1213" s="278">
        <f>COUNTIF(DATA[[#This Row],[tiempo_td]], "&lt;=15")</f>
        <v>1</v>
      </c>
      <c r="BO1213" s="222"/>
    </row>
    <row r="1214" spans="1:67" ht="30.6" customHeight="1" x14ac:dyDescent="0.25">
      <c r="A1214" s="4">
        <v>20610105620</v>
      </c>
      <c r="B1214" s="5" t="s">
        <v>311</v>
      </c>
      <c r="C1214" s="52" t="s">
        <v>312</v>
      </c>
      <c r="D1214" s="4" t="s">
        <v>120</v>
      </c>
      <c r="E1214" s="5" t="s">
        <v>3</v>
      </c>
      <c r="F1214" s="24">
        <v>45912</v>
      </c>
      <c r="G1214" s="7" t="s">
        <v>113</v>
      </c>
      <c r="H1214" s="25">
        <f t="shared" si="269"/>
        <v>1</v>
      </c>
      <c r="I1214" s="67">
        <v>5013</v>
      </c>
      <c r="J1214" s="8" t="s">
        <v>115</v>
      </c>
      <c r="K1214" s="9" t="s">
        <v>121</v>
      </c>
      <c r="L1214" s="10" t="s">
        <v>117</v>
      </c>
      <c r="M1214" s="11">
        <v>660</v>
      </c>
      <c r="N1214" s="12" t="s">
        <v>249</v>
      </c>
      <c r="O1214" s="6">
        <v>45930</v>
      </c>
      <c r="P1214" s="370">
        <v>3709</v>
      </c>
      <c r="Q1214" s="14" t="s">
        <v>85</v>
      </c>
      <c r="R1214" s="321">
        <f>80</f>
        <v>80</v>
      </c>
      <c r="S1214" s="321">
        <v>2120</v>
      </c>
      <c r="T1214" s="237">
        <f>DATA[[#This Row],[C. DF]]+DATA[[#This Row],[C.OPE.]]</f>
        <v>2200</v>
      </c>
      <c r="U1214" s="15">
        <f>DATA[[#This Row],[SUB TOTAL]]*0.18</f>
        <v>396</v>
      </c>
      <c r="V1214" s="15">
        <f>IFERROR(ROUND(DATA[[#This Row],[SUB TOTAL]]+DATA[[#This Row],[IGV]],2),0)</f>
        <v>2596</v>
      </c>
      <c r="W1214" s="16" t="str">
        <f>IF(DATA[[#This Row],[VALORIZACIÓN ]]="-","NO CORRESPONDE",IF(OR(A1214=20558226979,A1214=10470707866,A1214=20111157058,A1214=20100226902),"NO CORRESPONDE",IF(J1214="Emitida",IF(P1214&gt;0,"EMITIDA","PENDIENTE"),"NO CORRESPONDE")))</f>
        <v>EMITIDA</v>
      </c>
      <c r="X1214" s="29"/>
      <c r="Y1214" s="17" t="s">
        <v>118</v>
      </c>
      <c r="Z1214" s="30">
        <v>45968</v>
      </c>
      <c r="AA1214" s="10" t="s">
        <v>150</v>
      </c>
      <c r="AB1214" s="19">
        <v>349</v>
      </c>
      <c r="AC1214" s="20">
        <v>30</v>
      </c>
      <c r="AD1214" s="18">
        <f>DATA[[#This Row],[FECHA DE EMISION]]+DATA[[#This Row],[CONDICION DE PAGO]]</f>
        <v>45998</v>
      </c>
      <c r="AE1214" s="23">
        <f>IF(DATA[[#This Row],[MONEDA]]="USD",VLOOKUP(DATA[[#This Row],[COMBINADA]],#REF!,11,0),1)</f>
        <v>1</v>
      </c>
      <c r="AF1214" s="129" t="str">
        <f>IF(DATA[[#This Row],[SERIE2]]="-","NO CORRESPONDE",IF(W1214="NO CORRESPONDE","NO CORRESPONDE",IF(Z1214&gt;0,"FACTURADO","PENDIENTE")))</f>
        <v>FACTURADO</v>
      </c>
      <c r="AG1214" s="133">
        <f>IFERROR(VLOOKUP(DATA[[#This Row],[COMBINADA]],#REF!,6,0),0)</f>
        <v>0</v>
      </c>
      <c r="AH1214" s="125">
        <f>IFERROR(VLOOKUP(DATA[[#This Row],[COMBINADA]],#REF!,9,0),0)/COUNTIFS(DATA[COMBINADA],DATA[[#This Row],[COMBINADA]])</f>
        <v>0</v>
      </c>
      <c r="AI1214" s="136">
        <f>IFERROR(VLOOKUP(DATA[[#This Row],[COMBINADA]],#REF!,6,0),0)</f>
        <v>0</v>
      </c>
      <c r="AJ1214" s="132">
        <f>IFERROR(VLOOKUP(DATA[[#This Row],[COMBINADA]],#REF!,9,0),0)/COUNTIFS(DATA[COMBINADA],DATA[[#This Row],[COMBINADA]])</f>
        <v>0</v>
      </c>
      <c r="AK1214" s="407">
        <f>IFERROR(VLOOKUP(DATA[[#This Row],[COMBINADA]],#REF!,6,0),0)</f>
        <v>0</v>
      </c>
      <c r="AL1214" s="125">
        <f>IFERROR(VLOOKUP(DATA[[#This Row],[COMBINADA]],#REF!,9,0),0)/COUNTIFS(DATA[COMBINADA],DATA[[#This Row],[COMBINADA]])</f>
        <v>0</v>
      </c>
      <c r="AM1214" s="27">
        <f>IFERROR(VLOOKUP(DATA[[#This Row],[COMBINADA]],#REF!,6,0),0)</f>
        <v>0</v>
      </c>
      <c r="AN1214" s="125">
        <f>IFERROR(VLOOKUP(DATA[[#This Row],[COMBINADA]],#REF!,9,0),0)/COUNTIFS(DATA[COMBINADA],DATA[[#This Row],[COMBINADA]])</f>
        <v>0</v>
      </c>
      <c r="AO1214" s="27">
        <f>IFERROR(VLOOKUP(DATA[[#This Row],[COMBINADA]],#REF!,6,0),0)</f>
        <v>0</v>
      </c>
      <c r="AP1214" s="132">
        <f>IFERROR(VLOOKUP(DATA[[#This Row],[COMBINADA]],#REF!,9,0),0)/COUNTIFS(DATA[COMBINADA],DATA[[#This Row],[COMBINADA]])</f>
        <v>0</v>
      </c>
      <c r="AQ121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2515.7599999999998</v>
      </c>
      <c r="AR1214" s="26" t="str">
        <f>IFERROR(IF(DATA[[#This Row],[estado_fact]]="FACTURADO",VLOOKUP(DATA[[#This Row],[SERIE2]]&amp;"-"&amp;DATA[[#This Row],[NUMERO]],#REF!,34,0),"NO CORRESPONDE"),"NO CORRESPONDE")</f>
        <v>NO CORRESPONDE</v>
      </c>
      <c r="AS1214" s="22" t="str">
        <f>IF(DATA[[#This Row],[fecha_fs]]&gt;0,TEXT(DATA[[#This Row],[fecha_fs]],"Mmmm"),0)</f>
        <v>Setiembre</v>
      </c>
      <c r="AT1214" s="22" t="str">
        <f>DATA[[#This Row],[SERIE2]]&amp;"-"&amp;DATA[[#This Row],[NUMERO]]</f>
        <v>FF01-349</v>
      </c>
      <c r="AU1214" s="28">
        <f>DATA[[#This Row],[TOTAL]]*DATA[[#This Row],[T.C.]]</f>
        <v>2596</v>
      </c>
      <c r="AV1214" s="6">
        <f>DATA[[#This Row],[FECHA DE VAL.]]</f>
        <v>45930</v>
      </c>
      <c r="AW1214" s="6">
        <f>DATA[[#This Row],[FECHA DE EMISION]]</f>
        <v>45968</v>
      </c>
      <c r="AX1214" s="6">
        <f>DATA[[#This Row],[F1]]</f>
        <v>0</v>
      </c>
      <c r="AY1214" s="20">
        <f>IF(AV1214-DATA[[#This Row],[fecha_fs]]&lt;0,0,AV1214-DATA[[#This Row],[fecha_fs]])</f>
        <v>18</v>
      </c>
      <c r="AZ1214" s="20">
        <f t="shared" si="270"/>
        <v>38</v>
      </c>
      <c r="BA1214" s="53">
        <f t="shared" si="271"/>
        <v>0</v>
      </c>
      <c r="BB1214" s="195">
        <f>IFERROR(SUM(DATA[[#This Row],[fs_val_ttf]:[fact_pago_ttf]]),0)</f>
        <v>56</v>
      </c>
      <c r="BC1214" s="233">
        <v>45919</v>
      </c>
      <c r="BD1214" s="377">
        <v>45929</v>
      </c>
      <c r="BE1214" s="377">
        <v>45929</v>
      </c>
      <c r="BF1214" s="233">
        <v>45957</v>
      </c>
      <c r="BG1214" s="20">
        <f>IFERROR(IF(BC1214-DATA[[#This Row],[fecha_fs]]&lt;0,0,BC1214-DATA[[#This Row],[fecha_fs]]),0)</f>
        <v>7</v>
      </c>
      <c r="BH1214" s="20">
        <f t="shared" si="272"/>
        <v>10</v>
      </c>
      <c r="BI1214" s="20">
        <f t="shared" si="273"/>
        <v>0</v>
      </c>
      <c r="BJ1214" s="20">
        <f t="shared" si="274"/>
        <v>28</v>
      </c>
      <c r="BK1214" s="282">
        <f>IFERROR(SUM(DATA[[#This Row],[fs_fd_ttd]:[fend_fenf_ttd]]),0)</f>
        <v>45</v>
      </c>
      <c r="BL1214" s="20" t="str">
        <f>IF(DATA[[#This Row],[fecha_fs]]&gt;0,TEXT(DATA[[#This Row],[fecha_fs]],"YYYY"),0)</f>
        <v>2025</v>
      </c>
      <c r="BM1214" s="236" t="b">
        <v>1</v>
      </c>
      <c r="BN1214" s="278">
        <f>COUNTIF(DATA[[#This Row],[tiempo_td]], "&lt;=15")</f>
        <v>0</v>
      </c>
      <c r="BO1214" s="222"/>
    </row>
    <row r="1215" spans="1:67" ht="30.6" customHeight="1" x14ac:dyDescent="0.25">
      <c r="A1215" s="325">
        <v>20100192064</v>
      </c>
      <c r="B1215" s="326" t="s">
        <v>60</v>
      </c>
      <c r="C1215" s="327" t="s">
        <v>65</v>
      </c>
      <c r="D1215" s="325" t="s">
        <v>112</v>
      </c>
      <c r="E1215" s="5" t="s">
        <v>1</v>
      </c>
      <c r="F1215" s="24">
        <v>45918</v>
      </c>
      <c r="G1215" s="7" t="s">
        <v>142</v>
      </c>
      <c r="H1215" s="25">
        <f>IF(G1215="","",IF(G1215="LIM",2,1))</f>
        <v>2</v>
      </c>
      <c r="I1215" s="331">
        <v>1140</v>
      </c>
      <c r="J1215" s="8" t="s">
        <v>115</v>
      </c>
      <c r="K1215" s="9" t="s">
        <v>116</v>
      </c>
      <c r="L1215" s="10" t="s">
        <v>117</v>
      </c>
      <c r="M1215" s="11">
        <v>3910</v>
      </c>
      <c r="N1215" s="12" t="s">
        <v>180</v>
      </c>
      <c r="O1215" s="6">
        <v>45926</v>
      </c>
      <c r="P1215" s="366">
        <v>3695</v>
      </c>
      <c r="Q1215" s="338" t="s">
        <v>123</v>
      </c>
      <c r="R1215" s="321">
        <f>(DATA[[#This Row],[cantidad_fs]]/1000)*(147+81.01)</f>
        <v>891.51909999999998</v>
      </c>
      <c r="S1215" s="321">
        <v>103.6</v>
      </c>
      <c r="T1215" s="321">
        <f>DATA[[#This Row],[C. DF]]+DATA[[#This Row],[C.OPE.]]</f>
        <v>995.1191</v>
      </c>
      <c r="U1215" s="15">
        <f>DATA[[#This Row],[SUB TOTAL]]*0.18</f>
        <v>179.12143799999998</v>
      </c>
      <c r="V1215" s="15">
        <f>IFERROR(ROUND(DATA[[#This Row],[SUB TOTAL]]+DATA[[#This Row],[IGV]],2),0)</f>
        <v>1174.24</v>
      </c>
      <c r="W1215" s="16" t="str">
        <f>IF(DATA[[#This Row],[VALORIZACIÓN ]]="-","NO CORRESPONDE",IF(OR(A1215=20558226979,A1215=10470707866,A1215=20111157058,A1215=20100226902),"NO CORRESPONDE",IF(J1215="Emitida",IF(P1215&gt;0,"EMITIDA","PENDIENTE"),"NO CORRESPONDE")))</f>
        <v>EMITIDA</v>
      </c>
      <c r="X1215" s="29"/>
      <c r="Y1215" s="17" t="s">
        <v>118</v>
      </c>
      <c r="Z1215" s="30">
        <v>45929</v>
      </c>
      <c r="AA1215" s="10" t="s">
        <v>150</v>
      </c>
      <c r="AB1215" s="19">
        <v>268</v>
      </c>
      <c r="AC1215" s="20">
        <v>30</v>
      </c>
      <c r="AD1215" s="18">
        <f>DATA[[#This Row],[FECHA DE EMISION]]+DATA[[#This Row],[CONDICION DE PAGO]]</f>
        <v>45959</v>
      </c>
      <c r="AE1215" s="23" t="e">
        <f>IF(DATA[[#This Row],[MONEDA]]="USD",VLOOKUP(DATA[[#This Row],[COMBINADA]],#REF!,11,0),1)</f>
        <v>#REF!</v>
      </c>
      <c r="AF1215" s="129" t="str">
        <f>IF(DATA[[#This Row],[SERIE2]]="-","NO CORRESPONDE",IF(W1215="NO CORRESPONDE","NO CORRESPONDE",IF(Z1215&gt;0,"FACTURADO","PENDIENTE")))</f>
        <v>FACTURADO</v>
      </c>
      <c r="AG1215" s="133">
        <f>IFERROR(VLOOKUP(DATA[[#This Row],[COMBINADA]],#REF!,6,0),0)</f>
        <v>0</v>
      </c>
      <c r="AH1215" s="125">
        <f>IFERROR(VLOOKUP(DATA[[#This Row],[COMBINADA]],#REF!,9,0),0)/COUNTIFS(DATA[COMBINADA],DATA[[#This Row],[COMBINADA]])</f>
        <v>0</v>
      </c>
      <c r="AI1215" s="136">
        <f>IFERROR(VLOOKUP(DATA[[#This Row],[COMBINADA]],#REF!,6,0),0)</f>
        <v>0</v>
      </c>
      <c r="AJ1215" s="132">
        <f>IFERROR(VLOOKUP(DATA[[#This Row],[COMBINADA]],#REF!,9,0),0)/COUNTIFS(DATA[COMBINADA],DATA[[#This Row],[COMBINADA]])</f>
        <v>0</v>
      </c>
      <c r="AK1215" s="407">
        <f>IFERROR(VLOOKUP(DATA[[#This Row],[COMBINADA]],#REF!,6,0),0)</f>
        <v>0</v>
      </c>
      <c r="AL1215" s="125">
        <f>IFERROR(VLOOKUP(DATA[[#This Row],[COMBINADA]],#REF!,9,0),0)/COUNTIFS(DATA[COMBINADA],DATA[[#This Row],[COMBINADA]])</f>
        <v>0</v>
      </c>
      <c r="AM1215" s="27">
        <f>IFERROR(VLOOKUP(DATA[[#This Row],[COMBINADA]],#REF!,6,0),0)</f>
        <v>0</v>
      </c>
      <c r="AN1215" s="125">
        <f>IFERROR(VLOOKUP(DATA[[#This Row],[COMBINADA]],#REF!,9,0),0)/COUNTIFS(DATA[COMBINADA],DATA[[#This Row],[COMBINADA]])</f>
        <v>0</v>
      </c>
      <c r="AO1215" s="27">
        <f>IFERROR(VLOOKUP(DATA[[#This Row],[COMBINADA]],#REF!,6,0),0)</f>
        <v>0</v>
      </c>
      <c r="AP1215" s="132">
        <f>IFERROR(VLOOKUP(DATA[[#This Row],[COMBINADA]],#REF!,9,0),0)/COUNTIFS(DATA[COMBINADA],DATA[[#This Row],[COMBINADA]])</f>
        <v>0</v>
      </c>
      <c r="AQ121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535.76357142857137</v>
      </c>
      <c r="AR1215" s="26" t="str">
        <f>IFERROR(IF(DATA[[#This Row],[estado_fact]]="FACTURADO",VLOOKUP(DATA[[#This Row],[SERIE2]]&amp;"-"&amp;DATA[[#This Row],[NUMERO]],#REF!,34,0),"NO CORRESPONDE"),"NO CORRESPONDE")</f>
        <v>NO CORRESPONDE</v>
      </c>
      <c r="AS1215" s="22" t="str">
        <f>IF(DATA[[#This Row],[fecha_fs]]&gt;0,TEXT(DATA[[#This Row],[fecha_fs]],"Mmmm"),0)</f>
        <v>Setiembre</v>
      </c>
      <c r="AT1215" s="22" t="str">
        <f>DATA[[#This Row],[SERIE2]]&amp;"-"&amp;DATA[[#This Row],[NUMERO]]</f>
        <v>FF01-268</v>
      </c>
      <c r="AU1215" s="28" t="e">
        <f>DATA[[#This Row],[TOTAL]]*DATA[[#This Row],[T.C.]]</f>
        <v>#REF!</v>
      </c>
      <c r="AV1215" s="6">
        <f>DATA[[#This Row],[FECHA DE VAL.]]</f>
        <v>45926</v>
      </c>
      <c r="AW1215" s="6">
        <f>DATA[[#This Row],[FECHA DE EMISION]]</f>
        <v>45929</v>
      </c>
      <c r="AX1215" s="6">
        <f>DATA[[#This Row],[F1]]</f>
        <v>0</v>
      </c>
      <c r="AY1215" s="20">
        <f>IF(AV1215-DATA[[#This Row],[fecha_fs]]&lt;0,0,AV1215-DATA[[#This Row],[fecha_fs]])</f>
        <v>8</v>
      </c>
      <c r="AZ1215" s="20">
        <f>IF(AW1215-AV1215&lt;0,0,AW1215-AV1215)</f>
        <v>3</v>
      </c>
      <c r="BA1215" s="53">
        <f>IF(AX1215-AW1215&lt;0,0,AX1215-AW1215)</f>
        <v>0</v>
      </c>
      <c r="BB1215" s="360">
        <f>IFERROR(SUM(DATA[[#This Row],[fs_val_ttf]:[fact_pago_ttf]]),0)</f>
        <v>11</v>
      </c>
      <c r="BC1215" s="377">
        <v>45918</v>
      </c>
      <c r="BD1215" s="377">
        <v>45932</v>
      </c>
      <c r="BE1215" s="377">
        <v>45932</v>
      </c>
      <c r="BF1215" s="233">
        <v>45945</v>
      </c>
      <c r="BG1215" s="20">
        <f>IFERROR(IF(BC1215-DATA[[#This Row],[fecha_fs]]&lt;0,0,BC1215-DATA[[#This Row],[fecha_fs]]),0)</f>
        <v>0</v>
      </c>
      <c r="BH1215" s="20">
        <f t="shared" ref="BH1215:BJ1216" si="275">IFERROR(IF(BD1215-BC1215&lt;0,0,BD1215-BC1215),0)</f>
        <v>14</v>
      </c>
      <c r="BI1215" s="20">
        <f t="shared" si="275"/>
        <v>0</v>
      </c>
      <c r="BJ1215" s="367">
        <f t="shared" si="275"/>
        <v>13</v>
      </c>
      <c r="BK1215" s="362">
        <f>IFERROR(SUM(DATA[[#This Row],[fs_fd_ttd]:[fend_fenf_ttd]]),0)</f>
        <v>27</v>
      </c>
      <c r="BL1215" s="20" t="str">
        <f>IF(DATA[[#This Row],[fecha_fs]]&gt;0,TEXT(DATA[[#This Row],[fecha_fs]],"YYYY"),0)</f>
        <v>2025</v>
      </c>
      <c r="BM1215" s="236" t="b">
        <v>1</v>
      </c>
      <c r="BN1215" s="278">
        <f>COUNTIF(DATA[[#This Row],[tiempo_td]], "&lt;=15")</f>
        <v>0</v>
      </c>
      <c r="BO1215" s="222"/>
    </row>
    <row r="1216" spans="1:67" ht="30.6" customHeight="1" x14ac:dyDescent="0.25">
      <c r="A1216" s="4">
        <v>20510495781</v>
      </c>
      <c r="B1216" s="5" t="s">
        <v>339</v>
      </c>
      <c r="C1216" s="52" t="s">
        <v>340</v>
      </c>
      <c r="D1216" s="325" t="s">
        <v>120</v>
      </c>
      <c r="E1216" s="5" t="s">
        <v>3</v>
      </c>
      <c r="F1216" s="24">
        <v>45918</v>
      </c>
      <c r="G1216" s="7" t="s">
        <v>142</v>
      </c>
      <c r="H1216" s="25">
        <f>IF(G1216="","",IF(G1216="LIM",2,1))</f>
        <v>2</v>
      </c>
      <c r="I1216" s="331">
        <v>1141</v>
      </c>
      <c r="J1216" s="8" t="s">
        <v>115</v>
      </c>
      <c r="K1216" s="333" t="s">
        <v>121</v>
      </c>
      <c r="L1216" s="10" t="s">
        <v>117</v>
      </c>
      <c r="M1216" s="11">
        <v>1560</v>
      </c>
      <c r="N1216" s="12" t="s">
        <v>337</v>
      </c>
      <c r="O1216" s="337">
        <v>45923</v>
      </c>
      <c r="P1216" s="322">
        <v>3671</v>
      </c>
      <c r="Q1216" s="338" t="s">
        <v>85</v>
      </c>
      <c r="R1216" s="321">
        <f>2184.97+((DATA[[#This Row],[cantidad_fs]]-1000)*2.18)</f>
        <v>3405.77</v>
      </c>
      <c r="S1216" s="321"/>
      <c r="T1216" s="321">
        <f>DATA[[#This Row],[C. DF]]+DATA[[#This Row],[C.OPE.]]</f>
        <v>3405.77</v>
      </c>
      <c r="U1216" s="15">
        <f>DATA[[#This Row],[SUB TOTAL]]*0.18</f>
        <v>613.03859999999997</v>
      </c>
      <c r="V1216" s="15">
        <f>IFERROR(ROUND(DATA[[#This Row],[SUB TOTAL]]+DATA[[#This Row],[IGV]],2),0)</f>
        <v>4018.81</v>
      </c>
      <c r="W1216" s="16" t="str">
        <f>IF(DATA[[#This Row],[VALORIZACIÓN ]]="-","NO CORRESPONDE",IF(OR(A1216=20558226979,A1216=10470707866,A1216=20111157058,A1216=20100226902),"NO CORRESPONDE",IF(J1216="Emitida",IF(P1216&gt;0,"EMITIDA","PENDIENTE"),"NO CORRESPONDE")))</f>
        <v>EMITIDA</v>
      </c>
      <c r="X1216" s="29"/>
      <c r="Y1216" s="17" t="s">
        <v>118</v>
      </c>
      <c r="Z1216" s="30">
        <v>45925</v>
      </c>
      <c r="AA1216" s="10" t="s">
        <v>150</v>
      </c>
      <c r="AB1216" s="19">
        <v>265</v>
      </c>
      <c r="AC1216" s="20">
        <v>15</v>
      </c>
      <c r="AD1216" s="18">
        <f>DATA[[#This Row],[FECHA DE EMISION]]+DATA[[#This Row],[CONDICION DE PAGO]]</f>
        <v>45940</v>
      </c>
      <c r="AE1216" s="23">
        <f>IF(DATA[[#This Row],[MONEDA]]="USD",VLOOKUP(DATA[[#This Row],[COMBINADA]],#REF!,11,0),1)</f>
        <v>1</v>
      </c>
      <c r="AF1216" s="129" t="str">
        <f>IF(DATA[[#This Row],[SERIE2]]="-","NO CORRESPONDE",IF(W1216="NO CORRESPONDE","NO CORRESPONDE",IF(Z1216&gt;0,"FACTURADO","PENDIENTE")))</f>
        <v>FACTURADO</v>
      </c>
      <c r="AG1216" s="133">
        <f>IFERROR(VLOOKUP(DATA[[#This Row],[COMBINADA]],#REF!,6,0),0)</f>
        <v>0</v>
      </c>
      <c r="AH1216" s="125">
        <f>IFERROR(VLOOKUP(DATA[[#This Row],[COMBINADA]],#REF!,9,0),0)/COUNTIFS(DATA[COMBINADA],DATA[[#This Row],[COMBINADA]])</f>
        <v>0</v>
      </c>
      <c r="AI1216" s="136">
        <f>IFERROR(VLOOKUP(DATA[[#This Row],[COMBINADA]],#REF!,6,0),0)</f>
        <v>0</v>
      </c>
      <c r="AJ1216" s="132">
        <f>IFERROR(VLOOKUP(DATA[[#This Row],[COMBINADA]],#REF!,9,0),0)/COUNTIFS(DATA[COMBINADA],DATA[[#This Row],[COMBINADA]])</f>
        <v>0</v>
      </c>
      <c r="AK1216" s="407">
        <f>IFERROR(VLOOKUP(DATA[[#This Row],[COMBINADA]],#REF!,6,0),0)</f>
        <v>0</v>
      </c>
      <c r="AL1216" s="125">
        <f>IFERROR(VLOOKUP(DATA[[#This Row],[COMBINADA]],#REF!,9,0),0)/COUNTIFS(DATA[COMBINADA],DATA[[#This Row],[COMBINADA]])</f>
        <v>0</v>
      </c>
      <c r="AM1216" s="27">
        <f>IFERROR(VLOOKUP(DATA[[#This Row],[COMBINADA]],#REF!,6,0),0)</f>
        <v>0</v>
      </c>
      <c r="AN1216" s="125">
        <f>IFERROR(VLOOKUP(DATA[[#This Row],[COMBINADA]],#REF!,9,0),0)/COUNTIFS(DATA[COMBINADA],DATA[[#This Row],[COMBINADA]])</f>
        <v>0</v>
      </c>
      <c r="AO1216" s="27">
        <f>IFERROR(VLOOKUP(DATA[[#This Row],[COMBINADA]],#REF!,6,0),0)</f>
        <v>0</v>
      </c>
      <c r="AP1216" s="132">
        <f>IFERROR(VLOOKUP(DATA[[#This Row],[COMBINADA]],#REF!,9,0),0)/COUNTIFS(DATA[COMBINADA],DATA[[#This Row],[COMBINADA]])</f>
        <v>0</v>
      </c>
      <c r="AQ121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4018.81</v>
      </c>
      <c r="AR1216" s="26" t="str">
        <f>IFERROR(IF(DATA[[#This Row],[estado_fact]]="FACTURADO",VLOOKUP(DATA[[#This Row],[SERIE2]]&amp;"-"&amp;DATA[[#This Row],[NUMERO]],#REF!,34,0),"NO CORRESPONDE"),"NO CORRESPONDE")</f>
        <v>NO CORRESPONDE</v>
      </c>
      <c r="AS1216" s="22" t="str">
        <f>IF(DATA[[#This Row],[fecha_fs]]&gt;0,TEXT(DATA[[#This Row],[fecha_fs]],"Mmmm"),0)</f>
        <v>Setiembre</v>
      </c>
      <c r="AT1216" s="22" t="str">
        <f>DATA[[#This Row],[SERIE2]]&amp;"-"&amp;DATA[[#This Row],[NUMERO]]</f>
        <v>FF01-265</v>
      </c>
      <c r="AU1216" s="28">
        <f>DATA[[#This Row],[TOTAL]]*DATA[[#This Row],[T.C.]]</f>
        <v>4018.81</v>
      </c>
      <c r="AV1216" s="6">
        <f>DATA[[#This Row],[FECHA DE VAL.]]</f>
        <v>45923</v>
      </c>
      <c r="AW1216" s="6">
        <f>DATA[[#This Row],[FECHA DE EMISION]]</f>
        <v>45925</v>
      </c>
      <c r="AX1216" s="6">
        <f>DATA[[#This Row],[F1]]</f>
        <v>0</v>
      </c>
      <c r="AY1216" s="20">
        <f>IF(AV1216-DATA[[#This Row],[fecha_fs]]&lt;0,0,AV1216-DATA[[#This Row],[fecha_fs]])</f>
        <v>5</v>
      </c>
      <c r="AZ1216" s="20">
        <f>IF(AW1216-AV1216&lt;0,0,AW1216-AV1216)</f>
        <v>2</v>
      </c>
      <c r="BA1216" s="53">
        <f>IF(AX1216-AW1216&lt;0,0,AX1216-AW1216)</f>
        <v>0</v>
      </c>
      <c r="BB1216" s="360">
        <f>IFERROR(SUM(DATA[[#This Row],[fs_val_ttf]:[fact_pago_ttf]]),0)</f>
        <v>7</v>
      </c>
      <c r="BC1216" s="377">
        <v>45918</v>
      </c>
      <c r="BD1216" s="377">
        <v>45930</v>
      </c>
      <c r="BE1216" s="377">
        <v>45931</v>
      </c>
      <c r="BF1216" s="377">
        <v>45953</v>
      </c>
      <c r="BG1216" s="20">
        <f>IFERROR(IF(BC1216-DATA[[#This Row],[fecha_fs]]&lt;0,0,BC1216-DATA[[#This Row],[fecha_fs]]),0)</f>
        <v>0</v>
      </c>
      <c r="BH1216" s="20">
        <f t="shared" si="275"/>
        <v>12</v>
      </c>
      <c r="BI1216" s="20">
        <f t="shared" si="275"/>
        <v>1</v>
      </c>
      <c r="BJ1216" s="367">
        <f t="shared" si="275"/>
        <v>22</v>
      </c>
      <c r="BK1216" s="362">
        <f>IFERROR(SUM(DATA[[#This Row],[fs_fd_ttd]:[fend_fenf_ttd]]),0)</f>
        <v>35</v>
      </c>
      <c r="BL1216" s="20" t="str">
        <f>IF(DATA[[#This Row],[fecha_fs]]&gt;0,TEXT(DATA[[#This Row],[fecha_fs]],"YYYY"),0)</f>
        <v>2025</v>
      </c>
      <c r="BM1216" s="236" t="b">
        <v>1</v>
      </c>
      <c r="BN1216" s="278">
        <f>COUNTIF(DATA[[#This Row],[tiempo_td]], "&lt;=15")</f>
        <v>0</v>
      </c>
      <c r="BO1216" s="222"/>
    </row>
    <row r="1217" spans="1:67" ht="30.6" customHeight="1" x14ac:dyDescent="0.25">
      <c r="A1217" s="4">
        <v>20141637941</v>
      </c>
      <c r="B1217" s="5" t="s">
        <v>79</v>
      </c>
      <c r="C1217" s="52" t="s">
        <v>18</v>
      </c>
      <c r="D1217" s="4" t="s">
        <v>120</v>
      </c>
      <c r="E1217" s="5" t="s">
        <v>3</v>
      </c>
      <c r="F1217" s="24">
        <v>45919</v>
      </c>
      <c r="G1217" s="7" t="s">
        <v>113</v>
      </c>
      <c r="H1217" s="25">
        <f t="shared" si="269"/>
        <v>1</v>
      </c>
      <c r="I1217" s="67">
        <v>5014</v>
      </c>
      <c r="J1217" s="8" t="s">
        <v>115</v>
      </c>
      <c r="K1217" s="9" t="s">
        <v>121</v>
      </c>
      <c r="L1217" s="10" t="s">
        <v>117</v>
      </c>
      <c r="M1217" s="11">
        <v>1240</v>
      </c>
      <c r="N1217" s="12" t="s">
        <v>249</v>
      </c>
      <c r="O1217" s="6">
        <v>45926</v>
      </c>
      <c r="P1217" s="68">
        <v>3701</v>
      </c>
      <c r="Q1217" s="14" t="s">
        <v>85</v>
      </c>
      <c r="R1217" s="321">
        <f>80+((DATA[[#This Row],[cantidad_fs]]-1000)*0.08)</f>
        <v>99.2</v>
      </c>
      <c r="S1217" s="321">
        <v>832</v>
      </c>
      <c r="T1217" s="237">
        <f>DATA[[#This Row],[C. DF]]+DATA[[#This Row],[C.OPE.]]</f>
        <v>931.2</v>
      </c>
      <c r="U1217" s="15">
        <f>DATA[[#This Row],[SUB TOTAL]]*0.18</f>
        <v>167.61600000000001</v>
      </c>
      <c r="V1217" s="15">
        <f>IFERROR(ROUND(DATA[[#This Row],[SUB TOTAL]]+DATA[[#This Row],[IGV]],2),0)</f>
        <v>1098.82</v>
      </c>
      <c r="W1217" s="16" t="str">
        <f>IF(DATA[[#This Row],[VALORIZACIÓN ]]="-","NO CORRESPONDE",IF(OR(A1217=20558226979,A1217=10470707866,A1217=20111157058,A1217=20100226902),"NO CORRESPONDE",IF(J1217="Emitida",IF(P1217&gt;0,"EMITIDA","PENDIENTE"),"NO CORRESPONDE")))</f>
        <v>EMITIDA</v>
      </c>
      <c r="X1217" s="29"/>
      <c r="Y1217" s="17" t="s">
        <v>118</v>
      </c>
      <c r="Z1217" s="30">
        <v>45936</v>
      </c>
      <c r="AA1217" s="10" t="s">
        <v>150</v>
      </c>
      <c r="AB1217" s="19">
        <v>281</v>
      </c>
      <c r="AC1217" s="20">
        <v>30</v>
      </c>
      <c r="AD1217" s="18">
        <f>DATA[[#This Row],[FECHA DE EMISION]]+DATA[[#This Row],[CONDICION DE PAGO]]</f>
        <v>45966</v>
      </c>
      <c r="AE1217" s="23">
        <f>IF(DATA[[#This Row],[MONEDA]]="USD",VLOOKUP(DATA[[#This Row],[COMBINADA]],#REF!,11,0),1)</f>
        <v>1</v>
      </c>
      <c r="AF1217" s="129" t="str">
        <f>IF(DATA[[#This Row],[SERIE2]]="-","NO CORRESPONDE",IF(W1217="NO CORRESPONDE","NO CORRESPONDE",IF(Z1217&gt;0,"FACTURADO","PENDIENTE")))</f>
        <v>FACTURADO</v>
      </c>
      <c r="AG1217" s="133">
        <f>IFERROR(VLOOKUP(DATA[[#This Row],[COMBINADA]],#REF!,6,0),0)</f>
        <v>0</v>
      </c>
      <c r="AH1217" s="125">
        <f>IFERROR(VLOOKUP(DATA[[#This Row],[COMBINADA]],#REF!,9,0),0)/COUNTIFS(DATA[COMBINADA],DATA[[#This Row],[COMBINADA]])</f>
        <v>0</v>
      </c>
      <c r="AI1217" s="136">
        <f>IFERROR(VLOOKUP(DATA[[#This Row],[COMBINADA]],#REF!,6,0),0)</f>
        <v>0</v>
      </c>
      <c r="AJ1217" s="132">
        <f>IFERROR(VLOOKUP(DATA[[#This Row],[COMBINADA]],#REF!,9,0),0)/COUNTIFS(DATA[COMBINADA],DATA[[#This Row],[COMBINADA]])</f>
        <v>0</v>
      </c>
      <c r="AK1217" s="407">
        <f>IFERROR(VLOOKUP(DATA[[#This Row],[COMBINADA]],#REF!,6,0),0)</f>
        <v>0</v>
      </c>
      <c r="AL1217" s="125">
        <f>IFERROR(VLOOKUP(DATA[[#This Row],[COMBINADA]],#REF!,9,0),0)/COUNTIFS(DATA[COMBINADA],DATA[[#This Row],[COMBINADA]])</f>
        <v>0</v>
      </c>
      <c r="AM1217" s="27">
        <f>IFERROR(VLOOKUP(DATA[[#This Row],[COMBINADA]],#REF!,6,0),0)</f>
        <v>0</v>
      </c>
      <c r="AN1217" s="125">
        <f>IFERROR(VLOOKUP(DATA[[#This Row],[COMBINADA]],#REF!,9,0),0)/COUNTIFS(DATA[COMBINADA],DATA[[#This Row],[COMBINADA]])</f>
        <v>0</v>
      </c>
      <c r="AO1217" s="27">
        <f>IFERROR(VLOOKUP(DATA[[#This Row],[COMBINADA]],#REF!,6,0),0)</f>
        <v>0</v>
      </c>
      <c r="AP1217" s="132">
        <f>IFERROR(VLOOKUP(DATA[[#This Row],[COMBINADA]],#REF!,9,0),0)/COUNTIFS(DATA[COMBINADA],DATA[[#This Row],[COMBINADA]])</f>
        <v>0</v>
      </c>
      <c r="AQ121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1081.825</v>
      </c>
      <c r="AR1217" s="26" t="str">
        <f>IFERROR(IF(DATA[[#This Row],[estado_fact]]="FACTURADO",VLOOKUP(DATA[[#This Row],[SERIE2]]&amp;"-"&amp;DATA[[#This Row],[NUMERO]],#REF!,34,0),"NO CORRESPONDE"),"NO CORRESPONDE")</f>
        <v>NO CORRESPONDE</v>
      </c>
      <c r="AS1217" s="22" t="str">
        <f>IF(DATA[[#This Row],[fecha_fs]]&gt;0,TEXT(DATA[[#This Row],[fecha_fs]],"Mmmm"),0)</f>
        <v>Setiembre</v>
      </c>
      <c r="AT1217" s="22" t="str">
        <f>DATA[[#This Row],[SERIE2]]&amp;"-"&amp;DATA[[#This Row],[NUMERO]]</f>
        <v>FF01-281</v>
      </c>
      <c r="AU1217" s="28">
        <f>DATA[[#This Row],[TOTAL]]*DATA[[#This Row],[T.C.]]</f>
        <v>1098.82</v>
      </c>
      <c r="AV1217" s="6">
        <f>DATA[[#This Row],[FECHA DE VAL.]]</f>
        <v>45926</v>
      </c>
      <c r="AW1217" s="6">
        <f>DATA[[#This Row],[FECHA DE EMISION]]</f>
        <v>45936</v>
      </c>
      <c r="AX1217" s="6">
        <f>DATA[[#This Row],[F1]]</f>
        <v>0</v>
      </c>
      <c r="AY1217" s="20">
        <f>IF(AV1217-DATA[[#This Row],[fecha_fs]]&lt;0,0,AV1217-DATA[[#This Row],[fecha_fs]])</f>
        <v>7</v>
      </c>
      <c r="AZ1217" s="20">
        <f t="shared" si="270"/>
        <v>10</v>
      </c>
      <c r="BA1217" s="53">
        <f t="shared" si="271"/>
        <v>0</v>
      </c>
      <c r="BB1217" s="195">
        <f>IFERROR(SUM(DATA[[#This Row],[fs_val_ttf]:[fact_pago_ttf]]),0)</f>
        <v>17</v>
      </c>
      <c r="BC1217" s="233">
        <v>45919</v>
      </c>
      <c r="BD1217" s="185">
        <v>45929</v>
      </c>
      <c r="BE1217" s="377">
        <v>45931</v>
      </c>
      <c r="BF1217" s="233">
        <v>45939</v>
      </c>
      <c r="BG1217" s="20">
        <f>IFERROR(IF(BC1217-DATA[[#This Row],[fecha_fs]]&lt;0,0,BC1217-DATA[[#This Row],[fecha_fs]]),0)</f>
        <v>0</v>
      </c>
      <c r="BH1217" s="20">
        <f t="shared" si="272"/>
        <v>10</v>
      </c>
      <c r="BI1217" s="20">
        <f t="shared" si="273"/>
        <v>2</v>
      </c>
      <c r="BJ1217" s="20">
        <f t="shared" si="274"/>
        <v>8</v>
      </c>
      <c r="BK1217" s="282">
        <f>IFERROR(SUM(DATA[[#This Row],[fs_fd_ttd]:[fend_fenf_ttd]]),0)</f>
        <v>20</v>
      </c>
      <c r="BL1217" s="20" t="str">
        <f>IF(DATA[[#This Row],[fecha_fs]]&gt;0,TEXT(DATA[[#This Row],[fecha_fs]],"YYYY"),0)</f>
        <v>2025</v>
      </c>
      <c r="BM1217" s="236" t="b">
        <v>1</v>
      </c>
      <c r="BN1217" s="278">
        <f>COUNTIF(DATA[[#This Row],[tiempo_td]], "&lt;=15")</f>
        <v>0</v>
      </c>
      <c r="BO1217" s="222"/>
    </row>
    <row r="1218" spans="1:67" ht="30.6" customHeight="1" x14ac:dyDescent="0.25">
      <c r="A1218" s="4">
        <v>20100199743</v>
      </c>
      <c r="B1218" s="5" t="s">
        <v>47</v>
      </c>
      <c r="C1218" s="52" t="s">
        <v>48</v>
      </c>
      <c r="D1218" s="4" t="s">
        <v>139</v>
      </c>
      <c r="E1218" s="5" t="s">
        <v>23</v>
      </c>
      <c r="F1218" s="24">
        <v>45922</v>
      </c>
      <c r="G1218" s="7" t="s">
        <v>113</v>
      </c>
      <c r="H1218" s="25">
        <f t="shared" si="269"/>
        <v>1</v>
      </c>
      <c r="I1218" s="67">
        <v>5015</v>
      </c>
      <c r="J1218" s="8" t="s">
        <v>115</v>
      </c>
      <c r="K1218" s="9" t="s">
        <v>257</v>
      </c>
      <c r="L1218" s="10" t="s">
        <v>117</v>
      </c>
      <c r="M1218" s="11">
        <v>5934.6</v>
      </c>
      <c r="N1218" s="12" t="s">
        <v>336</v>
      </c>
      <c r="O1218" s="6">
        <v>45923</v>
      </c>
      <c r="P1218" s="13">
        <v>3672</v>
      </c>
      <c r="Q1218" s="14" t="s">
        <v>85</v>
      </c>
      <c r="R1218" s="321"/>
      <c r="S1218" s="321">
        <v>6099</v>
      </c>
      <c r="T1218" s="237">
        <f>DATA[[#This Row],[C. DF]]+DATA[[#This Row],[C.OPE.]]</f>
        <v>6099</v>
      </c>
      <c r="U1218" s="15">
        <f>DATA[[#This Row],[SUB TOTAL]]*0.18</f>
        <v>1097.82</v>
      </c>
      <c r="V1218" s="15">
        <f>IFERROR(ROUND(DATA[[#This Row],[SUB TOTAL]]+DATA[[#This Row],[IGV]],2),0)</f>
        <v>7196.82</v>
      </c>
      <c r="W1218" s="16" t="str">
        <f>IF(DATA[[#This Row],[VALORIZACIÓN ]]="-","NO CORRESPONDE",IF(OR(A1218=20558226979,A1218=10470707866,A1218=20111157058,A1218=20100226902),"NO CORRESPONDE",IF(J1218="Emitida",IF(P1218&gt;0,"EMITIDA","PENDIENTE"),"NO CORRESPONDE")))</f>
        <v>EMITIDA</v>
      </c>
      <c r="X1218" s="29"/>
      <c r="Y1218" s="17" t="s">
        <v>118</v>
      </c>
      <c r="Z1218" s="30">
        <v>45931</v>
      </c>
      <c r="AA1218" s="10" t="s">
        <v>150</v>
      </c>
      <c r="AB1218" s="19">
        <v>276</v>
      </c>
      <c r="AC1218" s="20">
        <v>15</v>
      </c>
      <c r="AD1218" s="18">
        <f>DATA[[#This Row],[FECHA DE EMISION]]+DATA[[#This Row],[CONDICION DE PAGO]]</f>
        <v>45946</v>
      </c>
      <c r="AE1218" s="23">
        <f>IF(DATA[[#This Row],[MONEDA]]="USD",VLOOKUP(DATA[[#This Row],[COMBINADA]],#REF!,11,0),1)</f>
        <v>1</v>
      </c>
      <c r="AF1218" s="129" t="str">
        <f>IF(DATA[[#This Row],[SERIE2]]="-","NO CORRESPONDE",IF(W1218="NO CORRESPONDE","NO CORRESPONDE",IF(Z1218&gt;0,"FACTURADO","PENDIENTE")))</f>
        <v>FACTURADO</v>
      </c>
      <c r="AG1218" s="133">
        <f>IFERROR(VLOOKUP(DATA[[#This Row],[COMBINADA]],#REF!,6,0),0)</f>
        <v>0</v>
      </c>
      <c r="AH1218" s="125">
        <f>IFERROR(VLOOKUP(DATA[[#This Row],[COMBINADA]],#REF!,9,0),0)/COUNTIFS(DATA[COMBINADA],DATA[[#This Row],[COMBINADA]])</f>
        <v>0</v>
      </c>
      <c r="AI1218" s="136">
        <f>IFERROR(VLOOKUP(DATA[[#This Row],[COMBINADA]],#REF!,6,0),0)</f>
        <v>0</v>
      </c>
      <c r="AJ1218" s="132">
        <f>IFERROR(VLOOKUP(DATA[[#This Row],[COMBINADA]],#REF!,9,0),0)/COUNTIFS(DATA[COMBINADA],DATA[[#This Row],[COMBINADA]])</f>
        <v>0</v>
      </c>
      <c r="AK1218" s="407">
        <f>IFERROR(VLOOKUP(DATA[[#This Row],[COMBINADA]],#REF!,6,0),0)</f>
        <v>0</v>
      </c>
      <c r="AL1218" s="125">
        <f>IFERROR(VLOOKUP(DATA[[#This Row],[COMBINADA]],#REF!,9,0),0)/COUNTIFS(DATA[COMBINADA],DATA[[#This Row],[COMBINADA]])</f>
        <v>0</v>
      </c>
      <c r="AM1218" s="27">
        <f>IFERROR(VLOOKUP(DATA[[#This Row],[COMBINADA]],#REF!,6,0),0)</f>
        <v>0</v>
      </c>
      <c r="AN1218" s="125">
        <f>IFERROR(VLOOKUP(DATA[[#This Row],[COMBINADA]],#REF!,9,0),0)/COUNTIFS(DATA[COMBINADA],DATA[[#This Row],[COMBINADA]])</f>
        <v>0</v>
      </c>
      <c r="AO1218" s="27">
        <f>IFERROR(VLOOKUP(DATA[[#This Row],[COMBINADA]],#REF!,6,0),0)</f>
        <v>0</v>
      </c>
      <c r="AP1218" s="132">
        <f>IFERROR(VLOOKUP(DATA[[#This Row],[COMBINADA]],#REF!,9,0),0)/COUNTIFS(DATA[COMBINADA],DATA[[#This Row],[COMBINADA]])</f>
        <v>0</v>
      </c>
      <c r="AQ121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7196.82</v>
      </c>
      <c r="AR1218" s="26" t="str">
        <f>IFERROR(IF(DATA[[#This Row],[estado_fact]]="FACTURADO",VLOOKUP(DATA[[#This Row],[SERIE2]]&amp;"-"&amp;DATA[[#This Row],[NUMERO]],#REF!,34,0),"NO CORRESPONDE"),"NO CORRESPONDE")</f>
        <v>NO CORRESPONDE</v>
      </c>
      <c r="AS1218" s="22" t="str">
        <f>IF(DATA[[#This Row],[fecha_fs]]&gt;0,TEXT(DATA[[#This Row],[fecha_fs]],"Mmmm"),0)</f>
        <v>Setiembre</v>
      </c>
      <c r="AT1218" s="22" t="str">
        <f>DATA[[#This Row],[SERIE2]]&amp;"-"&amp;DATA[[#This Row],[NUMERO]]</f>
        <v>FF01-276</v>
      </c>
      <c r="AU1218" s="28">
        <f>DATA[[#This Row],[TOTAL]]*DATA[[#This Row],[T.C.]]</f>
        <v>7196.82</v>
      </c>
      <c r="AV1218" s="6">
        <f>DATA[[#This Row],[FECHA DE VAL.]]</f>
        <v>45923</v>
      </c>
      <c r="AW1218" s="6">
        <f>DATA[[#This Row],[FECHA DE EMISION]]</f>
        <v>45931</v>
      </c>
      <c r="AX1218" s="6">
        <f>DATA[[#This Row],[F1]]</f>
        <v>0</v>
      </c>
      <c r="AY1218" s="20">
        <f>IF(AV1218-DATA[[#This Row],[fecha_fs]]&lt;0,0,AV1218-DATA[[#This Row],[fecha_fs]])</f>
        <v>1</v>
      </c>
      <c r="AZ1218" s="20">
        <f t="shared" si="270"/>
        <v>8</v>
      </c>
      <c r="BA1218" s="53">
        <f t="shared" si="271"/>
        <v>0</v>
      </c>
      <c r="BB1218" s="195">
        <f>IFERROR(SUM(DATA[[#This Row],[fs_val_ttf]:[fact_pago_ttf]]),0)</f>
        <v>9</v>
      </c>
      <c r="BC1218" s="233">
        <v>45922</v>
      </c>
      <c r="BD1218" s="233">
        <v>45922</v>
      </c>
      <c r="BE1218" s="233">
        <v>45932</v>
      </c>
      <c r="BF1218" s="233">
        <v>45932</v>
      </c>
      <c r="BG1218" s="20">
        <f>IFERROR(IF(BC1218-DATA[[#This Row],[fecha_fs]]&lt;0,0,BC1218-DATA[[#This Row],[fecha_fs]]),0)</f>
        <v>0</v>
      </c>
      <c r="BH1218" s="20">
        <f t="shared" si="272"/>
        <v>0</v>
      </c>
      <c r="BI1218" s="20">
        <f t="shared" si="273"/>
        <v>10</v>
      </c>
      <c r="BJ1218" s="20">
        <f t="shared" si="274"/>
        <v>0</v>
      </c>
      <c r="BK1218" s="282">
        <f>IFERROR(SUM(DATA[[#This Row],[fs_fd_ttd]:[fend_fenf_ttd]]),0)</f>
        <v>10</v>
      </c>
      <c r="BL1218" s="20" t="str">
        <f>IF(DATA[[#This Row],[fecha_fs]]&gt;0,TEXT(DATA[[#This Row],[fecha_fs]],"YYYY"),0)</f>
        <v>2025</v>
      </c>
      <c r="BM1218" s="236" t="b">
        <v>1</v>
      </c>
      <c r="BN1218" s="278">
        <f>COUNTIF(DATA[[#This Row],[tiempo_td]], "&lt;=15")</f>
        <v>1</v>
      </c>
      <c r="BO1218" s="222"/>
    </row>
    <row r="1219" spans="1:67" ht="30.6" customHeight="1" x14ac:dyDescent="0.25">
      <c r="A1219" s="4">
        <v>20100211115</v>
      </c>
      <c r="B1219" s="5" t="s">
        <v>41</v>
      </c>
      <c r="C1219" s="52" t="s">
        <v>18</v>
      </c>
      <c r="D1219" s="4" t="s">
        <v>120</v>
      </c>
      <c r="E1219" s="5" t="s">
        <v>3</v>
      </c>
      <c r="F1219" s="24">
        <v>45919</v>
      </c>
      <c r="G1219" s="7" t="s">
        <v>113</v>
      </c>
      <c r="H1219" s="25">
        <f t="shared" si="269"/>
        <v>1</v>
      </c>
      <c r="I1219" s="67">
        <v>5016</v>
      </c>
      <c r="J1219" s="8" t="s">
        <v>115</v>
      </c>
      <c r="K1219" s="9" t="s">
        <v>121</v>
      </c>
      <c r="L1219" s="10" t="s">
        <v>117</v>
      </c>
      <c r="M1219" s="11">
        <v>90</v>
      </c>
      <c r="N1219" s="12" t="s">
        <v>132</v>
      </c>
      <c r="O1219" s="6">
        <v>45926</v>
      </c>
      <c r="P1219" s="368">
        <v>3679</v>
      </c>
      <c r="Q1219" s="14" t="s">
        <v>85</v>
      </c>
      <c r="R1219" s="321"/>
      <c r="S1219" s="321">
        <f>(DATA[[#This Row],[cantidad_fs]]*4.17)</f>
        <v>375.3</v>
      </c>
      <c r="T1219" s="237">
        <f>DATA[[#This Row],[C. DF]]+DATA[[#This Row],[C.OPE.]]</f>
        <v>375.3</v>
      </c>
      <c r="U1219" s="15">
        <f>DATA[[#This Row],[SUB TOTAL]]*0.18</f>
        <v>67.554000000000002</v>
      </c>
      <c r="V1219" s="15">
        <f>IFERROR(ROUND(DATA[[#This Row],[SUB TOTAL]]+DATA[[#This Row],[IGV]],2),0)</f>
        <v>442.85</v>
      </c>
      <c r="W1219" s="16" t="str">
        <f>IF(DATA[[#This Row],[VALORIZACIÓN ]]="-","NO CORRESPONDE",IF(OR(A1219=20558226979,A1219=10470707866,A1219=20111157058,A1219=20100226902),"NO CORRESPONDE",IF(J1219="Emitida",IF(P1219&gt;0,"EMITIDA","PENDIENTE"),"NO CORRESPONDE")))</f>
        <v>EMITIDA</v>
      </c>
      <c r="X1219" s="29"/>
      <c r="Y1219" s="17" t="s">
        <v>118</v>
      </c>
      <c r="Z1219" s="30">
        <v>45930</v>
      </c>
      <c r="AA1219" s="10" t="s">
        <v>150</v>
      </c>
      <c r="AB1219" s="19">
        <v>269</v>
      </c>
      <c r="AC1219" s="20">
        <v>30</v>
      </c>
      <c r="AD1219" s="18">
        <f>DATA[[#This Row],[FECHA DE EMISION]]+DATA[[#This Row],[CONDICION DE PAGO]]</f>
        <v>45960</v>
      </c>
      <c r="AE1219" s="23">
        <f>IF(DATA[[#This Row],[MONEDA]]="USD",VLOOKUP(DATA[[#This Row],[COMBINADA]],#REF!,11,0),1)</f>
        <v>1</v>
      </c>
      <c r="AF1219" s="129" t="str">
        <f>IF(DATA[[#This Row],[SERIE2]]="-","NO CORRESPONDE",IF(W1219="NO CORRESPONDE","NO CORRESPONDE",IF(Z1219&gt;0,"FACTURADO","PENDIENTE")))</f>
        <v>FACTURADO</v>
      </c>
      <c r="AG1219" s="133">
        <f>IFERROR(VLOOKUP(DATA[[#This Row],[COMBINADA]],#REF!,6,0),0)</f>
        <v>0</v>
      </c>
      <c r="AH1219" s="125">
        <f>IFERROR(VLOOKUP(DATA[[#This Row],[COMBINADA]],#REF!,9,0),0)/COUNTIFS(DATA[COMBINADA],DATA[[#This Row],[COMBINADA]])</f>
        <v>0</v>
      </c>
      <c r="AI1219" s="136">
        <f>IFERROR(VLOOKUP(DATA[[#This Row],[COMBINADA]],#REF!,6,0),0)</f>
        <v>0</v>
      </c>
      <c r="AJ1219" s="132">
        <f>IFERROR(VLOOKUP(DATA[[#This Row],[COMBINADA]],#REF!,9,0),0)/COUNTIFS(DATA[COMBINADA],DATA[[#This Row],[COMBINADA]])</f>
        <v>0</v>
      </c>
      <c r="AK1219" s="407">
        <f>IFERROR(VLOOKUP(DATA[[#This Row],[COMBINADA]],#REF!,6,0),0)</f>
        <v>0</v>
      </c>
      <c r="AL1219" s="125">
        <f>IFERROR(VLOOKUP(DATA[[#This Row],[COMBINADA]],#REF!,9,0),0)/COUNTIFS(DATA[COMBINADA],DATA[[#This Row],[COMBINADA]])</f>
        <v>0</v>
      </c>
      <c r="AM1219" s="27">
        <f>IFERROR(VLOOKUP(DATA[[#This Row],[COMBINADA]],#REF!,6,0),0)</f>
        <v>0</v>
      </c>
      <c r="AN1219" s="125">
        <f>IFERROR(VLOOKUP(DATA[[#This Row],[COMBINADA]],#REF!,9,0),0)/COUNTIFS(DATA[COMBINADA],DATA[[#This Row],[COMBINADA]])</f>
        <v>0</v>
      </c>
      <c r="AO1219" s="27">
        <f>IFERROR(VLOOKUP(DATA[[#This Row],[COMBINADA]],#REF!,6,0),0)</f>
        <v>0</v>
      </c>
      <c r="AP1219" s="132">
        <f>IFERROR(VLOOKUP(DATA[[#This Row],[COMBINADA]],#REF!,9,0),0)/COUNTIFS(DATA[COMBINADA],DATA[[#This Row],[COMBINADA]])</f>
        <v>0</v>
      </c>
      <c r="AQ121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219" s="26" t="str">
        <f>IFERROR(IF(DATA[[#This Row],[estado_fact]]="FACTURADO",VLOOKUP(DATA[[#This Row],[SERIE2]]&amp;"-"&amp;DATA[[#This Row],[NUMERO]],#REF!,34,0),"NO CORRESPONDE"),"NO CORRESPONDE")</f>
        <v>NO CORRESPONDE</v>
      </c>
      <c r="AS1219" s="22" t="str">
        <f>IF(DATA[[#This Row],[fecha_fs]]&gt;0,TEXT(DATA[[#This Row],[fecha_fs]],"Mmmm"),0)</f>
        <v>Setiembre</v>
      </c>
      <c r="AT1219" s="22" t="str">
        <f>DATA[[#This Row],[SERIE2]]&amp;"-"&amp;DATA[[#This Row],[NUMERO]]</f>
        <v>FF01-269</v>
      </c>
      <c r="AU1219" s="28">
        <f>DATA[[#This Row],[TOTAL]]*DATA[[#This Row],[T.C.]]</f>
        <v>442.85</v>
      </c>
      <c r="AV1219" s="6">
        <f>DATA[[#This Row],[FECHA DE VAL.]]</f>
        <v>45926</v>
      </c>
      <c r="AW1219" s="6">
        <f>DATA[[#This Row],[FECHA DE EMISION]]</f>
        <v>45930</v>
      </c>
      <c r="AX1219" s="6">
        <f>DATA[[#This Row],[F1]]</f>
        <v>0</v>
      </c>
      <c r="AY1219" s="20">
        <f>IF(AV1219-DATA[[#This Row],[fecha_fs]]&lt;0,0,AV1219-DATA[[#This Row],[fecha_fs]])</f>
        <v>7</v>
      </c>
      <c r="AZ1219" s="20">
        <f t="shared" si="270"/>
        <v>4</v>
      </c>
      <c r="BA1219" s="53">
        <f t="shared" si="271"/>
        <v>0</v>
      </c>
      <c r="BB1219" s="195">
        <f>IFERROR(SUM(DATA[[#This Row],[fs_val_ttf]:[fact_pago_ttf]]),0)</f>
        <v>11</v>
      </c>
      <c r="BC1219" s="233">
        <v>45932</v>
      </c>
      <c r="BD1219" s="233">
        <v>45939</v>
      </c>
      <c r="BE1219" s="233">
        <v>45939</v>
      </c>
      <c r="BF1219" s="233">
        <v>45940</v>
      </c>
      <c r="BG1219" s="20">
        <f>IFERROR(IF(BC1219-DATA[[#This Row],[fecha_fs]]&lt;0,0,BC1219-DATA[[#This Row],[fecha_fs]]),0)</f>
        <v>13</v>
      </c>
      <c r="BH1219" s="20">
        <f t="shared" si="272"/>
        <v>7</v>
      </c>
      <c r="BI1219" s="20">
        <f t="shared" si="273"/>
        <v>0</v>
      </c>
      <c r="BJ1219" s="20">
        <f t="shared" si="274"/>
        <v>1</v>
      </c>
      <c r="BK1219" s="282">
        <f>IFERROR(SUM(DATA[[#This Row],[fs_fd_ttd]:[fend_fenf_ttd]]),0)</f>
        <v>21</v>
      </c>
      <c r="BL1219" s="20" t="str">
        <f>IF(DATA[[#This Row],[fecha_fs]]&gt;0,TEXT(DATA[[#This Row],[fecha_fs]],"YYYY"),0)</f>
        <v>2025</v>
      </c>
      <c r="BM1219" s="236" t="b">
        <v>1</v>
      </c>
      <c r="BN1219" s="278">
        <f>COUNTIF(DATA[[#This Row],[tiempo_td]], "&lt;=15")</f>
        <v>0</v>
      </c>
      <c r="BO1219" s="222"/>
    </row>
    <row r="1220" spans="1:67" ht="30.6" customHeight="1" x14ac:dyDescent="0.25">
      <c r="A1220" s="4">
        <v>20419158462</v>
      </c>
      <c r="B1220" s="5" t="s">
        <v>2</v>
      </c>
      <c r="C1220" s="52" t="s">
        <v>8</v>
      </c>
      <c r="D1220" s="4" t="s">
        <v>120</v>
      </c>
      <c r="E1220" s="5" t="s">
        <v>3</v>
      </c>
      <c r="F1220" s="24">
        <v>45922</v>
      </c>
      <c r="G1220" s="7" t="s">
        <v>113</v>
      </c>
      <c r="H1220" s="25">
        <f t="shared" si="269"/>
        <v>1</v>
      </c>
      <c r="I1220" s="67">
        <v>5017</v>
      </c>
      <c r="J1220" s="8" t="s">
        <v>115</v>
      </c>
      <c r="K1220" s="9" t="s">
        <v>156</v>
      </c>
      <c r="L1220" s="10" t="s">
        <v>117</v>
      </c>
      <c r="M1220" s="11">
        <v>450</v>
      </c>
      <c r="N1220" s="12" t="s">
        <v>337</v>
      </c>
      <c r="O1220" s="6">
        <v>45923</v>
      </c>
      <c r="P1220" s="13">
        <v>3673</v>
      </c>
      <c r="Q1220" s="14" t="s">
        <v>85</v>
      </c>
      <c r="R1220" s="321"/>
      <c r="S1220" s="321">
        <v>1429.7</v>
      </c>
      <c r="T1220" s="237">
        <f>DATA[[#This Row],[C. DF]]+DATA[[#This Row],[C.OPE.]]</f>
        <v>1429.7</v>
      </c>
      <c r="U1220" s="15">
        <f>DATA[[#This Row],[SUB TOTAL]]*0.18</f>
        <v>257.346</v>
      </c>
      <c r="V1220" s="15">
        <f>IFERROR(ROUND(DATA[[#This Row],[SUB TOTAL]]+DATA[[#This Row],[IGV]],2),0)</f>
        <v>1687.05</v>
      </c>
      <c r="W1220" s="16" t="str">
        <f>IF(DATA[[#This Row],[VALORIZACIÓN ]]="-","NO CORRESPONDE",IF(OR(A1220=20558226979,A1220=10470707866,A1220=20111157058,A1220=20100226902),"NO CORRESPONDE",IF(J1220="Emitida",IF(P1220&gt;0,"EMITIDA","PENDIENTE"),"NO CORRESPONDE")))</f>
        <v>EMITIDA</v>
      </c>
      <c r="X1220" s="29"/>
      <c r="Y1220" s="17" t="s">
        <v>118</v>
      </c>
      <c r="Z1220" s="30">
        <v>45965</v>
      </c>
      <c r="AA1220" s="10" t="s">
        <v>150</v>
      </c>
      <c r="AB1220" s="19">
        <v>333</v>
      </c>
      <c r="AC1220" s="20">
        <v>2</v>
      </c>
      <c r="AD1220" s="18">
        <f>DATA[[#This Row],[FECHA DE EMISION]]+DATA[[#This Row],[CONDICION DE PAGO]]</f>
        <v>45967</v>
      </c>
      <c r="AE1220" s="23">
        <f>IF(DATA[[#This Row],[MONEDA]]="USD",VLOOKUP(DATA[[#This Row],[COMBINADA]],#REF!,11,0),1)</f>
        <v>1</v>
      </c>
      <c r="AF1220" s="129" t="str">
        <f>IF(DATA[[#This Row],[SERIE2]]="-","NO CORRESPONDE",IF(W1220="NO CORRESPONDE","NO CORRESPONDE",IF(Z1220&gt;0,"FACTURADO","PENDIENTE")))</f>
        <v>FACTURADO</v>
      </c>
      <c r="AG1220" s="133">
        <f>IFERROR(VLOOKUP(DATA[[#This Row],[COMBINADA]],#REF!,6,0),0)</f>
        <v>0</v>
      </c>
      <c r="AH1220" s="125">
        <f>IFERROR(VLOOKUP(DATA[[#This Row],[COMBINADA]],#REF!,9,0),0)/COUNTIFS(DATA[COMBINADA],DATA[[#This Row],[COMBINADA]])</f>
        <v>0</v>
      </c>
      <c r="AI1220" s="136">
        <f>IFERROR(VLOOKUP(DATA[[#This Row],[COMBINADA]],#REF!,6,0),0)</f>
        <v>0</v>
      </c>
      <c r="AJ1220" s="132">
        <f>IFERROR(VLOOKUP(DATA[[#This Row],[COMBINADA]],#REF!,9,0),0)/COUNTIFS(DATA[COMBINADA],DATA[[#This Row],[COMBINADA]])</f>
        <v>0</v>
      </c>
      <c r="AK1220" s="407">
        <f>IFERROR(VLOOKUP(DATA[[#This Row],[COMBINADA]],#REF!,6,0),0)</f>
        <v>0</v>
      </c>
      <c r="AL1220" s="125">
        <f>IFERROR(VLOOKUP(DATA[[#This Row],[COMBINADA]],#REF!,9,0),0)/COUNTIFS(DATA[COMBINADA],DATA[[#This Row],[COMBINADA]])</f>
        <v>0</v>
      </c>
      <c r="AM1220" s="27">
        <f>IFERROR(VLOOKUP(DATA[[#This Row],[COMBINADA]],#REF!,6,0),0)</f>
        <v>0</v>
      </c>
      <c r="AN1220" s="125">
        <f>IFERROR(VLOOKUP(DATA[[#This Row],[COMBINADA]],#REF!,9,0),0)/COUNTIFS(DATA[COMBINADA],DATA[[#This Row],[COMBINADA]])</f>
        <v>0</v>
      </c>
      <c r="AO1220" s="27">
        <f>IFERROR(VLOOKUP(DATA[[#This Row],[COMBINADA]],#REF!,6,0),0)</f>
        <v>0</v>
      </c>
      <c r="AP1220" s="132">
        <f>IFERROR(VLOOKUP(DATA[[#This Row],[COMBINADA]],#REF!,9,0),0)/COUNTIFS(DATA[COMBINADA],DATA[[#This Row],[COMBINADA]])</f>
        <v>0</v>
      </c>
      <c r="AQ122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1687.05</v>
      </c>
      <c r="AR1220" s="26" t="str">
        <f>IFERROR(IF(DATA[[#This Row],[estado_fact]]="FACTURADO",VLOOKUP(DATA[[#This Row],[SERIE2]]&amp;"-"&amp;DATA[[#This Row],[NUMERO]],#REF!,34,0),"NO CORRESPONDE"),"NO CORRESPONDE")</f>
        <v>NO CORRESPONDE</v>
      </c>
      <c r="AS1220" s="22" t="str">
        <f>IF(DATA[[#This Row],[fecha_fs]]&gt;0,TEXT(DATA[[#This Row],[fecha_fs]],"Mmmm"),0)</f>
        <v>Setiembre</v>
      </c>
      <c r="AT1220" s="22" t="str">
        <f>DATA[[#This Row],[SERIE2]]&amp;"-"&amp;DATA[[#This Row],[NUMERO]]</f>
        <v>FF01-333</v>
      </c>
      <c r="AU1220" s="28">
        <f>DATA[[#This Row],[TOTAL]]*DATA[[#This Row],[T.C.]]</f>
        <v>1687.05</v>
      </c>
      <c r="AV1220" s="6">
        <f>DATA[[#This Row],[FECHA DE VAL.]]</f>
        <v>45923</v>
      </c>
      <c r="AW1220" s="6">
        <f>DATA[[#This Row],[FECHA DE EMISION]]</f>
        <v>45965</v>
      </c>
      <c r="AX1220" s="6">
        <f>DATA[[#This Row],[F1]]</f>
        <v>0</v>
      </c>
      <c r="AY1220" s="20">
        <f>IF(AV1220-DATA[[#This Row],[fecha_fs]]&lt;0,0,AV1220-DATA[[#This Row],[fecha_fs]])</f>
        <v>1</v>
      </c>
      <c r="AZ1220" s="20">
        <f t="shared" si="270"/>
        <v>42</v>
      </c>
      <c r="BA1220" s="53">
        <f t="shared" si="271"/>
        <v>0</v>
      </c>
      <c r="BB1220" s="195">
        <f>IFERROR(SUM(DATA[[#This Row],[fs_val_ttf]:[fact_pago_ttf]]),0)</f>
        <v>43</v>
      </c>
      <c r="BC1220" s="233">
        <v>45922</v>
      </c>
      <c r="BD1220" s="233">
        <v>45922</v>
      </c>
      <c r="BE1220" s="233">
        <v>45924</v>
      </c>
      <c r="BF1220" s="233">
        <v>45924</v>
      </c>
      <c r="BG1220" s="20">
        <f>IFERROR(IF(BC1220-DATA[[#This Row],[fecha_fs]]&lt;0,0,BC1220-DATA[[#This Row],[fecha_fs]]),0)</f>
        <v>0</v>
      </c>
      <c r="BH1220" s="20">
        <f t="shared" si="272"/>
        <v>0</v>
      </c>
      <c r="BI1220" s="20">
        <f t="shared" si="273"/>
        <v>2</v>
      </c>
      <c r="BJ1220" s="20">
        <f t="shared" si="274"/>
        <v>0</v>
      </c>
      <c r="BK1220" s="282">
        <f>IFERROR(SUM(DATA[[#This Row],[fs_fd_ttd]:[fend_fenf_ttd]]),0)</f>
        <v>2</v>
      </c>
      <c r="BL1220" s="20" t="str">
        <f>IF(DATA[[#This Row],[fecha_fs]]&gt;0,TEXT(DATA[[#This Row],[fecha_fs]],"YYYY"),0)</f>
        <v>2025</v>
      </c>
      <c r="BM1220" s="236" t="b">
        <v>1</v>
      </c>
      <c r="BN1220" s="278">
        <f>COUNTIF(DATA[[#This Row],[tiempo_td]], "&lt;=15")</f>
        <v>1</v>
      </c>
      <c r="BO1220" s="222"/>
    </row>
    <row r="1221" spans="1:67" ht="30.6" customHeight="1" x14ac:dyDescent="0.25">
      <c r="A1221" s="4">
        <v>20523573226</v>
      </c>
      <c r="B1221" s="5" t="s">
        <v>31</v>
      </c>
      <c r="C1221" s="52" t="s">
        <v>20</v>
      </c>
      <c r="D1221" s="4" t="s">
        <v>120</v>
      </c>
      <c r="E1221" s="5" t="s">
        <v>3</v>
      </c>
      <c r="F1221" s="24">
        <v>45919</v>
      </c>
      <c r="G1221" s="7" t="s">
        <v>113</v>
      </c>
      <c r="H1221" s="25">
        <f t="shared" si="269"/>
        <v>1</v>
      </c>
      <c r="I1221" s="67">
        <v>5018</v>
      </c>
      <c r="J1221" s="8" t="s">
        <v>115</v>
      </c>
      <c r="K1221" s="9" t="s">
        <v>121</v>
      </c>
      <c r="L1221" s="10" t="s">
        <v>117</v>
      </c>
      <c r="M1221" s="11">
        <v>450</v>
      </c>
      <c r="N1221" s="12" t="s">
        <v>125</v>
      </c>
      <c r="O1221" s="6">
        <v>45926</v>
      </c>
      <c r="P1221" s="13">
        <v>3676</v>
      </c>
      <c r="Q1221" s="14" t="s">
        <v>85</v>
      </c>
      <c r="R1221" s="321">
        <f>256+((DATA[[#This Row],[cantidad_fs]]-400)*0.64)</f>
        <v>288</v>
      </c>
      <c r="S1221" s="321">
        <v>552.04</v>
      </c>
      <c r="T1221" s="237">
        <f>DATA[[#This Row],[C. DF]]+DATA[[#This Row],[C.OPE.]]</f>
        <v>840.04</v>
      </c>
      <c r="U1221" s="15">
        <f>DATA[[#This Row],[SUB TOTAL]]*0.18</f>
        <v>151.2072</v>
      </c>
      <c r="V1221" s="15">
        <f>IFERROR(ROUND(DATA[[#This Row],[SUB TOTAL]]+DATA[[#This Row],[IGV]],2),0)</f>
        <v>991.25</v>
      </c>
      <c r="W1221" s="16" t="str">
        <f>IF(DATA[[#This Row],[VALORIZACIÓN ]]="-","NO CORRESPONDE",IF(OR(A1221=20558226979,A1221=10470707866,A1221=20111157058,A1221=20100226902),"NO CORRESPONDE",IF(J1221="Emitida",IF(P1221&gt;0,"EMITIDA","PENDIENTE"),"NO CORRESPONDE")))</f>
        <v>EMITIDA</v>
      </c>
      <c r="X1221" s="29" t="s">
        <v>343</v>
      </c>
      <c r="Y1221" s="17" t="s">
        <v>232</v>
      </c>
      <c r="Z1221" s="30"/>
      <c r="AA1221" s="10"/>
      <c r="AB1221" s="19"/>
      <c r="AC1221" s="20"/>
      <c r="AD1221" s="18">
        <f>DATA[[#This Row],[FECHA DE EMISION]]+DATA[[#This Row],[CONDICION DE PAGO]]</f>
        <v>0</v>
      </c>
      <c r="AE1221" s="23">
        <f>IF(DATA[[#This Row],[MONEDA]]="USD",VLOOKUP(DATA[[#This Row],[COMBINADA]],#REF!,11,0),1)</f>
        <v>1</v>
      </c>
      <c r="AF1221" s="129" t="str">
        <f>IF(DATA[[#This Row],[SERIE2]]="-","NO CORRESPONDE",IF(W1221="NO CORRESPONDE","NO CORRESPONDE",IF(Z1221&gt;0,"FACTURADO","PENDIENTE")))</f>
        <v>PENDIENTE</v>
      </c>
      <c r="AG1221" s="133">
        <f>IFERROR(VLOOKUP(DATA[[#This Row],[COMBINADA]],#REF!,6,0),0)</f>
        <v>0</v>
      </c>
      <c r="AH1221" s="125">
        <f>IFERROR(VLOOKUP(DATA[[#This Row],[COMBINADA]],#REF!,9,0),0)/COUNTIFS(DATA[COMBINADA],DATA[[#This Row],[COMBINADA]])</f>
        <v>0</v>
      </c>
      <c r="AI1221" s="136">
        <f>IFERROR(VLOOKUP(DATA[[#This Row],[COMBINADA]],#REF!,6,0),0)</f>
        <v>0</v>
      </c>
      <c r="AJ1221" s="132">
        <f>IFERROR(VLOOKUP(DATA[[#This Row],[COMBINADA]],#REF!,9,0),0)/COUNTIFS(DATA[COMBINADA],DATA[[#This Row],[COMBINADA]])</f>
        <v>0</v>
      </c>
      <c r="AK1221" s="407">
        <f>IFERROR(VLOOKUP(DATA[[#This Row],[COMBINADA]],#REF!,6,0),0)</f>
        <v>0</v>
      </c>
      <c r="AL1221" s="125">
        <f>IFERROR(VLOOKUP(DATA[[#This Row],[COMBINADA]],#REF!,9,0),0)/COUNTIFS(DATA[COMBINADA],DATA[[#This Row],[COMBINADA]])</f>
        <v>0</v>
      </c>
      <c r="AM1221" s="27">
        <f>IFERROR(VLOOKUP(DATA[[#This Row],[COMBINADA]],#REF!,6,0),0)</f>
        <v>0</v>
      </c>
      <c r="AN1221" s="125">
        <f>IFERROR(VLOOKUP(DATA[[#This Row],[COMBINADA]],#REF!,9,0),0)/COUNTIFS(DATA[COMBINADA],DATA[[#This Row],[COMBINADA]])</f>
        <v>0</v>
      </c>
      <c r="AO1221" s="27">
        <f>IFERROR(VLOOKUP(DATA[[#This Row],[COMBINADA]],#REF!,6,0),0)</f>
        <v>0</v>
      </c>
      <c r="AP1221" s="132">
        <f>IFERROR(VLOOKUP(DATA[[#This Row],[COMBINADA]],#REF!,9,0),0)/COUNTIFS(DATA[COMBINADA],DATA[[#This Row],[COMBINADA]])</f>
        <v>0</v>
      </c>
      <c r="AQ122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221" s="26" t="str">
        <f>IFERROR(IF(DATA[[#This Row],[estado_fact]]="FACTURADO",VLOOKUP(DATA[[#This Row],[SERIE2]]&amp;"-"&amp;DATA[[#This Row],[NUMERO]],#REF!,34,0),"NO CORRESPONDE"),"NO CORRESPONDE")</f>
        <v>NO CORRESPONDE</v>
      </c>
      <c r="AS1221" s="22" t="str">
        <f>IF(DATA[[#This Row],[fecha_fs]]&gt;0,TEXT(DATA[[#This Row],[fecha_fs]],"Mmmm"),0)</f>
        <v>Setiembre</v>
      </c>
      <c r="AT1221" s="22" t="str">
        <f>DATA[[#This Row],[SERIE2]]&amp;"-"&amp;DATA[[#This Row],[NUMERO]]</f>
        <v>-</v>
      </c>
      <c r="AU1221" s="28">
        <f>DATA[[#This Row],[TOTAL]]*DATA[[#This Row],[T.C.]]</f>
        <v>991.25</v>
      </c>
      <c r="AV1221" s="6">
        <f>DATA[[#This Row],[FECHA DE VAL.]]</f>
        <v>45926</v>
      </c>
      <c r="AW1221" s="6">
        <f>DATA[[#This Row],[FECHA DE EMISION]]</f>
        <v>0</v>
      </c>
      <c r="AX1221" s="6">
        <f>DATA[[#This Row],[F1]]</f>
        <v>0</v>
      </c>
      <c r="AY1221" s="20">
        <f>IF(AV1221-DATA[[#This Row],[fecha_fs]]&lt;0,0,AV1221-DATA[[#This Row],[fecha_fs]])</f>
        <v>7</v>
      </c>
      <c r="AZ1221" s="20">
        <f t="shared" si="270"/>
        <v>0</v>
      </c>
      <c r="BA1221" s="53">
        <f t="shared" si="271"/>
        <v>0</v>
      </c>
      <c r="BB1221" s="195">
        <f>IFERROR(SUM(DATA[[#This Row],[fs_val_ttf]:[fact_pago_ttf]]),0)</f>
        <v>7</v>
      </c>
      <c r="BC1221" s="233">
        <v>45919</v>
      </c>
      <c r="BD1221" s="233">
        <v>45929</v>
      </c>
      <c r="BE1221" s="233">
        <v>45931</v>
      </c>
      <c r="BF1221" s="398">
        <v>45951</v>
      </c>
      <c r="BG1221" s="20">
        <f>IFERROR(IF(BC1221-DATA[[#This Row],[fecha_fs]]&lt;0,0,BC1221-DATA[[#This Row],[fecha_fs]]),0)</f>
        <v>0</v>
      </c>
      <c r="BH1221" s="20">
        <f t="shared" si="272"/>
        <v>10</v>
      </c>
      <c r="BI1221" s="20">
        <f t="shared" si="273"/>
        <v>2</v>
      </c>
      <c r="BJ1221" s="20">
        <f t="shared" si="274"/>
        <v>20</v>
      </c>
      <c r="BK1221" s="282">
        <f>IFERROR(SUM(DATA[[#This Row],[fs_fd_ttd]:[fend_fenf_ttd]]),0)</f>
        <v>32</v>
      </c>
      <c r="BL1221" s="20" t="str">
        <f>IF(DATA[[#This Row],[fecha_fs]]&gt;0,TEXT(DATA[[#This Row],[fecha_fs]],"YYYY"),0)</f>
        <v>2025</v>
      </c>
      <c r="BM1221" s="236" t="b">
        <v>1</v>
      </c>
      <c r="BN1221" s="278">
        <f>COUNTIF(DATA[[#This Row],[tiempo_td]], "&lt;=15")</f>
        <v>0</v>
      </c>
      <c r="BO1221" s="222"/>
    </row>
    <row r="1222" spans="1:67" ht="30.6" customHeight="1" x14ac:dyDescent="0.25">
      <c r="A1222" s="4">
        <v>20100211115</v>
      </c>
      <c r="B1222" s="5" t="s">
        <v>41</v>
      </c>
      <c r="C1222" s="52" t="s">
        <v>18</v>
      </c>
      <c r="D1222" s="4" t="s">
        <v>120</v>
      </c>
      <c r="E1222" s="5" t="s">
        <v>3</v>
      </c>
      <c r="F1222" s="24">
        <v>45919</v>
      </c>
      <c r="G1222" s="7" t="s">
        <v>113</v>
      </c>
      <c r="H1222" s="25">
        <f t="shared" si="269"/>
        <v>1</v>
      </c>
      <c r="I1222" s="67">
        <v>5019</v>
      </c>
      <c r="J1222" s="8" t="s">
        <v>115</v>
      </c>
      <c r="K1222" s="9" t="s">
        <v>163</v>
      </c>
      <c r="L1222" s="10" t="s">
        <v>117</v>
      </c>
      <c r="M1222" s="11">
        <v>1007</v>
      </c>
      <c r="N1222" s="12" t="s">
        <v>132</v>
      </c>
      <c r="O1222" s="6">
        <v>45926</v>
      </c>
      <c r="P1222" s="368">
        <v>3680</v>
      </c>
      <c r="Q1222" s="14" t="s">
        <v>85</v>
      </c>
      <c r="R1222" s="321"/>
      <c r="S1222" s="321">
        <f>DATA[[#This Row],[cantidad_fs]]*0.72</f>
        <v>725.04</v>
      </c>
      <c r="T1222" s="237">
        <f>DATA[[#This Row],[C. DF]]+DATA[[#This Row],[C.OPE.]]</f>
        <v>725.04</v>
      </c>
      <c r="U1222" s="15">
        <f>DATA[[#This Row],[SUB TOTAL]]*0.18</f>
        <v>130.50719999999998</v>
      </c>
      <c r="V1222" s="15">
        <f>IFERROR(ROUND(DATA[[#This Row],[SUB TOTAL]]+DATA[[#This Row],[IGV]],2),0)</f>
        <v>855.55</v>
      </c>
      <c r="W1222" s="16" t="str">
        <f>IF(DATA[[#This Row],[VALORIZACIÓN ]]="-","NO CORRESPONDE",IF(OR(A1222=20558226979,A1222=10470707866,A1222=20111157058,A1222=20100226902),"NO CORRESPONDE",IF(J1222="Emitida",IF(P1222&gt;0,"EMITIDA","PENDIENTE"),"NO CORRESPONDE")))</f>
        <v>EMITIDA</v>
      </c>
      <c r="X1222" s="29"/>
      <c r="Y1222" s="17" t="s">
        <v>118</v>
      </c>
      <c r="Z1222" s="30">
        <v>45930</v>
      </c>
      <c r="AA1222" s="10" t="s">
        <v>150</v>
      </c>
      <c r="AB1222" s="19">
        <v>270</v>
      </c>
      <c r="AC1222" s="20">
        <v>30</v>
      </c>
      <c r="AD1222" s="18">
        <f>DATA[[#This Row],[FECHA DE EMISION]]+DATA[[#This Row],[CONDICION DE PAGO]]</f>
        <v>45960</v>
      </c>
      <c r="AE1222" s="23">
        <f>IF(DATA[[#This Row],[MONEDA]]="USD",VLOOKUP(DATA[[#This Row],[COMBINADA]],#REF!,11,0),1)</f>
        <v>1</v>
      </c>
      <c r="AF1222" s="129" t="str">
        <f>IF(DATA[[#This Row],[SERIE2]]="-","NO CORRESPONDE",IF(W1222="NO CORRESPONDE","NO CORRESPONDE",IF(Z1222&gt;0,"FACTURADO","PENDIENTE")))</f>
        <v>FACTURADO</v>
      </c>
      <c r="AG1222" s="133">
        <f>IFERROR(VLOOKUP(DATA[[#This Row],[COMBINADA]],#REF!,6,0),0)</f>
        <v>0</v>
      </c>
      <c r="AH1222" s="125">
        <f>IFERROR(VLOOKUP(DATA[[#This Row],[COMBINADA]],#REF!,9,0),0)/COUNTIFS(DATA[COMBINADA],DATA[[#This Row],[COMBINADA]])</f>
        <v>0</v>
      </c>
      <c r="AI1222" s="136">
        <f>IFERROR(VLOOKUP(DATA[[#This Row],[COMBINADA]],#REF!,6,0),0)</f>
        <v>0</v>
      </c>
      <c r="AJ1222" s="132">
        <f>IFERROR(VLOOKUP(DATA[[#This Row],[COMBINADA]],#REF!,9,0),0)/COUNTIFS(DATA[COMBINADA],DATA[[#This Row],[COMBINADA]])</f>
        <v>0</v>
      </c>
      <c r="AK1222" s="407">
        <f>IFERROR(VLOOKUP(DATA[[#This Row],[COMBINADA]],#REF!,6,0),0)</f>
        <v>0</v>
      </c>
      <c r="AL1222" s="125">
        <f>IFERROR(VLOOKUP(DATA[[#This Row],[COMBINADA]],#REF!,9,0),0)/COUNTIFS(DATA[COMBINADA],DATA[[#This Row],[COMBINADA]])</f>
        <v>0</v>
      </c>
      <c r="AM1222" s="27">
        <f>IFERROR(VLOOKUP(DATA[[#This Row],[COMBINADA]],#REF!,6,0),0)</f>
        <v>0</v>
      </c>
      <c r="AN1222" s="125">
        <f>IFERROR(VLOOKUP(DATA[[#This Row],[COMBINADA]],#REF!,9,0),0)/COUNTIFS(DATA[COMBINADA],DATA[[#This Row],[COMBINADA]])</f>
        <v>0</v>
      </c>
      <c r="AO1222" s="27">
        <f>IFERROR(VLOOKUP(DATA[[#This Row],[COMBINADA]],#REF!,6,0),0)</f>
        <v>0</v>
      </c>
      <c r="AP1222" s="132">
        <f>IFERROR(VLOOKUP(DATA[[#This Row],[COMBINADA]],#REF!,9,0),0)/COUNTIFS(DATA[COMBINADA],DATA[[#This Row],[COMBINADA]])</f>
        <v>0</v>
      </c>
      <c r="AQ122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871.26499999999999</v>
      </c>
      <c r="AR1222" s="26" t="str">
        <f>IFERROR(IF(DATA[[#This Row],[estado_fact]]="FACTURADO",VLOOKUP(DATA[[#This Row],[SERIE2]]&amp;"-"&amp;DATA[[#This Row],[NUMERO]],#REF!,34,0),"NO CORRESPONDE"),"NO CORRESPONDE")</f>
        <v>NO CORRESPONDE</v>
      </c>
      <c r="AS1222" s="22" t="str">
        <f>IF(DATA[[#This Row],[fecha_fs]]&gt;0,TEXT(DATA[[#This Row],[fecha_fs]],"Mmmm"),0)</f>
        <v>Setiembre</v>
      </c>
      <c r="AT1222" s="22" t="str">
        <f>DATA[[#This Row],[SERIE2]]&amp;"-"&amp;DATA[[#This Row],[NUMERO]]</f>
        <v>FF01-270</v>
      </c>
      <c r="AU1222" s="28">
        <f>DATA[[#This Row],[TOTAL]]*DATA[[#This Row],[T.C.]]</f>
        <v>855.55</v>
      </c>
      <c r="AV1222" s="6">
        <f>DATA[[#This Row],[FECHA DE VAL.]]</f>
        <v>45926</v>
      </c>
      <c r="AW1222" s="6">
        <f>DATA[[#This Row],[FECHA DE EMISION]]</f>
        <v>45930</v>
      </c>
      <c r="AX1222" s="6">
        <f>DATA[[#This Row],[F1]]</f>
        <v>0</v>
      </c>
      <c r="AY1222" s="20">
        <f>IF(AV1222-DATA[[#This Row],[fecha_fs]]&lt;0,0,AV1222-DATA[[#This Row],[fecha_fs]])</f>
        <v>7</v>
      </c>
      <c r="AZ1222" s="20">
        <f t="shared" si="270"/>
        <v>4</v>
      </c>
      <c r="BA1222" s="53">
        <f t="shared" si="271"/>
        <v>0</v>
      </c>
      <c r="BB1222" s="195">
        <f>IFERROR(SUM(DATA[[#This Row],[fs_val_ttf]:[fact_pago_ttf]]),0)</f>
        <v>11</v>
      </c>
      <c r="BC1222" s="233">
        <v>45933</v>
      </c>
      <c r="BD1222" s="233">
        <v>45939</v>
      </c>
      <c r="BE1222" s="233">
        <v>45939</v>
      </c>
      <c r="BF1222" s="233">
        <v>45940</v>
      </c>
      <c r="BG1222" s="20">
        <f>IFERROR(IF(BC1222-DATA[[#This Row],[fecha_fs]]&lt;0,0,BC1222-DATA[[#This Row],[fecha_fs]]),0)</f>
        <v>14</v>
      </c>
      <c r="BH1222" s="20">
        <f t="shared" si="272"/>
        <v>6</v>
      </c>
      <c r="BI1222" s="20">
        <f t="shared" si="273"/>
        <v>0</v>
      </c>
      <c r="BJ1222" s="20">
        <f t="shared" si="274"/>
        <v>1</v>
      </c>
      <c r="BK1222" s="282">
        <f>IFERROR(SUM(DATA[[#This Row],[fs_fd_ttd]:[fend_fenf_ttd]]),0)</f>
        <v>21</v>
      </c>
      <c r="BL1222" s="20" t="str">
        <f>IF(DATA[[#This Row],[fecha_fs]]&gt;0,TEXT(DATA[[#This Row],[fecha_fs]],"YYYY"),0)</f>
        <v>2025</v>
      </c>
      <c r="BM1222" s="236" t="b">
        <v>1</v>
      </c>
      <c r="BN1222" s="278">
        <f>COUNTIF(DATA[[#This Row],[tiempo_td]], "&lt;=15")</f>
        <v>0</v>
      </c>
      <c r="BO1222" s="222"/>
    </row>
    <row r="1223" spans="1:67" ht="30.6" customHeight="1" x14ac:dyDescent="0.25">
      <c r="A1223" s="4">
        <v>20326811662</v>
      </c>
      <c r="B1223" s="5" t="s">
        <v>338</v>
      </c>
      <c r="C1223" s="52" t="s">
        <v>147</v>
      </c>
      <c r="D1223" s="4" t="s">
        <v>120</v>
      </c>
      <c r="E1223" s="5" t="s">
        <v>3</v>
      </c>
      <c r="F1223" s="24">
        <v>45919</v>
      </c>
      <c r="G1223" s="7" t="s">
        <v>113</v>
      </c>
      <c r="H1223" s="25">
        <f t="shared" si="269"/>
        <v>1</v>
      </c>
      <c r="I1223" s="67">
        <v>5020</v>
      </c>
      <c r="J1223" s="8" t="s">
        <v>115</v>
      </c>
      <c r="K1223" s="9" t="s">
        <v>121</v>
      </c>
      <c r="L1223" s="10" t="s">
        <v>117</v>
      </c>
      <c r="M1223" s="11">
        <v>1130</v>
      </c>
      <c r="N1223" s="12" t="s">
        <v>167</v>
      </c>
      <c r="O1223" s="6">
        <v>45923</v>
      </c>
      <c r="P1223" s="13">
        <v>3674</v>
      </c>
      <c r="Q1223" s="14" t="s">
        <v>85</v>
      </c>
      <c r="R1223" s="321">
        <f>80+((DATA[[#This Row],[cantidad_fs]]-1000)*0.08)</f>
        <v>90.4</v>
      </c>
      <c r="S1223" s="321">
        <v>1076.4000000000001</v>
      </c>
      <c r="T1223" s="237">
        <f>DATA[[#This Row],[C. DF]]+DATA[[#This Row],[C.OPE.]]</f>
        <v>1166.8000000000002</v>
      </c>
      <c r="U1223" s="15">
        <f>DATA[[#This Row],[SUB TOTAL]]*0.18</f>
        <v>210.02400000000003</v>
      </c>
      <c r="V1223" s="15">
        <f>IFERROR(ROUND(DATA[[#This Row],[SUB TOTAL]]+DATA[[#This Row],[IGV]],2),0)</f>
        <v>1376.82</v>
      </c>
      <c r="W1223" s="16" t="str">
        <f>IF(DATA[[#This Row],[VALORIZACIÓN ]]="-","NO CORRESPONDE",IF(OR(A1223=20558226979,A1223=10470707866,A1223=20111157058,A1223=20100226902),"NO CORRESPONDE",IF(J1223="Emitida",IF(P1223&gt;0,"EMITIDA","PENDIENTE"),"NO CORRESPONDE")))</f>
        <v>EMITIDA</v>
      </c>
      <c r="X1223" s="29"/>
      <c r="Y1223" s="17" t="s">
        <v>118</v>
      </c>
      <c r="Z1223" s="30">
        <v>45924</v>
      </c>
      <c r="AA1223" s="10" t="s">
        <v>150</v>
      </c>
      <c r="AB1223" s="19">
        <v>263</v>
      </c>
      <c r="AC1223" s="20">
        <v>15</v>
      </c>
      <c r="AD1223" s="18">
        <f>DATA[[#This Row],[FECHA DE EMISION]]+DATA[[#This Row],[CONDICION DE PAGO]]</f>
        <v>45939</v>
      </c>
      <c r="AE1223" s="23">
        <f>IF(DATA[[#This Row],[MONEDA]]="USD",VLOOKUP(DATA[[#This Row],[COMBINADA]],#REF!,11,0),1)</f>
        <v>1</v>
      </c>
      <c r="AF1223" s="129" t="str">
        <f>IF(DATA[[#This Row],[SERIE2]]="-","NO CORRESPONDE",IF(W1223="NO CORRESPONDE","NO CORRESPONDE",IF(Z1223&gt;0,"FACTURADO","PENDIENTE")))</f>
        <v>FACTURADO</v>
      </c>
      <c r="AG1223" s="133">
        <f>IFERROR(VLOOKUP(DATA[[#This Row],[COMBINADA]],#REF!,6,0),0)</f>
        <v>0</v>
      </c>
      <c r="AH1223" s="125">
        <f>IFERROR(VLOOKUP(DATA[[#This Row],[COMBINADA]],#REF!,9,0),0)/COUNTIFS(DATA[COMBINADA],DATA[[#This Row],[COMBINADA]])</f>
        <v>0</v>
      </c>
      <c r="AI1223" s="136">
        <f>IFERROR(VLOOKUP(DATA[[#This Row],[COMBINADA]],#REF!,6,0),0)</f>
        <v>0</v>
      </c>
      <c r="AJ1223" s="132">
        <f>IFERROR(VLOOKUP(DATA[[#This Row],[COMBINADA]],#REF!,9,0),0)/COUNTIFS(DATA[COMBINADA],DATA[[#This Row],[COMBINADA]])</f>
        <v>0</v>
      </c>
      <c r="AK1223" s="407">
        <f>IFERROR(VLOOKUP(DATA[[#This Row],[COMBINADA]],#REF!,6,0),0)</f>
        <v>0</v>
      </c>
      <c r="AL1223" s="125">
        <f>IFERROR(VLOOKUP(DATA[[#This Row],[COMBINADA]],#REF!,9,0),0)/COUNTIFS(DATA[COMBINADA],DATA[[#This Row],[COMBINADA]])</f>
        <v>0</v>
      </c>
      <c r="AM1223" s="27">
        <f>IFERROR(VLOOKUP(DATA[[#This Row],[COMBINADA]],#REF!,6,0),0)</f>
        <v>0</v>
      </c>
      <c r="AN1223" s="125">
        <f>IFERROR(VLOOKUP(DATA[[#This Row],[COMBINADA]],#REF!,9,0),0)/COUNTIFS(DATA[COMBINADA],DATA[[#This Row],[COMBINADA]])</f>
        <v>0</v>
      </c>
      <c r="AO1223" s="27">
        <f>IFERROR(VLOOKUP(DATA[[#This Row],[COMBINADA]],#REF!,6,0),0)</f>
        <v>0</v>
      </c>
      <c r="AP1223" s="132">
        <f>IFERROR(VLOOKUP(DATA[[#This Row],[COMBINADA]],#REF!,9,0),0)/COUNTIFS(DATA[COMBINADA],DATA[[#This Row],[COMBINADA]])</f>
        <v>0</v>
      </c>
      <c r="AQ122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1376.82</v>
      </c>
      <c r="AR1223" s="26" t="str">
        <f>IFERROR(IF(DATA[[#This Row],[estado_fact]]="FACTURADO",VLOOKUP(DATA[[#This Row],[SERIE2]]&amp;"-"&amp;DATA[[#This Row],[NUMERO]],#REF!,34,0),"NO CORRESPONDE"),"NO CORRESPONDE")</f>
        <v>NO CORRESPONDE</v>
      </c>
      <c r="AS1223" s="22" t="str">
        <f>IF(DATA[[#This Row],[fecha_fs]]&gt;0,TEXT(DATA[[#This Row],[fecha_fs]],"Mmmm"),0)</f>
        <v>Setiembre</v>
      </c>
      <c r="AT1223" s="22" t="str">
        <f>DATA[[#This Row],[SERIE2]]&amp;"-"&amp;DATA[[#This Row],[NUMERO]]</f>
        <v>FF01-263</v>
      </c>
      <c r="AU1223" s="28">
        <f>DATA[[#This Row],[TOTAL]]*DATA[[#This Row],[T.C.]]</f>
        <v>1376.82</v>
      </c>
      <c r="AV1223" s="6">
        <f>DATA[[#This Row],[FECHA DE VAL.]]</f>
        <v>45923</v>
      </c>
      <c r="AW1223" s="6">
        <f>DATA[[#This Row],[FECHA DE EMISION]]</f>
        <v>45924</v>
      </c>
      <c r="AX1223" s="6">
        <f>DATA[[#This Row],[F1]]</f>
        <v>0</v>
      </c>
      <c r="AY1223" s="20">
        <f>IF(AV1223-DATA[[#This Row],[fecha_fs]]&lt;0,0,AV1223-DATA[[#This Row],[fecha_fs]])</f>
        <v>4</v>
      </c>
      <c r="AZ1223" s="20">
        <f t="shared" si="270"/>
        <v>1</v>
      </c>
      <c r="BA1223" s="53">
        <f t="shared" si="271"/>
        <v>0</v>
      </c>
      <c r="BB1223" s="195">
        <f>IFERROR(SUM(DATA[[#This Row],[fs_val_ttf]:[fact_pago_ttf]]),0)</f>
        <v>5</v>
      </c>
      <c r="BC1223" s="233">
        <v>45919</v>
      </c>
      <c r="BD1223" s="233">
        <v>45929</v>
      </c>
      <c r="BE1223" s="233">
        <v>45936</v>
      </c>
      <c r="BF1223" s="398">
        <v>45951</v>
      </c>
      <c r="BG1223" s="20">
        <f>IFERROR(IF(BC1223-DATA[[#This Row],[fecha_fs]]&lt;0,0,BC1223-DATA[[#This Row],[fecha_fs]]),0)</f>
        <v>0</v>
      </c>
      <c r="BH1223" s="20">
        <f t="shared" si="272"/>
        <v>10</v>
      </c>
      <c r="BI1223" s="20">
        <f t="shared" si="273"/>
        <v>7</v>
      </c>
      <c r="BJ1223" s="20">
        <f t="shared" si="274"/>
        <v>15</v>
      </c>
      <c r="BK1223" s="282">
        <f>IFERROR(SUM(DATA[[#This Row],[fs_fd_ttd]:[fend_fenf_ttd]]),0)</f>
        <v>32</v>
      </c>
      <c r="BL1223" s="20" t="str">
        <f>IF(DATA[[#This Row],[fecha_fs]]&gt;0,TEXT(DATA[[#This Row],[fecha_fs]],"YYYY"),0)</f>
        <v>2025</v>
      </c>
      <c r="BM1223" s="236" t="b">
        <v>1</v>
      </c>
      <c r="BN1223" s="278">
        <f>COUNTIF(DATA[[#This Row],[tiempo_td]], "&lt;=15")</f>
        <v>0</v>
      </c>
      <c r="BO1223" s="222"/>
    </row>
    <row r="1224" spans="1:67" ht="30.6" customHeight="1" x14ac:dyDescent="0.25">
      <c r="A1224" s="4">
        <v>20100192064</v>
      </c>
      <c r="B1224" s="5" t="s">
        <v>60</v>
      </c>
      <c r="C1224" s="52" t="s">
        <v>43</v>
      </c>
      <c r="D1224" s="4" t="s">
        <v>120</v>
      </c>
      <c r="E1224" s="5" t="s">
        <v>3</v>
      </c>
      <c r="F1224" s="24">
        <v>45919</v>
      </c>
      <c r="G1224" s="7" t="s">
        <v>113</v>
      </c>
      <c r="H1224" s="25">
        <f t="shared" si="269"/>
        <v>1</v>
      </c>
      <c r="I1224" s="67">
        <v>5021</v>
      </c>
      <c r="J1224" s="8" t="s">
        <v>115</v>
      </c>
      <c r="K1224" s="9" t="s">
        <v>121</v>
      </c>
      <c r="L1224" s="10" t="s">
        <v>117</v>
      </c>
      <c r="M1224" s="11">
        <v>870</v>
      </c>
      <c r="N1224" s="12" t="s">
        <v>167</v>
      </c>
      <c r="O1224" s="6">
        <v>45926</v>
      </c>
      <c r="P1224" s="366">
        <v>3688</v>
      </c>
      <c r="Q1224" s="14" t="s">
        <v>123</v>
      </c>
      <c r="R1224" s="321">
        <f>(DATA[[#This Row],[cantidad_fs]]/1000)*(47+174.34)</f>
        <v>192.5658</v>
      </c>
      <c r="S1224" s="321">
        <v>137</v>
      </c>
      <c r="T1224" s="237">
        <f>DATA[[#This Row],[C. DF]]+DATA[[#This Row],[C.OPE.]]</f>
        <v>329.56579999999997</v>
      </c>
      <c r="U1224" s="15">
        <f>DATA[[#This Row],[SUB TOTAL]]*0.18</f>
        <v>59.321843999999992</v>
      </c>
      <c r="V1224" s="15">
        <f>IFERROR(ROUND(DATA[[#This Row],[SUB TOTAL]]+DATA[[#This Row],[IGV]],2),0)</f>
        <v>388.89</v>
      </c>
      <c r="W1224" s="16" t="str">
        <f>IF(DATA[[#This Row],[VALORIZACIÓN ]]="-","NO CORRESPONDE",IF(OR(A1224=20558226979,A1224=10470707866,A1224=20111157058,A1224=20100226902),"NO CORRESPONDE",IF(J1224="Emitida",IF(P1224&gt;0,"EMITIDA","PENDIENTE"),"NO CORRESPONDE")))</f>
        <v>EMITIDA</v>
      </c>
      <c r="X1224" s="29"/>
      <c r="Y1224" s="17" t="s">
        <v>118</v>
      </c>
      <c r="Z1224" s="30">
        <v>45930</v>
      </c>
      <c r="AA1224" s="10" t="s">
        <v>349</v>
      </c>
      <c r="AB1224" s="19">
        <v>3</v>
      </c>
      <c r="AC1224" s="20">
        <v>30</v>
      </c>
      <c r="AD1224" s="18">
        <f>DATA[[#This Row],[FECHA DE EMISION]]+DATA[[#This Row],[CONDICION DE PAGO]]</f>
        <v>45960</v>
      </c>
      <c r="AE1224" s="23" t="e">
        <f>IF(DATA[[#This Row],[MONEDA]]="USD",VLOOKUP(DATA[[#This Row],[COMBINADA]],#REF!,11,0),1)</f>
        <v>#REF!</v>
      </c>
      <c r="AF1224" s="129" t="str">
        <f>IF(DATA[[#This Row],[SERIE2]]="-","NO CORRESPONDE",IF(W1224="NO CORRESPONDE","NO CORRESPONDE",IF(Z1224&gt;0,"FACTURADO","PENDIENTE")))</f>
        <v>FACTURADO</v>
      </c>
      <c r="AG1224" s="133">
        <f>IFERROR(VLOOKUP(DATA[[#This Row],[COMBINADA]],#REF!,6,0),0)</f>
        <v>0</v>
      </c>
      <c r="AH1224" s="125">
        <f>IFERROR(VLOOKUP(DATA[[#This Row],[COMBINADA]],#REF!,9,0),0)/COUNTIFS(DATA[COMBINADA],DATA[[#This Row],[COMBINADA]])</f>
        <v>0</v>
      </c>
      <c r="AI1224" s="136">
        <f>IFERROR(VLOOKUP(DATA[[#This Row],[COMBINADA]],#REF!,6,0),0)</f>
        <v>0</v>
      </c>
      <c r="AJ1224" s="132">
        <f>IFERROR(VLOOKUP(DATA[[#This Row],[COMBINADA]],#REF!,9,0),0)/COUNTIFS(DATA[COMBINADA],DATA[[#This Row],[COMBINADA]])</f>
        <v>0</v>
      </c>
      <c r="AK1224" s="407">
        <f>IFERROR(VLOOKUP(DATA[[#This Row],[COMBINADA]],#REF!,6,0),0)</f>
        <v>0</v>
      </c>
      <c r="AL1224" s="125">
        <f>IFERROR(VLOOKUP(DATA[[#This Row],[COMBINADA]],#REF!,9,0),0)/COUNTIFS(DATA[COMBINADA],DATA[[#This Row],[COMBINADA]])</f>
        <v>0</v>
      </c>
      <c r="AM1224" s="27">
        <f>IFERROR(VLOOKUP(DATA[[#This Row],[COMBINADA]],#REF!,6,0),0)</f>
        <v>0</v>
      </c>
      <c r="AN1224" s="125">
        <f>IFERROR(VLOOKUP(DATA[[#This Row],[COMBINADA]],#REF!,9,0),0)/COUNTIFS(DATA[COMBINADA],DATA[[#This Row],[COMBINADA]])</f>
        <v>0</v>
      </c>
      <c r="AO1224" s="27">
        <f>IFERROR(VLOOKUP(DATA[[#This Row],[COMBINADA]],#REF!,6,0),0)</f>
        <v>0</v>
      </c>
      <c r="AP1224" s="132">
        <f>IFERROR(VLOOKUP(DATA[[#This Row],[COMBINADA]],#REF!,9,0),0)/COUNTIFS(DATA[COMBINADA],DATA[[#This Row],[COMBINADA]])</f>
        <v>0</v>
      </c>
      <c r="AQ122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542.36833333333334</v>
      </c>
      <c r="AR1224" s="26" t="str">
        <f>IFERROR(IF(DATA[[#This Row],[estado_fact]]="FACTURADO",VLOOKUP(DATA[[#This Row],[SERIE2]]&amp;"-"&amp;DATA[[#This Row],[NUMERO]],#REF!,34,0),"NO CORRESPONDE"),"NO CORRESPONDE")</f>
        <v>NO CORRESPONDE</v>
      </c>
      <c r="AS1224" s="22" t="str">
        <f>IF(DATA[[#This Row],[fecha_fs]]&gt;0,TEXT(DATA[[#This Row],[fecha_fs]],"Mmmm"),0)</f>
        <v>Setiembre</v>
      </c>
      <c r="AT1224" s="22" t="str">
        <f>DATA[[#This Row],[SERIE2]]&amp;"-"&amp;DATA[[#This Row],[NUMERO]]</f>
        <v>FF04-3</v>
      </c>
      <c r="AU1224" s="28" t="e">
        <f>DATA[[#This Row],[TOTAL]]*DATA[[#This Row],[T.C.]]</f>
        <v>#REF!</v>
      </c>
      <c r="AV1224" s="6">
        <f>DATA[[#This Row],[FECHA DE VAL.]]</f>
        <v>45926</v>
      </c>
      <c r="AW1224" s="6">
        <f>DATA[[#This Row],[FECHA DE EMISION]]</f>
        <v>45930</v>
      </c>
      <c r="AX1224" s="6">
        <f>DATA[[#This Row],[F1]]</f>
        <v>0</v>
      </c>
      <c r="AY1224" s="20">
        <f>IF(AV1224-DATA[[#This Row],[fecha_fs]]&lt;0,0,AV1224-DATA[[#This Row],[fecha_fs]])</f>
        <v>7</v>
      </c>
      <c r="AZ1224" s="20">
        <f t="shared" si="270"/>
        <v>4</v>
      </c>
      <c r="BA1224" s="53">
        <f t="shared" si="271"/>
        <v>0</v>
      </c>
      <c r="BB1224" s="195">
        <f>IFERROR(SUM(DATA[[#This Row],[fs_val_ttf]:[fact_pago_ttf]]),0)</f>
        <v>11</v>
      </c>
      <c r="BC1224" s="233">
        <v>45924</v>
      </c>
      <c r="BD1224" s="233">
        <v>45933</v>
      </c>
      <c r="BE1224" s="233">
        <v>45936</v>
      </c>
      <c r="BF1224" s="233">
        <v>45945</v>
      </c>
      <c r="BG1224" s="20">
        <f>IFERROR(IF(BC1224-DATA[[#This Row],[fecha_fs]]&lt;0,0,BC1224-DATA[[#This Row],[fecha_fs]]),0)</f>
        <v>5</v>
      </c>
      <c r="BH1224" s="20">
        <f t="shared" si="272"/>
        <v>9</v>
      </c>
      <c r="BI1224" s="20">
        <f t="shared" si="273"/>
        <v>3</v>
      </c>
      <c r="BJ1224" s="20">
        <f t="shared" si="274"/>
        <v>9</v>
      </c>
      <c r="BK1224" s="282">
        <f>IFERROR(SUM(DATA[[#This Row],[fs_fd_ttd]:[fend_fenf_ttd]]),0)</f>
        <v>26</v>
      </c>
      <c r="BL1224" s="20" t="str">
        <f>IF(DATA[[#This Row],[fecha_fs]]&gt;0,TEXT(DATA[[#This Row],[fecha_fs]],"YYYY"),0)</f>
        <v>2025</v>
      </c>
      <c r="BM1224" s="236" t="b">
        <v>1</v>
      </c>
      <c r="BN1224" s="278">
        <f>COUNTIF(DATA[[#This Row],[tiempo_td]], "&lt;=15")</f>
        <v>0</v>
      </c>
      <c r="BO1224" s="222"/>
    </row>
    <row r="1225" spans="1:67" ht="30.6" customHeight="1" x14ac:dyDescent="0.25">
      <c r="A1225" s="4">
        <v>20100211115</v>
      </c>
      <c r="B1225" s="5" t="s">
        <v>41</v>
      </c>
      <c r="C1225" s="52" t="s">
        <v>18</v>
      </c>
      <c r="D1225" s="4" t="s">
        <v>112</v>
      </c>
      <c r="E1225" s="5" t="s">
        <v>1</v>
      </c>
      <c r="F1225" s="24">
        <v>45919</v>
      </c>
      <c r="G1225" s="7" t="s">
        <v>113</v>
      </c>
      <c r="H1225" s="25">
        <f t="shared" si="269"/>
        <v>1</v>
      </c>
      <c r="I1225" s="67">
        <v>5022</v>
      </c>
      <c r="J1225" s="8" t="s">
        <v>115</v>
      </c>
      <c r="K1225" s="9" t="s">
        <v>116</v>
      </c>
      <c r="L1225" s="10" t="s">
        <v>117</v>
      </c>
      <c r="M1225" s="11">
        <v>10</v>
      </c>
      <c r="N1225" s="12" t="s">
        <v>132</v>
      </c>
      <c r="O1225" s="6">
        <v>45926</v>
      </c>
      <c r="P1225" s="368">
        <v>3681</v>
      </c>
      <c r="Q1225" s="14" t="s">
        <v>85</v>
      </c>
      <c r="R1225" s="321"/>
      <c r="S1225" s="321">
        <f>(DATA[[#This Row],[cantidad_fs]]*4.57)</f>
        <v>45.7</v>
      </c>
      <c r="T1225" s="237">
        <f>DATA[[#This Row],[C. DF]]+DATA[[#This Row],[C.OPE.]]</f>
        <v>45.7</v>
      </c>
      <c r="U1225" s="15">
        <f>DATA[[#This Row],[SUB TOTAL]]*0.18</f>
        <v>8.2260000000000009</v>
      </c>
      <c r="V1225" s="15">
        <f>IFERROR(ROUND(DATA[[#This Row],[SUB TOTAL]]+DATA[[#This Row],[IGV]],2),0)</f>
        <v>53.93</v>
      </c>
      <c r="W1225" s="16" t="str">
        <f>IF(DATA[[#This Row],[VALORIZACIÓN ]]="-","NO CORRESPONDE",IF(OR(A1225=20558226979,A1225=10470707866,A1225=20111157058,A1225=20100226902),"NO CORRESPONDE",IF(J1225="Emitida",IF(P1225&gt;0,"EMITIDA","PENDIENTE"),"NO CORRESPONDE")))</f>
        <v>EMITIDA</v>
      </c>
      <c r="X1225" s="29"/>
      <c r="Y1225" s="17" t="s">
        <v>118</v>
      </c>
      <c r="Z1225" s="30">
        <v>45930</v>
      </c>
      <c r="AA1225" s="10" t="s">
        <v>150</v>
      </c>
      <c r="AB1225" s="19">
        <v>271</v>
      </c>
      <c r="AC1225" s="20">
        <v>30</v>
      </c>
      <c r="AD1225" s="18">
        <f>DATA[[#This Row],[FECHA DE EMISION]]+DATA[[#This Row],[CONDICION DE PAGO]]</f>
        <v>45960</v>
      </c>
      <c r="AE1225" s="23">
        <f>IF(DATA[[#This Row],[MONEDA]]="USD",VLOOKUP(DATA[[#This Row],[COMBINADA]],#REF!,11,0),1)</f>
        <v>1</v>
      </c>
      <c r="AF1225" s="129" t="str">
        <f>IF(DATA[[#This Row],[SERIE2]]="-","NO CORRESPONDE",IF(W1225="NO CORRESPONDE","NO CORRESPONDE",IF(Z1225&gt;0,"FACTURADO","PENDIENTE")))</f>
        <v>FACTURADO</v>
      </c>
      <c r="AG1225" s="133">
        <f>IFERROR(VLOOKUP(DATA[[#This Row],[COMBINADA]],#REF!,6,0),0)</f>
        <v>0</v>
      </c>
      <c r="AH1225" s="125">
        <f>IFERROR(VLOOKUP(DATA[[#This Row],[COMBINADA]],#REF!,9,0),0)/COUNTIFS(DATA[COMBINADA],DATA[[#This Row],[COMBINADA]])</f>
        <v>0</v>
      </c>
      <c r="AI1225" s="136">
        <f>IFERROR(VLOOKUP(DATA[[#This Row],[COMBINADA]],#REF!,6,0),0)</f>
        <v>0</v>
      </c>
      <c r="AJ1225" s="132">
        <f>IFERROR(VLOOKUP(DATA[[#This Row],[COMBINADA]],#REF!,9,0),0)/COUNTIFS(DATA[COMBINADA],DATA[[#This Row],[COMBINADA]])</f>
        <v>0</v>
      </c>
      <c r="AK1225" s="407">
        <f>IFERROR(VLOOKUP(DATA[[#This Row],[COMBINADA]],#REF!,6,0),0)</f>
        <v>0</v>
      </c>
      <c r="AL1225" s="125">
        <f>IFERROR(VLOOKUP(DATA[[#This Row],[COMBINADA]],#REF!,9,0),0)/COUNTIFS(DATA[COMBINADA],DATA[[#This Row],[COMBINADA]])</f>
        <v>0</v>
      </c>
      <c r="AM1225" s="27">
        <f>IFERROR(VLOOKUP(DATA[[#This Row],[COMBINADA]],#REF!,6,0),0)</f>
        <v>0</v>
      </c>
      <c r="AN1225" s="125">
        <f>IFERROR(VLOOKUP(DATA[[#This Row],[COMBINADA]],#REF!,9,0),0)/COUNTIFS(DATA[COMBINADA],DATA[[#This Row],[COMBINADA]])</f>
        <v>0</v>
      </c>
      <c r="AO1225" s="27">
        <f>IFERROR(VLOOKUP(DATA[[#This Row],[COMBINADA]],#REF!,6,0),0)</f>
        <v>0</v>
      </c>
      <c r="AP1225" s="132">
        <f>IFERROR(VLOOKUP(DATA[[#This Row],[COMBINADA]],#REF!,9,0),0)/COUNTIFS(DATA[COMBINADA],DATA[[#This Row],[COMBINADA]])</f>
        <v>0</v>
      </c>
      <c r="AQ122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50.69</v>
      </c>
      <c r="AR1225" s="26" t="str">
        <f>IFERROR(IF(DATA[[#This Row],[estado_fact]]="FACTURADO",VLOOKUP(DATA[[#This Row],[SERIE2]]&amp;"-"&amp;DATA[[#This Row],[NUMERO]],#REF!,34,0),"NO CORRESPONDE"),"NO CORRESPONDE")</f>
        <v>NO CORRESPONDE</v>
      </c>
      <c r="AS1225" s="22" t="str">
        <f>IF(DATA[[#This Row],[fecha_fs]]&gt;0,TEXT(DATA[[#This Row],[fecha_fs]],"Mmmm"),0)</f>
        <v>Setiembre</v>
      </c>
      <c r="AT1225" s="22" t="str">
        <f>DATA[[#This Row],[SERIE2]]&amp;"-"&amp;DATA[[#This Row],[NUMERO]]</f>
        <v>FF01-271</v>
      </c>
      <c r="AU1225" s="28">
        <f>DATA[[#This Row],[TOTAL]]*DATA[[#This Row],[T.C.]]</f>
        <v>53.93</v>
      </c>
      <c r="AV1225" s="6">
        <f>DATA[[#This Row],[FECHA DE VAL.]]</f>
        <v>45926</v>
      </c>
      <c r="AW1225" s="6">
        <f>DATA[[#This Row],[FECHA DE EMISION]]</f>
        <v>45930</v>
      </c>
      <c r="AX1225" s="6">
        <f>DATA[[#This Row],[F1]]</f>
        <v>0</v>
      </c>
      <c r="AY1225" s="20">
        <f>IF(AV1225-DATA[[#This Row],[fecha_fs]]&lt;0,0,AV1225-DATA[[#This Row],[fecha_fs]])</f>
        <v>7</v>
      </c>
      <c r="AZ1225" s="20">
        <f t="shared" si="270"/>
        <v>4</v>
      </c>
      <c r="BA1225" s="53">
        <f t="shared" si="271"/>
        <v>0</v>
      </c>
      <c r="BB1225" s="195">
        <f>IFERROR(SUM(DATA[[#This Row],[fs_val_ttf]:[fact_pago_ttf]]),0)</f>
        <v>11</v>
      </c>
      <c r="BC1225" s="233">
        <v>45933</v>
      </c>
      <c r="BD1225" s="233">
        <v>45940</v>
      </c>
      <c r="BE1225" s="233">
        <v>45940</v>
      </c>
      <c r="BF1225" s="233">
        <v>45945</v>
      </c>
      <c r="BG1225" s="20">
        <f>IFERROR(IF(BC1225-DATA[[#This Row],[fecha_fs]]&lt;0,0,BC1225-DATA[[#This Row],[fecha_fs]]),0)</f>
        <v>14</v>
      </c>
      <c r="BH1225" s="20">
        <f t="shared" si="272"/>
        <v>7</v>
      </c>
      <c r="BI1225" s="20">
        <f t="shared" si="273"/>
        <v>0</v>
      </c>
      <c r="BJ1225" s="20">
        <f t="shared" si="274"/>
        <v>5</v>
      </c>
      <c r="BK1225" s="282">
        <f>IFERROR(SUM(DATA[[#This Row],[fs_fd_ttd]:[fend_fenf_ttd]]),0)</f>
        <v>26</v>
      </c>
      <c r="BL1225" s="20" t="str">
        <f>IF(DATA[[#This Row],[fecha_fs]]&gt;0,TEXT(DATA[[#This Row],[fecha_fs]],"YYYY"),0)</f>
        <v>2025</v>
      </c>
      <c r="BM1225" s="236" t="b">
        <v>1</v>
      </c>
      <c r="BN1225" s="278">
        <f>COUNTIF(DATA[[#This Row],[tiempo_td]], "&lt;=15")</f>
        <v>0</v>
      </c>
      <c r="BO1225" s="222"/>
    </row>
    <row r="1226" spans="1:67" ht="30.6" customHeight="1" x14ac:dyDescent="0.25">
      <c r="A1226" s="4">
        <v>20141637941</v>
      </c>
      <c r="B1226" s="5" t="s">
        <v>79</v>
      </c>
      <c r="C1226" s="52" t="s">
        <v>18</v>
      </c>
      <c r="D1226" s="4" t="s">
        <v>120</v>
      </c>
      <c r="E1226" s="5" t="s">
        <v>3</v>
      </c>
      <c r="F1226" s="24">
        <v>45922</v>
      </c>
      <c r="G1226" s="7" t="s">
        <v>113</v>
      </c>
      <c r="H1226" s="25">
        <f t="shared" si="269"/>
        <v>1</v>
      </c>
      <c r="I1226" s="67">
        <v>5023</v>
      </c>
      <c r="J1226" s="8" t="s">
        <v>115</v>
      </c>
      <c r="K1226" s="9" t="s">
        <v>121</v>
      </c>
      <c r="L1226" s="10" t="s">
        <v>117</v>
      </c>
      <c r="M1226" s="11">
        <v>640</v>
      </c>
      <c r="N1226" s="12" t="s">
        <v>125</v>
      </c>
      <c r="O1226" s="6">
        <v>45926</v>
      </c>
      <c r="P1226" s="68">
        <v>3701</v>
      </c>
      <c r="Q1226" s="14" t="s">
        <v>85</v>
      </c>
      <c r="R1226" s="15">
        <v>80</v>
      </c>
      <c r="S1226" s="309">
        <v>832</v>
      </c>
      <c r="T1226" s="237">
        <f>DATA[[#This Row],[C. DF]]+DATA[[#This Row],[C.OPE.]]</f>
        <v>912</v>
      </c>
      <c r="U1226" s="15">
        <f>DATA[[#This Row],[SUB TOTAL]]*0.18</f>
        <v>164.16</v>
      </c>
      <c r="V1226" s="15">
        <f>IFERROR(ROUND(DATA[[#This Row],[SUB TOTAL]]+DATA[[#This Row],[IGV]],2),0)</f>
        <v>1076.1600000000001</v>
      </c>
      <c r="W1226" s="16" t="str">
        <f>IF(DATA[[#This Row],[VALORIZACIÓN ]]="-","NO CORRESPONDE",IF(OR(A1226=20558226979,A1226=10470707866,A1226=20111157058,A1226=20100226902),"NO CORRESPONDE",IF(J1226="Emitida",IF(P1226&gt;0,"EMITIDA","PENDIENTE"),"NO CORRESPONDE")))</f>
        <v>EMITIDA</v>
      </c>
      <c r="X1226" s="29"/>
      <c r="Y1226" s="17" t="s">
        <v>118</v>
      </c>
      <c r="Z1226" s="30">
        <v>45936</v>
      </c>
      <c r="AA1226" s="10" t="s">
        <v>150</v>
      </c>
      <c r="AB1226" s="19">
        <v>281</v>
      </c>
      <c r="AC1226" s="20">
        <v>30</v>
      </c>
      <c r="AD1226" s="18">
        <f>DATA[[#This Row],[FECHA DE EMISION]]+DATA[[#This Row],[CONDICION DE PAGO]]</f>
        <v>45966</v>
      </c>
      <c r="AE1226" s="23">
        <f>IF(DATA[[#This Row],[MONEDA]]="USD",VLOOKUP(DATA[[#This Row],[COMBINADA]],#REF!,11,0),1)</f>
        <v>1</v>
      </c>
      <c r="AF1226" s="129" t="str">
        <f>IF(DATA[[#This Row],[SERIE2]]="-","NO CORRESPONDE",IF(W1226="NO CORRESPONDE","NO CORRESPONDE",IF(Z1226&gt;0,"FACTURADO","PENDIENTE")))</f>
        <v>FACTURADO</v>
      </c>
      <c r="AG1226" s="133">
        <f>IFERROR(VLOOKUP(DATA[[#This Row],[COMBINADA]],#REF!,6,0),0)</f>
        <v>0</v>
      </c>
      <c r="AH1226" s="125">
        <f>IFERROR(VLOOKUP(DATA[[#This Row],[COMBINADA]],#REF!,9,0),0)/COUNTIFS(DATA[COMBINADA],DATA[[#This Row],[COMBINADA]])</f>
        <v>0</v>
      </c>
      <c r="AI1226" s="136">
        <f>IFERROR(VLOOKUP(DATA[[#This Row],[COMBINADA]],#REF!,6,0),0)</f>
        <v>0</v>
      </c>
      <c r="AJ1226" s="132">
        <f>IFERROR(VLOOKUP(DATA[[#This Row],[COMBINADA]],#REF!,9,0),0)/COUNTIFS(DATA[COMBINADA],DATA[[#This Row],[COMBINADA]])</f>
        <v>0</v>
      </c>
      <c r="AK1226" s="407">
        <f>IFERROR(VLOOKUP(DATA[[#This Row],[COMBINADA]],#REF!,6,0),0)</f>
        <v>0</v>
      </c>
      <c r="AL1226" s="125">
        <f>IFERROR(VLOOKUP(DATA[[#This Row],[COMBINADA]],#REF!,9,0),0)/COUNTIFS(DATA[COMBINADA],DATA[[#This Row],[COMBINADA]])</f>
        <v>0</v>
      </c>
      <c r="AM1226" s="27">
        <f>IFERROR(VLOOKUP(DATA[[#This Row],[COMBINADA]],#REF!,6,0),0)</f>
        <v>0</v>
      </c>
      <c r="AN1226" s="125">
        <f>IFERROR(VLOOKUP(DATA[[#This Row],[COMBINADA]],#REF!,9,0),0)/COUNTIFS(DATA[COMBINADA],DATA[[#This Row],[COMBINADA]])</f>
        <v>0</v>
      </c>
      <c r="AO1226" s="27">
        <f>IFERROR(VLOOKUP(DATA[[#This Row],[COMBINADA]],#REF!,6,0),0)</f>
        <v>0</v>
      </c>
      <c r="AP1226" s="132">
        <f>IFERROR(VLOOKUP(DATA[[#This Row],[COMBINADA]],#REF!,9,0),0)/COUNTIFS(DATA[COMBINADA],DATA[[#This Row],[COMBINADA]])</f>
        <v>0</v>
      </c>
      <c r="AQ122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1081.825</v>
      </c>
      <c r="AR1226" s="26" t="str">
        <f>IFERROR(IF(DATA[[#This Row],[estado_fact]]="FACTURADO",VLOOKUP(DATA[[#This Row],[SERIE2]]&amp;"-"&amp;DATA[[#This Row],[NUMERO]],#REF!,34,0),"NO CORRESPONDE"),"NO CORRESPONDE")</f>
        <v>NO CORRESPONDE</v>
      </c>
      <c r="AS1226" s="22" t="str">
        <f>IF(DATA[[#This Row],[fecha_fs]]&gt;0,TEXT(DATA[[#This Row],[fecha_fs]],"Mmmm"),0)</f>
        <v>Setiembre</v>
      </c>
      <c r="AT1226" s="22" t="str">
        <f>DATA[[#This Row],[SERIE2]]&amp;"-"&amp;DATA[[#This Row],[NUMERO]]</f>
        <v>FF01-281</v>
      </c>
      <c r="AU1226" s="28">
        <f>DATA[[#This Row],[TOTAL]]*DATA[[#This Row],[T.C.]]</f>
        <v>1076.1600000000001</v>
      </c>
      <c r="AV1226" s="6">
        <f>DATA[[#This Row],[FECHA DE VAL.]]</f>
        <v>45926</v>
      </c>
      <c r="AW1226" s="6">
        <f>DATA[[#This Row],[FECHA DE EMISION]]</f>
        <v>45936</v>
      </c>
      <c r="AX1226" s="6">
        <f>DATA[[#This Row],[F1]]</f>
        <v>0</v>
      </c>
      <c r="AY1226" s="20">
        <f>IF(AV1226-DATA[[#This Row],[fecha_fs]]&lt;0,0,AV1226-DATA[[#This Row],[fecha_fs]])</f>
        <v>4</v>
      </c>
      <c r="AZ1226" s="20">
        <f t="shared" si="270"/>
        <v>10</v>
      </c>
      <c r="BA1226" s="53">
        <f t="shared" si="271"/>
        <v>0</v>
      </c>
      <c r="BB1226" s="195">
        <f>IFERROR(SUM(DATA[[#This Row],[fs_val_ttf]:[fact_pago_ttf]]),0)</f>
        <v>14</v>
      </c>
      <c r="BC1226" s="233">
        <v>45922</v>
      </c>
      <c r="BD1226" s="233">
        <v>45932</v>
      </c>
      <c r="BE1226" s="233">
        <v>45936</v>
      </c>
      <c r="BF1226" s="233">
        <v>45939</v>
      </c>
      <c r="BG1226" s="20">
        <f>IFERROR(IF(BC1226-DATA[[#This Row],[fecha_fs]]&lt;0,0,BC1226-DATA[[#This Row],[fecha_fs]]),0)</f>
        <v>0</v>
      </c>
      <c r="BH1226" s="20">
        <f t="shared" si="272"/>
        <v>10</v>
      </c>
      <c r="BI1226" s="20">
        <f t="shared" si="273"/>
        <v>4</v>
      </c>
      <c r="BJ1226" s="20">
        <f t="shared" si="274"/>
        <v>3</v>
      </c>
      <c r="BK1226" s="282">
        <f>IFERROR(SUM(DATA[[#This Row],[fs_fd_ttd]:[fend_fenf_ttd]]),0)</f>
        <v>17</v>
      </c>
      <c r="BL1226" s="20" t="str">
        <f>IF(DATA[[#This Row],[fecha_fs]]&gt;0,TEXT(DATA[[#This Row],[fecha_fs]],"YYYY"),0)</f>
        <v>2025</v>
      </c>
      <c r="BM1226" s="236" t="b">
        <v>1</v>
      </c>
      <c r="BN1226" s="278">
        <f>COUNTIF(DATA[[#This Row],[tiempo_td]], "&lt;=15")</f>
        <v>0</v>
      </c>
      <c r="BO1226" s="222"/>
    </row>
    <row r="1227" spans="1:67" ht="30.6" customHeight="1" x14ac:dyDescent="0.25">
      <c r="A1227" s="4">
        <v>20100226902</v>
      </c>
      <c r="B1227" s="5" t="s">
        <v>24</v>
      </c>
      <c r="C1227" s="52" t="s">
        <v>18</v>
      </c>
      <c r="D1227" s="4" t="s">
        <v>120</v>
      </c>
      <c r="E1227" s="5" t="s">
        <v>3</v>
      </c>
      <c r="F1227" s="24">
        <v>45922</v>
      </c>
      <c r="G1227" s="7" t="s">
        <v>113</v>
      </c>
      <c r="H1227" s="25">
        <f t="shared" si="269"/>
        <v>1</v>
      </c>
      <c r="I1227" s="67">
        <v>5024</v>
      </c>
      <c r="J1227" s="8" t="s">
        <v>115</v>
      </c>
      <c r="K1227" s="9" t="s">
        <v>121</v>
      </c>
      <c r="L1227" s="10" t="s">
        <v>117</v>
      </c>
      <c r="M1227" s="11">
        <v>460</v>
      </c>
      <c r="N1227" s="12" t="s">
        <v>187</v>
      </c>
      <c r="O1227" s="295"/>
      <c r="P1227" s="296" t="s">
        <v>114</v>
      </c>
      <c r="Q1227" s="297"/>
      <c r="R1227" s="298"/>
      <c r="S1227" s="298"/>
      <c r="T1227" s="298">
        <v>0</v>
      </c>
      <c r="U1227" s="298">
        <v>0</v>
      </c>
      <c r="V1227" s="298">
        <v>0</v>
      </c>
      <c r="W1227" s="16" t="s">
        <v>128</v>
      </c>
      <c r="X1227" s="299"/>
      <c r="Y1227" s="17" t="s">
        <v>128</v>
      </c>
      <c r="Z1227" s="300"/>
      <c r="AA1227" s="301"/>
      <c r="AB1227" s="302"/>
      <c r="AC1227" s="303"/>
      <c r="AD1227" s="304">
        <v>0</v>
      </c>
      <c r="AE1227" s="23">
        <v>1</v>
      </c>
      <c r="AF1227" s="129" t="s">
        <v>128</v>
      </c>
      <c r="AG1227" s="310">
        <f>IFERROR(VLOOKUP(DATA[[#This Row],[COMBINADA]],#REF!,6,0),0)</f>
        <v>0</v>
      </c>
      <c r="AH1227" s="311">
        <f>IFERROR(VLOOKUP(DATA[[#This Row],[COMBINADA]],#REF!,9,0),0)/COUNTIFS(DATA[COMBINADA],DATA[[#This Row],[COMBINADA]])</f>
        <v>0</v>
      </c>
      <c r="AI1227" s="310">
        <f>IFERROR(VLOOKUP(DATA[[#This Row],[COMBINADA]],#REF!,6,0),0)</f>
        <v>0</v>
      </c>
      <c r="AJ1227" s="311">
        <f>IFERROR(VLOOKUP(DATA[[#This Row],[COMBINADA]],#REF!,9,0),0)/COUNTIFS(DATA[COMBINADA],DATA[[#This Row],[COMBINADA]])</f>
        <v>0</v>
      </c>
      <c r="AK1227" s="413">
        <f>IFERROR(VLOOKUP(DATA[[#This Row],[COMBINADA]],#REF!,6,0),0)</f>
        <v>0</v>
      </c>
      <c r="AL1227" s="311">
        <f>IFERROR(VLOOKUP(DATA[[#This Row],[COMBINADA]],#REF!,9,0),0)/COUNTIFS(DATA[COMBINADA],DATA[[#This Row],[COMBINADA]])</f>
        <v>0</v>
      </c>
      <c r="AM1227" s="312">
        <f>IFERROR(VLOOKUP(DATA[[#This Row],[COMBINADA]],#REF!,6,0),0)</f>
        <v>0</v>
      </c>
      <c r="AN1227" s="311">
        <f>IFERROR(VLOOKUP(DATA[[#This Row],[COMBINADA]],#REF!,9,0),0)/COUNTIFS(DATA[COMBINADA],DATA[[#This Row],[COMBINADA]])</f>
        <v>0</v>
      </c>
      <c r="AO1227" s="313">
        <f>IFERROR(VLOOKUP(DATA[[#This Row],[COMBINADA]],#REF!,6,0),0)</f>
        <v>0</v>
      </c>
      <c r="AP1227" s="311">
        <f>IFERROR(VLOOKUP(DATA[[#This Row],[COMBINADA]],#REF!,9,0),0)/COUNTIFS(DATA[COMBINADA],DATA[[#This Row],[COMBINADA]])</f>
        <v>0</v>
      </c>
      <c r="AQ1227" s="314">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227" s="315" t="str">
        <f>IFERROR(IF(DATA[[#This Row],[estado_fact]]="FACTURADO",VLOOKUP(DATA[[#This Row],[SERIE2]]&amp;"-"&amp;DATA[[#This Row],[NUMERO]],#REF!,34,0),"NO CORRESPONDE"),"NO CORRESPONDE")</f>
        <v>NO CORRESPONDE</v>
      </c>
      <c r="AS1227" s="22" t="str">
        <f>IF(DATA[[#This Row],[fecha_fs]]&gt;0,TEXT(DATA[[#This Row],[fecha_fs]],"Mmmm"),0)</f>
        <v>Setiembre</v>
      </c>
      <c r="AT1227" s="22" t="str">
        <f>DATA[[#This Row],[SERIE2]]&amp;"-"&amp;DATA[[#This Row],[NUMERO]]</f>
        <v>-</v>
      </c>
      <c r="AU1227" s="28">
        <f>DATA[[#This Row],[TOTAL]]*DATA[[#This Row],[T.C.]]</f>
        <v>0</v>
      </c>
      <c r="AV1227" s="6">
        <f>DATA[[#This Row],[FECHA DE VAL.]]</f>
        <v>0</v>
      </c>
      <c r="AW1227" s="6">
        <f>DATA[[#This Row],[FECHA DE EMISION]]</f>
        <v>0</v>
      </c>
      <c r="AX1227" s="6">
        <f>DATA[[#This Row],[F1]]</f>
        <v>0</v>
      </c>
      <c r="AY1227" s="20">
        <f>IF(AV1227-DATA[[#This Row],[fecha_fs]]&lt;0,0,AV1227-DATA[[#This Row],[fecha_fs]])</f>
        <v>0</v>
      </c>
      <c r="AZ1227" s="20">
        <f t="shared" si="270"/>
        <v>0</v>
      </c>
      <c r="BA1227" s="53">
        <f t="shared" si="271"/>
        <v>0</v>
      </c>
      <c r="BB1227" s="195">
        <f>IFERROR(SUM(DATA[[#This Row],[fs_val_ttf]:[fact_pago_ttf]]),0)</f>
        <v>0</v>
      </c>
      <c r="BC1227" s="233">
        <v>45922</v>
      </c>
      <c r="BD1227" s="233">
        <v>45922</v>
      </c>
      <c r="BE1227" s="233">
        <v>45933</v>
      </c>
      <c r="BF1227" s="233">
        <v>45933</v>
      </c>
      <c r="BG1227" s="20">
        <f>IFERROR(IF(BC1227-DATA[[#This Row],[fecha_fs]]&lt;0,0,BC1227-DATA[[#This Row],[fecha_fs]]),0)</f>
        <v>0</v>
      </c>
      <c r="BH1227" s="20">
        <f t="shared" si="272"/>
        <v>0</v>
      </c>
      <c r="BI1227" s="20">
        <f t="shared" si="273"/>
        <v>11</v>
      </c>
      <c r="BJ1227" s="20">
        <f t="shared" si="274"/>
        <v>0</v>
      </c>
      <c r="BK1227" s="282">
        <f>IFERROR(SUM(DATA[[#This Row],[fs_fd_ttd]:[fend_fenf_ttd]]),0)</f>
        <v>11</v>
      </c>
      <c r="BL1227" s="20" t="str">
        <f>IF(DATA[[#This Row],[fecha_fs]]&gt;0,TEXT(DATA[[#This Row],[fecha_fs]],"YYYY"),0)</f>
        <v>2025</v>
      </c>
      <c r="BM1227" s="236" t="b">
        <v>1</v>
      </c>
      <c r="BN1227" s="278">
        <f>COUNTIF(DATA[[#This Row],[tiempo_td]], "&lt;=15")</f>
        <v>1</v>
      </c>
      <c r="BO1227" s="222"/>
    </row>
    <row r="1228" spans="1:67" ht="30.6" customHeight="1" x14ac:dyDescent="0.25">
      <c r="A1228" s="4">
        <v>20100211115</v>
      </c>
      <c r="B1228" s="5" t="s">
        <v>41</v>
      </c>
      <c r="C1228" s="52" t="s">
        <v>18</v>
      </c>
      <c r="D1228" s="4" t="s">
        <v>120</v>
      </c>
      <c r="E1228" s="5" t="s">
        <v>3</v>
      </c>
      <c r="F1228" s="24">
        <v>45922</v>
      </c>
      <c r="G1228" s="7" t="s">
        <v>113</v>
      </c>
      <c r="H1228" s="25">
        <f t="shared" si="269"/>
        <v>1</v>
      </c>
      <c r="I1228" s="67">
        <v>5025</v>
      </c>
      <c r="J1228" s="8" t="s">
        <v>115</v>
      </c>
      <c r="K1228" s="9" t="s">
        <v>121</v>
      </c>
      <c r="L1228" s="10" t="s">
        <v>117</v>
      </c>
      <c r="M1228" s="11">
        <v>90</v>
      </c>
      <c r="N1228" s="12" t="s">
        <v>132</v>
      </c>
      <c r="O1228" s="6">
        <v>45926</v>
      </c>
      <c r="P1228" s="368">
        <v>3679</v>
      </c>
      <c r="Q1228" s="14" t="s">
        <v>85</v>
      </c>
      <c r="R1228" s="321"/>
      <c r="S1228" s="321">
        <f>(DATA[[#This Row],[cantidad_fs]]*4.17)</f>
        <v>375.3</v>
      </c>
      <c r="T1228" s="237">
        <f>DATA[[#This Row],[C. DF]]+DATA[[#This Row],[C.OPE.]]</f>
        <v>375.3</v>
      </c>
      <c r="U1228" s="15">
        <f>DATA[[#This Row],[SUB TOTAL]]*0.18</f>
        <v>67.554000000000002</v>
      </c>
      <c r="V1228" s="15">
        <f>IFERROR(ROUND(DATA[[#This Row],[SUB TOTAL]]+DATA[[#This Row],[IGV]],2),0)</f>
        <v>442.85</v>
      </c>
      <c r="W1228" s="16" t="str">
        <f>IF(DATA[[#This Row],[VALORIZACIÓN ]]="-","NO CORRESPONDE",IF(OR(A1228=20558226979,A1228=10470707866,A1228=20111157058,A1228=20100226902),"NO CORRESPONDE",IF(J1228="Emitida",IF(P1228&gt;0,"EMITIDA","PENDIENTE"),"NO CORRESPONDE")))</f>
        <v>EMITIDA</v>
      </c>
      <c r="X1228" s="29"/>
      <c r="Y1228" s="17" t="s">
        <v>118</v>
      </c>
      <c r="Z1228" s="30">
        <v>45930</v>
      </c>
      <c r="AA1228" s="10" t="s">
        <v>150</v>
      </c>
      <c r="AB1228" s="19">
        <v>269</v>
      </c>
      <c r="AC1228" s="20">
        <v>30</v>
      </c>
      <c r="AD1228" s="18">
        <f>DATA[[#This Row],[FECHA DE EMISION]]+DATA[[#This Row],[CONDICION DE PAGO]]</f>
        <v>45960</v>
      </c>
      <c r="AE1228" s="23">
        <f>IF(DATA[[#This Row],[MONEDA]]="USD",VLOOKUP(DATA[[#This Row],[COMBINADA]],#REF!,11,0),1)</f>
        <v>1</v>
      </c>
      <c r="AF1228" s="129" t="str">
        <f>IF(DATA[[#This Row],[SERIE2]]="-","NO CORRESPONDE",IF(W1228="NO CORRESPONDE","NO CORRESPONDE",IF(Z1228&gt;0,"FACTURADO","PENDIENTE")))</f>
        <v>FACTURADO</v>
      </c>
      <c r="AG1228" s="133">
        <f>IFERROR(VLOOKUP(DATA[[#This Row],[COMBINADA]],#REF!,6,0),0)</f>
        <v>0</v>
      </c>
      <c r="AH1228" s="125">
        <f>IFERROR(VLOOKUP(DATA[[#This Row],[COMBINADA]],#REF!,9,0),0)/COUNTIFS(DATA[COMBINADA],DATA[[#This Row],[COMBINADA]])</f>
        <v>0</v>
      </c>
      <c r="AI1228" s="136">
        <f>IFERROR(VLOOKUP(DATA[[#This Row],[COMBINADA]],#REF!,6,0),0)</f>
        <v>0</v>
      </c>
      <c r="AJ1228" s="132">
        <f>IFERROR(VLOOKUP(DATA[[#This Row],[COMBINADA]],#REF!,9,0),0)/COUNTIFS(DATA[COMBINADA],DATA[[#This Row],[COMBINADA]])</f>
        <v>0</v>
      </c>
      <c r="AK1228" s="407">
        <f>IFERROR(VLOOKUP(DATA[[#This Row],[COMBINADA]],#REF!,6,0),0)</f>
        <v>0</v>
      </c>
      <c r="AL1228" s="125">
        <f>IFERROR(VLOOKUP(DATA[[#This Row],[COMBINADA]],#REF!,9,0),0)/COUNTIFS(DATA[COMBINADA],DATA[[#This Row],[COMBINADA]])</f>
        <v>0</v>
      </c>
      <c r="AM1228" s="27">
        <f>IFERROR(VLOOKUP(DATA[[#This Row],[COMBINADA]],#REF!,6,0),0)</f>
        <v>0</v>
      </c>
      <c r="AN1228" s="125">
        <f>IFERROR(VLOOKUP(DATA[[#This Row],[COMBINADA]],#REF!,9,0),0)/COUNTIFS(DATA[COMBINADA],DATA[[#This Row],[COMBINADA]])</f>
        <v>0</v>
      </c>
      <c r="AO1228" s="27">
        <f>IFERROR(VLOOKUP(DATA[[#This Row],[COMBINADA]],#REF!,6,0),0)</f>
        <v>0</v>
      </c>
      <c r="AP1228" s="132">
        <f>IFERROR(VLOOKUP(DATA[[#This Row],[COMBINADA]],#REF!,9,0),0)/COUNTIFS(DATA[COMBINADA],DATA[[#This Row],[COMBINADA]])</f>
        <v>0</v>
      </c>
      <c r="AQ122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228" s="26" t="str">
        <f>IFERROR(IF(DATA[[#This Row],[estado_fact]]="FACTURADO",VLOOKUP(DATA[[#This Row],[SERIE2]]&amp;"-"&amp;DATA[[#This Row],[NUMERO]],#REF!,34,0),"NO CORRESPONDE"),"NO CORRESPONDE")</f>
        <v>NO CORRESPONDE</v>
      </c>
      <c r="AS1228" s="22" t="str">
        <f>IF(DATA[[#This Row],[fecha_fs]]&gt;0,TEXT(DATA[[#This Row],[fecha_fs]],"Mmmm"),0)</f>
        <v>Setiembre</v>
      </c>
      <c r="AT1228" s="22" t="str">
        <f>DATA[[#This Row],[SERIE2]]&amp;"-"&amp;DATA[[#This Row],[NUMERO]]</f>
        <v>FF01-269</v>
      </c>
      <c r="AU1228" s="28">
        <f>DATA[[#This Row],[TOTAL]]*DATA[[#This Row],[T.C.]]</f>
        <v>442.85</v>
      </c>
      <c r="AV1228" s="6">
        <f>DATA[[#This Row],[FECHA DE VAL.]]</f>
        <v>45926</v>
      </c>
      <c r="AW1228" s="6">
        <f>DATA[[#This Row],[FECHA DE EMISION]]</f>
        <v>45930</v>
      </c>
      <c r="AX1228" s="6">
        <f>DATA[[#This Row],[F1]]</f>
        <v>0</v>
      </c>
      <c r="AY1228" s="20">
        <f>IF(AV1228-DATA[[#This Row],[fecha_fs]]&lt;0,0,AV1228-DATA[[#This Row],[fecha_fs]])</f>
        <v>4</v>
      </c>
      <c r="AZ1228" s="20">
        <f t="shared" si="270"/>
        <v>4</v>
      </c>
      <c r="BA1228" s="53">
        <f t="shared" si="271"/>
        <v>0</v>
      </c>
      <c r="BB1228" s="195">
        <f>IFERROR(SUM(DATA[[#This Row],[fs_val_ttf]:[fact_pago_ttf]]),0)</f>
        <v>8</v>
      </c>
      <c r="BC1228" s="233">
        <v>45932</v>
      </c>
      <c r="BD1228" s="233">
        <v>45939</v>
      </c>
      <c r="BE1228" s="233">
        <v>45939</v>
      </c>
      <c r="BF1228" s="233">
        <v>45940</v>
      </c>
      <c r="BG1228" s="20">
        <f>IFERROR(IF(BC1228-DATA[[#This Row],[fecha_fs]]&lt;0,0,BC1228-DATA[[#This Row],[fecha_fs]]),0)</f>
        <v>10</v>
      </c>
      <c r="BH1228" s="20">
        <f t="shared" si="272"/>
        <v>7</v>
      </c>
      <c r="BI1228" s="20">
        <f t="shared" si="273"/>
        <v>0</v>
      </c>
      <c r="BJ1228" s="20">
        <f t="shared" si="274"/>
        <v>1</v>
      </c>
      <c r="BK1228" s="282">
        <f>IFERROR(SUM(DATA[[#This Row],[fs_fd_ttd]:[fend_fenf_ttd]]),0)</f>
        <v>18</v>
      </c>
      <c r="BL1228" s="20" t="str">
        <f>IF(DATA[[#This Row],[fecha_fs]]&gt;0,TEXT(DATA[[#This Row],[fecha_fs]],"YYYY"),0)</f>
        <v>2025</v>
      </c>
      <c r="BM1228" s="236" t="b">
        <v>1</v>
      </c>
      <c r="BN1228" s="278">
        <f>COUNTIF(DATA[[#This Row],[tiempo_td]], "&lt;=15")</f>
        <v>0</v>
      </c>
      <c r="BO1228" s="222"/>
    </row>
    <row r="1229" spans="1:67" ht="30.6" customHeight="1" x14ac:dyDescent="0.25">
      <c r="A1229" s="4">
        <v>20610105620</v>
      </c>
      <c r="B1229" s="5" t="s">
        <v>311</v>
      </c>
      <c r="C1229" s="52" t="s">
        <v>312</v>
      </c>
      <c r="D1229" s="4" t="s">
        <v>120</v>
      </c>
      <c r="E1229" s="5" t="s">
        <v>3</v>
      </c>
      <c r="F1229" s="24">
        <v>45919</v>
      </c>
      <c r="G1229" s="7" t="s">
        <v>113</v>
      </c>
      <c r="H1229" s="25">
        <f t="shared" ref="H1229:H1240" si="276">IF(G1229="","",IF(G1229="LIM",2,1))</f>
        <v>1</v>
      </c>
      <c r="I1229" s="67">
        <v>5026</v>
      </c>
      <c r="J1229" s="8" t="s">
        <v>115</v>
      </c>
      <c r="K1229" s="9" t="s">
        <v>344</v>
      </c>
      <c r="L1229" s="10" t="s">
        <v>137</v>
      </c>
      <c r="M1229" s="11">
        <v>1</v>
      </c>
      <c r="N1229" s="12" t="s">
        <v>122</v>
      </c>
      <c r="O1229" s="6">
        <v>45930</v>
      </c>
      <c r="P1229" s="370">
        <v>3709</v>
      </c>
      <c r="Q1229" s="14" t="s">
        <v>85</v>
      </c>
      <c r="R1229" s="321"/>
      <c r="S1229" s="321">
        <v>1060</v>
      </c>
      <c r="T1229" s="237">
        <f>DATA[[#This Row],[C. DF]]+DATA[[#This Row],[C.OPE.]]</f>
        <v>1060</v>
      </c>
      <c r="U1229" s="15">
        <f>DATA[[#This Row],[SUB TOTAL]]*0.18</f>
        <v>190.79999999999998</v>
      </c>
      <c r="V1229" s="15">
        <f>IFERROR(ROUND(DATA[[#This Row],[SUB TOTAL]]+DATA[[#This Row],[IGV]],2),0)</f>
        <v>1250.8</v>
      </c>
      <c r="W1229" s="16" t="str">
        <f>IF(DATA[[#This Row],[VALORIZACIÓN ]]="-","NO CORRESPONDE",IF(OR(A1229=20558226979,A1229=10470707866,A1229=20111157058,A1229=20100226902),"NO CORRESPONDE",IF(J1229="Emitida",IF(P1229&gt;0,"EMITIDA","PENDIENTE"),"NO CORRESPONDE")))</f>
        <v>EMITIDA</v>
      </c>
      <c r="X1229" s="29"/>
      <c r="Y1229" s="17" t="s">
        <v>118</v>
      </c>
      <c r="Z1229" s="30">
        <v>45968</v>
      </c>
      <c r="AA1229" s="10" t="s">
        <v>150</v>
      </c>
      <c r="AB1229" s="19">
        <v>349</v>
      </c>
      <c r="AC1229" s="20">
        <v>30</v>
      </c>
      <c r="AD1229" s="18">
        <f>DATA[[#This Row],[FECHA DE EMISION]]+DATA[[#This Row],[CONDICION DE PAGO]]</f>
        <v>45998</v>
      </c>
      <c r="AE1229" s="23">
        <f>IF(DATA[[#This Row],[MONEDA]]="USD",VLOOKUP(DATA[[#This Row],[COMBINADA]],#REF!,11,0),1)</f>
        <v>1</v>
      </c>
      <c r="AF1229" s="129" t="str">
        <f>IF(DATA[[#This Row],[SERIE2]]="-","NO CORRESPONDE",IF(W1229="NO CORRESPONDE","NO CORRESPONDE",IF(Z1229&gt;0,"FACTURADO","PENDIENTE")))</f>
        <v>FACTURADO</v>
      </c>
      <c r="AG1229" s="133">
        <f>IFERROR(VLOOKUP(DATA[[#This Row],[COMBINADA]],#REF!,6,0),0)</f>
        <v>0</v>
      </c>
      <c r="AH1229" s="125">
        <f>IFERROR(VLOOKUP(DATA[[#This Row],[COMBINADA]],#REF!,9,0),0)/COUNTIFS(DATA[COMBINADA],DATA[[#This Row],[COMBINADA]])</f>
        <v>0</v>
      </c>
      <c r="AI1229" s="136">
        <f>IFERROR(VLOOKUP(DATA[[#This Row],[COMBINADA]],#REF!,6,0),0)</f>
        <v>0</v>
      </c>
      <c r="AJ1229" s="132">
        <f>IFERROR(VLOOKUP(DATA[[#This Row],[COMBINADA]],#REF!,9,0),0)/COUNTIFS(DATA[COMBINADA],DATA[[#This Row],[COMBINADA]])</f>
        <v>0</v>
      </c>
      <c r="AK1229" s="407">
        <f>IFERROR(VLOOKUP(DATA[[#This Row],[COMBINADA]],#REF!,6,0),0)</f>
        <v>0</v>
      </c>
      <c r="AL1229" s="125">
        <f>IFERROR(VLOOKUP(DATA[[#This Row],[COMBINADA]],#REF!,9,0),0)/COUNTIFS(DATA[COMBINADA],DATA[[#This Row],[COMBINADA]])</f>
        <v>0</v>
      </c>
      <c r="AM1229" s="27">
        <f>IFERROR(VLOOKUP(DATA[[#This Row],[COMBINADA]],#REF!,6,0),0)</f>
        <v>0</v>
      </c>
      <c r="AN1229" s="125">
        <f>IFERROR(VLOOKUP(DATA[[#This Row],[COMBINADA]],#REF!,9,0),0)/COUNTIFS(DATA[COMBINADA],DATA[[#This Row],[COMBINADA]])</f>
        <v>0</v>
      </c>
      <c r="AO1229" s="27">
        <f>IFERROR(VLOOKUP(DATA[[#This Row],[COMBINADA]],#REF!,6,0),0)</f>
        <v>0</v>
      </c>
      <c r="AP1229" s="132">
        <f>IFERROR(VLOOKUP(DATA[[#This Row],[COMBINADA]],#REF!,9,0),0)/COUNTIFS(DATA[COMBINADA],DATA[[#This Row],[COMBINADA]])</f>
        <v>0</v>
      </c>
      <c r="AQ122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2515.7599999999998</v>
      </c>
      <c r="AR1229" s="26" t="str">
        <f>IFERROR(IF(DATA[[#This Row],[estado_fact]]="FACTURADO",VLOOKUP(DATA[[#This Row],[SERIE2]]&amp;"-"&amp;DATA[[#This Row],[NUMERO]],#REF!,34,0),"NO CORRESPONDE"),"NO CORRESPONDE")</f>
        <v>NO CORRESPONDE</v>
      </c>
      <c r="AS1229" s="22" t="str">
        <f>IF(DATA[[#This Row],[fecha_fs]]&gt;0,TEXT(DATA[[#This Row],[fecha_fs]],"Mmmm"),0)</f>
        <v>Setiembre</v>
      </c>
      <c r="AT1229" s="22" t="str">
        <f>DATA[[#This Row],[SERIE2]]&amp;"-"&amp;DATA[[#This Row],[NUMERO]]</f>
        <v>FF01-349</v>
      </c>
      <c r="AU1229" s="28">
        <f>DATA[[#This Row],[TOTAL]]*DATA[[#This Row],[T.C.]]</f>
        <v>1250.8</v>
      </c>
      <c r="AV1229" s="6">
        <f>DATA[[#This Row],[FECHA DE VAL.]]</f>
        <v>45930</v>
      </c>
      <c r="AW1229" s="6">
        <f>DATA[[#This Row],[FECHA DE EMISION]]</f>
        <v>45968</v>
      </c>
      <c r="AX1229" s="6">
        <f>DATA[[#This Row],[F1]]</f>
        <v>0</v>
      </c>
      <c r="AY1229" s="20">
        <f>IF(AV1229-DATA[[#This Row],[fecha_fs]]&lt;0,0,AV1229-DATA[[#This Row],[fecha_fs]])</f>
        <v>11</v>
      </c>
      <c r="AZ1229" s="20">
        <f t="shared" ref="AZ1229:AZ1240" si="277">IF(AW1229-AV1229&lt;0,0,AW1229-AV1229)</f>
        <v>38</v>
      </c>
      <c r="BA1229" s="53">
        <f t="shared" ref="BA1229:BA1240" si="278">IF(AX1229-AW1229&lt;0,0,AX1229-AW1229)</f>
        <v>0</v>
      </c>
      <c r="BB1229" s="195">
        <f>IFERROR(SUM(DATA[[#This Row],[fs_val_ttf]:[fact_pago_ttf]]),0)</f>
        <v>49</v>
      </c>
      <c r="BC1229" s="276"/>
      <c r="BD1229" s="276"/>
      <c r="BE1229" s="276"/>
      <c r="BF1229" s="276"/>
      <c r="BG1229" s="20">
        <f>IFERROR(IF(BC1229-DATA[[#This Row],[fecha_fs]]&lt;0,0,BC1229-DATA[[#This Row],[fecha_fs]]),0)</f>
        <v>0</v>
      </c>
      <c r="BH1229" s="20">
        <f t="shared" ref="BH1229:BH1240" si="279">IFERROR(IF(BD1229-BC1229&lt;0,0,BD1229-BC1229),0)</f>
        <v>0</v>
      </c>
      <c r="BI1229" s="20">
        <f t="shared" ref="BI1229:BI1240" si="280">IFERROR(IF(BE1229-BD1229&lt;0,0,BE1229-BD1229),0)</f>
        <v>0</v>
      </c>
      <c r="BJ1229" s="20">
        <f t="shared" ref="BJ1229:BJ1240" si="281">IFERROR(IF(BF1229-BE1229&lt;0,0,BF1229-BE1229),0)</f>
        <v>0</v>
      </c>
      <c r="BK1229" s="282">
        <f>IFERROR(SUM(DATA[[#This Row],[fs_fd_ttd]:[fend_fenf_ttd]]),0)</f>
        <v>0</v>
      </c>
      <c r="BL1229" s="20" t="str">
        <f>IF(DATA[[#This Row],[fecha_fs]]&gt;0,TEXT(DATA[[#This Row],[fecha_fs]],"YYYY"),0)</f>
        <v>2025</v>
      </c>
      <c r="BM1229" s="236" t="b">
        <v>1</v>
      </c>
      <c r="BN1229" s="278">
        <f>COUNTIF(DATA[[#This Row],[tiempo_td]], "&lt;=15")</f>
        <v>1</v>
      </c>
      <c r="BO1229" s="222"/>
    </row>
    <row r="1230" spans="1:67" ht="30.6" customHeight="1" x14ac:dyDescent="0.25">
      <c r="A1230" s="4">
        <v>20505675836</v>
      </c>
      <c r="B1230" s="5" t="s">
        <v>42</v>
      </c>
      <c r="C1230" s="52" t="s">
        <v>43</v>
      </c>
      <c r="D1230" s="4" t="s">
        <v>120</v>
      </c>
      <c r="E1230" s="5" t="s">
        <v>3</v>
      </c>
      <c r="F1230" s="24">
        <v>45922</v>
      </c>
      <c r="G1230" s="7" t="s">
        <v>113</v>
      </c>
      <c r="H1230" s="25">
        <f t="shared" si="276"/>
        <v>1</v>
      </c>
      <c r="I1230" s="67">
        <v>5027</v>
      </c>
      <c r="J1230" s="8" t="s">
        <v>115</v>
      </c>
      <c r="K1230" s="9" t="s">
        <v>121</v>
      </c>
      <c r="L1230" s="10" t="s">
        <v>117</v>
      </c>
      <c r="M1230" s="11">
        <v>340</v>
      </c>
      <c r="N1230" s="12" t="s">
        <v>122</v>
      </c>
      <c r="O1230" s="6">
        <v>45926</v>
      </c>
      <c r="P1230" s="71">
        <v>3682</v>
      </c>
      <c r="Q1230" s="14" t="s">
        <v>85</v>
      </c>
      <c r="R1230" s="15">
        <f>(DATA[[#This Row],[cantidad_fs]]-150)*0.67</f>
        <v>127.30000000000001</v>
      </c>
      <c r="S1230" s="15">
        <v>817.68</v>
      </c>
      <c r="T1230" s="237">
        <f>DATA[[#This Row],[C. DF]]+DATA[[#This Row],[C.OPE.]]</f>
        <v>944.98</v>
      </c>
      <c r="U1230" s="15">
        <f>DATA[[#This Row],[SUB TOTAL]]*0.18</f>
        <v>170.09639999999999</v>
      </c>
      <c r="V1230" s="15">
        <f>IFERROR(ROUND(DATA[[#This Row],[SUB TOTAL]]+DATA[[#This Row],[IGV]],2),0)</f>
        <v>1115.08</v>
      </c>
      <c r="W1230" s="16" t="str">
        <f>IF(DATA[[#This Row],[VALORIZACIÓN ]]="-","NO CORRESPONDE",IF(OR(A1230=20558226979,A1230=10470707866,A1230=20111157058,A1230=20100226902),"NO CORRESPONDE",IF(J1230="Emitida",IF(P1230&gt;0,"EMITIDA","PENDIENTE"),"NO CORRESPONDE")))</f>
        <v>EMITIDA</v>
      </c>
      <c r="X1230" s="29"/>
      <c r="Y1230" s="17" t="s">
        <v>118</v>
      </c>
      <c r="Z1230" s="30">
        <v>45968</v>
      </c>
      <c r="AA1230" s="10" t="s">
        <v>150</v>
      </c>
      <c r="AB1230" s="19">
        <v>341</v>
      </c>
      <c r="AC1230" s="20">
        <v>30</v>
      </c>
      <c r="AD1230" s="18">
        <f>DATA[[#This Row],[FECHA DE EMISION]]+DATA[[#This Row],[CONDICION DE PAGO]]</f>
        <v>45998</v>
      </c>
      <c r="AE1230" s="23">
        <f>IF(DATA[[#This Row],[MONEDA]]="USD",VLOOKUP(DATA[[#This Row],[COMBINADA]],#REF!,11,0),1)</f>
        <v>1</v>
      </c>
      <c r="AF1230" s="129" t="str">
        <f>IF(DATA[[#This Row],[SERIE2]]="-","NO CORRESPONDE",IF(W1230="NO CORRESPONDE","NO CORRESPONDE",IF(Z1230&gt;0,"FACTURADO","PENDIENTE")))</f>
        <v>FACTURADO</v>
      </c>
      <c r="AG1230" s="133">
        <f>IFERROR(VLOOKUP(DATA[[#This Row],[COMBINADA]],#REF!,6,0),0)</f>
        <v>0</v>
      </c>
      <c r="AH1230" s="125">
        <f>IFERROR(VLOOKUP(DATA[[#This Row],[COMBINADA]],#REF!,9,0),0)/COUNTIFS(DATA[COMBINADA],DATA[[#This Row],[COMBINADA]])</f>
        <v>0</v>
      </c>
      <c r="AI1230" s="136">
        <f>IFERROR(VLOOKUP(DATA[[#This Row],[COMBINADA]],#REF!,6,0),0)</f>
        <v>0</v>
      </c>
      <c r="AJ1230" s="132">
        <f>IFERROR(VLOOKUP(DATA[[#This Row],[COMBINADA]],#REF!,9,0),0)/COUNTIFS(DATA[COMBINADA],DATA[[#This Row],[COMBINADA]])</f>
        <v>0</v>
      </c>
      <c r="AK1230" s="407">
        <f>IFERROR(VLOOKUP(DATA[[#This Row],[COMBINADA]],#REF!,6,0),0)</f>
        <v>0</v>
      </c>
      <c r="AL1230" s="125">
        <f>IFERROR(VLOOKUP(DATA[[#This Row],[COMBINADA]],#REF!,9,0),0)/COUNTIFS(DATA[COMBINADA],DATA[[#This Row],[COMBINADA]])</f>
        <v>0</v>
      </c>
      <c r="AM1230" s="27">
        <f>IFERROR(VLOOKUP(DATA[[#This Row],[COMBINADA]],#REF!,6,0),0)</f>
        <v>0</v>
      </c>
      <c r="AN1230" s="125">
        <f>IFERROR(VLOOKUP(DATA[[#This Row],[COMBINADA]],#REF!,9,0),0)/COUNTIFS(DATA[COMBINADA],DATA[[#This Row],[COMBINADA]])</f>
        <v>0</v>
      </c>
      <c r="AO1230" s="27">
        <f>IFERROR(VLOOKUP(DATA[[#This Row],[COMBINADA]],#REF!,6,0),0)</f>
        <v>0</v>
      </c>
      <c r="AP1230" s="132">
        <f>IFERROR(VLOOKUP(DATA[[#This Row],[COMBINADA]],#REF!,9,0),0)/COUNTIFS(DATA[COMBINADA],DATA[[#This Row],[COMBINADA]])</f>
        <v>0</v>
      </c>
      <c r="AQ123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2087.2925</v>
      </c>
      <c r="AR1230" s="26" t="str">
        <f>IFERROR(IF(DATA[[#This Row],[estado_fact]]="FACTURADO",VLOOKUP(DATA[[#This Row],[SERIE2]]&amp;"-"&amp;DATA[[#This Row],[NUMERO]],#REF!,34,0),"NO CORRESPONDE"),"NO CORRESPONDE")</f>
        <v>NO CORRESPONDE</v>
      </c>
      <c r="AS1230" s="22" t="str">
        <f>IF(DATA[[#This Row],[fecha_fs]]&gt;0,TEXT(DATA[[#This Row],[fecha_fs]],"Mmmm"),0)</f>
        <v>Setiembre</v>
      </c>
      <c r="AT1230" s="22" t="str">
        <f>DATA[[#This Row],[SERIE2]]&amp;"-"&amp;DATA[[#This Row],[NUMERO]]</f>
        <v>FF01-341</v>
      </c>
      <c r="AU1230" s="28">
        <f>DATA[[#This Row],[TOTAL]]*DATA[[#This Row],[T.C.]]</f>
        <v>1115.08</v>
      </c>
      <c r="AV1230" s="6">
        <f>DATA[[#This Row],[FECHA DE VAL.]]</f>
        <v>45926</v>
      </c>
      <c r="AW1230" s="6">
        <f>DATA[[#This Row],[FECHA DE EMISION]]</f>
        <v>45968</v>
      </c>
      <c r="AX1230" s="6">
        <f>DATA[[#This Row],[F1]]</f>
        <v>0</v>
      </c>
      <c r="AY1230" s="20">
        <f>IF(AV1230-DATA[[#This Row],[fecha_fs]]&lt;0,0,AV1230-DATA[[#This Row],[fecha_fs]])</f>
        <v>4</v>
      </c>
      <c r="AZ1230" s="20">
        <f t="shared" si="277"/>
        <v>42</v>
      </c>
      <c r="BA1230" s="53">
        <f t="shared" si="278"/>
        <v>0</v>
      </c>
      <c r="BB1230" s="195">
        <f>IFERROR(SUM(DATA[[#This Row],[fs_val_ttf]:[fact_pago_ttf]]),0)</f>
        <v>46</v>
      </c>
      <c r="BC1230" s="233">
        <v>45933</v>
      </c>
      <c r="BD1230" s="233">
        <v>45943</v>
      </c>
      <c r="BE1230" s="233">
        <v>45943</v>
      </c>
      <c r="BF1230" s="233">
        <v>45953</v>
      </c>
      <c r="BG1230" s="20">
        <f>IFERROR(IF(BC1230-DATA[[#This Row],[fecha_fs]]&lt;0,0,BC1230-DATA[[#This Row],[fecha_fs]]),0)</f>
        <v>11</v>
      </c>
      <c r="BH1230" s="20">
        <f t="shared" si="279"/>
        <v>10</v>
      </c>
      <c r="BI1230" s="20">
        <f t="shared" si="280"/>
        <v>0</v>
      </c>
      <c r="BJ1230" s="20">
        <f t="shared" si="281"/>
        <v>10</v>
      </c>
      <c r="BK1230" s="282">
        <f>IFERROR(SUM(DATA[[#This Row],[fs_fd_ttd]:[fend_fenf_ttd]]),0)</f>
        <v>31</v>
      </c>
      <c r="BL1230" s="20" t="str">
        <f>IF(DATA[[#This Row],[fecha_fs]]&gt;0,TEXT(DATA[[#This Row],[fecha_fs]],"YYYY"),0)</f>
        <v>2025</v>
      </c>
      <c r="BM1230" s="236" t="b">
        <v>1</v>
      </c>
      <c r="BN1230" s="278">
        <f>COUNTIF(DATA[[#This Row],[tiempo_td]], "&lt;=15")</f>
        <v>0</v>
      </c>
      <c r="BO1230" s="222"/>
    </row>
    <row r="1231" spans="1:67" ht="30.6" customHeight="1" x14ac:dyDescent="0.25">
      <c r="A1231" s="4">
        <v>20100192064</v>
      </c>
      <c r="B1231" s="5" t="s">
        <v>60</v>
      </c>
      <c r="C1231" s="52" t="s">
        <v>66</v>
      </c>
      <c r="D1231" s="4" t="s">
        <v>120</v>
      </c>
      <c r="E1231" s="5" t="s">
        <v>3</v>
      </c>
      <c r="F1231" s="24">
        <v>45923</v>
      </c>
      <c r="G1231" s="7" t="s">
        <v>142</v>
      </c>
      <c r="H1231" s="25">
        <f t="shared" ref="H1231:H1232" si="282">IF(G1231="","",IF(G1231="LIM",2,1))</f>
        <v>2</v>
      </c>
      <c r="I1231" s="67">
        <v>1142</v>
      </c>
      <c r="J1231" s="8" t="s">
        <v>115</v>
      </c>
      <c r="K1231" s="333" t="s">
        <v>121</v>
      </c>
      <c r="L1231" s="10" t="s">
        <v>117</v>
      </c>
      <c r="M1231" s="11">
        <v>240</v>
      </c>
      <c r="N1231" s="12" t="s">
        <v>180</v>
      </c>
      <c r="O1231" s="337">
        <v>45926</v>
      </c>
      <c r="P1231" s="366">
        <v>3699</v>
      </c>
      <c r="Q1231" s="338" t="s">
        <v>123</v>
      </c>
      <c r="R1231" s="321">
        <f>(DATA[[#This Row],[cantidad_fs]]/1000)*37</f>
        <v>8.879999999999999</v>
      </c>
      <c r="S1231" s="321">
        <f>227</f>
        <v>227</v>
      </c>
      <c r="T1231" s="321">
        <f>DATA[[#This Row],[C. DF]]+DATA[[#This Row],[C.OPE.]]</f>
        <v>235.88</v>
      </c>
      <c r="U1231" s="15">
        <f>DATA[[#This Row],[SUB TOTAL]]*0.18</f>
        <v>42.458399999999997</v>
      </c>
      <c r="V1231" s="15">
        <f>IFERROR(ROUND(DATA[[#This Row],[SUB TOTAL]]+DATA[[#This Row],[IGV]],2),0)</f>
        <v>278.33999999999997</v>
      </c>
      <c r="W1231" s="16" t="str">
        <f>IF(DATA[[#This Row],[VALORIZACIÓN ]]="-","NO CORRESPONDE",IF(OR(A1231=20558226979,A1231=10470707866,A1231=20111157058,A1231=20100226902),"NO CORRESPONDE",IF(J1231="Emitida",IF(P1231&gt;0,"EMITIDA","PENDIENTE"),"NO CORRESPONDE")))</f>
        <v>EMITIDA</v>
      </c>
      <c r="X1231" s="29"/>
      <c r="Y1231" s="17" t="s">
        <v>118</v>
      </c>
      <c r="Z1231" s="30">
        <v>45929</v>
      </c>
      <c r="AA1231" s="10" t="s">
        <v>150</v>
      </c>
      <c r="AB1231" s="19">
        <v>268</v>
      </c>
      <c r="AC1231" s="20">
        <v>30</v>
      </c>
      <c r="AD1231" s="18">
        <f>DATA[[#This Row],[FECHA DE EMISION]]+DATA[[#This Row],[CONDICION DE PAGO]]</f>
        <v>45959</v>
      </c>
      <c r="AE1231" s="23" t="e">
        <f>IF(DATA[[#This Row],[MONEDA]]="USD",VLOOKUP(DATA[[#This Row],[COMBINADA]],#REF!,11,0),1)</f>
        <v>#REF!</v>
      </c>
      <c r="AF1231" s="129" t="str">
        <f>IF(DATA[[#This Row],[SERIE2]]="-","NO CORRESPONDE",IF(W1231="NO CORRESPONDE","NO CORRESPONDE",IF(Z1231&gt;0,"FACTURADO","PENDIENTE")))</f>
        <v>FACTURADO</v>
      </c>
      <c r="AG1231" s="133">
        <f>IFERROR(VLOOKUP(DATA[[#This Row],[COMBINADA]],#REF!,6,0),0)</f>
        <v>0</v>
      </c>
      <c r="AH1231" s="125">
        <f>IFERROR(VLOOKUP(DATA[[#This Row],[COMBINADA]],#REF!,9,0),0)/COUNTIFS(DATA[COMBINADA],DATA[[#This Row],[COMBINADA]])</f>
        <v>0</v>
      </c>
      <c r="AI1231" s="136">
        <f>IFERROR(VLOOKUP(DATA[[#This Row],[COMBINADA]],#REF!,6,0),0)</f>
        <v>0</v>
      </c>
      <c r="AJ1231" s="132">
        <f>IFERROR(VLOOKUP(DATA[[#This Row],[COMBINADA]],#REF!,9,0),0)/COUNTIFS(DATA[COMBINADA],DATA[[#This Row],[COMBINADA]])</f>
        <v>0</v>
      </c>
      <c r="AK1231" s="407">
        <f>IFERROR(VLOOKUP(DATA[[#This Row],[COMBINADA]],#REF!,6,0),0)</f>
        <v>0</v>
      </c>
      <c r="AL1231" s="125">
        <f>IFERROR(VLOOKUP(DATA[[#This Row],[COMBINADA]],#REF!,9,0),0)/COUNTIFS(DATA[COMBINADA],DATA[[#This Row],[COMBINADA]])</f>
        <v>0</v>
      </c>
      <c r="AM1231" s="27">
        <f>IFERROR(VLOOKUP(DATA[[#This Row],[COMBINADA]],#REF!,6,0),0)</f>
        <v>0</v>
      </c>
      <c r="AN1231" s="125">
        <f>IFERROR(VLOOKUP(DATA[[#This Row],[COMBINADA]],#REF!,9,0),0)/COUNTIFS(DATA[COMBINADA],DATA[[#This Row],[COMBINADA]])</f>
        <v>0</v>
      </c>
      <c r="AO1231" s="27">
        <f>IFERROR(VLOOKUP(DATA[[#This Row],[COMBINADA]],#REF!,6,0),0)</f>
        <v>0</v>
      </c>
      <c r="AP1231" s="132">
        <f>IFERROR(VLOOKUP(DATA[[#This Row],[COMBINADA]],#REF!,9,0),0)/COUNTIFS(DATA[COMBINADA],DATA[[#This Row],[COMBINADA]])</f>
        <v>0</v>
      </c>
      <c r="AQ123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535.76357142857137</v>
      </c>
      <c r="AR1231" s="26" t="str">
        <f>IFERROR(IF(DATA[[#This Row],[estado_fact]]="FACTURADO",VLOOKUP(DATA[[#This Row],[SERIE2]]&amp;"-"&amp;DATA[[#This Row],[NUMERO]],#REF!,34,0),"NO CORRESPONDE"),"NO CORRESPONDE")</f>
        <v>NO CORRESPONDE</v>
      </c>
      <c r="AS1231" s="22" t="str">
        <f>IF(DATA[[#This Row],[fecha_fs]]&gt;0,TEXT(DATA[[#This Row],[fecha_fs]],"Mmmm"),0)</f>
        <v>Setiembre</v>
      </c>
      <c r="AT1231" s="22" t="str">
        <f>DATA[[#This Row],[SERIE2]]&amp;"-"&amp;DATA[[#This Row],[NUMERO]]</f>
        <v>FF01-268</v>
      </c>
      <c r="AU1231" s="28" t="e">
        <f>DATA[[#This Row],[TOTAL]]*DATA[[#This Row],[T.C.]]</f>
        <v>#REF!</v>
      </c>
      <c r="AV1231" s="6">
        <f>DATA[[#This Row],[FECHA DE VAL.]]</f>
        <v>45926</v>
      </c>
      <c r="AW1231" s="6">
        <f>DATA[[#This Row],[FECHA DE EMISION]]</f>
        <v>45929</v>
      </c>
      <c r="AX1231" s="6">
        <f>DATA[[#This Row],[F1]]</f>
        <v>0</v>
      </c>
      <c r="AY1231" s="20">
        <f>IF(AV1231-DATA[[#This Row],[fecha_fs]]&lt;0,0,AV1231-DATA[[#This Row],[fecha_fs]])</f>
        <v>3</v>
      </c>
      <c r="AZ1231" s="20">
        <f t="shared" ref="AZ1231:AZ1232" si="283">IF(AW1231-AV1231&lt;0,0,AW1231-AV1231)</f>
        <v>3</v>
      </c>
      <c r="BA1231" s="53">
        <f t="shared" ref="BA1231:BA1232" si="284">IF(AX1231-AW1231&lt;0,0,AX1231-AW1231)</f>
        <v>0</v>
      </c>
      <c r="BB1231" s="360">
        <f>IFERROR(SUM(DATA[[#This Row],[fs_val_ttf]:[fact_pago_ttf]]),0)</f>
        <v>6</v>
      </c>
      <c r="BC1231" s="379">
        <v>45933</v>
      </c>
      <c r="BD1231" s="377">
        <v>45943</v>
      </c>
      <c r="BE1231" s="377">
        <v>45943</v>
      </c>
      <c r="BF1231" s="334" t="s">
        <v>270</v>
      </c>
      <c r="BG1231" s="20">
        <f>IFERROR(IF(BC1231-DATA[[#This Row],[fecha_fs]]&lt;0,0,BC1231-DATA[[#This Row],[fecha_fs]]),0)</f>
        <v>10</v>
      </c>
      <c r="BH1231" s="20">
        <f t="shared" ref="BH1231:BJ1232" si="285">IFERROR(IF(BD1231-BC1231&lt;0,0,BD1231-BC1231),0)</f>
        <v>10</v>
      </c>
      <c r="BI1231" s="20">
        <f t="shared" si="285"/>
        <v>0</v>
      </c>
      <c r="BJ1231" s="53">
        <f t="shared" si="285"/>
        <v>0</v>
      </c>
      <c r="BK1231" s="376">
        <f>IFERROR(SUM(DATA[[#This Row],[fs_fd_ttd]:[fend_fenf_ttd]]),0)</f>
        <v>20</v>
      </c>
      <c r="BL1231" s="20" t="str">
        <f>IF(DATA[[#This Row],[fecha_fs]]&gt;0,TEXT(DATA[[#This Row],[fecha_fs]],"YYYY"),0)</f>
        <v>2025</v>
      </c>
      <c r="BM1231" s="236" t="b">
        <v>0</v>
      </c>
      <c r="BN1231" s="278">
        <f>COUNTIF(DATA[[#This Row],[tiempo_td]], "&lt;=15")</f>
        <v>0</v>
      </c>
      <c r="BO1231" s="222"/>
    </row>
    <row r="1232" spans="1:67" ht="30.6" customHeight="1" x14ac:dyDescent="0.25">
      <c r="A1232" s="4">
        <v>20100192064</v>
      </c>
      <c r="B1232" s="5" t="s">
        <v>60</v>
      </c>
      <c r="C1232" s="52" t="s">
        <v>66</v>
      </c>
      <c r="D1232" s="4" t="s">
        <v>120</v>
      </c>
      <c r="E1232" s="5" t="s">
        <v>3</v>
      </c>
      <c r="F1232" s="24">
        <v>45923</v>
      </c>
      <c r="G1232" s="7" t="s">
        <v>142</v>
      </c>
      <c r="H1232" s="25">
        <f t="shared" si="282"/>
        <v>2</v>
      </c>
      <c r="I1232" s="67">
        <v>1143</v>
      </c>
      <c r="J1232" s="8" t="s">
        <v>115</v>
      </c>
      <c r="K1232" s="333" t="s">
        <v>169</v>
      </c>
      <c r="L1232" s="10" t="s">
        <v>117</v>
      </c>
      <c r="M1232" s="11">
        <v>840</v>
      </c>
      <c r="N1232" s="12" t="s">
        <v>180</v>
      </c>
      <c r="O1232" s="337">
        <v>45926</v>
      </c>
      <c r="P1232" s="366">
        <v>3699</v>
      </c>
      <c r="Q1232" s="338" t="s">
        <v>123</v>
      </c>
      <c r="R1232" s="75"/>
      <c r="S1232" s="321">
        <f>227</f>
        <v>227</v>
      </c>
      <c r="T1232" s="321">
        <f>DATA[[#This Row],[C. DF]]+DATA[[#This Row],[C.OPE.]]</f>
        <v>227</v>
      </c>
      <c r="U1232" s="15">
        <f>DATA[[#This Row],[SUB TOTAL]]*0.18</f>
        <v>40.86</v>
      </c>
      <c r="V1232" s="15">
        <f>IFERROR(ROUND(DATA[[#This Row],[SUB TOTAL]]+DATA[[#This Row],[IGV]],2),0)</f>
        <v>267.86</v>
      </c>
      <c r="W1232" s="16" t="str">
        <f>IF(DATA[[#This Row],[VALORIZACIÓN ]]="-","NO CORRESPONDE",IF(OR(A1232=20558226979,A1232=10470707866,A1232=20111157058,A1232=20100226902),"NO CORRESPONDE",IF(J1232="Emitida",IF(P1232&gt;0,"EMITIDA","PENDIENTE"),"NO CORRESPONDE")))</f>
        <v>EMITIDA</v>
      </c>
      <c r="X1232" s="29"/>
      <c r="Y1232" s="17" t="s">
        <v>118</v>
      </c>
      <c r="Z1232" s="30">
        <v>45929</v>
      </c>
      <c r="AA1232" s="10" t="s">
        <v>150</v>
      </c>
      <c r="AB1232" s="19">
        <v>268</v>
      </c>
      <c r="AC1232" s="20">
        <v>30</v>
      </c>
      <c r="AD1232" s="18">
        <f>DATA[[#This Row],[FECHA DE EMISION]]+DATA[[#This Row],[CONDICION DE PAGO]]</f>
        <v>45959</v>
      </c>
      <c r="AE1232" s="23" t="e">
        <f>IF(DATA[[#This Row],[MONEDA]]="USD",VLOOKUP(DATA[[#This Row],[COMBINADA]],#REF!,11,0),1)</f>
        <v>#REF!</v>
      </c>
      <c r="AF1232" s="129" t="str">
        <f>IF(DATA[[#This Row],[SERIE2]]="-","NO CORRESPONDE",IF(W1232="NO CORRESPONDE","NO CORRESPONDE",IF(Z1232&gt;0,"FACTURADO","PENDIENTE")))</f>
        <v>FACTURADO</v>
      </c>
      <c r="AG1232" s="133">
        <f>IFERROR(VLOOKUP(DATA[[#This Row],[COMBINADA]],#REF!,6,0),0)</f>
        <v>0</v>
      </c>
      <c r="AH1232" s="125">
        <f>IFERROR(VLOOKUP(DATA[[#This Row],[COMBINADA]],#REF!,9,0),0)/COUNTIFS(DATA[COMBINADA],DATA[[#This Row],[COMBINADA]])</f>
        <v>0</v>
      </c>
      <c r="AI1232" s="136">
        <f>IFERROR(VLOOKUP(DATA[[#This Row],[COMBINADA]],#REF!,6,0),0)</f>
        <v>0</v>
      </c>
      <c r="AJ1232" s="132">
        <f>IFERROR(VLOOKUP(DATA[[#This Row],[COMBINADA]],#REF!,9,0),0)/COUNTIFS(DATA[COMBINADA],DATA[[#This Row],[COMBINADA]])</f>
        <v>0</v>
      </c>
      <c r="AK1232" s="407">
        <f>IFERROR(VLOOKUP(DATA[[#This Row],[COMBINADA]],#REF!,6,0),0)</f>
        <v>0</v>
      </c>
      <c r="AL1232" s="125">
        <f>IFERROR(VLOOKUP(DATA[[#This Row],[COMBINADA]],#REF!,9,0),0)/COUNTIFS(DATA[COMBINADA],DATA[[#This Row],[COMBINADA]])</f>
        <v>0</v>
      </c>
      <c r="AM1232" s="27">
        <f>IFERROR(VLOOKUP(DATA[[#This Row],[COMBINADA]],#REF!,6,0),0)</f>
        <v>0</v>
      </c>
      <c r="AN1232" s="125">
        <f>IFERROR(VLOOKUP(DATA[[#This Row],[COMBINADA]],#REF!,9,0),0)/COUNTIFS(DATA[COMBINADA],DATA[[#This Row],[COMBINADA]])</f>
        <v>0</v>
      </c>
      <c r="AO1232" s="27">
        <f>IFERROR(VLOOKUP(DATA[[#This Row],[COMBINADA]],#REF!,6,0),0)</f>
        <v>0</v>
      </c>
      <c r="AP1232" s="132">
        <f>IFERROR(VLOOKUP(DATA[[#This Row],[COMBINADA]],#REF!,9,0),0)/COUNTIFS(DATA[COMBINADA],DATA[[#This Row],[COMBINADA]])</f>
        <v>0</v>
      </c>
      <c r="AQ123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535.76357142857137</v>
      </c>
      <c r="AR1232" s="26" t="str">
        <f>IFERROR(IF(DATA[[#This Row],[estado_fact]]="FACTURADO",VLOOKUP(DATA[[#This Row],[SERIE2]]&amp;"-"&amp;DATA[[#This Row],[NUMERO]],#REF!,34,0),"NO CORRESPONDE"),"NO CORRESPONDE")</f>
        <v>NO CORRESPONDE</v>
      </c>
      <c r="AS1232" s="22" t="str">
        <f>IF(DATA[[#This Row],[fecha_fs]]&gt;0,TEXT(DATA[[#This Row],[fecha_fs]],"Mmmm"),0)</f>
        <v>Setiembre</v>
      </c>
      <c r="AT1232" s="22" t="str">
        <f>DATA[[#This Row],[SERIE2]]&amp;"-"&amp;DATA[[#This Row],[NUMERO]]</f>
        <v>FF01-268</v>
      </c>
      <c r="AU1232" s="28" t="e">
        <f>DATA[[#This Row],[TOTAL]]*DATA[[#This Row],[T.C.]]</f>
        <v>#REF!</v>
      </c>
      <c r="AV1232" s="6">
        <f>DATA[[#This Row],[FECHA DE VAL.]]</f>
        <v>45926</v>
      </c>
      <c r="AW1232" s="6">
        <f>DATA[[#This Row],[FECHA DE EMISION]]</f>
        <v>45929</v>
      </c>
      <c r="AX1232" s="6">
        <f>DATA[[#This Row],[F1]]</f>
        <v>0</v>
      </c>
      <c r="AY1232" s="20">
        <f>IF(AV1232-DATA[[#This Row],[fecha_fs]]&lt;0,0,AV1232-DATA[[#This Row],[fecha_fs]])</f>
        <v>3</v>
      </c>
      <c r="AZ1232" s="20">
        <f t="shared" si="283"/>
        <v>3</v>
      </c>
      <c r="BA1232" s="53">
        <f t="shared" si="284"/>
        <v>0</v>
      </c>
      <c r="BB1232" s="360">
        <f>IFERROR(SUM(DATA[[#This Row],[fs_val_ttf]:[fact_pago_ttf]]),0)</f>
        <v>6</v>
      </c>
      <c r="BC1232" s="379">
        <v>45923</v>
      </c>
      <c r="BD1232" s="377">
        <v>45923</v>
      </c>
      <c r="BE1232" s="377">
        <v>45931</v>
      </c>
      <c r="BF1232" s="377">
        <v>45931</v>
      </c>
      <c r="BG1232" s="20">
        <f>IFERROR(IF(BC1232-DATA[[#This Row],[fecha_fs]]&lt;0,0,BC1232-DATA[[#This Row],[fecha_fs]]),0)</f>
        <v>0</v>
      </c>
      <c r="BH1232" s="20">
        <f t="shared" si="285"/>
        <v>0</v>
      </c>
      <c r="BI1232" s="20">
        <f t="shared" si="285"/>
        <v>8</v>
      </c>
      <c r="BJ1232" s="53">
        <f t="shared" si="285"/>
        <v>0</v>
      </c>
      <c r="BK1232" s="376">
        <f>IFERROR(SUM(DATA[[#This Row],[fs_fd_ttd]:[fend_fenf_ttd]]),0)</f>
        <v>8</v>
      </c>
      <c r="BL1232" s="20" t="str">
        <f>IF(DATA[[#This Row],[fecha_fs]]&gt;0,TEXT(DATA[[#This Row],[fecha_fs]],"YYYY"),0)</f>
        <v>2025</v>
      </c>
      <c r="BM1232" s="236" t="b">
        <v>1</v>
      </c>
      <c r="BN1232" s="278">
        <f>COUNTIF(DATA[[#This Row],[tiempo_td]], "&lt;=15")</f>
        <v>1</v>
      </c>
      <c r="BO1232" s="222"/>
    </row>
    <row r="1233" spans="1:67" ht="30.6" customHeight="1" x14ac:dyDescent="0.25">
      <c r="A1233" s="4">
        <v>20141637941</v>
      </c>
      <c r="B1233" s="5" t="s">
        <v>79</v>
      </c>
      <c r="C1233" s="52" t="s">
        <v>18</v>
      </c>
      <c r="D1233" s="4" t="s">
        <v>120</v>
      </c>
      <c r="E1233" s="5" t="s">
        <v>3</v>
      </c>
      <c r="F1233" s="24">
        <v>45924</v>
      </c>
      <c r="G1233" s="7" t="s">
        <v>113</v>
      </c>
      <c r="H1233" s="25">
        <f t="shared" si="276"/>
        <v>1</v>
      </c>
      <c r="I1233" s="67">
        <v>5028</v>
      </c>
      <c r="J1233" s="8" t="s">
        <v>115</v>
      </c>
      <c r="K1233" s="9" t="s">
        <v>121</v>
      </c>
      <c r="L1233" s="10" t="s">
        <v>117</v>
      </c>
      <c r="M1233" s="11">
        <v>750</v>
      </c>
      <c r="N1233" s="12" t="s">
        <v>341</v>
      </c>
      <c r="O1233" s="6">
        <v>45926</v>
      </c>
      <c r="P1233" s="68">
        <v>3701</v>
      </c>
      <c r="Q1233" s="14" t="s">
        <v>85</v>
      </c>
      <c r="R1233" s="15">
        <v>80</v>
      </c>
      <c r="S1233" s="309">
        <v>832</v>
      </c>
      <c r="T1233" s="237">
        <f>DATA[[#This Row],[C. DF]]+DATA[[#This Row],[C.OPE.]]</f>
        <v>912</v>
      </c>
      <c r="U1233" s="15">
        <f>DATA[[#This Row],[SUB TOTAL]]*0.18</f>
        <v>164.16</v>
      </c>
      <c r="V1233" s="15">
        <f>IFERROR(ROUND(DATA[[#This Row],[SUB TOTAL]]+DATA[[#This Row],[IGV]],2),0)</f>
        <v>1076.1600000000001</v>
      </c>
      <c r="W1233" s="16" t="str">
        <f>IF(DATA[[#This Row],[VALORIZACIÓN ]]="-","NO CORRESPONDE",IF(OR(A1233=20558226979,A1233=10470707866,A1233=20111157058,A1233=20100226902),"NO CORRESPONDE",IF(J1233="Emitida",IF(P1233&gt;0,"EMITIDA","PENDIENTE"),"NO CORRESPONDE")))</f>
        <v>EMITIDA</v>
      </c>
      <c r="X1233" s="29"/>
      <c r="Y1233" s="17" t="s">
        <v>118</v>
      </c>
      <c r="Z1233" s="30">
        <v>45936</v>
      </c>
      <c r="AA1233" s="10" t="s">
        <v>150</v>
      </c>
      <c r="AB1233" s="19">
        <v>281</v>
      </c>
      <c r="AC1233" s="20">
        <v>30</v>
      </c>
      <c r="AD1233" s="18">
        <f>DATA[[#This Row],[FECHA DE EMISION]]+DATA[[#This Row],[CONDICION DE PAGO]]</f>
        <v>45966</v>
      </c>
      <c r="AE1233" s="23">
        <f>IF(DATA[[#This Row],[MONEDA]]="USD",VLOOKUP(DATA[[#This Row],[COMBINADA]],#REF!,11,0),1)</f>
        <v>1</v>
      </c>
      <c r="AF1233" s="129" t="str">
        <f>IF(DATA[[#This Row],[SERIE2]]="-","NO CORRESPONDE",IF(W1233="NO CORRESPONDE","NO CORRESPONDE",IF(Z1233&gt;0,"FACTURADO","PENDIENTE")))</f>
        <v>FACTURADO</v>
      </c>
      <c r="AG1233" s="133">
        <f>IFERROR(VLOOKUP(DATA[[#This Row],[COMBINADA]],#REF!,6,0),0)</f>
        <v>0</v>
      </c>
      <c r="AH1233" s="125">
        <f>IFERROR(VLOOKUP(DATA[[#This Row],[COMBINADA]],#REF!,9,0),0)/COUNTIFS(DATA[COMBINADA],DATA[[#This Row],[COMBINADA]])</f>
        <v>0</v>
      </c>
      <c r="AI1233" s="136">
        <f>IFERROR(VLOOKUP(DATA[[#This Row],[COMBINADA]],#REF!,6,0),0)</f>
        <v>0</v>
      </c>
      <c r="AJ1233" s="132">
        <f>IFERROR(VLOOKUP(DATA[[#This Row],[COMBINADA]],#REF!,9,0),0)/COUNTIFS(DATA[COMBINADA],DATA[[#This Row],[COMBINADA]])</f>
        <v>0</v>
      </c>
      <c r="AK1233" s="407">
        <f>IFERROR(VLOOKUP(DATA[[#This Row],[COMBINADA]],#REF!,6,0),0)</f>
        <v>0</v>
      </c>
      <c r="AL1233" s="125">
        <f>IFERROR(VLOOKUP(DATA[[#This Row],[COMBINADA]],#REF!,9,0),0)/COUNTIFS(DATA[COMBINADA],DATA[[#This Row],[COMBINADA]])</f>
        <v>0</v>
      </c>
      <c r="AM1233" s="27">
        <f>IFERROR(VLOOKUP(DATA[[#This Row],[COMBINADA]],#REF!,6,0),0)</f>
        <v>0</v>
      </c>
      <c r="AN1233" s="125">
        <f>IFERROR(VLOOKUP(DATA[[#This Row],[COMBINADA]],#REF!,9,0),0)/COUNTIFS(DATA[COMBINADA],DATA[[#This Row],[COMBINADA]])</f>
        <v>0</v>
      </c>
      <c r="AO1233" s="27">
        <f>IFERROR(VLOOKUP(DATA[[#This Row],[COMBINADA]],#REF!,6,0),0)</f>
        <v>0</v>
      </c>
      <c r="AP1233" s="132">
        <f>IFERROR(VLOOKUP(DATA[[#This Row],[COMBINADA]],#REF!,9,0),0)/COUNTIFS(DATA[COMBINADA],DATA[[#This Row],[COMBINADA]])</f>
        <v>0</v>
      </c>
      <c r="AQ123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1081.825</v>
      </c>
      <c r="AR1233" s="26" t="str">
        <f>IFERROR(IF(DATA[[#This Row],[estado_fact]]="FACTURADO",VLOOKUP(DATA[[#This Row],[SERIE2]]&amp;"-"&amp;DATA[[#This Row],[NUMERO]],#REF!,34,0),"NO CORRESPONDE"),"NO CORRESPONDE")</f>
        <v>NO CORRESPONDE</v>
      </c>
      <c r="AS1233" s="22" t="str">
        <f>IF(DATA[[#This Row],[fecha_fs]]&gt;0,TEXT(DATA[[#This Row],[fecha_fs]],"Mmmm"),0)</f>
        <v>Setiembre</v>
      </c>
      <c r="AT1233" s="22" t="str">
        <f>DATA[[#This Row],[SERIE2]]&amp;"-"&amp;DATA[[#This Row],[NUMERO]]</f>
        <v>FF01-281</v>
      </c>
      <c r="AU1233" s="28">
        <f>DATA[[#This Row],[TOTAL]]*DATA[[#This Row],[T.C.]]</f>
        <v>1076.1600000000001</v>
      </c>
      <c r="AV1233" s="6">
        <f>DATA[[#This Row],[FECHA DE VAL.]]</f>
        <v>45926</v>
      </c>
      <c r="AW1233" s="6">
        <f>DATA[[#This Row],[FECHA DE EMISION]]</f>
        <v>45936</v>
      </c>
      <c r="AX1233" s="6">
        <f>DATA[[#This Row],[F1]]</f>
        <v>0</v>
      </c>
      <c r="AY1233" s="20">
        <f>IF(AV1233-DATA[[#This Row],[fecha_fs]]&lt;0,0,AV1233-DATA[[#This Row],[fecha_fs]])</f>
        <v>2</v>
      </c>
      <c r="AZ1233" s="20">
        <f t="shared" si="277"/>
        <v>10</v>
      </c>
      <c r="BA1233" s="53">
        <f t="shared" si="278"/>
        <v>0</v>
      </c>
      <c r="BB1233" s="195">
        <f>IFERROR(SUM(DATA[[#This Row],[fs_val_ttf]:[fact_pago_ttf]]),0)</f>
        <v>12</v>
      </c>
      <c r="BC1233" s="233">
        <v>45925</v>
      </c>
      <c r="BD1233" s="233">
        <v>45932</v>
      </c>
      <c r="BE1233" s="233">
        <v>45936</v>
      </c>
      <c r="BF1233" s="233">
        <v>45939</v>
      </c>
      <c r="BG1233" s="20">
        <f>IFERROR(IF(BC1233-DATA[[#This Row],[fecha_fs]]&lt;0,0,BC1233-DATA[[#This Row],[fecha_fs]]),0)</f>
        <v>1</v>
      </c>
      <c r="BH1233" s="20">
        <f t="shared" si="279"/>
        <v>7</v>
      </c>
      <c r="BI1233" s="20">
        <f t="shared" si="280"/>
        <v>4</v>
      </c>
      <c r="BJ1233" s="20">
        <f t="shared" si="281"/>
        <v>3</v>
      </c>
      <c r="BK1233" s="282">
        <f>IFERROR(SUM(DATA[[#This Row],[fs_fd_ttd]:[fend_fenf_ttd]]),0)</f>
        <v>15</v>
      </c>
      <c r="BL1233" s="20" t="str">
        <f>IF(DATA[[#This Row],[fecha_fs]]&gt;0,TEXT(DATA[[#This Row],[fecha_fs]],"YYYY"),0)</f>
        <v>2025</v>
      </c>
      <c r="BM1233" s="236" t="b">
        <v>1</v>
      </c>
      <c r="BN1233" s="278">
        <f>COUNTIF(DATA[[#This Row],[tiempo_td]], "&lt;=15")</f>
        <v>1</v>
      </c>
      <c r="BO1233" s="222"/>
    </row>
    <row r="1234" spans="1:67" ht="30.6" customHeight="1" x14ac:dyDescent="0.25">
      <c r="A1234" s="4">
        <v>20610105620</v>
      </c>
      <c r="B1234" s="5" t="s">
        <v>311</v>
      </c>
      <c r="C1234" s="52" t="s">
        <v>312</v>
      </c>
      <c r="D1234" s="4" t="s">
        <v>120</v>
      </c>
      <c r="E1234" s="5" t="s">
        <v>3</v>
      </c>
      <c r="F1234" s="24">
        <v>45924</v>
      </c>
      <c r="G1234" s="7" t="s">
        <v>113</v>
      </c>
      <c r="H1234" s="25">
        <f t="shared" si="276"/>
        <v>1</v>
      </c>
      <c r="I1234" s="67">
        <v>5029</v>
      </c>
      <c r="J1234" s="8" t="s">
        <v>115</v>
      </c>
      <c r="K1234" s="9" t="s">
        <v>121</v>
      </c>
      <c r="L1234" s="10" t="s">
        <v>117</v>
      </c>
      <c r="M1234" s="11">
        <v>1700</v>
      </c>
      <c r="N1234" s="12" t="s">
        <v>122</v>
      </c>
      <c r="O1234" s="6">
        <v>45930</v>
      </c>
      <c r="P1234" s="370">
        <v>3709</v>
      </c>
      <c r="Q1234" s="14" t="s">
        <v>85</v>
      </c>
      <c r="R1234" s="237">
        <f>80+((DATA[[#This Row],[cantidad_fs]]-1000)*0.08)</f>
        <v>136</v>
      </c>
      <c r="S1234" s="321">
        <v>2120</v>
      </c>
      <c r="T1234" s="237">
        <f>DATA[[#This Row],[C. DF]]+DATA[[#This Row],[C.OPE.]]</f>
        <v>2256</v>
      </c>
      <c r="U1234" s="15">
        <f>DATA[[#This Row],[SUB TOTAL]]*0.18</f>
        <v>406.08</v>
      </c>
      <c r="V1234" s="15">
        <f>IFERROR(ROUND(DATA[[#This Row],[SUB TOTAL]]+DATA[[#This Row],[IGV]],2),0)</f>
        <v>2662.08</v>
      </c>
      <c r="W1234" s="16" t="str">
        <f>IF(DATA[[#This Row],[VALORIZACIÓN ]]="-","NO CORRESPONDE",IF(OR(A1234=20558226979,A1234=10470707866,A1234=20111157058,A1234=20100226902),"NO CORRESPONDE",IF(J1234="Emitida",IF(P1234&gt;0,"EMITIDA","PENDIENTE"),"NO CORRESPONDE")))</f>
        <v>EMITIDA</v>
      </c>
      <c r="X1234" s="29"/>
      <c r="Y1234" s="17" t="s">
        <v>118</v>
      </c>
      <c r="Z1234" s="30">
        <v>45968</v>
      </c>
      <c r="AA1234" s="10" t="s">
        <v>150</v>
      </c>
      <c r="AB1234" s="19">
        <v>349</v>
      </c>
      <c r="AC1234" s="20">
        <v>30</v>
      </c>
      <c r="AD1234" s="18">
        <f>DATA[[#This Row],[FECHA DE EMISION]]+DATA[[#This Row],[CONDICION DE PAGO]]</f>
        <v>45998</v>
      </c>
      <c r="AE1234" s="23">
        <f>IF(DATA[[#This Row],[MONEDA]]="USD",VLOOKUP(DATA[[#This Row],[COMBINADA]],#REF!,11,0),1)</f>
        <v>1</v>
      </c>
      <c r="AF1234" s="129" t="str">
        <f>IF(DATA[[#This Row],[SERIE2]]="-","NO CORRESPONDE",IF(W1234="NO CORRESPONDE","NO CORRESPONDE",IF(Z1234&gt;0,"FACTURADO","PENDIENTE")))</f>
        <v>FACTURADO</v>
      </c>
      <c r="AG1234" s="133">
        <f>IFERROR(VLOOKUP(DATA[[#This Row],[COMBINADA]],#REF!,6,0),0)</f>
        <v>0</v>
      </c>
      <c r="AH1234" s="125">
        <f>IFERROR(VLOOKUP(DATA[[#This Row],[COMBINADA]],#REF!,9,0),0)/COUNTIFS(DATA[COMBINADA],DATA[[#This Row],[COMBINADA]])</f>
        <v>0</v>
      </c>
      <c r="AI1234" s="136">
        <f>IFERROR(VLOOKUP(DATA[[#This Row],[COMBINADA]],#REF!,6,0),0)</f>
        <v>0</v>
      </c>
      <c r="AJ1234" s="132">
        <f>IFERROR(VLOOKUP(DATA[[#This Row],[COMBINADA]],#REF!,9,0),0)/COUNTIFS(DATA[COMBINADA],DATA[[#This Row],[COMBINADA]])</f>
        <v>0</v>
      </c>
      <c r="AK1234" s="407">
        <f>IFERROR(VLOOKUP(DATA[[#This Row],[COMBINADA]],#REF!,6,0),0)</f>
        <v>0</v>
      </c>
      <c r="AL1234" s="125">
        <f>IFERROR(VLOOKUP(DATA[[#This Row],[COMBINADA]],#REF!,9,0),0)/COUNTIFS(DATA[COMBINADA],DATA[[#This Row],[COMBINADA]])</f>
        <v>0</v>
      </c>
      <c r="AM1234" s="27">
        <f>IFERROR(VLOOKUP(DATA[[#This Row],[COMBINADA]],#REF!,6,0),0)</f>
        <v>0</v>
      </c>
      <c r="AN1234" s="125">
        <f>IFERROR(VLOOKUP(DATA[[#This Row],[COMBINADA]],#REF!,9,0),0)/COUNTIFS(DATA[COMBINADA],DATA[[#This Row],[COMBINADA]])</f>
        <v>0</v>
      </c>
      <c r="AO1234" s="27">
        <f>IFERROR(VLOOKUP(DATA[[#This Row],[COMBINADA]],#REF!,6,0),0)</f>
        <v>0</v>
      </c>
      <c r="AP1234" s="132">
        <f>IFERROR(VLOOKUP(DATA[[#This Row],[COMBINADA]],#REF!,9,0),0)/COUNTIFS(DATA[COMBINADA],DATA[[#This Row],[COMBINADA]])</f>
        <v>0</v>
      </c>
      <c r="AQ123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2515.7599999999998</v>
      </c>
      <c r="AR1234" s="26" t="str">
        <f>IFERROR(IF(DATA[[#This Row],[estado_fact]]="FACTURADO",VLOOKUP(DATA[[#This Row],[SERIE2]]&amp;"-"&amp;DATA[[#This Row],[NUMERO]],#REF!,34,0),"NO CORRESPONDE"),"NO CORRESPONDE")</f>
        <v>NO CORRESPONDE</v>
      </c>
      <c r="AS1234" s="22" t="str">
        <f>IF(DATA[[#This Row],[fecha_fs]]&gt;0,TEXT(DATA[[#This Row],[fecha_fs]],"Mmmm"),0)</f>
        <v>Setiembre</v>
      </c>
      <c r="AT1234" s="22" t="str">
        <f>DATA[[#This Row],[SERIE2]]&amp;"-"&amp;DATA[[#This Row],[NUMERO]]</f>
        <v>FF01-349</v>
      </c>
      <c r="AU1234" s="28">
        <f>DATA[[#This Row],[TOTAL]]*DATA[[#This Row],[T.C.]]</f>
        <v>2662.08</v>
      </c>
      <c r="AV1234" s="6">
        <f>DATA[[#This Row],[FECHA DE VAL.]]</f>
        <v>45930</v>
      </c>
      <c r="AW1234" s="6">
        <f>DATA[[#This Row],[FECHA DE EMISION]]</f>
        <v>45968</v>
      </c>
      <c r="AX1234" s="6">
        <f>DATA[[#This Row],[F1]]</f>
        <v>0</v>
      </c>
      <c r="AY1234" s="20">
        <f>IF(AV1234-DATA[[#This Row],[fecha_fs]]&lt;0,0,AV1234-DATA[[#This Row],[fecha_fs]])</f>
        <v>6</v>
      </c>
      <c r="AZ1234" s="20">
        <f t="shared" si="277"/>
        <v>38</v>
      </c>
      <c r="BA1234" s="53">
        <f t="shared" si="278"/>
        <v>0</v>
      </c>
      <c r="BB1234" s="195">
        <f>IFERROR(SUM(DATA[[#This Row],[fs_val_ttf]:[fact_pago_ttf]]),0)</f>
        <v>44</v>
      </c>
      <c r="BC1234" s="233">
        <v>45924</v>
      </c>
      <c r="BD1234" s="233">
        <v>45932</v>
      </c>
      <c r="BE1234" s="233">
        <v>45936</v>
      </c>
      <c r="BF1234" s="233">
        <v>45957</v>
      </c>
      <c r="BG1234" s="20">
        <f>IFERROR(IF(BC1234-DATA[[#This Row],[fecha_fs]]&lt;0,0,BC1234-DATA[[#This Row],[fecha_fs]]),0)</f>
        <v>0</v>
      </c>
      <c r="BH1234" s="20">
        <f t="shared" si="279"/>
        <v>8</v>
      </c>
      <c r="BI1234" s="20">
        <f t="shared" si="280"/>
        <v>4</v>
      </c>
      <c r="BJ1234" s="20">
        <f t="shared" si="281"/>
        <v>21</v>
      </c>
      <c r="BK1234" s="282">
        <f>IFERROR(SUM(DATA[[#This Row],[fs_fd_ttd]:[fend_fenf_ttd]]),0)</f>
        <v>33</v>
      </c>
      <c r="BL1234" s="20" t="str">
        <f>IF(DATA[[#This Row],[fecha_fs]]&gt;0,TEXT(DATA[[#This Row],[fecha_fs]],"YYYY"),0)</f>
        <v>2025</v>
      </c>
      <c r="BM1234" s="236" t="b">
        <v>1</v>
      </c>
      <c r="BN1234" s="278">
        <f>COUNTIF(DATA[[#This Row],[tiempo_td]], "&lt;=15")</f>
        <v>0</v>
      </c>
      <c r="BO1234" s="222"/>
    </row>
    <row r="1235" spans="1:67" ht="30.6" customHeight="1" x14ac:dyDescent="0.25">
      <c r="A1235" s="4">
        <v>20610105620</v>
      </c>
      <c r="B1235" s="5" t="s">
        <v>311</v>
      </c>
      <c r="C1235" s="52" t="s">
        <v>312</v>
      </c>
      <c r="D1235" s="4" t="s">
        <v>120</v>
      </c>
      <c r="E1235" s="5" t="s">
        <v>3</v>
      </c>
      <c r="F1235" s="24">
        <v>45924</v>
      </c>
      <c r="G1235" s="7" t="s">
        <v>113</v>
      </c>
      <c r="H1235" s="25">
        <f t="shared" si="276"/>
        <v>1</v>
      </c>
      <c r="I1235" s="67">
        <v>5030</v>
      </c>
      <c r="J1235" s="8" t="s">
        <v>115</v>
      </c>
      <c r="K1235" s="9" t="s">
        <v>121</v>
      </c>
      <c r="L1235" s="10" t="s">
        <v>117</v>
      </c>
      <c r="M1235" s="11">
        <v>1340</v>
      </c>
      <c r="N1235" s="12" t="s">
        <v>122</v>
      </c>
      <c r="O1235" s="6">
        <v>45930</v>
      </c>
      <c r="P1235" s="370">
        <v>3709</v>
      </c>
      <c r="Q1235" s="14" t="s">
        <v>85</v>
      </c>
      <c r="R1235" s="237">
        <f>80+((DATA[[#This Row],[cantidad_fs]]-1000)*0.08)</f>
        <v>107.2</v>
      </c>
      <c r="S1235" s="321">
        <v>2120</v>
      </c>
      <c r="T1235" s="237">
        <f>DATA[[#This Row],[C. DF]]+DATA[[#This Row],[C.OPE.]]</f>
        <v>2227.1999999999998</v>
      </c>
      <c r="U1235" s="15">
        <f>DATA[[#This Row],[SUB TOTAL]]*0.18</f>
        <v>400.89599999999996</v>
      </c>
      <c r="V1235" s="15">
        <f>IFERROR(ROUND(DATA[[#This Row],[SUB TOTAL]]+DATA[[#This Row],[IGV]],2),0)</f>
        <v>2628.1</v>
      </c>
      <c r="W1235" s="16" t="str">
        <f>IF(DATA[[#This Row],[VALORIZACIÓN ]]="-","NO CORRESPONDE",IF(OR(A1235=20558226979,A1235=10470707866,A1235=20111157058,A1235=20100226902),"NO CORRESPONDE",IF(J1235="Emitida",IF(P1235&gt;0,"EMITIDA","PENDIENTE"),"NO CORRESPONDE")))</f>
        <v>EMITIDA</v>
      </c>
      <c r="X1235" s="29"/>
      <c r="Y1235" s="17" t="s">
        <v>118</v>
      </c>
      <c r="Z1235" s="30">
        <v>45968</v>
      </c>
      <c r="AA1235" s="10" t="s">
        <v>150</v>
      </c>
      <c r="AB1235" s="19">
        <v>349</v>
      </c>
      <c r="AC1235" s="20">
        <v>30</v>
      </c>
      <c r="AD1235" s="18">
        <f>DATA[[#This Row],[FECHA DE EMISION]]+DATA[[#This Row],[CONDICION DE PAGO]]</f>
        <v>45998</v>
      </c>
      <c r="AE1235" s="23">
        <f>IF(DATA[[#This Row],[MONEDA]]="USD",VLOOKUP(DATA[[#This Row],[COMBINADA]],#REF!,11,0),1)</f>
        <v>1</v>
      </c>
      <c r="AF1235" s="129" t="str">
        <f>IF(DATA[[#This Row],[SERIE2]]="-","NO CORRESPONDE",IF(W1235="NO CORRESPONDE","NO CORRESPONDE",IF(Z1235&gt;0,"FACTURADO","PENDIENTE")))</f>
        <v>FACTURADO</v>
      </c>
      <c r="AG1235" s="133">
        <f>IFERROR(VLOOKUP(DATA[[#This Row],[COMBINADA]],#REF!,6,0),0)</f>
        <v>0</v>
      </c>
      <c r="AH1235" s="125">
        <f>IFERROR(VLOOKUP(DATA[[#This Row],[COMBINADA]],#REF!,9,0),0)/COUNTIFS(DATA[COMBINADA],DATA[[#This Row],[COMBINADA]])</f>
        <v>0</v>
      </c>
      <c r="AI1235" s="136">
        <f>IFERROR(VLOOKUP(DATA[[#This Row],[COMBINADA]],#REF!,6,0),0)</f>
        <v>0</v>
      </c>
      <c r="AJ1235" s="132">
        <f>IFERROR(VLOOKUP(DATA[[#This Row],[COMBINADA]],#REF!,9,0),0)/COUNTIFS(DATA[COMBINADA],DATA[[#This Row],[COMBINADA]])</f>
        <v>0</v>
      </c>
      <c r="AK1235" s="407">
        <f>IFERROR(VLOOKUP(DATA[[#This Row],[COMBINADA]],#REF!,6,0),0)</f>
        <v>0</v>
      </c>
      <c r="AL1235" s="125">
        <f>IFERROR(VLOOKUP(DATA[[#This Row],[COMBINADA]],#REF!,9,0),0)/COUNTIFS(DATA[COMBINADA],DATA[[#This Row],[COMBINADA]])</f>
        <v>0</v>
      </c>
      <c r="AM1235" s="27">
        <f>IFERROR(VLOOKUP(DATA[[#This Row],[COMBINADA]],#REF!,6,0),0)</f>
        <v>0</v>
      </c>
      <c r="AN1235" s="125">
        <f>IFERROR(VLOOKUP(DATA[[#This Row],[COMBINADA]],#REF!,9,0),0)/COUNTIFS(DATA[COMBINADA],DATA[[#This Row],[COMBINADA]])</f>
        <v>0</v>
      </c>
      <c r="AO1235" s="27">
        <f>IFERROR(VLOOKUP(DATA[[#This Row],[COMBINADA]],#REF!,6,0),0)</f>
        <v>0</v>
      </c>
      <c r="AP1235" s="132">
        <f>IFERROR(VLOOKUP(DATA[[#This Row],[COMBINADA]],#REF!,9,0),0)/COUNTIFS(DATA[COMBINADA],DATA[[#This Row],[COMBINADA]])</f>
        <v>0</v>
      </c>
      <c r="AQ123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2515.7599999999998</v>
      </c>
      <c r="AR1235" s="26" t="str">
        <f>IFERROR(IF(DATA[[#This Row],[estado_fact]]="FACTURADO",VLOOKUP(DATA[[#This Row],[SERIE2]]&amp;"-"&amp;DATA[[#This Row],[NUMERO]],#REF!,34,0),"NO CORRESPONDE"),"NO CORRESPONDE")</f>
        <v>NO CORRESPONDE</v>
      </c>
      <c r="AS1235" s="22" t="str">
        <f>IF(DATA[[#This Row],[fecha_fs]]&gt;0,TEXT(DATA[[#This Row],[fecha_fs]],"Mmmm"),0)</f>
        <v>Setiembre</v>
      </c>
      <c r="AT1235" s="22" t="str">
        <f>DATA[[#This Row],[SERIE2]]&amp;"-"&amp;DATA[[#This Row],[NUMERO]]</f>
        <v>FF01-349</v>
      </c>
      <c r="AU1235" s="28">
        <f>DATA[[#This Row],[TOTAL]]*DATA[[#This Row],[T.C.]]</f>
        <v>2628.1</v>
      </c>
      <c r="AV1235" s="6">
        <f>DATA[[#This Row],[FECHA DE VAL.]]</f>
        <v>45930</v>
      </c>
      <c r="AW1235" s="6">
        <f>DATA[[#This Row],[FECHA DE EMISION]]</f>
        <v>45968</v>
      </c>
      <c r="AX1235" s="6">
        <f>DATA[[#This Row],[F1]]</f>
        <v>0</v>
      </c>
      <c r="AY1235" s="20">
        <f>IF(AV1235-DATA[[#This Row],[fecha_fs]]&lt;0,0,AV1235-DATA[[#This Row],[fecha_fs]])</f>
        <v>6</v>
      </c>
      <c r="AZ1235" s="20">
        <f t="shared" si="277"/>
        <v>38</v>
      </c>
      <c r="BA1235" s="53">
        <f t="shared" si="278"/>
        <v>0</v>
      </c>
      <c r="BB1235" s="195">
        <f>IFERROR(SUM(DATA[[#This Row],[fs_val_ttf]:[fact_pago_ttf]]),0)</f>
        <v>44</v>
      </c>
      <c r="BC1235" s="233">
        <v>45924</v>
      </c>
      <c r="BD1235" s="233">
        <v>45932</v>
      </c>
      <c r="BE1235" s="233">
        <v>45936</v>
      </c>
      <c r="BF1235" s="233">
        <v>45957</v>
      </c>
      <c r="BG1235" s="20">
        <f>IFERROR(IF(BC1235-DATA[[#This Row],[fecha_fs]]&lt;0,0,BC1235-DATA[[#This Row],[fecha_fs]]),0)</f>
        <v>0</v>
      </c>
      <c r="BH1235" s="20">
        <f t="shared" si="279"/>
        <v>8</v>
      </c>
      <c r="BI1235" s="20">
        <f t="shared" si="280"/>
        <v>4</v>
      </c>
      <c r="BJ1235" s="20">
        <f t="shared" si="281"/>
        <v>21</v>
      </c>
      <c r="BK1235" s="282">
        <f>IFERROR(SUM(DATA[[#This Row],[fs_fd_ttd]:[fend_fenf_ttd]]),0)</f>
        <v>33</v>
      </c>
      <c r="BL1235" s="20" t="str">
        <f>IF(DATA[[#This Row],[fecha_fs]]&gt;0,TEXT(DATA[[#This Row],[fecha_fs]],"YYYY"),0)</f>
        <v>2025</v>
      </c>
      <c r="BM1235" s="236" t="b">
        <v>1</v>
      </c>
      <c r="BN1235" s="278">
        <f>COUNTIF(DATA[[#This Row],[tiempo_td]], "&lt;=15")</f>
        <v>0</v>
      </c>
      <c r="BO1235" s="222"/>
    </row>
    <row r="1236" spans="1:67" ht="30.6" customHeight="1" x14ac:dyDescent="0.25">
      <c r="A1236" s="4">
        <v>20100055237</v>
      </c>
      <c r="B1236" s="5" t="s">
        <v>21</v>
      </c>
      <c r="C1236" s="52" t="s">
        <v>138</v>
      </c>
      <c r="D1236" s="4" t="s">
        <v>139</v>
      </c>
      <c r="E1236" s="5" t="s">
        <v>23</v>
      </c>
      <c r="F1236" s="24">
        <v>45923</v>
      </c>
      <c r="G1236" s="7" t="s">
        <v>113</v>
      </c>
      <c r="H1236" s="25">
        <f t="shared" si="276"/>
        <v>1</v>
      </c>
      <c r="I1236" s="67">
        <v>5031</v>
      </c>
      <c r="J1236" s="8" t="s">
        <v>115</v>
      </c>
      <c r="K1236" s="9" t="s">
        <v>121</v>
      </c>
      <c r="L1236" s="10" t="s">
        <v>117</v>
      </c>
      <c r="M1236" s="11">
        <v>260</v>
      </c>
      <c r="N1236" s="12" t="s">
        <v>132</v>
      </c>
      <c r="O1236" s="6">
        <v>45930</v>
      </c>
      <c r="P1236" s="369">
        <v>3707</v>
      </c>
      <c r="Q1236" s="14" t="s">
        <v>85</v>
      </c>
      <c r="R1236" s="321"/>
      <c r="S1236" s="321">
        <v>297.92</v>
      </c>
      <c r="T1236" s="237">
        <f>DATA[[#This Row],[C. DF]]+DATA[[#This Row],[C.OPE.]]</f>
        <v>297.92</v>
      </c>
      <c r="U1236" s="15">
        <f>DATA[[#This Row],[SUB TOTAL]]*0.18</f>
        <v>53.625599999999999</v>
      </c>
      <c r="V1236" s="15">
        <f>IFERROR(ROUND(DATA[[#This Row],[SUB TOTAL]]+DATA[[#This Row],[IGV]],2),0)</f>
        <v>351.55</v>
      </c>
      <c r="W1236" s="16" t="str">
        <f>IF(DATA[[#This Row],[VALORIZACIÓN ]]="-","NO CORRESPONDE",IF(OR(A1236=20558226979,A1236=10470707866,A1236=20111157058,A1236=20100226902),"NO CORRESPONDE",IF(J1236="Emitida",IF(P1236&gt;0,"EMITIDA","PENDIENTE"),"NO CORRESPONDE")))</f>
        <v>EMITIDA</v>
      </c>
      <c r="X1236" s="29"/>
      <c r="Y1236" s="17" t="s">
        <v>118</v>
      </c>
      <c r="Z1236" s="30">
        <v>45940</v>
      </c>
      <c r="AA1236" s="10" t="s">
        <v>150</v>
      </c>
      <c r="AB1236" s="19">
        <v>286</v>
      </c>
      <c r="AC1236" s="20">
        <v>30</v>
      </c>
      <c r="AD1236" s="18">
        <f>DATA[[#This Row],[FECHA DE EMISION]]+DATA[[#This Row],[CONDICION DE PAGO]]</f>
        <v>45970</v>
      </c>
      <c r="AE1236" s="23">
        <f>IF(DATA[[#This Row],[MONEDA]]="USD",VLOOKUP(DATA[[#This Row],[COMBINADA]],#REF!,11,0),1)</f>
        <v>1</v>
      </c>
      <c r="AF1236" s="129" t="str">
        <f>IF(DATA[[#This Row],[SERIE2]]="-","NO CORRESPONDE",IF(W1236="NO CORRESPONDE","NO CORRESPONDE",IF(Z1236&gt;0,"FACTURADO","PENDIENTE")))</f>
        <v>FACTURADO</v>
      </c>
      <c r="AG1236" s="133">
        <f>IFERROR(VLOOKUP(DATA[[#This Row],[COMBINADA]],#REF!,6,0),0)</f>
        <v>0</v>
      </c>
      <c r="AH1236" s="125">
        <f>IFERROR(VLOOKUP(DATA[[#This Row],[COMBINADA]],#REF!,9,0),0)/COUNTIFS(DATA[COMBINADA],DATA[[#This Row],[COMBINADA]])</f>
        <v>0</v>
      </c>
      <c r="AI1236" s="136">
        <f>IFERROR(VLOOKUP(DATA[[#This Row],[COMBINADA]],#REF!,6,0),0)</f>
        <v>0</v>
      </c>
      <c r="AJ1236" s="132">
        <f>IFERROR(VLOOKUP(DATA[[#This Row],[COMBINADA]],#REF!,9,0),0)/COUNTIFS(DATA[COMBINADA],DATA[[#This Row],[COMBINADA]])</f>
        <v>0</v>
      </c>
      <c r="AK1236" s="407">
        <f>IFERROR(VLOOKUP(DATA[[#This Row],[COMBINADA]],#REF!,6,0),0)</f>
        <v>0</v>
      </c>
      <c r="AL1236" s="125">
        <f>IFERROR(VLOOKUP(DATA[[#This Row],[COMBINADA]],#REF!,9,0),0)/COUNTIFS(DATA[COMBINADA],DATA[[#This Row],[COMBINADA]])</f>
        <v>0</v>
      </c>
      <c r="AM1236" s="27">
        <f>IFERROR(VLOOKUP(DATA[[#This Row],[COMBINADA]],#REF!,6,0),0)</f>
        <v>0</v>
      </c>
      <c r="AN1236" s="125">
        <f>IFERROR(VLOOKUP(DATA[[#This Row],[COMBINADA]],#REF!,9,0),0)/COUNTIFS(DATA[COMBINADA],DATA[[#This Row],[COMBINADA]])</f>
        <v>0</v>
      </c>
      <c r="AO1236" s="27">
        <f>IFERROR(VLOOKUP(DATA[[#This Row],[COMBINADA]],#REF!,6,0),0)</f>
        <v>0</v>
      </c>
      <c r="AP1236" s="132">
        <f>IFERROR(VLOOKUP(DATA[[#This Row],[COMBINADA]],#REF!,9,0),0)/COUNTIFS(DATA[COMBINADA],DATA[[#This Row],[COMBINADA]])</f>
        <v>0</v>
      </c>
      <c r="AQ123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236" s="26" t="str">
        <f>IFERROR(IF(DATA[[#This Row],[estado_fact]]="FACTURADO",VLOOKUP(DATA[[#This Row],[SERIE2]]&amp;"-"&amp;DATA[[#This Row],[NUMERO]],#REF!,34,0),"NO CORRESPONDE"),"NO CORRESPONDE")</f>
        <v>NO CORRESPONDE</v>
      </c>
      <c r="AS1236" s="22" t="str">
        <f>IF(DATA[[#This Row],[fecha_fs]]&gt;0,TEXT(DATA[[#This Row],[fecha_fs]],"Mmmm"),0)</f>
        <v>Setiembre</v>
      </c>
      <c r="AT1236" s="22" t="str">
        <f>DATA[[#This Row],[SERIE2]]&amp;"-"&amp;DATA[[#This Row],[NUMERO]]</f>
        <v>FF01-286</v>
      </c>
      <c r="AU1236" s="28">
        <f>DATA[[#This Row],[TOTAL]]*DATA[[#This Row],[T.C.]]</f>
        <v>351.55</v>
      </c>
      <c r="AV1236" s="6">
        <f>DATA[[#This Row],[FECHA DE VAL.]]</f>
        <v>45930</v>
      </c>
      <c r="AW1236" s="6">
        <f>DATA[[#This Row],[FECHA DE EMISION]]</f>
        <v>45940</v>
      </c>
      <c r="AX1236" s="6">
        <f>DATA[[#This Row],[F1]]</f>
        <v>0</v>
      </c>
      <c r="AY1236" s="20">
        <f>IF(AV1236-DATA[[#This Row],[fecha_fs]]&lt;0,0,AV1236-DATA[[#This Row],[fecha_fs]])</f>
        <v>7</v>
      </c>
      <c r="AZ1236" s="20">
        <f t="shared" si="277"/>
        <v>10</v>
      </c>
      <c r="BA1236" s="53">
        <f t="shared" si="278"/>
        <v>0</v>
      </c>
      <c r="BB1236" s="195">
        <f>IFERROR(SUM(DATA[[#This Row],[fs_val_ttf]:[fact_pago_ttf]]),0)</f>
        <v>17</v>
      </c>
      <c r="BC1236" s="233">
        <v>45923</v>
      </c>
      <c r="BD1236" s="233">
        <v>45923</v>
      </c>
      <c r="BE1236" s="233">
        <v>45932</v>
      </c>
      <c r="BF1236" s="233">
        <v>45932</v>
      </c>
      <c r="BG1236" s="20">
        <f>IFERROR(IF(BC1236-DATA[[#This Row],[fecha_fs]]&lt;0,0,BC1236-DATA[[#This Row],[fecha_fs]]),0)</f>
        <v>0</v>
      </c>
      <c r="BH1236" s="20">
        <f t="shared" si="279"/>
        <v>0</v>
      </c>
      <c r="BI1236" s="20">
        <f t="shared" si="280"/>
        <v>9</v>
      </c>
      <c r="BJ1236" s="20">
        <f t="shared" si="281"/>
        <v>0</v>
      </c>
      <c r="BK1236" s="282">
        <f>IFERROR(SUM(DATA[[#This Row],[fs_fd_ttd]:[fend_fenf_ttd]]),0)</f>
        <v>9</v>
      </c>
      <c r="BL1236" s="20" t="str">
        <f>IF(DATA[[#This Row],[fecha_fs]]&gt;0,TEXT(DATA[[#This Row],[fecha_fs]],"YYYY"),0)</f>
        <v>2025</v>
      </c>
      <c r="BM1236" s="236" t="b">
        <v>1</v>
      </c>
      <c r="BN1236" s="278">
        <f>COUNTIF(DATA[[#This Row],[tiempo_td]], "&lt;=15")</f>
        <v>1</v>
      </c>
      <c r="BO1236" s="222"/>
    </row>
    <row r="1237" spans="1:67" ht="30.6" customHeight="1" x14ac:dyDescent="0.25">
      <c r="A1237" s="4">
        <v>20100226902</v>
      </c>
      <c r="B1237" s="5" t="s">
        <v>24</v>
      </c>
      <c r="C1237" s="52" t="s">
        <v>18</v>
      </c>
      <c r="D1237" s="4" t="s">
        <v>120</v>
      </c>
      <c r="E1237" s="5" t="s">
        <v>3</v>
      </c>
      <c r="F1237" s="24">
        <v>45924</v>
      </c>
      <c r="G1237" s="7" t="s">
        <v>113</v>
      </c>
      <c r="H1237" s="25">
        <f t="shared" si="276"/>
        <v>1</v>
      </c>
      <c r="I1237" s="67">
        <v>5032</v>
      </c>
      <c r="J1237" s="8" t="s">
        <v>115</v>
      </c>
      <c r="K1237" s="9" t="s">
        <v>121</v>
      </c>
      <c r="L1237" s="10" t="s">
        <v>117</v>
      </c>
      <c r="M1237" s="11">
        <v>740</v>
      </c>
      <c r="N1237" s="12" t="s">
        <v>187</v>
      </c>
      <c r="O1237" s="295"/>
      <c r="P1237" s="296" t="s">
        <v>114</v>
      </c>
      <c r="Q1237" s="297"/>
      <c r="R1237" s="298"/>
      <c r="S1237" s="298"/>
      <c r="T1237" s="298">
        <v>0</v>
      </c>
      <c r="U1237" s="298">
        <v>0</v>
      </c>
      <c r="V1237" s="298">
        <v>0</v>
      </c>
      <c r="W1237" s="16" t="s">
        <v>128</v>
      </c>
      <c r="X1237" s="299"/>
      <c r="Y1237" s="17" t="s">
        <v>128</v>
      </c>
      <c r="Z1237" s="300"/>
      <c r="AA1237" s="301"/>
      <c r="AB1237" s="302"/>
      <c r="AC1237" s="303"/>
      <c r="AD1237" s="304">
        <v>0</v>
      </c>
      <c r="AE1237" s="23">
        <v>1</v>
      </c>
      <c r="AF1237" s="129" t="s">
        <v>128</v>
      </c>
      <c r="AG1237" s="310">
        <f>IFERROR(VLOOKUP(DATA[[#This Row],[COMBINADA]],#REF!,6,0),0)</f>
        <v>0</v>
      </c>
      <c r="AH1237" s="311">
        <f>IFERROR(VLOOKUP(DATA[[#This Row],[COMBINADA]],#REF!,9,0),0)/COUNTIFS(DATA[COMBINADA],DATA[[#This Row],[COMBINADA]])</f>
        <v>0</v>
      </c>
      <c r="AI1237" s="310">
        <f>IFERROR(VLOOKUP(DATA[[#This Row],[COMBINADA]],#REF!,6,0),0)</f>
        <v>0</v>
      </c>
      <c r="AJ1237" s="311">
        <f>IFERROR(VLOOKUP(DATA[[#This Row],[COMBINADA]],#REF!,9,0),0)/COUNTIFS(DATA[COMBINADA],DATA[[#This Row],[COMBINADA]])</f>
        <v>0</v>
      </c>
      <c r="AK1237" s="413">
        <f>IFERROR(VLOOKUP(DATA[[#This Row],[COMBINADA]],#REF!,6,0),0)</f>
        <v>0</v>
      </c>
      <c r="AL1237" s="311">
        <f>IFERROR(VLOOKUP(DATA[[#This Row],[COMBINADA]],#REF!,9,0),0)/COUNTIFS(DATA[COMBINADA],DATA[[#This Row],[COMBINADA]])</f>
        <v>0</v>
      </c>
      <c r="AM1237" s="312">
        <f>IFERROR(VLOOKUP(DATA[[#This Row],[COMBINADA]],#REF!,6,0),0)</f>
        <v>0</v>
      </c>
      <c r="AN1237" s="311">
        <f>IFERROR(VLOOKUP(DATA[[#This Row],[COMBINADA]],#REF!,9,0),0)/COUNTIFS(DATA[COMBINADA],DATA[[#This Row],[COMBINADA]])</f>
        <v>0</v>
      </c>
      <c r="AO1237" s="313">
        <f>IFERROR(VLOOKUP(DATA[[#This Row],[COMBINADA]],#REF!,6,0),0)</f>
        <v>0</v>
      </c>
      <c r="AP1237" s="311">
        <f>IFERROR(VLOOKUP(DATA[[#This Row],[COMBINADA]],#REF!,9,0),0)/COUNTIFS(DATA[COMBINADA],DATA[[#This Row],[COMBINADA]])</f>
        <v>0</v>
      </c>
      <c r="AQ1237" s="314">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237" s="315" t="str">
        <f>IFERROR(IF(DATA[[#This Row],[estado_fact]]="FACTURADO",VLOOKUP(DATA[[#This Row],[SERIE2]]&amp;"-"&amp;DATA[[#This Row],[NUMERO]],#REF!,34,0),"NO CORRESPONDE"),"NO CORRESPONDE")</f>
        <v>NO CORRESPONDE</v>
      </c>
      <c r="AS1237" s="22" t="str">
        <f>IF(DATA[[#This Row],[fecha_fs]]&gt;0,TEXT(DATA[[#This Row],[fecha_fs]],"Mmmm"),0)</f>
        <v>Setiembre</v>
      </c>
      <c r="AT1237" s="22" t="str">
        <f>DATA[[#This Row],[SERIE2]]&amp;"-"&amp;DATA[[#This Row],[NUMERO]]</f>
        <v>-</v>
      </c>
      <c r="AU1237" s="28">
        <f>DATA[[#This Row],[TOTAL]]*DATA[[#This Row],[T.C.]]</f>
        <v>0</v>
      </c>
      <c r="AV1237" s="6">
        <f>DATA[[#This Row],[FECHA DE VAL.]]</f>
        <v>0</v>
      </c>
      <c r="AW1237" s="6">
        <f>DATA[[#This Row],[FECHA DE EMISION]]</f>
        <v>0</v>
      </c>
      <c r="AX1237" s="6">
        <f>DATA[[#This Row],[F1]]</f>
        <v>0</v>
      </c>
      <c r="AY1237" s="20">
        <f>IF(AV1237-DATA[[#This Row],[fecha_fs]]&lt;0,0,AV1237-DATA[[#This Row],[fecha_fs]])</f>
        <v>0</v>
      </c>
      <c r="AZ1237" s="20">
        <f t="shared" si="277"/>
        <v>0</v>
      </c>
      <c r="BA1237" s="53">
        <f t="shared" si="278"/>
        <v>0</v>
      </c>
      <c r="BB1237" s="195">
        <f>IFERROR(SUM(DATA[[#This Row],[fs_val_ttf]:[fact_pago_ttf]]),0)</f>
        <v>0</v>
      </c>
      <c r="BC1237" s="233">
        <v>45924</v>
      </c>
      <c r="BD1237" s="233">
        <v>45924</v>
      </c>
      <c r="BE1237" s="233">
        <v>45933</v>
      </c>
      <c r="BF1237" s="233">
        <v>45933</v>
      </c>
      <c r="BG1237" s="20">
        <f>IFERROR(IF(BC1237-DATA[[#This Row],[fecha_fs]]&lt;0,0,BC1237-DATA[[#This Row],[fecha_fs]]),0)</f>
        <v>0</v>
      </c>
      <c r="BH1237" s="20">
        <f t="shared" si="279"/>
        <v>0</v>
      </c>
      <c r="BI1237" s="20">
        <f t="shared" si="280"/>
        <v>9</v>
      </c>
      <c r="BJ1237" s="20">
        <f t="shared" si="281"/>
        <v>0</v>
      </c>
      <c r="BK1237" s="282">
        <f>IFERROR(SUM(DATA[[#This Row],[fs_fd_ttd]:[fend_fenf_ttd]]),0)</f>
        <v>9</v>
      </c>
      <c r="BL1237" s="20" t="str">
        <f>IF(DATA[[#This Row],[fecha_fs]]&gt;0,TEXT(DATA[[#This Row],[fecha_fs]],"YYYY"),0)</f>
        <v>2025</v>
      </c>
      <c r="BM1237" s="236" t="b">
        <v>1</v>
      </c>
      <c r="BN1237" s="278">
        <f>COUNTIF(DATA[[#This Row],[tiempo_td]], "&lt;=15")</f>
        <v>1</v>
      </c>
      <c r="BO1237" s="222"/>
    </row>
    <row r="1238" spans="1:67" ht="30.6" customHeight="1" x14ac:dyDescent="0.25">
      <c r="A1238" s="4">
        <v>20100211115</v>
      </c>
      <c r="B1238" s="5" t="s">
        <v>41</v>
      </c>
      <c r="C1238" s="52" t="s">
        <v>18</v>
      </c>
      <c r="D1238" s="4" t="s">
        <v>120</v>
      </c>
      <c r="E1238" s="5" t="s">
        <v>3</v>
      </c>
      <c r="F1238" s="24">
        <v>45924</v>
      </c>
      <c r="G1238" s="7" t="s">
        <v>113</v>
      </c>
      <c r="H1238" s="25">
        <f t="shared" si="276"/>
        <v>1</v>
      </c>
      <c r="I1238" s="67">
        <v>5033</v>
      </c>
      <c r="J1238" s="8" t="s">
        <v>115</v>
      </c>
      <c r="K1238" s="9" t="s">
        <v>121</v>
      </c>
      <c r="L1238" s="10" t="s">
        <v>117</v>
      </c>
      <c r="M1238" s="11">
        <v>90</v>
      </c>
      <c r="N1238" s="12" t="s">
        <v>200</v>
      </c>
      <c r="O1238" s="6">
        <v>45926</v>
      </c>
      <c r="P1238" s="368">
        <v>3679</v>
      </c>
      <c r="Q1238" s="14" t="s">
        <v>85</v>
      </c>
      <c r="R1238" s="321"/>
      <c r="S1238" s="321">
        <f>(DATA[[#This Row],[cantidad_fs]]*4.17)</f>
        <v>375.3</v>
      </c>
      <c r="T1238" s="237">
        <f>DATA[[#This Row],[C. DF]]+DATA[[#This Row],[C.OPE.]]</f>
        <v>375.3</v>
      </c>
      <c r="U1238" s="15">
        <f>DATA[[#This Row],[SUB TOTAL]]*0.18</f>
        <v>67.554000000000002</v>
      </c>
      <c r="V1238" s="15">
        <f>IFERROR(ROUND(DATA[[#This Row],[SUB TOTAL]]+DATA[[#This Row],[IGV]],2),0)</f>
        <v>442.85</v>
      </c>
      <c r="W1238" s="16" t="str">
        <f>IF(DATA[[#This Row],[VALORIZACIÓN ]]="-","NO CORRESPONDE",IF(OR(A1238=20558226979,A1238=10470707866,A1238=20111157058,A1238=20100226902),"NO CORRESPONDE",IF(J1238="Emitida",IF(P1238&gt;0,"EMITIDA","PENDIENTE"),"NO CORRESPONDE")))</f>
        <v>EMITIDA</v>
      </c>
      <c r="X1238" s="29"/>
      <c r="Y1238" s="17" t="s">
        <v>118</v>
      </c>
      <c r="Z1238" s="30">
        <v>45930</v>
      </c>
      <c r="AA1238" s="10" t="s">
        <v>150</v>
      </c>
      <c r="AB1238" s="19">
        <v>269</v>
      </c>
      <c r="AC1238" s="20">
        <v>30</v>
      </c>
      <c r="AD1238" s="18">
        <f>DATA[[#This Row],[FECHA DE EMISION]]+DATA[[#This Row],[CONDICION DE PAGO]]</f>
        <v>45960</v>
      </c>
      <c r="AE1238" s="23">
        <f>IF(DATA[[#This Row],[MONEDA]]="USD",VLOOKUP(DATA[[#This Row],[COMBINADA]],#REF!,11,0),1)</f>
        <v>1</v>
      </c>
      <c r="AF1238" s="129" t="str">
        <f>IF(DATA[[#This Row],[SERIE2]]="-","NO CORRESPONDE",IF(W1238="NO CORRESPONDE","NO CORRESPONDE",IF(Z1238&gt;0,"FACTURADO","PENDIENTE")))</f>
        <v>FACTURADO</v>
      </c>
      <c r="AG1238" s="133">
        <f>IFERROR(VLOOKUP(DATA[[#This Row],[COMBINADA]],#REF!,6,0),0)</f>
        <v>0</v>
      </c>
      <c r="AH1238" s="125">
        <f>IFERROR(VLOOKUP(DATA[[#This Row],[COMBINADA]],#REF!,9,0),0)/COUNTIFS(DATA[COMBINADA],DATA[[#This Row],[COMBINADA]])</f>
        <v>0</v>
      </c>
      <c r="AI1238" s="136">
        <f>IFERROR(VLOOKUP(DATA[[#This Row],[COMBINADA]],#REF!,6,0),0)</f>
        <v>0</v>
      </c>
      <c r="AJ1238" s="132">
        <f>IFERROR(VLOOKUP(DATA[[#This Row],[COMBINADA]],#REF!,9,0),0)/COUNTIFS(DATA[COMBINADA],DATA[[#This Row],[COMBINADA]])</f>
        <v>0</v>
      </c>
      <c r="AK1238" s="407">
        <f>IFERROR(VLOOKUP(DATA[[#This Row],[COMBINADA]],#REF!,6,0),0)</f>
        <v>0</v>
      </c>
      <c r="AL1238" s="125">
        <f>IFERROR(VLOOKUP(DATA[[#This Row],[COMBINADA]],#REF!,9,0),0)/COUNTIFS(DATA[COMBINADA],DATA[[#This Row],[COMBINADA]])</f>
        <v>0</v>
      </c>
      <c r="AM1238" s="27">
        <f>IFERROR(VLOOKUP(DATA[[#This Row],[COMBINADA]],#REF!,6,0),0)</f>
        <v>0</v>
      </c>
      <c r="AN1238" s="125">
        <f>IFERROR(VLOOKUP(DATA[[#This Row],[COMBINADA]],#REF!,9,0),0)/COUNTIFS(DATA[COMBINADA],DATA[[#This Row],[COMBINADA]])</f>
        <v>0</v>
      </c>
      <c r="AO1238" s="27">
        <f>IFERROR(VLOOKUP(DATA[[#This Row],[COMBINADA]],#REF!,6,0),0)</f>
        <v>0</v>
      </c>
      <c r="AP1238" s="132">
        <f>IFERROR(VLOOKUP(DATA[[#This Row],[COMBINADA]],#REF!,9,0),0)/COUNTIFS(DATA[COMBINADA],DATA[[#This Row],[COMBINADA]])</f>
        <v>0</v>
      </c>
      <c r="AQ123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238" s="26" t="str">
        <f>IFERROR(IF(DATA[[#This Row],[estado_fact]]="FACTURADO",VLOOKUP(DATA[[#This Row],[SERIE2]]&amp;"-"&amp;DATA[[#This Row],[NUMERO]],#REF!,34,0),"NO CORRESPONDE"),"NO CORRESPONDE")</f>
        <v>NO CORRESPONDE</v>
      </c>
      <c r="AS1238" s="22" t="str">
        <f>IF(DATA[[#This Row],[fecha_fs]]&gt;0,TEXT(DATA[[#This Row],[fecha_fs]],"Mmmm"),0)</f>
        <v>Setiembre</v>
      </c>
      <c r="AT1238" s="22" t="str">
        <f>DATA[[#This Row],[SERIE2]]&amp;"-"&amp;DATA[[#This Row],[NUMERO]]</f>
        <v>FF01-269</v>
      </c>
      <c r="AU1238" s="28">
        <f>DATA[[#This Row],[TOTAL]]*DATA[[#This Row],[T.C.]]</f>
        <v>442.85</v>
      </c>
      <c r="AV1238" s="6">
        <f>DATA[[#This Row],[FECHA DE VAL.]]</f>
        <v>45926</v>
      </c>
      <c r="AW1238" s="6">
        <f>DATA[[#This Row],[FECHA DE EMISION]]</f>
        <v>45930</v>
      </c>
      <c r="AX1238" s="6">
        <f>DATA[[#This Row],[F1]]</f>
        <v>0</v>
      </c>
      <c r="AY1238" s="20">
        <f>IF(AV1238-DATA[[#This Row],[fecha_fs]]&lt;0,0,AV1238-DATA[[#This Row],[fecha_fs]])</f>
        <v>2</v>
      </c>
      <c r="AZ1238" s="20">
        <f t="shared" si="277"/>
        <v>4</v>
      </c>
      <c r="BA1238" s="53">
        <f t="shared" si="278"/>
        <v>0</v>
      </c>
      <c r="BB1238" s="195">
        <f>IFERROR(SUM(DATA[[#This Row],[fs_val_ttf]:[fact_pago_ttf]]),0)</f>
        <v>6</v>
      </c>
      <c r="BC1238" s="233">
        <v>45932</v>
      </c>
      <c r="BD1238" s="233">
        <v>45939</v>
      </c>
      <c r="BE1238" s="233">
        <v>45939</v>
      </c>
      <c r="BF1238" s="233">
        <v>45940</v>
      </c>
      <c r="BG1238" s="20">
        <f>IFERROR(IF(BC1238-DATA[[#This Row],[fecha_fs]]&lt;0,0,BC1238-DATA[[#This Row],[fecha_fs]]),0)</f>
        <v>8</v>
      </c>
      <c r="BH1238" s="20">
        <f t="shared" si="279"/>
        <v>7</v>
      </c>
      <c r="BI1238" s="20">
        <f t="shared" si="280"/>
        <v>0</v>
      </c>
      <c r="BJ1238" s="20">
        <f t="shared" si="281"/>
        <v>1</v>
      </c>
      <c r="BK1238" s="282">
        <f>IFERROR(SUM(DATA[[#This Row],[fs_fd_ttd]:[fend_fenf_ttd]]),0)</f>
        <v>16</v>
      </c>
      <c r="BL1238" s="20" t="str">
        <f>IF(DATA[[#This Row],[fecha_fs]]&gt;0,TEXT(DATA[[#This Row],[fecha_fs]],"YYYY"),0)</f>
        <v>2025</v>
      </c>
      <c r="BM1238" s="236" t="b">
        <v>1</v>
      </c>
      <c r="BN1238" s="278">
        <f>COUNTIF(DATA[[#This Row],[tiempo_td]], "&lt;=15")</f>
        <v>0</v>
      </c>
      <c r="BO1238" s="222"/>
    </row>
    <row r="1239" spans="1:67" ht="30.6" customHeight="1" x14ac:dyDescent="0.25">
      <c r="A1239" s="4">
        <v>20454186002</v>
      </c>
      <c r="B1239" s="5" t="s">
        <v>25</v>
      </c>
      <c r="C1239" s="52" t="s">
        <v>18</v>
      </c>
      <c r="D1239" s="4" t="s">
        <v>120</v>
      </c>
      <c r="E1239" s="5" t="s">
        <v>3</v>
      </c>
      <c r="F1239" s="24">
        <v>45924</v>
      </c>
      <c r="G1239" s="7" t="s">
        <v>113</v>
      </c>
      <c r="H1239" s="25">
        <f t="shared" si="276"/>
        <v>1</v>
      </c>
      <c r="I1239" s="67">
        <v>5034</v>
      </c>
      <c r="J1239" s="8" t="s">
        <v>115</v>
      </c>
      <c r="K1239" s="9" t="s">
        <v>121</v>
      </c>
      <c r="L1239" s="10" t="s">
        <v>117</v>
      </c>
      <c r="M1239" s="11">
        <v>4800</v>
      </c>
      <c r="N1239" s="12" t="s">
        <v>135</v>
      </c>
      <c r="O1239" s="6">
        <v>45925</v>
      </c>
      <c r="P1239" s="13">
        <v>3675</v>
      </c>
      <c r="Q1239" s="14" t="s">
        <v>85</v>
      </c>
      <c r="R1239" s="15">
        <f>1485.02+((DATA[[#This Row],[cantidad_fs]]-3000)*0.49)</f>
        <v>2367.02</v>
      </c>
      <c r="S1239" s="321"/>
      <c r="T1239" s="237">
        <f>DATA[[#This Row],[C. DF]]+DATA[[#This Row],[C.OPE.]]</f>
        <v>2367.02</v>
      </c>
      <c r="U1239" s="15">
        <f>DATA[[#This Row],[SUB TOTAL]]*0.18</f>
        <v>426.06360000000001</v>
      </c>
      <c r="V1239" s="15">
        <f>IFERROR(ROUND(DATA[[#This Row],[SUB TOTAL]]+DATA[[#This Row],[IGV]],2),0)</f>
        <v>2793.08</v>
      </c>
      <c r="W1239" s="16" t="str">
        <f>IF(DATA[[#This Row],[VALORIZACIÓN ]]="-","NO CORRESPONDE",IF(OR(A1239=20558226979,A1239=10470707866,A1239=20111157058,A1239=20100226902),"NO CORRESPONDE",IF(J1239="Emitida",IF(P1239&gt;0,"EMITIDA","PENDIENTE"),"NO CORRESPONDE")))</f>
        <v>EMITIDA</v>
      </c>
      <c r="X1239" s="29"/>
      <c r="Y1239" s="17" t="s">
        <v>118</v>
      </c>
      <c r="Z1239" s="30">
        <v>45925</v>
      </c>
      <c r="AA1239" s="10" t="s">
        <v>150</v>
      </c>
      <c r="AB1239" s="19">
        <v>264</v>
      </c>
      <c r="AC1239" s="20">
        <v>7</v>
      </c>
      <c r="AD1239" s="18">
        <f>DATA[[#This Row],[FECHA DE EMISION]]+DATA[[#This Row],[CONDICION DE PAGO]]</f>
        <v>45932</v>
      </c>
      <c r="AE1239" s="23">
        <f>IF(DATA[[#This Row],[MONEDA]]="USD",VLOOKUP(DATA[[#This Row],[COMBINADA]],#REF!,11,0),1)</f>
        <v>1</v>
      </c>
      <c r="AF1239" s="129" t="str">
        <f>IF(DATA[[#This Row],[SERIE2]]="-","NO CORRESPONDE",IF(W1239="NO CORRESPONDE","NO CORRESPONDE",IF(Z1239&gt;0,"FACTURADO","PENDIENTE")))</f>
        <v>FACTURADO</v>
      </c>
      <c r="AG1239" s="133">
        <f>IFERROR(VLOOKUP(DATA[[#This Row],[COMBINADA]],#REF!,6,0),0)</f>
        <v>0</v>
      </c>
      <c r="AH1239" s="125">
        <f>IFERROR(VLOOKUP(DATA[[#This Row],[COMBINADA]],#REF!,9,0),0)/COUNTIFS(DATA[COMBINADA],DATA[[#This Row],[COMBINADA]])</f>
        <v>0</v>
      </c>
      <c r="AI1239" s="136">
        <f>IFERROR(VLOOKUP(DATA[[#This Row],[COMBINADA]],#REF!,6,0),0)</f>
        <v>0</v>
      </c>
      <c r="AJ1239" s="132">
        <f>IFERROR(VLOOKUP(DATA[[#This Row],[COMBINADA]],#REF!,9,0),0)/COUNTIFS(DATA[COMBINADA],DATA[[#This Row],[COMBINADA]])</f>
        <v>0</v>
      </c>
      <c r="AK1239" s="407">
        <f>IFERROR(VLOOKUP(DATA[[#This Row],[COMBINADA]],#REF!,6,0),0)</f>
        <v>0</v>
      </c>
      <c r="AL1239" s="125">
        <f>IFERROR(VLOOKUP(DATA[[#This Row],[COMBINADA]],#REF!,9,0),0)/COUNTIFS(DATA[COMBINADA],DATA[[#This Row],[COMBINADA]])</f>
        <v>0</v>
      </c>
      <c r="AM1239" s="27">
        <f>IFERROR(VLOOKUP(DATA[[#This Row],[COMBINADA]],#REF!,6,0),0)</f>
        <v>0</v>
      </c>
      <c r="AN1239" s="125">
        <f>IFERROR(VLOOKUP(DATA[[#This Row],[COMBINADA]],#REF!,9,0),0)/COUNTIFS(DATA[COMBINADA],DATA[[#This Row],[COMBINADA]])</f>
        <v>0</v>
      </c>
      <c r="AO1239" s="27">
        <f>IFERROR(VLOOKUP(DATA[[#This Row],[COMBINADA]],#REF!,6,0),0)</f>
        <v>0</v>
      </c>
      <c r="AP1239" s="132">
        <f>IFERROR(VLOOKUP(DATA[[#This Row],[COMBINADA]],#REF!,9,0),0)/COUNTIFS(DATA[COMBINADA],DATA[[#This Row],[COMBINADA]])</f>
        <v>0</v>
      </c>
      <c r="AQ123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2793.08</v>
      </c>
      <c r="AR1239" s="26" t="str">
        <f>IFERROR(IF(DATA[[#This Row],[estado_fact]]="FACTURADO",VLOOKUP(DATA[[#This Row],[SERIE2]]&amp;"-"&amp;DATA[[#This Row],[NUMERO]],#REF!,34,0),"NO CORRESPONDE"),"NO CORRESPONDE")</f>
        <v>NO CORRESPONDE</v>
      </c>
      <c r="AS1239" s="22" t="str">
        <f>IF(DATA[[#This Row],[fecha_fs]]&gt;0,TEXT(DATA[[#This Row],[fecha_fs]],"Mmmm"),0)</f>
        <v>Setiembre</v>
      </c>
      <c r="AT1239" s="22" t="str">
        <f>DATA[[#This Row],[SERIE2]]&amp;"-"&amp;DATA[[#This Row],[NUMERO]]</f>
        <v>FF01-264</v>
      </c>
      <c r="AU1239" s="28">
        <f>DATA[[#This Row],[TOTAL]]*DATA[[#This Row],[T.C.]]</f>
        <v>2793.08</v>
      </c>
      <c r="AV1239" s="6">
        <f>DATA[[#This Row],[FECHA DE VAL.]]</f>
        <v>45925</v>
      </c>
      <c r="AW1239" s="6">
        <f>DATA[[#This Row],[FECHA DE EMISION]]</f>
        <v>45925</v>
      </c>
      <c r="AX1239" s="6">
        <f>DATA[[#This Row],[F1]]</f>
        <v>0</v>
      </c>
      <c r="AY1239" s="20">
        <f>IF(AV1239-DATA[[#This Row],[fecha_fs]]&lt;0,0,AV1239-DATA[[#This Row],[fecha_fs]])</f>
        <v>1</v>
      </c>
      <c r="AZ1239" s="20">
        <f t="shared" si="277"/>
        <v>0</v>
      </c>
      <c r="BA1239" s="53">
        <f t="shared" si="278"/>
        <v>0</v>
      </c>
      <c r="BB1239" s="195">
        <f>IFERROR(SUM(DATA[[#This Row],[fs_val_ttf]:[fact_pago_ttf]]),0)</f>
        <v>1</v>
      </c>
      <c r="BC1239" s="233">
        <v>45925</v>
      </c>
      <c r="BD1239" s="185">
        <v>45932</v>
      </c>
      <c r="BE1239" s="233">
        <v>45933</v>
      </c>
      <c r="BF1239" s="233">
        <v>45939</v>
      </c>
      <c r="BG1239" s="20">
        <f>IFERROR(IF(BC1239-DATA[[#This Row],[fecha_fs]]&lt;0,0,BC1239-DATA[[#This Row],[fecha_fs]]),0)</f>
        <v>1</v>
      </c>
      <c r="BH1239" s="20">
        <f t="shared" si="279"/>
        <v>7</v>
      </c>
      <c r="BI1239" s="20">
        <f t="shared" si="280"/>
        <v>1</v>
      </c>
      <c r="BJ1239" s="20">
        <f t="shared" si="281"/>
        <v>6</v>
      </c>
      <c r="BK1239" s="282">
        <f>IFERROR(SUM(DATA[[#This Row],[fs_fd_ttd]:[fend_fenf_ttd]]),0)</f>
        <v>15</v>
      </c>
      <c r="BL1239" s="20" t="str">
        <f>IF(DATA[[#This Row],[fecha_fs]]&gt;0,TEXT(DATA[[#This Row],[fecha_fs]],"YYYY"),0)</f>
        <v>2025</v>
      </c>
      <c r="BM1239" s="236" t="b">
        <v>1</v>
      </c>
      <c r="BN1239" s="278">
        <f>COUNTIF(DATA[[#This Row],[tiempo_td]], "&lt;=15")</f>
        <v>1</v>
      </c>
      <c r="BO1239" s="222"/>
    </row>
    <row r="1240" spans="1:67" ht="30.6" customHeight="1" x14ac:dyDescent="0.25">
      <c r="A1240" s="325"/>
      <c r="B1240" s="326" t="s">
        <v>0</v>
      </c>
      <c r="C1240" s="327"/>
      <c r="D1240" s="325"/>
      <c r="E1240" s="326" t="s">
        <v>0</v>
      </c>
      <c r="F1240" s="328">
        <v>45925</v>
      </c>
      <c r="G1240" s="329" t="s">
        <v>113</v>
      </c>
      <c r="H1240" s="330">
        <f t="shared" si="276"/>
        <v>1</v>
      </c>
      <c r="I1240" s="331">
        <v>5035</v>
      </c>
      <c r="J1240" s="332" t="s">
        <v>151</v>
      </c>
      <c r="K1240" s="333"/>
      <c r="L1240" s="334"/>
      <c r="M1240" s="335"/>
      <c r="N1240" s="336"/>
      <c r="O1240" s="337"/>
      <c r="P1240" s="322"/>
      <c r="Q1240" s="338"/>
      <c r="R1240" s="321"/>
      <c r="S1240" s="321"/>
      <c r="T1240" s="321">
        <f>DATA[[#This Row],[C. DF]]+DATA[[#This Row],[C.OPE.]]</f>
        <v>0</v>
      </c>
      <c r="U1240" s="321">
        <f>DATA[[#This Row],[SUB TOTAL]]*0.18</f>
        <v>0</v>
      </c>
      <c r="V1240" s="321">
        <f>IFERROR(ROUND(DATA[[#This Row],[SUB TOTAL]]+DATA[[#This Row],[IGV]],2),0)</f>
        <v>0</v>
      </c>
      <c r="W1240" s="339" t="str">
        <f>IF(DATA[[#This Row],[VALORIZACIÓN ]]="-","NO CORRESPONDE",IF(OR(A1240=20558226979,A1240=10470707866,A1240=20111157058,A1240=20100226902),"NO CORRESPONDE",IF(J1240="Emitida",IF(P1240&gt;0,"EMITIDA","PENDIENTE"),"NO CORRESPONDE")))</f>
        <v>NO CORRESPONDE</v>
      </c>
      <c r="X1240" s="340"/>
      <c r="Y1240" s="17" t="s">
        <v>128</v>
      </c>
      <c r="Z1240" s="342"/>
      <c r="AA1240" s="343"/>
      <c r="AB1240" s="344"/>
      <c r="AC1240" s="345"/>
      <c r="AD1240" s="346">
        <f>DATA[[#This Row],[FECHA DE EMISION]]+DATA[[#This Row],[CONDICION DE PAGO]]</f>
        <v>0</v>
      </c>
      <c r="AE1240" s="347">
        <f>IF(DATA[[#This Row],[MONEDA]]="USD",VLOOKUP(DATA[[#This Row],[COMBINADA]],#REF!,11,0),1)</f>
        <v>1</v>
      </c>
      <c r="AF1240" s="348" t="str">
        <f>IF(DATA[[#This Row],[SERIE2]]="-","NO CORRESPONDE",IF(W1240="NO CORRESPONDE","NO CORRESPONDE",IF(Z1240&gt;0,"FACTURADO","PENDIENTE")))</f>
        <v>NO CORRESPONDE</v>
      </c>
      <c r="AG1240" s="349">
        <f>IFERROR(VLOOKUP(DATA[[#This Row],[COMBINADA]],#REF!,6,0),0)</f>
        <v>0</v>
      </c>
      <c r="AH1240" s="350">
        <f>IFERROR(VLOOKUP(DATA[[#This Row],[COMBINADA]],#REF!,9,0),0)/COUNTIFS(DATA[COMBINADA],DATA[[#This Row],[COMBINADA]])</f>
        <v>0</v>
      </c>
      <c r="AI1240" s="351">
        <f>IFERROR(VLOOKUP(DATA[[#This Row],[COMBINADA]],#REF!,6,0),0)</f>
        <v>0</v>
      </c>
      <c r="AJ1240" s="352">
        <f>IFERROR(VLOOKUP(DATA[[#This Row],[COMBINADA]],#REF!,9,0),0)/COUNTIFS(DATA[COMBINADA],DATA[[#This Row],[COMBINADA]])</f>
        <v>0</v>
      </c>
      <c r="AK1240" s="353">
        <f>IFERROR(VLOOKUP(DATA[[#This Row],[COMBINADA]],#REF!,6,0),0)</f>
        <v>0</v>
      </c>
      <c r="AL1240" s="352">
        <f>IFERROR(VLOOKUP(DATA[[#This Row],[COMBINADA]],#REF!,9,0),0)/COUNTIFS(DATA[COMBINADA],DATA[[#This Row],[COMBINADA]])</f>
        <v>0</v>
      </c>
      <c r="AM1240" s="353">
        <f>IFERROR(VLOOKUP(DATA[[#This Row],[COMBINADA]],#REF!,6,0),0)</f>
        <v>0</v>
      </c>
      <c r="AN1240" s="354">
        <f>IFERROR(VLOOKUP(DATA[[#This Row],[COMBINADA]],#REF!,9,0),0)/COUNTIFS(DATA[COMBINADA],DATA[[#This Row],[COMBINADA]])</f>
        <v>0</v>
      </c>
      <c r="AO1240" s="353">
        <f>IFERROR(VLOOKUP(DATA[[#This Row],[COMBINADA]],#REF!,6,0),0)</f>
        <v>0</v>
      </c>
      <c r="AP1240" s="354">
        <f>IFERROR(VLOOKUP(DATA[[#This Row],[COMBINADA]],#REF!,9,0),0)/COUNTIFS(DATA[COMBINADA],DATA[[#This Row],[COMBINADA]])</f>
        <v>0</v>
      </c>
      <c r="AQ1240" s="355">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240" s="356" t="str">
        <f>IFERROR(IF(DATA[[#This Row],[estado_fact]]="FACTURADO",VLOOKUP(DATA[[#This Row],[SERIE2]]&amp;"-"&amp;DATA[[#This Row],[NUMERO]],#REF!,34,0),"NO CORRESPONDE"),"NO CORRESPONDE")</f>
        <v>NO CORRESPONDE</v>
      </c>
      <c r="AS1240" s="357" t="str">
        <f>IF(DATA[[#This Row],[fecha_fs]]&gt;0,TEXT(DATA[[#This Row],[fecha_fs]],"Mmmm"),0)</f>
        <v>Setiembre</v>
      </c>
      <c r="AT1240" s="358" t="str">
        <f>DATA[[#This Row],[SERIE2]]&amp;"-"&amp;DATA[[#This Row],[NUMERO]]</f>
        <v>-</v>
      </c>
      <c r="AU1240" s="357">
        <f>DATA[[#This Row],[TOTAL]]*DATA[[#This Row],[T.C.]]</f>
        <v>0</v>
      </c>
      <c r="AV1240" s="359">
        <f>DATA[[#This Row],[FECHA DE VAL.]]</f>
        <v>0</v>
      </c>
      <c r="AW1240" s="359">
        <f>DATA[[#This Row],[FECHA DE EMISION]]</f>
        <v>0</v>
      </c>
      <c r="AX1240" s="359">
        <f>DATA[[#This Row],[F1]]</f>
        <v>0</v>
      </c>
      <c r="AY1240" s="343">
        <f>IF(AV1240-DATA[[#This Row],[fecha_fs]]&lt;0,0,AV1240-DATA[[#This Row],[fecha_fs]])</f>
        <v>0</v>
      </c>
      <c r="AZ1240" s="343">
        <f t="shared" si="277"/>
        <v>0</v>
      </c>
      <c r="BA1240" s="343">
        <f t="shared" si="278"/>
        <v>0</v>
      </c>
      <c r="BB1240" s="360">
        <f>IFERROR(SUM(DATA[[#This Row],[fs_val_ttf]:[fact_pago_ttf]]),0)</f>
        <v>0</v>
      </c>
      <c r="BC1240" s="361"/>
      <c r="BD1240" s="361"/>
      <c r="BE1240" s="361"/>
      <c r="BF1240" s="361"/>
      <c r="BG1240" s="343">
        <f>IFERROR(IF(BC1240-DATA[[#This Row],[fecha_fs]]&lt;0,0,BC1240-DATA[[#This Row],[fecha_fs]]),0)</f>
        <v>0</v>
      </c>
      <c r="BH1240" s="343">
        <f t="shared" si="279"/>
        <v>0</v>
      </c>
      <c r="BI1240" s="343">
        <f t="shared" si="280"/>
        <v>0</v>
      </c>
      <c r="BJ1240" s="343">
        <f t="shared" si="281"/>
        <v>0</v>
      </c>
      <c r="BK1240" s="362">
        <f>IFERROR(SUM(DATA[[#This Row],[fs_fd_ttd]:[fend_fenf_ttd]]),0)</f>
        <v>0</v>
      </c>
      <c r="BL1240" s="20" t="str">
        <f>IF(DATA[[#This Row],[fecha_fs]]&gt;0,TEXT(DATA[[#This Row],[fecha_fs]],"YYYY"),0)</f>
        <v>2025</v>
      </c>
      <c r="BM1240" s="363" t="b">
        <v>0</v>
      </c>
      <c r="BN1240" s="364"/>
      <c r="BO1240" s="365"/>
    </row>
    <row r="1241" spans="1:67" ht="30.6" customHeight="1" x14ac:dyDescent="0.25">
      <c r="A1241" s="4">
        <v>20100192064</v>
      </c>
      <c r="B1241" s="5" t="s">
        <v>60</v>
      </c>
      <c r="C1241" s="52" t="s">
        <v>43</v>
      </c>
      <c r="D1241" s="4" t="s">
        <v>112</v>
      </c>
      <c r="E1241" s="5" t="s">
        <v>1</v>
      </c>
      <c r="F1241" s="24">
        <v>45924</v>
      </c>
      <c r="G1241" s="7" t="s">
        <v>113</v>
      </c>
      <c r="H1241" s="25">
        <f t="shared" ref="H1241:H1245" si="286">IF(G1241="","",IF(G1241="LIM",2,1))</f>
        <v>1</v>
      </c>
      <c r="I1241" s="67">
        <v>5036</v>
      </c>
      <c r="J1241" s="8" t="s">
        <v>115</v>
      </c>
      <c r="K1241" s="9" t="s">
        <v>116</v>
      </c>
      <c r="L1241" s="10" t="s">
        <v>117</v>
      </c>
      <c r="M1241" s="11">
        <v>3210</v>
      </c>
      <c r="N1241" s="12" t="s">
        <v>337</v>
      </c>
      <c r="O1241" s="6">
        <v>45926</v>
      </c>
      <c r="P1241" s="71">
        <v>3689</v>
      </c>
      <c r="Q1241" s="14" t="s">
        <v>123</v>
      </c>
      <c r="R1241" s="15">
        <f>(DATA[[#This Row],[cantidad_fs]]/1000)*(143+175.34)</f>
        <v>1021.8714000000001</v>
      </c>
      <c r="S1241" s="15">
        <v>137</v>
      </c>
      <c r="T1241" s="237">
        <f>DATA[[#This Row],[C. DF]]+DATA[[#This Row],[C.OPE.]]</f>
        <v>1158.8714</v>
      </c>
      <c r="U1241" s="15">
        <f>DATA[[#This Row],[SUB TOTAL]]*0.18</f>
        <v>208.59685199999998</v>
      </c>
      <c r="V1241" s="15">
        <f>IFERROR(ROUND(DATA[[#This Row],[SUB TOTAL]]+DATA[[#This Row],[IGV]],2),0)</f>
        <v>1367.47</v>
      </c>
      <c r="W1241" s="16" t="str">
        <f>IF(DATA[[#This Row],[VALORIZACIÓN ]]="-","NO CORRESPONDE",IF(OR(A1241=20558226979,A1241=10470707866,A1241=20111157058,A1241=20100226902),"NO CORRESPONDE",IF(J1241="Emitida",IF(P1241&gt;0,"EMITIDA","PENDIENTE"),"NO CORRESPONDE")))</f>
        <v>EMITIDA</v>
      </c>
      <c r="X1241" s="29"/>
      <c r="Y1241" s="17" t="s">
        <v>118</v>
      </c>
      <c r="Z1241" s="30">
        <v>45930</v>
      </c>
      <c r="AA1241" s="10" t="s">
        <v>349</v>
      </c>
      <c r="AB1241" s="19">
        <v>3</v>
      </c>
      <c r="AC1241" s="20">
        <v>30</v>
      </c>
      <c r="AD1241" s="18">
        <f>DATA[[#This Row],[FECHA DE EMISION]]+DATA[[#This Row],[CONDICION DE PAGO]]</f>
        <v>45960</v>
      </c>
      <c r="AE1241" s="23" t="e">
        <f>IF(DATA[[#This Row],[MONEDA]]="USD",VLOOKUP(DATA[[#This Row],[COMBINADA]],#REF!,11,0),1)</f>
        <v>#REF!</v>
      </c>
      <c r="AF1241" s="129" t="str">
        <f>IF(DATA[[#This Row],[SERIE2]]="-","NO CORRESPONDE",IF(W1241="NO CORRESPONDE","NO CORRESPONDE",IF(Z1241&gt;0,"FACTURADO","PENDIENTE")))</f>
        <v>FACTURADO</v>
      </c>
      <c r="AG1241" s="133">
        <f>IFERROR(VLOOKUP(DATA[[#This Row],[COMBINADA]],#REF!,6,0),0)</f>
        <v>0</v>
      </c>
      <c r="AH1241" s="125">
        <f>IFERROR(VLOOKUP(DATA[[#This Row],[COMBINADA]],#REF!,9,0),0)/COUNTIFS(DATA[COMBINADA],DATA[[#This Row],[COMBINADA]])</f>
        <v>0</v>
      </c>
      <c r="AI1241" s="136">
        <f>IFERROR(VLOOKUP(DATA[[#This Row],[COMBINADA]],#REF!,6,0),0)</f>
        <v>0</v>
      </c>
      <c r="AJ1241" s="132">
        <f>IFERROR(VLOOKUP(DATA[[#This Row],[COMBINADA]],#REF!,9,0),0)/COUNTIFS(DATA[COMBINADA],DATA[[#This Row],[COMBINADA]])</f>
        <v>0</v>
      </c>
      <c r="AK1241" s="407">
        <f>IFERROR(VLOOKUP(DATA[[#This Row],[COMBINADA]],#REF!,6,0),0)</f>
        <v>0</v>
      </c>
      <c r="AL1241" s="125">
        <f>IFERROR(VLOOKUP(DATA[[#This Row],[COMBINADA]],#REF!,9,0),0)/COUNTIFS(DATA[COMBINADA],DATA[[#This Row],[COMBINADA]])</f>
        <v>0</v>
      </c>
      <c r="AM1241" s="27">
        <f>IFERROR(VLOOKUP(DATA[[#This Row],[COMBINADA]],#REF!,6,0),0)</f>
        <v>0</v>
      </c>
      <c r="AN1241" s="125">
        <f>IFERROR(VLOOKUP(DATA[[#This Row],[COMBINADA]],#REF!,9,0),0)/COUNTIFS(DATA[COMBINADA],DATA[[#This Row],[COMBINADA]])</f>
        <v>0</v>
      </c>
      <c r="AO1241" s="27">
        <f>IFERROR(VLOOKUP(DATA[[#This Row],[COMBINADA]],#REF!,6,0),0)</f>
        <v>0</v>
      </c>
      <c r="AP1241" s="132">
        <f>IFERROR(VLOOKUP(DATA[[#This Row],[COMBINADA]],#REF!,9,0),0)/COUNTIFS(DATA[COMBINADA],DATA[[#This Row],[COMBINADA]])</f>
        <v>0</v>
      </c>
      <c r="AQ124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542.36833333333334</v>
      </c>
      <c r="AR1241" s="26" t="str">
        <f>IFERROR(IF(DATA[[#This Row],[estado_fact]]="FACTURADO",VLOOKUP(DATA[[#This Row],[SERIE2]]&amp;"-"&amp;DATA[[#This Row],[NUMERO]],#REF!,34,0),"NO CORRESPONDE"),"NO CORRESPONDE")</f>
        <v>NO CORRESPONDE</v>
      </c>
      <c r="AS1241" s="22" t="str">
        <f>IF(DATA[[#This Row],[fecha_fs]]&gt;0,TEXT(DATA[[#This Row],[fecha_fs]],"Mmmm"),0)</f>
        <v>Setiembre</v>
      </c>
      <c r="AT1241" s="22" t="str">
        <f>DATA[[#This Row],[SERIE2]]&amp;"-"&amp;DATA[[#This Row],[NUMERO]]</f>
        <v>FF04-3</v>
      </c>
      <c r="AU1241" s="28" t="e">
        <f>DATA[[#This Row],[TOTAL]]*DATA[[#This Row],[T.C.]]</f>
        <v>#REF!</v>
      </c>
      <c r="AV1241" s="6">
        <f>DATA[[#This Row],[FECHA DE VAL.]]</f>
        <v>45926</v>
      </c>
      <c r="AW1241" s="6">
        <f>DATA[[#This Row],[FECHA DE EMISION]]</f>
        <v>45930</v>
      </c>
      <c r="AX1241" s="6">
        <f>DATA[[#This Row],[F1]]</f>
        <v>0</v>
      </c>
      <c r="AY1241" s="20">
        <f>IF(AV1241-DATA[[#This Row],[fecha_fs]]&lt;0,0,AV1241-DATA[[#This Row],[fecha_fs]])</f>
        <v>2</v>
      </c>
      <c r="AZ1241" s="20">
        <f t="shared" ref="AZ1241:AZ1262" si="287">IF(AW1241-AV1241&lt;0,0,AW1241-AV1241)</f>
        <v>4</v>
      </c>
      <c r="BA1241" s="53">
        <f t="shared" ref="BA1241:BA1262" si="288">IF(AX1241-AW1241&lt;0,0,AX1241-AW1241)</f>
        <v>0</v>
      </c>
      <c r="BB1241" s="195">
        <f>IFERROR(SUM(DATA[[#This Row],[fs_val_ttf]:[fact_pago_ttf]]),0)</f>
        <v>6</v>
      </c>
      <c r="BC1241" s="185">
        <v>45933</v>
      </c>
      <c r="BD1241" s="233">
        <v>45943</v>
      </c>
      <c r="BE1241" s="233">
        <v>45943</v>
      </c>
      <c r="BF1241" s="276" t="s">
        <v>270</v>
      </c>
      <c r="BG1241" s="20">
        <f>IFERROR(IF(BC1241-DATA[[#This Row],[fecha_fs]]&lt;0,0,BC1241-DATA[[#This Row],[fecha_fs]]),0)</f>
        <v>9</v>
      </c>
      <c r="BH1241" s="20">
        <f t="shared" ref="BH1241:BH1262" si="289">IFERROR(IF(BD1241-BC1241&lt;0,0,BD1241-BC1241),0)</f>
        <v>10</v>
      </c>
      <c r="BI1241" s="20">
        <f t="shared" ref="BI1241:BI1262" si="290">IFERROR(IF(BE1241-BD1241&lt;0,0,BE1241-BD1241),0)</f>
        <v>0</v>
      </c>
      <c r="BJ1241" s="20">
        <f t="shared" ref="BJ1241:BJ1262" si="291">IFERROR(IF(BF1241-BE1241&lt;0,0,BF1241-BE1241),0)</f>
        <v>0</v>
      </c>
      <c r="BK1241" s="282">
        <f>IFERROR(SUM(DATA[[#This Row],[fs_fd_ttd]:[fend_fenf_ttd]]),0)</f>
        <v>19</v>
      </c>
      <c r="BL1241" s="20" t="str">
        <f>IF(DATA[[#This Row],[fecha_fs]]&gt;0,TEXT(DATA[[#This Row],[fecha_fs]],"YYYY"),0)</f>
        <v>2025</v>
      </c>
      <c r="BM1241" s="236" t="b">
        <v>0</v>
      </c>
      <c r="BN1241" s="278">
        <f>COUNTIF(DATA[[#This Row],[tiempo_td]], "&lt;=15")</f>
        <v>0</v>
      </c>
      <c r="BO1241" s="222"/>
    </row>
    <row r="1242" spans="1:67" ht="30.6" customHeight="1" x14ac:dyDescent="0.25">
      <c r="A1242" s="4">
        <v>20100192064</v>
      </c>
      <c r="B1242" s="5" t="s">
        <v>60</v>
      </c>
      <c r="C1242" s="52" t="s">
        <v>64</v>
      </c>
      <c r="D1242" s="4" t="s">
        <v>112</v>
      </c>
      <c r="E1242" s="5" t="s">
        <v>1</v>
      </c>
      <c r="F1242" s="24">
        <v>45924</v>
      </c>
      <c r="G1242" s="7" t="s">
        <v>113</v>
      </c>
      <c r="H1242" s="25">
        <f t="shared" si="286"/>
        <v>1</v>
      </c>
      <c r="I1242" s="67">
        <v>5037</v>
      </c>
      <c r="J1242" s="8" t="s">
        <v>115</v>
      </c>
      <c r="K1242" s="9" t="s">
        <v>116</v>
      </c>
      <c r="L1242" s="10" t="s">
        <v>117</v>
      </c>
      <c r="M1242" s="11">
        <v>160</v>
      </c>
      <c r="N1242" s="12" t="s">
        <v>337</v>
      </c>
      <c r="O1242" s="6">
        <v>45926</v>
      </c>
      <c r="P1242" s="71">
        <v>3692</v>
      </c>
      <c r="Q1242" s="14" t="s">
        <v>123</v>
      </c>
      <c r="R1242" s="15">
        <f>(DATA[[#This Row],[cantidad_fs]]/1000)*(143+175.34)</f>
        <v>50.934400000000004</v>
      </c>
      <c r="S1242" s="15">
        <v>137</v>
      </c>
      <c r="T1242" s="237">
        <f>DATA[[#This Row],[C. DF]]+DATA[[#This Row],[C.OPE.]]</f>
        <v>187.93440000000001</v>
      </c>
      <c r="U1242" s="15">
        <f>DATA[[#This Row],[SUB TOTAL]]*0.18</f>
        <v>33.828192000000001</v>
      </c>
      <c r="V1242" s="15">
        <f>IFERROR(ROUND(DATA[[#This Row],[SUB TOTAL]]+DATA[[#This Row],[IGV]],2),0)</f>
        <v>221.76</v>
      </c>
      <c r="W1242" s="16" t="str">
        <f>IF(DATA[[#This Row],[VALORIZACIÓN ]]="-","NO CORRESPONDE",IF(OR(A1242=20558226979,A1242=10470707866,A1242=20111157058,A1242=20100226902),"NO CORRESPONDE",IF(J1242="Emitida",IF(P1242&gt;0,"EMITIDA","PENDIENTE"),"NO CORRESPONDE")))</f>
        <v>EMITIDA</v>
      </c>
      <c r="X1242" s="29"/>
      <c r="Y1242" s="17" t="s">
        <v>118</v>
      </c>
      <c r="Z1242" s="30">
        <v>45930</v>
      </c>
      <c r="AA1242" s="10" t="s">
        <v>349</v>
      </c>
      <c r="AB1242" s="19">
        <v>3</v>
      </c>
      <c r="AC1242" s="20">
        <v>30</v>
      </c>
      <c r="AD1242" s="18">
        <f>DATA[[#This Row],[FECHA DE EMISION]]+DATA[[#This Row],[CONDICION DE PAGO]]</f>
        <v>45960</v>
      </c>
      <c r="AE1242" s="23" t="e">
        <f>IF(DATA[[#This Row],[MONEDA]]="USD",VLOOKUP(DATA[[#This Row],[COMBINADA]],#REF!,11,0),1)</f>
        <v>#REF!</v>
      </c>
      <c r="AF1242" s="129" t="str">
        <f>IF(DATA[[#This Row],[SERIE2]]="-","NO CORRESPONDE",IF(W1242="NO CORRESPONDE","NO CORRESPONDE",IF(Z1242&gt;0,"FACTURADO","PENDIENTE")))</f>
        <v>FACTURADO</v>
      </c>
      <c r="AG1242" s="133">
        <f>IFERROR(VLOOKUP(DATA[[#This Row],[COMBINADA]],#REF!,6,0),0)</f>
        <v>0</v>
      </c>
      <c r="AH1242" s="125">
        <f>IFERROR(VLOOKUP(DATA[[#This Row],[COMBINADA]],#REF!,9,0),0)/COUNTIFS(DATA[COMBINADA],DATA[[#This Row],[COMBINADA]])</f>
        <v>0</v>
      </c>
      <c r="AI1242" s="136">
        <f>IFERROR(VLOOKUP(DATA[[#This Row],[COMBINADA]],#REF!,6,0),0)</f>
        <v>0</v>
      </c>
      <c r="AJ1242" s="132">
        <f>IFERROR(VLOOKUP(DATA[[#This Row],[COMBINADA]],#REF!,9,0),0)/COUNTIFS(DATA[COMBINADA],DATA[[#This Row],[COMBINADA]])</f>
        <v>0</v>
      </c>
      <c r="AK1242" s="407">
        <f>IFERROR(VLOOKUP(DATA[[#This Row],[COMBINADA]],#REF!,6,0),0)</f>
        <v>0</v>
      </c>
      <c r="AL1242" s="125">
        <f>IFERROR(VLOOKUP(DATA[[#This Row],[COMBINADA]],#REF!,9,0),0)/COUNTIFS(DATA[COMBINADA],DATA[[#This Row],[COMBINADA]])</f>
        <v>0</v>
      </c>
      <c r="AM1242" s="27">
        <f>IFERROR(VLOOKUP(DATA[[#This Row],[COMBINADA]],#REF!,6,0),0)</f>
        <v>0</v>
      </c>
      <c r="AN1242" s="125">
        <f>IFERROR(VLOOKUP(DATA[[#This Row],[COMBINADA]],#REF!,9,0),0)/COUNTIFS(DATA[COMBINADA],DATA[[#This Row],[COMBINADA]])</f>
        <v>0</v>
      </c>
      <c r="AO1242" s="27">
        <f>IFERROR(VLOOKUP(DATA[[#This Row],[COMBINADA]],#REF!,6,0),0)</f>
        <v>0</v>
      </c>
      <c r="AP1242" s="132">
        <f>IFERROR(VLOOKUP(DATA[[#This Row],[COMBINADA]],#REF!,9,0),0)/COUNTIFS(DATA[COMBINADA],DATA[[#This Row],[COMBINADA]])</f>
        <v>0</v>
      </c>
      <c r="AQ124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542.36833333333334</v>
      </c>
      <c r="AR1242" s="26" t="str">
        <f>IFERROR(IF(DATA[[#This Row],[estado_fact]]="FACTURADO",VLOOKUP(DATA[[#This Row],[SERIE2]]&amp;"-"&amp;DATA[[#This Row],[NUMERO]],#REF!,34,0),"NO CORRESPONDE"),"NO CORRESPONDE")</f>
        <v>NO CORRESPONDE</v>
      </c>
      <c r="AS1242" s="22" t="str">
        <f>IF(DATA[[#This Row],[fecha_fs]]&gt;0,TEXT(DATA[[#This Row],[fecha_fs]],"Mmmm"),0)</f>
        <v>Setiembre</v>
      </c>
      <c r="AT1242" s="22" t="str">
        <f>DATA[[#This Row],[SERIE2]]&amp;"-"&amp;DATA[[#This Row],[NUMERO]]</f>
        <v>FF04-3</v>
      </c>
      <c r="AU1242" s="28" t="e">
        <f>DATA[[#This Row],[TOTAL]]*DATA[[#This Row],[T.C.]]</f>
        <v>#REF!</v>
      </c>
      <c r="AV1242" s="6">
        <f>DATA[[#This Row],[FECHA DE VAL.]]</f>
        <v>45926</v>
      </c>
      <c r="AW1242" s="6">
        <f>DATA[[#This Row],[FECHA DE EMISION]]</f>
        <v>45930</v>
      </c>
      <c r="AX1242" s="6">
        <f>DATA[[#This Row],[F1]]</f>
        <v>0</v>
      </c>
      <c r="AY1242" s="20">
        <f>IF(AV1242-DATA[[#This Row],[fecha_fs]]&lt;0,0,AV1242-DATA[[#This Row],[fecha_fs]])</f>
        <v>2</v>
      </c>
      <c r="AZ1242" s="20">
        <f t="shared" si="287"/>
        <v>4</v>
      </c>
      <c r="BA1242" s="53">
        <f t="shared" si="288"/>
        <v>0</v>
      </c>
      <c r="BB1242" s="195">
        <f>IFERROR(SUM(DATA[[#This Row],[fs_val_ttf]:[fact_pago_ttf]]),0)</f>
        <v>6</v>
      </c>
      <c r="BC1242" s="233">
        <v>45933</v>
      </c>
      <c r="BD1242" s="233">
        <v>45943</v>
      </c>
      <c r="BE1242" s="233">
        <v>45943</v>
      </c>
      <c r="BF1242" s="276" t="s">
        <v>270</v>
      </c>
      <c r="BG1242" s="20">
        <f>IFERROR(IF(BC1242-DATA[[#This Row],[fecha_fs]]&lt;0,0,BC1242-DATA[[#This Row],[fecha_fs]]),0)</f>
        <v>9</v>
      </c>
      <c r="BH1242" s="20">
        <f t="shared" si="289"/>
        <v>10</v>
      </c>
      <c r="BI1242" s="20">
        <f t="shared" si="290"/>
        <v>0</v>
      </c>
      <c r="BJ1242" s="20">
        <f t="shared" si="291"/>
        <v>0</v>
      </c>
      <c r="BK1242" s="282">
        <f>IFERROR(SUM(DATA[[#This Row],[fs_fd_ttd]:[fend_fenf_ttd]]),0)</f>
        <v>19</v>
      </c>
      <c r="BL1242" s="20" t="str">
        <f>IF(DATA[[#This Row],[fecha_fs]]&gt;0,TEXT(DATA[[#This Row],[fecha_fs]],"YYYY"),0)</f>
        <v>2025</v>
      </c>
      <c r="BM1242" s="236" t="b">
        <v>0</v>
      </c>
      <c r="BN1242" s="278">
        <f>COUNTIF(DATA[[#This Row],[tiempo_td]], "&lt;=15")</f>
        <v>0</v>
      </c>
      <c r="BO1242" s="222"/>
    </row>
    <row r="1243" spans="1:67" ht="30.6" customHeight="1" x14ac:dyDescent="0.25">
      <c r="A1243" s="4">
        <v>20100192064</v>
      </c>
      <c r="B1243" s="5" t="s">
        <v>60</v>
      </c>
      <c r="C1243" s="52" t="s">
        <v>65</v>
      </c>
      <c r="D1243" s="4" t="s">
        <v>120</v>
      </c>
      <c r="E1243" s="5" t="s">
        <v>3</v>
      </c>
      <c r="F1243" s="24">
        <v>45925</v>
      </c>
      <c r="G1243" s="7" t="s">
        <v>142</v>
      </c>
      <c r="H1243" s="25">
        <f>IF(G1243="","",IF(G1243="LIM",2,1))</f>
        <v>2</v>
      </c>
      <c r="I1243" s="67">
        <v>1144</v>
      </c>
      <c r="J1243" s="8" t="s">
        <v>115</v>
      </c>
      <c r="K1243" s="9" t="s">
        <v>121</v>
      </c>
      <c r="L1243" s="10" t="s">
        <v>117</v>
      </c>
      <c r="M1243" s="11">
        <v>570</v>
      </c>
      <c r="N1243" s="12" t="s">
        <v>180</v>
      </c>
      <c r="O1243" s="337">
        <v>45926</v>
      </c>
      <c r="P1243" s="366">
        <v>3694</v>
      </c>
      <c r="Q1243" s="338" t="s">
        <v>123</v>
      </c>
      <c r="R1243" s="321">
        <f>(DATA[[#This Row],[cantidad_fs]]/1000)*(37+81.01)</f>
        <v>67.265699999999995</v>
      </c>
      <c r="S1243" s="321">
        <v>103.6</v>
      </c>
      <c r="T1243" s="321">
        <f>DATA[[#This Row],[C. DF]]+DATA[[#This Row],[C.OPE.]]</f>
        <v>170.8657</v>
      </c>
      <c r="U1243" s="15">
        <f>DATA[[#This Row],[SUB TOTAL]]*0.18</f>
        <v>30.755825999999999</v>
      </c>
      <c r="V1243" s="15">
        <f>IFERROR(ROUND(DATA[[#This Row],[SUB TOTAL]]+DATA[[#This Row],[IGV]],2),0)</f>
        <v>201.62</v>
      </c>
      <c r="W1243" s="16" t="str">
        <f>IF(DATA[[#This Row],[VALORIZACIÓN ]]="-","NO CORRESPONDE",IF(OR(A1243=20558226979,A1243=10470707866,A1243=20111157058,A1243=20100226902),"NO CORRESPONDE",IF(J1243="Emitida",IF(P1243&gt;0,"EMITIDA","PENDIENTE"),"NO CORRESPONDE")))</f>
        <v>EMITIDA</v>
      </c>
      <c r="X1243" s="29"/>
      <c r="Y1243" s="17" t="s">
        <v>118</v>
      </c>
      <c r="Z1243" s="30">
        <v>45929</v>
      </c>
      <c r="AA1243" s="10" t="s">
        <v>150</v>
      </c>
      <c r="AB1243" s="19">
        <v>268</v>
      </c>
      <c r="AC1243" s="20">
        <v>30</v>
      </c>
      <c r="AD1243" s="18">
        <f>DATA[[#This Row],[FECHA DE EMISION]]+DATA[[#This Row],[CONDICION DE PAGO]]</f>
        <v>45959</v>
      </c>
      <c r="AE1243" s="23" t="e">
        <f>IF(DATA[[#This Row],[MONEDA]]="USD",VLOOKUP(DATA[[#This Row],[COMBINADA]],#REF!,11,0),1)</f>
        <v>#REF!</v>
      </c>
      <c r="AF1243" s="129" t="str">
        <f>IF(DATA[[#This Row],[SERIE2]]="-","NO CORRESPONDE",IF(W1243="NO CORRESPONDE","NO CORRESPONDE",IF(Z1243&gt;0,"FACTURADO","PENDIENTE")))</f>
        <v>FACTURADO</v>
      </c>
      <c r="AG1243" s="133">
        <f>IFERROR(VLOOKUP(DATA[[#This Row],[COMBINADA]],#REF!,6,0),0)</f>
        <v>0</v>
      </c>
      <c r="AH1243" s="125">
        <f>IFERROR(VLOOKUP(DATA[[#This Row],[COMBINADA]],#REF!,9,0),0)/COUNTIFS(DATA[COMBINADA],DATA[[#This Row],[COMBINADA]])</f>
        <v>0</v>
      </c>
      <c r="AI1243" s="136">
        <f>IFERROR(VLOOKUP(DATA[[#This Row],[COMBINADA]],#REF!,6,0),0)</f>
        <v>0</v>
      </c>
      <c r="AJ1243" s="132">
        <f>IFERROR(VLOOKUP(DATA[[#This Row],[COMBINADA]],#REF!,9,0),0)/COUNTIFS(DATA[COMBINADA],DATA[[#This Row],[COMBINADA]])</f>
        <v>0</v>
      </c>
      <c r="AK1243" s="407">
        <f>IFERROR(VLOOKUP(DATA[[#This Row],[COMBINADA]],#REF!,6,0),0)</f>
        <v>0</v>
      </c>
      <c r="AL1243" s="125">
        <f>IFERROR(VLOOKUP(DATA[[#This Row],[COMBINADA]],#REF!,9,0),0)/COUNTIFS(DATA[COMBINADA],DATA[[#This Row],[COMBINADA]])</f>
        <v>0</v>
      </c>
      <c r="AM1243" s="27">
        <f>IFERROR(VLOOKUP(DATA[[#This Row],[COMBINADA]],#REF!,6,0),0)</f>
        <v>0</v>
      </c>
      <c r="AN1243" s="125">
        <f>IFERROR(VLOOKUP(DATA[[#This Row],[COMBINADA]],#REF!,9,0),0)/COUNTIFS(DATA[COMBINADA],DATA[[#This Row],[COMBINADA]])</f>
        <v>0</v>
      </c>
      <c r="AO1243" s="27">
        <f>IFERROR(VLOOKUP(DATA[[#This Row],[COMBINADA]],#REF!,6,0),0)</f>
        <v>0</v>
      </c>
      <c r="AP1243" s="132">
        <f>IFERROR(VLOOKUP(DATA[[#This Row],[COMBINADA]],#REF!,9,0),0)/COUNTIFS(DATA[COMBINADA],DATA[[#This Row],[COMBINADA]])</f>
        <v>0</v>
      </c>
      <c r="AQ124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535.76357142857137</v>
      </c>
      <c r="AR1243" s="26" t="str">
        <f>IFERROR(IF(DATA[[#This Row],[estado_fact]]="FACTURADO",VLOOKUP(DATA[[#This Row],[SERIE2]]&amp;"-"&amp;DATA[[#This Row],[NUMERO]],#REF!,34,0),"NO CORRESPONDE"),"NO CORRESPONDE")</f>
        <v>NO CORRESPONDE</v>
      </c>
      <c r="AS1243" s="22" t="str">
        <f>IF(DATA[[#This Row],[fecha_fs]]&gt;0,TEXT(DATA[[#This Row],[fecha_fs]],"Mmmm"),0)</f>
        <v>Setiembre</v>
      </c>
      <c r="AT1243" s="22" t="str">
        <f>DATA[[#This Row],[SERIE2]]&amp;"-"&amp;DATA[[#This Row],[NUMERO]]</f>
        <v>FF01-268</v>
      </c>
      <c r="AU1243" s="28" t="e">
        <f>DATA[[#This Row],[TOTAL]]*DATA[[#This Row],[T.C.]]</f>
        <v>#REF!</v>
      </c>
      <c r="AV1243" s="6">
        <f>DATA[[#This Row],[FECHA DE VAL.]]</f>
        <v>45926</v>
      </c>
      <c r="AW1243" s="6">
        <f>DATA[[#This Row],[FECHA DE EMISION]]</f>
        <v>45929</v>
      </c>
      <c r="AX1243" s="6">
        <f>DATA[[#This Row],[F1]]</f>
        <v>0</v>
      </c>
      <c r="AY1243" s="20">
        <f>IF(AV1243-DATA[[#This Row],[fecha_fs]]&lt;0,0,AV1243-DATA[[#This Row],[fecha_fs]])</f>
        <v>1</v>
      </c>
      <c r="AZ1243" s="20">
        <f>IF(AW1243-AV1243&lt;0,0,AW1243-AV1243)</f>
        <v>3</v>
      </c>
      <c r="BA1243" s="53">
        <f>IF(AX1243-AW1243&lt;0,0,AX1243-AW1243)</f>
        <v>0</v>
      </c>
      <c r="BB1243" s="360">
        <f>IFERROR(SUM(DATA[[#This Row],[fs_val_ttf]:[fact_pago_ttf]]),0)</f>
        <v>4</v>
      </c>
      <c r="BC1243" s="377">
        <v>45925</v>
      </c>
      <c r="BD1243" s="377">
        <v>45933</v>
      </c>
      <c r="BE1243" s="377">
        <v>45936</v>
      </c>
      <c r="BF1243" s="377">
        <v>45945</v>
      </c>
      <c r="BG1243" s="20">
        <f>IFERROR(IF(BC1243-DATA[[#This Row],[fecha_fs]]&lt;0,0,BC1243-DATA[[#This Row],[fecha_fs]]),0)</f>
        <v>0</v>
      </c>
      <c r="BH1243" s="20">
        <f>IFERROR(IF(BD1243-BC1243&lt;0,0,BD1243-BC1243),0)</f>
        <v>8</v>
      </c>
      <c r="BI1243" s="20">
        <f>IFERROR(IF(BE1243-BD1243&lt;0,0,BE1243-BD1243),0)</f>
        <v>3</v>
      </c>
      <c r="BJ1243" s="367">
        <f>IFERROR(IF(BF1243-BE1243&lt;0,0,BF1243-BE1243),0)</f>
        <v>9</v>
      </c>
      <c r="BK1243" s="362">
        <f>IFERROR(SUM(DATA[[#This Row],[fs_fd_ttd]:[fend_fenf_ttd]]),0)</f>
        <v>20</v>
      </c>
      <c r="BL1243" s="20" t="str">
        <f>IF(DATA[[#This Row],[fecha_fs]]&gt;0,TEXT(DATA[[#This Row],[fecha_fs]],"YYYY"),0)</f>
        <v>2025</v>
      </c>
      <c r="BM1243" s="236" t="b">
        <v>1</v>
      </c>
      <c r="BN1243" s="278">
        <f>COUNTIF(DATA[[#This Row],[tiempo_td]], "&lt;=15")</f>
        <v>0</v>
      </c>
      <c r="BO1243" s="222"/>
    </row>
    <row r="1244" spans="1:67" ht="30.6" customHeight="1" x14ac:dyDescent="0.25">
      <c r="A1244" s="4">
        <v>20558226979</v>
      </c>
      <c r="B1244" s="5" t="s">
        <v>45</v>
      </c>
      <c r="C1244" s="52" t="s">
        <v>18</v>
      </c>
      <c r="D1244" s="4" t="s">
        <v>120</v>
      </c>
      <c r="E1244" s="5" t="s">
        <v>3</v>
      </c>
      <c r="F1244" s="24">
        <v>45925</v>
      </c>
      <c r="G1244" s="7" t="s">
        <v>113</v>
      </c>
      <c r="H1244" s="25">
        <f t="shared" si="286"/>
        <v>1</v>
      </c>
      <c r="I1244" s="67">
        <v>5038</v>
      </c>
      <c r="J1244" s="8" t="s">
        <v>115</v>
      </c>
      <c r="K1244" s="9" t="s">
        <v>121</v>
      </c>
      <c r="L1244" s="10" t="s">
        <v>117</v>
      </c>
      <c r="M1244" s="11">
        <v>2440</v>
      </c>
      <c r="N1244" s="12" t="s">
        <v>122</v>
      </c>
      <c r="O1244" s="359"/>
      <c r="P1244" s="371" t="s">
        <v>114</v>
      </c>
      <c r="Q1244" s="372"/>
      <c r="R1244" s="373"/>
      <c r="S1244" s="373"/>
      <c r="T1244" s="373">
        <f>DATA[[#This Row],[C. DF]]+DATA[[#This Row],[C.OPE.]]</f>
        <v>0</v>
      </c>
      <c r="U1244" s="373">
        <f>DATA[[#This Row],[SUB TOTAL]]*0.18</f>
        <v>0</v>
      </c>
      <c r="V1244" s="373">
        <f>IFERROR(ROUND(DATA[[#This Row],[SUB TOTAL]]+DATA[[#This Row],[IGV]],2),0)</f>
        <v>0</v>
      </c>
      <c r="W1244" s="16" t="str">
        <f>IF(DATA[[#This Row],[VALORIZACIÓN ]]="-","NO CORRESPONDE",IF(OR(A1244=20558226979,A1244=10470707866,A1244=20111157058,A1244=20100226902),"NO CORRESPONDE",IF(J1244="Emitida",IF(P1244&gt;0,"EMITIDA","PENDIENTE"),"NO CORRESPONDE")))</f>
        <v>NO CORRESPONDE</v>
      </c>
      <c r="X1244" s="374"/>
      <c r="Y1244" s="17" t="s">
        <v>128</v>
      </c>
      <c r="Z1244" s="340"/>
      <c r="AA1244" s="361"/>
      <c r="AB1244" s="342"/>
      <c r="AC1244" s="343"/>
      <c r="AD1244" s="344">
        <f>DATA[[#This Row],[FECHA DE EMISION]]+DATA[[#This Row],[CONDICION DE PAGO]]</f>
        <v>0</v>
      </c>
      <c r="AE1244" s="23">
        <f>IF(DATA[[#This Row],[MONEDA]]="USD",VLOOKUP(DATA[[#This Row],[COMBINADA]],#REF!,11,0),1)</f>
        <v>1</v>
      </c>
      <c r="AF1244" s="129" t="str">
        <f>IF(DATA[[#This Row],[SERIE2]]="-","NO CORRESPONDE",IF(W1244="NO CORRESPONDE","NO CORRESPONDE",IF(Z1244&gt;0,"FACTURADO","PENDIENTE")))</f>
        <v>NO CORRESPONDE</v>
      </c>
      <c r="AG1244" s="133">
        <f>IFERROR(VLOOKUP(DATA[[#This Row],[COMBINADA]],#REF!,6,0),0)</f>
        <v>0</v>
      </c>
      <c r="AH1244" s="125">
        <f>IFERROR(VLOOKUP(DATA[[#This Row],[COMBINADA]],#REF!,9,0),0)/COUNTIFS(DATA[COMBINADA],DATA[[#This Row],[COMBINADA]])</f>
        <v>0</v>
      </c>
      <c r="AI1244" s="136">
        <f>IFERROR(VLOOKUP(DATA[[#This Row],[COMBINADA]],#REF!,6,0),0)</f>
        <v>0</v>
      </c>
      <c r="AJ1244" s="132">
        <f>IFERROR(VLOOKUP(DATA[[#This Row],[COMBINADA]],#REF!,9,0),0)/COUNTIFS(DATA[COMBINADA],DATA[[#This Row],[COMBINADA]])</f>
        <v>0</v>
      </c>
      <c r="AK1244" s="407">
        <f>IFERROR(VLOOKUP(DATA[[#This Row],[COMBINADA]],#REF!,6,0),0)</f>
        <v>0</v>
      </c>
      <c r="AL1244" s="125">
        <f>IFERROR(VLOOKUP(DATA[[#This Row],[COMBINADA]],#REF!,9,0),0)/COUNTIFS(DATA[COMBINADA],DATA[[#This Row],[COMBINADA]])</f>
        <v>0</v>
      </c>
      <c r="AM1244" s="27">
        <f>IFERROR(VLOOKUP(DATA[[#This Row],[COMBINADA]],#REF!,6,0),0)</f>
        <v>0</v>
      </c>
      <c r="AN1244" s="125">
        <f>IFERROR(VLOOKUP(DATA[[#This Row],[COMBINADA]],#REF!,9,0),0)/COUNTIFS(DATA[COMBINADA],DATA[[#This Row],[COMBINADA]])</f>
        <v>0</v>
      </c>
      <c r="AO1244" s="27">
        <f>IFERROR(VLOOKUP(DATA[[#This Row],[COMBINADA]],#REF!,6,0),0)</f>
        <v>0</v>
      </c>
      <c r="AP1244" s="132">
        <f>IFERROR(VLOOKUP(DATA[[#This Row],[COMBINADA]],#REF!,9,0),0)/COUNTIFS(DATA[COMBINADA],DATA[[#This Row],[COMBINADA]])</f>
        <v>0</v>
      </c>
      <c r="AQ124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244" s="26" t="str">
        <f>IFERROR(IF(DATA[[#This Row],[estado_fact]]="FACTURADO",VLOOKUP(DATA[[#This Row],[SERIE2]]&amp;"-"&amp;DATA[[#This Row],[NUMERO]],#REF!,34,0),"NO CORRESPONDE"),"NO CORRESPONDE")</f>
        <v>NO CORRESPONDE</v>
      </c>
      <c r="AS1244" s="22" t="str">
        <f>IF(DATA[[#This Row],[fecha_fs]]&gt;0,TEXT(DATA[[#This Row],[fecha_fs]],"Mmmm"),0)</f>
        <v>Setiembre</v>
      </c>
      <c r="AT1244" s="22" t="str">
        <f>DATA[[#This Row],[SERIE2]]&amp;"-"&amp;DATA[[#This Row],[NUMERO]]</f>
        <v>-</v>
      </c>
      <c r="AU1244" s="28">
        <f>DATA[[#This Row],[TOTAL]]*DATA[[#This Row],[T.C.]]</f>
        <v>0</v>
      </c>
      <c r="AV1244" s="6">
        <f>DATA[[#This Row],[FECHA DE VAL.]]</f>
        <v>0</v>
      </c>
      <c r="AW1244" s="6">
        <f>DATA[[#This Row],[FECHA DE EMISION]]</f>
        <v>0</v>
      </c>
      <c r="AX1244" s="6">
        <f>DATA[[#This Row],[F1]]</f>
        <v>0</v>
      </c>
      <c r="AY1244" s="20">
        <f>IF(AV1244-DATA[[#This Row],[fecha_fs]]&lt;0,0,AV1244-DATA[[#This Row],[fecha_fs]])</f>
        <v>0</v>
      </c>
      <c r="AZ1244" s="20">
        <f t="shared" si="287"/>
        <v>0</v>
      </c>
      <c r="BA1244" s="53">
        <f t="shared" si="288"/>
        <v>0</v>
      </c>
      <c r="BB1244" s="195">
        <f>IFERROR(SUM(DATA[[#This Row],[fs_val_ttf]:[fact_pago_ttf]]),0)</f>
        <v>0</v>
      </c>
      <c r="BC1244" s="233">
        <v>45923</v>
      </c>
      <c r="BD1244" s="233">
        <v>45933</v>
      </c>
      <c r="BE1244" s="233">
        <v>45936</v>
      </c>
      <c r="BF1244" s="233">
        <v>45937</v>
      </c>
      <c r="BG1244" s="20">
        <f>IFERROR(IF(BC1244-DATA[[#This Row],[fecha_fs]]&lt;0,0,BC1244-DATA[[#This Row],[fecha_fs]]),0)</f>
        <v>0</v>
      </c>
      <c r="BH1244" s="20">
        <f t="shared" si="289"/>
        <v>10</v>
      </c>
      <c r="BI1244" s="20">
        <f t="shared" si="290"/>
        <v>3</v>
      </c>
      <c r="BJ1244" s="20">
        <f t="shared" si="291"/>
        <v>1</v>
      </c>
      <c r="BK1244" s="282">
        <f>IFERROR(SUM(DATA[[#This Row],[fs_fd_ttd]:[fend_fenf_ttd]]),0)</f>
        <v>14</v>
      </c>
      <c r="BL1244" s="20" t="str">
        <f>IF(DATA[[#This Row],[fecha_fs]]&gt;0,TEXT(DATA[[#This Row],[fecha_fs]],"YYYY"),0)</f>
        <v>2025</v>
      </c>
      <c r="BM1244" s="236" t="b">
        <v>1</v>
      </c>
      <c r="BN1244" s="278">
        <f>COUNTIF(DATA[[#This Row],[tiempo_td]], "&lt;=15")</f>
        <v>1</v>
      </c>
      <c r="BO1244" s="222"/>
    </row>
    <row r="1245" spans="1:67" ht="30.6" customHeight="1" x14ac:dyDescent="0.25">
      <c r="A1245" s="4">
        <v>20603536569</v>
      </c>
      <c r="B1245" s="5" t="s">
        <v>27</v>
      </c>
      <c r="C1245" s="52" t="s">
        <v>295</v>
      </c>
      <c r="D1245" s="4" t="s">
        <v>120</v>
      </c>
      <c r="E1245" s="5" t="s">
        <v>3</v>
      </c>
      <c r="F1245" s="24">
        <v>45925</v>
      </c>
      <c r="G1245" s="7" t="s">
        <v>113</v>
      </c>
      <c r="H1245" s="25">
        <f t="shared" si="286"/>
        <v>1</v>
      </c>
      <c r="I1245" s="67">
        <v>5039</v>
      </c>
      <c r="J1245" s="8" t="s">
        <v>115</v>
      </c>
      <c r="K1245" s="9" t="s">
        <v>121</v>
      </c>
      <c r="L1245" s="10" t="s">
        <v>117</v>
      </c>
      <c r="M1245" s="11">
        <v>1220</v>
      </c>
      <c r="N1245" s="12" t="s">
        <v>167</v>
      </c>
      <c r="O1245" s="6">
        <v>45926</v>
      </c>
      <c r="P1245" s="13">
        <v>3677</v>
      </c>
      <c r="Q1245" s="14" t="s">
        <v>85</v>
      </c>
      <c r="R1245" s="15">
        <f>192+((DATA[[#This Row],[cantidad_fs]]-300)*0.64)</f>
        <v>780.80000000000007</v>
      </c>
      <c r="S1245" s="15">
        <v>7556.9</v>
      </c>
      <c r="T1245" s="237">
        <f>DATA[[#This Row],[C. DF]]+DATA[[#This Row],[C.OPE.]]</f>
        <v>8337.6999999999989</v>
      </c>
      <c r="U1245" s="15">
        <f>DATA[[#This Row],[SUB TOTAL]]*0.18</f>
        <v>1500.7859999999998</v>
      </c>
      <c r="V1245" s="15">
        <f>IFERROR(ROUND(DATA[[#This Row],[SUB TOTAL]]+DATA[[#This Row],[IGV]],2),0)</f>
        <v>9838.49</v>
      </c>
      <c r="W1245" s="16" t="str">
        <f>IF(DATA[[#This Row],[VALORIZACIÓN ]]="-","NO CORRESPONDE",IF(OR(A1245=20558226979,A1245=10470707866,A1245=20111157058,A1245=20100226902),"NO CORRESPONDE",IF(J1245="Emitida",IF(P1245&gt;0,"EMITIDA","PENDIENTE"),"NO CORRESPONDE")))</f>
        <v>EMITIDA</v>
      </c>
      <c r="X1245" s="29"/>
      <c r="Y1245" s="17" t="s">
        <v>118</v>
      </c>
      <c r="Z1245" s="30">
        <v>45943</v>
      </c>
      <c r="AA1245" s="10" t="s">
        <v>150</v>
      </c>
      <c r="AB1245" s="19">
        <v>290</v>
      </c>
      <c r="AC1245" s="20">
        <v>15</v>
      </c>
      <c r="AD1245" s="18">
        <f>DATA[[#This Row],[FECHA DE EMISION]]+DATA[[#This Row],[CONDICION DE PAGO]]</f>
        <v>45958</v>
      </c>
      <c r="AE1245" s="23">
        <f>IF(DATA[[#This Row],[MONEDA]]="USD",VLOOKUP(DATA[[#This Row],[COMBINADA]],#REF!,11,0),1)</f>
        <v>1</v>
      </c>
      <c r="AF1245" s="129" t="str">
        <f>IF(DATA[[#This Row],[SERIE2]]="-","NO CORRESPONDE",IF(W1245="NO CORRESPONDE","NO CORRESPONDE",IF(Z1245&gt;0,"FACTURADO","PENDIENTE")))</f>
        <v>FACTURADO</v>
      </c>
      <c r="AG1245" s="133">
        <f>IFERROR(VLOOKUP(DATA[[#This Row],[COMBINADA]],#REF!,6,0),0)</f>
        <v>0</v>
      </c>
      <c r="AH1245" s="125">
        <f>IFERROR(VLOOKUP(DATA[[#This Row],[COMBINADA]],#REF!,9,0),0)/COUNTIFS(DATA[COMBINADA],DATA[[#This Row],[COMBINADA]])</f>
        <v>0</v>
      </c>
      <c r="AI1245" s="136">
        <f>IFERROR(VLOOKUP(DATA[[#This Row],[COMBINADA]],#REF!,6,0),0)</f>
        <v>0</v>
      </c>
      <c r="AJ1245" s="132">
        <f>IFERROR(VLOOKUP(DATA[[#This Row],[COMBINADA]],#REF!,9,0),0)/COUNTIFS(DATA[COMBINADA],DATA[[#This Row],[COMBINADA]])</f>
        <v>0</v>
      </c>
      <c r="AK1245" s="407">
        <f>IFERROR(VLOOKUP(DATA[[#This Row],[COMBINADA]],#REF!,6,0),0)</f>
        <v>0</v>
      </c>
      <c r="AL1245" s="125">
        <f>IFERROR(VLOOKUP(DATA[[#This Row],[COMBINADA]],#REF!,9,0),0)/COUNTIFS(DATA[COMBINADA],DATA[[#This Row],[COMBINADA]])</f>
        <v>0</v>
      </c>
      <c r="AM1245" s="27">
        <f>IFERROR(VLOOKUP(DATA[[#This Row],[COMBINADA]],#REF!,6,0),0)</f>
        <v>0</v>
      </c>
      <c r="AN1245" s="125">
        <f>IFERROR(VLOOKUP(DATA[[#This Row],[COMBINADA]],#REF!,9,0),0)/COUNTIFS(DATA[COMBINADA],DATA[[#This Row],[COMBINADA]])</f>
        <v>0</v>
      </c>
      <c r="AO1245" s="27">
        <f>IFERROR(VLOOKUP(DATA[[#This Row],[COMBINADA]],#REF!,6,0),0)</f>
        <v>0</v>
      </c>
      <c r="AP1245" s="132">
        <f>IFERROR(VLOOKUP(DATA[[#This Row],[COMBINADA]],#REF!,9,0),0)/COUNTIFS(DATA[COMBINADA],DATA[[#This Row],[COMBINADA]])</f>
        <v>0</v>
      </c>
      <c r="AQ124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9838.49</v>
      </c>
      <c r="AR1245" s="26" t="str">
        <f>IFERROR(IF(DATA[[#This Row],[estado_fact]]="FACTURADO",VLOOKUP(DATA[[#This Row],[SERIE2]]&amp;"-"&amp;DATA[[#This Row],[NUMERO]],#REF!,34,0),"NO CORRESPONDE"),"NO CORRESPONDE")</f>
        <v>NO CORRESPONDE</v>
      </c>
      <c r="AS1245" s="22" t="str">
        <f>IF(DATA[[#This Row],[fecha_fs]]&gt;0,TEXT(DATA[[#This Row],[fecha_fs]],"Mmmm"),0)</f>
        <v>Setiembre</v>
      </c>
      <c r="AT1245" s="22" t="str">
        <f>DATA[[#This Row],[SERIE2]]&amp;"-"&amp;DATA[[#This Row],[NUMERO]]</f>
        <v>FF01-290</v>
      </c>
      <c r="AU1245" s="28">
        <f>DATA[[#This Row],[TOTAL]]*DATA[[#This Row],[T.C.]]</f>
        <v>9838.49</v>
      </c>
      <c r="AV1245" s="6">
        <f>DATA[[#This Row],[FECHA DE VAL.]]</f>
        <v>45926</v>
      </c>
      <c r="AW1245" s="6">
        <f>DATA[[#This Row],[FECHA DE EMISION]]</f>
        <v>45943</v>
      </c>
      <c r="AX1245" s="6">
        <f>DATA[[#This Row],[F1]]</f>
        <v>0</v>
      </c>
      <c r="AY1245" s="20">
        <f>IF(AV1245-DATA[[#This Row],[fecha_fs]]&lt;0,0,AV1245-DATA[[#This Row],[fecha_fs]])</f>
        <v>1</v>
      </c>
      <c r="AZ1245" s="20">
        <f t="shared" si="287"/>
        <v>17</v>
      </c>
      <c r="BA1245" s="53">
        <f t="shared" si="288"/>
        <v>0</v>
      </c>
      <c r="BB1245" s="195">
        <f>IFERROR(SUM(DATA[[#This Row],[fs_val_ttf]:[fact_pago_ttf]]),0)</f>
        <v>18</v>
      </c>
      <c r="BC1245" s="233">
        <v>45929</v>
      </c>
      <c r="BD1245" s="233">
        <v>45933</v>
      </c>
      <c r="BE1245" s="233">
        <v>45936</v>
      </c>
      <c r="BF1245" s="276" t="s">
        <v>270</v>
      </c>
      <c r="BG1245" s="20">
        <f>IFERROR(IF(BC1245-DATA[[#This Row],[fecha_fs]]&lt;0,0,BC1245-DATA[[#This Row],[fecha_fs]]),0)</f>
        <v>4</v>
      </c>
      <c r="BH1245" s="20">
        <f t="shared" si="289"/>
        <v>4</v>
      </c>
      <c r="BI1245" s="20">
        <f t="shared" si="290"/>
        <v>3</v>
      </c>
      <c r="BJ1245" s="20">
        <f t="shared" si="291"/>
        <v>0</v>
      </c>
      <c r="BK1245" s="282">
        <f>IFERROR(SUM(DATA[[#This Row],[fs_fd_ttd]:[fend_fenf_ttd]]),0)</f>
        <v>11</v>
      </c>
      <c r="BL1245" s="20" t="str">
        <f>IF(DATA[[#This Row],[fecha_fs]]&gt;0,TEXT(DATA[[#This Row],[fecha_fs]],"YYYY"),0)</f>
        <v>2025</v>
      </c>
      <c r="BM1245" s="236" t="b">
        <v>0</v>
      </c>
      <c r="BN1245" s="278">
        <f>COUNTIF(DATA[[#This Row],[tiempo_td]], "&lt;=15")</f>
        <v>1</v>
      </c>
      <c r="BO1245" s="222"/>
    </row>
    <row r="1246" spans="1:67" ht="30.6" customHeight="1" x14ac:dyDescent="0.25">
      <c r="A1246" s="4">
        <v>20610105620</v>
      </c>
      <c r="B1246" s="5" t="s">
        <v>311</v>
      </c>
      <c r="C1246" s="52" t="s">
        <v>312</v>
      </c>
      <c r="D1246" s="4" t="s">
        <v>120</v>
      </c>
      <c r="E1246" s="5" t="s">
        <v>3</v>
      </c>
      <c r="F1246" s="24">
        <v>45925</v>
      </c>
      <c r="G1246" s="7" t="s">
        <v>113</v>
      </c>
      <c r="H1246" s="25">
        <f t="shared" ref="H1246:H1259" si="292">IF(G1246="","",IF(G1246="LIM",2,1))</f>
        <v>1</v>
      </c>
      <c r="I1246" s="67">
        <v>5040</v>
      </c>
      <c r="J1246" s="8" t="s">
        <v>115</v>
      </c>
      <c r="K1246" s="9" t="s">
        <v>121</v>
      </c>
      <c r="L1246" s="10" t="s">
        <v>117</v>
      </c>
      <c r="M1246" s="11">
        <v>1100</v>
      </c>
      <c r="N1246" s="12" t="s">
        <v>167</v>
      </c>
      <c r="O1246" s="6">
        <v>45930</v>
      </c>
      <c r="P1246" s="370">
        <v>3709</v>
      </c>
      <c r="Q1246" s="14" t="s">
        <v>85</v>
      </c>
      <c r="R1246" s="237">
        <f>80+((DATA[[#This Row],[cantidad_fs]]-1000)*0.08)</f>
        <v>88</v>
      </c>
      <c r="S1246" s="321">
        <v>2120</v>
      </c>
      <c r="T1246" s="237">
        <f>DATA[[#This Row],[C. DF]]+DATA[[#This Row],[C.OPE.]]</f>
        <v>2208</v>
      </c>
      <c r="U1246" s="15">
        <f>DATA[[#This Row],[SUB TOTAL]]*0.18</f>
        <v>397.44</v>
      </c>
      <c r="V1246" s="15">
        <f>IFERROR(ROUND(DATA[[#This Row],[SUB TOTAL]]+DATA[[#This Row],[IGV]],2),0)</f>
        <v>2605.44</v>
      </c>
      <c r="W1246" s="16" t="str">
        <f>IF(DATA[[#This Row],[VALORIZACIÓN ]]="-","NO CORRESPONDE",IF(OR(A1246=20558226979,A1246=10470707866,A1246=20111157058,A1246=20100226902),"NO CORRESPONDE",IF(J1246="Emitida",IF(P1246&gt;0,"EMITIDA","PENDIENTE"),"NO CORRESPONDE")))</f>
        <v>EMITIDA</v>
      </c>
      <c r="X1246" s="29"/>
      <c r="Y1246" s="17" t="s">
        <v>118</v>
      </c>
      <c r="Z1246" s="30">
        <v>45968</v>
      </c>
      <c r="AA1246" s="10" t="s">
        <v>150</v>
      </c>
      <c r="AB1246" s="19">
        <v>349</v>
      </c>
      <c r="AC1246" s="20">
        <v>30</v>
      </c>
      <c r="AD1246" s="18">
        <f>DATA[[#This Row],[FECHA DE EMISION]]+DATA[[#This Row],[CONDICION DE PAGO]]</f>
        <v>45998</v>
      </c>
      <c r="AE1246" s="23">
        <f>IF(DATA[[#This Row],[MONEDA]]="USD",VLOOKUP(DATA[[#This Row],[COMBINADA]],#REF!,11,0),1)</f>
        <v>1</v>
      </c>
      <c r="AF1246" s="129" t="str">
        <f>IF(DATA[[#This Row],[SERIE2]]="-","NO CORRESPONDE",IF(W1246="NO CORRESPONDE","NO CORRESPONDE",IF(Z1246&gt;0,"FACTURADO","PENDIENTE")))</f>
        <v>FACTURADO</v>
      </c>
      <c r="AG1246" s="133">
        <f>IFERROR(VLOOKUP(DATA[[#This Row],[COMBINADA]],#REF!,6,0),0)</f>
        <v>0</v>
      </c>
      <c r="AH1246" s="125">
        <f>IFERROR(VLOOKUP(DATA[[#This Row],[COMBINADA]],#REF!,9,0),0)/COUNTIFS(DATA[COMBINADA],DATA[[#This Row],[COMBINADA]])</f>
        <v>0</v>
      </c>
      <c r="AI1246" s="136">
        <f>IFERROR(VLOOKUP(DATA[[#This Row],[COMBINADA]],#REF!,6,0),0)</f>
        <v>0</v>
      </c>
      <c r="AJ1246" s="132">
        <f>IFERROR(VLOOKUP(DATA[[#This Row],[COMBINADA]],#REF!,9,0),0)/COUNTIFS(DATA[COMBINADA],DATA[[#This Row],[COMBINADA]])</f>
        <v>0</v>
      </c>
      <c r="AK1246" s="407">
        <f>IFERROR(VLOOKUP(DATA[[#This Row],[COMBINADA]],#REF!,6,0),0)</f>
        <v>0</v>
      </c>
      <c r="AL1246" s="125">
        <f>IFERROR(VLOOKUP(DATA[[#This Row],[COMBINADA]],#REF!,9,0),0)/COUNTIFS(DATA[COMBINADA],DATA[[#This Row],[COMBINADA]])</f>
        <v>0</v>
      </c>
      <c r="AM1246" s="27">
        <f>IFERROR(VLOOKUP(DATA[[#This Row],[COMBINADA]],#REF!,6,0),0)</f>
        <v>0</v>
      </c>
      <c r="AN1246" s="125">
        <f>IFERROR(VLOOKUP(DATA[[#This Row],[COMBINADA]],#REF!,9,0),0)/COUNTIFS(DATA[COMBINADA],DATA[[#This Row],[COMBINADA]])</f>
        <v>0</v>
      </c>
      <c r="AO1246" s="27">
        <f>IFERROR(VLOOKUP(DATA[[#This Row],[COMBINADA]],#REF!,6,0),0)</f>
        <v>0</v>
      </c>
      <c r="AP1246" s="132">
        <f>IFERROR(VLOOKUP(DATA[[#This Row],[COMBINADA]],#REF!,9,0),0)/COUNTIFS(DATA[COMBINADA],DATA[[#This Row],[COMBINADA]])</f>
        <v>0</v>
      </c>
      <c r="AQ124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2515.7599999999998</v>
      </c>
      <c r="AR1246" s="26" t="str">
        <f>IFERROR(IF(DATA[[#This Row],[estado_fact]]="FACTURADO",VLOOKUP(DATA[[#This Row],[SERIE2]]&amp;"-"&amp;DATA[[#This Row],[NUMERO]],#REF!,34,0),"NO CORRESPONDE"),"NO CORRESPONDE")</f>
        <v>NO CORRESPONDE</v>
      </c>
      <c r="AS1246" s="22" t="str">
        <f>IF(DATA[[#This Row],[fecha_fs]]&gt;0,TEXT(DATA[[#This Row],[fecha_fs]],"Mmmm"),0)</f>
        <v>Setiembre</v>
      </c>
      <c r="AT1246" s="22" t="str">
        <f>DATA[[#This Row],[SERIE2]]&amp;"-"&amp;DATA[[#This Row],[NUMERO]]</f>
        <v>FF01-349</v>
      </c>
      <c r="AU1246" s="28">
        <f>DATA[[#This Row],[TOTAL]]*DATA[[#This Row],[T.C.]]</f>
        <v>2605.44</v>
      </c>
      <c r="AV1246" s="6">
        <f>DATA[[#This Row],[FECHA DE VAL.]]</f>
        <v>45930</v>
      </c>
      <c r="AW1246" s="6">
        <f>DATA[[#This Row],[FECHA DE EMISION]]</f>
        <v>45968</v>
      </c>
      <c r="AX1246" s="6">
        <f>DATA[[#This Row],[F1]]</f>
        <v>0</v>
      </c>
      <c r="AY1246" s="20">
        <f>IF(AV1246-DATA[[#This Row],[fecha_fs]]&lt;0,0,AV1246-DATA[[#This Row],[fecha_fs]])</f>
        <v>5</v>
      </c>
      <c r="AZ1246" s="20">
        <f t="shared" si="287"/>
        <v>38</v>
      </c>
      <c r="BA1246" s="53">
        <f t="shared" si="288"/>
        <v>0</v>
      </c>
      <c r="BB1246" s="195">
        <f>IFERROR(SUM(DATA[[#This Row],[fs_val_ttf]:[fact_pago_ttf]]),0)</f>
        <v>43</v>
      </c>
      <c r="BC1246" s="233">
        <v>45925</v>
      </c>
      <c r="BD1246" s="233">
        <v>45932</v>
      </c>
      <c r="BE1246" s="233">
        <v>45936</v>
      </c>
      <c r="BF1246" s="233">
        <v>45957</v>
      </c>
      <c r="BG1246" s="20">
        <f>IFERROR(IF(BC1246-DATA[[#This Row],[fecha_fs]]&lt;0,0,BC1246-DATA[[#This Row],[fecha_fs]]),0)</f>
        <v>0</v>
      </c>
      <c r="BH1246" s="20">
        <f t="shared" si="289"/>
        <v>7</v>
      </c>
      <c r="BI1246" s="20">
        <f t="shared" si="290"/>
        <v>4</v>
      </c>
      <c r="BJ1246" s="20">
        <f t="shared" si="291"/>
        <v>21</v>
      </c>
      <c r="BK1246" s="282">
        <f>IFERROR(SUM(DATA[[#This Row],[fs_fd_ttd]:[fend_fenf_ttd]]),0)</f>
        <v>32</v>
      </c>
      <c r="BL1246" s="20" t="str">
        <f>IF(DATA[[#This Row],[fecha_fs]]&gt;0,TEXT(DATA[[#This Row],[fecha_fs]],"YYYY"),0)</f>
        <v>2025</v>
      </c>
      <c r="BM1246" s="236" t="b">
        <v>1</v>
      </c>
      <c r="BN1246" s="278">
        <f>COUNTIF(DATA[[#This Row],[tiempo_td]], "&lt;=15")</f>
        <v>0</v>
      </c>
      <c r="BO1246" s="222"/>
    </row>
    <row r="1247" spans="1:67" ht="30.6" customHeight="1" x14ac:dyDescent="0.25">
      <c r="A1247" s="4">
        <v>20100055237</v>
      </c>
      <c r="B1247" s="5" t="s">
        <v>21</v>
      </c>
      <c r="C1247" s="52" t="s">
        <v>138</v>
      </c>
      <c r="D1247" s="4" t="s">
        <v>139</v>
      </c>
      <c r="E1247" s="5" t="s">
        <v>23</v>
      </c>
      <c r="F1247" s="24">
        <v>45925</v>
      </c>
      <c r="G1247" s="7" t="s">
        <v>113</v>
      </c>
      <c r="H1247" s="25">
        <f t="shared" si="292"/>
        <v>1</v>
      </c>
      <c r="I1247" s="67">
        <v>5041</v>
      </c>
      <c r="J1247" s="8" t="s">
        <v>115</v>
      </c>
      <c r="K1247" s="9" t="s">
        <v>121</v>
      </c>
      <c r="L1247" s="10" t="s">
        <v>117</v>
      </c>
      <c r="M1247" s="11">
        <v>50</v>
      </c>
      <c r="N1247" s="12" t="s">
        <v>200</v>
      </c>
      <c r="O1247" s="6">
        <v>45930</v>
      </c>
      <c r="P1247" s="369">
        <v>3707</v>
      </c>
      <c r="Q1247" s="14" t="s">
        <v>85</v>
      </c>
      <c r="R1247" s="321"/>
      <c r="S1247" s="321">
        <v>297.92</v>
      </c>
      <c r="T1247" s="237">
        <f>DATA[[#This Row],[C. DF]]+DATA[[#This Row],[C.OPE.]]</f>
        <v>297.92</v>
      </c>
      <c r="U1247" s="15">
        <f>DATA[[#This Row],[SUB TOTAL]]*0.18</f>
        <v>53.625599999999999</v>
      </c>
      <c r="V1247" s="15">
        <f>IFERROR(ROUND(DATA[[#This Row],[SUB TOTAL]]+DATA[[#This Row],[IGV]],2),0)</f>
        <v>351.55</v>
      </c>
      <c r="W1247" s="16" t="str">
        <f>IF(DATA[[#This Row],[VALORIZACIÓN ]]="-","NO CORRESPONDE",IF(OR(A1247=20558226979,A1247=10470707866,A1247=20111157058,A1247=20100226902),"NO CORRESPONDE",IF(J1247="Emitida",IF(P1247&gt;0,"EMITIDA","PENDIENTE"),"NO CORRESPONDE")))</f>
        <v>EMITIDA</v>
      </c>
      <c r="X1247" s="29"/>
      <c r="Y1247" s="17" t="s">
        <v>118</v>
      </c>
      <c r="Z1247" s="30">
        <v>45940</v>
      </c>
      <c r="AA1247" s="10" t="s">
        <v>150</v>
      </c>
      <c r="AB1247" s="19">
        <v>286</v>
      </c>
      <c r="AC1247" s="20">
        <v>30</v>
      </c>
      <c r="AD1247" s="18">
        <f>DATA[[#This Row],[FECHA DE EMISION]]+DATA[[#This Row],[CONDICION DE PAGO]]</f>
        <v>45970</v>
      </c>
      <c r="AE1247" s="23">
        <f>IF(DATA[[#This Row],[MONEDA]]="USD",VLOOKUP(DATA[[#This Row],[COMBINADA]],#REF!,11,0),1)</f>
        <v>1</v>
      </c>
      <c r="AF1247" s="129" t="str">
        <f>IF(DATA[[#This Row],[SERIE2]]="-","NO CORRESPONDE",IF(W1247="NO CORRESPONDE","NO CORRESPONDE",IF(Z1247&gt;0,"FACTURADO","PENDIENTE")))</f>
        <v>FACTURADO</v>
      </c>
      <c r="AG1247" s="133">
        <f>IFERROR(VLOOKUP(DATA[[#This Row],[COMBINADA]],#REF!,6,0),0)</f>
        <v>0</v>
      </c>
      <c r="AH1247" s="125">
        <f>IFERROR(VLOOKUP(DATA[[#This Row],[COMBINADA]],#REF!,9,0),0)/COUNTIFS(DATA[COMBINADA],DATA[[#This Row],[COMBINADA]])</f>
        <v>0</v>
      </c>
      <c r="AI1247" s="136">
        <f>IFERROR(VLOOKUP(DATA[[#This Row],[COMBINADA]],#REF!,6,0),0)</f>
        <v>0</v>
      </c>
      <c r="AJ1247" s="132">
        <f>IFERROR(VLOOKUP(DATA[[#This Row],[COMBINADA]],#REF!,9,0),0)/COUNTIFS(DATA[COMBINADA],DATA[[#This Row],[COMBINADA]])</f>
        <v>0</v>
      </c>
      <c r="AK1247" s="407">
        <f>IFERROR(VLOOKUP(DATA[[#This Row],[COMBINADA]],#REF!,6,0),0)</f>
        <v>0</v>
      </c>
      <c r="AL1247" s="125">
        <f>IFERROR(VLOOKUP(DATA[[#This Row],[COMBINADA]],#REF!,9,0),0)/COUNTIFS(DATA[COMBINADA],DATA[[#This Row],[COMBINADA]])</f>
        <v>0</v>
      </c>
      <c r="AM1247" s="27">
        <f>IFERROR(VLOOKUP(DATA[[#This Row],[COMBINADA]],#REF!,6,0),0)</f>
        <v>0</v>
      </c>
      <c r="AN1247" s="125">
        <f>IFERROR(VLOOKUP(DATA[[#This Row],[COMBINADA]],#REF!,9,0),0)/COUNTIFS(DATA[COMBINADA],DATA[[#This Row],[COMBINADA]])</f>
        <v>0</v>
      </c>
      <c r="AO1247" s="27">
        <f>IFERROR(VLOOKUP(DATA[[#This Row],[COMBINADA]],#REF!,6,0),0)</f>
        <v>0</v>
      </c>
      <c r="AP1247" s="132">
        <f>IFERROR(VLOOKUP(DATA[[#This Row],[COMBINADA]],#REF!,9,0),0)/COUNTIFS(DATA[COMBINADA],DATA[[#This Row],[COMBINADA]])</f>
        <v>0</v>
      </c>
      <c r="AQ124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247" s="26" t="str">
        <f>IFERROR(IF(DATA[[#This Row],[estado_fact]]="FACTURADO",VLOOKUP(DATA[[#This Row],[SERIE2]]&amp;"-"&amp;DATA[[#This Row],[NUMERO]],#REF!,34,0),"NO CORRESPONDE"),"NO CORRESPONDE")</f>
        <v>NO CORRESPONDE</v>
      </c>
      <c r="AS1247" s="22" t="str">
        <f>IF(DATA[[#This Row],[fecha_fs]]&gt;0,TEXT(DATA[[#This Row],[fecha_fs]],"Mmmm"),0)</f>
        <v>Setiembre</v>
      </c>
      <c r="AT1247" s="22" t="str">
        <f>DATA[[#This Row],[SERIE2]]&amp;"-"&amp;DATA[[#This Row],[NUMERO]]</f>
        <v>FF01-286</v>
      </c>
      <c r="AU1247" s="28">
        <f>DATA[[#This Row],[TOTAL]]*DATA[[#This Row],[T.C.]]</f>
        <v>351.55</v>
      </c>
      <c r="AV1247" s="6">
        <f>DATA[[#This Row],[FECHA DE VAL.]]</f>
        <v>45930</v>
      </c>
      <c r="AW1247" s="6">
        <f>DATA[[#This Row],[FECHA DE EMISION]]</f>
        <v>45940</v>
      </c>
      <c r="AX1247" s="6">
        <f>DATA[[#This Row],[F1]]</f>
        <v>0</v>
      </c>
      <c r="AY1247" s="20">
        <f>IF(AV1247-DATA[[#This Row],[fecha_fs]]&lt;0,0,AV1247-DATA[[#This Row],[fecha_fs]])</f>
        <v>5</v>
      </c>
      <c r="AZ1247" s="20">
        <f t="shared" si="287"/>
        <v>10</v>
      </c>
      <c r="BA1247" s="53">
        <f t="shared" si="288"/>
        <v>0</v>
      </c>
      <c r="BB1247" s="195">
        <f>IFERROR(SUM(DATA[[#This Row],[fs_val_ttf]:[fact_pago_ttf]]),0)</f>
        <v>15</v>
      </c>
      <c r="BC1247" s="233">
        <v>45925</v>
      </c>
      <c r="BD1247" s="233">
        <v>45925</v>
      </c>
      <c r="BE1247" s="233">
        <v>45932</v>
      </c>
      <c r="BF1247" s="233">
        <v>45932</v>
      </c>
      <c r="BG1247" s="20">
        <f>IFERROR(IF(BC1247-DATA[[#This Row],[fecha_fs]]&lt;0,0,BC1247-DATA[[#This Row],[fecha_fs]]),0)</f>
        <v>0</v>
      </c>
      <c r="BH1247" s="20">
        <f t="shared" si="289"/>
        <v>0</v>
      </c>
      <c r="BI1247" s="20">
        <f t="shared" si="290"/>
        <v>7</v>
      </c>
      <c r="BJ1247" s="20">
        <f t="shared" si="291"/>
        <v>0</v>
      </c>
      <c r="BK1247" s="282">
        <f>IFERROR(SUM(DATA[[#This Row],[fs_fd_ttd]:[fend_fenf_ttd]]),0)</f>
        <v>7</v>
      </c>
      <c r="BL1247" s="20" t="str">
        <f>IF(DATA[[#This Row],[fecha_fs]]&gt;0,TEXT(DATA[[#This Row],[fecha_fs]],"YYYY"),0)</f>
        <v>2025</v>
      </c>
      <c r="BM1247" s="236" t="b">
        <v>1</v>
      </c>
      <c r="BN1247" s="278">
        <f>COUNTIF(DATA[[#This Row],[tiempo_td]], "&lt;=15")</f>
        <v>1</v>
      </c>
      <c r="BO1247" s="222"/>
    </row>
    <row r="1248" spans="1:67" ht="30.6" customHeight="1" x14ac:dyDescent="0.25">
      <c r="A1248" s="4">
        <v>20100192064</v>
      </c>
      <c r="B1248" s="5" t="s">
        <v>60</v>
      </c>
      <c r="C1248" s="52" t="s">
        <v>64</v>
      </c>
      <c r="D1248" s="4" t="s">
        <v>112</v>
      </c>
      <c r="E1248" s="5" t="s">
        <v>1</v>
      </c>
      <c r="F1248" s="24">
        <v>45925</v>
      </c>
      <c r="G1248" s="7" t="s">
        <v>113</v>
      </c>
      <c r="H1248" s="25">
        <f t="shared" si="292"/>
        <v>1</v>
      </c>
      <c r="I1248" s="67">
        <v>5042</v>
      </c>
      <c r="J1248" s="8" t="s">
        <v>115</v>
      </c>
      <c r="K1248" s="9" t="s">
        <v>136</v>
      </c>
      <c r="L1248" s="10" t="s">
        <v>137</v>
      </c>
      <c r="M1248" s="11">
        <v>36</v>
      </c>
      <c r="N1248" s="12" t="s">
        <v>135</v>
      </c>
      <c r="O1248" s="6">
        <v>45926</v>
      </c>
      <c r="P1248" s="71">
        <v>3693</v>
      </c>
      <c r="Q1248" s="14" t="s">
        <v>123</v>
      </c>
      <c r="R1248" s="15">
        <f>DATA[[#This Row],[cantidad_fs]]*23.7</f>
        <v>853.19999999999993</v>
      </c>
      <c r="S1248" s="74"/>
      <c r="T1248" s="237">
        <f>DATA[[#This Row],[C. DF]]+DATA[[#This Row],[C.OPE.]]</f>
        <v>853.19999999999993</v>
      </c>
      <c r="U1248" s="15">
        <f>DATA[[#This Row],[SUB TOTAL]]*0.18</f>
        <v>153.57599999999999</v>
      </c>
      <c r="V1248" s="15">
        <f>IFERROR(ROUND(DATA[[#This Row],[SUB TOTAL]]+DATA[[#This Row],[IGV]],2),0)</f>
        <v>1006.78</v>
      </c>
      <c r="W1248" s="16" t="str">
        <f>IF(DATA[[#This Row],[VALORIZACIÓN ]]="-","NO CORRESPONDE",IF(OR(A1248=20558226979,A1248=10470707866,A1248=20111157058,A1248=20100226902),"NO CORRESPONDE",IF(J1248="Emitida",IF(P1248&gt;0,"EMITIDA","PENDIENTE"),"NO CORRESPONDE")))</f>
        <v>EMITIDA</v>
      </c>
      <c r="X1248" s="29"/>
      <c r="Y1248" s="17" t="s">
        <v>118</v>
      </c>
      <c r="Z1248" s="30">
        <v>45930</v>
      </c>
      <c r="AA1248" s="10" t="s">
        <v>349</v>
      </c>
      <c r="AB1248" s="19">
        <v>3</v>
      </c>
      <c r="AC1248" s="20">
        <v>30</v>
      </c>
      <c r="AD1248" s="18">
        <f>DATA[[#This Row],[FECHA DE EMISION]]+DATA[[#This Row],[CONDICION DE PAGO]]</f>
        <v>45960</v>
      </c>
      <c r="AE1248" s="23" t="e">
        <f>IF(DATA[[#This Row],[MONEDA]]="USD",VLOOKUP(DATA[[#This Row],[COMBINADA]],#REF!,11,0),1)</f>
        <v>#REF!</v>
      </c>
      <c r="AF1248" s="129" t="str">
        <f>IF(DATA[[#This Row],[SERIE2]]="-","NO CORRESPONDE",IF(W1248="NO CORRESPONDE","NO CORRESPONDE",IF(Z1248&gt;0,"FACTURADO","PENDIENTE")))</f>
        <v>FACTURADO</v>
      </c>
      <c r="AG1248" s="133">
        <f>IFERROR(VLOOKUP(DATA[[#This Row],[COMBINADA]],#REF!,6,0),0)</f>
        <v>0</v>
      </c>
      <c r="AH1248" s="125">
        <f>IFERROR(VLOOKUP(DATA[[#This Row],[COMBINADA]],#REF!,9,0),0)/COUNTIFS(DATA[COMBINADA],DATA[[#This Row],[COMBINADA]])</f>
        <v>0</v>
      </c>
      <c r="AI1248" s="136">
        <f>IFERROR(VLOOKUP(DATA[[#This Row],[COMBINADA]],#REF!,6,0),0)</f>
        <v>0</v>
      </c>
      <c r="AJ1248" s="132">
        <f>IFERROR(VLOOKUP(DATA[[#This Row],[COMBINADA]],#REF!,9,0),0)/COUNTIFS(DATA[COMBINADA],DATA[[#This Row],[COMBINADA]])</f>
        <v>0</v>
      </c>
      <c r="AK1248" s="407">
        <f>IFERROR(VLOOKUP(DATA[[#This Row],[COMBINADA]],#REF!,6,0),0)</f>
        <v>0</v>
      </c>
      <c r="AL1248" s="125">
        <f>IFERROR(VLOOKUP(DATA[[#This Row],[COMBINADA]],#REF!,9,0),0)/COUNTIFS(DATA[COMBINADA],DATA[[#This Row],[COMBINADA]])</f>
        <v>0</v>
      </c>
      <c r="AM1248" s="27">
        <f>IFERROR(VLOOKUP(DATA[[#This Row],[COMBINADA]],#REF!,6,0),0)</f>
        <v>0</v>
      </c>
      <c r="AN1248" s="125">
        <f>IFERROR(VLOOKUP(DATA[[#This Row],[COMBINADA]],#REF!,9,0),0)/COUNTIFS(DATA[COMBINADA],DATA[[#This Row],[COMBINADA]])</f>
        <v>0</v>
      </c>
      <c r="AO1248" s="27">
        <f>IFERROR(VLOOKUP(DATA[[#This Row],[COMBINADA]],#REF!,6,0),0)</f>
        <v>0</v>
      </c>
      <c r="AP1248" s="132">
        <f>IFERROR(VLOOKUP(DATA[[#This Row],[COMBINADA]],#REF!,9,0),0)/COUNTIFS(DATA[COMBINADA],DATA[[#This Row],[COMBINADA]])</f>
        <v>0</v>
      </c>
      <c r="AQ124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542.36833333333334</v>
      </c>
      <c r="AR1248" s="26" t="str">
        <f>IFERROR(IF(DATA[[#This Row],[estado_fact]]="FACTURADO",VLOOKUP(DATA[[#This Row],[SERIE2]]&amp;"-"&amp;DATA[[#This Row],[NUMERO]],#REF!,34,0),"NO CORRESPONDE"),"NO CORRESPONDE")</f>
        <v>NO CORRESPONDE</v>
      </c>
      <c r="AS1248" s="22" t="str">
        <f>IF(DATA[[#This Row],[fecha_fs]]&gt;0,TEXT(DATA[[#This Row],[fecha_fs]],"Mmmm"),0)</f>
        <v>Setiembre</v>
      </c>
      <c r="AT1248" s="22" t="str">
        <f>DATA[[#This Row],[SERIE2]]&amp;"-"&amp;DATA[[#This Row],[NUMERO]]</f>
        <v>FF04-3</v>
      </c>
      <c r="AU1248" s="28" t="e">
        <f>DATA[[#This Row],[TOTAL]]*DATA[[#This Row],[T.C.]]</f>
        <v>#REF!</v>
      </c>
      <c r="AV1248" s="6">
        <f>DATA[[#This Row],[FECHA DE VAL.]]</f>
        <v>45926</v>
      </c>
      <c r="AW1248" s="6">
        <f>DATA[[#This Row],[FECHA DE EMISION]]</f>
        <v>45930</v>
      </c>
      <c r="AX1248" s="6">
        <f>DATA[[#This Row],[F1]]</f>
        <v>0</v>
      </c>
      <c r="AY1248" s="20">
        <f>IF(AV1248-DATA[[#This Row],[fecha_fs]]&lt;0,0,AV1248-DATA[[#This Row],[fecha_fs]])</f>
        <v>1</v>
      </c>
      <c r="AZ1248" s="20">
        <f t="shared" si="287"/>
        <v>4</v>
      </c>
      <c r="BA1248" s="53">
        <f t="shared" si="288"/>
        <v>0</v>
      </c>
      <c r="BB1248" s="195">
        <f>IFERROR(SUM(DATA[[#This Row],[fs_val_ttf]:[fact_pago_ttf]]),0)</f>
        <v>5</v>
      </c>
      <c r="BC1248" s="233">
        <v>45932</v>
      </c>
      <c r="BD1248" s="233">
        <v>45951</v>
      </c>
      <c r="BE1248" s="233">
        <v>45951</v>
      </c>
      <c r="BF1248" s="276" t="s">
        <v>270</v>
      </c>
      <c r="BG1248" s="20">
        <f>IFERROR(IF(BC1248-DATA[[#This Row],[fecha_fs]]&lt;0,0,BC1248-DATA[[#This Row],[fecha_fs]]),0)</f>
        <v>7</v>
      </c>
      <c r="BH1248" s="20">
        <f t="shared" si="289"/>
        <v>19</v>
      </c>
      <c r="BI1248" s="20">
        <f t="shared" si="290"/>
        <v>0</v>
      </c>
      <c r="BJ1248" s="20">
        <f t="shared" si="291"/>
        <v>0</v>
      </c>
      <c r="BK1248" s="282">
        <f>IFERROR(SUM(DATA[[#This Row],[fs_fd_ttd]:[fend_fenf_ttd]]),0)</f>
        <v>26</v>
      </c>
      <c r="BL1248" s="20" t="str">
        <f>IF(DATA[[#This Row],[fecha_fs]]&gt;0,TEXT(DATA[[#This Row],[fecha_fs]],"YYYY"),0)</f>
        <v>2025</v>
      </c>
      <c r="BM1248" s="236" t="b">
        <v>0</v>
      </c>
      <c r="BN1248" s="278">
        <f>COUNTIF(DATA[[#This Row],[tiempo_td]], "&lt;=15")</f>
        <v>0</v>
      </c>
      <c r="BO1248" s="222"/>
    </row>
    <row r="1249" spans="1:67" ht="30.6" customHeight="1" x14ac:dyDescent="0.25">
      <c r="A1249" s="4">
        <v>20515415964</v>
      </c>
      <c r="B1249" s="5" t="s">
        <v>345</v>
      </c>
      <c r="C1249" s="52" t="s">
        <v>194</v>
      </c>
      <c r="D1249" s="4" t="s">
        <v>290</v>
      </c>
      <c r="E1249" s="5" t="s">
        <v>294</v>
      </c>
      <c r="F1249" s="24">
        <v>45926</v>
      </c>
      <c r="G1249" s="7" t="s">
        <v>142</v>
      </c>
      <c r="H1249" s="25">
        <f t="shared" ref="H1249:H1250" si="293">IF(G1249="","",IF(G1249="LIM",2,1))</f>
        <v>2</v>
      </c>
      <c r="I1249" s="67">
        <v>1145</v>
      </c>
      <c r="J1249" s="8" t="s">
        <v>115</v>
      </c>
      <c r="K1249" s="9" t="s">
        <v>195</v>
      </c>
      <c r="L1249" s="10" t="s">
        <v>117</v>
      </c>
      <c r="M1249" s="11">
        <v>8000</v>
      </c>
      <c r="N1249" s="12" t="s">
        <v>346</v>
      </c>
      <c r="O1249" s="6"/>
      <c r="P1249" s="13" t="s">
        <v>114</v>
      </c>
      <c r="Q1249" s="14" t="s">
        <v>85</v>
      </c>
      <c r="R1249" s="321"/>
      <c r="S1249" s="321"/>
      <c r="T1249" s="321">
        <f>DATA[[#This Row],[C. DF]]+DATA[[#This Row],[C.OPE.]]</f>
        <v>0</v>
      </c>
      <c r="U1249" s="15">
        <f>DATA[[#This Row],[SUB TOTAL]]*0.18</f>
        <v>0</v>
      </c>
      <c r="V1249" s="15">
        <f>IFERROR(ROUND(DATA[[#This Row],[SUB TOTAL]]+DATA[[#This Row],[IGV]],2),0)</f>
        <v>0</v>
      </c>
      <c r="W1249" s="16" t="str">
        <f>IF(DATA[[#This Row],[VALORIZACIÓN ]]="-","NO CORRESPONDE",IF(OR(A1249=20558226979,A1249=10470707866,A1249=20111157058,A1249=20100226902),"NO CORRESPONDE",IF(J1249="Emitida",IF(P1249&gt;0,"EMITIDA","PENDIENTE"),"NO CORRESPONDE")))</f>
        <v>NO CORRESPONDE</v>
      </c>
      <c r="X1249" s="29" t="s">
        <v>350</v>
      </c>
      <c r="Y1249" s="17" t="s">
        <v>232</v>
      </c>
      <c r="Z1249" s="30"/>
      <c r="AA1249" s="10"/>
      <c r="AB1249" s="19"/>
      <c r="AC1249" s="20"/>
      <c r="AD1249" s="18">
        <f>DATA[[#This Row],[FECHA DE EMISION]]+DATA[[#This Row],[CONDICION DE PAGO]]</f>
        <v>0</v>
      </c>
      <c r="AE1249" s="23">
        <f>IF(DATA[[#This Row],[MONEDA]]="USD",VLOOKUP(DATA[[#This Row],[COMBINADA]],#REF!,11,0),1)</f>
        <v>1</v>
      </c>
      <c r="AF1249" s="129" t="str">
        <f>IF(DATA[[#This Row],[SERIE2]]="-","NO CORRESPONDE",IF(W1249="NO CORRESPONDE","NO CORRESPONDE",IF(Z1249&gt;0,"FACTURADO","PENDIENTE")))</f>
        <v>NO CORRESPONDE</v>
      </c>
      <c r="AG1249" s="133">
        <f>IFERROR(VLOOKUP(DATA[[#This Row],[COMBINADA]],#REF!,6,0),0)</f>
        <v>0</v>
      </c>
      <c r="AH1249" s="125">
        <f>IFERROR(VLOOKUP(DATA[[#This Row],[COMBINADA]],#REF!,9,0),0)/COUNTIFS(DATA[COMBINADA],DATA[[#This Row],[COMBINADA]])</f>
        <v>0</v>
      </c>
      <c r="AI1249" s="136">
        <f>IFERROR(VLOOKUP(DATA[[#This Row],[COMBINADA]],#REF!,6,0),0)</f>
        <v>0</v>
      </c>
      <c r="AJ1249" s="132">
        <f>IFERROR(VLOOKUP(DATA[[#This Row],[COMBINADA]],#REF!,9,0),0)/COUNTIFS(DATA[COMBINADA],DATA[[#This Row],[COMBINADA]])</f>
        <v>0</v>
      </c>
      <c r="AK1249" s="407">
        <f>IFERROR(VLOOKUP(DATA[[#This Row],[COMBINADA]],#REF!,6,0),0)</f>
        <v>0</v>
      </c>
      <c r="AL1249" s="125">
        <f>IFERROR(VLOOKUP(DATA[[#This Row],[COMBINADA]],#REF!,9,0),0)/COUNTIFS(DATA[COMBINADA],DATA[[#This Row],[COMBINADA]])</f>
        <v>0</v>
      </c>
      <c r="AM1249" s="27">
        <f>IFERROR(VLOOKUP(DATA[[#This Row],[COMBINADA]],#REF!,6,0),0)</f>
        <v>0</v>
      </c>
      <c r="AN1249" s="125">
        <f>IFERROR(VLOOKUP(DATA[[#This Row],[COMBINADA]],#REF!,9,0),0)/COUNTIFS(DATA[COMBINADA],DATA[[#This Row],[COMBINADA]])</f>
        <v>0</v>
      </c>
      <c r="AO1249" s="27">
        <f>IFERROR(VLOOKUP(DATA[[#This Row],[COMBINADA]],#REF!,6,0),0)</f>
        <v>0</v>
      </c>
      <c r="AP1249" s="132">
        <f>IFERROR(VLOOKUP(DATA[[#This Row],[COMBINADA]],#REF!,9,0),0)/COUNTIFS(DATA[COMBINADA],DATA[[#This Row],[COMBINADA]])</f>
        <v>0</v>
      </c>
      <c r="AQ124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249" s="26" t="str">
        <f>IFERROR(IF(DATA[[#This Row],[estado_fact]]="FACTURADO",VLOOKUP(DATA[[#This Row],[SERIE2]]&amp;"-"&amp;DATA[[#This Row],[NUMERO]],#REF!,34,0),"NO CORRESPONDE"),"NO CORRESPONDE")</f>
        <v>NO CORRESPONDE</v>
      </c>
      <c r="AS1249" s="22" t="str">
        <f>IF(DATA[[#This Row],[fecha_fs]]&gt;0,TEXT(DATA[[#This Row],[fecha_fs]],"Mmmm"),0)</f>
        <v>Setiembre</v>
      </c>
      <c r="AT1249" s="22" t="str">
        <f>DATA[[#This Row],[SERIE2]]&amp;"-"&amp;DATA[[#This Row],[NUMERO]]</f>
        <v>-</v>
      </c>
      <c r="AU1249" s="28">
        <f>DATA[[#This Row],[TOTAL]]*DATA[[#This Row],[T.C.]]</f>
        <v>0</v>
      </c>
      <c r="AV1249" s="6">
        <f>DATA[[#This Row],[FECHA DE VAL.]]</f>
        <v>0</v>
      </c>
      <c r="AW1249" s="6">
        <f>DATA[[#This Row],[FECHA DE EMISION]]</f>
        <v>0</v>
      </c>
      <c r="AX1249" s="6">
        <f>DATA[[#This Row],[F1]]</f>
        <v>0</v>
      </c>
      <c r="AY1249" s="20">
        <f>IF(AV1249-DATA[[#This Row],[fecha_fs]]&lt;0,0,AV1249-DATA[[#This Row],[fecha_fs]])</f>
        <v>0</v>
      </c>
      <c r="AZ1249" s="20">
        <f t="shared" ref="AZ1249:AZ1250" si="294">IF(AW1249-AV1249&lt;0,0,AW1249-AV1249)</f>
        <v>0</v>
      </c>
      <c r="BA1249" s="53">
        <f t="shared" ref="BA1249:BA1250" si="295">IF(AX1249-AW1249&lt;0,0,AX1249-AW1249)</f>
        <v>0</v>
      </c>
      <c r="BB1249" s="195">
        <f>IFERROR(SUM(DATA[[#This Row],[fs_val_ttf]:[fact_pago_ttf]]),0)</f>
        <v>0</v>
      </c>
      <c r="BC1249" s="276"/>
      <c r="BD1249" s="276"/>
      <c r="BE1249" s="276"/>
      <c r="BF1249" s="276"/>
      <c r="BG1249" s="49">
        <f>IFERROR(IF(BC1249-DATA[[#This Row],[fecha_fs]]&lt;0,0,BC1249-DATA[[#This Row],[fecha_fs]]),0)</f>
        <v>0</v>
      </c>
      <c r="BH1249" s="49">
        <f t="shared" ref="BH1249:BH1250" si="296">IFERROR(IF(BD1249-BC1249&lt;0,0,BD1249-BC1249),0)</f>
        <v>0</v>
      </c>
      <c r="BI1249" s="49">
        <f t="shared" ref="BI1249:BI1250" si="297">IFERROR(IF(BE1249-BD1249&lt;0,0,BE1249-BD1249),0)</f>
        <v>0</v>
      </c>
      <c r="BJ1249" s="49">
        <f t="shared" ref="BJ1249:BJ1250" si="298">IFERROR(IF(BF1249-BE1249&lt;0,0,BF1249-BE1249),0)</f>
        <v>0</v>
      </c>
      <c r="BK1249" s="282">
        <f>IFERROR(SUM(DATA[[#This Row],[fs_fd_ttd]:[fend_fenf_ttd]]),0)</f>
        <v>0</v>
      </c>
      <c r="BL1249" s="20" t="str">
        <f>IF(DATA[[#This Row],[fecha_fs]]&gt;0,TEXT(DATA[[#This Row],[fecha_fs]],"YYYY"),0)</f>
        <v>2025</v>
      </c>
      <c r="BM1249" s="236" t="b">
        <v>1</v>
      </c>
      <c r="BN1249" s="278">
        <f>COUNTIF(DATA[[#This Row],[tiempo_td]], "&lt;=15")</f>
        <v>1</v>
      </c>
      <c r="BO1249" s="222"/>
    </row>
    <row r="1250" spans="1:67" ht="30.6" customHeight="1" x14ac:dyDescent="0.25">
      <c r="A1250" s="4">
        <v>20515415964</v>
      </c>
      <c r="B1250" s="5" t="s">
        <v>345</v>
      </c>
      <c r="C1250" s="52" t="s">
        <v>194</v>
      </c>
      <c r="D1250" s="4" t="s">
        <v>290</v>
      </c>
      <c r="E1250" s="5" t="s">
        <v>294</v>
      </c>
      <c r="F1250" s="24">
        <v>45926</v>
      </c>
      <c r="G1250" s="7" t="s">
        <v>142</v>
      </c>
      <c r="H1250" s="25">
        <f t="shared" si="293"/>
        <v>2</v>
      </c>
      <c r="I1250" s="67">
        <v>1146</v>
      </c>
      <c r="J1250" s="8" t="s">
        <v>115</v>
      </c>
      <c r="K1250" s="9" t="s">
        <v>195</v>
      </c>
      <c r="L1250" s="10" t="s">
        <v>117</v>
      </c>
      <c r="M1250" s="11">
        <v>6380</v>
      </c>
      <c r="N1250" s="12" t="s">
        <v>346</v>
      </c>
      <c r="O1250" s="6"/>
      <c r="P1250" s="13" t="s">
        <v>114</v>
      </c>
      <c r="Q1250" s="14" t="s">
        <v>85</v>
      </c>
      <c r="R1250" s="321"/>
      <c r="S1250" s="321"/>
      <c r="T1250" s="321">
        <f>DATA[[#This Row],[C. DF]]+DATA[[#This Row],[C.OPE.]]</f>
        <v>0</v>
      </c>
      <c r="U1250" s="15">
        <f>DATA[[#This Row],[SUB TOTAL]]*0.18</f>
        <v>0</v>
      </c>
      <c r="V1250" s="15">
        <f>IFERROR(ROUND(DATA[[#This Row],[SUB TOTAL]]+DATA[[#This Row],[IGV]],2),0)</f>
        <v>0</v>
      </c>
      <c r="W1250" s="16" t="str">
        <f>IF(DATA[[#This Row],[VALORIZACIÓN ]]="-","NO CORRESPONDE",IF(OR(A1250=20558226979,A1250=10470707866,A1250=20111157058,A1250=20100226902),"NO CORRESPONDE",IF(J1250="Emitida",IF(P1250&gt;0,"EMITIDA","PENDIENTE"),"NO CORRESPONDE")))</f>
        <v>NO CORRESPONDE</v>
      </c>
      <c r="X1250" s="29" t="s">
        <v>350</v>
      </c>
      <c r="Y1250" s="17" t="s">
        <v>232</v>
      </c>
      <c r="Z1250" s="30"/>
      <c r="AA1250" s="10"/>
      <c r="AB1250" s="19"/>
      <c r="AC1250" s="20"/>
      <c r="AD1250" s="18">
        <f>DATA[[#This Row],[FECHA DE EMISION]]+DATA[[#This Row],[CONDICION DE PAGO]]</f>
        <v>0</v>
      </c>
      <c r="AE1250" s="23">
        <f>IF(DATA[[#This Row],[MONEDA]]="USD",VLOOKUP(DATA[[#This Row],[COMBINADA]],#REF!,11,0),1)</f>
        <v>1</v>
      </c>
      <c r="AF1250" s="129" t="str">
        <f>IF(DATA[[#This Row],[SERIE2]]="-","NO CORRESPONDE",IF(W1250="NO CORRESPONDE","NO CORRESPONDE",IF(Z1250&gt;0,"FACTURADO","PENDIENTE")))</f>
        <v>NO CORRESPONDE</v>
      </c>
      <c r="AG1250" s="133">
        <f>IFERROR(VLOOKUP(DATA[[#This Row],[COMBINADA]],#REF!,6,0),0)</f>
        <v>0</v>
      </c>
      <c r="AH1250" s="125">
        <f>IFERROR(VLOOKUP(DATA[[#This Row],[COMBINADA]],#REF!,9,0),0)/COUNTIFS(DATA[COMBINADA],DATA[[#This Row],[COMBINADA]])</f>
        <v>0</v>
      </c>
      <c r="AI1250" s="136">
        <f>IFERROR(VLOOKUP(DATA[[#This Row],[COMBINADA]],#REF!,6,0),0)</f>
        <v>0</v>
      </c>
      <c r="AJ1250" s="132">
        <f>IFERROR(VLOOKUP(DATA[[#This Row],[COMBINADA]],#REF!,9,0),0)/COUNTIFS(DATA[COMBINADA],DATA[[#This Row],[COMBINADA]])</f>
        <v>0</v>
      </c>
      <c r="AK1250" s="407">
        <f>IFERROR(VLOOKUP(DATA[[#This Row],[COMBINADA]],#REF!,6,0),0)</f>
        <v>0</v>
      </c>
      <c r="AL1250" s="125">
        <f>IFERROR(VLOOKUP(DATA[[#This Row],[COMBINADA]],#REF!,9,0),0)/COUNTIFS(DATA[COMBINADA],DATA[[#This Row],[COMBINADA]])</f>
        <v>0</v>
      </c>
      <c r="AM1250" s="27">
        <f>IFERROR(VLOOKUP(DATA[[#This Row],[COMBINADA]],#REF!,6,0),0)</f>
        <v>0</v>
      </c>
      <c r="AN1250" s="125">
        <f>IFERROR(VLOOKUP(DATA[[#This Row],[COMBINADA]],#REF!,9,0),0)/COUNTIFS(DATA[COMBINADA],DATA[[#This Row],[COMBINADA]])</f>
        <v>0</v>
      </c>
      <c r="AO1250" s="27">
        <f>IFERROR(VLOOKUP(DATA[[#This Row],[COMBINADA]],#REF!,6,0),0)</f>
        <v>0</v>
      </c>
      <c r="AP1250" s="132">
        <f>IFERROR(VLOOKUP(DATA[[#This Row],[COMBINADA]],#REF!,9,0),0)/COUNTIFS(DATA[COMBINADA],DATA[[#This Row],[COMBINADA]])</f>
        <v>0</v>
      </c>
      <c r="AQ125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250" s="26" t="str">
        <f>IFERROR(IF(DATA[[#This Row],[estado_fact]]="FACTURADO",VLOOKUP(DATA[[#This Row],[SERIE2]]&amp;"-"&amp;DATA[[#This Row],[NUMERO]],#REF!,34,0),"NO CORRESPONDE"),"NO CORRESPONDE")</f>
        <v>NO CORRESPONDE</v>
      </c>
      <c r="AS1250" s="22" t="str">
        <f>IF(DATA[[#This Row],[fecha_fs]]&gt;0,TEXT(DATA[[#This Row],[fecha_fs]],"Mmmm"),0)</f>
        <v>Setiembre</v>
      </c>
      <c r="AT1250" s="22" t="str">
        <f>DATA[[#This Row],[SERIE2]]&amp;"-"&amp;DATA[[#This Row],[NUMERO]]</f>
        <v>-</v>
      </c>
      <c r="AU1250" s="28">
        <f>DATA[[#This Row],[TOTAL]]*DATA[[#This Row],[T.C.]]</f>
        <v>0</v>
      </c>
      <c r="AV1250" s="6">
        <f>DATA[[#This Row],[FECHA DE VAL.]]</f>
        <v>0</v>
      </c>
      <c r="AW1250" s="6">
        <f>DATA[[#This Row],[FECHA DE EMISION]]</f>
        <v>0</v>
      </c>
      <c r="AX1250" s="6">
        <f>DATA[[#This Row],[F1]]</f>
        <v>0</v>
      </c>
      <c r="AY1250" s="20">
        <f>IF(AV1250-DATA[[#This Row],[fecha_fs]]&lt;0,0,AV1250-DATA[[#This Row],[fecha_fs]])</f>
        <v>0</v>
      </c>
      <c r="AZ1250" s="20">
        <f t="shared" si="294"/>
        <v>0</v>
      </c>
      <c r="BA1250" s="53">
        <f t="shared" si="295"/>
        <v>0</v>
      </c>
      <c r="BB1250" s="195">
        <f>IFERROR(SUM(DATA[[#This Row],[fs_val_ttf]:[fact_pago_ttf]]),0)</f>
        <v>0</v>
      </c>
      <c r="BC1250" s="276"/>
      <c r="BD1250" s="276"/>
      <c r="BE1250" s="276"/>
      <c r="BF1250" s="276"/>
      <c r="BG1250" s="49">
        <f>IFERROR(IF(BC1250-DATA[[#This Row],[fecha_fs]]&lt;0,0,BC1250-DATA[[#This Row],[fecha_fs]]),0)</f>
        <v>0</v>
      </c>
      <c r="BH1250" s="49">
        <f t="shared" si="296"/>
        <v>0</v>
      </c>
      <c r="BI1250" s="49">
        <f t="shared" si="297"/>
        <v>0</v>
      </c>
      <c r="BJ1250" s="49">
        <f t="shared" si="298"/>
        <v>0</v>
      </c>
      <c r="BK1250" s="282">
        <f>IFERROR(SUM(DATA[[#This Row],[fs_fd_ttd]:[fend_fenf_ttd]]),0)</f>
        <v>0</v>
      </c>
      <c r="BL1250" s="20" t="str">
        <f>IF(DATA[[#This Row],[fecha_fs]]&gt;0,TEXT(DATA[[#This Row],[fecha_fs]],"YYYY"),0)</f>
        <v>2025</v>
      </c>
      <c r="BM1250" s="236" t="b">
        <v>1</v>
      </c>
      <c r="BN1250" s="278">
        <f>COUNTIF(DATA[[#This Row],[tiempo_td]], "&lt;=15")</f>
        <v>1</v>
      </c>
      <c r="BO1250" s="222"/>
    </row>
    <row r="1251" spans="1:67" ht="30.6" customHeight="1" x14ac:dyDescent="0.25">
      <c r="A1251" s="4">
        <v>20100192064</v>
      </c>
      <c r="B1251" s="5" t="s">
        <v>60</v>
      </c>
      <c r="C1251" s="52" t="s">
        <v>65</v>
      </c>
      <c r="D1251" s="4" t="s">
        <v>183</v>
      </c>
      <c r="E1251" s="5" t="s">
        <v>61</v>
      </c>
      <c r="F1251" s="24">
        <v>45926</v>
      </c>
      <c r="G1251" s="7" t="s">
        <v>142</v>
      </c>
      <c r="H1251" s="25">
        <f>IF(G1251="","",IF(G1251="LIM",2,1))</f>
        <v>2</v>
      </c>
      <c r="I1251" s="67">
        <v>1147</v>
      </c>
      <c r="J1251" s="8" t="s">
        <v>115</v>
      </c>
      <c r="K1251" s="9" t="s">
        <v>184</v>
      </c>
      <c r="L1251" s="10" t="s">
        <v>117</v>
      </c>
      <c r="M1251" s="11">
        <v>48790</v>
      </c>
      <c r="N1251" s="12" t="s">
        <v>114</v>
      </c>
      <c r="O1251" s="6">
        <v>45926</v>
      </c>
      <c r="P1251" s="71">
        <v>3696</v>
      </c>
      <c r="Q1251" s="338" t="s">
        <v>123</v>
      </c>
      <c r="R1251" s="75"/>
      <c r="S1251" s="321">
        <f>(DATA[[#This Row],[cantidad_fs]]/1000)*19</f>
        <v>927.01</v>
      </c>
      <c r="T1251" s="321">
        <f>DATA[[#This Row],[C. DF]]+DATA[[#This Row],[C.OPE.]]</f>
        <v>927.01</v>
      </c>
      <c r="U1251" s="15">
        <f>DATA[[#This Row],[SUB TOTAL]]*0.18</f>
        <v>166.86179999999999</v>
      </c>
      <c r="V1251" s="15">
        <f>IFERROR(ROUND(DATA[[#This Row],[SUB TOTAL]]+DATA[[#This Row],[IGV]],2),0)</f>
        <v>1093.8699999999999</v>
      </c>
      <c r="W1251" s="16" t="str">
        <f>IF(DATA[[#This Row],[VALORIZACIÓN ]]="-","NO CORRESPONDE",IF(OR(A1251=20558226979,A1251=10470707866,A1251=20111157058,A1251=20100226902),"NO CORRESPONDE",IF(J1251="Emitida",IF(P1251&gt;0,"EMITIDA","PENDIENTE"),"NO CORRESPONDE")))</f>
        <v>EMITIDA</v>
      </c>
      <c r="X1251" s="29"/>
      <c r="Y1251" s="17" t="s">
        <v>118</v>
      </c>
      <c r="Z1251" s="30">
        <v>45929</v>
      </c>
      <c r="AA1251" s="10" t="s">
        <v>150</v>
      </c>
      <c r="AB1251" s="19">
        <v>268</v>
      </c>
      <c r="AC1251" s="20">
        <v>30</v>
      </c>
      <c r="AD1251" s="18">
        <f>DATA[[#This Row],[FECHA DE EMISION]]+DATA[[#This Row],[CONDICION DE PAGO]]</f>
        <v>45959</v>
      </c>
      <c r="AE1251" s="23" t="e">
        <f>IF(DATA[[#This Row],[MONEDA]]="USD",VLOOKUP(DATA[[#This Row],[COMBINADA]],#REF!,11,0),1)</f>
        <v>#REF!</v>
      </c>
      <c r="AF1251" s="129" t="str">
        <f>IF(DATA[[#This Row],[SERIE2]]="-","NO CORRESPONDE",IF(W1251="NO CORRESPONDE","NO CORRESPONDE",IF(Z1251&gt;0,"FACTURADO","PENDIENTE")))</f>
        <v>FACTURADO</v>
      </c>
      <c r="AG1251" s="133">
        <f>IFERROR(VLOOKUP(DATA[[#This Row],[COMBINADA]],#REF!,6,0),0)</f>
        <v>0</v>
      </c>
      <c r="AH1251" s="125">
        <f>IFERROR(VLOOKUP(DATA[[#This Row],[COMBINADA]],#REF!,9,0),0)/COUNTIFS(DATA[COMBINADA],DATA[[#This Row],[COMBINADA]])</f>
        <v>0</v>
      </c>
      <c r="AI1251" s="136">
        <f>IFERROR(VLOOKUP(DATA[[#This Row],[COMBINADA]],#REF!,6,0),0)</f>
        <v>0</v>
      </c>
      <c r="AJ1251" s="132">
        <f>IFERROR(VLOOKUP(DATA[[#This Row],[COMBINADA]],#REF!,9,0),0)/COUNTIFS(DATA[COMBINADA],DATA[[#This Row],[COMBINADA]])</f>
        <v>0</v>
      </c>
      <c r="AK1251" s="407">
        <f>IFERROR(VLOOKUP(DATA[[#This Row],[COMBINADA]],#REF!,6,0),0)</f>
        <v>0</v>
      </c>
      <c r="AL1251" s="125">
        <f>IFERROR(VLOOKUP(DATA[[#This Row],[COMBINADA]],#REF!,9,0),0)/COUNTIFS(DATA[COMBINADA],DATA[[#This Row],[COMBINADA]])</f>
        <v>0</v>
      </c>
      <c r="AM1251" s="27">
        <f>IFERROR(VLOOKUP(DATA[[#This Row],[COMBINADA]],#REF!,6,0),0)</f>
        <v>0</v>
      </c>
      <c r="AN1251" s="125">
        <f>IFERROR(VLOOKUP(DATA[[#This Row],[COMBINADA]],#REF!,9,0),0)/COUNTIFS(DATA[COMBINADA],DATA[[#This Row],[COMBINADA]])</f>
        <v>0</v>
      </c>
      <c r="AO1251" s="27">
        <f>IFERROR(VLOOKUP(DATA[[#This Row],[COMBINADA]],#REF!,6,0),0)</f>
        <v>0</v>
      </c>
      <c r="AP1251" s="132">
        <f>IFERROR(VLOOKUP(DATA[[#This Row],[COMBINADA]],#REF!,9,0),0)/COUNTIFS(DATA[COMBINADA],DATA[[#This Row],[COMBINADA]])</f>
        <v>0</v>
      </c>
      <c r="AQ125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535.76357142857137</v>
      </c>
      <c r="AR1251" s="26" t="str">
        <f>IFERROR(IF(DATA[[#This Row],[estado_fact]]="FACTURADO",VLOOKUP(DATA[[#This Row],[SERIE2]]&amp;"-"&amp;DATA[[#This Row],[NUMERO]],#REF!,34,0),"NO CORRESPONDE"),"NO CORRESPONDE")</f>
        <v>NO CORRESPONDE</v>
      </c>
      <c r="AS1251" s="22" t="str">
        <f>IF(DATA[[#This Row],[fecha_fs]]&gt;0,TEXT(DATA[[#This Row],[fecha_fs]],"Mmmm"),0)</f>
        <v>Setiembre</v>
      </c>
      <c r="AT1251" s="22" t="str">
        <f>DATA[[#This Row],[SERIE2]]&amp;"-"&amp;DATA[[#This Row],[NUMERO]]</f>
        <v>FF01-268</v>
      </c>
      <c r="AU1251" s="28" t="e">
        <f>DATA[[#This Row],[TOTAL]]*DATA[[#This Row],[T.C.]]</f>
        <v>#REF!</v>
      </c>
      <c r="AV1251" s="6">
        <f>DATA[[#This Row],[FECHA DE VAL.]]</f>
        <v>45926</v>
      </c>
      <c r="AW1251" s="6">
        <f>DATA[[#This Row],[FECHA DE EMISION]]</f>
        <v>45929</v>
      </c>
      <c r="AX1251" s="6">
        <f>DATA[[#This Row],[F1]]</f>
        <v>0</v>
      </c>
      <c r="AY1251" s="20">
        <f>IF(AV1251-DATA[[#This Row],[fecha_fs]]&lt;0,0,AV1251-DATA[[#This Row],[fecha_fs]])</f>
        <v>0</v>
      </c>
      <c r="AZ1251" s="20">
        <f>IF(AW1251-AV1251&lt;0,0,AW1251-AV1251)</f>
        <v>3</v>
      </c>
      <c r="BA1251" s="53">
        <f>IF(AX1251-AW1251&lt;0,0,AX1251-AW1251)</f>
        <v>0</v>
      </c>
      <c r="BB1251" s="360">
        <f>IFERROR(SUM(DATA[[#This Row],[fs_val_ttf]:[fact_pago_ttf]]),0)</f>
        <v>3</v>
      </c>
      <c r="BC1251" s="361" t="s">
        <v>270</v>
      </c>
      <c r="BD1251" s="361" t="s">
        <v>270</v>
      </c>
      <c r="BE1251" s="361" t="s">
        <v>270</v>
      </c>
      <c r="BF1251" s="361" t="s">
        <v>270</v>
      </c>
      <c r="BG1251" s="20">
        <f>IFERROR(IF(BC1251-DATA[[#This Row],[fecha_fs]]&lt;0,0,BC1251-DATA[[#This Row],[fecha_fs]]),0)</f>
        <v>0</v>
      </c>
      <c r="BH1251" s="20">
        <f>IFERROR(IF(BD1251-BC1251&lt;0,0,BD1251-BC1251),0)</f>
        <v>0</v>
      </c>
      <c r="BI1251" s="20">
        <f>IFERROR(IF(BE1251-BD1251&lt;0,0,BE1251-BD1251),0)</f>
        <v>0</v>
      </c>
      <c r="BJ1251" s="367">
        <f>IFERROR(IF(BF1251-BE1251&lt;0,0,BF1251-BE1251),0)</f>
        <v>0</v>
      </c>
      <c r="BK1251" s="362">
        <f>IFERROR(SUM(DATA[[#This Row],[fs_fd_ttd]:[fend_fenf_ttd]]),0)</f>
        <v>0</v>
      </c>
      <c r="BL1251" s="20" t="str">
        <f>IF(DATA[[#This Row],[fecha_fs]]&gt;0,TEXT(DATA[[#This Row],[fecha_fs]],"YYYY"),0)</f>
        <v>2025</v>
      </c>
      <c r="BM1251" s="236" t="b">
        <v>0</v>
      </c>
      <c r="BN1251" s="278">
        <f>COUNTIF(DATA[[#This Row],[tiempo_td]], "&lt;=15")</f>
        <v>1</v>
      </c>
      <c r="BO1251" s="222"/>
    </row>
    <row r="1252" spans="1:67" ht="30.6" customHeight="1" x14ac:dyDescent="0.25">
      <c r="A1252" s="4">
        <v>20141637941</v>
      </c>
      <c r="B1252" s="5" t="s">
        <v>79</v>
      </c>
      <c r="C1252" s="52" t="s">
        <v>18</v>
      </c>
      <c r="D1252" s="4" t="s">
        <v>120</v>
      </c>
      <c r="E1252" s="5" t="s">
        <v>3</v>
      </c>
      <c r="F1252" s="24">
        <v>45926</v>
      </c>
      <c r="G1252" s="7" t="s">
        <v>113</v>
      </c>
      <c r="H1252" s="25">
        <f t="shared" si="292"/>
        <v>1</v>
      </c>
      <c r="I1252" s="67">
        <v>5043</v>
      </c>
      <c r="J1252" s="8" t="s">
        <v>115</v>
      </c>
      <c r="K1252" s="9" t="s">
        <v>121</v>
      </c>
      <c r="L1252" s="10" t="s">
        <v>117</v>
      </c>
      <c r="M1252" s="11">
        <v>860</v>
      </c>
      <c r="N1252" s="12" t="s">
        <v>125</v>
      </c>
      <c r="O1252" s="6">
        <v>45926</v>
      </c>
      <c r="P1252" s="375">
        <v>3701</v>
      </c>
      <c r="Q1252" s="14" t="s">
        <v>85</v>
      </c>
      <c r="R1252" s="321">
        <v>80</v>
      </c>
      <c r="S1252" s="321">
        <v>832</v>
      </c>
      <c r="T1252" s="237">
        <f>DATA[[#This Row],[C. DF]]+DATA[[#This Row],[C.OPE.]]</f>
        <v>912</v>
      </c>
      <c r="U1252" s="15">
        <f>DATA[[#This Row],[SUB TOTAL]]*0.18</f>
        <v>164.16</v>
      </c>
      <c r="V1252" s="15">
        <f>IFERROR(ROUND(DATA[[#This Row],[SUB TOTAL]]+DATA[[#This Row],[IGV]],2),0)</f>
        <v>1076.1600000000001</v>
      </c>
      <c r="W1252" s="16" t="str">
        <f>IF(DATA[[#This Row],[VALORIZACIÓN ]]="-","NO CORRESPONDE",IF(OR(A1252=20558226979,A1252=10470707866,A1252=20111157058,A1252=20100226902),"NO CORRESPONDE",IF(J1252="Emitida",IF(P1252&gt;0,"EMITIDA","PENDIENTE"),"NO CORRESPONDE")))</f>
        <v>EMITIDA</v>
      </c>
      <c r="X1252" s="29"/>
      <c r="Y1252" s="17" t="s">
        <v>118</v>
      </c>
      <c r="Z1252" s="30">
        <v>45936</v>
      </c>
      <c r="AA1252" s="10" t="s">
        <v>150</v>
      </c>
      <c r="AB1252" s="19">
        <v>281</v>
      </c>
      <c r="AC1252" s="20">
        <v>30</v>
      </c>
      <c r="AD1252" s="18">
        <f>DATA[[#This Row],[FECHA DE EMISION]]+DATA[[#This Row],[CONDICION DE PAGO]]</f>
        <v>45966</v>
      </c>
      <c r="AE1252" s="23">
        <f>IF(DATA[[#This Row],[MONEDA]]="USD",VLOOKUP(DATA[[#This Row],[COMBINADA]],#REF!,11,0),1)</f>
        <v>1</v>
      </c>
      <c r="AF1252" s="129" t="str">
        <f>IF(DATA[[#This Row],[SERIE2]]="-","NO CORRESPONDE",IF(W1252="NO CORRESPONDE","NO CORRESPONDE",IF(Z1252&gt;0,"FACTURADO","PENDIENTE")))</f>
        <v>FACTURADO</v>
      </c>
      <c r="AG1252" s="133">
        <f>IFERROR(VLOOKUP(DATA[[#This Row],[COMBINADA]],#REF!,6,0),0)</f>
        <v>0</v>
      </c>
      <c r="AH1252" s="125">
        <f>IFERROR(VLOOKUP(DATA[[#This Row],[COMBINADA]],#REF!,9,0),0)/COUNTIFS(DATA[COMBINADA],DATA[[#This Row],[COMBINADA]])</f>
        <v>0</v>
      </c>
      <c r="AI1252" s="136">
        <f>IFERROR(VLOOKUP(DATA[[#This Row],[COMBINADA]],#REF!,6,0),0)</f>
        <v>0</v>
      </c>
      <c r="AJ1252" s="132">
        <f>IFERROR(VLOOKUP(DATA[[#This Row],[COMBINADA]],#REF!,9,0),0)/COUNTIFS(DATA[COMBINADA],DATA[[#This Row],[COMBINADA]])</f>
        <v>0</v>
      </c>
      <c r="AK1252" s="407">
        <f>IFERROR(VLOOKUP(DATA[[#This Row],[COMBINADA]],#REF!,6,0),0)</f>
        <v>0</v>
      </c>
      <c r="AL1252" s="125">
        <f>IFERROR(VLOOKUP(DATA[[#This Row],[COMBINADA]],#REF!,9,0),0)/COUNTIFS(DATA[COMBINADA],DATA[[#This Row],[COMBINADA]])</f>
        <v>0</v>
      </c>
      <c r="AM1252" s="27">
        <f>IFERROR(VLOOKUP(DATA[[#This Row],[COMBINADA]],#REF!,6,0),0)</f>
        <v>0</v>
      </c>
      <c r="AN1252" s="125">
        <f>IFERROR(VLOOKUP(DATA[[#This Row],[COMBINADA]],#REF!,9,0),0)/COUNTIFS(DATA[COMBINADA],DATA[[#This Row],[COMBINADA]])</f>
        <v>0</v>
      </c>
      <c r="AO1252" s="27">
        <f>IFERROR(VLOOKUP(DATA[[#This Row],[COMBINADA]],#REF!,6,0),0)</f>
        <v>0</v>
      </c>
      <c r="AP1252" s="132">
        <f>IFERROR(VLOOKUP(DATA[[#This Row],[COMBINADA]],#REF!,9,0),0)/COUNTIFS(DATA[COMBINADA],DATA[[#This Row],[COMBINADA]])</f>
        <v>0</v>
      </c>
      <c r="AQ125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1081.825</v>
      </c>
      <c r="AR1252" s="26" t="str">
        <f>IFERROR(IF(DATA[[#This Row],[estado_fact]]="FACTURADO",VLOOKUP(DATA[[#This Row],[SERIE2]]&amp;"-"&amp;DATA[[#This Row],[NUMERO]],#REF!,34,0),"NO CORRESPONDE"),"NO CORRESPONDE")</f>
        <v>NO CORRESPONDE</v>
      </c>
      <c r="AS1252" s="22" t="str">
        <f>IF(DATA[[#This Row],[fecha_fs]]&gt;0,TEXT(DATA[[#This Row],[fecha_fs]],"Mmmm"),0)</f>
        <v>Setiembre</v>
      </c>
      <c r="AT1252" s="22" t="str">
        <f>DATA[[#This Row],[SERIE2]]&amp;"-"&amp;DATA[[#This Row],[NUMERO]]</f>
        <v>FF01-281</v>
      </c>
      <c r="AU1252" s="28">
        <f>DATA[[#This Row],[TOTAL]]*DATA[[#This Row],[T.C.]]</f>
        <v>1076.1600000000001</v>
      </c>
      <c r="AV1252" s="6">
        <f>DATA[[#This Row],[FECHA DE VAL.]]</f>
        <v>45926</v>
      </c>
      <c r="AW1252" s="6">
        <f>DATA[[#This Row],[FECHA DE EMISION]]</f>
        <v>45936</v>
      </c>
      <c r="AX1252" s="6">
        <f>DATA[[#This Row],[F1]]</f>
        <v>0</v>
      </c>
      <c r="AY1252" s="20">
        <f>IF(AV1252-DATA[[#This Row],[fecha_fs]]&lt;0,0,AV1252-DATA[[#This Row],[fecha_fs]])</f>
        <v>0</v>
      </c>
      <c r="AZ1252" s="20">
        <f t="shared" si="287"/>
        <v>10</v>
      </c>
      <c r="BA1252" s="53">
        <f t="shared" si="288"/>
        <v>0</v>
      </c>
      <c r="BB1252" s="195">
        <f>IFERROR(SUM(DATA[[#This Row],[fs_val_ttf]:[fact_pago_ttf]]),0)</f>
        <v>10</v>
      </c>
      <c r="BC1252" s="233">
        <v>45929</v>
      </c>
      <c r="BD1252" s="233">
        <v>45933</v>
      </c>
      <c r="BE1252" s="233">
        <v>45936</v>
      </c>
      <c r="BF1252" s="233">
        <v>45939</v>
      </c>
      <c r="BG1252" s="20">
        <f>IFERROR(IF(BC1252-DATA[[#This Row],[fecha_fs]]&lt;0,0,BC1252-DATA[[#This Row],[fecha_fs]]),0)</f>
        <v>3</v>
      </c>
      <c r="BH1252" s="20">
        <f t="shared" si="289"/>
        <v>4</v>
      </c>
      <c r="BI1252" s="20">
        <f t="shared" si="290"/>
        <v>3</v>
      </c>
      <c r="BJ1252" s="20">
        <f t="shared" si="291"/>
        <v>3</v>
      </c>
      <c r="BK1252" s="282">
        <f>IFERROR(SUM(DATA[[#This Row],[fs_fd_ttd]:[fend_fenf_ttd]]),0)</f>
        <v>13</v>
      </c>
      <c r="BL1252" s="20" t="str">
        <f>IF(DATA[[#This Row],[fecha_fs]]&gt;0,TEXT(DATA[[#This Row],[fecha_fs]],"YYYY"),0)</f>
        <v>2025</v>
      </c>
      <c r="BM1252" s="236" t="b">
        <v>1</v>
      </c>
      <c r="BN1252" s="278">
        <f>COUNTIF(DATA[[#This Row],[tiempo_td]], "&lt;=15")</f>
        <v>1</v>
      </c>
      <c r="BO1252" s="222"/>
    </row>
    <row r="1253" spans="1:67" ht="30.6" customHeight="1" x14ac:dyDescent="0.25">
      <c r="A1253" s="4">
        <v>20100226902</v>
      </c>
      <c r="B1253" s="5" t="s">
        <v>24</v>
      </c>
      <c r="C1253" s="52" t="s">
        <v>18</v>
      </c>
      <c r="D1253" s="4" t="s">
        <v>120</v>
      </c>
      <c r="E1253" s="5" t="s">
        <v>3</v>
      </c>
      <c r="F1253" s="24">
        <v>45926</v>
      </c>
      <c r="G1253" s="7" t="s">
        <v>113</v>
      </c>
      <c r="H1253" s="25">
        <f t="shared" si="292"/>
        <v>1</v>
      </c>
      <c r="I1253" s="67">
        <v>5044</v>
      </c>
      <c r="J1253" s="8" t="s">
        <v>115</v>
      </c>
      <c r="K1253" s="9" t="s">
        <v>121</v>
      </c>
      <c r="L1253" s="10" t="s">
        <v>117</v>
      </c>
      <c r="M1253" s="11">
        <v>640</v>
      </c>
      <c r="N1253" s="12" t="s">
        <v>187</v>
      </c>
      <c r="O1253" s="359"/>
      <c r="P1253" s="371" t="s">
        <v>114</v>
      </c>
      <c r="Q1253" s="372"/>
      <c r="R1253" s="373"/>
      <c r="S1253" s="373"/>
      <c r="T1253" s="373">
        <v>0</v>
      </c>
      <c r="U1253" s="373">
        <v>0</v>
      </c>
      <c r="V1253" s="373">
        <v>0</v>
      </c>
      <c r="W1253" s="16" t="s">
        <v>128</v>
      </c>
      <c r="X1253" s="374"/>
      <c r="Y1253" s="17" t="s">
        <v>128</v>
      </c>
      <c r="Z1253" s="340"/>
      <c r="AA1253" s="361"/>
      <c r="AB1253" s="342"/>
      <c r="AC1253" s="343"/>
      <c r="AD1253" s="344">
        <v>0</v>
      </c>
      <c r="AE1253" s="23">
        <v>1</v>
      </c>
      <c r="AF1253" s="129" t="s">
        <v>128</v>
      </c>
      <c r="AG1253" s="310">
        <f>IFERROR(VLOOKUP(DATA[[#This Row],[COMBINADA]],#REF!,6,0),0)</f>
        <v>0</v>
      </c>
      <c r="AH1253" s="311">
        <f>IFERROR(VLOOKUP(DATA[[#This Row],[COMBINADA]],#REF!,9,0),0)/COUNTIFS(DATA[COMBINADA],DATA[[#This Row],[COMBINADA]])</f>
        <v>0</v>
      </c>
      <c r="AI1253" s="310">
        <f>IFERROR(VLOOKUP(DATA[[#This Row],[COMBINADA]],#REF!,6,0),0)</f>
        <v>0</v>
      </c>
      <c r="AJ1253" s="311">
        <f>IFERROR(VLOOKUP(DATA[[#This Row],[COMBINADA]],#REF!,9,0),0)/COUNTIFS(DATA[COMBINADA],DATA[[#This Row],[COMBINADA]])</f>
        <v>0</v>
      </c>
      <c r="AK1253" s="413">
        <f>IFERROR(VLOOKUP(DATA[[#This Row],[COMBINADA]],#REF!,6,0),0)</f>
        <v>0</v>
      </c>
      <c r="AL1253" s="311">
        <f>IFERROR(VLOOKUP(DATA[[#This Row],[COMBINADA]],#REF!,9,0),0)/COUNTIFS(DATA[COMBINADA],DATA[[#This Row],[COMBINADA]])</f>
        <v>0</v>
      </c>
      <c r="AM1253" s="312">
        <f>IFERROR(VLOOKUP(DATA[[#This Row],[COMBINADA]],#REF!,6,0),0)</f>
        <v>0</v>
      </c>
      <c r="AN1253" s="311">
        <f>IFERROR(VLOOKUP(DATA[[#This Row],[COMBINADA]],#REF!,9,0),0)/COUNTIFS(DATA[COMBINADA],DATA[[#This Row],[COMBINADA]])</f>
        <v>0</v>
      </c>
      <c r="AO1253" s="313">
        <f>IFERROR(VLOOKUP(DATA[[#This Row],[COMBINADA]],#REF!,6,0),0)</f>
        <v>0</v>
      </c>
      <c r="AP1253" s="311">
        <f>IFERROR(VLOOKUP(DATA[[#This Row],[COMBINADA]],#REF!,9,0),0)/COUNTIFS(DATA[COMBINADA],DATA[[#This Row],[COMBINADA]])</f>
        <v>0</v>
      </c>
      <c r="AQ1253" s="314">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253" s="315" t="str">
        <f>IFERROR(IF(DATA[[#This Row],[estado_fact]]="FACTURADO",VLOOKUP(DATA[[#This Row],[SERIE2]]&amp;"-"&amp;DATA[[#This Row],[NUMERO]],#REF!,34,0),"NO CORRESPONDE"),"NO CORRESPONDE")</f>
        <v>NO CORRESPONDE</v>
      </c>
      <c r="AS1253" s="22" t="str">
        <f>IF(DATA[[#This Row],[fecha_fs]]&gt;0,TEXT(DATA[[#This Row],[fecha_fs]],"Mmmm"),0)</f>
        <v>Setiembre</v>
      </c>
      <c r="AT1253" s="22" t="str">
        <f>DATA[[#This Row],[SERIE2]]&amp;"-"&amp;DATA[[#This Row],[NUMERO]]</f>
        <v>-</v>
      </c>
      <c r="AU1253" s="28">
        <f>DATA[[#This Row],[TOTAL]]*DATA[[#This Row],[T.C.]]</f>
        <v>0</v>
      </c>
      <c r="AV1253" s="6">
        <f>DATA[[#This Row],[FECHA DE VAL.]]</f>
        <v>0</v>
      </c>
      <c r="AW1253" s="6">
        <f>DATA[[#This Row],[FECHA DE EMISION]]</f>
        <v>0</v>
      </c>
      <c r="AX1253" s="6">
        <f>DATA[[#This Row],[F1]]</f>
        <v>0</v>
      </c>
      <c r="AY1253" s="20">
        <f>IF(AV1253-DATA[[#This Row],[fecha_fs]]&lt;0,0,AV1253-DATA[[#This Row],[fecha_fs]])</f>
        <v>0</v>
      </c>
      <c r="AZ1253" s="20">
        <f t="shared" si="287"/>
        <v>0</v>
      </c>
      <c r="BA1253" s="53">
        <f t="shared" si="288"/>
        <v>0</v>
      </c>
      <c r="BB1253" s="195">
        <f>IFERROR(SUM(DATA[[#This Row],[fs_val_ttf]:[fact_pago_ttf]]),0)</f>
        <v>0</v>
      </c>
      <c r="BC1253" s="233">
        <v>45926</v>
      </c>
      <c r="BD1253" s="233">
        <v>45926</v>
      </c>
      <c r="BE1253" s="233">
        <v>45933</v>
      </c>
      <c r="BF1253" s="233">
        <v>45933</v>
      </c>
      <c r="BG1253" s="20">
        <f>IFERROR(IF(BC1253-DATA[[#This Row],[fecha_fs]]&lt;0,0,BC1253-DATA[[#This Row],[fecha_fs]]),0)</f>
        <v>0</v>
      </c>
      <c r="BH1253" s="20">
        <f t="shared" si="289"/>
        <v>0</v>
      </c>
      <c r="BI1253" s="20">
        <f t="shared" si="290"/>
        <v>7</v>
      </c>
      <c r="BJ1253" s="20">
        <f t="shared" si="291"/>
        <v>0</v>
      </c>
      <c r="BK1253" s="282">
        <f>IFERROR(SUM(DATA[[#This Row],[fs_fd_ttd]:[fend_fenf_ttd]]),0)</f>
        <v>7</v>
      </c>
      <c r="BL1253" s="20" t="str">
        <f>IF(DATA[[#This Row],[fecha_fs]]&gt;0,TEXT(DATA[[#This Row],[fecha_fs]],"YYYY"),0)</f>
        <v>2025</v>
      </c>
      <c r="BM1253" s="236" t="b">
        <v>1</v>
      </c>
      <c r="BN1253" s="278">
        <f>COUNTIF(DATA[[#This Row],[tiempo_td]], "&lt;=15")</f>
        <v>1</v>
      </c>
      <c r="BO1253" s="222"/>
    </row>
    <row r="1254" spans="1:67" ht="30.6" customHeight="1" x14ac:dyDescent="0.25">
      <c r="A1254" s="4">
        <v>20100211115</v>
      </c>
      <c r="B1254" s="5" t="s">
        <v>41</v>
      </c>
      <c r="C1254" s="52" t="s">
        <v>18</v>
      </c>
      <c r="D1254" s="4" t="s">
        <v>112</v>
      </c>
      <c r="E1254" s="5" t="s">
        <v>1</v>
      </c>
      <c r="F1254" s="24">
        <v>45926</v>
      </c>
      <c r="G1254" s="7" t="s">
        <v>113</v>
      </c>
      <c r="H1254" s="25">
        <f t="shared" si="292"/>
        <v>1</v>
      </c>
      <c r="I1254" s="67">
        <v>5045</v>
      </c>
      <c r="J1254" s="8" t="s">
        <v>115</v>
      </c>
      <c r="K1254" s="9" t="s">
        <v>116</v>
      </c>
      <c r="L1254" s="10" t="s">
        <v>117</v>
      </c>
      <c r="M1254" s="11">
        <v>8</v>
      </c>
      <c r="N1254" s="12" t="s">
        <v>200</v>
      </c>
      <c r="O1254" s="6">
        <v>45926</v>
      </c>
      <c r="P1254" s="368">
        <v>3681</v>
      </c>
      <c r="Q1254" s="14" t="s">
        <v>85</v>
      </c>
      <c r="R1254" s="321"/>
      <c r="S1254" s="321">
        <f>(DATA[[#This Row],[cantidad_fs]]*4.57)</f>
        <v>36.56</v>
      </c>
      <c r="T1254" s="237">
        <f>DATA[[#This Row],[C. DF]]+DATA[[#This Row],[C.OPE.]]</f>
        <v>36.56</v>
      </c>
      <c r="U1254" s="15">
        <f>DATA[[#This Row],[SUB TOTAL]]*0.18</f>
        <v>6.5808</v>
      </c>
      <c r="V1254" s="15">
        <f>IFERROR(ROUND(DATA[[#This Row],[SUB TOTAL]]+DATA[[#This Row],[IGV]],2),0)</f>
        <v>43.14</v>
      </c>
      <c r="W1254" s="16" t="str">
        <f>IF(DATA[[#This Row],[VALORIZACIÓN ]]="-","NO CORRESPONDE",IF(OR(A1254=20558226979,A1254=10470707866,A1254=20111157058,A1254=20100226902),"NO CORRESPONDE",IF(J1254="Emitida",IF(P1254&gt;0,"EMITIDA","PENDIENTE"),"NO CORRESPONDE")))</f>
        <v>EMITIDA</v>
      </c>
      <c r="X1254" s="29"/>
      <c r="Y1254" s="17" t="s">
        <v>118</v>
      </c>
      <c r="Z1254" s="30">
        <v>45930</v>
      </c>
      <c r="AA1254" s="10" t="s">
        <v>150</v>
      </c>
      <c r="AB1254" s="19">
        <v>271</v>
      </c>
      <c r="AC1254" s="20">
        <v>30</v>
      </c>
      <c r="AD1254" s="18">
        <f>DATA[[#This Row],[FECHA DE EMISION]]+DATA[[#This Row],[CONDICION DE PAGO]]</f>
        <v>45960</v>
      </c>
      <c r="AE1254" s="23">
        <f>IF(DATA[[#This Row],[MONEDA]]="USD",VLOOKUP(DATA[[#This Row],[COMBINADA]],#REF!,11,0),1)</f>
        <v>1</v>
      </c>
      <c r="AF1254" s="129" t="str">
        <f>IF(DATA[[#This Row],[SERIE2]]="-","NO CORRESPONDE",IF(W1254="NO CORRESPONDE","NO CORRESPONDE",IF(Z1254&gt;0,"FACTURADO","PENDIENTE")))</f>
        <v>FACTURADO</v>
      </c>
      <c r="AG1254" s="133">
        <f>IFERROR(VLOOKUP(DATA[[#This Row],[COMBINADA]],#REF!,6,0),0)</f>
        <v>0</v>
      </c>
      <c r="AH1254" s="125">
        <f>IFERROR(VLOOKUP(DATA[[#This Row],[COMBINADA]],#REF!,9,0),0)/COUNTIFS(DATA[COMBINADA],DATA[[#This Row],[COMBINADA]])</f>
        <v>0</v>
      </c>
      <c r="AI1254" s="136">
        <f>IFERROR(VLOOKUP(DATA[[#This Row],[COMBINADA]],#REF!,6,0),0)</f>
        <v>0</v>
      </c>
      <c r="AJ1254" s="132">
        <f>IFERROR(VLOOKUP(DATA[[#This Row],[COMBINADA]],#REF!,9,0),0)/COUNTIFS(DATA[COMBINADA],DATA[[#This Row],[COMBINADA]])</f>
        <v>0</v>
      </c>
      <c r="AK1254" s="407">
        <f>IFERROR(VLOOKUP(DATA[[#This Row],[COMBINADA]],#REF!,6,0),0)</f>
        <v>0</v>
      </c>
      <c r="AL1254" s="125">
        <f>IFERROR(VLOOKUP(DATA[[#This Row],[COMBINADA]],#REF!,9,0),0)/COUNTIFS(DATA[COMBINADA],DATA[[#This Row],[COMBINADA]])</f>
        <v>0</v>
      </c>
      <c r="AM1254" s="27">
        <f>IFERROR(VLOOKUP(DATA[[#This Row],[COMBINADA]],#REF!,6,0),0)</f>
        <v>0</v>
      </c>
      <c r="AN1254" s="125">
        <f>IFERROR(VLOOKUP(DATA[[#This Row],[COMBINADA]],#REF!,9,0),0)/COUNTIFS(DATA[COMBINADA],DATA[[#This Row],[COMBINADA]])</f>
        <v>0</v>
      </c>
      <c r="AO1254" s="27">
        <f>IFERROR(VLOOKUP(DATA[[#This Row],[COMBINADA]],#REF!,6,0),0)</f>
        <v>0</v>
      </c>
      <c r="AP1254" s="132">
        <f>IFERROR(VLOOKUP(DATA[[#This Row],[COMBINADA]],#REF!,9,0),0)/COUNTIFS(DATA[COMBINADA],DATA[[#This Row],[COMBINADA]])</f>
        <v>0</v>
      </c>
      <c r="AQ125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50.69</v>
      </c>
      <c r="AR1254" s="26" t="str">
        <f>IFERROR(IF(DATA[[#This Row],[estado_fact]]="FACTURADO",VLOOKUP(DATA[[#This Row],[SERIE2]]&amp;"-"&amp;DATA[[#This Row],[NUMERO]],#REF!,34,0),"NO CORRESPONDE"),"NO CORRESPONDE")</f>
        <v>NO CORRESPONDE</v>
      </c>
      <c r="AS1254" s="22" t="str">
        <f>IF(DATA[[#This Row],[fecha_fs]]&gt;0,TEXT(DATA[[#This Row],[fecha_fs]],"Mmmm"),0)</f>
        <v>Setiembre</v>
      </c>
      <c r="AT1254" s="22" t="str">
        <f>DATA[[#This Row],[SERIE2]]&amp;"-"&amp;DATA[[#This Row],[NUMERO]]</f>
        <v>FF01-271</v>
      </c>
      <c r="AU1254" s="28">
        <f>DATA[[#This Row],[TOTAL]]*DATA[[#This Row],[T.C.]]</f>
        <v>43.14</v>
      </c>
      <c r="AV1254" s="6">
        <f>DATA[[#This Row],[FECHA DE VAL.]]</f>
        <v>45926</v>
      </c>
      <c r="AW1254" s="6">
        <f>DATA[[#This Row],[FECHA DE EMISION]]</f>
        <v>45930</v>
      </c>
      <c r="AX1254" s="6">
        <f>DATA[[#This Row],[F1]]</f>
        <v>0</v>
      </c>
      <c r="AY1254" s="20">
        <f>IF(AV1254-DATA[[#This Row],[fecha_fs]]&lt;0,0,AV1254-DATA[[#This Row],[fecha_fs]])</f>
        <v>0</v>
      </c>
      <c r="AZ1254" s="20">
        <f t="shared" si="287"/>
        <v>4</v>
      </c>
      <c r="BA1254" s="53">
        <f t="shared" si="288"/>
        <v>0</v>
      </c>
      <c r="BB1254" s="195">
        <f>IFERROR(SUM(DATA[[#This Row],[fs_val_ttf]:[fact_pago_ttf]]),0)</f>
        <v>4</v>
      </c>
      <c r="BC1254" s="233">
        <v>45933</v>
      </c>
      <c r="BD1254" s="233">
        <v>45940</v>
      </c>
      <c r="BE1254" s="233">
        <v>45940</v>
      </c>
      <c r="BF1254" s="233">
        <v>45945</v>
      </c>
      <c r="BG1254" s="20">
        <f>IFERROR(IF(BC1254-DATA[[#This Row],[fecha_fs]]&lt;0,0,BC1254-DATA[[#This Row],[fecha_fs]]),0)</f>
        <v>7</v>
      </c>
      <c r="BH1254" s="20">
        <f t="shared" si="289"/>
        <v>7</v>
      </c>
      <c r="BI1254" s="20">
        <f t="shared" si="290"/>
        <v>0</v>
      </c>
      <c r="BJ1254" s="20">
        <f t="shared" si="291"/>
        <v>5</v>
      </c>
      <c r="BK1254" s="282">
        <f>IFERROR(SUM(DATA[[#This Row],[fs_fd_ttd]:[fend_fenf_ttd]]),0)</f>
        <v>19</v>
      </c>
      <c r="BL1254" s="20" t="str">
        <f>IF(DATA[[#This Row],[fecha_fs]]&gt;0,TEXT(DATA[[#This Row],[fecha_fs]],"YYYY"),0)</f>
        <v>2025</v>
      </c>
      <c r="BM1254" s="236" t="b">
        <v>1</v>
      </c>
      <c r="BN1254" s="278">
        <f>COUNTIF(DATA[[#This Row],[tiempo_td]], "&lt;=15")</f>
        <v>0</v>
      </c>
      <c r="BO1254" s="222"/>
    </row>
    <row r="1255" spans="1:67" ht="30.6" customHeight="1" x14ac:dyDescent="0.25">
      <c r="A1255" s="4">
        <v>20100211115</v>
      </c>
      <c r="B1255" s="5" t="s">
        <v>41</v>
      </c>
      <c r="C1255" s="52" t="s">
        <v>18</v>
      </c>
      <c r="D1255" s="4" t="s">
        <v>120</v>
      </c>
      <c r="E1255" s="5" t="s">
        <v>3</v>
      </c>
      <c r="F1255" s="24">
        <v>45926</v>
      </c>
      <c r="G1255" s="7" t="s">
        <v>113</v>
      </c>
      <c r="H1255" s="25">
        <f t="shared" si="292"/>
        <v>1</v>
      </c>
      <c r="I1255" s="67">
        <v>5046</v>
      </c>
      <c r="J1255" s="8" t="s">
        <v>115</v>
      </c>
      <c r="K1255" s="9" t="s">
        <v>121</v>
      </c>
      <c r="L1255" s="10" t="s">
        <v>117</v>
      </c>
      <c r="M1255" s="11">
        <v>90</v>
      </c>
      <c r="N1255" s="12" t="s">
        <v>200</v>
      </c>
      <c r="O1255" s="6">
        <v>45926</v>
      </c>
      <c r="P1255" s="368">
        <v>3679</v>
      </c>
      <c r="Q1255" s="14" t="s">
        <v>85</v>
      </c>
      <c r="R1255" s="321"/>
      <c r="S1255" s="321">
        <f>(DATA[[#This Row],[cantidad_fs]]*4.17)</f>
        <v>375.3</v>
      </c>
      <c r="T1255" s="237">
        <f>DATA[[#This Row],[C. DF]]+DATA[[#This Row],[C.OPE.]]</f>
        <v>375.3</v>
      </c>
      <c r="U1255" s="15">
        <f>DATA[[#This Row],[SUB TOTAL]]*0.18</f>
        <v>67.554000000000002</v>
      </c>
      <c r="V1255" s="15">
        <f>IFERROR(ROUND(DATA[[#This Row],[SUB TOTAL]]+DATA[[#This Row],[IGV]],2),0)</f>
        <v>442.85</v>
      </c>
      <c r="W1255" s="16" t="str">
        <f>IF(DATA[[#This Row],[VALORIZACIÓN ]]="-","NO CORRESPONDE",IF(OR(A1255=20558226979,A1255=10470707866,A1255=20111157058,A1255=20100226902),"NO CORRESPONDE",IF(J1255="Emitida",IF(P1255&gt;0,"EMITIDA","PENDIENTE"),"NO CORRESPONDE")))</f>
        <v>EMITIDA</v>
      </c>
      <c r="X1255" s="29"/>
      <c r="Y1255" s="17" t="s">
        <v>118</v>
      </c>
      <c r="Z1255" s="30">
        <v>45930</v>
      </c>
      <c r="AA1255" s="10" t="s">
        <v>150</v>
      </c>
      <c r="AB1255" s="19">
        <v>269</v>
      </c>
      <c r="AC1255" s="20">
        <v>30</v>
      </c>
      <c r="AD1255" s="18">
        <f>DATA[[#This Row],[FECHA DE EMISION]]+DATA[[#This Row],[CONDICION DE PAGO]]</f>
        <v>45960</v>
      </c>
      <c r="AE1255" s="23">
        <f>IF(DATA[[#This Row],[MONEDA]]="USD",VLOOKUP(DATA[[#This Row],[COMBINADA]],#REF!,11,0),1)</f>
        <v>1</v>
      </c>
      <c r="AF1255" s="129" t="str">
        <f>IF(DATA[[#This Row],[SERIE2]]="-","NO CORRESPONDE",IF(W1255="NO CORRESPONDE","NO CORRESPONDE",IF(Z1255&gt;0,"FACTURADO","PENDIENTE")))</f>
        <v>FACTURADO</v>
      </c>
      <c r="AG1255" s="133">
        <f>IFERROR(VLOOKUP(DATA[[#This Row],[COMBINADA]],#REF!,6,0),0)</f>
        <v>0</v>
      </c>
      <c r="AH1255" s="125">
        <f>IFERROR(VLOOKUP(DATA[[#This Row],[COMBINADA]],#REF!,9,0),0)/COUNTIFS(DATA[COMBINADA],DATA[[#This Row],[COMBINADA]])</f>
        <v>0</v>
      </c>
      <c r="AI1255" s="136">
        <f>IFERROR(VLOOKUP(DATA[[#This Row],[COMBINADA]],#REF!,6,0),0)</f>
        <v>0</v>
      </c>
      <c r="AJ1255" s="132">
        <f>IFERROR(VLOOKUP(DATA[[#This Row],[COMBINADA]],#REF!,9,0),0)/COUNTIFS(DATA[COMBINADA],DATA[[#This Row],[COMBINADA]])</f>
        <v>0</v>
      </c>
      <c r="AK1255" s="407">
        <f>IFERROR(VLOOKUP(DATA[[#This Row],[COMBINADA]],#REF!,6,0),0)</f>
        <v>0</v>
      </c>
      <c r="AL1255" s="125">
        <f>IFERROR(VLOOKUP(DATA[[#This Row],[COMBINADA]],#REF!,9,0),0)/COUNTIFS(DATA[COMBINADA],DATA[[#This Row],[COMBINADA]])</f>
        <v>0</v>
      </c>
      <c r="AM1255" s="27">
        <f>IFERROR(VLOOKUP(DATA[[#This Row],[COMBINADA]],#REF!,6,0),0)</f>
        <v>0</v>
      </c>
      <c r="AN1255" s="125">
        <f>IFERROR(VLOOKUP(DATA[[#This Row],[COMBINADA]],#REF!,9,0),0)/COUNTIFS(DATA[COMBINADA],DATA[[#This Row],[COMBINADA]])</f>
        <v>0</v>
      </c>
      <c r="AO1255" s="27">
        <f>IFERROR(VLOOKUP(DATA[[#This Row],[COMBINADA]],#REF!,6,0),0)</f>
        <v>0</v>
      </c>
      <c r="AP1255" s="132">
        <f>IFERROR(VLOOKUP(DATA[[#This Row],[COMBINADA]],#REF!,9,0),0)/COUNTIFS(DATA[COMBINADA],DATA[[#This Row],[COMBINADA]])</f>
        <v>0</v>
      </c>
      <c r="AQ125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255" s="26" t="str">
        <f>IFERROR(IF(DATA[[#This Row],[estado_fact]]="FACTURADO",VLOOKUP(DATA[[#This Row],[SERIE2]]&amp;"-"&amp;DATA[[#This Row],[NUMERO]],#REF!,34,0),"NO CORRESPONDE"),"NO CORRESPONDE")</f>
        <v>NO CORRESPONDE</v>
      </c>
      <c r="AS1255" s="22" t="str">
        <f>IF(DATA[[#This Row],[fecha_fs]]&gt;0,TEXT(DATA[[#This Row],[fecha_fs]],"Mmmm"),0)</f>
        <v>Setiembre</v>
      </c>
      <c r="AT1255" s="22" t="str">
        <f>DATA[[#This Row],[SERIE2]]&amp;"-"&amp;DATA[[#This Row],[NUMERO]]</f>
        <v>FF01-269</v>
      </c>
      <c r="AU1255" s="28">
        <f>DATA[[#This Row],[TOTAL]]*DATA[[#This Row],[T.C.]]</f>
        <v>442.85</v>
      </c>
      <c r="AV1255" s="6">
        <f>DATA[[#This Row],[FECHA DE VAL.]]</f>
        <v>45926</v>
      </c>
      <c r="AW1255" s="6">
        <f>DATA[[#This Row],[FECHA DE EMISION]]</f>
        <v>45930</v>
      </c>
      <c r="AX1255" s="6">
        <f>DATA[[#This Row],[F1]]</f>
        <v>0</v>
      </c>
      <c r="AY1255" s="20">
        <f>IF(AV1255-DATA[[#This Row],[fecha_fs]]&lt;0,0,AV1255-DATA[[#This Row],[fecha_fs]])</f>
        <v>0</v>
      </c>
      <c r="AZ1255" s="20">
        <f t="shared" si="287"/>
        <v>4</v>
      </c>
      <c r="BA1255" s="53">
        <f t="shared" si="288"/>
        <v>0</v>
      </c>
      <c r="BB1255" s="195">
        <f>IFERROR(SUM(DATA[[#This Row],[fs_val_ttf]:[fact_pago_ttf]]),0)</f>
        <v>4</v>
      </c>
      <c r="BC1255" s="233">
        <v>45932</v>
      </c>
      <c r="BD1255" s="233">
        <v>45939</v>
      </c>
      <c r="BE1255" s="233">
        <v>45939</v>
      </c>
      <c r="BF1255" s="233">
        <v>45940</v>
      </c>
      <c r="BG1255" s="20">
        <f>IFERROR(IF(BC1255-DATA[[#This Row],[fecha_fs]]&lt;0,0,BC1255-DATA[[#This Row],[fecha_fs]]),0)</f>
        <v>6</v>
      </c>
      <c r="BH1255" s="20">
        <f t="shared" si="289"/>
        <v>7</v>
      </c>
      <c r="BI1255" s="20">
        <f t="shared" si="290"/>
        <v>0</v>
      </c>
      <c r="BJ1255" s="20">
        <f t="shared" si="291"/>
        <v>1</v>
      </c>
      <c r="BK1255" s="282">
        <f>IFERROR(SUM(DATA[[#This Row],[fs_fd_ttd]:[fend_fenf_ttd]]),0)</f>
        <v>14</v>
      </c>
      <c r="BL1255" s="20" t="str">
        <f>IF(DATA[[#This Row],[fecha_fs]]&gt;0,TEXT(DATA[[#This Row],[fecha_fs]],"YYYY"),0)</f>
        <v>2025</v>
      </c>
      <c r="BM1255" s="236" t="b">
        <v>1</v>
      </c>
      <c r="BN1255" s="278">
        <f>COUNTIF(DATA[[#This Row],[tiempo_td]], "&lt;=15")</f>
        <v>1</v>
      </c>
      <c r="BO1255" s="222"/>
    </row>
    <row r="1256" spans="1:67" ht="30.6" customHeight="1" x14ac:dyDescent="0.25">
      <c r="A1256" s="4"/>
      <c r="B1256" s="5" t="s">
        <v>0</v>
      </c>
      <c r="C1256" s="52"/>
      <c r="D1256" s="4"/>
      <c r="E1256" s="5" t="s">
        <v>0</v>
      </c>
      <c r="F1256" s="24">
        <v>45926</v>
      </c>
      <c r="G1256" s="7" t="s">
        <v>113</v>
      </c>
      <c r="H1256" s="25">
        <f t="shared" si="292"/>
        <v>1</v>
      </c>
      <c r="I1256" s="67">
        <v>5047</v>
      </c>
      <c r="J1256" s="8" t="s">
        <v>151</v>
      </c>
      <c r="K1256" s="9"/>
      <c r="L1256" s="10"/>
      <c r="M1256" s="111"/>
      <c r="N1256" s="112"/>
      <c r="O1256" s="6"/>
      <c r="P1256" s="13"/>
      <c r="Q1256" s="14"/>
      <c r="R1256" s="56"/>
      <c r="S1256" s="56"/>
      <c r="T1256" s="56">
        <f>DATA[[#This Row],[C. DF]]+DATA[[#This Row],[C.OPE.]]</f>
        <v>0</v>
      </c>
      <c r="U1256" s="56">
        <f>DATA[[#This Row],[SUB TOTAL]]*0.18</f>
        <v>0</v>
      </c>
      <c r="V1256" s="56">
        <f>IFERROR(ROUND(DATA[[#This Row],[SUB TOTAL]]+DATA[[#This Row],[IGV]],2),0)</f>
        <v>0</v>
      </c>
      <c r="W1256" s="73" t="str">
        <f>IF(DATA[[#This Row],[VALORIZACIÓN ]]="-","NO CORRESPONDE",IF(OR(A1256=20558226979,A1256=10470707866,A1256=20111157058,A1256=20100226902),"NO CORRESPONDE",IF(J1256="Emitida",IF(P1256&gt;0,"EMITIDA","PENDIENTE"),"NO CORRESPONDE")))</f>
        <v>NO CORRESPONDE</v>
      </c>
      <c r="X1256" s="46"/>
      <c r="Y1256" s="17" t="s">
        <v>128</v>
      </c>
      <c r="Z1256" s="48"/>
      <c r="AA1256" s="49"/>
      <c r="AB1256" s="50"/>
      <c r="AC1256" s="51"/>
      <c r="AD1256" s="59">
        <f>DATA[[#This Row],[FECHA DE EMISION]]+DATA[[#This Row],[CONDICION DE PAGO]]</f>
        <v>0</v>
      </c>
      <c r="AE1256" s="23">
        <f>IF(DATA[[#This Row],[MONEDA]]="USD",VLOOKUP(DATA[[#This Row],[COMBINADA]],#REF!,11,0),1)</f>
        <v>1</v>
      </c>
      <c r="AF1256" s="129" t="str">
        <f>IF(DATA[[#This Row],[SERIE2]]="-","NO CORRESPONDE",IF(W1256="NO CORRESPONDE","NO CORRESPONDE",IF(Z1256&gt;0,"FACTURADO","PENDIENTE")))</f>
        <v>NO CORRESPONDE</v>
      </c>
      <c r="AG1256" s="133">
        <f>IFERROR(VLOOKUP(DATA[[#This Row],[COMBINADA]],#REF!,6,0),0)</f>
        <v>0</v>
      </c>
      <c r="AH1256" s="125">
        <f>IFERROR(VLOOKUP(DATA[[#This Row],[COMBINADA]],#REF!,9,0),0)/COUNTIFS(DATA[COMBINADA],DATA[[#This Row],[COMBINADA]])</f>
        <v>0</v>
      </c>
      <c r="AI1256" s="140">
        <f>IFERROR(VLOOKUP(DATA[[#This Row],[COMBINADA]],#REF!,6,0),0)</f>
        <v>0</v>
      </c>
      <c r="AJ1256" s="126">
        <f>IFERROR(VLOOKUP(DATA[[#This Row],[COMBINADA]],#REF!,9,0),0)/COUNTIFS(DATA[COMBINADA],DATA[[#This Row],[COMBINADA]])</f>
        <v>0</v>
      </c>
      <c r="AK1256" s="61">
        <f>IFERROR(VLOOKUP(DATA[[#This Row],[COMBINADA]],#REF!,6,0),0)</f>
        <v>0</v>
      </c>
      <c r="AL1256" s="126">
        <f>IFERROR(VLOOKUP(DATA[[#This Row],[COMBINADA]],#REF!,9,0),0)/COUNTIFS(DATA[COMBINADA],DATA[[#This Row],[COMBINADA]])</f>
        <v>0</v>
      </c>
      <c r="AM1256" s="61">
        <f>IFERROR(VLOOKUP(DATA[[#This Row],[COMBINADA]],#REF!,6,0),0)</f>
        <v>0</v>
      </c>
      <c r="AN1256" s="62">
        <f>IFERROR(VLOOKUP(DATA[[#This Row],[COMBINADA]],#REF!,9,0),0)/COUNTIFS(DATA[COMBINADA],DATA[[#This Row],[COMBINADA]])</f>
        <v>0</v>
      </c>
      <c r="AO1256" s="61">
        <f>IFERROR(VLOOKUP(DATA[[#This Row],[COMBINADA]],#REF!,6,0),0)</f>
        <v>0</v>
      </c>
      <c r="AP1256" s="62">
        <f>IFERROR(VLOOKUP(DATA[[#This Row],[COMBINADA]],#REF!,9,0),0)/COUNTIFS(DATA[COMBINADA],DATA[[#This Row],[COMBINADA]])</f>
        <v>0</v>
      </c>
      <c r="AQ1256"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256" s="22" t="str">
        <f>IFERROR(IF(DATA[[#This Row],[estado_fact]]="FACTURADO",VLOOKUP(DATA[[#This Row],[SERIE2]]&amp;"-"&amp;DATA[[#This Row],[NUMERO]],#REF!,34,0),"NO CORRESPONDE"),"NO CORRESPONDE")</f>
        <v>NO CORRESPONDE</v>
      </c>
      <c r="AS1256" s="198" t="str">
        <f>IF(DATA[[#This Row],[fecha_fs]]&gt;0,TEXT(DATA[[#This Row],[fecha_fs]],"Mmmm"),0)</f>
        <v>Setiembre</v>
      </c>
      <c r="AT1256" s="199" t="str">
        <f>DATA[[#This Row],[SERIE2]]&amp;"-"&amp;DATA[[#This Row],[NUMERO]]</f>
        <v>-</v>
      </c>
      <c r="AU1256" s="198">
        <f>DATA[[#This Row],[TOTAL]]*DATA[[#This Row],[T.C.]]</f>
        <v>0</v>
      </c>
      <c r="AV1256" s="40">
        <f>DATA[[#This Row],[FECHA DE VAL.]]</f>
        <v>0</v>
      </c>
      <c r="AW1256" s="40">
        <f>DATA[[#This Row],[FECHA DE EMISION]]</f>
        <v>0</v>
      </c>
      <c r="AX1256" s="40">
        <f>DATA[[#This Row],[F1]]</f>
        <v>0</v>
      </c>
      <c r="AY1256" s="49">
        <f>IF(AV1256-DATA[[#This Row],[fecha_fs]]&lt;0,0,AV1256-DATA[[#This Row],[fecha_fs]])</f>
        <v>0</v>
      </c>
      <c r="AZ1256" s="49">
        <f t="shared" si="287"/>
        <v>0</v>
      </c>
      <c r="BA1256" s="49">
        <f t="shared" si="288"/>
        <v>0</v>
      </c>
      <c r="BB1256" s="195">
        <f>IFERROR(SUM(DATA[[#This Row],[fs_val_ttf]:[fact_pago_ttf]]),0)</f>
        <v>0</v>
      </c>
      <c r="BC1256" s="47"/>
      <c r="BD1256" s="47"/>
      <c r="BE1256" s="47"/>
      <c r="BF1256" s="47"/>
      <c r="BG1256" s="49">
        <f>IFERROR(IF(BC1256-DATA[[#This Row],[fecha_fs]]&lt;0,0,BC1256-DATA[[#This Row],[fecha_fs]]),0)</f>
        <v>0</v>
      </c>
      <c r="BH1256" s="49">
        <f t="shared" si="289"/>
        <v>0</v>
      </c>
      <c r="BI1256" s="49">
        <f t="shared" si="290"/>
        <v>0</v>
      </c>
      <c r="BJ1256" s="49">
        <f t="shared" si="291"/>
        <v>0</v>
      </c>
      <c r="BK1256" s="282">
        <f>IFERROR(SUM(DATA[[#This Row],[fs_fd_ttd]:[fend_fenf_ttd]]),0)</f>
        <v>0</v>
      </c>
      <c r="BL1256" s="20" t="str">
        <f>IF(DATA[[#This Row],[fecha_fs]]&gt;0,TEXT(DATA[[#This Row],[fecha_fs]],"YYYY"),0)</f>
        <v>2025</v>
      </c>
      <c r="BM1256" s="221" t="b">
        <v>0</v>
      </c>
      <c r="BN1256" s="278"/>
      <c r="BO1256" s="222"/>
    </row>
    <row r="1257" spans="1:67" ht="30.6" customHeight="1" x14ac:dyDescent="0.25">
      <c r="A1257" s="4">
        <v>20141637941</v>
      </c>
      <c r="B1257" s="5" t="s">
        <v>79</v>
      </c>
      <c r="C1257" s="52" t="s">
        <v>18</v>
      </c>
      <c r="D1257" s="4" t="s">
        <v>120</v>
      </c>
      <c r="E1257" s="5" t="s">
        <v>3</v>
      </c>
      <c r="F1257" s="24">
        <v>45929</v>
      </c>
      <c r="G1257" s="7" t="s">
        <v>113</v>
      </c>
      <c r="H1257" s="25">
        <f t="shared" si="292"/>
        <v>1</v>
      </c>
      <c r="I1257" s="67">
        <v>5048</v>
      </c>
      <c r="J1257" s="8" t="s">
        <v>115</v>
      </c>
      <c r="K1257" s="9" t="s">
        <v>121</v>
      </c>
      <c r="L1257" s="10" t="s">
        <v>117</v>
      </c>
      <c r="M1257" s="11">
        <v>720</v>
      </c>
      <c r="N1257" s="12" t="s">
        <v>125</v>
      </c>
      <c r="O1257" s="6">
        <v>45930</v>
      </c>
      <c r="P1257" s="68">
        <v>3705</v>
      </c>
      <c r="Q1257" s="14" t="s">
        <v>85</v>
      </c>
      <c r="R1257" s="321">
        <v>80</v>
      </c>
      <c r="S1257" s="321">
        <v>832</v>
      </c>
      <c r="T1257" s="237">
        <f>DATA[[#This Row],[C. DF]]+DATA[[#This Row],[C.OPE.]]</f>
        <v>912</v>
      </c>
      <c r="U1257" s="15">
        <f>DATA[[#This Row],[SUB TOTAL]]*0.18</f>
        <v>164.16</v>
      </c>
      <c r="V1257" s="15">
        <f>IFERROR(ROUND(DATA[[#This Row],[SUB TOTAL]]+DATA[[#This Row],[IGV]],2),0)</f>
        <v>1076.1600000000001</v>
      </c>
      <c r="W1257" s="16" t="str">
        <f>IF(DATA[[#This Row],[VALORIZACIÓN ]]="-","NO CORRESPONDE",IF(OR(A1257=20558226979,A1257=10470707866,A1257=20111157058,A1257=20100226902),"NO CORRESPONDE",IF(J1257="Emitida",IF(P1257&gt;0,"EMITIDA","PENDIENTE"),"NO CORRESPONDE")))</f>
        <v>EMITIDA</v>
      </c>
      <c r="X1257" s="29"/>
      <c r="Y1257" s="17" t="s">
        <v>118</v>
      </c>
      <c r="Z1257" s="30">
        <v>45931</v>
      </c>
      <c r="AA1257" s="10" t="s">
        <v>150</v>
      </c>
      <c r="AB1257" s="19">
        <v>275</v>
      </c>
      <c r="AC1257" s="20">
        <v>30</v>
      </c>
      <c r="AD1257" s="18">
        <f>DATA[[#This Row],[FECHA DE EMISION]]+DATA[[#This Row],[CONDICION DE PAGO]]</f>
        <v>45961</v>
      </c>
      <c r="AE1257" s="23">
        <f>IF(DATA[[#This Row],[MONEDA]]="USD",VLOOKUP(DATA[[#This Row],[COMBINADA]],#REF!,11,0),1)</f>
        <v>1</v>
      </c>
      <c r="AF1257" s="129" t="str">
        <f>IF(DATA[[#This Row],[SERIE2]]="-","NO CORRESPONDE",IF(W1257="NO CORRESPONDE","NO CORRESPONDE",IF(Z1257&gt;0,"FACTURADO","PENDIENTE")))</f>
        <v>FACTURADO</v>
      </c>
      <c r="AG1257" s="133">
        <f>IFERROR(VLOOKUP(DATA[[#This Row],[COMBINADA]],#REF!,6,0),0)</f>
        <v>0</v>
      </c>
      <c r="AH1257" s="125">
        <f>IFERROR(VLOOKUP(DATA[[#This Row],[COMBINADA]],#REF!,9,0),0)/COUNTIFS(DATA[COMBINADA],DATA[[#This Row],[COMBINADA]])</f>
        <v>0</v>
      </c>
      <c r="AI1257" s="136">
        <f>IFERROR(VLOOKUP(DATA[[#This Row],[COMBINADA]],#REF!,6,0),0)</f>
        <v>0</v>
      </c>
      <c r="AJ1257" s="132">
        <f>IFERROR(VLOOKUP(DATA[[#This Row],[COMBINADA]],#REF!,9,0),0)/COUNTIFS(DATA[COMBINADA],DATA[[#This Row],[COMBINADA]])</f>
        <v>0</v>
      </c>
      <c r="AK1257" s="407">
        <f>IFERROR(VLOOKUP(DATA[[#This Row],[COMBINADA]],#REF!,6,0),0)</f>
        <v>0</v>
      </c>
      <c r="AL1257" s="125">
        <f>IFERROR(VLOOKUP(DATA[[#This Row],[COMBINADA]],#REF!,9,0),0)/COUNTIFS(DATA[COMBINADA],DATA[[#This Row],[COMBINADA]])</f>
        <v>0</v>
      </c>
      <c r="AM1257" s="27">
        <f>IFERROR(VLOOKUP(DATA[[#This Row],[COMBINADA]],#REF!,6,0),0)</f>
        <v>0</v>
      </c>
      <c r="AN1257" s="125">
        <f>IFERROR(VLOOKUP(DATA[[#This Row],[COMBINADA]],#REF!,9,0),0)/COUNTIFS(DATA[COMBINADA],DATA[[#This Row],[COMBINADA]])</f>
        <v>0</v>
      </c>
      <c r="AO1257" s="27">
        <f>IFERROR(VLOOKUP(DATA[[#This Row],[COMBINADA]],#REF!,6,0),0)</f>
        <v>0</v>
      </c>
      <c r="AP1257" s="132">
        <f>IFERROR(VLOOKUP(DATA[[#This Row],[COMBINADA]],#REF!,9,0),0)/COUNTIFS(DATA[COMBINADA],DATA[[#This Row],[COMBINADA]])</f>
        <v>0</v>
      </c>
      <c r="AQ125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1080.8800000000001</v>
      </c>
      <c r="AR1257" s="26" t="str">
        <f>IFERROR(IF(DATA[[#This Row],[estado_fact]]="FACTURADO",VLOOKUP(DATA[[#This Row],[SERIE2]]&amp;"-"&amp;DATA[[#This Row],[NUMERO]],#REF!,34,0),"NO CORRESPONDE"),"NO CORRESPONDE")</f>
        <v>NO CORRESPONDE</v>
      </c>
      <c r="AS1257" s="22" t="str">
        <f>IF(DATA[[#This Row],[fecha_fs]]&gt;0,TEXT(DATA[[#This Row],[fecha_fs]],"Mmmm"),0)</f>
        <v>Setiembre</v>
      </c>
      <c r="AT1257" s="22" t="str">
        <f>DATA[[#This Row],[SERIE2]]&amp;"-"&amp;DATA[[#This Row],[NUMERO]]</f>
        <v>FF01-275</v>
      </c>
      <c r="AU1257" s="28">
        <f>DATA[[#This Row],[TOTAL]]*DATA[[#This Row],[T.C.]]</f>
        <v>1076.1600000000001</v>
      </c>
      <c r="AV1257" s="6">
        <f>DATA[[#This Row],[FECHA DE VAL.]]</f>
        <v>45930</v>
      </c>
      <c r="AW1257" s="6">
        <f>DATA[[#This Row],[FECHA DE EMISION]]</f>
        <v>45931</v>
      </c>
      <c r="AX1257" s="6">
        <f>DATA[[#This Row],[F1]]</f>
        <v>0</v>
      </c>
      <c r="AY1257" s="20">
        <f>IF(AV1257-DATA[[#This Row],[fecha_fs]]&lt;0,0,AV1257-DATA[[#This Row],[fecha_fs]])</f>
        <v>1</v>
      </c>
      <c r="AZ1257" s="20">
        <f t="shared" si="287"/>
        <v>1</v>
      </c>
      <c r="BA1257" s="53">
        <f t="shared" si="288"/>
        <v>0</v>
      </c>
      <c r="BB1257" s="195">
        <f>IFERROR(SUM(DATA[[#This Row],[fs_val_ttf]:[fact_pago_ttf]]),0)</f>
        <v>2</v>
      </c>
      <c r="BC1257" s="233">
        <v>45929</v>
      </c>
      <c r="BD1257" s="233">
        <v>45933</v>
      </c>
      <c r="BE1257" s="233">
        <v>45936</v>
      </c>
      <c r="BF1257" s="233">
        <v>45939</v>
      </c>
      <c r="BG1257" s="20">
        <f>IFERROR(IF(BC1257-DATA[[#This Row],[fecha_fs]]&lt;0,0,BC1257-DATA[[#This Row],[fecha_fs]]),0)</f>
        <v>0</v>
      </c>
      <c r="BH1257" s="20">
        <f t="shared" si="289"/>
        <v>4</v>
      </c>
      <c r="BI1257" s="20">
        <f t="shared" si="290"/>
        <v>3</v>
      </c>
      <c r="BJ1257" s="20">
        <f t="shared" si="291"/>
        <v>3</v>
      </c>
      <c r="BK1257" s="282">
        <f>IFERROR(SUM(DATA[[#This Row],[fs_fd_ttd]:[fend_fenf_ttd]]),0)</f>
        <v>10</v>
      </c>
      <c r="BL1257" s="20" t="str">
        <f>IF(DATA[[#This Row],[fecha_fs]]&gt;0,TEXT(DATA[[#This Row],[fecha_fs]],"YYYY"),0)</f>
        <v>2025</v>
      </c>
      <c r="BM1257" s="236" t="b">
        <v>1</v>
      </c>
      <c r="BN1257" s="278">
        <f>COUNTIF(DATA[[#This Row],[tiempo_td]], "&lt;=15")</f>
        <v>1</v>
      </c>
      <c r="BO1257" s="222"/>
    </row>
    <row r="1258" spans="1:67" ht="30.6" customHeight="1" x14ac:dyDescent="0.25">
      <c r="A1258" s="4">
        <v>20100192064</v>
      </c>
      <c r="B1258" s="5" t="s">
        <v>60</v>
      </c>
      <c r="C1258" s="52" t="s">
        <v>43</v>
      </c>
      <c r="D1258" s="4" t="s">
        <v>120</v>
      </c>
      <c r="E1258" s="5" t="s">
        <v>3</v>
      </c>
      <c r="F1258" s="24">
        <v>45926</v>
      </c>
      <c r="G1258" s="7" t="s">
        <v>113</v>
      </c>
      <c r="H1258" s="25">
        <f t="shared" si="292"/>
        <v>1</v>
      </c>
      <c r="I1258" s="67">
        <v>5049</v>
      </c>
      <c r="J1258" s="8" t="s">
        <v>115</v>
      </c>
      <c r="K1258" s="9" t="s">
        <v>121</v>
      </c>
      <c r="L1258" s="10" t="s">
        <v>117</v>
      </c>
      <c r="M1258" s="11">
        <v>1050</v>
      </c>
      <c r="N1258" s="12" t="s">
        <v>337</v>
      </c>
      <c r="O1258" s="6">
        <v>45926</v>
      </c>
      <c r="P1258" s="366">
        <v>3688</v>
      </c>
      <c r="Q1258" s="14" t="s">
        <v>123</v>
      </c>
      <c r="R1258" s="321">
        <f>(DATA[[#This Row],[cantidad_fs]]/1000)*(47+174.34)</f>
        <v>232.40700000000001</v>
      </c>
      <c r="S1258" s="321">
        <v>137</v>
      </c>
      <c r="T1258" s="237">
        <f>DATA[[#This Row],[C. DF]]+DATA[[#This Row],[C.OPE.]]</f>
        <v>369.40700000000004</v>
      </c>
      <c r="U1258" s="15">
        <f>DATA[[#This Row],[SUB TOTAL]]*0.18</f>
        <v>66.493260000000006</v>
      </c>
      <c r="V1258" s="15">
        <f>IFERROR(ROUND(DATA[[#This Row],[SUB TOTAL]]+DATA[[#This Row],[IGV]],2),0)</f>
        <v>435.9</v>
      </c>
      <c r="W1258" s="16" t="str">
        <f>IF(DATA[[#This Row],[VALORIZACIÓN ]]="-","NO CORRESPONDE",IF(OR(A1258=20558226979,A1258=10470707866,A1258=20111157058,A1258=20100226902),"NO CORRESPONDE",IF(J1258="Emitida",IF(P1258&gt;0,"EMITIDA","PENDIENTE"),"NO CORRESPONDE")))</f>
        <v>EMITIDA</v>
      </c>
      <c r="X1258" s="29"/>
      <c r="Y1258" s="17" t="s">
        <v>118</v>
      </c>
      <c r="Z1258" s="30">
        <v>45930</v>
      </c>
      <c r="AA1258" s="10" t="s">
        <v>349</v>
      </c>
      <c r="AB1258" s="19">
        <v>3</v>
      </c>
      <c r="AC1258" s="20">
        <v>30</v>
      </c>
      <c r="AD1258" s="18">
        <f>DATA[[#This Row],[FECHA DE EMISION]]+DATA[[#This Row],[CONDICION DE PAGO]]</f>
        <v>45960</v>
      </c>
      <c r="AE1258" s="23" t="e">
        <f>IF(DATA[[#This Row],[MONEDA]]="USD",VLOOKUP(DATA[[#This Row],[COMBINADA]],#REF!,11,0),1)</f>
        <v>#REF!</v>
      </c>
      <c r="AF1258" s="129" t="str">
        <f>IF(DATA[[#This Row],[SERIE2]]="-","NO CORRESPONDE",IF(W1258="NO CORRESPONDE","NO CORRESPONDE",IF(Z1258&gt;0,"FACTURADO","PENDIENTE")))</f>
        <v>FACTURADO</v>
      </c>
      <c r="AG1258" s="133">
        <f>IFERROR(VLOOKUP(DATA[[#This Row],[COMBINADA]],#REF!,6,0),0)</f>
        <v>0</v>
      </c>
      <c r="AH1258" s="125">
        <f>IFERROR(VLOOKUP(DATA[[#This Row],[COMBINADA]],#REF!,9,0),0)/COUNTIFS(DATA[COMBINADA],DATA[[#This Row],[COMBINADA]])</f>
        <v>0</v>
      </c>
      <c r="AI1258" s="136">
        <f>IFERROR(VLOOKUP(DATA[[#This Row],[COMBINADA]],#REF!,6,0),0)</f>
        <v>0</v>
      </c>
      <c r="AJ1258" s="132">
        <f>IFERROR(VLOOKUP(DATA[[#This Row],[COMBINADA]],#REF!,9,0),0)/COUNTIFS(DATA[COMBINADA],DATA[[#This Row],[COMBINADA]])</f>
        <v>0</v>
      </c>
      <c r="AK1258" s="407">
        <f>IFERROR(VLOOKUP(DATA[[#This Row],[COMBINADA]],#REF!,6,0),0)</f>
        <v>0</v>
      </c>
      <c r="AL1258" s="125">
        <f>IFERROR(VLOOKUP(DATA[[#This Row],[COMBINADA]],#REF!,9,0),0)/COUNTIFS(DATA[COMBINADA],DATA[[#This Row],[COMBINADA]])</f>
        <v>0</v>
      </c>
      <c r="AM1258" s="27">
        <f>IFERROR(VLOOKUP(DATA[[#This Row],[COMBINADA]],#REF!,6,0),0)</f>
        <v>0</v>
      </c>
      <c r="AN1258" s="125">
        <f>IFERROR(VLOOKUP(DATA[[#This Row],[COMBINADA]],#REF!,9,0),0)/COUNTIFS(DATA[COMBINADA],DATA[[#This Row],[COMBINADA]])</f>
        <v>0</v>
      </c>
      <c r="AO1258" s="27">
        <f>IFERROR(VLOOKUP(DATA[[#This Row],[COMBINADA]],#REF!,6,0),0)</f>
        <v>0</v>
      </c>
      <c r="AP1258" s="132">
        <f>IFERROR(VLOOKUP(DATA[[#This Row],[COMBINADA]],#REF!,9,0),0)/COUNTIFS(DATA[COMBINADA],DATA[[#This Row],[COMBINADA]])</f>
        <v>0</v>
      </c>
      <c r="AQ125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542.36833333333334</v>
      </c>
      <c r="AR1258" s="26" t="str">
        <f>IFERROR(IF(DATA[[#This Row],[estado_fact]]="FACTURADO",VLOOKUP(DATA[[#This Row],[SERIE2]]&amp;"-"&amp;DATA[[#This Row],[NUMERO]],#REF!,34,0),"NO CORRESPONDE"),"NO CORRESPONDE")</f>
        <v>NO CORRESPONDE</v>
      </c>
      <c r="AS1258" s="22" t="str">
        <f>IF(DATA[[#This Row],[fecha_fs]]&gt;0,TEXT(DATA[[#This Row],[fecha_fs]],"Mmmm"),0)</f>
        <v>Setiembre</v>
      </c>
      <c r="AT1258" s="22" t="str">
        <f>DATA[[#This Row],[SERIE2]]&amp;"-"&amp;DATA[[#This Row],[NUMERO]]</f>
        <v>FF04-3</v>
      </c>
      <c r="AU1258" s="28" t="e">
        <f>DATA[[#This Row],[TOTAL]]*DATA[[#This Row],[T.C.]]</f>
        <v>#REF!</v>
      </c>
      <c r="AV1258" s="6">
        <f>DATA[[#This Row],[FECHA DE VAL.]]</f>
        <v>45926</v>
      </c>
      <c r="AW1258" s="6">
        <f>DATA[[#This Row],[FECHA DE EMISION]]</f>
        <v>45930</v>
      </c>
      <c r="AX1258" s="6">
        <f>DATA[[#This Row],[F1]]</f>
        <v>0</v>
      </c>
      <c r="AY1258" s="20">
        <f>IF(AV1258-DATA[[#This Row],[fecha_fs]]&lt;0,0,AV1258-DATA[[#This Row],[fecha_fs]])</f>
        <v>0</v>
      </c>
      <c r="AZ1258" s="20">
        <f t="shared" si="287"/>
        <v>4</v>
      </c>
      <c r="BA1258" s="53">
        <f t="shared" si="288"/>
        <v>0</v>
      </c>
      <c r="BB1258" s="195">
        <f>IFERROR(SUM(DATA[[#This Row],[fs_val_ttf]:[fact_pago_ttf]]),0)</f>
        <v>4</v>
      </c>
      <c r="BC1258" s="233">
        <v>45933</v>
      </c>
      <c r="BD1258" s="185">
        <v>45943</v>
      </c>
      <c r="BE1258" s="233">
        <v>45943</v>
      </c>
      <c r="BF1258" s="276" t="s">
        <v>270</v>
      </c>
      <c r="BG1258" s="20">
        <f>IFERROR(IF(BC1258-DATA[[#This Row],[fecha_fs]]&lt;0,0,BC1258-DATA[[#This Row],[fecha_fs]]),0)</f>
        <v>7</v>
      </c>
      <c r="BH1258" s="20">
        <f t="shared" si="289"/>
        <v>10</v>
      </c>
      <c r="BI1258" s="20">
        <f t="shared" si="290"/>
        <v>0</v>
      </c>
      <c r="BJ1258" s="20">
        <f t="shared" si="291"/>
        <v>0</v>
      </c>
      <c r="BK1258" s="282">
        <f>IFERROR(SUM(DATA[[#This Row],[fs_fd_ttd]:[fend_fenf_ttd]]),0)</f>
        <v>17</v>
      </c>
      <c r="BL1258" s="20" t="str">
        <f>IF(DATA[[#This Row],[fecha_fs]]&gt;0,TEXT(DATA[[#This Row],[fecha_fs]],"YYYY"),0)</f>
        <v>2025</v>
      </c>
      <c r="BM1258" s="236" t="b">
        <v>0</v>
      </c>
      <c r="BN1258" s="278">
        <f>COUNTIF(DATA[[#This Row],[tiempo_td]], "&lt;=15")</f>
        <v>0</v>
      </c>
      <c r="BO1258" s="222"/>
    </row>
    <row r="1259" spans="1:67" ht="30.6" customHeight="1" x14ac:dyDescent="0.25">
      <c r="A1259" s="4">
        <v>20100192064</v>
      </c>
      <c r="B1259" s="5" t="s">
        <v>60</v>
      </c>
      <c r="C1259" s="52" t="s">
        <v>43</v>
      </c>
      <c r="D1259" s="4" t="s">
        <v>183</v>
      </c>
      <c r="E1259" s="5" t="s">
        <v>61</v>
      </c>
      <c r="F1259" s="24">
        <v>45926</v>
      </c>
      <c r="G1259" s="7" t="s">
        <v>113</v>
      </c>
      <c r="H1259" s="25">
        <f t="shared" si="292"/>
        <v>1</v>
      </c>
      <c r="I1259" s="67">
        <v>5050</v>
      </c>
      <c r="J1259" s="8" t="s">
        <v>115</v>
      </c>
      <c r="K1259" s="9" t="s">
        <v>184</v>
      </c>
      <c r="L1259" s="10" t="s">
        <v>117</v>
      </c>
      <c r="M1259" s="11">
        <v>19800</v>
      </c>
      <c r="N1259" s="12" t="s">
        <v>114</v>
      </c>
      <c r="O1259" s="6">
        <v>45926</v>
      </c>
      <c r="P1259" s="71">
        <v>3690</v>
      </c>
      <c r="Q1259" s="14" t="s">
        <v>123</v>
      </c>
      <c r="R1259" s="74"/>
      <c r="S1259" s="321">
        <f>(DATA[[#This Row],[cantidad_fs]]/1000)*22</f>
        <v>435.6</v>
      </c>
      <c r="T1259" s="237">
        <f>DATA[[#This Row],[C. DF]]+DATA[[#This Row],[C.OPE.]]</f>
        <v>435.6</v>
      </c>
      <c r="U1259" s="15">
        <f>DATA[[#This Row],[SUB TOTAL]]*0.18</f>
        <v>78.408000000000001</v>
      </c>
      <c r="V1259" s="15">
        <f>IFERROR(ROUND(DATA[[#This Row],[SUB TOTAL]]+DATA[[#This Row],[IGV]],2),0)</f>
        <v>514.01</v>
      </c>
      <c r="W1259" s="16" t="str">
        <f>IF(DATA[[#This Row],[VALORIZACIÓN ]]="-","NO CORRESPONDE",IF(OR(A1259=20558226979,A1259=10470707866,A1259=20111157058,A1259=20100226902),"NO CORRESPONDE",IF(J1259="Emitida",IF(P1259&gt;0,"EMITIDA","PENDIENTE"),"NO CORRESPONDE")))</f>
        <v>EMITIDA</v>
      </c>
      <c r="X1259" s="29"/>
      <c r="Y1259" s="17" t="s">
        <v>118</v>
      </c>
      <c r="Z1259" s="30">
        <v>45930</v>
      </c>
      <c r="AA1259" s="10" t="s">
        <v>349</v>
      </c>
      <c r="AB1259" s="19">
        <v>3</v>
      </c>
      <c r="AC1259" s="20">
        <v>30</v>
      </c>
      <c r="AD1259" s="18">
        <f>DATA[[#This Row],[FECHA DE EMISION]]+DATA[[#This Row],[CONDICION DE PAGO]]</f>
        <v>45960</v>
      </c>
      <c r="AE1259" s="23" t="e">
        <f>IF(DATA[[#This Row],[MONEDA]]="USD",VLOOKUP(DATA[[#This Row],[COMBINADA]],#REF!,11,0),1)</f>
        <v>#REF!</v>
      </c>
      <c r="AF1259" s="129" t="str">
        <f>IF(DATA[[#This Row],[SERIE2]]="-","NO CORRESPONDE",IF(W1259="NO CORRESPONDE","NO CORRESPONDE",IF(Z1259&gt;0,"FACTURADO","PENDIENTE")))</f>
        <v>FACTURADO</v>
      </c>
      <c r="AG1259" s="133">
        <f>IFERROR(VLOOKUP(DATA[[#This Row],[COMBINADA]],#REF!,6,0),0)</f>
        <v>0</v>
      </c>
      <c r="AH1259" s="125">
        <f>IFERROR(VLOOKUP(DATA[[#This Row],[COMBINADA]],#REF!,9,0),0)/COUNTIFS(DATA[COMBINADA],DATA[[#This Row],[COMBINADA]])</f>
        <v>0</v>
      </c>
      <c r="AI1259" s="136">
        <f>IFERROR(VLOOKUP(DATA[[#This Row],[COMBINADA]],#REF!,6,0),0)</f>
        <v>0</v>
      </c>
      <c r="AJ1259" s="132">
        <f>IFERROR(VLOOKUP(DATA[[#This Row],[COMBINADA]],#REF!,9,0),0)/COUNTIFS(DATA[COMBINADA],DATA[[#This Row],[COMBINADA]])</f>
        <v>0</v>
      </c>
      <c r="AK1259" s="407">
        <f>IFERROR(VLOOKUP(DATA[[#This Row],[COMBINADA]],#REF!,6,0),0)</f>
        <v>0</v>
      </c>
      <c r="AL1259" s="125">
        <f>IFERROR(VLOOKUP(DATA[[#This Row],[COMBINADA]],#REF!,9,0),0)/COUNTIFS(DATA[COMBINADA],DATA[[#This Row],[COMBINADA]])</f>
        <v>0</v>
      </c>
      <c r="AM1259" s="27">
        <f>IFERROR(VLOOKUP(DATA[[#This Row],[COMBINADA]],#REF!,6,0),0)</f>
        <v>0</v>
      </c>
      <c r="AN1259" s="125">
        <f>IFERROR(VLOOKUP(DATA[[#This Row],[COMBINADA]],#REF!,9,0),0)/COUNTIFS(DATA[COMBINADA],DATA[[#This Row],[COMBINADA]])</f>
        <v>0</v>
      </c>
      <c r="AO1259" s="27">
        <f>IFERROR(VLOOKUP(DATA[[#This Row],[COMBINADA]],#REF!,6,0),0)</f>
        <v>0</v>
      </c>
      <c r="AP1259" s="132">
        <f>IFERROR(VLOOKUP(DATA[[#This Row],[COMBINADA]],#REF!,9,0),0)/COUNTIFS(DATA[COMBINADA],DATA[[#This Row],[COMBINADA]])</f>
        <v>0</v>
      </c>
      <c r="AQ125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542.36833333333334</v>
      </c>
      <c r="AR1259" s="26" t="str">
        <f>IFERROR(IF(DATA[[#This Row],[estado_fact]]="FACTURADO",VLOOKUP(DATA[[#This Row],[SERIE2]]&amp;"-"&amp;DATA[[#This Row],[NUMERO]],#REF!,34,0),"NO CORRESPONDE"),"NO CORRESPONDE")</f>
        <v>NO CORRESPONDE</v>
      </c>
      <c r="AS1259" s="22" t="str">
        <f>IF(DATA[[#This Row],[fecha_fs]]&gt;0,TEXT(DATA[[#This Row],[fecha_fs]],"Mmmm"),0)</f>
        <v>Setiembre</v>
      </c>
      <c r="AT1259" s="22" t="str">
        <f>DATA[[#This Row],[SERIE2]]&amp;"-"&amp;DATA[[#This Row],[NUMERO]]</f>
        <v>FF04-3</v>
      </c>
      <c r="AU1259" s="28" t="e">
        <f>DATA[[#This Row],[TOTAL]]*DATA[[#This Row],[T.C.]]</f>
        <v>#REF!</v>
      </c>
      <c r="AV1259" s="6">
        <f>DATA[[#This Row],[FECHA DE VAL.]]</f>
        <v>45926</v>
      </c>
      <c r="AW1259" s="6">
        <f>DATA[[#This Row],[FECHA DE EMISION]]</f>
        <v>45930</v>
      </c>
      <c r="AX1259" s="6">
        <f>DATA[[#This Row],[F1]]</f>
        <v>0</v>
      </c>
      <c r="AY1259" s="20">
        <f>IF(AV1259-DATA[[#This Row],[fecha_fs]]&lt;0,0,AV1259-DATA[[#This Row],[fecha_fs]])</f>
        <v>0</v>
      </c>
      <c r="AZ1259" s="20">
        <f t="shared" si="287"/>
        <v>4</v>
      </c>
      <c r="BA1259" s="53">
        <f t="shared" si="288"/>
        <v>0</v>
      </c>
      <c r="BB1259" s="195">
        <f>IFERROR(SUM(DATA[[#This Row],[fs_val_ttf]:[fact_pago_ttf]]),0)</f>
        <v>4</v>
      </c>
      <c r="BC1259" s="276" t="s">
        <v>270</v>
      </c>
      <c r="BD1259" s="276" t="s">
        <v>270</v>
      </c>
      <c r="BE1259" s="276" t="s">
        <v>270</v>
      </c>
      <c r="BF1259" s="276" t="s">
        <v>270</v>
      </c>
      <c r="BG1259" s="20">
        <f>IFERROR(IF(BC1259-DATA[[#This Row],[fecha_fs]]&lt;0,0,BC1259-DATA[[#This Row],[fecha_fs]]),0)</f>
        <v>0</v>
      </c>
      <c r="BH1259" s="20">
        <f t="shared" si="289"/>
        <v>0</v>
      </c>
      <c r="BI1259" s="20">
        <f t="shared" si="290"/>
        <v>0</v>
      </c>
      <c r="BJ1259" s="20">
        <f t="shared" si="291"/>
        <v>0</v>
      </c>
      <c r="BK1259" s="282">
        <f>IFERROR(SUM(DATA[[#This Row],[fs_fd_ttd]:[fend_fenf_ttd]]),0)</f>
        <v>0</v>
      </c>
      <c r="BL1259" s="20" t="str">
        <f>IF(DATA[[#This Row],[fecha_fs]]&gt;0,TEXT(DATA[[#This Row],[fecha_fs]],"YYYY"),0)</f>
        <v>2025</v>
      </c>
      <c r="BM1259" s="236" t="b">
        <v>0</v>
      </c>
      <c r="BN1259" s="278">
        <f>COUNTIF(DATA[[#This Row],[tiempo_td]], "&lt;=15")</f>
        <v>1</v>
      </c>
      <c r="BO1259" s="222"/>
    </row>
    <row r="1260" spans="1:67" ht="30.6" customHeight="1" x14ac:dyDescent="0.25">
      <c r="A1260" s="4">
        <v>20100192064</v>
      </c>
      <c r="B1260" s="5" t="s">
        <v>60</v>
      </c>
      <c r="C1260" s="52" t="s">
        <v>43</v>
      </c>
      <c r="D1260" s="4" t="s">
        <v>189</v>
      </c>
      <c r="E1260" s="5" t="s">
        <v>62</v>
      </c>
      <c r="F1260" s="24">
        <v>45926</v>
      </c>
      <c r="G1260" s="7" t="s">
        <v>113</v>
      </c>
      <c r="H1260" s="25">
        <f t="shared" ref="H1260:H1262" si="299">IF(G1260="","",IF(G1260="LIM",2,1))</f>
        <v>1</v>
      </c>
      <c r="I1260" s="67">
        <v>5051</v>
      </c>
      <c r="J1260" s="8" t="s">
        <v>115</v>
      </c>
      <c r="K1260" s="9" t="s">
        <v>190</v>
      </c>
      <c r="L1260" s="10" t="s">
        <v>117</v>
      </c>
      <c r="M1260" s="11">
        <v>18000</v>
      </c>
      <c r="N1260" s="12" t="s">
        <v>114</v>
      </c>
      <c r="O1260" s="6">
        <v>45926</v>
      </c>
      <c r="P1260" s="71">
        <v>3691</v>
      </c>
      <c r="Q1260" s="14" t="s">
        <v>123</v>
      </c>
      <c r="R1260" s="74"/>
      <c r="S1260" s="321">
        <f>(DATA[[#This Row],[cantidad_fs]]/1000)*17</f>
        <v>306</v>
      </c>
      <c r="T1260" s="237">
        <f>DATA[[#This Row],[C. DF]]+DATA[[#This Row],[C.OPE.]]</f>
        <v>306</v>
      </c>
      <c r="U1260" s="15">
        <f>DATA[[#This Row],[SUB TOTAL]]*0.18</f>
        <v>55.08</v>
      </c>
      <c r="V1260" s="15">
        <f>IFERROR(ROUND(DATA[[#This Row],[SUB TOTAL]]+DATA[[#This Row],[IGV]],2),0)</f>
        <v>361.08</v>
      </c>
      <c r="W1260" s="16" t="str">
        <f>IF(DATA[[#This Row],[VALORIZACIÓN ]]="-","NO CORRESPONDE",IF(OR(A1260=20558226979,A1260=10470707866,A1260=20111157058,A1260=20100226902),"NO CORRESPONDE",IF(J1260="Emitida",IF(P1260&gt;0,"EMITIDA","PENDIENTE"),"NO CORRESPONDE")))</f>
        <v>EMITIDA</v>
      </c>
      <c r="X1260" s="29"/>
      <c r="Y1260" s="17" t="s">
        <v>118</v>
      </c>
      <c r="Z1260" s="30">
        <v>45930</v>
      </c>
      <c r="AA1260" s="10" t="s">
        <v>349</v>
      </c>
      <c r="AB1260" s="19">
        <v>3</v>
      </c>
      <c r="AC1260" s="20">
        <v>30</v>
      </c>
      <c r="AD1260" s="18">
        <f>DATA[[#This Row],[FECHA DE EMISION]]+DATA[[#This Row],[CONDICION DE PAGO]]</f>
        <v>45960</v>
      </c>
      <c r="AE1260" s="23" t="e">
        <f>IF(DATA[[#This Row],[MONEDA]]="USD",VLOOKUP(DATA[[#This Row],[COMBINADA]],#REF!,11,0),1)</f>
        <v>#REF!</v>
      </c>
      <c r="AF1260" s="129" t="str">
        <f>IF(DATA[[#This Row],[SERIE2]]="-","NO CORRESPONDE",IF(W1260="NO CORRESPONDE","NO CORRESPONDE",IF(Z1260&gt;0,"FACTURADO","PENDIENTE")))</f>
        <v>FACTURADO</v>
      </c>
      <c r="AG1260" s="133">
        <f>IFERROR(VLOOKUP(DATA[[#This Row],[COMBINADA]],#REF!,6,0),0)</f>
        <v>0</v>
      </c>
      <c r="AH1260" s="125">
        <f>IFERROR(VLOOKUP(DATA[[#This Row],[COMBINADA]],#REF!,9,0),0)/COUNTIFS(DATA[COMBINADA],DATA[[#This Row],[COMBINADA]])</f>
        <v>0</v>
      </c>
      <c r="AI1260" s="136">
        <f>IFERROR(VLOOKUP(DATA[[#This Row],[COMBINADA]],#REF!,6,0),0)</f>
        <v>0</v>
      </c>
      <c r="AJ1260" s="132">
        <f>IFERROR(VLOOKUP(DATA[[#This Row],[COMBINADA]],#REF!,9,0),0)/COUNTIFS(DATA[COMBINADA],DATA[[#This Row],[COMBINADA]])</f>
        <v>0</v>
      </c>
      <c r="AK1260" s="407">
        <f>IFERROR(VLOOKUP(DATA[[#This Row],[COMBINADA]],#REF!,6,0),0)</f>
        <v>0</v>
      </c>
      <c r="AL1260" s="125">
        <f>IFERROR(VLOOKUP(DATA[[#This Row],[COMBINADA]],#REF!,9,0),0)/COUNTIFS(DATA[COMBINADA],DATA[[#This Row],[COMBINADA]])</f>
        <v>0</v>
      </c>
      <c r="AM1260" s="27">
        <f>IFERROR(VLOOKUP(DATA[[#This Row],[COMBINADA]],#REF!,6,0),0)</f>
        <v>0</v>
      </c>
      <c r="AN1260" s="125">
        <f>IFERROR(VLOOKUP(DATA[[#This Row],[COMBINADA]],#REF!,9,0),0)/COUNTIFS(DATA[COMBINADA],DATA[[#This Row],[COMBINADA]])</f>
        <v>0</v>
      </c>
      <c r="AO1260" s="27">
        <f>IFERROR(VLOOKUP(DATA[[#This Row],[COMBINADA]],#REF!,6,0),0)</f>
        <v>0</v>
      </c>
      <c r="AP1260" s="132">
        <f>IFERROR(VLOOKUP(DATA[[#This Row],[COMBINADA]],#REF!,9,0),0)/COUNTIFS(DATA[COMBINADA],DATA[[#This Row],[COMBINADA]])</f>
        <v>0</v>
      </c>
      <c r="AQ126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542.36833333333334</v>
      </c>
      <c r="AR1260" s="26" t="str">
        <f>IFERROR(IF(DATA[[#This Row],[estado_fact]]="FACTURADO",VLOOKUP(DATA[[#This Row],[SERIE2]]&amp;"-"&amp;DATA[[#This Row],[NUMERO]],#REF!,34,0),"NO CORRESPONDE"),"NO CORRESPONDE")</f>
        <v>NO CORRESPONDE</v>
      </c>
      <c r="AS1260" s="22" t="str">
        <f>IF(DATA[[#This Row],[fecha_fs]]&gt;0,TEXT(DATA[[#This Row],[fecha_fs]],"Mmmm"),0)</f>
        <v>Setiembre</v>
      </c>
      <c r="AT1260" s="22" t="str">
        <f>DATA[[#This Row],[SERIE2]]&amp;"-"&amp;DATA[[#This Row],[NUMERO]]</f>
        <v>FF04-3</v>
      </c>
      <c r="AU1260" s="28" t="e">
        <f>DATA[[#This Row],[TOTAL]]*DATA[[#This Row],[T.C.]]</f>
        <v>#REF!</v>
      </c>
      <c r="AV1260" s="6">
        <f>DATA[[#This Row],[FECHA DE VAL.]]</f>
        <v>45926</v>
      </c>
      <c r="AW1260" s="6">
        <f>DATA[[#This Row],[FECHA DE EMISION]]</f>
        <v>45930</v>
      </c>
      <c r="AX1260" s="6">
        <f>DATA[[#This Row],[F1]]</f>
        <v>0</v>
      </c>
      <c r="AY1260" s="20">
        <f>IF(AV1260-DATA[[#This Row],[fecha_fs]]&lt;0,0,AV1260-DATA[[#This Row],[fecha_fs]])</f>
        <v>0</v>
      </c>
      <c r="AZ1260" s="20">
        <f t="shared" si="287"/>
        <v>4</v>
      </c>
      <c r="BA1260" s="53">
        <f t="shared" si="288"/>
        <v>0</v>
      </c>
      <c r="BB1260" s="195">
        <f>IFERROR(SUM(DATA[[#This Row],[fs_val_ttf]:[fact_pago_ttf]]),0)</f>
        <v>4</v>
      </c>
      <c r="BC1260" s="276" t="s">
        <v>270</v>
      </c>
      <c r="BD1260" s="276" t="s">
        <v>270</v>
      </c>
      <c r="BE1260" s="276" t="s">
        <v>270</v>
      </c>
      <c r="BF1260" s="276" t="s">
        <v>270</v>
      </c>
      <c r="BG1260" s="20">
        <f>IFERROR(IF(BC1260-DATA[[#This Row],[fecha_fs]]&lt;0,0,BC1260-DATA[[#This Row],[fecha_fs]]),0)</f>
        <v>0</v>
      </c>
      <c r="BH1260" s="20">
        <f t="shared" si="289"/>
        <v>0</v>
      </c>
      <c r="BI1260" s="20">
        <f t="shared" si="290"/>
        <v>0</v>
      </c>
      <c r="BJ1260" s="20">
        <f t="shared" si="291"/>
        <v>0</v>
      </c>
      <c r="BK1260" s="282">
        <f>IFERROR(SUM(DATA[[#This Row],[fs_fd_ttd]:[fend_fenf_ttd]]),0)</f>
        <v>0</v>
      </c>
      <c r="BL1260" s="20" t="str">
        <f>IF(DATA[[#This Row],[fecha_fs]]&gt;0,TEXT(DATA[[#This Row],[fecha_fs]],"YYYY"),0)</f>
        <v>2025</v>
      </c>
      <c r="BM1260" s="236" t="b">
        <v>0</v>
      </c>
      <c r="BN1260" s="278">
        <f>COUNTIF(DATA[[#This Row],[tiempo_td]], "&lt;=15")</f>
        <v>1</v>
      </c>
      <c r="BO1260" s="222"/>
    </row>
    <row r="1261" spans="1:67" ht="30.6" customHeight="1" x14ac:dyDescent="0.25">
      <c r="A1261" s="4">
        <v>20610105620</v>
      </c>
      <c r="B1261" s="5" t="s">
        <v>311</v>
      </c>
      <c r="C1261" s="52" t="s">
        <v>312</v>
      </c>
      <c r="D1261" s="4" t="s">
        <v>120</v>
      </c>
      <c r="E1261" s="5" t="s">
        <v>3</v>
      </c>
      <c r="F1261" s="24">
        <v>45926</v>
      </c>
      <c r="G1261" s="7" t="s">
        <v>113</v>
      </c>
      <c r="H1261" s="25">
        <f t="shared" si="299"/>
        <v>1</v>
      </c>
      <c r="I1261" s="67">
        <v>5052</v>
      </c>
      <c r="J1261" s="8" t="s">
        <v>115</v>
      </c>
      <c r="K1261" s="9" t="s">
        <v>121</v>
      </c>
      <c r="L1261" s="10" t="s">
        <v>117</v>
      </c>
      <c r="M1261" s="11">
        <v>900</v>
      </c>
      <c r="N1261" s="12" t="s">
        <v>122</v>
      </c>
      <c r="O1261" s="6">
        <v>45930</v>
      </c>
      <c r="P1261" s="370">
        <v>3709</v>
      </c>
      <c r="Q1261" s="14" t="s">
        <v>85</v>
      </c>
      <c r="R1261" s="56">
        <f>80</f>
        <v>80</v>
      </c>
      <c r="S1261" s="56">
        <v>2120</v>
      </c>
      <c r="T1261" s="237">
        <f>DATA[[#This Row],[C. DF]]+DATA[[#This Row],[C.OPE.]]</f>
        <v>2200</v>
      </c>
      <c r="U1261" s="15">
        <f>DATA[[#This Row],[SUB TOTAL]]*0.18</f>
        <v>396</v>
      </c>
      <c r="V1261" s="15">
        <f>IFERROR(ROUND(DATA[[#This Row],[SUB TOTAL]]+DATA[[#This Row],[IGV]],2),0)</f>
        <v>2596</v>
      </c>
      <c r="W1261" s="16" t="str">
        <f>IF(DATA[[#This Row],[VALORIZACIÓN ]]="-","NO CORRESPONDE",IF(OR(A1261=20558226979,A1261=10470707866,A1261=20111157058,A1261=20100226902),"NO CORRESPONDE",IF(J1261="Emitida",IF(P1261&gt;0,"EMITIDA","PENDIENTE"),"NO CORRESPONDE")))</f>
        <v>EMITIDA</v>
      </c>
      <c r="X1261" s="29"/>
      <c r="Y1261" s="17" t="s">
        <v>118</v>
      </c>
      <c r="Z1261" s="30">
        <v>45968</v>
      </c>
      <c r="AA1261" s="10" t="s">
        <v>150</v>
      </c>
      <c r="AB1261" s="19">
        <v>349</v>
      </c>
      <c r="AC1261" s="20">
        <v>30</v>
      </c>
      <c r="AD1261" s="18">
        <f>DATA[[#This Row],[FECHA DE EMISION]]+DATA[[#This Row],[CONDICION DE PAGO]]</f>
        <v>45998</v>
      </c>
      <c r="AE1261" s="23">
        <f>IF(DATA[[#This Row],[MONEDA]]="USD",VLOOKUP(DATA[[#This Row],[COMBINADA]],#REF!,11,0),1)</f>
        <v>1</v>
      </c>
      <c r="AF1261" s="129" t="str">
        <f>IF(DATA[[#This Row],[SERIE2]]="-","NO CORRESPONDE",IF(W1261="NO CORRESPONDE","NO CORRESPONDE",IF(Z1261&gt;0,"FACTURADO","PENDIENTE")))</f>
        <v>FACTURADO</v>
      </c>
      <c r="AG1261" s="133">
        <f>IFERROR(VLOOKUP(DATA[[#This Row],[COMBINADA]],#REF!,6,0),0)</f>
        <v>0</v>
      </c>
      <c r="AH1261" s="125">
        <f>IFERROR(VLOOKUP(DATA[[#This Row],[COMBINADA]],#REF!,9,0),0)/COUNTIFS(DATA[COMBINADA],DATA[[#This Row],[COMBINADA]])</f>
        <v>0</v>
      </c>
      <c r="AI1261" s="136">
        <f>IFERROR(VLOOKUP(DATA[[#This Row],[COMBINADA]],#REF!,6,0),0)</f>
        <v>0</v>
      </c>
      <c r="AJ1261" s="132">
        <f>IFERROR(VLOOKUP(DATA[[#This Row],[COMBINADA]],#REF!,9,0),0)/COUNTIFS(DATA[COMBINADA],DATA[[#This Row],[COMBINADA]])</f>
        <v>0</v>
      </c>
      <c r="AK1261" s="407">
        <f>IFERROR(VLOOKUP(DATA[[#This Row],[COMBINADA]],#REF!,6,0),0)</f>
        <v>0</v>
      </c>
      <c r="AL1261" s="125">
        <f>IFERROR(VLOOKUP(DATA[[#This Row],[COMBINADA]],#REF!,9,0),0)/COUNTIFS(DATA[COMBINADA],DATA[[#This Row],[COMBINADA]])</f>
        <v>0</v>
      </c>
      <c r="AM1261" s="27">
        <f>IFERROR(VLOOKUP(DATA[[#This Row],[COMBINADA]],#REF!,6,0),0)</f>
        <v>0</v>
      </c>
      <c r="AN1261" s="125">
        <f>IFERROR(VLOOKUP(DATA[[#This Row],[COMBINADA]],#REF!,9,0),0)/COUNTIFS(DATA[COMBINADA],DATA[[#This Row],[COMBINADA]])</f>
        <v>0</v>
      </c>
      <c r="AO1261" s="27">
        <f>IFERROR(VLOOKUP(DATA[[#This Row],[COMBINADA]],#REF!,6,0),0)</f>
        <v>0</v>
      </c>
      <c r="AP1261" s="132">
        <f>IFERROR(VLOOKUP(DATA[[#This Row],[COMBINADA]],#REF!,9,0),0)/COUNTIFS(DATA[COMBINADA],DATA[[#This Row],[COMBINADA]])</f>
        <v>0</v>
      </c>
      <c r="AQ126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2515.7599999999998</v>
      </c>
      <c r="AR1261" s="26" t="str">
        <f>IFERROR(IF(DATA[[#This Row],[estado_fact]]="FACTURADO",VLOOKUP(DATA[[#This Row],[SERIE2]]&amp;"-"&amp;DATA[[#This Row],[NUMERO]],#REF!,34,0),"NO CORRESPONDE"),"NO CORRESPONDE")</f>
        <v>NO CORRESPONDE</v>
      </c>
      <c r="AS1261" s="22" t="str">
        <f>IF(DATA[[#This Row],[fecha_fs]]&gt;0,TEXT(DATA[[#This Row],[fecha_fs]],"Mmmm"),0)</f>
        <v>Setiembre</v>
      </c>
      <c r="AT1261" s="22" t="str">
        <f>DATA[[#This Row],[SERIE2]]&amp;"-"&amp;DATA[[#This Row],[NUMERO]]</f>
        <v>FF01-349</v>
      </c>
      <c r="AU1261" s="28">
        <f>DATA[[#This Row],[TOTAL]]*DATA[[#This Row],[T.C.]]</f>
        <v>2596</v>
      </c>
      <c r="AV1261" s="6">
        <f>DATA[[#This Row],[FECHA DE VAL.]]</f>
        <v>45930</v>
      </c>
      <c r="AW1261" s="6">
        <f>DATA[[#This Row],[FECHA DE EMISION]]</f>
        <v>45968</v>
      </c>
      <c r="AX1261" s="6">
        <f>DATA[[#This Row],[F1]]</f>
        <v>0</v>
      </c>
      <c r="AY1261" s="20">
        <f>IF(AV1261-DATA[[#This Row],[fecha_fs]]&lt;0,0,AV1261-DATA[[#This Row],[fecha_fs]])</f>
        <v>4</v>
      </c>
      <c r="AZ1261" s="20">
        <f t="shared" si="287"/>
        <v>38</v>
      </c>
      <c r="BA1261" s="53">
        <f t="shared" si="288"/>
        <v>0</v>
      </c>
      <c r="BB1261" s="195">
        <f>IFERROR(SUM(DATA[[#This Row],[fs_val_ttf]:[fact_pago_ttf]]),0)</f>
        <v>42</v>
      </c>
      <c r="BC1261" s="233">
        <v>45930</v>
      </c>
      <c r="BD1261" s="233">
        <v>45933</v>
      </c>
      <c r="BE1261" s="233">
        <v>45936</v>
      </c>
      <c r="BF1261" s="233">
        <v>45957</v>
      </c>
      <c r="BG1261" s="20">
        <f>IFERROR(IF(BC1261-DATA[[#This Row],[fecha_fs]]&lt;0,0,BC1261-DATA[[#This Row],[fecha_fs]]),0)</f>
        <v>4</v>
      </c>
      <c r="BH1261" s="20">
        <f t="shared" si="289"/>
        <v>3</v>
      </c>
      <c r="BI1261" s="20">
        <f t="shared" si="290"/>
        <v>3</v>
      </c>
      <c r="BJ1261" s="20">
        <f t="shared" si="291"/>
        <v>21</v>
      </c>
      <c r="BK1261" s="282">
        <f>IFERROR(SUM(DATA[[#This Row],[fs_fd_ttd]:[fend_fenf_ttd]]),0)</f>
        <v>31</v>
      </c>
      <c r="BL1261" s="20" t="str">
        <f>IF(DATA[[#This Row],[fecha_fs]]&gt;0,TEXT(DATA[[#This Row],[fecha_fs]],"YYYY"),0)</f>
        <v>2025</v>
      </c>
      <c r="BM1261" s="236" t="b">
        <v>1</v>
      </c>
      <c r="BN1261" s="278">
        <f>COUNTIF(DATA[[#This Row],[tiempo_td]], "&lt;=15")</f>
        <v>0</v>
      </c>
      <c r="BO1261" s="222"/>
    </row>
    <row r="1262" spans="1:67" ht="30.6" customHeight="1" x14ac:dyDescent="0.25">
      <c r="A1262" s="4">
        <v>20100211115</v>
      </c>
      <c r="B1262" s="5" t="s">
        <v>41</v>
      </c>
      <c r="C1262" s="52" t="s">
        <v>18</v>
      </c>
      <c r="D1262" s="4" t="s">
        <v>120</v>
      </c>
      <c r="E1262" s="5" t="s">
        <v>3</v>
      </c>
      <c r="F1262" s="24">
        <v>45929</v>
      </c>
      <c r="G1262" s="7" t="s">
        <v>113</v>
      </c>
      <c r="H1262" s="25">
        <f t="shared" si="299"/>
        <v>1</v>
      </c>
      <c r="I1262" s="67">
        <v>5053</v>
      </c>
      <c r="J1262" s="8" t="s">
        <v>115</v>
      </c>
      <c r="K1262" s="9" t="s">
        <v>121</v>
      </c>
      <c r="L1262" s="10" t="s">
        <v>117</v>
      </c>
      <c r="M1262" s="11">
        <v>90</v>
      </c>
      <c r="N1262" s="12" t="s">
        <v>167</v>
      </c>
      <c r="O1262" s="6">
        <v>45957</v>
      </c>
      <c r="P1262" s="115">
        <v>3742</v>
      </c>
      <c r="Q1262" s="14" t="s">
        <v>85</v>
      </c>
      <c r="R1262" s="74"/>
      <c r="S1262" s="321">
        <f>(DATA[[#This Row],[cantidad_fs]]*4.17)</f>
        <v>375.3</v>
      </c>
      <c r="T1262" s="237">
        <f>DATA[[#This Row],[C. DF]]+DATA[[#This Row],[C.OPE.]]</f>
        <v>375.3</v>
      </c>
      <c r="U1262" s="15">
        <f>DATA[[#This Row],[SUB TOTAL]]*0.18</f>
        <v>67.554000000000002</v>
      </c>
      <c r="V1262" s="15">
        <f>IFERROR(ROUND(DATA[[#This Row],[SUB TOTAL]]+DATA[[#This Row],[IGV]],2),0)</f>
        <v>442.85</v>
      </c>
      <c r="W1262" s="16" t="str">
        <f>IF(DATA[[#This Row],[VALORIZACIÓN ]]="-","NO CORRESPONDE",IF(OR(A1262=20558226979,A1262=10470707866,A1262=20111157058,A1262=20100226902),"NO CORRESPONDE",IF(J1262="Emitida",IF(P1262&gt;0,"EMITIDA","PENDIENTE"),"NO CORRESPONDE")))</f>
        <v>EMITIDA</v>
      </c>
      <c r="X1262" s="29"/>
      <c r="Y1262" s="17" t="s">
        <v>118</v>
      </c>
      <c r="Z1262" s="30">
        <v>45958</v>
      </c>
      <c r="AA1262" s="10" t="s">
        <v>150</v>
      </c>
      <c r="AB1262" s="19">
        <v>309</v>
      </c>
      <c r="AC1262" s="20">
        <v>30</v>
      </c>
      <c r="AD1262" s="18">
        <f>DATA[[#This Row],[FECHA DE EMISION]]+DATA[[#This Row],[CONDICION DE PAGO]]</f>
        <v>45988</v>
      </c>
      <c r="AE1262" s="23">
        <f>IF(DATA[[#This Row],[MONEDA]]="USD",VLOOKUP(DATA[[#This Row],[COMBINADA]],#REF!,11,0),1)</f>
        <v>1</v>
      </c>
      <c r="AF1262" s="129" t="str">
        <f>IF(DATA[[#This Row],[SERIE2]]="-","NO CORRESPONDE",IF(W1262="NO CORRESPONDE","NO CORRESPONDE",IF(Z1262&gt;0,"FACTURADO","PENDIENTE")))</f>
        <v>FACTURADO</v>
      </c>
      <c r="AG1262" s="133">
        <f>IFERROR(VLOOKUP(DATA[[#This Row],[COMBINADA]],#REF!,6,0),0)</f>
        <v>0</v>
      </c>
      <c r="AH1262" s="125">
        <f>IFERROR(VLOOKUP(DATA[[#This Row],[COMBINADA]],#REF!,9,0),0)/COUNTIFS(DATA[COMBINADA],DATA[[#This Row],[COMBINADA]])</f>
        <v>0</v>
      </c>
      <c r="AI1262" s="136">
        <f>IFERROR(VLOOKUP(DATA[[#This Row],[COMBINADA]],#REF!,6,0),0)</f>
        <v>0</v>
      </c>
      <c r="AJ1262" s="132">
        <f>IFERROR(VLOOKUP(DATA[[#This Row],[COMBINADA]],#REF!,9,0),0)/COUNTIFS(DATA[COMBINADA],DATA[[#This Row],[COMBINADA]])</f>
        <v>0</v>
      </c>
      <c r="AK1262" s="407">
        <f>IFERROR(VLOOKUP(DATA[[#This Row],[COMBINADA]],#REF!,6,0),0)</f>
        <v>0</v>
      </c>
      <c r="AL1262" s="125">
        <f>IFERROR(VLOOKUP(DATA[[#This Row],[COMBINADA]],#REF!,9,0),0)/COUNTIFS(DATA[COMBINADA],DATA[[#This Row],[COMBINADA]])</f>
        <v>0</v>
      </c>
      <c r="AM1262" s="27">
        <f>IFERROR(VLOOKUP(DATA[[#This Row],[COMBINADA]],#REF!,6,0),0)</f>
        <v>0</v>
      </c>
      <c r="AN1262" s="125">
        <f>IFERROR(VLOOKUP(DATA[[#This Row],[COMBINADA]],#REF!,9,0),0)/COUNTIFS(DATA[COMBINADA],DATA[[#This Row],[COMBINADA]])</f>
        <v>0</v>
      </c>
      <c r="AO1262" s="27">
        <f>IFERROR(VLOOKUP(DATA[[#This Row],[COMBINADA]],#REF!,6,0),0)</f>
        <v>0</v>
      </c>
      <c r="AP1262" s="132">
        <f>IFERROR(VLOOKUP(DATA[[#This Row],[COMBINADA]],#REF!,9,0),0)/COUNTIFS(DATA[COMBINADA],DATA[[#This Row],[COMBINADA]])</f>
        <v>0</v>
      </c>
      <c r="AQ126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262" s="26" t="str">
        <f>IFERROR(IF(DATA[[#This Row],[estado_fact]]="FACTURADO",VLOOKUP(DATA[[#This Row],[SERIE2]]&amp;"-"&amp;DATA[[#This Row],[NUMERO]],#REF!,34,0),"NO CORRESPONDE"),"NO CORRESPONDE")</f>
        <v>NO CORRESPONDE</v>
      </c>
      <c r="AS1262" s="22" t="str">
        <f>IF(DATA[[#This Row],[fecha_fs]]&gt;0,TEXT(DATA[[#This Row],[fecha_fs]],"Mmmm"),0)</f>
        <v>Setiembre</v>
      </c>
      <c r="AT1262" s="22" t="str">
        <f>DATA[[#This Row],[SERIE2]]&amp;"-"&amp;DATA[[#This Row],[NUMERO]]</f>
        <v>FF01-309</v>
      </c>
      <c r="AU1262" s="28">
        <f>DATA[[#This Row],[TOTAL]]*DATA[[#This Row],[T.C.]]</f>
        <v>442.85</v>
      </c>
      <c r="AV1262" s="6">
        <f>DATA[[#This Row],[FECHA DE VAL.]]</f>
        <v>45957</v>
      </c>
      <c r="AW1262" s="6">
        <f>DATA[[#This Row],[FECHA DE EMISION]]</f>
        <v>45958</v>
      </c>
      <c r="AX1262" s="6">
        <f>DATA[[#This Row],[F1]]</f>
        <v>0</v>
      </c>
      <c r="AY1262" s="20">
        <f>IF(AV1262-DATA[[#This Row],[fecha_fs]]&lt;0,0,AV1262-DATA[[#This Row],[fecha_fs]])</f>
        <v>28</v>
      </c>
      <c r="AZ1262" s="20">
        <f t="shared" si="287"/>
        <v>1</v>
      </c>
      <c r="BA1262" s="53">
        <f t="shared" si="288"/>
        <v>0</v>
      </c>
      <c r="BB1262" s="195">
        <f>IFERROR(SUM(DATA[[#This Row],[fs_val_ttf]:[fact_pago_ttf]]),0)</f>
        <v>29</v>
      </c>
      <c r="BC1262" s="233">
        <v>45957</v>
      </c>
      <c r="BD1262" s="233">
        <v>45964</v>
      </c>
      <c r="BE1262" s="233">
        <v>45967</v>
      </c>
      <c r="BF1262" s="233">
        <v>45967</v>
      </c>
      <c r="BG1262" s="20">
        <f>IFERROR(IF(BC1262-DATA[[#This Row],[fecha_fs]]&lt;0,0,BC1262-DATA[[#This Row],[fecha_fs]]),0)</f>
        <v>28</v>
      </c>
      <c r="BH1262" s="20">
        <f t="shared" si="289"/>
        <v>7</v>
      </c>
      <c r="BI1262" s="20">
        <f t="shared" si="290"/>
        <v>3</v>
      </c>
      <c r="BJ1262" s="20">
        <f t="shared" si="291"/>
        <v>0</v>
      </c>
      <c r="BK1262" s="282">
        <f>IFERROR(SUM(DATA[[#This Row],[fs_fd_ttd]:[fend_fenf_ttd]]),0)</f>
        <v>38</v>
      </c>
      <c r="BL1262" s="20" t="str">
        <f>IF(DATA[[#This Row],[fecha_fs]]&gt;0,TEXT(DATA[[#This Row],[fecha_fs]],"YYYY"),0)</f>
        <v>2025</v>
      </c>
      <c r="BM1262" s="236" t="b">
        <v>1</v>
      </c>
      <c r="BN1262" s="278">
        <f>COUNTIF(DATA[[#This Row],[tiempo_td]], "&lt;=15")</f>
        <v>0</v>
      </c>
      <c r="BO1262" s="222"/>
    </row>
    <row r="1263" spans="1:67" ht="30.6" customHeight="1" x14ac:dyDescent="0.25">
      <c r="A1263" s="4">
        <v>10740730628</v>
      </c>
      <c r="B1263" s="5" t="s">
        <v>289</v>
      </c>
      <c r="C1263" s="327" t="s">
        <v>18</v>
      </c>
      <c r="D1263" s="4" t="s">
        <v>133</v>
      </c>
      <c r="E1263" s="5" t="s">
        <v>291</v>
      </c>
      <c r="F1263" s="24">
        <v>45929</v>
      </c>
      <c r="G1263" s="329" t="s">
        <v>113</v>
      </c>
      <c r="H1263" s="330">
        <f t="shared" ref="H1263:H1274" si="300">IF(G1263="","",IF(G1263="LIM",2,1))</f>
        <v>1</v>
      </c>
      <c r="I1263" s="331">
        <v>5054</v>
      </c>
      <c r="J1263" s="8" t="s">
        <v>115</v>
      </c>
      <c r="K1263" s="9" t="s">
        <v>134</v>
      </c>
      <c r="L1263" s="10" t="s">
        <v>117</v>
      </c>
      <c r="M1263" s="11">
        <v>10</v>
      </c>
      <c r="N1263" s="12" t="s">
        <v>167</v>
      </c>
      <c r="O1263" s="6">
        <v>45929</v>
      </c>
      <c r="P1263" s="13">
        <v>3704</v>
      </c>
      <c r="Q1263" s="14" t="s">
        <v>85</v>
      </c>
      <c r="R1263" s="74"/>
      <c r="S1263" s="321">
        <v>560</v>
      </c>
      <c r="T1263" s="321">
        <f>DATA[[#This Row],[C. DF]]+DATA[[#This Row],[C.OPE.]]</f>
        <v>560</v>
      </c>
      <c r="U1263" s="15"/>
      <c r="V1263" s="15">
        <f>IFERROR(ROUND(DATA[[#This Row],[SUB TOTAL]]+DATA[[#This Row],[IGV]],2),0)</f>
        <v>560</v>
      </c>
      <c r="W1263" s="339" t="str">
        <f>IF(DATA[[#This Row],[VALORIZACIÓN ]]="-","NO CORRESPONDE",IF(OR(A1263=20558226979,A1263=10470707866,A1263=20111157058,A1263=20100226902),"NO CORRESPONDE",IF(J1263="Emitida",IF(P1263&gt;0,"EMITIDA","PENDIENTE"),"NO CORRESPONDE")))</f>
        <v>EMITIDA</v>
      </c>
      <c r="X1263" s="29"/>
      <c r="Y1263" s="17" t="s">
        <v>118</v>
      </c>
      <c r="Z1263" s="30"/>
      <c r="AA1263" s="10" t="s">
        <v>359</v>
      </c>
      <c r="AB1263" s="19" t="s">
        <v>114</v>
      </c>
      <c r="AC1263" s="20"/>
      <c r="AD1263" s="18">
        <f>DATA[[#This Row],[FECHA DE EMISION]]+DATA[[#This Row],[CONDICION DE PAGO]]</f>
        <v>0</v>
      </c>
      <c r="AE1263" s="23">
        <f>IF(DATA[[#This Row],[MONEDA]]="USD",VLOOKUP(DATA[[#This Row],[COMBINADA]],#REF!,11,0),1)</f>
        <v>1</v>
      </c>
      <c r="AF1263" s="348" t="str">
        <f>IF(DATA[[#This Row],[SERIE2]]="-","NO CORRESPONDE",IF(W1263="NO CORRESPONDE","NO CORRESPONDE",IF(Z1263&gt;0,"FACTURADO","PENDIENTE")))</f>
        <v>PENDIENTE</v>
      </c>
      <c r="AG1263" s="133">
        <f>IFERROR(VLOOKUP(DATA[[#This Row],[COMBINADA]],#REF!,6,0),0)</f>
        <v>0</v>
      </c>
      <c r="AH1263" s="125">
        <f>IFERROR(VLOOKUP(DATA[[#This Row],[COMBINADA]],#REF!,9,0),0)/COUNTIFS(DATA[COMBINADA],DATA[[#This Row],[COMBINADA]])</f>
        <v>0</v>
      </c>
      <c r="AI1263" s="136">
        <f>IFERROR(VLOOKUP(DATA[[#This Row],[COMBINADA]],#REF!,6,0),0)</f>
        <v>0</v>
      </c>
      <c r="AJ1263" s="132">
        <f>IFERROR(VLOOKUP(DATA[[#This Row],[COMBINADA]],#REF!,9,0),0)/COUNTIFS(DATA[COMBINADA],DATA[[#This Row],[COMBINADA]])</f>
        <v>0</v>
      </c>
      <c r="AK1263" s="407">
        <f>IFERROR(VLOOKUP(DATA[[#This Row],[COMBINADA]],#REF!,6,0),0)</f>
        <v>0</v>
      </c>
      <c r="AL1263" s="125">
        <f>IFERROR(VLOOKUP(DATA[[#This Row],[COMBINADA]],#REF!,9,0),0)/COUNTIFS(DATA[COMBINADA],DATA[[#This Row],[COMBINADA]])</f>
        <v>0</v>
      </c>
      <c r="AM1263" s="27">
        <f>IFERROR(VLOOKUP(DATA[[#This Row],[COMBINADA]],#REF!,6,0),0)</f>
        <v>0</v>
      </c>
      <c r="AN1263" s="125">
        <f>IFERROR(VLOOKUP(DATA[[#This Row],[COMBINADA]],#REF!,9,0),0)/COUNTIFS(DATA[COMBINADA],DATA[[#This Row],[COMBINADA]])</f>
        <v>0</v>
      </c>
      <c r="AO1263" s="27">
        <f>IFERROR(VLOOKUP(DATA[[#This Row],[COMBINADA]],#REF!,6,0),0)</f>
        <v>0</v>
      </c>
      <c r="AP1263" s="132">
        <f>IFERROR(VLOOKUP(DATA[[#This Row],[COMBINADA]],#REF!,9,0),0)/COUNTIFS(DATA[COMBINADA],DATA[[#This Row],[COMBINADA]])</f>
        <v>0</v>
      </c>
      <c r="AQ126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560</v>
      </c>
      <c r="AR1263" s="26" t="str">
        <f>IFERROR(IF(DATA[[#This Row],[estado_fact]]="FACTURADO",VLOOKUP(DATA[[#This Row],[SERIE2]]&amp;"-"&amp;DATA[[#This Row],[NUMERO]],#REF!,34,0),"NO CORRESPONDE"),"NO CORRESPONDE")</f>
        <v>NO CORRESPONDE</v>
      </c>
      <c r="AS1263" s="22" t="str">
        <f>IF(DATA[[#This Row],[fecha_fs]]&gt;0,TEXT(DATA[[#This Row],[fecha_fs]],"Mmmm"),0)</f>
        <v>Setiembre</v>
      </c>
      <c r="AT1263" s="22" t="str">
        <f>DATA[[#This Row],[SERIE2]]&amp;"-"&amp;DATA[[#This Row],[NUMERO]]</f>
        <v>SF--</v>
      </c>
      <c r="AU1263" s="28">
        <f>DATA[[#This Row],[TOTAL]]*DATA[[#This Row],[T.C.]]</f>
        <v>560</v>
      </c>
      <c r="AV1263" s="6">
        <f>DATA[[#This Row],[FECHA DE VAL.]]</f>
        <v>45929</v>
      </c>
      <c r="AW1263" s="6">
        <f>DATA[[#This Row],[FECHA DE EMISION]]</f>
        <v>0</v>
      </c>
      <c r="AX1263" s="6">
        <f>DATA[[#This Row],[F1]]</f>
        <v>0</v>
      </c>
      <c r="AY1263" s="20">
        <f>IF(AV1263-DATA[[#This Row],[fecha_fs]]&lt;0,0,AV1263-DATA[[#This Row],[fecha_fs]])</f>
        <v>0</v>
      </c>
      <c r="AZ1263" s="20">
        <f t="shared" ref="AZ1263:AZ1274" si="301">IF(AW1263-AV1263&lt;0,0,AW1263-AV1263)</f>
        <v>0</v>
      </c>
      <c r="BA1263" s="53">
        <f t="shared" ref="BA1263:BA1274" si="302">IF(AX1263-AW1263&lt;0,0,AX1263-AW1263)</f>
        <v>0</v>
      </c>
      <c r="BB1263" s="360">
        <f>IFERROR(SUM(DATA[[#This Row],[fs_val_ttf]:[fact_pago_ttf]]),0)</f>
        <v>0</v>
      </c>
      <c r="BC1263" s="377">
        <v>45929</v>
      </c>
      <c r="BD1263" s="377">
        <v>45936</v>
      </c>
      <c r="BE1263" s="377">
        <v>45936</v>
      </c>
      <c r="BF1263" s="361" t="s">
        <v>270</v>
      </c>
      <c r="BG1263" s="20">
        <f>IFERROR(IF(BC1263-DATA[[#This Row],[fecha_fs]]&lt;0,0,BC1263-DATA[[#This Row],[fecha_fs]]),0)</f>
        <v>0</v>
      </c>
      <c r="BH1263" s="20">
        <f t="shared" ref="BH1263:BH1274" si="303">IFERROR(IF(BD1263-BC1263&lt;0,0,BD1263-BC1263),0)</f>
        <v>7</v>
      </c>
      <c r="BI1263" s="20">
        <f t="shared" ref="BI1263:BI1274" si="304">IFERROR(IF(BE1263-BD1263&lt;0,0,BE1263-BD1263),0)</f>
        <v>0</v>
      </c>
      <c r="BJ1263" s="367">
        <f t="shared" ref="BJ1263:BJ1274" si="305">IFERROR(IF(BF1263-BE1263&lt;0,0,BF1263-BE1263),0)</f>
        <v>0</v>
      </c>
      <c r="BK1263" s="362">
        <f>IFERROR(SUM(DATA[[#This Row],[fs_fd_ttd]:[fend_fenf_ttd]]),0)</f>
        <v>7</v>
      </c>
      <c r="BL1263" s="20" t="str">
        <f>IF(DATA[[#This Row],[fecha_fs]]&gt;0,TEXT(DATA[[#This Row],[fecha_fs]],"YYYY"),0)</f>
        <v>2025</v>
      </c>
      <c r="BM1263" s="363" t="b">
        <v>0</v>
      </c>
      <c r="BN1263" s="278">
        <f>COUNTIF(DATA[[#This Row],[tiempo_td]], "&lt;=15")</f>
        <v>1</v>
      </c>
      <c r="BO1263" s="365"/>
    </row>
    <row r="1264" spans="1:67" ht="30.6" customHeight="1" x14ac:dyDescent="0.25">
      <c r="A1264" s="4">
        <v>20610105620</v>
      </c>
      <c r="B1264" s="5" t="s">
        <v>311</v>
      </c>
      <c r="C1264" s="52" t="s">
        <v>312</v>
      </c>
      <c r="D1264" s="4" t="s">
        <v>120</v>
      </c>
      <c r="E1264" s="5" t="s">
        <v>3</v>
      </c>
      <c r="F1264" s="24">
        <v>45929</v>
      </c>
      <c r="G1264" s="329" t="s">
        <v>113</v>
      </c>
      <c r="H1264" s="330">
        <f t="shared" si="300"/>
        <v>1</v>
      </c>
      <c r="I1264" s="331">
        <v>5055</v>
      </c>
      <c r="J1264" s="8" t="s">
        <v>115</v>
      </c>
      <c r="K1264" s="9" t="s">
        <v>121</v>
      </c>
      <c r="L1264" s="10" t="s">
        <v>117</v>
      </c>
      <c r="M1264" s="11">
        <v>1560</v>
      </c>
      <c r="N1264" s="12" t="s">
        <v>122</v>
      </c>
      <c r="O1264" s="6">
        <v>45930</v>
      </c>
      <c r="P1264" s="370">
        <v>3709</v>
      </c>
      <c r="Q1264" s="14" t="s">
        <v>85</v>
      </c>
      <c r="R1264" s="237">
        <f>80+((DATA[[#This Row],[cantidad_fs]]-1000)*0.08)</f>
        <v>124.80000000000001</v>
      </c>
      <c r="S1264" s="56">
        <v>2120</v>
      </c>
      <c r="T1264" s="321">
        <f>DATA[[#This Row],[C. DF]]+DATA[[#This Row],[C.OPE.]]</f>
        <v>2244.8000000000002</v>
      </c>
      <c r="U1264" s="15">
        <f>DATA[[#This Row],[SUB TOTAL]]*0.18</f>
        <v>404.06400000000002</v>
      </c>
      <c r="V1264" s="15">
        <f>IFERROR(ROUND(DATA[[#This Row],[SUB TOTAL]]+DATA[[#This Row],[IGV]],2),0)</f>
        <v>2648.86</v>
      </c>
      <c r="W1264" s="339" t="str">
        <f>IF(DATA[[#This Row],[VALORIZACIÓN ]]="-","NO CORRESPONDE",IF(OR(A1264=20558226979,A1264=10470707866,A1264=20111157058,A1264=20100226902),"NO CORRESPONDE",IF(J1264="Emitida",IF(P1264&gt;0,"EMITIDA","PENDIENTE"),"NO CORRESPONDE")))</f>
        <v>EMITIDA</v>
      </c>
      <c r="X1264" s="29"/>
      <c r="Y1264" s="17" t="s">
        <v>118</v>
      </c>
      <c r="Z1264" s="30">
        <v>45968</v>
      </c>
      <c r="AA1264" s="10" t="s">
        <v>150</v>
      </c>
      <c r="AB1264" s="19">
        <v>349</v>
      </c>
      <c r="AC1264" s="20">
        <v>30</v>
      </c>
      <c r="AD1264" s="18">
        <f>DATA[[#This Row],[FECHA DE EMISION]]+DATA[[#This Row],[CONDICION DE PAGO]]</f>
        <v>45998</v>
      </c>
      <c r="AE1264" s="23">
        <f>IF(DATA[[#This Row],[MONEDA]]="USD",VLOOKUP(DATA[[#This Row],[COMBINADA]],#REF!,11,0),1)</f>
        <v>1</v>
      </c>
      <c r="AF1264" s="348" t="str">
        <f>IF(DATA[[#This Row],[SERIE2]]="-","NO CORRESPONDE",IF(W1264="NO CORRESPONDE","NO CORRESPONDE",IF(Z1264&gt;0,"FACTURADO","PENDIENTE")))</f>
        <v>FACTURADO</v>
      </c>
      <c r="AG1264" s="133">
        <f>IFERROR(VLOOKUP(DATA[[#This Row],[COMBINADA]],#REF!,6,0),0)</f>
        <v>0</v>
      </c>
      <c r="AH1264" s="125">
        <f>IFERROR(VLOOKUP(DATA[[#This Row],[COMBINADA]],#REF!,9,0),0)/COUNTIFS(DATA[COMBINADA],DATA[[#This Row],[COMBINADA]])</f>
        <v>0</v>
      </c>
      <c r="AI1264" s="136">
        <f>IFERROR(VLOOKUP(DATA[[#This Row],[COMBINADA]],#REF!,6,0),0)</f>
        <v>0</v>
      </c>
      <c r="AJ1264" s="132">
        <f>IFERROR(VLOOKUP(DATA[[#This Row],[COMBINADA]],#REF!,9,0),0)/COUNTIFS(DATA[COMBINADA],DATA[[#This Row],[COMBINADA]])</f>
        <v>0</v>
      </c>
      <c r="AK1264" s="407">
        <f>IFERROR(VLOOKUP(DATA[[#This Row],[COMBINADA]],#REF!,6,0),0)</f>
        <v>0</v>
      </c>
      <c r="AL1264" s="125">
        <f>IFERROR(VLOOKUP(DATA[[#This Row],[COMBINADA]],#REF!,9,0),0)/COUNTIFS(DATA[COMBINADA],DATA[[#This Row],[COMBINADA]])</f>
        <v>0</v>
      </c>
      <c r="AM1264" s="27">
        <f>IFERROR(VLOOKUP(DATA[[#This Row],[COMBINADA]],#REF!,6,0),0)</f>
        <v>0</v>
      </c>
      <c r="AN1264" s="125">
        <f>IFERROR(VLOOKUP(DATA[[#This Row],[COMBINADA]],#REF!,9,0),0)/COUNTIFS(DATA[COMBINADA],DATA[[#This Row],[COMBINADA]])</f>
        <v>0</v>
      </c>
      <c r="AO1264" s="27">
        <f>IFERROR(VLOOKUP(DATA[[#This Row],[COMBINADA]],#REF!,6,0),0)</f>
        <v>0</v>
      </c>
      <c r="AP1264" s="132">
        <f>IFERROR(VLOOKUP(DATA[[#This Row],[COMBINADA]],#REF!,9,0),0)/COUNTIFS(DATA[COMBINADA],DATA[[#This Row],[COMBINADA]])</f>
        <v>0</v>
      </c>
      <c r="AQ126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2515.7599999999998</v>
      </c>
      <c r="AR1264" s="26" t="str">
        <f>IFERROR(IF(DATA[[#This Row],[estado_fact]]="FACTURADO",VLOOKUP(DATA[[#This Row],[SERIE2]]&amp;"-"&amp;DATA[[#This Row],[NUMERO]],#REF!,34,0),"NO CORRESPONDE"),"NO CORRESPONDE")</f>
        <v>NO CORRESPONDE</v>
      </c>
      <c r="AS1264" s="22" t="str">
        <f>IF(DATA[[#This Row],[fecha_fs]]&gt;0,TEXT(DATA[[#This Row],[fecha_fs]],"Mmmm"),0)</f>
        <v>Setiembre</v>
      </c>
      <c r="AT1264" s="22" t="str">
        <f>DATA[[#This Row],[SERIE2]]&amp;"-"&amp;DATA[[#This Row],[NUMERO]]</f>
        <v>FF01-349</v>
      </c>
      <c r="AU1264" s="28">
        <f>DATA[[#This Row],[TOTAL]]*DATA[[#This Row],[T.C.]]</f>
        <v>2648.86</v>
      </c>
      <c r="AV1264" s="6">
        <f>DATA[[#This Row],[FECHA DE VAL.]]</f>
        <v>45930</v>
      </c>
      <c r="AW1264" s="6">
        <f>DATA[[#This Row],[FECHA DE EMISION]]</f>
        <v>45968</v>
      </c>
      <c r="AX1264" s="6">
        <f>DATA[[#This Row],[F1]]</f>
        <v>0</v>
      </c>
      <c r="AY1264" s="20">
        <f>IF(AV1264-DATA[[#This Row],[fecha_fs]]&lt;0,0,AV1264-DATA[[#This Row],[fecha_fs]])</f>
        <v>1</v>
      </c>
      <c r="AZ1264" s="20">
        <f t="shared" si="301"/>
        <v>38</v>
      </c>
      <c r="BA1264" s="53">
        <f t="shared" si="302"/>
        <v>0</v>
      </c>
      <c r="BB1264" s="360">
        <f>IFERROR(SUM(DATA[[#This Row],[fs_val_ttf]:[fact_pago_ttf]]),0)</f>
        <v>39</v>
      </c>
      <c r="BC1264" s="377">
        <v>45929</v>
      </c>
      <c r="BD1264" s="377">
        <v>45933</v>
      </c>
      <c r="BE1264" s="233">
        <v>45936</v>
      </c>
      <c r="BF1264" s="233">
        <v>45957</v>
      </c>
      <c r="BG1264" s="20">
        <f>IFERROR(IF(BC1264-DATA[[#This Row],[fecha_fs]]&lt;0,0,BC1264-DATA[[#This Row],[fecha_fs]]),0)</f>
        <v>0</v>
      </c>
      <c r="BH1264" s="20">
        <f t="shared" si="303"/>
        <v>4</v>
      </c>
      <c r="BI1264" s="20">
        <f t="shared" si="304"/>
        <v>3</v>
      </c>
      <c r="BJ1264" s="367">
        <f t="shared" si="305"/>
        <v>21</v>
      </c>
      <c r="BK1264" s="362">
        <f>IFERROR(SUM(DATA[[#This Row],[fs_fd_ttd]:[fend_fenf_ttd]]),0)</f>
        <v>28</v>
      </c>
      <c r="BL1264" s="20" t="str">
        <f>IF(DATA[[#This Row],[fecha_fs]]&gt;0,TEXT(DATA[[#This Row],[fecha_fs]],"YYYY"),0)</f>
        <v>2025</v>
      </c>
      <c r="BM1264" s="363" t="b">
        <v>1</v>
      </c>
      <c r="BN1264" s="278">
        <f>COUNTIF(DATA[[#This Row],[tiempo_td]], "&lt;=15")</f>
        <v>0</v>
      </c>
      <c r="BO1264" s="365"/>
    </row>
    <row r="1265" spans="1:67" ht="30.6" customHeight="1" x14ac:dyDescent="0.25">
      <c r="A1265" s="4">
        <v>20546530184</v>
      </c>
      <c r="B1265" s="5" t="s">
        <v>50</v>
      </c>
      <c r="C1265" s="52" t="s">
        <v>271</v>
      </c>
      <c r="D1265" s="4" t="s">
        <v>120</v>
      </c>
      <c r="E1265" s="5" t="s">
        <v>3</v>
      </c>
      <c r="F1265" s="24">
        <v>45929</v>
      </c>
      <c r="G1265" s="329" t="s">
        <v>113</v>
      </c>
      <c r="H1265" s="330">
        <f t="shared" si="300"/>
        <v>1</v>
      </c>
      <c r="I1265" s="331">
        <v>5056</v>
      </c>
      <c r="J1265" s="8" t="s">
        <v>115</v>
      </c>
      <c r="K1265" s="9" t="s">
        <v>121</v>
      </c>
      <c r="L1265" s="10" t="s">
        <v>117</v>
      </c>
      <c r="M1265" s="11">
        <v>18</v>
      </c>
      <c r="N1265" s="12" t="s">
        <v>125</v>
      </c>
      <c r="O1265" s="6">
        <v>45930</v>
      </c>
      <c r="P1265" s="13">
        <v>3708</v>
      </c>
      <c r="Q1265" s="14" t="s">
        <v>85</v>
      </c>
      <c r="R1265" s="56">
        <v>154</v>
      </c>
      <c r="S1265" s="56">
        <v>599</v>
      </c>
      <c r="T1265" s="321">
        <f>DATA[[#This Row],[C. DF]]+DATA[[#This Row],[C.OPE.]]</f>
        <v>753</v>
      </c>
      <c r="U1265" s="15">
        <f>DATA[[#This Row],[SUB TOTAL]]*0.18</f>
        <v>135.54</v>
      </c>
      <c r="V1265" s="15">
        <f>IFERROR(ROUND(DATA[[#This Row],[SUB TOTAL]]+DATA[[#This Row],[IGV]],2),0)</f>
        <v>888.54</v>
      </c>
      <c r="W1265" s="339" t="str">
        <f>IF(DATA[[#This Row],[VALORIZACIÓN ]]="-","NO CORRESPONDE",IF(OR(A1265=20558226979,A1265=10470707866,A1265=20111157058,A1265=20100226902),"NO CORRESPONDE",IF(J1265="Emitida",IF(P1265&gt;0,"EMITIDA","PENDIENTE"),"NO CORRESPONDE")))</f>
        <v>EMITIDA</v>
      </c>
      <c r="X1265" s="29"/>
      <c r="Y1265" s="17" t="s">
        <v>118</v>
      </c>
      <c r="Z1265" s="30">
        <v>45936</v>
      </c>
      <c r="AA1265" s="10" t="s">
        <v>150</v>
      </c>
      <c r="AB1265" s="19">
        <v>284</v>
      </c>
      <c r="AC1265" s="20">
        <v>30</v>
      </c>
      <c r="AD1265" s="18">
        <f>DATA[[#This Row],[FECHA DE EMISION]]+DATA[[#This Row],[CONDICION DE PAGO]]</f>
        <v>45966</v>
      </c>
      <c r="AE1265" s="23">
        <f>IF(DATA[[#This Row],[MONEDA]]="USD",VLOOKUP(DATA[[#This Row],[COMBINADA]],#REF!,11,0),1)</f>
        <v>1</v>
      </c>
      <c r="AF1265" s="348" t="str">
        <f>IF(DATA[[#This Row],[SERIE2]]="-","NO CORRESPONDE",IF(W1265="NO CORRESPONDE","NO CORRESPONDE",IF(Z1265&gt;0,"FACTURADO","PENDIENTE")))</f>
        <v>FACTURADO</v>
      </c>
      <c r="AG1265" s="133">
        <f>IFERROR(VLOOKUP(DATA[[#This Row],[COMBINADA]],#REF!,6,0),0)</f>
        <v>0</v>
      </c>
      <c r="AH1265" s="125">
        <f>IFERROR(VLOOKUP(DATA[[#This Row],[COMBINADA]],#REF!,9,0),0)/COUNTIFS(DATA[COMBINADA],DATA[[#This Row],[COMBINADA]])</f>
        <v>0</v>
      </c>
      <c r="AI1265" s="136">
        <f>IFERROR(VLOOKUP(DATA[[#This Row],[COMBINADA]],#REF!,6,0),0)</f>
        <v>0</v>
      </c>
      <c r="AJ1265" s="132">
        <f>IFERROR(VLOOKUP(DATA[[#This Row],[COMBINADA]],#REF!,9,0),0)/COUNTIFS(DATA[COMBINADA],DATA[[#This Row],[COMBINADA]])</f>
        <v>0</v>
      </c>
      <c r="AK1265" s="407">
        <f>IFERROR(VLOOKUP(DATA[[#This Row],[COMBINADA]],#REF!,6,0),0)</f>
        <v>0</v>
      </c>
      <c r="AL1265" s="125">
        <f>IFERROR(VLOOKUP(DATA[[#This Row],[COMBINADA]],#REF!,9,0),0)/COUNTIFS(DATA[COMBINADA],DATA[[#This Row],[COMBINADA]])</f>
        <v>0</v>
      </c>
      <c r="AM1265" s="27">
        <f>IFERROR(VLOOKUP(DATA[[#This Row],[COMBINADA]],#REF!,6,0),0)</f>
        <v>0</v>
      </c>
      <c r="AN1265" s="125">
        <f>IFERROR(VLOOKUP(DATA[[#This Row],[COMBINADA]],#REF!,9,0),0)/COUNTIFS(DATA[COMBINADA],DATA[[#This Row],[COMBINADA]])</f>
        <v>0</v>
      </c>
      <c r="AO1265" s="27">
        <f>IFERROR(VLOOKUP(DATA[[#This Row],[COMBINADA]],#REF!,6,0),0)</f>
        <v>0</v>
      </c>
      <c r="AP1265" s="132">
        <f>IFERROR(VLOOKUP(DATA[[#This Row],[COMBINADA]],#REF!,9,0),0)/COUNTIFS(DATA[COMBINADA],DATA[[#This Row],[COMBINADA]])</f>
        <v>0</v>
      </c>
      <c r="AQ126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888.54</v>
      </c>
      <c r="AR1265" s="26" t="str">
        <f>IFERROR(IF(DATA[[#This Row],[estado_fact]]="FACTURADO",VLOOKUP(DATA[[#This Row],[SERIE2]]&amp;"-"&amp;DATA[[#This Row],[NUMERO]],#REF!,34,0),"NO CORRESPONDE"),"NO CORRESPONDE")</f>
        <v>NO CORRESPONDE</v>
      </c>
      <c r="AS1265" s="22" t="str">
        <f>IF(DATA[[#This Row],[fecha_fs]]&gt;0,TEXT(DATA[[#This Row],[fecha_fs]],"Mmmm"),0)</f>
        <v>Setiembre</v>
      </c>
      <c r="AT1265" s="22" t="str">
        <f>DATA[[#This Row],[SERIE2]]&amp;"-"&amp;DATA[[#This Row],[NUMERO]]</f>
        <v>FF01-284</v>
      </c>
      <c r="AU1265" s="28">
        <f>DATA[[#This Row],[TOTAL]]*DATA[[#This Row],[T.C.]]</f>
        <v>888.54</v>
      </c>
      <c r="AV1265" s="6">
        <f>DATA[[#This Row],[FECHA DE VAL.]]</f>
        <v>45930</v>
      </c>
      <c r="AW1265" s="6">
        <f>DATA[[#This Row],[FECHA DE EMISION]]</f>
        <v>45936</v>
      </c>
      <c r="AX1265" s="6">
        <f>DATA[[#This Row],[F1]]</f>
        <v>0</v>
      </c>
      <c r="AY1265" s="20">
        <f>IF(AV1265-DATA[[#This Row],[fecha_fs]]&lt;0,0,AV1265-DATA[[#This Row],[fecha_fs]])</f>
        <v>1</v>
      </c>
      <c r="AZ1265" s="20">
        <f t="shared" si="301"/>
        <v>6</v>
      </c>
      <c r="BA1265" s="53">
        <f t="shared" si="302"/>
        <v>0</v>
      </c>
      <c r="BB1265" s="360">
        <f>IFERROR(SUM(DATA[[#This Row],[fs_val_ttf]:[fact_pago_ttf]]),0)</f>
        <v>7</v>
      </c>
      <c r="BC1265" s="377">
        <v>45929</v>
      </c>
      <c r="BD1265" s="377">
        <v>45933</v>
      </c>
      <c r="BE1265" s="377">
        <v>45936</v>
      </c>
      <c r="BF1265" s="418">
        <v>45939</v>
      </c>
      <c r="BG1265" s="20">
        <f>IFERROR(IF(BC1265-DATA[[#This Row],[fecha_fs]]&lt;0,0,BC1265-DATA[[#This Row],[fecha_fs]]),0)</f>
        <v>0</v>
      </c>
      <c r="BH1265" s="20">
        <f t="shared" si="303"/>
        <v>4</v>
      </c>
      <c r="BI1265" s="20">
        <f t="shared" si="304"/>
        <v>3</v>
      </c>
      <c r="BJ1265" s="367">
        <f t="shared" si="305"/>
        <v>3</v>
      </c>
      <c r="BK1265" s="362">
        <f>IFERROR(SUM(DATA[[#This Row],[fs_fd_ttd]:[fend_fenf_ttd]]),0)</f>
        <v>10</v>
      </c>
      <c r="BL1265" s="20" t="str">
        <f>IF(DATA[[#This Row],[fecha_fs]]&gt;0,TEXT(DATA[[#This Row],[fecha_fs]],"YYYY"),0)</f>
        <v>2025</v>
      </c>
      <c r="BM1265" s="363" t="b">
        <v>1</v>
      </c>
      <c r="BN1265" s="278">
        <f>COUNTIF(DATA[[#This Row],[tiempo_td]], "&lt;=15")</f>
        <v>1</v>
      </c>
      <c r="BO1265" s="365"/>
    </row>
    <row r="1266" spans="1:67" ht="30.6" customHeight="1" x14ac:dyDescent="0.25">
      <c r="A1266" s="4">
        <v>20141637941</v>
      </c>
      <c r="B1266" s="5" t="s">
        <v>79</v>
      </c>
      <c r="C1266" s="52" t="s">
        <v>18</v>
      </c>
      <c r="D1266" s="4" t="s">
        <v>120</v>
      </c>
      <c r="E1266" s="5" t="s">
        <v>3</v>
      </c>
      <c r="F1266" s="24">
        <v>45930</v>
      </c>
      <c r="G1266" s="329" t="s">
        <v>113</v>
      </c>
      <c r="H1266" s="330">
        <f t="shared" si="300"/>
        <v>1</v>
      </c>
      <c r="I1266" s="331">
        <v>5057</v>
      </c>
      <c r="J1266" s="8" t="s">
        <v>115</v>
      </c>
      <c r="K1266" s="9" t="s">
        <v>121</v>
      </c>
      <c r="L1266" s="10" t="s">
        <v>117</v>
      </c>
      <c r="M1266" s="11">
        <v>1100</v>
      </c>
      <c r="N1266" s="12" t="s">
        <v>330</v>
      </c>
      <c r="O1266" s="6">
        <v>45930</v>
      </c>
      <c r="P1266" s="375">
        <v>3705</v>
      </c>
      <c r="Q1266" s="14" t="s">
        <v>85</v>
      </c>
      <c r="R1266" s="321">
        <f>80+((DATA[[#This Row],[cantidad_fs]]-1000)*0.08)</f>
        <v>88</v>
      </c>
      <c r="S1266" s="321">
        <v>832</v>
      </c>
      <c r="T1266" s="321">
        <f>DATA[[#This Row],[C. DF]]+DATA[[#This Row],[C.OPE.]]</f>
        <v>920</v>
      </c>
      <c r="U1266" s="15">
        <f>DATA[[#This Row],[SUB TOTAL]]*0.18</f>
        <v>165.6</v>
      </c>
      <c r="V1266" s="15">
        <f>IFERROR(ROUND(DATA[[#This Row],[SUB TOTAL]]+DATA[[#This Row],[IGV]],2),0)</f>
        <v>1085.5999999999999</v>
      </c>
      <c r="W1266" s="339" t="str">
        <f>IF(DATA[[#This Row],[VALORIZACIÓN ]]="-","NO CORRESPONDE",IF(OR(A1266=20558226979,A1266=10470707866,A1266=20111157058,A1266=20100226902),"NO CORRESPONDE",IF(J1266="Emitida",IF(P1266&gt;0,"EMITIDA","PENDIENTE"),"NO CORRESPONDE")))</f>
        <v>EMITIDA</v>
      </c>
      <c r="X1266" s="29"/>
      <c r="Y1266" s="17" t="s">
        <v>118</v>
      </c>
      <c r="Z1266" s="30">
        <v>45931</v>
      </c>
      <c r="AA1266" s="10" t="s">
        <v>150</v>
      </c>
      <c r="AB1266" s="19">
        <v>275</v>
      </c>
      <c r="AC1266" s="20">
        <v>30</v>
      </c>
      <c r="AD1266" s="18">
        <f>DATA[[#This Row],[FECHA DE EMISION]]+DATA[[#This Row],[CONDICION DE PAGO]]</f>
        <v>45961</v>
      </c>
      <c r="AE1266" s="23">
        <f>IF(DATA[[#This Row],[MONEDA]]="USD",VLOOKUP(DATA[[#This Row],[COMBINADA]],#REF!,11,0),1)</f>
        <v>1</v>
      </c>
      <c r="AF1266" s="348" t="str">
        <f>IF(DATA[[#This Row],[SERIE2]]="-","NO CORRESPONDE",IF(W1266="NO CORRESPONDE","NO CORRESPONDE",IF(Z1266&gt;0,"FACTURADO","PENDIENTE")))</f>
        <v>FACTURADO</v>
      </c>
      <c r="AG1266" s="133">
        <f>IFERROR(VLOOKUP(DATA[[#This Row],[COMBINADA]],#REF!,6,0),0)</f>
        <v>0</v>
      </c>
      <c r="AH1266" s="125">
        <f>IFERROR(VLOOKUP(DATA[[#This Row],[COMBINADA]],#REF!,9,0),0)/COUNTIFS(DATA[COMBINADA],DATA[[#This Row],[COMBINADA]])</f>
        <v>0</v>
      </c>
      <c r="AI1266" s="136">
        <f>IFERROR(VLOOKUP(DATA[[#This Row],[COMBINADA]],#REF!,6,0),0)</f>
        <v>0</v>
      </c>
      <c r="AJ1266" s="132">
        <f>IFERROR(VLOOKUP(DATA[[#This Row],[COMBINADA]],#REF!,9,0),0)/COUNTIFS(DATA[COMBINADA],DATA[[#This Row],[COMBINADA]])</f>
        <v>0</v>
      </c>
      <c r="AK1266" s="407">
        <f>IFERROR(VLOOKUP(DATA[[#This Row],[COMBINADA]],#REF!,6,0),0)</f>
        <v>0</v>
      </c>
      <c r="AL1266" s="125">
        <f>IFERROR(VLOOKUP(DATA[[#This Row],[COMBINADA]],#REF!,9,0),0)/COUNTIFS(DATA[COMBINADA],DATA[[#This Row],[COMBINADA]])</f>
        <v>0</v>
      </c>
      <c r="AM1266" s="27">
        <f>IFERROR(VLOOKUP(DATA[[#This Row],[COMBINADA]],#REF!,6,0),0)</f>
        <v>0</v>
      </c>
      <c r="AN1266" s="125">
        <f>IFERROR(VLOOKUP(DATA[[#This Row],[COMBINADA]],#REF!,9,0),0)/COUNTIFS(DATA[COMBINADA],DATA[[#This Row],[COMBINADA]])</f>
        <v>0</v>
      </c>
      <c r="AO1266" s="27">
        <f>IFERROR(VLOOKUP(DATA[[#This Row],[COMBINADA]],#REF!,6,0),0)</f>
        <v>0</v>
      </c>
      <c r="AP1266" s="132">
        <f>IFERROR(VLOOKUP(DATA[[#This Row],[COMBINADA]],#REF!,9,0),0)/COUNTIFS(DATA[COMBINADA],DATA[[#This Row],[COMBINADA]])</f>
        <v>0</v>
      </c>
      <c r="AQ126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1080.8800000000001</v>
      </c>
      <c r="AR1266" s="26" t="str">
        <f>IFERROR(IF(DATA[[#This Row],[estado_fact]]="FACTURADO",VLOOKUP(DATA[[#This Row],[SERIE2]]&amp;"-"&amp;DATA[[#This Row],[NUMERO]],#REF!,34,0),"NO CORRESPONDE"),"NO CORRESPONDE")</f>
        <v>NO CORRESPONDE</v>
      </c>
      <c r="AS1266" s="22" t="str">
        <f>IF(DATA[[#This Row],[fecha_fs]]&gt;0,TEXT(DATA[[#This Row],[fecha_fs]],"Mmmm"),0)</f>
        <v>Setiembre</v>
      </c>
      <c r="AT1266" s="22" t="str">
        <f>DATA[[#This Row],[SERIE2]]&amp;"-"&amp;DATA[[#This Row],[NUMERO]]</f>
        <v>FF01-275</v>
      </c>
      <c r="AU1266" s="28">
        <f>DATA[[#This Row],[TOTAL]]*DATA[[#This Row],[T.C.]]</f>
        <v>1085.5999999999999</v>
      </c>
      <c r="AV1266" s="6">
        <f>DATA[[#This Row],[FECHA DE VAL.]]</f>
        <v>45930</v>
      </c>
      <c r="AW1266" s="6">
        <f>DATA[[#This Row],[FECHA DE EMISION]]</f>
        <v>45931</v>
      </c>
      <c r="AX1266" s="6">
        <f>DATA[[#This Row],[F1]]</f>
        <v>0</v>
      </c>
      <c r="AY1266" s="20">
        <f>IF(AV1266-DATA[[#This Row],[fecha_fs]]&lt;0,0,AV1266-DATA[[#This Row],[fecha_fs]])</f>
        <v>0</v>
      </c>
      <c r="AZ1266" s="20">
        <f t="shared" si="301"/>
        <v>1</v>
      </c>
      <c r="BA1266" s="53">
        <f t="shared" si="302"/>
        <v>0</v>
      </c>
      <c r="BB1266" s="360">
        <f>IFERROR(SUM(DATA[[#This Row],[fs_val_ttf]:[fact_pago_ttf]]),0)</f>
        <v>1</v>
      </c>
      <c r="BC1266" s="377">
        <v>45930</v>
      </c>
      <c r="BD1266" s="377">
        <v>45933</v>
      </c>
      <c r="BE1266" s="233">
        <v>45936</v>
      </c>
      <c r="BF1266" s="233">
        <v>45939</v>
      </c>
      <c r="BG1266" s="20">
        <f>IFERROR(IF(BC1266-DATA[[#This Row],[fecha_fs]]&lt;0,0,BC1266-DATA[[#This Row],[fecha_fs]]),0)</f>
        <v>0</v>
      </c>
      <c r="BH1266" s="20">
        <f t="shared" si="303"/>
        <v>3</v>
      </c>
      <c r="BI1266" s="20">
        <f t="shared" si="304"/>
        <v>3</v>
      </c>
      <c r="BJ1266" s="367">
        <f t="shared" si="305"/>
        <v>3</v>
      </c>
      <c r="BK1266" s="362">
        <f>IFERROR(SUM(DATA[[#This Row],[fs_fd_ttd]:[fend_fenf_ttd]]),0)</f>
        <v>9</v>
      </c>
      <c r="BL1266" s="20" t="str">
        <f>IF(DATA[[#This Row],[fecha_fs]]&gt;0,TEXT(DATA[[#This Row],[fecha_fs]],"YYYY"),0)</f>
        <v>2025</v>
      </c>
      <c r="BM1266" s="363" t="b">
        <v>1</v>
      </c>
      <c r="BN1266" s="278">
        <f>COUNTIF(DATA[[#This Row],[tiempo_td]], "&lt;=15")</f>
        <v>1</v>
      </c>
      <c r="BO1266" s="365"/>
    </row>
    <row r="1267" spans="1:67" ht="30.6" customHeight="1" x14ac:dyDescent="0.25">
      <c r="A1267" s="4">
        <v>20100055237</v>
      </c>
      <c r="B1267" s="5" t="s">
        <v>21</v>
      </c>
      <c r="C1267" s="52" t="s">
        <v>138</v>
      </c>
      <c r="D1267" s="4" t="s">
        <v>139</v>
      </c>
      <c r="E1267" s="5" t="s">
        <v>23</v>
      </c>
      <c r="F1267" s="24">
        <v>45930</v>
      </c>
      <c r="G1267" s="7" t="s">
        <v>113</v>
      </c>
      <c r="H1267" s="25">
        <f t="shared" si="300"/>
        <v>1</v>
      </c>
      <c r="I1267" s="331">
        <v>5058</v>
      </c>
      <c r="J1267" s="8" t="s">
        <v>115</v>
      </c>
      <c r="K1267" s="9" t="s">
        <v>121</v>
      </c>
      <c r="L1267" s="10" t="s">
        <v>117</v>
      </c>
      <c r="M1267" s="11">
        <v>100</v>
      </c>
      <c r="N1267" s="12" t="s">
        <v>167</v>
      </c>
      <c r="O1267" s="6">
        <v>45930</v>
      </c>
      <c r="P1267" s="54">
        <v>3707</v>
      </c>
      <c r="Q1267" s="14" t="s">
        <v>85</v>
      </c>
      <c r="R1267" s="56"/>
      <c r="S1267" s="56">
        <v>297.92</v>
      </c>
      <c r="T1267" s="321">
        <f>DATA[[#This Row],[C. DF]]+DATA[[#This Row],[C.OPE.]]</f>
        <v>297.92</v>
      </c>
      <c r="U1267" s="15">
        <f>DATA[[#This Row],[SUB TOTAL]]*0.18</f>
        <v>53.625599999999999</v>
      </c>
      <c r="V1267" s="15">
        <f>IFERROR(ROUND(DATA[[#This Row],[SUB TOTAL]]+DATA[[#This Row],[IGV]],2),0)</f>
        <v>351.55</v>
      </c>
      <c r="W1267" s="339" t="str">
        <f>IF(DATA[[#This Row],[VALORIZACIÓN ]]="-","NO CORRESPONDE",IF(OR(A1267=20558226979,A1267=10470707866,A1267=20111157058,A1267=20100226902),"NO CORRESPONDE",IF(J1267="Emitida",IF(P1267&gt;0,"EMITIDA","PENDIENTE"),"NO CORRESPONDE")))</f>
        <v>EMITIDA</v>
      </c>
      <c r="X1267" s="29"/>
      <c r="Y1267" s="17" t="s">
        <v>118</v>
      </c>
      <c r="Z1267" s="30">
        <v>45940</v>
      </c>
      <c r="AA1267" s="10" t="s">
        <v>150</v>
      </c>
      <c r="AB1267" s="19">
        <v>286</v>
      </c>
      <c r="AC1267" s="20">
        <v>30</v>
      </c>
      <c r="AD1267" s="18">
        <f>DATA[[#This Row],[FECHA DE EMISION]]+DATA[[#This Row],[CONDICION DE PAGO]]</f>
        <v>45970</v>
      </c>
      <c r="AE1267" s="23">
        <f>IF(DATA[[#This Row],[MONEDA]]="USD",VLOOKUP(DATA[[#This Row],[COMBINADA]],#REF!,11,0),1)</f>
        <v>1</v>
      </c>
      <c r="AF1267" s="348" t="str">
        <f>IF(DATA[[#This Row],[SERIE2]]="-","NO CORRESPONDE",IF(W1267="NO CORRESPONDE","NO CORRESPONDE",IF(Z1267&gt;0,"FACTURADO","PENDIENTE")))</f>
        <v>FACTURADO</v>
      </c>
      <c r="AG1267" s="133">
        <f>IFERROR(VLOOKUP(DATA[[#This Row],[COMBINADA]],#REF!,6,0),0)</f>
        <v>0</v>
      </c>
      <c r="AH1267" s="125">
        <f>IFERROR(VLOOKUP(DATA[[#This Row],[COMBINADA]],#REF!,9,0),0)/COUNTIFS(DATA[COMBINADA],DATA[[#This Row],[COMBINADA]])</f>
        <v>0</v>
      </c>
      <c r="AI1267" s="136">
        <f>IFERROR(VLOOKUP(DATA[[#This Row],[COMBINADA]],#REF!,6,0),0)</f>
        <v>0</v>
      </c>
      <c r="AJ1267" s="132">
        <f>IFERROR(VLOOKUP(DATA[[#This Row],[COMBINADA]],#REF!,9,0),0)/COUNTIFS(DATA[COMBINADA],DATA[[#This Row],[COMBINADA]])</f>
        <v>0</v>
      </c>
      <c r="AK1267" s="407">
        <f>IFERROR(VLOOKUP(DATA[[#This Row],[COMBINADA]],#REF!,6,0),0)</f>
        <v>0</v>
      </c>
      <c r="AL1267" s="125">
        <f>IFERROR(VLOOKUP(DATA[[#This Row],[COMBINADA]],#REF!,9,0),0)/COUNTIFS(DATA[COMBINADA],DATA[[#This Row],[COMBINADA]])</f>
        <v>0</v>
      </c>
      <c r="AM1267" s="27">
        <f>IFERROR(VLOOKUP(DATA[[#This Row],[COMBINADA]],#REF!,6,0),0)</f>
        <v>0</v>
      </c>
      <c r="AN1267" s="125">
        <f>IFERROR(VLOOKUP(DATA[[#This Row],[COMBINADA]],#REF!,9,0),0)/COUNTIFS(DATA[COMBINADA],DATA[[#This Row],[COMBINADA]])</f>
        <v>0</v>
      </c>
      <c r="AO1267" s="27">
        <f>IFERROR(VLOOKUP(DATA[[#This Row],[COMBINADA]],#REF!,6,0),0)</f>
        <v>0</v>
      </c>
      <c r="AP1267" s="132">
        <f>IFERROR(VLOOKUP(DATA[[#This Row],[COMBINADA]],#REF!,9,0),0)/COUNTIFS(DATA[COMBINADA],DATA[[#This Row],[COMBINADA]])</f>
        <v>0</v>
      </c>
      <c r="AQ126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351.55000000000007</v>
      </c>
      <c r="AR1267" s="26" t="str">
        <f>IFERROR(IF(DATA[[#This Row],[estado_fact]]="FACTURADO",VLOOKUP(DATA[[#This Row],[SERIE2]]&amp;"-"&amp;DATA[[#This Row],[NUMERO]],#REF!,34,0),"NO CORRESPONDE"),"NO CORRESPONDE")</f>
        <v>NO CORRESPONDE</v>
      </c>
      <c r="AS1267" s="22" t="str">
        <f>IF(DATA[[#This Row],[fecha_fs]]&gt;0,TEXT(DATA[[#This Row],[fecha_fs]],"Mmmm"),0)</f>
        <v>Setiembre</v>
      </c>
      <c r="AT1267" s="22" t="str">
        <f>DATA[[#This Row],[SERIE2]]&amp;"-"&amp;DATA[[#This Row],[NUMERO]]</f>
        <v>FF01-286</v>
      </c>
      <c r="AU1267" s="28">
        <f>DATA[[#This Row],[TOTAL]]*DATA[[#This Row],[T.C.]]</f>
        <v>351.55</v>
      </c>
      <c r="AV1267" s="6">
        <f>DATA[[#This Row],[FECHA DE VAL.]]</f>
        <v>45930</v>
      </c>
      <c r="AW1267" s="6">
        <f>DATA[[#This Row],[FECHA DE EMISION]]</f>
        <v>45940</v>
      </c>
      <c r="AX1267" s="6">
        <f>DATA[[#This Row],[F1]]</f>
        <v>0</v>
      </c>
      <c r="AY1267" s="20">
        <f>IF(AV1267-DATA[[#This Row],[fecha_fs]]&lt;0,0,AV1267-DATA[[#This Row],[fecha_fs]])</f>
        <v>0</v>
      </c>
      <c r="AZ1267" s="20">
        <f t="shared" si="301"/>
        <v>10</v>
      </c>
      <c r="BA1267" s="53">
        <f t="shared" si="302"/>
        <v>0</v>
      </c>
      <c r="BB1267" s="360">
        <f>IFERROR(SUM(DATA[[#This Row],[fs_val_ttf]:[fact_pago_ttf]]),0)</f>
        <v>10</v>
      </c>
      <c r="BC1267" s="377">
        <v>45930</v>
      </c>
      <c r="BD1267" s="377">
        <v>45930</v>
      </c>
      <c r="BE1267" s="233">
        <v>45932</v>
      </c>
      <c r="BF1267" s="233">
        <v>45932</v>
      </c>
      <c r="BG1267" s="20">
        <f>IFERROR(IF(BC1267-DATA[[#This Row],[fecha_fs]]&lt;0,0,BC1267-DATA[[#This Row],[fecha_fs]]),0)</f>
        <v>0</v>
      </c>
      <c r="BH1267" s="20">
        <f t="shared" si="303"/>
        <v>0</v>
      </c>
      <c r="BI1267" s="20">
        <f t="shared" si="304"/>
        <v>2</v>
      </c>
      <c r="BJ1267" s="367">
        <f t="shared" si="305"/>
        <v>0</v>
      </c>
      <c r="BK1267" s="362">
        <f>IFERROR(SUM(DATA[[#This Row],[fs_fd_ttd]:[fend_fenf_ttd]]),0)</f>
        <v>2</v>
      </c>
      <c r="BL1267" s="20" t="str">
        <f>IF(DATA[[#This Row],[fecha_fs]]&gt;0,TEXT(DATA[[#This Row],[fecha_fs]],"YYYY"),0)</f>
        <v>2025</v>
      </c>
      <c r="BM1267" s="363" t="b">
        <v>1</v>
      </c>
      <c r="BN1267" s="278">
        <f>COUNTIF(DATA[[#This Row],[tiempo_td]], "&lt;=15")</f>
        <v>1</v>
      </c>
      <c r="BO1267" s="365"/>
    </row>
    <row r="1268" spans="1:67" ht="30.6" customHeight="1" x14ac:dyDescent="0.25">
      <c r="A1268" s="4">
        <v>20100192064</v>
      </c>
      <c r="B1268" s="5" t="s">
        <v>60</v>
      </c>
      <c r="C1268" s="52" t="s">
        <v>64</v>
      </c>
      <c r="D1268" s="4" t="s">
        <v>112</v>
      </c>
      <c r="E1268" s="5" t="s">
        <v>1</v>
      </c>
      <c r="F1268" s="24">
        <v>45930</v>
      </c>
      <c r="G1268" s="7" t="s">
        <v>113</v>
      </c>
      <c r="H1268" s="25">
        <f t="shared" si="300"/>
        <v>1</v>
      </c>
      <c r="I1268" s="331">
        <v>5059</v>
      </c>
      <c r="J1268" s="8" t="s">
        <v>115</v>
      </c>
      <c r="K1268" s="9" t="s">
        <v>136</v>
      </c>
      <c r="L1268" s="10" t="s">
        <v>137</v>
      </c>
      <c r="M1268" s="11">
        <v>36</v>
      </c>
      <c r="N1268" s="12" t="s">
        <v>135</v>
      </c>
      <c r="O1268" s="6">
        <v>45957</v>
      </c>
      <c r="P1268" s="71">
        <v>3762</v>
      </c>
      <c r="Q1268" s="14" t="s">
        <v>123</v>
      </c>
      <c r="R1268" s="56">
        <f>DATA[[#This Row],[cantidad_fs]]*23.7</f>
        <v>853.19999999999993</v>
      </c>
      <c r="S1268" s="74"/>
      <c r="T1268" s="321">
        <f>DATA[[#This Row],[C. DF]]+DATA[[#This Row],[C.OPE.]]</f>
        <v>853.19999999999993</v>
      </c>
      <c r="U1268" s="15">
        <f>DATA[[#This Row],[SUB TOTAL]]*0.18</f>
        <v>153.57599999999999</v>
      </c>
      <c r="V1268" s="15">
        <f>IFERROR(ROUND(DATA[[#This Row],[SUB TOTAL]]+DATA[[#This Row],[IGV]],2),0)</f>
        <v>1006.78</v>
      </c>
      <c r="W1268" s="339" t="str">
        <f>IF(DATA[[#This Row],[VALORIZACIÓN ]]="-","NO CORRESPONDE",IF(OR(A1268=20558226979,A1268=10470707866,A1268=20111157058,A1268=20100226902),"NO CORRESPONDE",IF(J1268="Emitida",IF(P1268&gt;0,"EMITIDA","PENDIENTE"),"NO CORRESPONDE")))</f>
        <v>EMITIDA</v>
      </c>
      <c r="X1268" s="29" t="s">
        <v>375</v>
      </c>
      <c r="Y1268" s="17" t="s">
        <v>118</v>
      </c>
      <c r="Z1268" s="30">
        <v>45961</v>
      </c>
      <c r="AA1268" s="10" t="s">
        <v>150</v>
      </c>
      <c r="AB1268" s="19">
        <v>318</v>
      </c>
      <c r="AC1268" s="20">
        <v>30</v>
      </c>
      <c r="AD1268" s="18">
        <f>DATA[[#This Row],[FECHA DE EMISION]]+DATA[[#This Row],[CONDICION DE PAGO]]</f>
        <v>45991</v>
      </c>
      <c r="AE1268" s="23" t="e">
        <f>IF(DATA[[#This Row],[MONEDA]]="USD",VLOOKUP(DATA[[#This Row],[COMBINADA]],#REF!,11,0),1)</f>
        <v>#REF!</v>
      </c>
      <c r="AF1268" s="348" t="str">
        <f>IF(DATA[[#This Row],[SERIE2]]="-","NO CORRESPONDE",IF(W1268="NO CORRESPONDE","NO CORRESPONDE",IF(Z1268&gt;0,"FACTURADO","PENDIENTE")))</f>
        <v>FACTURADO</v>
      </c>
      <c r="AG1268" s="133">
        <f>IFERROR(VLOOKUP(DATA[[#This Row],[COMBINADA]],#REF!,6,0),0)</f>
        <v>0</v>
      </c>
      <c r="AH1268" s="125">
        <f>IFERROR(VLOOKUP(DATA[[#This Row],[COMBINADA]],#REF!,9,0),0)/COUNTIFS(DATA[COMBINADA],DATA[[#This Row],[COMBINADA]])</f>
        <v>0</v>
      </c>
      <c r="AI1268" s="136">
        <f>IFERROR(VLOOKUP(DATA[[#This Row],[COMBINADA]],#REF!,6,0),0)</f>
        <v>0</v>
      </c>
      <c r="AJ1268" s="132">
        <f>IFERROR(VLOOKUP(DATA[[#This Row],[COMBINADA]],#REF!,9,0),0)/COUNTIFS(DATA[COMBINADA],DATA[[#This Row],[COMBINADA]])</f>
        <v>0</v>
      </c>
      <c r="AK1268" s="407">
        <f>IFERROR(VLOOKUP(DATA[[#This Row],[COMBINADA]],#REF!,6,0),0)</f>
        <v>0</v>
      </c>
      <c r="AL1268" s="125">
        <f>IFERROR(VLOOKUP(DATA[[#This Row],[COMBINADA]],#REF!,9,0),0)/COUNTIFS(DATA[COMBINADA],DATA[[#This Row],[COMBINADA]])</f>
        <v>0</v>
      </c>
      <c r="AM1268" s="27">
        <f>IFERROR(VLOOKUP(DATA[[#This Row],[COMBINADA]],#REF!,6,0),0)</f>
        <v>0</v>
      </c>
      <c r="AN1268" s="125">
        <f>IFERROR(VLOOKUP(DATA[[#This Row],[COMBINADA]],#REF!,9,0),0)/COUNTIFS(DATA[COMBINADA],DATA[[#This Row],[COMBINADA]])</f>
        <v>0</v>
      </c>
      <c r="AO1268" s="27">
        <f>IFERROR(VLOOKUP(DATA[[#This Row],[COMBINADA]],#REF!,6,0),0)</f>
        <v>0</v>
      </c>
      <c r="AP1268" s="132">
        <f>IFERROR(VLOOKUP(DATA[[#This Row],[COMBINADA]],#REF!,9,0),0)/COUNTIFS(DATA[COMBINADA],DATA[[#This Row],[COMBINADA]])</f>
        <v>0</v>
      </c>
      <c r="AQ126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492.32615384615383</v>
      </c>
      <c r="AR1268" s="26" t="str">
        <f>IFERROR(IF(DATA[[#This Row],[estado_fact]]="FACTURADO",VLOOKUP(DATA[[#This Row],[SERIE2]]&amp;"-"&amp;DATA[[#This Row],[NUMERO]],#REF!,34,0),"NO CORRESPONDE"),"NO CORRESPONDE")</f>
        <v>NO CORRESPONDE</v>
      </c>
      <c r="AS1268" s="22" t="str">
        <f>IF(DATA[[#This Row],[fecha_fs]]&gt;0,TEXT(DATA[[#This Row],[fecha_fs]],"Mmmm"),0)</f>
        <v>Setiembre</v>
      </c>
      <c r="AT1268" s="22" t="str">
        <f>DATA[[#This Row],[SERIE2]]&amp;"-"&amp;DATA[[#This Row],[NUMERO]]</f>
        <v>FF01-318</v>
      </c>
      <c r="AU1268" s="28" t="e">
        <f>DATA[[#This Row],[TOTAL]]*DATA[[#This Row],[T.C.]]</f>
        <v>#REF!</v>
      </c>
      <c r="AV1268" s="6">
        <f>DATA[[#This Row],[FECHA DE VAL.]]</f>
        <v>45957</v>
      </c>
      <c r="AW1268" s="6">
        <f>DATA[[#This Row],[FECHA DE EMISION]]</f>
        <v>45961</v>
      </c>
      <c r="AX1268" s="6">
        <f>DATA[[#This Row],[F1]]</f>
        <v>0</v>
      </c>
      <c r="AY1268" s="20">
        <f>IF(AV1268-DATA[[#This Row],[fecha_fs]]&lt;0,0,AV1268-DATA[[#This Row],[fecha_fs]])</f>
        <v>27</v>
      </c>
      <c r="AZ1268" s="20">
        <f t="shared" si="301"/>
        <v>4</v>
      </c>
      <c r="BA1268" s="53">
        <f t="shared" si="302"/>
        <v>0</v>
      </c>
      <c r="BB1268" s="360">
        <f>IFERROR(SUM(DATA[[#This Row],[fs_val_ttf]:[fact_pago_ttf]]),0)</f>
        <v>31</v>
      </c>
      <c r="BC1268" s="377">
        <v>45932</v>
      </c>
      <c r="BD1268" s="233">
        <v>45951</v>
      </c>
      <c r="BE1268" s="233">
        <v>45951</v>
      </c>
      <c r="BF1268" s="361" t="s">
        <v>270</v>
      </c>
      <c r="BG1268" s="20">
        <f>IFERROR(IF(BC1268-DATA[[#This Row],[fecha_fs]]&lt;0,0,BC1268-DATA[[#This Row],[fecha_fs]]),0)</f>
        <v>2</v>
      </c>
      <c r="BH1268" s="20">
        <f t="shared" si="303"/>
        <v>19</v>
      </c>
      <c r="BI1268" s="20">
        <f t="shared" si="304"/>
        <v>0</v>
      </c>
      <c r="BJ1268" s="367">
        <f t="shared" si="305"/>
        <v>0</v>
      </c>
      <c r="BK1268" s="362">
        <f>IFERROR(SUM(DATA[[#This Row],[fs_fd_ttd]:[fend_fenf_ttd]]),0)</f>
        <v>21</v>
      </c>
      <c r="BL1268" s="20" t="str">
        <f>IF(DATA[[#This Row],[fecha_fs]]&gt;0,TEXT(DATA[[#This Row],[fecha_fs]],"YYYY"),0)</f>
        <v>2025</v>
      </c>
      <c r="BM1268" s="363" t="b">
        <v>0</v>
      </c>
      <c r="BN1268" s="278">
        <f>COUNTIF(DATA[[#This Row],[tiempo_td]], "&lt;=15")</f>
        <v>0</v>
      </c>
      <c r="BO1268" s="365"/>
    </row>
    <row r="1269" spans="1:67" ht="30.6" customHeight="1" x14ac:dyDescent="0.25">
      <c r="A1269" s="4">
        <v>20610105620</v>
      </c>
      <c r="B1269" s="5" t="s">
        <v>311</v>
      </c>
      <c r="C1269" s="52" t="s">
        <v>312</v>
      </c>
      <c r="D1269" s="4" t="s">
        <v>120</v>
      </c>
      <c r="E1269" s="5" t="s">
        <v>3</v>
      </c>
      <c r="F1269" s="24">
        <v>45930</v>
      </c>
      <c r="G1269" s="7" t="s">
        <v>113</v>
      </c>
      <c r="H1269" s="25">
        <f t="shared" si="300"/>
        <v>1</v>
      </c>
      <c r="I1269" s="331">
        <v>5060</v>
      </c>
      <c r="J1269" s="8" t="s">
        <v>115</v>
      </c>
      <c r="K1269" s="9" t="s">
        <v>121</v>
      </c>
      <c r="L1269" s="10" t="s">
        <v>117</v>
      </c>
      <c r="M1269" s="11">
        <v>920</v>
      </c>
      <c r="N1269" s="12" t="s">
        <v>122</v>
      </c>
      <c r="O1269" s="6">
        <v>45930</v>
      </c>
      <c r="P1269" s="370">
        <v>3709</v>
      </c>
      <c r="Q1269" s="14" t="s">
        <v>85</v>
      </c>
      <c r="R1269" s="56">
        <f>80</f>
        <v>80</v>
      </c>
      <c r="S1269" s="56">
        <v>2120</v>
      </c>
      <c r="T1269" s="321">
        <f>DATA[[#This Row],[C. DF]]+DATA[[#This Row],[C.OPE.]]</f>
        <v>2200</v>
      </c>
      <c r="U1269" s="15">
        <f>DATA[[#This Row],[SUB TOTAL]]*0.18</f>
        <v>396</v>
      </c>
      <c r="V1269" s="15">
        <f>IFERROR(ROUND(DATA[[#This Row],[SUB TOTAL]]+DATA[[#This Row],[IGV]],2),0)</f>
        <v>2596</v>
      </c>
      <c r="W1269" s="339" t="str">
        <f>IF(DATA[[#This Row],[VALORIZACIÓN ]]="-","NO CORRESPONDE",IF(OR(A1269=20558226979,A1269=10470707866,A1269=20111157058,A1269=20100226902),"NO CORRESPONDE",IF(J1269="Emitida",IF(P1269&gt;0,"EMITIDA","PENDIENTE"),"NO CORRESPONDE")))</f>
        <v>EMITIDA</v>
      </c>
      <c r="X1269" s="29"/>
      <c r="Y1269" s="17" t="s">
        <v>118</v>
      </c>
      <c r="Z1269" s="30">
        <v>45968</v>
      </c>
      <c r="AA1269" s="10" t="s">
        <v>150</v>
      </c>
      <c r="AB1269" s="19">
        <v>349</v>
      </c>
      <c r="AC1269" s="20">
        <v>30</v>
      </c>
      <c r="AD1269" s="18">
        <f>DATA[[#This Row],[FECHA DE EMISION]]+DATA[[#This Row],[CONDICION DE PAGO]]</f>
        <v>45998</v>
      </c>
      <c r="AE1269" s="23">
        <f>IF(DATA[[#This Row],[MONEDA]]="USD",VLOOKUP(DATA[[#This Row],[COMBINADA]],#REF!,11,0),1)</f>
        <v>1</v>
      </c>
      <c r="AF1269" s="348" t="str">
        <f>IF(DATA[[#This Row],[SERIE2]]="-","NO CORRESPONDE",IF(W1269="NO CORRESPONDE","NO CORRESPONDE",IF(Z1269&gt;0,"FACTURADO","PENDIENTE")))</f>
        <v>FACTURADO</v>
      </c>
      <c r="AG1269" s="133">
        <f>IFERROR(VLOOKUP(DATA[[#This Row],[COMBINADA]],#REF!,6,0),0)</f>
        <v>0</v>
      </c>
      <c r="AH1269" s="125">
        <f>IFERROR(VLOOKUP(DATA[[#This Row],[COMBINADA]],#REF!,9,0),0)/COUNTIFS(DATA[COMBINADA],DATA[[#This Row],[COMBINADA]])</f>
        <v>0</v>
      </c>
      <c r="AI1269" s="136">
        <f>IFERROR(VLOOKUP(DATA[[#This Row],[COMBINADA]],#REF!,6,0),0)</f>
        <v>0</v>
      </c>
      <c r="AJ1269" s="132">
        <f>IFERROR(VLOOKUP(DATA[[#This Row],[COMBINADA]],#REF!,9,0),0)/COUNTIFS(DATA[COMBINADA],DATA[[#This Row],[COMBINADA]])</f>
        <v>0</v>
      </c>
      <c r="AK1269" s="407">
        <f>IFERROR(VLOOKUP(DATA[[#This Row],[COMBINADA]],#REF!,6,0),0)</f>
        <v>0</v>
      </c>
      <c r="AL1269" s="125">
        <f>IFERROR(VLOOKUP(DATA[[#This Row],[COMBINADA]],#REF!,9,0),0)/COUNTIFS(DATA[COMBINADA],DATA[[#This Row],[COMBINADA]])</f>
        <v>0</v>
      </c>
      <c r="AM1269" s="27">
        <f>IFERROR(VLOOKUP(DATA[[#This Row],[COMBINADA]],#REF!,6,0),0)</f>
        <v>0</v>
      </c>
      <c r="AN1269" s="125">
        <f>IFERROR(VLOOKUP(DATA[[#This Row],[COMBINADA]],#REF!,9,0),0)/COUNTIFS(DATA[COMBINADA],DATA[[#This Row],[COMBINADA]])</f>
        <v>0</v>
      </c>
      <c r="AO1269" s="27">
        <f>IFERROR(VLOOKUP(DATA[[#This Row],[COMBINADA]],#REF!,6,0),0)</f>
        <v>0</v>
      </c>
      <c r="AP1269" s="132">
        <f>IFERROR(VLOOKUP(DATA[[#This Row],[COMBINADA]],#REF!,9,0),0)/COUNTIFS(DATA[COMBINADA],DATA[[#This Row],[COMBINADA]])</f>
        <v>0</v>
      </c>
      <c r="AQ126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2515.7599999999998</v>
      </c>
      <c r="AR1269" s="26" t="str">
        <f>IFERROR(IF(DATA[[#This Row],[estado_fact]]="FACTURADO",VLOOKUP(DATA[[#This Row],[SERIE2]]&amp;"-"&amp;DATA[[#This Row],[NUMERO]],#REF!,34,0),"NO CORRESPONDE"),"NO CORRESPONDE")</f>
        <v>NO CORRESPONDE</v>
      </c>
      <c r="AS1269" s="22" t="str">
        <f>IF(DATA[[#This Row],[fecha_fs]]&gt;0,TEXT(DATA[[#This Row],[fecha_fs]],"Mmmm"),0)</f>
        <v>Setiembre</v>
      </c>
      <c r="AT1269" s="22" t="str">
        <f>DATA[[#This Row],[SERIE2]]&amp;"-"&amp;DATA[[#This Row],[NUMERO]]</f>
        <v>FF01-349</v>
      </c>
      <c r="AU1269" s="28">
        <f>DATA[[#This Row],[TOTAL]]*DATA[[#This Row],[T.C.]]</f>
        <v>2596</v>
      </c>
      <c r="AV1269" s="6">
        <f>DATA[[#This Row],[FECHA DE VAL.]]</f>
        <v>45930</v>
      </c>
      <c r="AW1269" s="6">
        <f>DATA[[#This Row],[FECHA DE EMISION]]</f>
        <v>45968</v>
      </c>
      <c r="AX1269" s="6">
        <f>DATA[[#This Row],[F1]]</f>
        <v>0</v>
      </c>
      <c r="AY1269" s="20">
        <f>IF(AV1269-DATA[[#This Row],[fecha_fs]]&lt;0,0,AV1269-DATA[[#This Row],[fecha_fs]])</f>
        <v>0</v>
      </c>
      <c r="AZ1269" s="20">
        <f t="shared" si="301"/>
        <v>38</v>
      </c>
      <c r="BA1269" s="53">
        <f t="shared" si="302"/>
        <v>0</v>
      </c>
      <c r="BB1269" s="360">
        <f>IFERROR(SUM(DATA[[#This Row],[fs_val_ttf]:[fact_pago_ttf]]),0)</f>
        <v>38</v>
      </c>
      <c r="BC1269" s="377">
        <v>45931</v>
      </c>
      <c r="BD1269" s="377">
        <v>45933</v>
      </c>
      <c r="BE1269" s="233">
        <v>45936</v>
      </c>
      <c r="BF1269" s="233">
        <v>45957</v>
      </c>
      <c r="BG1269" s="20">
        <f>IFERROR(IF(BC1269-DATA[[#This Row],[fecha_fs]]&lt;0,0,BC1269-DATA[[#This Row],[fecha_fs]]),0)</f>
        <v>1</v>
      </c>
      <c r="BH1269" s="20">
        <f t="shared" si="303"/>
        <v>2</v>
      </c>
      <c r="BI1269" s="20">
        <f t="shared" si="304"/>
        <v>3</v>
      </c>
      <c r="BJ1269" s="367">
        <f t="shared" si="305"/>
        <v>21</v>
      </c>
      <c r="BK1269" s="362">
        <f>IFERROR(SUM(DATA[[#This Row],[fs_fd_ttd]:[fend_fenf_ttd]]),0)</f>
        <v>27</v>
      </c>
      <c r="BL1269" s="20" t="str">
        <f>IF(DATA[[#This Row],[fecha_fs]]&gt;0,TEXT(DATA[[#This Row],[fecha_fs]],"YYYY"),0)</f>
        <v>2025</v>
      </c>
      <c r="BM1269" s="363" t="b">
        <v>1</v>
      </c>
      <c r="BN1269" s="278">
        <f>COUNTIF(DATA[[#This Row],[tiempo_td]], "&lt;=15")</f>
        <v>0</v>
      </c>
      <c r="BO1269" s="365"/>
    </row>
    <row r="1270" spans="1:67" ht="30.6" customHeight="1" x14ac:dyDescent="0.25">
      <c r="A1270" s="4">
        <v>20552714378</v>
      </c>
      <c r="B1270" s="5" t="s">
        <v>288</v>
      </c>
      <c r="C1270" s="52" t="s">
        <v>264</v>
      </c>
      <c r="D1270" s="4" t="s">
        <v>120</v>
      </c>
      <c r="E1270" s="5" t="s">
        <v>3</v>
      </c>
      <c r="F1270" s="24">
        <v>45930</v>
      </c>
      <c r="G1270" s="7" t="s">
        <v>113</v>
      </c>
      <c r="H1270" s="25">
        <f t="shared" si="300"/>
        <v>1</v>
      </c>
      <c r="I1270" s="331">
        <v>5061</v>
      </c>
      <c r="J1270" s="8" t="s">
        <v>115</v>
      </c>
      <c r="K1270" s="9" t="s">
        <v>121</v>
      </c>
      <c r="L1270" s="10" t="s">
        <v>117</v>
      </c>
      <c r="M1270" s="11">
        <v>2320</v>
      </c>
      <c r="N1270" s="12" t="s">
        <v>125</v>
      </c>
      <c r="O1270" s="6">
        <v>45951</v>
      </c>
      <c r="P1270" s="109">
        <v>3730</v>
      </c>
      <c r="Q1270" s="14" t="s">
        <v>85</v>
      </c>
      <c r="R1270" s="237">
        <f>(DATA[[#This Row],[cantidad_fs]]/1000)*80</f>
        <v>185.6</v>
      </c>
      <c r="S1270" s="237">
        <v>2112.33</v>
      </c>
      <c r="T1270" s="321">
        <f>DATA[[#This Row],[C. DF]]+DATA[[#This Row],[C.OPE.]]</f>
        <v>2297.9299999999998</v>
      </c>
      <c r="U1270" s="15">
        <f>DATA[[#This Row],[SUB TOTAL]]*0.18</f>
        <v>413.62739999999997</v>
      </c>
      <c r="V1270" s="15">
        <f>IFERROR(ROUND(DATA[[#This Row],[SUB TOTAL]]+DATA[[#This Row],[IGV]],2),0)</f>
        <v>2711.56</v>
      </c>
      <c r="W1270" s="339" t="str">
        <f>IF(DATA[[#This Row],[VALORIZACIÓN ]]="-","NO CORRESPONDE",IF(OR(A1270=20558226979,A1270=10470707866,A1270=20111157058,A1270=20100226902),"NO CORRESPONDE",IF(J1270="Emitida",IF(P1270&gt;0,"EMITIDA","PENDIENTE"),"NO CORRESPONDE")))</f>
        <v>EMITIDA</v>
      </c>
      <c r="X1270" s="29"/>
      <c r="Y1270" s="17" t="s">
        <v>232</v>
      </c>
      <c r="Z1270" s="30"/>
      <c r="AA1270" s="10"/>
      <c r="AB1270" s="19"/>
      <c r="AC1270" s="20"/>
      <c r="AD1270" s="18">
        <f>DATA[[#This Row],[FECHA DE EMISION]]+DATA[[#This Row],[CONDICION DE PAGO]]</f>
        <v>0</v>
      </c>
      <c r="AE1270" s="23">
        <f>IF(DATA[[#This Row],[MONEDA]]="USD",VLOOKUP(DATA[[#This Row],[COMBINADA]],#REF!,11,0),1)</f>
        <v>1</v>
      </c>
      <c r="AF1270" s="406" t="str">
        <f>IF(DATA[[#This Row],[SERIE2]]="-","NO CORRESPONDE",IF(W1270="NO CORRESPONDE","NO CORRESPONDE",IF(Z1270&gt;0,"FACTURADO","PENDIENTE")))</f>
        <v>PENDIENTE</v>
      </c>
      <c r="AG1270" s="133">
        <f>IFERROR(VLOOKUP(DATA[[#This Row],[COMBINADA]],#REF!,6,0),0)</f>
        <v>0</v>
      </c>
      <c r="AH1270" s="125">
        <f>IFERROR(VLOOKUP(DATA[[#This Row],[COMBINADA]],#REF!,9,0),0)/COUNTIFS(DATA[COMBINADA],DATA[[#This Row],[COMBINADA]])</f>
        <v>0</v>
      </c>
      <c r="AI1270" s="136">
        <f>IFERROR(VLOOKUP(DATA[[#This Row],[COMBINADA]],#REF!,6,0),0)</f>
        <v>0</v>
      </c>
      <c r="AJ1270" s="132">
        <f>IFERROR(VLOOKUP(DATA[[#This Row],[COMBINADA]],#REF!,9,0),0)/COUNTIFS(DATA[COMBINADA],DATA[[#This Row],[COMBINADA]])</f>
        <v>0</v>
      </c>
      <c r="AK1270" s="407">
        <f>IFERROR(VLOOKUP(DATA[[#This Row],[COMBINADA]],#REF!,6,0),0)</f>
        <v>0</v>
      </c>
      <c r="AL1270" s="125">
        <f>IFERROR(VLOOKUP(DATA[[#This Row],[COMBINADA]],#REF!,9,0),0)/COUNTIFS(DATA[COMBINADA],DATA[[#This Row],[COMBINADA]])</f>
        <v>0</v>
      </c>
      <c r="AM1270" s="27">
        <f>IFERROR(VLOOKUP(DATA[[#This Row],[COMBINADA]],#REF!,6,0),0)</f>
        <v>0</v>
      </c>
      <c r="AN1270" s="125">
        <f>IFERROR(VLOOKUP(DATA[[#This Row],[COMBINADA]],#REF!,9,0),0)/COUNTIFS(DATA[COMBINADA],DATA[[#This Row],[COMBINADA]])</f>
        <v>0</v>
      </c>
      <c r="AO1270" s="27">
        <f>IFERROR(VLOOKUP(DATA[[#This Row],[COMBINADA]],#REF!,6,0),0)</f>
        <v>0</v>
      </c>
      <c r="AP1270" s="132">
        <f>IFERROR(VLOOKUP(DATA[[#This Row],[COMBINADA]],#REF!,9,0),0)/COUNTIFS(DATA[COMBINADA],DATA[[#This Row],[COMBINADA]])</f>
        <v>0</v>
      </c>
      <c r="AQ127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270" s="26" t="str">
        <f>IFERROR(IF(DATA[[#This Row],[estado_fact]]="FACTURADO",VLOOKUP(DATA[[#This Row],[SERIE2]]&amp;"-"&amp;DATA[[#This Row],[NUMERO]],#REF!,34,0),"NO CORRESPONDE"),"NO CORRESPONDE")</f>
        <v>NO CORRESPONDE</v>
      </c>
      <c r="AS1270" s="22" t="str">
        <f>IF(DATA[[#This Row],[fecha_fs]]&gt;0,TEXT(DATA[[#This Row],[fecha_fs]],"Mmmm"),0)</f>
        <v>Setiembre</v>
      </c>
      <c r="AT1270" s="22" t="str">
        <f>DATA[[#This Row],[SERIE2]]&amp;"-"&amp;DATA[[#This Row],[NUMERO]]</f>
        <v>-</v>
      </c>
      <c r="AU1270" s="28">
        <f>DATA[[#This Row],[TOTAL]]*DATA[[#This Row],[T.C.]]</f>
        <v>2711.56</v>
      </c>
      <c r="AV1270" s="6">
        <f>DATA[[#This Row],[FECHA DE VAL.]]</f>
        <v>45951</v>
      </c>
      <c r="AW1270" s="6">
        <f>DATA[[#This Row],[FECHA DE EMISION]]</f>
        <v>0</v>
      </c>
      <c r="AX1270" s="6">
        <f>DATA[[#This Row],[F1]]</f>
        <v>0</v>
      </c>
      <c r="AY1270" s="20">
        <f>IF(AV1270-DATA[[#This Row],[fecha_fs]]&lt;0,0,AV1270-DATA[[#This Row],[fecha_fs]])</f>
        <v>21</v>
      </c>
      <c r="AZ1270" s="20">
        <f t="shared" si="301"/>
        <v>0</v>
      </c>
      <c r="BA1270" s="53">
        <f t="shared" si="302"/>
        <v>0</v>
      </c>
      <c r="BB1270" s="360">
        <f>IFERROR(SUM(DATA[[#This Row],[fs_val_ttf]:[fact_pago_ttf]]),0)</f>
        <v>21</v>
      </c>
      <c r="BC1270" s="377">
        <v>45933</v>
      </c>
      <c r="BD1270" s="377">
        <v>45939</v>
      </c>
      <c r="BE1270" s="377">
        <v>45943</v>
      </c>
      <c r="BF1270" s="377">
        <v>45947</v>
      </c>
      <c r="BG1270" s="20">
        <f>IFERROR(IF(BC1270-DATA[[#This Row],[fecha_fs]]&lt;0,0,BC1270-DATA[[#This Row],[fecha_fs]]),0)</f>
        <v>3</v>
      </c>
      <c r="BH1270" s="20">
        <f t="shared" si="303"/>
        <v>6</v>
      </c>
      <c r="BI1270" s="20">
        <f t="shared" si="304"/>
        <v>4</v>
      </c>
      <c r="BJ1270" s="367">
        <f t="shared" si="305"/>
        <v>4</v>
      </c>
      <c r="BK1270" s="362">
        <f>IFERROR(SUM(DATA[[#This Row],[fs_fd_ttd]:[fend_fenf_ttd]]),0)</f>
        <v>17</v>
      </c>
      <c r="BL1270" s="20" t="str">
        <f>IF(DATA[[#This Row],[fecha_fs]]&gt;0,TEXT(DATA[[#This Row],[fecha_fs]],"YYYY"),0)</f>
        <v>2025</v>
      </c>
      <c r="BM1270" s="363" t="b">
        <v>1</v>
      </c>
      <c r="BN1270" s="278">
        <f>COUNTIF(DATA[[#This Row],[tiempo_td]], "&lt;=15")</f>
        <v>0</v>
      </c>
      <c r="BO1270" s="365"/>
    </row>
    <row r="1271" spans="1:67" ht="30.6" customHeight="1" x14ac:dyDescent="0.25">
      <c r="A1271" s="4">
        <v>20552714378</v>
      </c>
      <c r="B1271" s="5" t="s">
        <v>288</v>
      </c>
      <c r="C1271" s="52" t="s">
        <v>264</v>
      </c>
      <c r="D1271" s="4" t="s">
        <v>120</v>
      </c>
      <c r="E1271" s="5" t="s">
        <v>3</v>
      </c>
      <c r="F1271" s="24">
        <v>45930</v>
      </c>
      <c r="G1271" s="7" t="s">
        <v>113</v>
      </c>
      <c r="H1271" s="25">
        <f t="shared" si="300"/>
        <v>1</v>
      </c>
      <c r="I1271" s="331">
        <v>5062</v>
      </c>
      <c r="J1271" s="8" t="s">
        <v>115</v>
      </c>
      <c r="K1271" s="9" t="s">
        <v>121</v>
      </c>
      <c r="L1271" s="10" t="s">
        <v>117</v>
      </c>
      <c r="M1271" s="11">
        <v>3060</v>
      </c>
      <c r="N1271" s="12" t="s">
        <v>122</v>
      </c>
      <c r="O1271" s="6">
        <v>45951</v>
      </c>
      <c r="P1271" s="109">
        <v>3730</v>
      </c>
      <c r="Q1271" s="14" t="s">
        <v>85</v>
      </c>
      <c r="R1271" s="237">
        <f>(DATA[[#This Row],[cantidad_fs]]/1000)*80</f>
        <v>244.8</v>
      </c>
      <c r="S1271" s="237">
        <v>2628.58</v>
      </c>
      <c r="T1271" s="321">
        <f>DATA[[#This Row],[C. DF]]+DATA[[#This Row],[C.OPE.]]</f>
        <v>2873.38</v>
      </c>
      <c r="U1271" s="15">
        <f>DATA[[#This Row],[SUB TOTAL]]*0.18</f>
        <v>517.20839999999998</v>
      </c>
      <c r="V1271" s="15">
        <f>IFERROR(ROUND(DATA[[#This Row],[SUB TOTAL]]+DATA[[#This Row],[IGV]],2),0)</f>
        <v>3390.59</v>
      </c>
      <c r="W1271" s="339" t="str">
        <f>IF(DATA[[#This Row],[VALORIZACIÓN ]]="-","NO CORRESPONDE",IF(OR(A1271=20558226979,A1271=10470707866,A1271=20111157058,A1271=20100226902),"NO CORRESPONDE",IF(J1271="Emitida",IF(P1271&gt;0,"EMITIDA","PENDIENTE"),"NO CORRESPONDE")))</f>
        <v>EMITIDA</v>
      </c>
      <c r="X1271" s="29"/>
      <c r="Y1271" s="17" t="s">
        <v>232</v>
      </c>
      <c r="Z1271" s="30"/>
      <c r="AA1271" s="10"/>
      <c r="AB1271" s="19"/>
      <c r="AC1271" s="20"/>
      <c r="AD1271" s="18">
        <f>DATA[[#This Row],[FECHA DE EMISION]]+DATA[[#This Row],[CONDICION DE PAGO]]</f>
        <v>0</v>
      </c>
      <c r="AE1271" s="23">
        <f>IF(DATA[[#This Row],[MONEDA]]="USD",VLOOKUP(DATA[[#This Row],[COMBINADA]],#REF!,11,0),1)</f>
        <v>1</v>
      </c>
      <c r="AF1271" s="406" t="str">
        <f>IF(DATA[[#This Row],[SERIE2]]="-","NO CORRESPONDE",IF(W1271="NO CORRESPONDE","NO CORRESPONDE",IF(Z1271&gt;0,"FACTURADO","PENDIENTE")))</f>
        <v>PENDIENTE</v>
      </c>
      <c r="AG1271" s="133">
        <f>IFERROR(VLOOKUP(DATA[[#This Row],[COMBINADA]],#REF!,6,0),0)</f>
        <v>0</v>
      </c>
      <c r="AH1271" s="125">
        <f>IFERROR(VLOOKUP(DATA[[#This Row],[COMBINADA]],#REF!,9,0),0)/COUNTIFS(DATA[COMBINADA],DATA[[#This Row],[COMBINADA]])</f>
        <v>0</v>
      </c>
      <c r="AI1271" s="136">
        <f>IFERROR(VLOOKUP(DATA[[#This Row],[COMBINADA]],#REF!,6,0),0)</f>
        <v>0</v>
      </c>
      <c r="AJ1271" s="132">
        <f>IFERROR(VLOOKUP(DATA[[#This Row],[COMBINADA]],#REF!,9,0),0)/COUNTIFS(DATA[COMBINADA],DATA[[#This Row],[COMBINADA]])</f>
        <v>0</v>
      </c>
      <c r="AK1271" s="407">
        <f>IFERROR(VLOOKUP(DATA[[#This Row],[COMBINADA]],#REF!,6,0),0)</f>
        <v>0</v>
      </c>
      <c r="AL1271" s="125">
        <f>IFERROR(VLOOKUP(DATA[[#This Row],[COMBINADA]],#REF!,9,0),0)/COUNTIFS(DATA[COMBINADA],DATA[[#This Row],[COMBINADA]])</f>
        <v>0</v>
      </c>
      <c r="AM1271" s="27">
        <f>IFERROR(VLOOKUP(DATA[[#This Row],[COMBINADA]],#REF!,6,0),0)</f>
        <v>0</v>
      </c>
      <c r="AN1271" s="125">
        <f>IFERROR(VLOOKUP(DATA[[#This Row],[COMBINADA]],#REF!,9,0),0)/COUNTIFS(DATA[COMBINADA],DATA[[#This Row],[COMBINADA]])</f>
        <v>0</v>
      </c>
      <c r="AO1271" s="27">
        <f>IFERROR(VLOOKUP(DATA[[#This Row],[COMBINADA]],#REF!,6,0),0)</f>
        <v>0</v>
      </c>
      <c r="AP1271" s="132">
        <f>IFERROR(VLOOKUP(DATA[[#This Row],[COMBINADA]],#REF!,9,0),0)/COUNTIFS(DATA[COMBINADA],DATA[[#This Row],[COMBINADA]])</f>
        <v>0</v>
      </c>
      <c r="AQ127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271" s="26" t="str">
        <f>IFERROR(IF(DATA[[#This Row],[estado_fact]]="FACTURADO",VLOOKUP(DATA[[#This Row],[SERIE2]]&amp;"-"&amp;DATA[[#This Row],[NUMERO]],#REF!,34,0),"NO CORRESPONDE"),"NO CORRESPONDE")</f>
        <v>NO CORRESPONDE</v>
      </c>
      <c r="AS1271" s="22" t="str">
        <f>IF(DATA[[#This Row],[fecha_fs]]&gt;0,TEXT(DATA[[#This Row],[fecha_fs]],"Mmmm"),0)</f>
        <v>Setiembre</v>
      </c>
      <c r="AT1271" s="22" t="str">
        <f>DATA[[#This Row],[SERIE2]]&amp;"-"&amp;DATA[[#This Row],[NUMERO]]</f>
        <v>-</v>
      </c>
      <c r="AU1271" s="28">
        <f>DATA[[#This Row],[TOTAL]]*DATA[[#This Row],[T.C.]]</f>
        <v>3390.59</v>
      </c>
      <c r="AV1271" s="6">
        <f>DATA[[#This Row],[FECHA DE VAL.]]</f>
        <v>45951</v>
      </c>
      <c r="AW1271" s="6">
        <f>DATA[[#This Row],[FECHA DE EMISION]]</f>
        <v>0</v>
      </c>
      <c r="AX1271" s="6">
        <f>DATA[[#This Row],[F1]]</f>
        <v>0</v>
      </c>
      <c r="AY1271" s="20">
        <f>IF(AV1271-DATA[[#This Row],[fecha_fs]]&lt;0,0,AV1271-DATA[[#This Row],[fecha_fs]])</f>
        <v>21</v>
      </c>
      <c r="AZ1271" s="20">
        <f t="shared" si="301"/>
        <v>0</v>
      </c>
      <c r="BA1271" s="53">
        <f t="shared" si="302"/>
        <v>0</v>
      </c>
      <c r="BB1271" s="360">
        <f>IFERROR(SUM(DATA[[#This Row],[fs_val_ttf]:[fact_pago_ttf]]),0)</f>
        <v>21</v>
      </c>
      <c r="BC1271" s="377">
        <v>45933</v>
      </c>
      <c r="BD1271" s="377">
        <v>45939</v>
      </c>
      <c r="BE1271" s="377">
        <v>45943</v>
      </c>
      <c r="BF1271" s="377">
        <v>45947</v>
      </c>
      <c r="BG1271" s="20">
        <f>IFERROR(IF(BC1271-DATA[[#This Row],[fecha_fs]]&lt;0,0,BC1271-DATA[[#This Row],[fecha_fs]]),0)</f>
        <v>3</v>
      </c>
      <c r="BH1271" s="20">
        <f t="shared" si="303"/>
        <v>6</v>
      </c>
      <c r="BI1271" s="20">
        <f t="shared" si="304"/>
        <v>4</v>
      </c>
      <c r="BJ1271" s="367">
        <f t="shared" si="305"/>
        <v>4</v>
      </c>
      <c r="BK1271" s="362">
        <f>IFERROR(SUM(DATA[[#This Row],[fs_fd_ttd]:[fend_fenf_ttd]]),0)</f>
        <v>17</v>
      </c>
      <c r="BL1271" s="20" t="str">
        <f>IF(DATA[[#This Row],[fecha_fs]]&gt;0,TEXT(DATA[[#This Row],[fecha_fs]],"YYYY"),0)</f>
        <v>2025</v>
      </c>
      <c r="BM1271" s="363" t="b">
        <v>1</v>
      </c>
      <c r="BN1271" s="278">
        <f>COUNTIF(DATA[[#This Row],[tiempo_td]], "&lt;=15")</f>
        <v>0</v>
      </c>
      <c r="BO1271" s="365"/>
    </row>
    <row r="1272" spans="1:67" ht="30.6" customHeight="1" x14ac:dyDescent="0.25">
      <c r="A1272" s="4">
        <v>20456012427</v>
      </c>
      <c r="B1272" s="5" t="s">
        <v>54</v>
      </c>
      <c r="C1272" s="52" t="s">
        <v>177</v>
      </c>
      <c r="D1272" s="4" t="s">
        <v>112</v>
      </c>
      <c r="E1272" s="5" t="s">
        <v>1</v>
      </c>
      <c r="F1272" s="24">
        <v>45926</v>
      </c>
      <c r="G1272" s="7" t="s">
        <v>113</v>
      </c>
      <c r="H1272" s="25">
        <f t="shared" si="300"/>
        <v>1</v>
      </c>
      <c r="I1272" s="331">
        <v>5063</v>
      </c>
      <c r="J1272" s="8" t="s">
        <v>115</v>
      </c>
      <c r="K1272" s="9" t="s">
        <v>116</v>
      </c>
      <c r="L1272" s="10" t="s">
        <v>117</v>
      </c>
      <c r="M1272" s="11">
        <v>200</v>
      </c>
      <c r="N1272" s="12" t="s">
        <v>114</v>
      </c>
      <c r="O1272" s="6">
        <v>45930</v>
      </c>
      <c r="P1272" s="13">
        <v>3710</v>
      </c>
      <c r="Q1272" s="14" t="s">
        <v>85</v>
      </c>
      <c r="R1272" s="56">
        <f>DATA[[#This Row],[cantidad_fs]]*1</f>
        <v>200</v>
      </c>
      <c r="S1272" s="56">
        <v>270</v>
      </c>
      <c r="T1272" s="321">
        <f>DATA[[#This Row],[C. DF]]+DATA[[#This Row],[C.OPE.]]</f>
        <v>470</v>
      </c>
      <c r="U1272" s="15">
        <f>DATA[[#This Row],[SUB TOTAL]]*0.18</f>
        <v>84.6</v>
      </c>
      <c r="V1272" s="15">
        <f>IFERROR(ROUND(DATA[[#This Row],[SUB TOTAL]]+DATA[[#This Row],[IGV]],2),0)</f>
        <v>554.6</v>
      </c>
      <c r="W1272" s="339" t="str">
        <f>IF(DATA[[#This Row],[VALORIZACIÓN ]]="-","NO CORRESPONDE",IF(OR(A1272=20558226979,A1272=10470707866,A1272=20111157058,A1272=20100226902),"NO CORRESPONDE",IF(J1272="Emitida",IF(P1272&gt;0,"EMITIDA","PENDIENTE"),"NO CORRESPONDE")))</f>
        <v>EMITIDA</v>
      </c>
      <c r="X1272" s="29"/>
      <c r="Y1272" s="17" t="s">
        <v>118</v>
      </c>
      <c r="Z1272" s="30">
        <v>45940</v>
      </c>
      <c r="AA1272" s="10" t="s">
        <v>150</v>
      </c>
      <c r="AB1272" s="19">
        <v>288</v>
      </c>
      <c r="AC1272" s="20">
        <v>15</v>
      </c>
      <c r="AD1272" s="18">
        <f>DATA[[#This Row],[FECHA DE EMISION]]+DATA[[#This Row],[CONDICION DE PAGO]]</f>
        <v>45955</v>
      </c>
      <c r="AE1272" s="23">
        <f>IF(DATA[[#This Row],[MONEDA]]="USD",VLOOKUP(DATA[[#This Row],[COMBINADA]],#REF!,11,0),1)</f>
        <v>1</v>
      </c>
      <c r="AF1272" s="348" t="str">
        <f>IF(DATA[[#This Row],[SERIE2]]="-","NO CORRESPONDE",IF(W1272="NO CORRESPONDE","NO CORRESPONDE",IF(Z1272&gt;0,"FACTURADO","PENDIENTE")))</f>
        <v>FACTURADO</v>
      </c>
      <c r="AG1272" s="133">
        <f>IFERROR(VLOOKUP(DATA[[#This Row],[COMBINADA]],#REF!,6,0),0)</f>
        <v>0</v>
      </c>
      <c r="AH1272" s="125">
        <f>IFERROR(VLOOKUP(DATA[[#This Row],[COMBINADA]],#REF!,9,0),0)/COUNTIFS(DATA[COMBINADA],DATA[[#This Row],[COMBINADA]])</f>
        <v>0</v>
      </c>
      <c r="AI1272" s="136">
        <f>IFERROR(VLOOKUP(DATA[[#This Row],[COMBINADA]],#REF!,6,0),0)</f>
        <v>0</v>
      </c>
      <c r="AJ1272" s="132">
        <f>IFERROR(VLOOKUP(DATA[[#This Row],[COMBINADA]],#REF!,9,0),0)/COUNTIFS(DATA[COMBINADA],DATA[[#This Row],[COMBINADA]])</f>
        <v>0</v>
      </c>
      <c r="AK1272" s="407">
        <f>IFERROR(VLOOKUP(DATA[[#This Row],[COMBINADA]],#REF!,6,0),0)</f>
        <v>0</v>
      </c>
      <c r="AL1272" s="125">
        <f>IFERROR(VLOOKUP(DATA[[#This Row],[COMBINADA]],#REF!,9,0),0)/COUNTIFS(DATA[COMBINADA],DATA[[#This Row],[COMBINADA]])</f>
        <v>0</v>
      </c>
      <c r="AM1272" s="27">
        <f>IFERROR(VLOOKUP(DATA[[#This Row],[COMBINADA]],#REF!,6,0),0)</f>
        <v>0</v>
      </c>
      <c r="AN1272" s="125">
        <f>IFERROR(VLOOKUP(DATA[[#This Row],[COMBINADA]],#REF!,9,0),0)/COUNTIFS(DATA[COMBINADA],DATA[[#This Row],[COMBINADA]])</f>
        <v>0</v>
      </c>
      <c r="AO1272" s="27">
        <f>IFERROR(VLOOKUP(DATA[[#This Row],[COMBINADA]],#REF!,6,0),0)</f>
        <v>0</v>
      </c>
      <c r="AP1272" s="132">
        <f>IFERROR(VLOOKUP(DATA[[#This Row],[COMBINADA]],#REF!,9,0),0)/COUNTIFS(DATA[COMBINADA],DATA[[#This Row],[COMBINADA]])</f>
        <v>0</v>
      </c>
      <c r="AQ127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466.1</v>
      </c>
      <c r="AR1272" s="26" t="str">
        <f>IFERROR(IF(DATA[[#This Row],[estado_fact]]="FACTURADO",VLOOKUP(DATA[[#This Row],[SERIE2]]&amp;"-"&amp;DATA[[#This Row],[NUMERO]],#REF!,34,0),"NO CORRESPONDE"),"NO CORRESPONDE")</f>
        <v>NO CORRESPONDE</v>
      </c>
      <c r="AS1272" s="22" t="str">
        <f>IF(DATA[[#This Row],[fecha_fs]]&gt;0,TEXT(DATA[[#This Row],[fecha_fs]],"Mmmm"),0)</f>
        <v>Setiembre</v>
      </c>
      <c r="AT1272" s="22" t="str">
        <f>DATA[[#This Row],[SERIE2]]&amp;"-"&amp;DATA[[#This Row],[NUMERO]]</f>
        <v>FF01-288</v>
      </c>
      <c r="AU1272" s="28">
        <f>DATA[[#This Row],[TOTAL]]*DATA[[#This Row],[T.C.]]</f>
        <v>554.6</v>
      </c>
      <c r="AV1272" s="6">
        <f>DATA[[#This Row],[FECHA DE VAL.]]</f>
        <v>45930</v>
      </c>
      <c r="AW1272" s="6">
        <f>DATA[[#This Row],[FECHA DE EMISION]]</f>
        <v>45940</v>
      </c>
      <c r="AX1272" s="6">
        <f>DATA[[#This Row],[F1]]</f>
        <v>0</v>
      </c>
      <c r="AY1272" s="20">
        <f>IF(AV1272-DATA[[#This Row],[fecha_fs]]&lt;0,0,AV1272-DATA[[#This Row],[fecha_fs]])</f>
        <v>4</v>
      </c>
      <c r="AZ1272" s="20">
        <f t="shared" si="301"/>
        <v>10</v>
      </c>
      <c r="BA1272" s="53">
        <f t="shared" si="302"/>
        <v>0</v>
      </c>
      <c r="BB1272" s="360">
        <f>IFERROR(SUM(DATA[[#This Row],[fs_val_ttf]:[fact_pago_ttf]]),0)</f>
        <v>14</v>
      </c>
      <c r="BC1272" s="377">
        <v>45933</v>
      </c>
      <c r="BD1272" s="377">
        <v>45939</v>
      </c>
      <c r="BE1272" s="377">
        <v>45939</v>
      </c>
      <c r="BF1272" s="361" t="s">
        <v>270</v>
      </c>
      <c r="BG1272" s="20">
        <f>IFERROR(IF(BC1272-DATA[[#This Row],[fecha_fs]]&lt;0,0,BC1272-DATA[[#This Row],[fecha_fs]]),0)</f>
        <v>7</v>
      </c>
      <c r="BH1272" s="20">
        <f t="shared" si="303"/>
        <v>6</v>
      </c>
      <c r="BI1272" s="20">
        <f t="shared" si="304"/>
        <v>0</v>
      </c>
      <c r="BJ1272" s="367">
        <f t="shared" si="305"/>
        <v>0</v>
      </c>
      <c r="BK1272" s="362">
        <f>IFERROR(SUM(DATA[[#This Row],[fs_fd_ttd]:[fend_fenf_ttd]]),0)</f>
        <v>13</v>
      </c>
      <c r="BL1272" s="20" t="str">
        <f>IF(DATA[[#This Row],[fecha_fs]]&gt;0,TEXT(DATA[[#This Row],[fecha_fs]],"YYYY"),0)</f>
        <v>2025</v>
      </c>
      <c r="BM1272" s="363" t="b">
        <v>0</v>
      </c>
      <c r="BN1272" s="278">
        <f>COUNTIF(DATA[[#This Row],[tiempo_td]], "&lt;=15")</f>
        <v>1</v>
      </c>
      <c r="BO1272" s="365"/>
    </row>
    <row r="1273" spans="1:67" ht="30.6" customHeight="1" x14ac:dyDescent="0.25">
      <c r="A1273" s="4">
        <v>20456012427</v>
      </c>
      <c r="B1273" s="5" t="s">
        <v>54</v>
      </c>
      <c r="C1273" s="52" t="s">
        <v>236</v>
      </c>
      <c r="D1273" s="4" t="s">
        <v>112</v>
      </c>
      <c r="E1273" s="5" t="s">
        <v>1</v>
      </c>
      <c r="F1273" s="24">
        <v>45926</v>
      </c>
      <c r="G1273" s="7" t="s">
        <v>113</v>
      </c>
      <c r="H1273" s="25">
        <f t="shared" si="300"/>
        <v>1</v>
      </c>
      <c r="I1273" s="331">
        <v>5064</v>
      </c>
      <c r="J1273" s="8" t="s">
        <v>115</v>
      </c>
      <c r="K1273" s="9" t="s">
        <v>116</v>
      </c>
      <c r="L1273" s="10" t="s">
        <v>117</v>
      </c>
      <c r="M1273" s="11">
        <v>50</v>
      </c>
      <c r="N1273" s="12" t="s">
        <v>114</v>
      </c>
      <c r="O1273" s="6">
        <v>45930</v>
      </c>
      <c r="P1273" s="13">
        <v>3710</v>
      </c>
      <c r="Q1273" s="14" t="s">
        <v>85</v>
      </c>
      <c r="R1273" s="56">
        <f>DATA[[#This Row],[cantidad_fs]]*1</f>
        <v>50</v>
      </c>
      <c r="S1273" s="56">
        <v>270</v>
      </c>
      <c r="T1273" s="321">
        <f>DATA[[#This Row],[C. DF]]+DATA[[#This Row],[C.OPE.]]</f>
        <v>320</v>
      </c>
      <c r="U1273" s="15">
        <f>DATA[[#This Row],[SUB TOTAL]]*0.18</f>
        <v>57.599999999999994</v>
      </c>
      <c r="V1273" s="15">
        <f>IFERROR(ROUND(DATA[[#This Row],[SUB TOTAL]]+DATA[[#This Row],[IGV]],2),0)</f>
        <v>377.6</v>
      </c>
      <c r="W1273" s="339" t="str">
        <f>IF(DATA[[#This Row],[VALORIZACIÓN ]]="-","NO CORRESPONDE",IF(OR(A1273=20558226979,A1273=10470707866,A1273=20111157058,A1273=20100226902),"NO CORRESPONDE",IF(J1273="Emitida",IF(P1273&gt;0,"EMITIDA","PENDIENTE"),"NO CORRESPONDE")))</f>
        <v>EMITIDA</v>
      </c>
      <c r="X1273" s="29"/>
      <c r="Y1273" s="17" t="s">
        <v>118</v>
      </c>
      <c r="Z1273" s="30">
        <v>45940</v>
      </c>
      <c r="AA1273" s="10" t="s">
        <v>150</v>
      </c>
      <c r="AB1273" s="19">
        <v>288</v>
      </c>
      <c r="AC1273" s="20">
        <v>15</v>
      </c>
      <c r="AD1273" s="18">
        <f>DATA[[#This Row],[FECHA DE EMISION]]+DATA[[#This Row],[CONDICION DE PAGO]]</f>
        <v>45955</v>
      </c>
      <c r="AE1273" s="23">
        <f>IF(DATA[[#This Row],[MONEDA]]="USD",VLOOKUP(DATA[[#This Row],[COMBINADA]],#REF!,11,0),1)</f>
        <v>1</v>
      </c>
      <c r="AF1273" s="348" t="str">
        <f>IF(DATA[[#This Row],[SERIE2]]="-","NO CORRESPONDE",IF(W1273="NO CORRESPONDE","NO CORRESPONDE",IF(Z1273&gt;0,"FACTURADO","PENDIENTE")))</f>
        <v>FACTURADO</v>
      </c>
      <c r="AG1273" s="133">
        <f>IFERROR(VLOOKUP(DATA[[#This Row],[COMBINADA]],#REF!,6,0),0)</f>
        <v>0</v>
      </c>
      <c r="AH1273" s="125">
        <f>IFERROR(VLOOKUP(DATA[[#This Row],[COMBINADA]],#REF!,9,0),0)/COUNTIFS(DATA[COMBINADA],DATA[[#This Row],[COMBINADA]])</f>
        <v>0</v>
      </c>
      <c r="AI1273" s="136">
        <f>IFERROR(VLOOKUP(DATA[[#This Row],[COMBINADA]],#REF!,6,0),0)</f>
        <v>0</v>
      </c>
      <c r="AJ1273" s="132">
        <f>IFERROR(VLOOKUP(DATA[[#This Row],[COMBINADA]],#REF!,9,0),0)/COUNTIFS(DATA[COMBINADA],DATA[[#This Row],[COMBINADA]])</f>
        <v>0</v>
      </c>
      <c r="AK1273" s="407">
        <f>IFERROR(VLOOKUP(DATA[[#This Row],[COMBINADA]],#REF!,6,0),0)</f>
        <v>0</v>
      </c>
      <c r="AL1273" s="125">
        <f>IFERROR(VLOOKUP(DATA[[#This Row],[COMBINADA]],#REF!,9,0),0)/COUNTIFS(DATA[COMBINADA],DATA[[#This Row],[COMBINADA]])</f>
        <v>0</v>
      </c>
      <c r="AM1273" s="27">
        <f>IFERROR(VLOOKUP(DATA[[#This Row],[COMBINADA]],#REF!,6,0),0)</f>
        <v>0</v>
      </c>
      <c r="AN1273" s="125">
        <f>IFERROR(VLOOKUP(DATA[[#This Row],[COMBINADA]],#REF!,9,0),0)/COUNTIFS(DATA[COMBINADA],DATA[[#This Row],[COMBINADA]])</f>
        <v>0</v>
      </c>
      <c r="AO1273" s="27">
        <f>IFERROR(VLOOKUP(DATA[[#This Row],[COMBINADA]],#REF!,6,0),0)</f>
        <v>0</v>
      </c>
      <c r="AP1273" s="132">
        <f>IFERROR(VLOOKUP(DATA[[#This Row],[COMBINADA]],#REF!,9,0),0)/COUNTIFS(DATA[COMBINADA],DATA[[#This Row],[COMBINADA]])</f>
        <v>0</v>
      </c>
      <c r="AQ127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466.1</v>
      </c>
      <c r="AR1273" s="26" t="str">
        <f>IFERROR(IF(DATA[[#This Row],[estado_fact]]="FACTURADO",VLOOKUP(DATA[[#This Row],[SERIE2]]&amp;"-"&amp;DATA[[#This Row],[NUMERO]],#REF!,34,0),"NO CORRESPONDE"),"NO CORRESPONDE")</f>
        <v>NO CORRESPONDE</v>
      </c>
      <c r="AS1273" s="22" t="str">
        <f>IF(DATA[[#This Row],[fecha_fs]]&gt;0,TEXT(DATA[[#This Row],[fecha_fs]],"Mmmm"),0)</f>
        <v>Setiembre</v>
      </c>
      <c r="AT1273" s="22" t="str">
        <f>DATA[[#This Row],[SERIE2]]&amp;"-"&amp;DATA[[#This Row],[NUMERO]]</f>
        <v>FF01-288</v>
      </c>
      <c r="AU1273" s="28">
        <f>DATA[[#This Row],[TOTAL]]*DATA[[#This Row],[T.C.]]</f>
        <v>377.6</v>
      </c>
      <c r="AV1273" s="6">
        <f>DATA[[#This Row],[FECHA DE VAL.]]</f>
        <v>45930</v>
      </c>
      <c r="AW1273" s="6">
        <f>DATA[[#This Row],[FECHA DE EMISION]]</f>
        <v>45940</v>
      </c>
      <c r="AX1273" s="6">
        <f>DATA[[#This Row],[F1]]</f>
        <v>0</v>
      </c>
      <c r="AY1273" s="20">
        <f>IF(AV1273-DATA[[#This Row],[fecha_fs]]&lt;0,0,AV1273-DATA[[#This Row],[fecha_fs]])</f>
        <v>4</v>
      </c>
      <c r="AZ1273" s="20">
        <f t="shared" si="301"/>
        <v>10</v>
      </c>
      <c r="BA1273" s="53">
        <f t="shared" si="302"/>
        <v>0</v>
      </c>
      <c r="BB1273" s="360">
        <f>IFERROR(SUM(DATA[[#This Row],[fs_val_ttf]:[fact_pago_ttf]]),0)</f>
        <v>14</v>
      </c>
      <c r="BC1273" s="377">
        <v>45933</v>
      </c>
      <c r="BD1273" s="377">
        <v>45939</v>
      </c>
      <c r="BE1273" s="377">
        <v>45939</v>
      </c>
      <c r="BF1273" s="361" t="s">
        <v>270</v>
      </c>
      <c r="BG1273" s="20">
        <f>IFERROR(IF(BC1273-DATA[[#This Row],[fecha_fs]]&lt;0,0,BC1273-DATA[[#This Row],[fecha_fs]]),0)</f>
        <v>7</v>
      </c>
      <c r="BH1273" s="20">
        <f t="shared" si="303"/>
        <v>6</v>
      </c>
      <c r="BI1273" s="20">
        <f t="shared" si="304"/>
        <v>0</v>
      </c>
      <c r="BJ1273" s="367">
        <f t="shared" si="305"/>
        <v>0</v>
      </c>
      <c r="BK1273" s="362">
        <f>IFERROR(SUM(DATA[[#This Row],[fs_fd_ttd]:[fend_fenf_ttd]]),0)</f>
        <v>13</v>
      </c>
      <c r="BL1273" s="20" t="str">
        <f>IF(DATA[[#This Row],[fecha_fs]]&gt;0,TEXT(DATA[[#This Row],[fecha_fs]],"YYYY"),0)</f>
        <v>2025</v>
      </c>
      <c r="BM1273" s="363" t="b">
        <v>0</v>
      </c>
      <c r="BN1273" s="278">
        <f>COUNTIF(DATA[[#This Row],[tiempo_td]], "&lt;=15")</f>
        <v>1</v>
      </c>
      <c r="BO1273" s="365"/>
    </row>
    <row r="1274" spans="1:67" ht="30.6" customHeight="1" x14ac:dyDescent="0.25">
      <c r="A1274" s="4">
        <v>20100211115</v>
      </c>
      <c r="B1274" s="5" t="s">
        <v>41</v>
      </c>
      <c r="C1274" s="52" t="s">
        <v>18</v>
      </c>
      <c r="D1274" s="4" t="s">
        <v>120</v>
      </c>
      <c r="E1274" s="5" t="s">
        <v>3</v>
      </c>
      <c r="F1274" s="24">
        <v>45931</v>
      </c>
      <c r="G1274" s="7" t="s">
        <v>113</v>
      </c>
      <c r="H1274" s="25">
        <f t="shared" si="300"/>
        <v>1</v>
      </c>
      <c r="I1274" s="331">
        <v>5065</v>
      </c>
      <c r="J1274" s="8" t="s">
        <v>115</v>
      </c>
      <c r="K1274" s="9" t="s">
        <v>121</v>
      </c>
      <c r="L1274" s="10" t="s">
        <v>117</v>
      </c>
      <c r="M1274" s="11">
        <v>90</v>
      </c>
      <c r="N1274" s="12" t="s">
        <v>132</v>
      </c>
      <c r="O1274" s="6">
        <v>45957</v>
      </c>
      <c r="P1274" s="115">
        <v>3742</v>
      </c>
      <c r="Q1274" s="14" t="s">
        <v>85</v>
      </c>
      <c r="R1274" s="74"/>
      <c r="S1274" s="321">
        <f>(DATA[[#This Row],[cantidad_fs]]*4.17)</f>
        <v>375.3</v>
      </c>
      <c r="T1274" s="321">
        <f>DATA[[#This Row],[C. DF]]+DATA[[#This Row],[C.OPE.]]</f>
        <v>375.3</v>
      </c>
      <c r="U1274" s="15">
        <f>DATA[[#This Row],[SUB TOTAL]]*0.18</f>
        <v>67.554000000000002</v>
      </c>
      <c r="V1274" s="15">
        <f>IFERROR(ROUND(DATA[[#This Row],[SUB TOTAL]]+DATA[[#This Row],[IGV]],2),0)</f>
        <v>442.85</v>
      </c>
      <c r="W1274" s="339" t="str">
        <f>IF(DATA[[#This Row],[VALORIZACIÓN ]]="-","NO CORRESPONDE",IF(OR(A1274=20558226979,A1274=10470707866,A1274=20111157058,A1274=20100226902),"NO CORRESPONDE",IF(J1274="Emitida",IF(P1274&gt;0,"EMITIDA","PENDIENTE"),"NO CORRESPONDE")))</f>
        <v>EMITIDA</v>
      </c>
      <c r="X1274" s="29"/>
      <c r="Y1274" s="17" t="s">
        <v>118</v>
      </c>
      <c r="Z1274" s="30">
        <v>45958</v>
      </c>
      <c r="AA1274" s="10" t="s">
        <v>150</v>
      </c>
      <c r="AB1274" s="19">
        <v>309</v>
      </c>
      <c r="AC1274" s="20">
        <v>30</v>
      </c>
      <c r="AD1274" s="18">
        <f>DATA[[#This Row],[FECHA DE EMISION]]+DATA[[#This Row],[CONDICION DE PAGO]]</f>
        <v>45988</v>
      </c>
      <c r="AE1274" s="23">
        <f>IF(DATA[[#This Row],[MONEDA]]="USD",VLOOKUP(DATA[[#This Row],[COMBINADA]],#REF!,11,0),1)</f>
        <v>1</v>
      </c>
      <c r="AF1274" s="348" t="str">
        <f>IF(DATA[[#This Row],[SERIE2]]="-","NO CORRESPONDE",IF(W1274="NO CORRESPONDE","NO CORRESPONDE",IF(Z1274&gt;0,"FACTURADO","PENDIENTE")))</f>
        <v>FACTURADO</v>
      </c>
      <c r="AG1274" s="133">
        <f>IFERROR(VLOOKUP(DATA[[#This Row],[COMBINADA]],#REF!,6,0),0)</f>
        <v>0</v>
      </c>
      <c r="AH1274" s="125">
        <f>IFERROR(VLOOKUP(DATA[[#This Row],[COMBINADA]],#REF!,9,0),0)/COUNTIFS(DATA[COMBINADA],DATA[[#This Row],[COMBINADA]])</f>
        <v>0</v>
      </c>
      <c r="AI1274" s="136">
        <f>IFERROR(VLOOKUP(DATA[[#This Row],[COMBINADA]],#REF!,6,0),0)</f>
        <v>0</v>
      </c>
      <c r="AJ1274" s="132">
        <f>IFERROR(VLOOKUP(DATA[[#This Row],[COMBINADA]],#REF!,9,0),0)/COUNTIFS(DATA[COMBINADA],DATA[[#This Row],[COMBINADA]])</f>
        <v>0</v>
      </c>
      <c r="AK1274" s="407">
        <f>IFERROR(VLOOKUP(DATA[[#This Row],[COMBINADA]],#REF!,6,0),0)</f>
        <v>0</v>
      </c>
      <c r="AL1274" s="125">
        <f>IFERROR(VLOOKUP(DATA[[#This Row],[COMBINADA]],#REF!,9,0),0)/COUNTIFS(DATA[COMBINADA],DATA[[#This Row],[COMBINADA]])</f>
        <v>0</v>
      </c>
      <c r="AM1274" s="27">
        <f>IFERROR(VLOOKUP(DATA[[#This Row],[COMBINADA]],#REF!,6,0),0)</f>
        <v>0</v>
      </c>
      <c r="AN1274" s="125">
        <f>IFERROR(VLOOKUP(DATA[[#This Row],[COMBINADA]],#REF!,9,0),0)/COUNTIFS(DATA[COMBINADA],DATA[[#This Row],[COMBINADA]])</f>
        <v>0</v>
      </c>
      <c r="AO1274" s="27">
        <f>IFERROR(VLOOKUP(DATA[[#This Row],[COMBINADA]],#REF!,6,0),0)</f>
        <v>0</v>
      </c>
      <c r="AP1274" s="132">
        <f>IFERROR(VLOOKUP(DATA[[#This Row],[COMBINADA]],#REF!,9,0),0)/COUNTIFS(DATA[COMBINADA],DATA[[#This Row],[COMBINADA]])</f>
        <v>0</v>
      </c>
      <c r="AQ127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274" s="26" t="str">
        <f>IFERROR(IF(DATA[[#This Row],[estado_fact]]="FACTURADO",VLOOKUP(DATA[[#This Row],[SERIE2]]&amp;"-"&amp;DATA[[#This Row],[NUMERO]],#REF!,34,0),"NO CORRESPONDE"),"NO CORRESPONDE")</f>
        <v>NO CORRESPONDE</v>
      </c>
      <c r="AS1274" s="22" t="str">
        <f>IF(DATA[[#This Row],[fecha_fs]]&gt;0,TEXT(DATA[[#This Row],[fecha_fs]],"Mmmm"),0)</f>
        <v>Octubre</v>
      </c>
      <c r="AT1274" s="22" t="str">
        <f>DATA[[#This Row],[SERIE2]]&amp;"-"&amp;DATA[[#This Row],[NUMERO]]</f>
        <v>FF01-309</v>
      </c>
      <c r="AU1274" s="28">
        <f>DATA[[#This Row],[TOTAL]]*DATA[[#This Row],[T.C.]]</f>
        <v>442.85</v>
      </c>
      <c r="AV1274" s="6">
        <f>DATA[[#This Row],[FECHA DE VAL.]]</f>
        <v>45957</v>
      </c>
      <c r="AW1274" s="6">
        <f>DATA[[#This Row],[FECHA DE EMISION]]</f>
        <v>45958</v>
      </c>
      <c r="AX1274" s="6">
        <f>DATA[[#This Row],[F1]]</f>
        <v>0</v>
      </c>
      <c r="AY1274" s="20">
        <f>IF(AV1274-DATA[[#This Row],[fecha_fs]]&lt;0,0,AV1274-DATA[[#This Row],[fecha_fs]])</f>
        <v>26</v>
      </c>
      <c r="AZ1274" s="20">
        <f t="shared" si="301"/>
        <v>1</v>
      </c>
      <c r="BA1274" s="53">
        <f t="shared" si="302"/>
        <v>0</v>
      </c>
      <c r="BB1274" s="360">
        <f>IFERROR(SUM(DATA[[#This Row],[fs_val_ttf]:[fact_pago_ttf]]),0)</f>
        <v>27</v>
      </c>
      <c r="BC1274" s="233">
        <v>45957</v>
      </c>
      <c r="BD1274" s="233">
        <v>45964</v>
      </c>
      <c r="BE1274" s="233">
        <v>45967</v>
      </c>
      <c r="BF1274" s="233">
        <v>45967</v>
      </c>
      <c r="BG1274" s="20">
        <f>IFERROR(IF(BC1274-DATA[[#This Row],[fecha_fs]]&lt;0,0,BC1274-DATA[[#This Row],[fecha_fs]]),0)</f>
        <v>26</v>
      </c>
      <c r="BH1274" s="20">
        <f t="shared" si="303"/>
        <v>7</v>
      </c>
      <c r="BI1274" s="20">
        <f t="shared" si="304"/>
        <v>3</v>
      </c>
      <c r="BJ1274" s="367">
        <f t="shared" si="305"/>
        <v>0</v>
      </c>
      <c r="BK1274" s="362">
        <f>IFERROR(SUM(DATA[[#This Row],[fs_fd_ttd]:[fend_fenf_ttd]]),0)</f>
        <v>36</v>
      </c>
      <c r="BL1274" s="20" t="str">
        <f>IF(DATA[[#This Row],[fecha_fs]]&gt;0,TEXT(DATA[[#This Row],[fecha_fs]],"YYYY"),0)</f>
        <v>2025</v>
      </c>
      <c r="BM1274" s="363" t="b">
        <v>1</v>
      </c>
      <c r="BN1274" s="278">
        <f>COUNTIF(DATA[[#This Row],[tiempo_td]], "&lt;=15")</f>
        <v>0</v>
      </c>
      <c r="BO1274" s="365"/>
    </row>
    <row r="1275" spans="1:67" ht="30.6" customHeight="1" x14ac:dyDescent="0.25">
      <c r="A1275" s="4">
        <v>20558226979</v>
      </c>
      <c r="B1275" s="5" t="s">
        <v>45</v>
      </c>
      <c r="C1275" s="52" t="s">
        <v>18</v>
      </c>
      <c r="D1275" s="4" t="s">
        <v>120</v>
      </c>
      <c r="E1275" s="5" t="s">
        <v>3</v>
      </c>
      <c r="F1275" s="24">
        <v>45931</v>
      </c>
      <c r="G1275" s="7" t="s">
        <v>113</v>
      </c>
      <c r="H1275" s="25">
        <f t="shared" ref="H1275:H1284" si="306">IF(G1275="","",IF(G1275="LIM",2,1))</f>
        <v>1</v>
      </c>
      <c r="I1275" s="331">
        <v>5066</v>
      </c>
      <c r="J1275" s="8" t="s">
        <v>115</v>
      </c>
      <c r="K1275" s="9" t="s">
        <v>121</v>
      </c>
      <c r="L1275" s="10" t="s">
        <v>117</v>
      </c>
      <c r="M1275" s="11">
        <v>3540</v>
      </c>
      <c r="N1275" s="12" t="s">
        <v>122</v>
      </c>
      <c r="O1275" s="359"/>
      <c r="P1275" s="371" t="s">
        <v>114</v>
      </c>
      <c r="Q1275" s="372"/>
      <c r="R1275" s="373"/>
      <c r="S1275" s="373"/>
      <c r="T1275" s="373">
        <f>DATA[[#This Row],[C. DF]]+DATA[[#This Row],[C.OPE.]]</f>
        <v>0</v>
      </c>
      <c r="U1275" s="373">
        <f>DATA[[#This Row],[SUB TOTAL]]*0.18</f>
        <v>0</v>
      </c>
      <c r="V1275" s="373">
        <f>IFERROR(ROUND(DATA[[#This Row],[SUB TOTAL]]+DATA[[#This Row],[IGV]],2),0)</f>
        <v>0</v>
      </c>
      <c r="W1275" s="16" t="str">
        <f>IF(DATA[[#This Row],[VALORIZACIÓN ]]="-","NO CORRESPONDE",IF(OR(A1275=20558226979,A1275=10470707866,A1275=20111157058,A1275=20100226902),"NO CORRESPONDE",IF(J1275="Emitida",IF(P1275&gt;0,"EMITIDA","PENDIENTE"),"NO CORRESPONDE")))</f>
        <v>NO CORRESPONDE</v>
      </c>
      <c r="X1275" s="374"/>
      <c r="Y1275" s="17" t="s">
        <v>128</v>
      </c>
      <c r="Z1275" s="340"/>
      <c r="AA1275" s="361"/>
      <c r="AB1275" s="342"/>
      <c r="AC1275" s="343"/>
      <c r="AD1275" s="344">
        <f>DATA[[#This Row],[FECHA DE EMISION]]+DATA[[#This Row],[CONDICION DE PAGO]]</f>
        <v>0</v>
      </c>
      <c r="AE1275" s="23">
        <f>IF(DATA[[#This Row],[MONEDA]]="USD",VLOOKUP(DATA[[#This Row],[COMBINADA]],#REF!,11,0),1)</f>
        <v>1</v>
      </c>
      <c r="AF1275" s="129" t="str">
        <f>IF(DATA[[#This Row],[SERIE2]]="-","NO CORRESPONDE",IF(W1275="NO CORRESPONDE","NO CORRESPONDE",IF(Z1275&gt;0,"FACTURADO","PENDIENTE")))</f>
        <v>NO CORRESPONDE</v>
      </c>
      <c r="AG1275" s="133">
        <f>IFERROR(VLOOKUP(DATA[[#This Row],[COMBINADA]],#REF!,6,0),0)</f>
        <v>0</v>
      </c>
      <c r="AH1275" s="125">
        <f>IFERROR(VLOOKUP(DATA[[#This Row],[COMBINADA]],#REF!,9,0),0)/COUNTIFS(DATA[COMBINADA],DATA[[#This Row],[COMBINADA]])</f>
        <v>0</v>
      </c>
      <c r="AI1275" s="136">
        <f>IFERROR(VLOOKUP(DATA[[#This Row],[COMBINADA]],#REF!,6,0),0)</f>
        <v>0</v>
      </c>
      <c r="AJ1275" s="132">
        <f>IFERROR(VLOOKUP(DATA[[#This Row],[COMBINADA]],#REF!,9,0),0)/COUNTIFS(DATA[COMBINADA],DATA[[#This Row],[COMBINADA]])</f>
        <v>0</v>
      </c>
      <c r="AK1275" s="407">
        <f>IFERROR(VLOOKUP(DATA[[#This Row],[COMBINADA]],#REF!,6,0),0)</f>
        <v>0</v>
      </c>
      <c r="AL1275" s="125">
        <f>IFERROR(VLOOKUP(DATA[[#This Row],[COMBINADA]],#REF!,9,0),0)/COUNTIFS(DATA[COMBINADA],DATA[[#This Row],[COMBINADA]])</f>
        <v>0</v>
      </c>
      <c r="AM1275" s="27">
        <f>IFERROR(VLOOKUP(DATA[[#This Row],[COMBINADA]],#REF!,6,0),0)</f>
        <v>0</v>
      </c>
      <c r="AN1275" s="125">
        <f>IFERROR(VLOOKUP(DATA[[#This Row],[COMBINADA]],#REF!,9,0),0)/COUNTIFS(DATA[COMBINADA],DATA[[#This Row],[COMBINADA]])</f>
        <v>0</v>
      </c>
      <c r="AO1275" s="27">
        <f>IFERROR(VLOOKUP(DATA[[#This Row],[COMBINADA]],#REF!,6,0),0)</f>
        <v>0</v>
      </c>
      <c r="AP1275" s="132">
        <f>IFERROR(VLOOKUP(DATA[[#This Row],[COMBINADA]],#REF!,9,0),0)/COUNTIFS(DATA[COMBINADA],DATA[[#This Row],[COMBINADA]])</f>
        <v>0</v>
      </c>
      <c r="AQ127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275" s="26" t="str">
        <f>IFERROR(IF(DATA[[#This Row],[estado_fact]]="FACTURADO",VLOOKUP(DATA[[#This Row],[SERIE2]]&amp;"-"&amp;DATA[[#This Row],[NUMERO]],#REF!,34,0),"NO CORRESPONDE"),"NO CORRESPONDE")</f>
        <v>NO CORRESPONDE</v>
      </c>
      <c r="AS1275" s="22" t="str">
        <f>IF(DATA[[#This Row],[fecha_fs]]&gt;0,TEXT(DATA[[#This Row],[fecha_fs]],"Mmmm"),0)</f>
        <v>Octubre</v>
      </c>
      <c r="AT1275" s="22" t="str">
        <f>DATA[[#This Row],[SERIE2]]&amp;"-"&amp;DATA[[#This Row],[NUMERO]]</f>
        <v>-</v>
      </c>
      <c r="AU1275" s="28">
        <f>DATA[[#This Row],[TOTAL]]*DATA[[#This Row],[T.C.]]</f>
        <v>0</v>
      </c>
      <c r="AV1275" s="6">
        <f>DATA[[#This Row],[FECHA DE VAL.]]</f>
        <v>0</v>
      </c>
      <c r="AW1275" s="6">
        <f>DATA[[#This Row],[FECHA DE EMISION]]</f>
        <v>0</v>
      </c>
      <c r="AX1275" s="6">
        <f>DATA[[#This Row],[F1]]</f>
        <v>0</v>
      </c>
      <c r="AY1275" s="20">
        <f>IF(AV1275-DATA[[#This Row],[fecha_fs]]&lt;0,0,AV1275-DATA[[#This Row],[fecha_fs]])</f>
        <v>0</v>
      </c>
      <c r="AZ1275" s="20">
        <f t="shared" ref="AZ1275:AZ1294" si="307">IF(AW1275-AV1275&lt;0,0,AW1275-AV1275)</f>
        <v>0</v>
      </c>
      <c r="BA1275" s="53">
        <f t="shared" ref="BA1275:BA1294" si="308">IF(AX1275-AW1275&lt;0,0,AX1275-AW1275)</f>
        <v>0</v>
      </c>
      <c r="BB1275" s="360">
        <f>IFERROR(SUM(DATA[[#This Row],[fs_val_ttf]:[fact_pago_ttf]]),0)</f>
        <v>0</v>
      </c>
      <c r="BC1275" s="377">
        <v>45931</v>
      </c>
      <c r="BD1275" s="377">
        <v>45939</v>
      </c>
      <c r="BE1275" s="377">
        <v>45958</v>
      </c>
      <c r="BF1275" s="361" t="s">
        <v>270</v>
      </c>
      <c r="BG1275" s="20">
        <f>IFERROR(IF(BC1275-DATA[[#This Row],[fecha_fs]]&lt;0,0,BC1275-DATA[[#This Row],[fecha_fs]]),0)</f>
        <v>0</v>
      </c>
      <c r="BH1275" s="20">
        <f t="shared" ref="BH1275:BH1292" si="309">IFERROR(IF(BD1275-BC1275&lt;0,0,BD1275-BC1275),0)</f>
        <v>8</v>
      </c>
      <c r="BI1275" s="20">
        <f t="shared" ref="BI1275:BI1292" si="310">IFERROR(IF(BE1275-BD1275&lt;0,0,BE1275-BD1275),0)</f>
        <v>19</v>
      </c>
      <c r="BJ1275" s="367">
        <f t="shared" ref="BJ1275:BJ1292" si="311">IFERROR(IF(BF1275-BE1275&lt;0,0,BF1275-BE1275),0)</f>
        <v>0</v>
      </c>
      <c r="BK1275" s="362">
        <f>IFERROR(SUM(DATA[[#This Row],[fs_fd_ttd]:[fend_fenf_ttd]]),0)</f>
        <v>27</v>
      </c>
      <c r="BL1275" s="20" t="str">
        <f>IF(DATA[[#This Row],[fecha_fs]]&gt;0,TEXT(DATA[[#This Row],[fecha_fs]],"YYYY"),0)</f>
        <v>2025</v>
      </c>
      <c r="BM1275" s="363" t="b">
        <v>0</v>
      </c>
      <c r="BN1275" s="278">
        <f>COUNTIF(DATA[[#This Row],[tiempo_td]], "&lt;=15")</f>
        <v>0</v>
      </c>
      <c r="BO1275" s="365"/>
    </row>
    <row r="1276" spans="1:67" ht="30.6" customHeight="1" x14ac:dyDescent="0.25">
      <c r="A1276" s="4">
        <v>20419158462</v>
      </c>
      <c r="B1276" s="5" t="s">
        <v>2</v>
      </c>
      <c r="C1276" s="52" t="s">
        <v>147</v>
      </c>
      <c r="D1276" s="4" t="s">
        <v>120</v>
      </c>
      <c r="E1276" s="5" t="s">
        <v>3</v>
      </c>
      <c r="F1276" s="24">
        <v>45931</v>
      </c>
      <c r="G1276" s="7" t="s">
        <v>113</v>
      </c>
      <c r="H1276" s="25">
        <f t="shared" si="306"/>
        <v>1</v>
      </c>
      <c r="I1276" s="331">
        <v>5067</v>
      </c>
      <c r="J1276" s="8" t="s">
        <v>115</v>
      </c>
      <c r="K1276" s="9" t="s">
        <v>148</v>
      </c>
      <c r="L1276" s="10" t="s">
        <v>117</v>
      </c>
      <c r="M1276" s="11">
        <v>3540</v>
      </c>
      <c r="N1276" s="12" t="s">
        <v>122</v>
      </c>
      <c r="O1276" s="6">
        <v>45932</v>
      </c>
      <c r="P1276" s="13">
        <v>3712</v>
      </c>
      <c r="Q1276" s="14" t="s">
        <v>85</v>
      </c>
      <c r="R1276" s="74"/>
      <c r="S1276" s="56">
        <v>2597.6999999999998</v>
      </c>
      <c r="T1276" s="321">
        <f>DATA[[#This Row],[C. DF]]+DATA[[#This Row],[C.OPE.]]</f>
        <v>2597.6999999999998</v>
      </c>
      <c r="U1276" s="15">
        <f>DATA[[#This Row],[SUB TOTAL]]*0.18</f>
        <v>467.58599999999996</v>
      </c>
      <c r="V1276" s="15">
        <f>IFERROR(ROUND(DATA[[#This Row],[SUB TOTAL]]+DATA[[#This Row],[IGV]],2),0)</f>
        <v>3065.29</v>
      </c>
      <c r="W1276" s="339" t="str">
        <f>IF(DATA[[#This Row],[VALORIZACIÓN ]]="-","NO CORRESPONDE",IF(OR(A1276=20558226979,A1276=10470707866,A1276=20111157058,A1276=20100226902),"NO CORRESPONDE",IF(J1276="Emitida",IF(P1276&gt;0,"EMITIDA","PENDIENTE"),"NO CORRESPONDE")))</f>
        <v>EMITIDA</v>
      </c>
      <c r="X1276" s="29"/>
      <c r="Y1276" s="17" t="s">
        <v>232</v>
      </c>
      <c r="Z1276" s="30"/>
      <c r="AA1276" s="10"/>
      <c r="AB1276" s="19"/>
      <c r="AC1276" s="20"/>
      <c r="AD1276" s="18">
        <f>DATA[[#This Row],[FECHA DE EMISION]]+DATA[[#This Row],[CONDICION DE PAGO]]</f>
        <v>0</v>
      </c>
      <c r="AE1276" s="23">
        <f>IF(DATA[[#This Row],[MONEDA]]="USD",VLOOKUP(DATA[[#This Row],[COMBINADA]],#REF!,11,0),1)</f>
        <v>1</v>
      </c>
      <c r="AF1276" s="129" t="str">
        <f>IF(DATA[[#This Row],[SERIE2]]="-","NO CORRESPONDE",IF(W1276="NO CORRESPONDE","NO CORRESPONDE",IF(Z1276&gt;0,"FACTURADO","PENDIENTE")))</f>
        <v>PENDIENTE</v>
      </c>
      <c r="AG1276" s="133">
        <f>IFERROR(VLOOKUP(DATA[[#This Row],[COMBINADA]],#REF!,6,0),0)</f>
        <v>0</v>
      </c>
      <c r="AH1276" s="125">
        <f>IFERROR(VLOOKUP(DATA[[#This Row],[COMBINADA]],#REF!,9,0),0)/COUNTIFS(DATA[COMBINADA],DATA[[#This Row],[COMBINADA]])</f>
        <v>0</v>
      </c>
      <c r="AI1276" s="136">
        <f>IFERROR(VLOOKUP(DATA[[#This Row],[COMBINADA]],#REF!,6,0),0)</f>
        <v>0</v>
      </c>
      <c r="AJ1276" s="132">
        <f>IFERROR(VLOOKUP(DATA[[#This Row],[COMBINADA]],#REF!,9,0),0)/COUNTIFS(DATA[COMBINADA],DATA[[#This Row],[COMBINADA]])</f>
        <v>0</v>
      </c>
      <c r="AK1276" s="407">
        <f>IFERROR(VLOOKUP(DATA[[#This Row],[COMBINADA]],#REF!,6,0),0)</f>
        <v>0</v>
      </c>
      <c r="AL1276" s="125">
        <f>IFERROR(VLOOKUP(DATA[[#This Row],[COMBINADA]],#REF!,9,0),0)/COUNTIFS(DATA[COMBINADA],DATA[[#This Row],[COMBINADA]])</f>
        <v>0</v>
      </c>
      <c r="AM1276" s="27">
        <f>IFERROR(VLOOKUP(DATA[[#This Row],[COMBINADA]],#REF!,6,0),0)</f>
        <v>0</v>
      </c>
      <c r="AN1276" s="125">
        <f>IFERROR(VLOOKUP(DATA[[#This Row],[COMBINADA]],#REF!,9,0),0)/COUNTIFS(DATA[COMBINADA],DATA[[#This Row],[COMBINADA]])</f>
        <v>0</v>
      </c>
      <c r="AO1276" s="27">
        <f>IFERROR(VLOOKUP(DATA[[#This Row],[COMBINADA]],#REF!,6,0),0)</f>
        <v>0</v>
      </c>
      <c r="AP1276" s="132">
        <f>IFERROR(VLOOKUP(DATA[[#This Row],[COMBINADA]],#REF!,9,0),0)/COUNTIFS(DATA[COMBINADA],DATA[[#This Row],[COMBINADA]])</f>
        <v>0</v>
      </c>
      <c r="AQ127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276" s="26" t="str">
        <f>IFERROR(IF(DATA[[#This Row],[estado_fact]]="FACTURADO",VLOOKUP(DATA[[#This Row],[SERIE2]]&amp;"-"&amp;DATA[[#This Row],[NUMERO]],#REF!,34,0),"NO CORRESPONDE"),"NO CORRESPONDE")</f>
        <v>NO CORRESPONDE</v>
      </c>
      <c r="AS1276" s="22" t="str">
        <f>IF(DATA[[#This Row],[fecha_fs]]&gt;0,TEXT(DATA[[#This Row],[fecha_fs]],"Mmmm"),0)</f>
        <v>Octubre</v>
      </c>
      <c r="AT1276" s="22" t="str">
        <f>DATA[[#This Row],[SERIE2]]&amp;"-"&amp;DATA[[#This Row],[NUMERO]]</f>
        <v>-</v>
      </c>
      <c r="AU1276" s="28">
        <f>DATA[[#This Row],[TOTAL]]*DATA[[#This Row],[T.C.]]</f>
        <v>3065.29</v>
      </c>
      <c r="AV1276" s="6">
        <f>DATA[[#This Row],[FECHA DE VAL.]]</f>
        <v>45932</v>
      </c>
      <c r="AW1276" s="6">
        <f>DATA[[#This Row],[FECHA DE EMISION]]</f>
        <v>0</v>
      </c>
      <c r="AX1276" s="6">
        <f>DATA[[#This Row],[F1]]</f>
        <v>0</v>
      </c>
      <c r="AY1276" s="20">
        <f>IF(AV1276-DATA[[#This Row],[fecha_fs]]&lt;0,0,AV1276-DATA[[#This Row],[fecha_fs]])</f>
        <v>1</v>
      </c>
      <c r="AZ1276" s="20">
        <f t="shared" si="307"/>
        <v>0</v>
      </c>
      <c r="BA1276" s="53">
        <f t="shared" si="308"/>
        <v>0</v>
      </c>
      <c r="BB1276" s="360">
        <f>IFERROR(SUM(DATA[[#This Row],[fs_val_ttf]:[fact_pago_ttf]]),0)</f>
        <v>1</v>
      </c>
      <c r="BC1276" s="377">
        <v>45931</v>
      </c>
      <c r="BD1276" s="377">
        <v>45931</v>
      </c>
      <c r="BE1276" s="377">
        <v>45946</v>
      </c>
      <c r="BF1276" s="377">
        <v>45946</v>
      </c>
      <c r="BG1276" s="20">
        <f>IFERROR(IF(BC1276-DATA[[#This Row],[fecha_fs]]&lt;0,0,BC1276-DATA[[#This Row],[fecha_fs]]),0)</f>
        <v>0</v>
      </c>
      <c r="BH1276" s="20">
        <f t="shared" si="309"/>
        <v>0</v>
      </c>
      <c r="BI1276" s="20">
        <f t="shared" si="310"/>
        <v>15</v>
      </c>
      <c r="BJ1276" s="367">
        <f t="shared" si="311"/>
        <v>0</v>
      </c>
      <c r="BK1276" s="362">
        <f>IFERROR(SUM(DATA[[#This Row],[fs_fd_ttd]:[fend_fenf_ttd]]),0)</f>
        <v>15</v>
      </c>
      <c r="BL1276" s="20" t="str">
        <f>IF(DATA[[#This Row],[fecha_fs]]&gt;0,TEXT(DATA[[#This Row],[fecha_fs]],"YYYY"),0)</f>
        <v>2025</v>
      </c>
      <c r="BM1276" s="363" t="b">
        <v>1</v>
      </c>
      <c r="BN1276" s="278">
        <f>COUNTIF(DATA[[#This Row],[tiempo_td]], "&lt;=15")</f>
        <v>1</v>
      </c>
      <c r="BO1276" s="365"/>
    </row>
    <row r="1277" spans="1:67" ht="30.6" customHeight="1" x14ac:dyDescent="0.25">
      <c r="A1277" s="4">
        <v>20141637941</v>
      </c>
      <c r="B1277" s="5" t="s">
        <v>79</v>
      </c>
      <c r="C1277" s="52" t="s">
        <v>18</v>
      </c>
      <c r="D1277" s="4" t="s">
        <v>120</v>
      </c>
      <c r="E1277" s="5" t="s">
        <v>3</v>
      </c>
      <c r="F1277" s="24">
        <v>45932</v>
      </c>
      <c r="G1277" s="7" t="s">
        <v>113</v>
      </c>
      <c r="H1277" s="25">
        <f t="shared" si="306"/>
        <v>1</v>
      </c>
      <c r="I1277" s="331">
        <v>5068</v>
      </c>
      <c r="J1277" s="8" t="s">
        <v>115</v>
      </c>
      <c r="K1277" s="9" t="s">
        <v>121</v>
      </c>
      <c r="L1277" s="10" t="s">
        <v>117</v>
      </c>
      <c r="M1277" s="11">
        <v>630</v>
      </c>
      <c r="N1277" s="12" t="s">
        <v>125</v>
      </c>
      <c r="O1277" s="6">
        <v>45939</v>
      </c>
      <c r="P1277" s="110">
        <v>3716</v>
      </c>
      <c r="Q1277" s="14" t="s">
        <v>85</v>
      </c>
      <c r="R1277" s="321">
        <v>80</v>
      </c>
      <c r="S1277" s="321">
        <v>832</v>
      </c>
      <c r="T1277" s="321">
        <f>DATA[[#This Row],[C. DF]]+DATA[[#This Row],[C.OPE.]]</f>
        <v>912</v>
      </c>
      <c r="U1277" s="15">
        <f>DATA[[#This Row],[SUB TOTAL]]*0.18</f>
        <v>164.16</v>
      </c>
      <c r="V1277" s="15">
        <f>IFERROR(ROUND(DATA[[#This Row],[SUB TOTAL]]+DATA[[#This Row],[IGV]],2),0)</f>
        <v>1076.1600000000001</v>
      </c>
      <c r="W1277" s="339" t="str">
        <f>IF(DATA[[#This Row],[VALORIZACIÓN ]]="-","NO CORRESPONDE",IF(OR(A1277=20558226979,A1277=10470707866,A1277=20111157058,A1277=20100226902),"NO CORRESPONDE",IF(J1277="Emitida",IF(P1277&gt;0,"EMITIDA","PENDIENTE"),"NO CORRESPONDE")))</f>
        <v>EMITIDA</v>
      </c>
      <c r="X1277" s="29"/>
      <c r="Y1277" s="17" t="s">
        <v>118</v>
      </c>
      <c r="Z1277" s="30">
        <v>45940</v>
      </c>
      <c r="AA1277" s="10" t="s">
        <v>150</v>
      </c>
      <c r="AB1277" s="19">
        <v>285</v>
      </c>
      <c r="AC1277" s="20">
        <v>30</v>
      </c>
      <c r="AD1277" s="18">
        <f>DATA[[#This Row],[FECHA DE EMISION]]+DATA[[#This Row],[CONDICION DE PAGO]]</f>
        <v>45970</v>
      </c>
      <c r="AE1277" s="23">
        <f>IF(DATA[[#This Row],[MONEDA]]="USD",VLOOKUP(DATA[[#This Row],[COMBINADA]],#REF!,11,0),1)</f>
        <v>1</v>
      </c>
      <c r="AF1277" s="129" t="str">
        <f>IF(DATA[[#This Row],[SERIE2]]="-","NO CORRESPONDE",IF(W1277="NO CORRESPONDE","NO CORRESPONDE",IF(Z1277&gt;0,"FACTURADO","PENDIENTE")))</f>
        <v>FACTURADO</v>
      </c>
      <c r="AG1277" s="133">
        <f>IFERROR(VLOOKUP(DATA[[#This Row],[COMBINADA]],#REF!,6,0),0)</f>
        <v>0</v>
      </c>
      <c r="AH1277" s="125">
        <f>IFERROR(VLOOKUP(DATA[[#This Row],[COMBINADA]],#REF!,9,0),0)/COUNTIFS(DATA[COMBINADA],DATA[[#This Row],[COMBINADA]])</f>
        <v>0</v>
      </c>
      <c r="AI1277" s="136">
        <f>IFERROR(VLOOKUP(DATA[[#This Row],[COMBINADA]],#REF!,6,0),0)</f>
        <v>0</v>
      </c>
      <c r="AJ1277" s="132">
        <f>IFERROR(VLOOKUP(DATA[[#This Row],[COMBINADA]],#REF!,9,0),0)/COUNTIFS(DATA[COMBINADA],DATA[[#This Row],[COMBINADA]])</f>
        <v>0</v>
      </c>
      <c r="AK1277" s="407">
        <f>IFERROR(VLOOKUP(DATA[[#This Row],[COMBINADA]],#REF!,6,0),0)</f>
        <v>0</v>
      </c>
      <c r="AL1277" s="125">
        <f>IFERROR(VLOOKUP(DATA[[#This Row],[COMBINADA]],#REF!,9,0),0)/COUNTIFS(DATA[COMBINADA],DATA[[#This Row],[COMBINADA]])</f>
        <v>0</v>
      </c>
      <c r="AM1277" s="27">
        <f>IFERROR(VLOOKUP(DATA[[#This Row],[COMBINADA]],#REF!,6,0),0)</f>
        <v>0</v>
      </c>
      <c r="AN1277" s="125">
        <f>IFERROR(VLOOKUP(DATA[[#This Row],[COMBINADA]],#REF!,9,0),0)/COUNTIFS(DATA[COMBINADA],DATA[[#This Row],[COMBINADA]])</f>
        <v>0</v>
      </c>
      <c r="AO1277" s="27">
        <f>IFERROR(VLOOKUP(DATA[[#This Row],[COMBINADA]],#REF!,6,0),0)</f>
        <v>0</v>
      </c>
      <c r="AP1277" s="132">
        <f>IFERROR(VLOOKUP(DATA[[#This Row],[COMBINADA]],#REF!,9,0),0)/COUNTIFS(DATA[COMBINADA],DATA[[#This Row],[COMBINADA]])</f>
        <v>0</v>
      </c>
      <c r="AQ127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1079.7</v>
      </c>
      <c r="AR1277" s="26" t="str">
        <f>IFERROR(IF(DATA[[#This Row],[estado_fact]]="FACTURADO",VLOOKUP(DATA[[#This Row],[SERIE2]]&amp;"-"&amp;DATA[[#This Row],[NUMERO]],#REF!,34,0),"NO CORRESPONDE"),"NO CORRESPONDE")</f>
        <v>NO CORRESPONDE</v>
      </c>
      <c r="AS1277" s="22" t="str">
        <f>IF(DATA[[#This Row],[fecha_fs]]&gt;0,TEXT(DATA[[#This Row],[fecha_fs]],"Mmmm"),0)</f>
        <v>Octubre</v>
      </c>
      <c r="AT1277" s="22" t="str">
        <f>DATA[[#This Row],[SERIE2]]&amp;"-"&amp;DATA[[#This Row],[NUMERO]]</f>
        <v>FF01-285</v>
      </c>
      <c r="AU1277" s="28">
        <f>DATA[[#This Row],[TOTAL]]*DATA[[#This Row],[T.C.]]</f>
        <v>1076.1600000000001</v>
      </c>
      <c r="AV1277" s="6">
        <f>DATA[[#This Row],[FECHA DE VAL.]]</f>
        <v>45939</v>
      </c>
      <c r="AW1277" s="6">
        <f>DATA[[#This Row],[FECHA DE EMISION]]</f>
        <v>45940</v>
      </c>
      <c r="AX1277" s="6">
        <f>DATA[[#This Row],[F1]]</f>
        <v>0</v>
      </c>
      <c r="AY1277" s="20">
        <f>IF(AV1277-DATA[[#This Row],[fecha_fs]]&lt;0,0,AV1277-DATA[[#This Row],[fecha_fs]])</f>
        <v>7</v>
      </c>
      <c r="AZ1277" s="20">
        <f t="shared" si="307"/>
        <v>1</v>
      </c>
      <c r="BA1277" s="53">
        <f t="shared" si="308"/>
        <v>0</v>
      </c>
      <c r="BB1277" s="360">
        <f>IFERROR(SUM(DATA[[#This Row],[fs_val_ttf]:[fact_pago_ttf]]),0)</f>
        <v>8</v>
      </c>
      <c r="BC1277" s="377">
        <v>45933</v>
      </c>
      <c r="BD1277" s="377">
        <v>45939</v>
      </c>
      <c r="BE1277" s="377">
        <v>45964</v>
      </c>
      <c r="BF1277" s="377">
        <v>45967</v>
      </c>
      <c r="BG1277" s="20">
        <f>IFERROR(IF(BC1277-DATA[[#This Row],[fecha_fs]]&lt;0,0,BC1277-DATA[[#This Row],[fecha_fs]]),0)</f>
        <v>1</v>
      </c>
      <c r="BH1277" s="20">
        <f t="shared" si="309"/>
        <v>6</v>
      </c>
      <c r="BI1277" s="20">
        <f t="shared" si="310"/>
        <v>25</v>
      </c>
      <c r="BJ1277" s="367">
        <f t="shared" si="311"/>
        <v>3</v>
      </c>
      <c r="BK1277" s="362">
        <f>IFERROR(SUM(DATA[[#This Row],[fs_fd_ttd]:[fend_fenf_ttd]]),0)</f>
        <v>35</v>
      </c>
      <c r="BL1277" s="20" t="str">
        <f>IF(DATA[[#This Row],[fecha_fs]]&gt;0,TEXT(DATA[[#This Row],[fecha_fs]],"YYYY"),0)</f>
        <v>2025</v>
      </c>
      <c r="BM1277" s="363" t="b">
        <v>1</v>
      </c>
      <c r="BN1277" s="278">
        <f>COUNTIF(DATA[[#This Row],[tiempo_td]], "&lt;=15")</f>
        <v>0</v>
      </c>
      <c r="BO1277" s="365"/>
    </row>
    <row r="1278" spans="1:67" ht="30.6" customHeight="1" x14ac:dyDescent="0.25">
      <c r="A1278" s="4">
        <v>20505675836</v>
      </c>
      <c r="B1278" s="5" t="s">
        <v>42</v>
      </c>
      <c r="C1278" s="52" t="s">
        <v>43</v>
      </c>
      <c r="D1278" s="4" t="s">
        <v>157</v>
      </c>
      <c r="E1278" s="5" t="s">
        <v>44</v>
      </c>
      <c r="F1278" s="24">
        <v>45932</v>
      </c>
      <c r="G1278" s="7" t="s">
        <v>113</v>
      </c>
      <c r="H1278" s="25">
        <f t="shared" si="306"/>
        <v>1</v>
      </c>
      <c r="I1278" s="331">
        <v>5069</v>
      </c>
      <c r="J1278" s="8" t="s">
        <v>115</v>
      </c>
      <c r="K1278" s="9" t="s">
        <v>158</v>
      </c>
      <c r="L1278" s="10" t="s">
        <v>137</v>
      </c>
      <c r="M1278" s="11">
        <v>1</v>
      </c>
      <c r="N1278" s="12" t="s">
        <v>337</v>
      </c>
      <c r="O1278" s="6">
        <v>45959</v>
      </c>
      <c r="P1278" s="71">
        <v>3752</v>
      </c>
      <c r="Q1278" s="14" t="s">
        <v>85</v>
      </c>
      <c r="R1278" s="56"/>
      <c r="S1278" s="15">
        <v>396.7</v>
      </c>
      <c r="T1278" s="321">
        <f>DATA[[#This Row],[C. DF]]+DATA[[#This Row],[C.OPE.]]</f>
        <v>396.7</v>
      </c>
      <c r="U1278" s="15">
        <f>DATA[[#This Row],[SUB TOTAL]]*0.18</f>
        <v>71.405999999999992</v>
      </c>
      <c r="V1278" s="15">
        <f>IFERROR(ROUND(DATA[[#This Row],[SUB TOTAL]]+DATA[[#This Row],[IGV]],2),0)</f>
        <v>468.11</v>
      </c>
      <c r="W1278" s="339" t="str">
        <f>IF(DATA[[#This Row],[VALORIZACIÓN ]]="-","NO CORRESPONDE",IF(OR(A1278=20558226979,A1278=10470707866,A1278=20111157058,A1278=20100226902),"NO CORRESPONDE",IF(J1278="Emitida",IF(P1278&gt;0,"EMITIDA","PENDIENTE"),"NO CORRESPONDE")))</f>
        <v>EMITIDA</v>
      </c>
      <c r="X1278" s="29"/>
      <c r="Y1278" s="17" t="s">
        <v>118</v>
      </c>
      <c r="Z1278" s="30">
        <v>45974</v>
      </c>
      <c r="AA1278" s="10" t="s">
        <v>150</v>
      </c>
      <c r="AB1278" s="19">
        <v>357</v>
      </c>
      <c r="AC1278" s="20">
        <v>30</v>
      </c>
      <c r="AD1278" s="18">
        <f>DATA[[#This Row],[FECHA DE EMISION]]+DATA[[#This Row],[CONDICION DE PAGO]]</f>
        <v>46004</v>
      </c>
      <c r="AE1278" s="23">
        <f>IF(DATA[[#This Row],[MONEDA]]="USD",VLOOKUP(DATA[[#This Row],[COMBINADA]],#REF!,11,0),1)</f>
        <v>1</v>
      </c>
      <c r="AF1278" s="129" t="str">
        <f>IF(DATA[[#This Row],[SERIE2]]="-","NO CORRESPONDE",IF(W1278="NO CORRESPONDE","NO CORRESPONDE",IF(Z1278&gt;0,"FACTURADO","PENDIENTE")))</f>
        <v>FACTURADO</v>
      </c>
      <c r="AG1278" s="133">
        <f>IFERROR(VLOOKUP(DATA[[#This Row],[COMBINADA]],#REF!,6,0),0)</f>
        <v>0</v>
      </c>
      <c r="AH1278" s="125">
        <f>IFERROR(VLOOKUP(DATA[[#This Row],[COMBINADA]],#REF!,9,0),0)/COUNTIFS(DATA[COMBINADA],DATA[[#This Row],[COMBINADA]])</f>
        <v>0</v>
      </c>
      <c r="AI1278" s="136">
        <f>IFERROR(VLOOKUP(DATA[[#This Row],[COMBINADA]],#REF!,6,0),0)</f>
        <v>0</v>
      </c>
      <c r="AJ1278" s="132">
        <f>IFERROR(VLOOKUP(DATA[[#This Row],[COMBINADA]],#REF!,9,0),0)/COUNTIFS(DATA[COMBINADA],DATA[[#This Row],[COMBINADA]])</f>
        <v>0</v>
      </c>
      <c r="AK1278" s="407">
        <f>IFERROR(VLOOKUP(DATA[[#This Row],[COMBINADA]],#REF!,6,0),0)</f>
        <v>0</v>
      </c>
      <c r="AL1278" s="125">
        <f>IFERROR(VLOOKUP(DATA[[#This Row],[COMBINADA]],#REF!,9,0),0)/COUNTIFS(DATA[COMBINADA],DATA[[#This Row],[COMBINADA]])</f>
        <v>0</v>
      </c>
      <c r="AM1278" s="27">
        <f>IFERROR(VLOOKUP(DATA[[#This Row],[COMBINADA]],#REF!,6,0),0)</f>
        <v>0</v>
      </c>
      <c r="AN1278" s="125">
        <f>IFERROR(VLOOKUP(DATA[[#This Row],[COMBINADA]],#REF!,9,0),0)/COUNTIFS(DATA[COMBINADA],DATA[[#This Row],[COMBINADA]])</f>
        <v>0</v>
      </c>
      <c r="AO1278" s="27">
        <f>IFERROR(VLOOKUP(DATA[[#This Row],[COMBINADA]],#REF!,6,0),0)</f>
        <v>0</v>
      </c>
      <c r="AP1278" s="132">
        <f>IFERROR(VLOOKUP(DATA[[#This Row],[COMBINADA]],#REF!,9,0),0)/COUNTIFS(DATA[COMBINADA],DATA[[#This Row],[COMBINADA]])</f>
        <v>0</v>
      </c>
      <c r="AQ127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468.11</v>
      </c>
      <c r="AR1278" s="26" t="str">
        <f>IFERROR(IF(DATA[[#This Row],[estado_fact]]="FACTURADO",VLOOKUP(DATA[[#This Row],[SERIE2]]&amp;"-"&amp;DATA[[#This Row],[NUMERO]],#REF!,34,0),"NO CORRESPONDE"),"NO CORRESPONDE")</f>
        <v>NO CORRESPONDE</v>
      </c>
      <c r="AS1278" s="22" t="str">
        <f>IF(DATA[[#This Row],[fecha_fs]]&gt;0,TEXT(DATA[[#This Row],[fecha_fs]],"Mmmm"),0)</f>
        <v>Octubre</v>
      </c>
      <c r="AT1278" s="22" t="str">
        <f>DATA[[#This Row],[SERIE2]]&amp;"-"&amp;DATA[[#This Row],[NUMERO]]</f>
        <v>FF01-357</v>
      </c>
      <c r="AU1278" s="28">
        <f>DATA[[#This Row],[TOTAL]]*DATA[[#This Row],[T.C.]]</f>
        <v>468.11</v>
      </c>
      <c r="AV1278" s="6">
        <f>DATA[[#This Row],[FECHA DE VAL.]]</f>
        <v>45959</v>
      </c>
      <c r="AW1278" s="6">
        <f>DATA[[#This Row],[FECHA DE EMISION]]</f>
        <v>45974</v>
      </c>
      <c r="AX1278" s="6">
        <f>DATA[[#This Row],[F1]]</f>
        <v>0</v>
      </c>
      <c r="AY1278" s="20">
        <f>IF(AV1278-DATA[[#This Row],[fecha_fs]]&lt;0,0,AV1278-DATA[[#This Row],[fecha_fs]])</f>
        <v>27</v>
      </c>
      <c r="AZ1278" s="20">
        <f t="shared" si="307"/>
        <v>15</v>
      </c>
      <c r="BA1278" s="53">
        <f t="shared" si="308"/>
        <v>0</v>
      </c>
      <c r="BB1278" s="360">
        <f>IFERROR(SUM(DATA[[#This Row],[fs_val_ttf]:[fact_pago_ttf]]),0)</f>
        <v>42</v>
      </c>
      <c r="BC1278" s="377">
        <v>45932</v>
      </c>
      <c r="BD1278" s="377">
        <v>45932</v>
      </c>
      <c r="BE1278" s="377">
        <v>45961</v>
      </c>
      <c r="BF1278" s="377">
        <v>45961</v>
      </c>
      <c r="BG1278" s="20">
        <f>IFERROR(IF(BC1278-DATA[[#This Row],[fecha_fs]]&lt;0,0,BC1278-DATA[[#This Row],[fecha_fs]]),0)</f>
        <v>0</v>
      </c>
      <c r="BH1278" s="20">
        <f t="shared" si="309"/>
        <v>0</v>
      </c>
      <c r="BI1278" s="20">
        <f t="shared" si="310"/>
        <v>29</v>
      </c>
      <c r="BJ1278" s="367">
        <f t="shared" si="311"/>
        <v>0</v>
      </c>
      <c r="BK1278" s="362">
        <f>IFERROR(SUM(DATA[[#This Row],[fs_fd_ttd]:[fend_fenf_ttd]]),0)</f>
        <v>29</v>
      </c>
      <c r="BL1278" s="20" t="str">
        <f>IF(DATA[[#This Row],[fecha_fs]]&gt;0,TEXT(DATA[[#This Row],[fecha_fs]],"YYYY"),0)</f>
        <v>2025</v>
      </c>
      <c r="BM1278" s="363" t="b">
        <v>1</v>
      </c>
      <c r="BN1278" s="278">
        <f>COUNTIF(DATA[[#This Row],[tiempo_td]], "&lt;=15")</f>
        <v>0</v>
      </c>
      <c r="BO1278" s="365"/>
    </row>
    <row r="1279" spans="1:67" ht="30.6" customHeight="1" x14ac:dyDescent="0.25">
      <c r="A1279" s="4">
        <v>20100055237</v>
      </c>
      <c r="B1279" s="5" t="s">
        <v>21</v>
      </c>
      <c r="C1279" s="52" t="s">
        <v>138</v>
      </c>
      <c r="D1279" s="4" t="s">
        <v>139</v>
      </c>
      <c r="E1279" s="5" t="s">
        <v>23</v>
      </c>
      <c r="F1279" s="24">
        <v>45932</v>
      </c>
      <c r="G1279" s="7" t="s">
        <v>113</v>
      </c>
      <c r="H1279" s="25">
        <f t="shared" si="306"/>
        <v>1</v>
      </c>
      <c r="I1279" s="331">
        <v>5070</v>
      </c>
      <c r="J1279" s="8" t="s">
        <v>115</v>
      </c>
      <c r="K1279" s="9" t="s">
        <v>121</v>
      </c>
      <c r="L1279" s="10" t="s">
        <v>117</v>
      </c>
      <c r="M1279" s="11">
        <v>50</v>
      </c>
      <c r="N1279" s="12" t="s">
        <v>167</v>
      </c>
      <c r="O1279" s="6">
        <v>45961</v>
      </c>
      <c r="P1279" s="54">
        <v>3772</v>
      </c>
      <c r="Q1279" s="14" t="s">
        <v>85</v>
      </c>
      <c r="R1279" s="56"/>
      <c r="S1279" s="56">
        <v>297.92</v>
      </c>
      <c r="T1279" s="321">
        <f>DATA[[#This Row],[C. DF]]+DATA[[#This Row],[C.OPE.]]</f>
        <v>297.92</v>
      </c>
      <c r="U1279" s="15">
        <f>DATA[[#This Row],[SUB TOTAL]]*0.18</f>
        <v>53.625599999999999</v>
      </c>
      <c r="V1279" s="15">
        <f>IFERROR(ROUND(DATA[[#This Row],[SUB TOTAL]]+DATA[[#This Row],[IGV]],2),0)</f>
        <v>351.55</v>
      </c>
      <c r="W1279" s="339" t="str">
        <f>IF(DATA[[#This Row],[VALORIZACIÓN ]]="-","NO CORRESPONDE",IF(OR(A1279=20558226979,A1279=10470707866,A1279=20111157058,A1279=20100226902),"NO CORRESPONDE",IF(J1279="Emitida",IF(P1279&gt;0,"EMITIDA","PENDIENTE"),"NO CORRESPONDE")))</f>
        <v>EMITIDA</v>
      </c>
      <c r="X1279" s="29"/>
      <c r="Y1279" s="17" t="s">
        <v>232</v>
      </c>
      <c r="Z1279" s="30"/>
      <c r="AA1279" s="10"/>
      <c r="AB1279" s="19"/>
      <c r="AC1279" s="20"/>
      <c r="AD1279" s="18">
        <f>DATA[[#This Row],[FECHA DE EMISION]]+DATA[[#This Row],[CONDICION DE PAGO]]</f>
        <v>0</v>
      </c>
      <c r="AE1279" s="23">
        <f>IF(DATA[[#This Row],[MONEDA]]="USD",VLOOKUP(DATA[[#This Row],[COMBINADA]],#REF!,11,0),1)</f>
        <v>1</v>
      </c>
      <c r="AF1279" s="129" t="str">
        <f>IF(DATA[[#This Row],[SERIE2]]="-","NO CORRESPONDE",IF(W1279="NO CORRESPONDE","NO CORRESPONDE",IF(Z1279&gt;0,"FACTURADO","PENDIENTE")))</f>
        <v>PENDIENTE</v>
      </c>
      <c r="AG1279" s="133">
        <f>IFERROR(VLOOKUP(DATA[[#This Row],[COMBINADA]],#REF!,6,0),0)</f>
        <v>0</v>
      </c>
      <c r="AH1279" s="125">
        <f>IFERROR(VLOOKUP(DATA[[#This Row],[COMBINADA]],#REF!,9,0),0)/COUNTIFS(DATA[COMBINADA],DATA[[#This Row],[COMBINADA]])</f>
        <v>0</v>
      </c>
      <c r="AI1279" s="136">
        <f>IFERROR(VLOOKUP(DATA[[#This Row],[COMBINADA]],#REF!,6,0),0)</f>
        <v>0</v>
      </c>
      <c r="AJ1279" s="132">
        <f>IFERROR(VLOOKUP(DATA[[#This Row],[COMBINADA]],#REF!,9,0),0)/COUNTIFS(DATA[COMBINADA],DATA[[#This Row],[COMBINADA]])</f>
        <v>0</v>
      </c>
      <c r="AK1279" s="407">
        <f>IFERROR(VLOOKUP(DATA[[#This Row],[COMBINADA]],#REF!,6,0),0)</f>
        <v>0</v>
      </c>
      <c r="AL1279" s="125">
        <f>IFERROR(VLOOKUP(DATA[[#This Row],[COMBINADA]],#REF!,9,0),0)/COUNTIFS(DATA[COMBINADA],DATA[[#This Row],[COMBINADA]])</f>
        <v>0</v>
      </c>
      <c r="AM1279" s="27">
        <f>IFERROR(VLOOKUP(DATA[[#This Row],[COMBINADA]],#REF!,6,0),0)</f>
        <v>0</v>
      </c>
      <c r="AN1279" s="125">
        <f>IFERROR(VLOOKUP(DATA[[#This Row],[COMBINADA]],#REF!,9,0),0)/COUNTIFS(DATA[COMBINADA],DATA[[#This Row],[COMBINADA]])</f>
        <v>0</v>
      </c>
      <c r="AO1279" s="27">
        <f>IFERROR(VLOOKUP(DATA[[#This Row],[COMBINADA]],#REF!,6,0),0)</f>
        <v>0</v>
      </c>
      <c r="AP1279" s="132">
        <f>IFERROR(VLOOKUP(DATA[[#This Row],[COMBINADA]],#REF!,9,0),0)/COUNTIFS(DATA[COMBINADA],DATA[[#This Row],[COMBINADA]])</f>
        <v>0</v>
      </c>
      <c r="AQ127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279" s="26" t="str">
        <f>IFERROR(IF(DATA[[#This Row],[estado_fact]]="FACTURADO",VLOOKUP(DATA[[#This Row],[SERIE2]]&amp;"-"&amp;DATA[[#This Row],[NUMERO]],#REF!,34,0),"NO CORRESPONDE"),"NO CORRESPONDE")</f>
        <v>NO CORRESPONDE</v>
      </c>
      <c r="AS1279" s="22" t="str">
        <f>IF(DATA[[#This Row],[fecha_fs]]&gt;0,TEXT(DATA[[#This Row],[fecha_fs]],"Mmmm"),0)</f>
        <v>Octubre</v>
      </c>
      <c r="AT1279" s="22" t="str">
        <f>DATA[[#This Row],[SERIE2]]&amp;"-"&amp;DATA[[#This Row],[NUMERO]]</f>
        <v>-</v>
      </c>
      <c r="AU1279" s="28">
        <f>DATA[[#This Row],[TOTAL]]*DATA[[#This Row],[T.C.]]</f>
        <v>351.55</v>
      </c>
      <c r="AV1279" s="6">
        <f>DATA[[#This Row],[FECHA DE VAL.]]</f>
        <v>45961</v>
      </c>
      <c r="AW1279" s="6">
        <f>DATA[[#This Row],[FECHA DE EMISION]]</f>
        <v>0</v>
      </c>
      <c r="AX1279" s="6">
        <f>DATA[[#This Row],[F1]]</f>
        <v>0</v>
      </c>
      <c r="AY1279" s="20">
        <f>IF(AV1279-DATA[[#This Row],[fecha_fs]]&lt;0,0,AV1279-DATA[[#This Row],[fecha_fs]])</f>
        <v>29</v>
      </c>
      <c r="AZ1279" s="20">
        <f t="shared" si="307"/>
        <v>0</v>
      </c>
      <c r="BA1279" s="53">
        <f t="shared" si="308"/>
        <v>0</v>
      </c>
      <c r="BB1279" s="360">
        <f>IFERROR(SUM(DATA[[#This Row],[fs_val_ttf]:[fact_pago_ttf]]),0)</f>
        <v>29</v>
      </c>
      <c r="BC1279" s="377">
        <v>45932</v>
      </c>
      <c r="BD1279" s="377">
        <v>45932</v>
      </c>
      <c r="BE1279" s="377">
        <v>45966</v>
      </c>
      <c r="BF1279" s="377">
        <v>45966</v>
      </c>
      <c r="BG1279" s="20">
        <f>IFERROR(IF(BC1279-DATA[[#This Row],[fecha_fs]]&lt;0,0,BC1279-DATA[[#This Row],[fecha_fs]]),0)</f>
        <v>0</v>
      </c>
      <c r="BH1279" s="20">
        <f t="shared" si="309"/>
        <v>0</v>
      </c>
      <c r="BI1279" s="20">
        <f t="shared" si="310"/>
        <v>34</v>
      </c>
      <c r="BJ1279" s="367">
        <f t="shared" si="311"/>
        <v>0</v>
      </c>
      <c r="BK1279" s="362">
        <f>IFERROR(SUM(DATA[[#This Row],[fs_fd_ttd]:[fend_fenf_ttd]]),0)</f>
        <v>34</v>
      </c>
      <c r="BL1279" s="20" t="str">
        <f>IF(DATA[[#This Row],[fecha_fs]]&gt;0,TEXT(DATA[[#This Row],[fecha_fs]],"YYYY"),0)</f>
        <v>2025</v>
      </c>
      <c r="BM1279" s="363" t="b">
        <v>1</v>
      </c>
      <c r="BN1279" s="278">
        <f>COUNTIF(DATA[[#This Row],[tiempo_td]], "&lt;=15")</f>
        <v>0</v>
      </c>
      <c r="BO1279" s="365"/>
    </row>
    <row r="1280" spans="1:67" ht="30.6" customHeight="1" x14ac:dyDescent="0.25">
      <c r="A1280" s="4">
        <v>20159473148</v>
      </c>
      <c r="B1280" s="5" t="s">
        <v>280</v>
      </c>
      <c r="C1280" s="52" t="s">
        <v>20</v>
      </c>
      <c r="D1280" s="4" t="s">
        <v>112</v>
      </c>
      <c r="E1280" s="5" t="s">
        <v>1</v>
      </c>
      <c r="F1280" s="24">
        <v>45932</v>
      </c>
      <c r="G1280" s="7" t="s">
        <v>113</v>
      </c>
      <c r="H1280" s="25">
        <f t="shared" si="306"/>
        <v>1</v>
      </c>
      <c r="I1280" s="331">
        <v>5071</v>
      </c>
      <c r="J1280" s="8" t="s">
        <v>115</v>
      </c>
      <c r="K1280" s="9" t="s">
        <v>116</v>
      </c>
      <c r="L1280" s="10" t="s">
        <v>117</v>
      </c>
      <c r="M1280" s="11">
        <v>1710</v>
      </c>
      <c r="N1280" s="12" t="s">
        <v>125</v>
      </c>
      <c r="O1280" s="6">
        <v>45945</v>
      </c>
      <c r="P1280" s="83">
        <v>3722</v>
      </c>
      <c r="Q1280" s="14" t="s">
        <v>85</v>
      </c>
      <c r="R1280" s="15">
        <f>DATA[[#This Row],[cantidad_fs]]*0.4</f>
        <v>684</v>
      </c>
      <c r="S1280" s="15">
        <v>2650.9</v>
      </c>
      <c r="T1280" s="321">
        <f>DATA[[#This Row],[C. DF]]+DATA[[#This Row],[C.OPE.]]</f>
        <v>3334.9</v>
      </c>
      <c r="U1280" s="15">
        <f>DATA[[#This Row],[SUB TOTAL]]*0.18</f>
        <v>600.28200000000004</v>
      </c>
      <c r="V1280" s="15">
        <f>IFERROR(ROUND(DATA[[#This Row],[SUB TOTAL]]+DATA[[#This Row],[IGV]],2),0)</f>
        <v>3935.18</v>
      </c>
      <c r="W1280" s="339" t="str">
        <f>IF(DATA[[#This Row],[VALORIZACIÓN ]]="-","NO CORRESPONDE",IF(OR(A1280=20558226979,A1280=10470707866,A1280=20111157058,A1280=20100226902),"NO CORRESPONDE",IF(J1280="Emitida",IF(P1280&gt;0,"EMITIDA","PENDIENTE"),"NO CORRESPONDE")))</f>
        <v>EMITIDA</v>
      </c>
      <c r="X1280" s="29" t="s">
        <v>357</v>
      </c>
      <c r="Y1280" s="17" t="s">
        <v>118</v>
      </c>
      <c r="Z1280" s="30">
        <v>45951</v>
      </c>
      <c r="AA1280" s="10" t="s">
        <v>150</v>
      </c>
      <c r="AB1280" s="19">
        <v>300</v>
      </c>
      <c r="AC1280" s="20">
        <v>60</v>
      </c>
      <c r="AD1280" s="18">
        <f>DATA[[#This Row],[FECHA DE EMISION]]+DATA[[#This Row],[CONDICION DE PAGO]]</f>
        <v>46011</v>
      </c>
      <c r="AE1280" s="23">
        <f>IF(DATA[[#This Row],[MONEDA]]="USD",VLOOKUP(DATA[[#This Row],[COMBINADA]],#REF!,11,0),1)</f>
        <v>1</v>
      </c>
      <c r="AF1280" s="129" t="str">
        <f>IF(DATA[[#This Row],[SERIE2]]="-","NO CORRESPONDE",IF(W1280="NO CORRESPONDE","NO CORRESPONDE",IF(Z1280&gt;0,"FACTURADO","PENDIENTE")))</f>
        <v>FACTURADO</v>
      </c>
      <c r="AG1280" s="133">
        <f>IFERROR(VLOOKUP(DATA[[#This Row],[COMBINADA]],#REF!,6,0),0)</f>
        <v>0</v>
      </c>
      <c r="AH1280" s="125">
        <f>IFERROR(VLOOKUP(DATA[[#This Row],[COMBINADA]],#REF!,9,0),0)/COUNTIFS(DATA[COMBINADA],DATA[[#This Row],[COMBINADA]])</f>
        <v>0</v>
      </c>
      <c r="AI1280" s="136">
        <f>IFERROR(VLOOKUP(DATA[[#This Row],[COMBINADA]],#REF!,6,0),0)</f>
        <v>0</v>
      </c>
      <c r="AJ1280" s="132">
        <f>IFERROR(VLOOKUP(DATA[[#This Row],[COMBINADA]],#REF!,9,0),0)/COUNTIFS(DATA[COMBINADA],DATA[[#This Row],[COMBINADA]])</f>
        <v>0</v>
      </c>
      <c r="AK1280" s="407">
        <f>IFERROR(VLOOKUP(DATA[[#This Row],[COMBINADA]],#REF!,6,0),0)</f>
        <v>0</v>
      </c>
      <c r="AL1280" s="125">
        <f>IFERROR(VLOOKUP(DATA[[#This Row],[COMBINADA]],#REF!,9,0),0)/COUNTIFS(DATA[COMBINADA],DATA[[#This Row],[COMBINADA]])</f>
        <v>0</v>
      </c>
      <c r="AM1280" s="27">
        <f>IFERROR(VLOOKUP(DATA[[#This Row],[COMBINADA]],#REF!,6,0),0)</f>
        <v>0</v>
      </c>
      <c r="AN1280" s="125">
        <f>IFERROR(VLOOKUP(DATA[[#This Row],[COMBINADA]],#REF!,9,0),0)/COUNTIFS(DATA[COMBINADA],DATA[[#This Row],[COMBINADA]])</f>
        <v>0</v>
      </c>
      <c r="AO1280" s="27">
        <f>IFERROR(VLOOKUP(DATA[[#This Row],[COMBINADA]],#REF!,6,0),0)</f>
        <v>0</v>
      </c>
      <c r="AP1280" s="132">
        <f>IFERROR(VLOOKUP(DATA[[#This Row],[COMBINADA]],#REF!,9,0),0)/COUNTIFS(DATA[COMBINADA],DATA[[#This Row],[COMBINADA]])</f>
        <v>0</v>
      </c>
      <c r="AQ128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2629.8649999999998</v>
      </c>
      <c r="AR1280" s="26" t="str">
        <f>IFERROR(IF(DATA[[#This Row],[estado_fact]]="FACTURADO",VLOOKUP(DATA[[#This Row],[SERIE2]]&amp;"-"&amp;DATA[[#This Row],[NUMERO]],#REF!,34,0),"NO CORRESPONDE"),"NO CORRESPONDE")</f>
        <v>NO CORRESPONDE</v>
      </c>
      <c r="AS1280" s="22" t="str">
        <f>IF(DATA[[#This Row],[fecha_fs]]&gt;0,TEXT(DATA[[#This Row],[fecha_fs]],"Mmmm"),0)</f>
        <v>Octubre</v>
      </c>
      <c r="AT1280" s="22" t="str">
        <f>DATA[[#This Row],[SERIE2]]&amp;"-"&amp;DATA[[#This Row],[NUMERO]]</f>
        <v>FF01-300</v>
      </c>
      <c r="AU1280" s="28">
        <f>DATA[[#This Row],[TOTAL]]*DATA[[#This Row],[T.C.]]</f>
        <v>3935.18</v>
      </c>
      <c r="AV1280" s="6">
        <f>DATA[[#This Row],[FECHA DE VAL.]]</f>
        <v>45945</v>
      </c>
      <c r="AW1280" s="6">
        <f>DATA[[#This Row],[FECHA DE EMISION]]</f>
        <v>45951</v>
      </c>
      <c r="AX1280" s="6">
        <f>DATA[[#This Row],[F1]]</f>
        <v>0</v>
      </c>
      <c r="AY1280" s="20">
        <f>IF(AV1280-DATA[[#This Row],[fecha_fs]]&lt;0,0,AV1280-DATA[[#This Row],[fecha_fs]])</f>
        <v>13</v>
      </c>
      <c r="AZ1280" s="20">
        <f t="shared" si="307"/>
        <v>6</v>
      </c>
      <c r="BA1280" s="53">
        <f t="shared" si="308"/>
        <v>0</v>
      </c>
      <c r="BB1280" s="360">
        <f>IFERROR(SUM(DATA[[#This Row],[fs_val_ttf]:[fact_pago_ttf]]),0)</f>
        <v>19</v>
      </c>
      <c r="BC1280" s="377">
        <v>45936</v>
      </c>
      <c r="BD1280" s="377">
        <v>45939</v>
      </c>
      <c r="BE1280" s="377">
        <v>45940</v>
      </c>
      <c r="BF1280" s="377">
        <v>45940</v>
      </c>
      <c r="BG1280" s="20">
        <f>IFERROR(IF(BC1280-DATA[[#This Row],[fecha_fs]]&lt;0,0,BC1280-DATA[[#This Row],[fecha_fs]]),0)</f>
        <v>4</v>
      </c>
      <c r="BH1280" s="20">
        <f t="shared" si="309"/>
        <v>3</v>
      </c>
      <c r="BI1280" s="20">
        <f t="shared" si="310"/>
        <v>1</v>
      </c>
      <c r="BJ1280" s="367">
        <f t="shared" si="311"/>
        <v>0</v>
      </c>
      <c r="BK1280" s="362">
        <f>IFERROR(SUM(DATA[[#This Row],[fs_fd_ttd]:[fend_fenf_ttd]]),0)</f>
        <v>8</v>
      </c>
      <c r="BL1280" s="20" t="str">
        <f>IF(DATA[[#This Row],[fecha_fs]]&gt;0,TEXT(DATA[[#This Row],[fecha_fs]],"YYYY"),0)</f>
        <v>2025</v>
      </c>
      <c r="BM1280" s="363" t="b">
        <v>1</v>
      </c>
      <c r="BN1280" s="278">
        <f>COUNTIF(DATA[[#This Row],[tiempo_td]], "&lt;=15")</f>
        <v>1</v>
      </c>
      <c r="BO1280" s="365"/>
    </row>
    <row r="1281" spans="1:67" ht="30.6" customHeight="1" x14ac:dyDescent="0.25">
      <c r="A1281" s="4">
        <v>20159473148</v>
      </c>
      <c r="B1281" s="5" t="s">
        <v>280</v>
      </c>
      <c r="C1281" s="52" t="s">
        <v>20</v>
      </c>
      <c r="D1281" s="4" t="s">
        <v>120</v>
      </c>
      <c r="E1281" s="5" t="s">
        <v>3</v>
      </c>
      <c r="F1281" s="24">
        <v>45932</v>
      </c>
      <c r="G1281" s="7" t="s">
        <v>113</v>
      </c>
      <c r="H1281" s="25">
        <f t="shared" si="306"/>
        <v>1</v>
      </c>
      <c r="I1281" s="331">
        <v>5072</v>
      </c>
      <c r="J1281" s="8" t="s">
        <v>115</v>
      </c>
      <c r="K1281" s="9" t="s">
        <v>356</v>
      </c>
      <c r="L1281" s="10" t="s">
        <v>117</v>
      </c>
      <c r="M1281" s="11">
        <v>370</v>
      </c>
      <c r="N1281" s="12" t="s">
        <v>125</v>
      </c>
      <c r="O1281" s="6">
        <v>45945</v>
      </c>
      <c r="P1281" s="83">
        <v>3722</v>
      </c>
      <c r="Q1281" s="14" t="s">
        <v>85</v>
      </c>
      <c r="R1281" s="15">
        <v>350</v>
      </c>
      <c r="S1281" s="15">
        <v>772.5</v>
      </c>
      <c r="T1281" s="321">
        <f>DATA[[#This Row],[C. DF]]+DATA[[#This Row],[C.OPE.]]</f>
        <v>1122.5</v>
      </c>
      <c r="U1281" s="15">
        <f>DATA[[#This Row],[SUB TOTAL]]*0.18</f>
        <v>202.04999999999998</v>
      </c>
      <c r="V1281" s="15">
        <f>IFERROR(ROUND(DATA[[#This Row],[SUB TOTAL]]+DATA[[#This Row],[IGV]],2),0)</f>
        <v>1324.55</v>
      </c>
      <c r="W1281" s="339" t="str">
        <f>IF(DATA[[#This Row],[VALORIZACIÓN ]]="-","NO CORRESPONDE",IF(OR(A1281=20558226979,A1281=10470707866,A1281=20111157058,A1281=20100226902),"NO CORRESPONDE",IF(J1281="Emitida",IF(P1281&gt;0,"EMITIDA","PENDIENTE"),"NO CORRESPONDE")))</f>
        <v>EMITIDA</v>
      </c>
      <c r="X1281" s="29" t="s">
        <v>357</v>
      </c>
      <c r="Y1281" s="17" t="s">
        <v>118</v>
      </c>
      <c r="Z1281" s="30">
        <v>45951</v>
      </c>
      <c r="AA1281" s="10" t="s">
        <v>150</v>
      </c>
      <c r="AB1281" s="19">
        <v>300</v>
      </c>
      <c r="AC1281" s="20">
        <v>60</v>
      </c>
      <c r="AD1281" s="18">
        <f>DATA[[#This Row],[FECHA DE EMISION]]+DATA[[#This Row],[CONDICION DE PAGO]]</f>
        <v>46011</v>
      </c>
      <c r="AE1281" s="23">
        <f>IF(DATA[[#This Row],[MONEDA]]="USD",VLOOKUP(DATA[[#This Row],[COMBINADA]],#REF!,11,0),1)</f>
        <v>1</v>
      </c>
      <c r="AF1281" s="129" t="str">
        <f>IF(DATA[[#This Row],[SERIE2]]="-","NO CORRESPONDE",IF(W1281="NO CORRESPONDE","NO CORRESPONDE",IF(Z1281&gt;0,"FACTURADO","PENDIENTE")))</f>
        <v>FACTURADO</v>
      </c>
      <c r="AG1281" s="133">
        <f>IFERROR(VLOOKUP(DATA[[#This Row],[COMBINADA]],#REF!,6,0),0)</f>
        <v>0</v>
      </c>
      <c r="AH1281" s="125">
        <f>IFERROR(VLOOKUP(DATA[[#This Row],[COMBINADA]],#REF!,9,0),0)/COUNTIFS(DATA[COMBINADA],DATA[[#This Row],[COMBINADA]])</f>
        <v>0</v>
      </c>
      <c r="AI1281" s="136">
        <f>IFERROR(VLOOKUP(DATA[[#This Row],[COMBINADA]],#REF!,6,0),0)</f>
        <v>0</v>
      </c>
      <c r="AJ1281" s="132">
        <f>IFERROR(VLOOKUP(DATA[[#This Row],[COMBINADA]],#REF!,9,0),0)/COUNTIFS(DATA[COMBINADA],DATA[[#This Row],[COMBINADA]])</f>
        <v>0</v>
      </c>
      <c r="AK1281" s="407">
        <f>IFERROR(VLOOKUP(DATA[[#This Row],[COMBINADA]],#REF!,6,0),0)</f>
        <v>0</v>
      </c>
      <c r="AL1281" s="125">
        <f>IFERROR(VLOOKUP(DATA[[#This Row],[COMBINADA]],#REF!,9,0),0)/COUNTIFS(DATA[COMBINADA],DATA[[#This Row],[COMBINADA]])</f>
        <v>0</v>
      </c>
      <c r="AM1281" s="27">
        <f>IFERROR(VLOOKUP(DATA[[#This Row],[COMBINADA]],#REF!,6,0),0)</f>
        <v>0</v>
      </c>
      <c r="AN1281" s="125">
        <f>IFERROR(VLOOKUP(DATA[[#This Row],[COMBINADA]],#REF!,9,0),0)/COUNTIFS(DATA[COMBINADA],DATA[[#This Row],[COMBINADA]])</f>
        <v>0</v>
      </c>
      <c r="AO1281" s="27">
        <f>IFERROR(VLOOKUP(DATA[[#This Row],[COMBINADA]],#REF!,6,0),0)</f>
        <v>0</v>
      </c>
      <c r="AP1281" s="132">
        <f>IFERROR(VLOOKUP(DATA[[#This Row],[COMBINADA]],#REF!,9,0),0)/COUNTIFS(DATA[COMBINADA],DATA[[#This Row],[COMBINADA]])</f>
        <v>0</v>
      </c>
      <c r="AQ128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2629.8649999999998</v>
      </c>
      <c r="AR1281" s="26" t="str">
        <f>IFERROR(IF(DATA[[#This Row],[estado_fact]]="FACTURADO",VLOOKUP(DATA[[#This Row],[SERIE2]]&amp;"-"&amp;DATA[[#This Row],[NUMERO]],#REF!,34,0),"NO CORRESPONDE"),"NO CORRESPONDE")</f>
        <v>NO CORRESPONDE</v>
      </c>
      <c r="AS1281" s="22" t="str">
        <f>IF(DATA[[#This Row],[fecha_fs]]&gt;0,TEXT(DATA[[#This Row],[fecha_fs]],"Mmmm"),0)</f>
        <v>Octubre</v>
      </c>
      <c r="AT1281" s="22" t="str">
        <f>DATA[[#This Row],[SERIE2]]&amp;"-"&amp;DATA[[#This Row],[NUMERO]]</f>
        <v>FF01-300</v>
      </c>
      <c r="AU1281" s="28">
        <f>DATA[[#This Row],[TOTAL]]*DATA[[#This Row],[T.C.]]</f>
        <v>1324.55</v>
      </c>
      <c r="AV1281" s="6">
        <f>DATA[[#This Row],[FECHA DE VAL.]]</f>
        <v>45945</v>
      </c>
      <c r="AW1281" s="6">
        <f>DATA[[#This Row],[FECHA DE EMISION]]</f>
        <v>45951</v>
      </c>
      <c r="AX1281" s="6">
        <f>DATA[[#This Row],[F1]]</f>
        <v>0</v>
      </c>
      <c r="AY1281" s="20">
        <f>IF(AV1281-DATA[[#This Row],[fecha_fs]]&lt;0,0,AV1281-DATA[[#This Row],[fecha_fs]])</f>
        <v>13</v>
      </c>
      <c r="AZ1281" s="20">
        <f t="shared" si="307"/>
        <v>6</v>
      </c>
      <c r="BA1281" s="53">
        <f t="shared" si="308"/>
        <v>0</v>
      </c>
      <c r="BB1281" s="360">
        <f>IFERROR(SUM(DATA[[#This Row],[fs_val_ttf]:[fact_pago_ttf]]),0)</f>
        <v>19</v>
      </c>
      <c r="BC1281" s="377">
        <v>45937</v>
      </c>
      <c r="BD1281" s="377">
        <v>45940</v>
      </c>
      <c r="BE1281" s="377">
        <v>45952</v>
      </c>
      <c r="BF1281" s="377">
        <v>45940</v>
      </c>
      <c r="BG1281" s="20">
        <f>IFERROR(IF(BC1281-DATA[[#This Row],[fecha_fs]]&lt;0,0,BC1281-DATA[[#This Row],[fecha_fs]]),0)</f>
        <v>5</v>
      </c>
      <c r="BH1281" s="20">
        <f t="shared" si="309"/>
        <v>3</v>
      </c>
      <c r="BI1281" s="20">
        <f t="shared" si="310"/>
        <v>12</v>
      </c>
      <c r="BJ1281" s="367">
        <f t="shared" si="311"/>
        <v>0</v>
      </c>
      <c r="BK1281" s="362">
        <f>IFERROR(SUM(DATA[[#This Row],[fs_fd_ttd]:[fend_fenf_ttd]]),0)</f>
        <v>20</v>
      </c>
      <c r="BL1281" s="20" t="str">
        <f>IF(DATA[[#This Row],[fecha_fs]]&gt;0,TEXT(DATA[[#This Row],[fecha_fs]],"YYYY"),0)</f>
        <v>2025</v>
      </c>
      <c r="BM1281" s="363" t="b">
        <v>1</v>
      </c>
      <c r="BN1281" s="278">
        <f>COUNTIF(DATA[[#This Row],[tiempo_td]], "&lt;=15")</f>
        <v>0</v>
      </c>
      <c r="BO1281" s="365"/>
    </row>
    <row r="1282" spans="1:67" ht="30.6" customHeight="1" x14ac:dyDescent="0.25">
      <c r="A1282" s="4">
        <v>20610105620</v>
      </c>
      <c r="B1282" s="5" t="s">
        <v>311</v>
      </c>
      <c r="C1282" s="52" t="s">
        <v>312</v>
      </c>
      <c r="D1282" s="4" t="s">
        <v>120</v>
      </c>
      <c r="E1282" s="5" t="s">
        <v>3</v>
      </c>
      <c r="F1282" s="24">
        <v>45932</v>
      </c>
      <c r="G1282" s="7" t="s">
        <v>113</v>
      </c>
      <c r="H1282" s="25">
        <f t="shared" si="306"/>
        <v>1</v>
      </c>
      <c r="I1282" s="331">
        <v>5073</v>
      </c>
      <c r="J1282" s="8" t="s">
        <v>115</v>
      </c>
      <c r="K1282" s="9" t="s">
        <v>121</v>
      </c>
      <c r="L1282" s="10" t="s">
        <v>117</v>
      </c>
      <c r="M1282" s="11">
        <v>700</v>
      </c>
      <c r="N1282" s="12" t="s">
        <v>122</v>
      </c>
      <c r="O1282" s="6">
        <v>45959</v>
      </c>
      <c r="P1282" s="370">
        <v>3770</v>
      </c>
      <c r="Q1282" s="14" t="s">
        <v>85</v>
      </c>
      <c r="R1282" s="56">
        <f>80</f>
        <v>80</v>
      </c>
      <c r="S1282" s="56">
        <v>2650</v>
      </c>
      <c r="T1282" s="321">
        <f>DATA[[#This Row],[C. DF]]+DATA[[#This Row],[C.OPE.]]</f>
        <v>2730</v>
      </c>
      <c r="U1282" s="15">
        <f>DATA[[#This Row],[SUB TOTAL]]*0.18</f>
        <v>491.4</v>
      </c>
      <c r="V1282" s="15">
        <f>IFERROR(ROUND(DATA[[#This Row],[SUB TOTAL]]+DATA[[#This Row],[IGV]],2),0)</f>
        <v>3221.4</v>
      </c>
      <c r="W1282" s="339" t="str">
        <f>IF(DATA[[#This Row],[VALORIZACIÓN ]]="-","NO CORRESPONDE",IF(OR(A1282=20558226979,A1282=10470707866,A1282=20111157058,A1282=20100226902),"NO CORRESPONDE",IF(J1282="Emitida",IF(P1282&gt;0,"EMITIDA","PENDIENTE"),"NO CORRESPONDE")))</f>
        <v>EMITIDA</v>
      </c>
      <c r="X1282" s="29"/>
      <c r="Y1282" s="17" t="s">
        <v>232</v>
      </c>
      <c r="Z1282" s="30"/>
      <c r="AA1282" s="10"/>
      <c r="AB1282" s="19"/>
      <c r="AC1282" s="20"/>
      <c r="AD1282" s="18">
        <f>DATA[[#This Row],[FECHA DE EMISION]]+DATA[[#This Row],[CONDICION DE PAGO]]</f>
        <v>0</v>
      </c>
      <c r="AE1282" s="23">
        <f>IF(DATA[[#This Row],[MONEDA]]="USD",VLOOKUP(DATA[[#This Row],[COMBINADA]],#REF!,11,0),1)</f>
        <v>1</v>
      </c>
      <c r="AF1282" s="129" t="str">
        <f>IF(DATA[[#This Row],[SERIE2]]="-","NO CORRESPONDE",IF(W1282="NO CORRESPONDE","NO CORRESPONDE",IF(Z1282&gt;0,"FACTURADO","PENDIENTE")))</f>
        <v>PENDIENTE</v>
      </c>
      <c r="AG1282" s="133">
        <f>IFERROR(VLOOKUP(DATA[[#This Row],[COMBINADA]],#REF!,6,0),0)</f>
        <v>0</v>
      </c>
      <c r="AH1282" s="125">
        <f>IFERROR(VLOOKUP(DATA[[#This Row],[COMBINADA]],#REF!,9,0),0)/COUNTIFS(DATA[COMBINADA],DATA[[#This Row],[COMBINADA]])</f>
        <v>0</v>
      </c>
      <c r="AI1282" s="136">
        <f>IFERROR(VLOOKUP(DATA[[#This Row],[COMBINADA]],#REF!,6,0),0)</f>
        <v>0</v>
      </c>
      <c r="AJ1282" s="132">
        <f>IFERROR(VLOOKUP(DATA[[#This Row],[COMBINADA]],#REF!,9,0),0)/COUNTIFS(DATA[COMBINADA],DATA[[#This Row],[COMBINADA]])</f>
        <v>0</v>
      </c>
      <c r="AK1282" s="407">
        <f>IFERROR(VLOOKUP(DATA[[#This Row],[COMBINADA]],#REF!,6,0),0)</f>
        <v>0</v>
      </c>
      <c r="AL1282" s="125">
        <f>IFERROR(VLOOKUP(DATA[[#This Row],[COMBINADA]],#REF!,9,0),0)/COUNTIFS(DATA[COMBINADA],DATA[[#This Row],[COMBINADA]])</f>
        <v>0</v>
      </c>
      <c r="AM1282" s="27">
        <f>IFERROR(VLOOKUP(DATA[[#This Row],[COMBINADA]],#REF!,6,0),0)</f>
        <v>0</v>
      </c>
      <c r="AN1282" s="125">
        <f>IFERROR(VLOOKUP(DATA[[#This Row],[COMBINADA]],#REF!,9,0),0)/COUNTIFS(DATA[COMBINADA],DATA[[#This Row],[COMBINADA]])</f>
        <v>0</v>
      </c>
      <c r="AO1282" s="27">
        <f>IFERROR(VLOOKUP(DATA[[#This Row],[COMBINADA]],#REF!,6,0),0)</f>
        <v>0</v>
      </c>
      <c r="AP1282" s="132">
        <f>IFERROR(VLOOKUP(DATA[[#This Row],[COMBINADA]],#REF!,9,0),0)/COUNTIFS(DATA[COMBINADA],DATA[[#This Row],[COMBINADA]])</f>
        <v>0</v>
      </c>
      <c r="AQ128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282" s="26" t="str">
        <f>IFERROR(IF(DATA[[#This Row],[estado_fact]]="FACTURADO",VLOOKUP(DATA[[#This Row],[SERIE2]]&amp;"-"&amp;DATA[[#This Row],[NUMERO]],#REF!,34,0),"NO CORRESPONDE"),"NO CORRESPONDE")</f>
        <v>NO CORRESPONDE</v>
      </c>
      <c r="AS1282" s="22" t="str">
        <f>IF(DATA[[#This Row],[fecha_fs]]&gt;0,TEXT(DATA[[#This Row],[fecha_fs]],"Mmmm"),0)</f>
        <v>Octubre</v>
      </c>
      <c r="AT1282" s="22" t="str">
        <f>DATA[[#This Row],[SERIE2]]&amp;"-"&amp;DATA[[#This Row],[NUMERO]]</f>
        <v>-</v>
      </c>
      <c r="AU1282" s="28">
        <f>DATA[[#This Row],[TOTAL]]*DATA[[#This Row],[T.C.]]</f>
        <v>3221.4</v>
      </c>
      <c r="AV1282" s="6">
        <f>DATA[[#This Row],[FECHA DE VAL.]]</f>
        <v>45959</v>
      </c>
      <c r="AW1282" s="6">
        <f>DATA[[#This Row],[FECHA DE EMISION]]</f>
        <v>0</v>
      </c>
      <c r="AX1282" s="6">
        <f>DATA[[#This Row],[F1]]</f>
        <v>0</v>
      </c>
      <c r="AY1282" s="20">
        <f>IF(AV1282-DATA[[#This Row],[fecha_fs]]&lt;0,0,AV1282-DATA[[#This Row],[fecha_fs]])</f>
        <v>27</v>
      </c>
      <c r="AZ1282" s="20">
        <f t="shared" si="307"/>
        <v>0</v>
      </c>
      <c r="BA1282" s="53">
        <f t="shared" si="308"/>
        <v>0</v>
      </c>
      <c r="BB1282" s="360">
        <f>IFERROR(SUM(DATA[[#This Row],[fs_val_ttf]:[fact_pago_ttf]]),0)</f>
        <v>27</v>
      </c>
      <c r="BC1282" s="377">
        <v>45933</v>
      </c>
      <c r="BD1282" s="377">
        <v>45939</v>
      </c>
      <c r="BE1282" s="377">
        <v>45961</v>
      </c>
      <c r="BF1282" s="361" t="s">
        <v>270</v>
      </c>
      <c r="BG1282" s="20">
        <f>IFERROR(IF(BC1282-DATA[[#This Row],[fecha_fs]]&lt;0,0,BC1282-DATA[[#This Row],[fecha_fs]]),0)</f>
        <v>1</v>
      </c>
      <c r="BH1282" s="20">
        <f t="shared" si="309"/>
        <v>6</v>
      </c>
      <c r="BI1282" s="20">
        <f t="shared" si="310"/>
        <v>22</v>
      </c>
      <c r="BJ1282" s="367">
        <f t="shared" si="311"/>
        <v>0</v>
      </c>
      <c r="BK1282" s="362">
        <f>IFERROR(SUM(DATA[[#This Row],[fs_fd_ttd]:[fend_fenf_ttd]]),0)</f>
        <v>29</v>
      </c>
      <c r="BL1282" s="20" t="str">
        <f>IF(DATA[[#This Row],[fecha_fs]]&gt;0,TEXT(DATA[[#This Row],[fecha_fs]],"YYYY"),0)</f>
        <v>2025</v>
      </c>
      <c r="BM1282" s="363" t="b">
        <v>0</v>
      </c>
      <c r="BN1282" s="278">
        <f>COUNTIF(DATA[[#This Row],[tiempo_td]], "&lt;=15")</f>
        <v>0</v>
      </c>
      <c r="BO1282" s="365"/>
    </row>
    <row r="1283" spans="1:67" ht="30.6" customHeight="1" x14ac:dyDescent="0.25">
      <c r="A1283" s="4">
        <v>20454186002</v>
      </c>
      <c r="B1283" s="5" t="s">
        <v>25</v>
      </c>
      <c r="C1283" s="52" t="s">
        <v>18</v>
      </c>
      <c r="D1283" s="4" t="s">
        <v>112</v>
      </c>
      <c r="E1283" s="5" t="s">
        <v>1</v>
      </c>
      <c r="F1283" s="24">
        <v>45932</v>
      </c>
      <c r="G1283" s="7" t="s">
        <v>113</v>
      </c>
      <c r="H1283" s="25">
        <f t="shared" si="306"/>
        <v>1</v>
      </c>
      <c r="I1283" s="331">
        <v>5074</v>
      </c>
      <c r="J1283" s="8" t="s">
        <v>115</v>
      </c>
      <c r="K1283" s="9" t="s">
        <v>116</v>
      </c>
      <c r="L1283" s="10" t="s">
        <v>117</v>
      </c>
      <c r="M1283" s="11">
        <v>670</v>
      </c>
      <c r="N1283" s="12" t="s">
        <v>132</v>
      </c>
      <c r="O1283" s="6">
        <v>45936</v>
      </c>
      <c r="P1283" s="13">
        <v>3713</v>
      </c>
      <c r="Q1283" s="14" t="s">
        <v>85</v>
      </c>
      <c r="R1283" s="15">
        <f>DATA[[#This Row],[cantidad_fs]]*0.77</f>
        <v>515.9</v>
      </c>
      <c r="S1283" s="56">
        <v>977.07</v>
      </c>
      <c r="T1283" s="321">
        <f>DATA[[#This Row],[C. DF]]+DATA[[#This Row],[C.OPE.]]</f>
        <v>1492.97</v>
      </c>
      <c r="U1283" s="15">
        <f>DATA[[#This Row],[SUB TOTAL]]*0.18</f>
        <v>268.7346</v>
      </c>
      <c r="V1283" s="15">
        <f>IFERROR(ROUND(DATA[[#This Row],[SUB TOTAL]]+DATA[[#This Row],[IGV]],2),0)</f>
        <v>1761.7</v>
      </c>
      <c r="W1283" s="339" t="str">
        <f>IF(DATA[[#This Row],[VALORIZACIÓN ]]="-","NO CORRESPONDE",IF(OR(A1283=20558226979,A1283=10470707866,A1283=20111157058,A1283=20100226902),"NO CORRESPONDE",IF(J1283="Emitida",IF(P1283&gt;0,"EMITIDA","PENDIENTE"),"NO CORRESPONDE")))</f>
        <v>EMITIDA</v>
      </c>
      <c r="X1283" s="29" t="s">
        <v>354</v>
      </c>
      <c r="Y1283" s="17" t="s">
        <v>118</v>
      </c>
      <c r="Z1283" s="30">
        <v>45947</v>
      </c>
      <c r="AA1283" s="10" t="s">
        <v>150</v>
      </c>
      <c r="AB1283" s="19">
        <v>295</v>
      </c>
      <c r="AC1283" s="20">
        <v>7</v>
      </c>
      <c r="AD1283" s="18">
        <f>DATA[[#This Row],[FECHA DE EMISION]]+DATA[[#This Row],[CONDICION DE PAGO]]</f>
        <v>45954</v>
      </c>
      <c r="AE1283" s="23">
        <f>IF(DATA[[#This Row],[MONEDA]]="USD",VLOOKUP(DATA[[#This Row],[COMBINADA]],#REF!,11,0),1)</f>
        <v>1</v>
      </c>
      <c r="AF1283" s="129" t="str">
        <f>IF(DATA[[#This Row],[SERIE2]]="-","NO CORRESPONDE",IF(W1283="NO CORRESPONDE","NO CORRESPONDE",IF(Z1283&gt;0,"FACTURADO","PENDIENTE")))</f>
        <v>FACTURADO</v>
      </c>
      <c r="AG1283" s="133">
        <f>IFERROR(VLOOKUP(DATA[[#This Row],[COMBINADA]],#REF!,6,0),0)</f>
        <v>0</v>
      </c>
      <c r="AH1283" s="125">
        <f>IFERROR(VLOOKUP(DATA[[#This Row],[COMBINADA]],#REF!,9,0),0)/COUNTIFS(DATA[COMBINADA],DATA[[#This Row],[COMBINADA]])</f>
        <v>0</v>
      </c>
      <c r="AI1283" s="136">
        <f>IFERROR(VLOOKUP(DATA[[#This Row],[COMBINADA]],#REF!,6,0),0)</f>
        <v>0</v>
      </c>
      <c r="AJ1283" s="132">
        <f>IFERROR(VLOOKUP(DATA[[#This Row],[COMBINADA]],#REF!,9,0),0)/COUNTIFS(DATA[COMBINADA],DATA[[#This Row],[COMBINADA]])</f>
        <v>0</v>
      </c>
      <c r="AK1283" s="407">
        <f>IFERROR(VLOOKUP(DATA[[#This Row],[COMBINADA]],#REF!,6,0),0)</f>
        <v>0</v>
      </c>
      <c r="AL1283" s="125">
        <f>IFERROR(VLOOKUP(DATA[[#This Row],[COMBINADA]],#REF!,9,0),0)/COUNTIFS(DATA[COMBINADA],DATA[[#This Row],[COMBINADA]])</f>
        <v>0</v>
      </c>
      <c r="AM1283" s="27">
        <f>IFERROR(VLOOKUP(DATA[[#This Row],[COMBINADA]],#REF!,6,0),0)</f>
        <v>0</v>
      </c>
      <c r="AN1283" s="125">
        <f>IFERROR(VLOOKUP(DATA[[#This Row],[COMBINADA]],#REF!,9,0),0)/COUNTIFS(DATA[COMBINADA],DATA[[#This Row],[COMBINADA]])</f>
        <v>0</v>
      </c>
      <c r="AO1283" s="27">
        <f>IFERROR(VLOOKUP(DATA[[#This Row],[COMBINADA]],#REF!,6,0),0)</f>
        <v>0</v>
      </c>
      <c r="AP1283" s="132">
        <f>IFERROR(VLOOKUP(DATA[[#This Row],[COMBINADA]],#REF!,9,0),0)/COUNTIFS(DATA[COMBINADA],DATA[[#This Row],[COMBINADA]])</f>
        <v>0</v>
      </c>
      <c r="AQ128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1761.7</v>
      </c>
      <c r="AR1283" s="26" t="str">
        <f>IFERROR(IF(DATA[[#This Row],[estado_fact]]="FACTURADO",VLOOKUP(DATA[[#This Row],[SERIE2]]&amp;"-"&amp;DATA[[#This Row],[NUMERO]],#REF!,34,0),"NO CORRESPONDE"),"NO CORRESPONDE")</f>
        <v>NO CORRESPONDE</v>
      </c>
      <c r="AS1283" s="22" t="str">
        <f>IF(DATA[[#This Row],[fecha_fs]]&gt;0,TEXT(DATA[[#This Row],[fecha_fs]],"Mmmm"),0)</f>
        <v>Octubre</v>
      </c>
      <c r="AT1283" s="22" t="str">
        <f>DATA[[#This Row],[SERIE2]]&amp;"-"&amp;DATA[[#This Row],[NUMERO]]</f>
        <v>FF01-295</v>
      </c>
      <c r="AU1283" s="28">
        <f>DATA[[#This Row],[TOTAL]]*DATA[[#This Row],[T.C.]]</f>
        <v>1761.7</v>
      </c>
      <c r="AV1283" s="6">
        <f>DATA[[#This Row],[FECHA DE VAL.]]</f>
        <v>45936</v>
      </c>
      <c r="AW1283" s="6">
        <f>DATA[[#This Row],[FECHA DE EMISION]]</f>
        <v>45947</v>
      </c>
      <c r="AX1283" s="6">
        <f>DATA[[#This Row],[F1]]</f>
        <v>0</v>
      </c>
      <c r="AY1283" s="20">
        <f>IF(AV1283-DATA[[#This Row],[fecha_fs]]&lt;0,0,AV1283-DATA[[#This Row],[fecha_fs]])</f>
        <v>4</v>
      </c>
      <c r="AZ1283" s="20">
        <f t="shared" si="307"/>
        <v>11</v>
      </c>
      <c r="BA1283" s="53">
        <f t="shared" si="308"/>
        <v>0</v>
      </c>
      <c r="BB1283" s="360">
        <f>IFERROR(SUM(DATA[[#This Row],[fs_val_ttf]:[fact_pago_ttf]]),0)</f>
        <v>15</v>
      </c>
      <c r="BC1283" s="377">
        <v>45940</v>
      </c>
      <c r="BD1283" s="377">
        <v>45947</v>
      </c>
      <c r="BE1283" s="377">
        <v>45947</v>
      </c>
      <c r="BF1283" s="377">
        <v>45954</v>
      </c>
      <c r="BG1283" s="20">
        <f>IFERROR(IF(BC1283-DATA[[#This Row],[fecha_fs]]&lt;0,0,BC1283-DATA[[#This Row],[fecha_fs]]),0)</f>
        <v>8</v>
      </c>
      <c r="BH1283" s="20">
        <f t="shared" si="309"/>
        <v>7</v>
      </c>
      <c r="BI1283" s="20">
        <f t="shared" si="310"/>
        <v>0</v>
      </c>
      <c r="BJ1283" s="367">
        <f t="shared" si="311"/>
        <v>7</v>
      </c>
      <c r="BK1283" s="362">
        <f>IFERROR(SUM(DATA[[#This Row],[fs_fd_ttd]:[fend_fenf_ttd]]),0)</f>
        <v>22</v>
      </c>
      <c r="BL1283" s="20" t="str">
        <f>IF(DATA[[#This Row],[fecha_fs]]&gt;0,TEXT(DATA[[#This Row],[fecha_fs]],"YYYY"),0)</f>
        <v>2025</v>
      </c>
      <c r="BM1283" s="363" t="b">
        <v>1</v>
      </c>
      <c r="BN1283" s="278">
        <f>COUNTIF(DATA[[#This Row],[tiempo_td]], "&lt;=15")</f>
        <v>0</v>
      </c>
      <c r="BO1283" s="365"/>
    </row>
    <row r="1284" spans="1:67" ht="30.6" customHeight="1" x14ac:dyDescent="0.25">
      <c r="A1284" s="4">
        <v>20505675836</v>
      </c>
      <c r="B1284" s="5" t="s">
        <v>42</v>
      </c>
      <c r="C1284" s="52" t="s">
        <v>20</v>
      </c>
      <c r="D1284" s="4" t="s">
        <v>112</v>
      </c>
      <c r="E1284" s="5" t="s">
        <v>1</v>
      </c>
      <c r="F1284" s="24">
        <v>45933</v>
      </c>
      <c r="G1284" s="7" t="s">
        <v>113</v>
      </c>
      <c r="H1284" s="25">
        <f t="shared" si="306"/>
        <v>1</v>
      </c>
      <c r="I1284" s="331">
        <v>5075</v>
      </c>
      <c r="J1284" s="8" t="s">
        <v>115</v>
      </c>
      <c r="K1284" s="9" t="s">
        <v>116</v>
      </c>
      <c r="L1284" s="10" t="s">
        <v>117</v>
      </c>
      <c r="M1284" s="11">
        <v>320</v>
      </c>
      <c r="N1284" s="12" t="s">
        <v>125</v>
      </c>
      <c r="O1284" s="6">
        <v>45959</v>
      </c>
      <c r="P1284" s="71">
        <v>3755</v>
      </c>
      <c r="Q1284" s="14" t="s">
        <v>85</v>
      </c>
      <c r="R1284" s="15"/>
      <c r="S1284" s="56">
        <v>1988.35</v>
      </c>
      <c r="T1284" s="321">
        <f>DATA[[#This Row],[C. DF]]+DATA[[#This Row],[C.OPE.]]</f>
        <v>1988.35</v>
      </c>
      <c r="U1284" s="15">
        <f>DATA[[#This Row],[SUB TOTAL]]*0.18</f>
        <v>357.90299999999996</v>
      </c>
      <c r="V1284" s="15">
        <f>IFERROR(ROUND(DATA[[#This Row],[SUB TOTAL]]+DATA[[#This Row],[IGV]],2),0)</f>
        <v>2346.25</v>
      </c>
      <c r="W1284" s="339" t="str">
        <f>IF(DATA[[#This Row],[VALORIZACIÓN ]]="-","NO CORRESPONDE",IF(OR(A1284=20558226979,A1284=10470707866,A1284=20111157058,A1284=20100226902),"NO CORRESPONDE",IF(J1284="Emitida",IF(P1284&gt;0,"EMITIDA","PENDIENTE"),"NO CORRESPONDE")))</f>
        <v>EMITIDA</v>
      </c>
      <c r="X1284" s="29"/>
      <c r="Y1284" s="17" t="s">
        <v>118</v>
      </c>
      <c r="Z1284" s="30">
        <v>45968</v>
      </c>
      <c r="AA1284" s="10" t="s">
        <v>150</v>
      </c>
      <c r="AB1284" s="19">
        <v>344</v>
      </c>
      <c r="AC1284" s="20">
        <v>30</v>
      </c>
      <c r="AD1284" s="18">
        <f>DATA[[#This Row],[FECHA DE EMISION]]+DATA[[#This Row],[CONDICION DE PAGO]]</f>
        <v>45998</v>
      </c>
      <c r="AE1284" s="23">
        <f>IF(DATA[[#This Row],[MONEDA]]="USD",VLOOKUP(DATA[[#This Row],[COMBINADA]],#REF!,11,0),1)</f>
        <v>1</v>
      </c>
      <c r="AF1284" s="129" t="str">
        <f>IF(DATA[[#This Row],[SERIE2]]="-","NO CORRESPONDE",IF(W1284="NO CORRESPONDE","NO CORRESPONDE",IF(Z1284&gt;0,"FACTURADO","PENDIENTE")))</f>
        <v>FACTURADO</v>
      </c>
      <c r="AG1284" s="133">
        <f>IFERROR(VLOOKUP(DATA[[#This Row],[COMBINADA]],#REF!,6,0),0)</f>
        <v>0</v>
      </c>
      <c r="AH1284" s="125">
        <f>IFERROR(VLOOKUP(DATA[[#This Row],[COMBINADA]],#REF!,9,0),0)/COUNTIFS(DATA[COMBINADA],DATA[[#This Row],[COMBINADA]])</f>
        <v>0</v>
      </c>
      <c r="AI1284" s="136">
        <f>IFERROR(VLOOKUP(DATA[[#This Row],[COMBINADA]],#REF!,6,0),0)</f>
        <v>0</v>
      </c>
      <c r="AJ1284" s="132">
        <f>IFERROR(VLOOKUP(DATA[[#This Row],[COMBINADA]],#REF!,9,0),0)/COUNTIFS(DATA[COMBINADA],DATA[[#This Row],[COMBINADA]])</f>
        <v>0</v>
      </c>
      <c r="AK1284" s="407">
        <f>IFERROR(VLOOKUP(DATA[[#This Row],[COMBINADA]],#REF!,6,0),0)</f>
        <v>0</v>
      </c>
      <c r="AL1284" s="125">
        <f>IFERROR(VLOOKUP(DATA[[#This Row],[COMBINADA]],#REF!,9,0),0)/COUNTIFS(DATA[COMBINADA],DATA[[#This Row],[COMBINADA]])</f>
        <v>0</v>
      </c>
      <c r="AM1284" s="27">
        <f>IFERROR(VLOOKUP(DATA[[#This Row],[COMBINADA]],#REF!,6,0),0)</f>
        <v>0</v>
      </c>
      <c r="AN1284" s="125">
        <f>IFERROR(VLOOKUP(DATA[[#This Row],[COMBINADA]],#REF!,9,0),0)/COUNTIFS(DATA[COMBINADA],DATA[[#This Row],[COMBINADA]])</f>
        <v>0</v>
      </c>
      <c r="AO1284" s="27">
        <f>IFERROR(VLOOKUP(DATA[[#This Row],[COMBINADA]],#REF!,6,0),0)</f>
        <v>0</v>
      </c>
      <c r="AP1284" s="132">
        <f>IFERROR(VLOOKUP(DATA[[#This Row],[COMBINADA]],#REF!,9,0),0)/COUNTIFS(DATA[COMBINADA],DATA[[#This Row],[COMBINADA]])</f>
        <v>0</v>
      </c>
      <c r="AQ128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1991.9450000000002</v>
      </c>
      <c r="AR1284" s="26" t="str">
        <f>IFERROR(IF(DATA[[#This Row],[estado_fact]]="FACTURADO",VLOOKUP(DATA[[#This Row],[SERIE2]]&amp;"-"&amp;DATA[[#This Row],[NUMERO]],#REF!,34,0),"NO CORRESPONDE"),"NO CORRESPONDE")</f>
        <v>NO CORRESPONDE</v>
      </c>
      <c r="AS1284" s="22" t="str">
        <f>IF(DATA[[#This Row],[fecha_fs]]&gt;0,TEXT(DATA[[#This Row],[fecha_fs]],"Mmmm"),0)</f>
        <v>Octubre</v>
      </c>
      <c r="AT1284" s="22" t="str">
        <f>DATA[[#This Row],[SERIE2]]&amp;"-"&amp;DATA[[#This Row],[NUMERO]]</f>
        <v>FF01-344</v>
      </c>
      <c r="AU1284" s="28">
        <f>DATA[[#This Row],[TOTAL]]*DATA[[#This Row],[T.C.]]</f>
        <v>2346.25</v>
      </c>
      <c r="AV1284" s="6">
        <f>DATA[[#This Row],[FECHA DE VAL.]]</f>
        <v>45959</v>
      </c>
      <c r="AW1284" s="6">
        <f>DATA[[#This Row],[FECHA DE EMISION]]</f>
        <v>45968</v>
      </c>
      <c r="AX1284" s="6">
        <f>DATA[[#This Row],[F1]]</f>
        <v>0</v>
      </c>
      <c r="AY1284" s="20">
        <f>IF(AV1284-DATA[[#This Row],[fecha_fs]]&lt;0,0,AV1284-DATA[[#This Row],[fecha_fs]])</f>
        <v>26</v>
      </c>
      <c r="AZ1284" s="20">
        <f t="shared" si="307"/>
        <v>9</v>
      </c>
      <c r="BA1284" s="53">
        <f t="shared" si="308"/>
        <v>0</v>
      </c>
      <c r="BB1284" s="360">
        <f>IFERROR(SUM(DATA[[#This Row],[fs_val_ttf]:[fact_pago_ttf]]),0)</f>
        <v>35</v>
      </c>
      <c r="BC1284" s="377">
        <v>45945</v>
      </c>
      <c r="BD1284" s="377">
        <v>45952</v>
      </c>
      <c r="BE1284" s="377">
        <v>45966</v>
      </c>
      <c r="BF1284" s="334" t="s">
        <v>270</v>
      </c>
      <c r="BG1284" s="20">
        <f>IFERROR(IF(BC1284-DATA[[#This Row],[fecha_fs]]&lt;0,0,BC1284-DATA[[#This Row],[fecha_fs]]),0)</f>
        <v>12</v>
      </c>
      <c r="BH1284" s="20">
        <f t="shared" si="309"/>
        <v>7</v>
      </c>
      <c r="BI1284" s="20">
        <f t="shared" si="310"/>
        <v>14</v>
      </c>
      <c r="BJ1284" s="367">
        <f t="shared" si="311"/>
        <v>0</v>
      </c>
      <c r="BK1284" s="362">
        <f>IFERROR(SUM(DATA[[#This Row],[fs_fd_ttd]:[fend_fenf_ttd]]),0)</f>
        <v>33</v>
      </c>
      <c r="BL1284" s="20" t="str">
        <f>IF(DATA[[#This Row],[fecha_fs]]&gt;0,TEXT(DATA[[#This Row],[fecha_fs]],"YYYY"),0)</f>
        <v>2025</v>
      </c>
      <c r="BM1284" s="363" t="b">
        <v>0</v>
      </c>
      <c r="BN1284" s="278">
        <f>COUNTIF(DATA[[#This Row],[tiempo_td]], "&lt;=15")</f>
        <v>0</v>
      </c>
      <c r="BO1284" s="365"/>
    </row>
    <row r="1285" spans="1:67" ht="30.6" customHeight="1" x14ac:dyDescent="0.25">
      <c r="A1285" s="4">
        <v>20454186002</v>
      </c>
      <c r="B1285" s="5" t="s">
        <v>25</v>
      </c>
      <c r="C1285" s="52" t="s">
        <v>18</v>
      </c>
      <c r="D1285" s="4" t="s">
        <v>133</v>
      </c>
      <c r="E1285" s="5" t="s">
        <v>291</v>
      </c>
      <c r="F1285" s="24">
        <v>45932</v>
      </c>
      <c r="G1285" s="7" t="s">
        <v>113</v>
      </c>
      <c r="H1285" s="25">
        <f t="shared" ref="H1285:H1294" si="312">IF(G1285="","",IF(G1285="LIM",2,1))</f>
        <v>1</v>
      </c>
      <c r="I1285" s="331">
        <v>5076</v>
      </c>
      <c r="J1285" s="8" t="s">
        <v>115</v>
      </c>
      <c r="K1285" s="9" t="s">
        <v>134</v>
      </c>
      <c r="L1285" s="10" t="s">
        <v>117</v>
      </c>
      <c r="M1285" s="11">
        <v>20</v>
      </c>
      <c r="N1285" s="12" t="s">
        <v>132</v>
      </c>
      <c r="O1285" s="6">
        <v>45936</v>
      </c>
      <c r="P1285" s="13">
        <v>3714</v>
      </c>
      <c r="Q1285" s="14" t="s">
        <v>85</v>
      </c>
      <c r="R1285" s="56"/>
      <c r="S1285" s="15">
        <v>997</v>
      </c>
      <c r="T1285" s="321">
        <f>DATA[[#This Row],[C. DF]]+DATA[[#This Row],[C.OPE.]]</f>
        <v>997</v>
      </c>
      <c r="U1285" s="15">
        <f>DATA[[#This Row],[SUB TOTAL]]*0.18</f>
        <v>179.45999999999998</v>
      </c>
      <c r="V1285" s="15">
        <f>IFERROR(ROUND(DATA[[#This Row],[SUB TOTAL]]+DATA[[#This Row],[IGV]],2),0)</f>
        <v>1176.46</v>
      </c>
      <c r="W1285" s="339" t="str">
        <f>IF(DATA[[#This Row],[VALORIZACIÓN ]]="-","NO CORRESPONDE",IF(OR(A1285=20558226979,A1285=10470707866,A1285=20111157058,A1285=20100226902),"NO CORRESPONDE",IF(J1285="Emitida",IF(P1285&gt;0,"EMITIDA","PENDIENTE"),"NO CORRESPONDE")))</f>
        <v>EMITIDA</v>
      </c>
      <c r="X1285" s="29"/>
      <c r="Y1285" s="17" t="s">
        <v>118</v>
      </c>
      <c r="Z1285" s="30">
        <v>45953</v>
      </c>
      <c r="AA1285" s="10" t="s">
        <v>150</v>
      </c>
      <c r="AB1285" s="19">
        <v>301</v>
      </c>
      <c r="AC1285" s="20">
        <v>5</v>
      </c>
      <c r="AD1285" s="18">
        <f>DATA[[#This Row],[FECHA DE EMISION]]+DATA[[#This Row],[CONDICION DE PAGO]]</f>
        <v>45958</v>
      </c>
      <c r="AE1285" s="23">
        <f>IF(DATA[[#This Row],[MONEDA]]="USD",VLOOKUP(DATA[[#This Row],[COMBINADA]],#REF!,11,0),1)</f>
        <v>1</v>
      </c>
      <c r="AF1285" s="129" t="str">
        <f>IF(DATA[[#This Row],[SERIE2]]="-","NO CORRESPONDE",IF(W1285="NO CORRESPONDE","NO CORRESPONDE",IF(Z1285&gt;0,"FACTURADO","PENDIENTE")))</f>
        <v>FACTURADO</v>
      </c>
      <c r="AG1285" s="133">
        <f>IFERROR(VLOOKUP(DATA[[#This Row],[COMBINADA]],#REF!,6,0),0)</f>
        <v>0</v>
      </c>
      <c r="AH1285" s="125">
        <f>IFERROR(VLOOKUP(DATA[[#This Row],[COMBINADA]],#REF!,9,0),0)/COUNTIFS(DATA[COMBINADA],DATA[[#This Row],[COMBINADA]])</f>
        <v>0</v>
      </c>
      <c r="AI1285" s="136">
        <f>IFERROR(VLOOKUP(DATA[[#This Row],[COMBINADA]],#REF!,6,0),0)</f>
        <v>0</v>
      </c>
      <c r="AJ1285" s="132">
        <f>IFERROR(VLOOKUP(DATA[[#This Row],[COMBINADA]],#REF!,9,0),0)/COUNTIFS(DATA[COMBINADA],DATA[[#This Row],[COMBINADA]])</f>
        <v>0</v>
      </c>
      <c r="AK1285" s="407">
        <f>IFERROR(VLOOKUP(DATA[[#This Row],[COMBINADA]],#REF!,6,0),0)</f>
        <v>0</v>
      </c>
      <c r="AL1285" s="125">
        <f>IFERROR(VLOOKUP(DATA[[#This Row],[COMBINADA]],#REF!,9,0),0)/COUNTIFS(DATA[COMBINADA],DATA[[#This Row],[COMBINADA]])</f>
        <v>0</v>
      </c>
      <c r="AM1285" s="27">
        <f>IFERROR(VLOOKUP(DATA[[#This Row],[COMBINADA]],#REF!,6,0),0)</f>
        <v>0</v>
      </c>
      <c r="AN1285" s="125">
        <f>IFERROR(VLOOKUP(DATA[[#This Row],[COMBINADA]],#REF!,9,0),0)/COUNTIFS(DATA[COMBINADA],DATA[[#This Row],[COMBINADA]])</f>
        <v>0</v>
      </c>
      <c r="AO1285" s="27">
        <f>IFERROR(VLOOKUP(DATA[[#This Row],[COMBINADA]],#REF!,6,0),0)</f>
        <v>0</v>
      </c>
      <c r="AP1285" s="132">
        <f>IFERROR(VLOOKUP(DATA[[#This Row],[COMBINADA]],#REF!,9,0),0)/COUNTIFS(DATA[COMBINADA],DATA[[#This Row],[COMBINADA]])</f>
        <v>0</v>
      </c>
      <c r="AQ128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1176.46</v>
      </c>
      <c r="AR1285" s="26" t="str">
        <f>IFERROR(IF(DATA[[#This Row],[estado_fact]]="FACTURADO",VLOOKUP(DATA[[#This Row],[SERIE2]]&amp;"-"&amp;DATA[[#This Row],[NUMERO]],#REF!,34,0),"NO CORRESPONDE"),"NO CORRESPONDE")</f>
        <v>NO CORRESPONDE</v>
      </c>
      <c r="AS1285" s="22" t="str">
        <f>IF(DATA[[#This Row],[fecha_fs]]&gt;0,TEXT(DATA[[#This Row],[fecha_fs]],"Mmmm"),0)</f>
        <v>Octubre</v>
      </c>
      <c r="AT1285" s="22" t="str">
        <f>DATA[[#This Row],[SERIE2]]&amp;"-"&amp;DATA[[#This Row],[NUMERO]]</f>
        <v>FF01-301</v>
      </c>
      <c r="AU1285" s="28">
        <f>DATA[[#This Row],[TOTAL]]*DATA[[#This Row],[T.C.]]</f>
        <v>1176.46</v>
      </c>
      <c r="AV1285" s="6">
        <f>DATA[[#This Row],[FECHA DE VAL.]]</f>
        <v>45936</v>
      </c>
      <c r="AW1285" s="6">
        <f>DATA[[#This Row],[FECHA DE EMISION]]</f>
        <v>45953</v>
      </c>
      <c r="AX1285" s="6">
        <f>DATA[[#This Row],[F1]]</f>
        <v>0</v>
      </c>
      <c r="AY1285" s="20">
        <f>IF(AV1285-DATA[[#This Row],[fecha_fs]]&lt;0,0,AV1285-DATA[[#This Row],[fecha_fs]])</f>
        <v>4</v>
      </c>
      <c r="AZ1285" s="20">
        <f t="shared" si="307"/>
        <v>17</v>
      </c>
      <c r="BA1285" s="53">
        <f t="shared" si="308"/>
        <v>0</v>
      </c>
      <c r="BB1285" s="360">
        <f>IFERROR(SUM(DATA[[#This Row],[fs_val_ttf]:[fact_pago_ttf]]),0)</f>
        <v>21</v>
      </c>
      <c r="BC1285" s="377">
        <v>45940</v>
      </c>
      <c r="BD1285" s="377">
        <v>45947</v>
      </c>
      <c r="BE1285" s="377">
        <v>45947</v>
      </c>
      <c r="BF1285" s="377">
        <v>45954</v>
      </c>
      <c r="BG1285" s="20">
        <f>IFERROR(IF(BC1285-DATA[[#This Row],[fecha_fs]]&lt;0,0,BC1285-DATA[[#This Row],[fecha_fs]]),0)</f>
        <v>8</v>
      </c>
      <c r="BH1285" s="20">
        <f t="shared" si="309"/>
        <v>7</v>
      </c>
      <c r="BI1285" s="20">
        <f t="shared" si="310"/>
        <v>0</v>
      </c>
      <c r="BJ1285" s="367">
        <f t="shared" si="311"/>
        <v>7</v>
      </c>
      <c r="BK1285" s="362">
        <f>IFERROR(SUM(DATA[[#This Row],[fs_fd_ttd]:[fend_fenf_ttd]]),0)</f>
        <v>22</v>
      </c>
      <c r="BL1285" s="20" t="str">
        <f>IF(DATA[[#This Row],[fecha_fs]]&gt;0,TEXT(DATA[[#This Row],[fecha_fs]],"YYYY"),0)</f>
        <v>2025</v>
      </c>
      <c r="BM1285" s="363" t="b">
        <v>1</v>
      </c>
      <c r="BN1285" s="278">
        <f>COUNTIF(DATA[[#This Row],[tiempo_td]], "&lt;=15")</f>
        <v>0</v>
      </c>
      <c r="BO1285" s="365"/>
    </row>
    <row r="1286" spans="1:67" ht="30.6" customHeight="1" x14ac:dyDescent="0.25">
      <c r="A1286" s="4">
        <v>20141637941</v>
      </c>
      <c r="B1286" s="5" t="s">
        <v>79</v>
      </c>
      <c r="C1286" s="52" t="s">
        <v>18</v>
      </c>
      <c r="D1286" s="4" t="s">
        <v>120</v>
      </c>
      <c r="E1286" s="5" t="s">
        <v>3</v>
      </c>
      <c r="F1286" s="24">
        <v>45933</v>
      </c>
      <c r="G1286" s="7" t="s">
        <v>113</v>
      </c>
      <c r="H1286" s="25">
        <f t="shared" si="312"/>
        <v>1</v>
      </c>
      <c r="I1286" s="331">
        <v>5077</v>
      </c>
      <c r="J1286" s="8" t="s">
        <v>115</v>
      </c>
      <c r="K1286" s="9" t="s">
        <v>121</v>
      </c>
      <c r="L1286" s="10" t="s">
        <v>117</v>
      </c>
      <c r="M1286" s="11">
        <v>1150</v>
      </c>
      <c r="N1286" s="12" t="s">
        <v>125</v>
      </c>
      <c r="O1286" s="6">
        <v>45939</v>
      </c>
      <c r="P1286" s="110">
        <v>3716</v>
      </c>
      <c r="Q1286" s="14" t="s">
        <v>85</v>
      </c>
      <c r="R1286" s="321">
        <f>80+((DATA[[#This Row],[cantidad_fs]]-1000)*0.08)</f>
        <v>92</v>
      </c>
      <c r="S1286" s="321">
        <v>832</v>
      </c>
      <c r="T1286" s="321">
        <f>DATA[[#This Row],[C. DF]]+DATA[[#This Row],[C.OPE.]]</f>
        <v>924</v>
      </c>
      <c r="U1286" s="15">
        <f>DATA[[#This Row],[SUB TOTAL]]*0.18</f>
        <v>166.32</v>
      </c>
      <c r="V1286" s="15">
        <f>IFERROR(ROUND(DATA[[#This Row],[SUB TOTAL]]+DATA[[#This Row],[IGV]],2),0)</f>
        <v>1090.32</v>
      </c>
      <c r="W1286" s="339" t="str">
        <f>IF(DATA[[#This Row],[VALORIZACIÓN ]]="-","NO CORRESPONDE",IF(OR(A1286=20558226979,A1286=10470707866,A1286=20111157058,A1286=20100226902),"NO CORRESPONDE",IF(J1286="Emitida",IF(P1286&gt;0,"EMITIDA","PENDIENTE"),"NO CORRESPONDE")))</f>
        <v>EMITIDA</v>
      </c>
      <c r="X1286" s="29"/>
      <c r="Y1286" s="17" t="s">
        <v>118</v>
      </c>
      <c r="Z1286" s="30">
        <v>45940</v>
      </c>
      <c r="AA1286" s="10" t="s">
        <v>150</v>
      </c>
      <c r="AB1286" s="19">
        <v>285</v>
      </c>
      <c r="AC1286" s="20">
        <v>30</v>
      </c>
      <c r="AD1286" s="18">
        <f>DATA[[#This Row],[FECHA DE EMISION]]+DATA[[#This Row],[CONDICION DE PAGO]]</f>
        <v>45970</v>
      </c>
      <c r="AE1286" s="23">
        <f>IF(DATA[[#This Row],[MONEDA]]="USD",VLOOKUP(DATA[[#This Row],[COMBINADA]],#REF!,11,0),1)</f>
        <v>1</v>
      </c>
      <c r="AF1286" s="129" t="str">
        <f>IF(DATA[[#This Row],[SERIE2]]="-","NO CORRESPONDE",IF(W1286="NO CORRESPONDE","NO CORRESPONDE",IF(Z1286&gt;0,"FACTURADO","PENDIENTE")))</f>
        <v>FACTURADO</v>
      </c>
      <c r="AG1286" s="133">
        <f>IFERROR(VLOOKUP(DATA[[#This Row],[COMBINADA]],#REF!,6,0),0)</f>
        <v>0</v>
      </c>
      <c r="AH1286" s="125">
        <f>IFERROR(VLOOKUP(DATA[[#This Row],[COMBINADA]],#REF!,9,0),0)/COUNTIFS(DATA[COMBINADA],DATA[[#This Row],[COMBINADA]])</f>
        <v>0</v>
      </c>
      <c r="AI1286" s="136">
        <f>IFERROR(VLOOKUP(DATA[[#This Row],[COMBINADA]],#REF!,6,0),0)</f>
        <v>0</v>
      </c>
      <c r="AJ1286" s="132">
        <f>IFERROR(VLOOKUP(DATA[[#This Row],[COMBINADA]],#REF!,9,0),0)/COUNTIFS(DATA[COMBINADA],DATA[[#This Row],[COMBINADA]])</f>
        <v>0</v>
      </c>
      <c r="AK1286" s="407">
        <f>IFERROR(VLOOKUP(DATA[[#This Row],[COMBINADA]],#REF!,6,0),0)</f>
        <v>0</v>
      </c>
      <c r="AL1286" s="125">
        <f>IFERROR(VLOOKUP(DATA[[#This Row],[COMBINADA]],#REF!,9,0),0)/COUNTIFS(DATA[COMBINADA],DATA[[#This Row],[COMBINADA]])</f>
        <v>0</v>
      </c>
      <c r="AM1286" s="27">
        <f>IFERROR(VLOOKUP(DATA[[#This Row],[COMBINADA]],#REF!,6,0),0)</f>
        <v>0</v>
      </c>
      <c r="AN1286" s="125">
        <f>IFERROR(VLOOKUP(DATA[[#This Row],[COMBINADA]],#REF!,9,0),0)/COUNTIFS(DATA[COMBINADA],DATA[[#This Row],[COMBINADA]])</f>
        <v>0</v>
      </c>
      <c r="AO1286" s="27">
        <f>IFERROR(VLOOKUP(DATA[[#This Row],[COMBINADA]],#REF!,6,0),0)</f>
        <v>0</v>
      </c>
      <c r="AP1286" s="132">
        <f>IFERROR(VLOOKUP(DATA[[#This Row],[COMBINADA]],#REF!,9,0),0)/COUNTIFS(DATA[COMBINADA],DATA[[#This Row],[COMBINADA]])</f>
        <v>0</v>
      </c>
      <c r="AQ128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1079.7</v>
      </c>
      <c r="AR1286" s="26" t="str">
        <f>IFERROR(IF(DATA[[#This Row],[estado_fact]]="FACTURADO",VLOOKUP(DATA[[#This Row],[SERIE2]]&amp;"-"&amp;DATA[[#This Row],[NUMERO]],#REF!,34,0),"NO CORRESPONDE"),"NO CORRESPONDE")</f>
        <v>NO CORRESPONDE</v>
      </c>
      <c r="AS1286" s="22" t="str">
        <f>IF(DATA[[#This Row],[fecha_fs]]&gt;0,TEXT(DATA[[#This Row],[fecha_fs]],"Mmmm"),0)</f>
        <v>Octubre</v>
      </c>
      <c r="AT1286" s="22" t="str">
        <f>DATA[[#This Row],[SERIE2]]&amp;"-"&amp;DATA[[#This Row],[NUMERO]]</f>
        <v>FF01-285</v>
      </c>
      <c r="AU1286" s="28">
        <f>DATA[[#This Row],[TOTAL]]*DATA[[#This Row],[T.C.]]</f>
        <v>1090.32</v>
      </c>
      <c r="AV1286" s="6">
        <f>DATA[[#This Row],[FECHA DE VAL.]]</f>
        <v>45939</v>
      </c>
      <c r="AW1286" s="6">
        <f>DATA[[#This Row],[FECHA DE EMISION]]</f>
        <v>45940</v>
      </c>
      <c r="AX1286" s="6">
        <f>DATA[[#This Row],[F1]]</f>
        <v>0</v>
      </c>
      <c r="AY1286" s="20">
        <f>IF(AV1286-DATA[[#This Row],[fecha_fs]]&lt;0,0,AV1286-DATA[[#This Row],[fecha_fs]])</f>
        <v>6</v>
      </c>
      <c r="AZ1286" s="20">
        <f t="shared" si="307"/>
        <v>1</v>
      </c>
      <c r="BA1286" s="53">
        <f t="shared" si="308"/>
        <v>0</v>
      </c>
      <c r="BB1286" s="360">
        <f>IFERROR(SUM(DATA[[#This Row],[fs_val_ttf]:[fact_pago_ttf]]),0)</f>
        <v>7</v>
      </c>
      <c r="BC1286" s="377">
        <v>45933</v>
      </c>
      <c r="BD1286" s="377">
        <v>45939</v>
      </c>
      <c r="BE1286" s="377">
        <v>45964</v>
      </c>
      <c r="BF1286" s="377">
        <v>45967</v>
      </c>
      <c r="BG1286" s="20">
        <f>IFERROR(IF(BC1286-DATA[[#This Row],[fecha_fs]]&lt;0,0,BC1286-DATA[[#This Row],[fecha_fs]]),0)</f>
        <v>0</v>
      </c>
      <c r="BH1286" s="20">
        <f t="shared" si="309"/>
        <v>6</v>
      </c>
      <c r="BI1286" s="20">
        <f t="shared" si="310"/>
        <v>25</v>
      </c>
      <c r="BJ1286" s="367">
        <f t="shared" si="311"/>
        <v>3</v>
      </c>
      <c r="BK1286" s="362">
        <f>IFERROR(SUM(DATA[[#This Row],[fs_fd_ttd]:[fend_fenf_ttd]]),0)</f>
        <v>34</v>
      </c>
      <c r="BL1286" s="20" t="str">
        <f>IF(DATA[[#This Row],[fecha_fs]]&gt;0,TEXT(DATA[[#This Row],[fecha_fs]],"YYYY"),0)</f>
        <v>2025</v>
      </c>
      <c r="BM1286" s="363" t="b">
        <v>1</v>
      </c>
      <c r="BN1286" s="278">
        <f>COUNTIF(DATA[[#This Row],[tiempo_td]], "&lt;=15")</f>
        <v>0</v>
      </c>
      <c r="BO1286" s="365"/>
    </row>
    <row r="1287" spans="1:67" ht="30.6" customHeight="1" x14ac:dyDescent="0.25">
      <c r="A1287" s="4">
        <v>20100211115</v>
      </c>
      <c r="B1287" s="5" t="s">
        <v>41</v>
      </c>
      <c r="C1287" s="52" t="s">
        <v>18</v>
      </c>
      <c r="D1287" s="4" t="s">
        <v>120</v>
      </c>
      <c r="E1287" s="5" t="s">
        <v>3</v>
      </c>
      <c r="F1287" s="24">
        <v>45933</v>
      </c>
      <c r="G1287" s="7" t="s">
        <v>113</v>
      </c>
      <c r="H1287" s="25">
        <f t="shared" si="312"/>
        <v>1</v>
      </c>
      <c r="I1287" s="331">
        <v>5078</v>
      </c>
      <c r="J1287" s="8" t="s">
        <v>115</v>
      </c>
      <c r="K1287" s="9" t="s">
        <v>121</v>
      </c>
      <c r="L1287" s="10" t="s">
        <v>117</v>
      </c>
      <c r="M1287" s="11">
        <v>90</v>
      </c>
      <c r="N1287" s="12" t="s">
        <v>132</v>
      </c>
      <c r="O1287" s="6">
        <v>45957</v>
      </c>
      <c r="P1287" s="115">
        <v>3742</v>
      </c>
      <c r="Q1287" s="14" t="s">
        <v>85</v>
      </c>
      <c r="R1287" s="74"/>
      <c r="S1287" s="321">
        <f>(DATA[[#This Row],[cantidad_fs]]*4.17)</f>
        <v>375.3</v>
      </c>
      <c r="T1287" s="321">
        <f>DATA[[#This Row],[C. DF]]+DATA[[#This Row],[C.OPE.]]</f>
        <v>375.3</v>
      </c>
      <c r="U1287" s="15">
        <f>DATA[[#This Row],[SUB TOTAL]]*0.18</f>
        <v>67.554000000000002</v>
      </c>
      <c r="V1287" s="15">
        <f>IFERROR(ROUND(DATA[[#This Row],[SUB TOTAL]]+DATA[[#This Row],[IGV]],2),0)</f>
        <v>442.85</v>
      </c>
      <c r="W1287" s="339" t="str">
        <f>IF(DATA[[#This Row],[VALORIZACIÓN ]]="-","NO CORRESPONDE",IF(OR(A1287=20558226979,A1287=10470707866,A1287=20111157058,A1287=20100226902),"NO CORRESPONDE",IF(J1287="Emitida",IF(P1287&gt;0,"EMITIDA","PENDIENTE"),"NO CORRESPONDE")))</f>
        <v>EMITIDA</v>
      </c>
      <c r="X1287" s="29"/>
      <c r="Y1287" s="17" t="s">
        <v>118</v>
      </c>
      <c r="Z1287" s="30">
        <v>45958</v>
      </c>
      <c r="AA1287" s="10" t="s">
        <v>150</v>
      </c>
      <c r="AB1287" s="19">
        <v>309</v>
      </c>
      <c r="AC1287" s="20">
        <v>30</v>
      </c>
      <c r="AD1287" s="18">
        <f>DATA[[#This Row],[FECHA DE EMISION]]+DATA[[#This Row],[CONDICION DE PAGO]]</f>
        <v>45988</v>
      </c>
      <c r="AE1287" s="23">
        <f>IF(DATA[[#This Row],[MONEDA]]="USD",VLOOKUP(DATA[[#This Row],[COMBINADA]],#REF!,11,0),1)</f>
        <v>1</v>
      </c>
      <c r="AF1287" s="129" t="str">
        <f>IF(DATA[[#This Row],[SERIE2]]="-","NO CORRESPONDE",IF(W1287="NO CORRESPONDE","NO CORRESPONDE",IF(Z1287&gt;0,"FACTURADO","PENDIENTE")))</f>
        <v>FACTURADO</v>
      </c>
      <c r="AG1287" s="133">
        <f>IFERROR(VLOOKUP(DATA[[#This Row],[COMBINADA]],#REF!,6,0),0)</f>
        <v>0</v>
      </c>
      <c r="AH1287" s="125">
        <f>IFERROR(VLOOKUP(DATA[[#This Row],[COMBINADA]],#REF!,9,0),0)/COUNTIFS(DATA[COMBINADA],DATA[[#This Row],[COMBINADA]])</f>
        <v>0</v>
      </c>
      <c r="AI1287" s="136">
        <f>IFERROR(VLOOKUP(DATA[[#This Row],[COMBINADA]],#REF!,6,0),0)</f>
        <v>0</v>
      </c>
      <c r="AJ1287" s="132">
        <f>IFERROR(VLOOKUP(DATA[[#This Row],[COMBINADA]],#REF!,9,0),0)/COUNTIFS(DATA[COMBINADA],DATA[[#This Row],[COMBINADA]])</f>
        <v>0</v>
      </c>
      <c r="AK1287" s="407">
        <f>IFERROR(VLOOKUP(DATA[[#This Row],[COMBINADA]],#REF!,6,0),0)</f>
        <v>0</v>
      </c>
      <c r="AL1287" s="125">
        <f>IFERROR(VLOOKUP(DATA[[#This Row],[COMBINADA]],#REF!,9,0),0)/COUNTIFS(DATA[COMBINADA],DATA[[#This Row],[COMBINADA]])</f>
        <v>0</v>
      </c>
      <c r="AM1287" s="27">
        <f>IFERROR(VLOOKUP(DATA[[#This Row],[COMBINADA]],#REF!,6,0),0)</f>
        <v>0</v>
      </c>
      <c r="AN1287" s="125">
        <f>IFERROR(VLOOKUP(DATA[[#This Row],[COMBINADA]],#REF!,9,0),0)/COUNTIFS(DATA[COMBINADA],DATA[[#This Row],[COMBINADA]])</f>
        <v>0</v>
      </c>
      <c r="AO1287" s="27">
        <f>IFERROR(VLOOKUP(DATA[[#This Row],[COMBINADA]],#REF!,6,0),0)</f>
        <v>0</v>
      </c>
      <c r="AP1287" s="132">
        <f>IFERROR(VLOOKUP(DATA[[#This Row],[COMBINADA]],#REF!,9,0),0)/COUNTIFS(DATA[COMBINADA],DATA[[#This Row],[COMBINADA]])</f>
        <v>0</v>
      </c>
      <c r="AQ128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287" s="26" t="str">
        <f>IFERROR(IF(DATA[[#This Row],[estado_fact]]="FACTURADO",VLOOKUP(DATA[[#This Row],[SERIE2]]&amp;"-"&amp;DATA[[#This Row],[NUMERO]],#REF!,34,0),"NO CORRESPONDE"),"NO CORRESPONDE")</f>
        <v>NO CORRESPONDE</v>
      </c>
      <c r="AS1287" s="22" t="str">
        <f>IF(DATA[[#This Row],[fecha_fs]]&gt;0,TEXT(DATA[[#This Row],[fecha_fs]],"Mmmm"),0)</f>
        <v>Octubre</v>
      </c>
      <c r="AT1287" s="22" t="str">
        <f>DATA[[#This Row],[SERIE2]]&amp;"-"&amp;DATA[[#This Row],[NUMERO]]</f>
        <v>FF01-309</v>
      </c>
      <c r="AU1287" s="28">
        <f>DATA[[#This Row],[TOTAL]]*DATA[[#This Row],[T.C.]]</f>
        <v>442.85</v>
      </c>
      <c r="AV1287" s="6">
        <f>DATA[[#This Row],[FECHA DE VAL.]]</f>
        <v>45957</v>
      </c>
      <c r="AW1287" s="6">
        <f>DATA[[#This Row],[FECHA DE EMISION]]</f>
        <v>45958</v>
      </c>
      <c r="AX1287" s="6">
        <f>DATA[[#This Row],[F1]]</f>
        <v>0</v>
      </c>
      <c r="AY1287" s="20">
        <f>IF(AV1287-DATA[[#This Row],[fecha_fs]]&lt;0,0,AV1287-DATA[[#This Row],[fecha_fs]])</f>
        <v>24</v>
      </c>
      <c r="AZ1287" s="20">
        <f t="shared" si="307"/>
        <v>1</v>
      </c>
      <c r="BA1287" s="53">
        <f t="shared" si="308"/>
        <v>0</v>
      </c>
      <c r="BB1287" s="360">
        <f>IFERROR(SUM(DATA[[#This Row],[fs_val_ttf]:[fact_pago_ttf]]),0)</f>
        <v>25</v>
      </c>
      <c r="BC1287" s="233">
        <v>45957</v>
      </c>
      <c r="BD1287" s="233">
        <v>45964</v>
      </c>
      <c r="BE1287" s="233">
        <v>45967</v>
      </c>
      <c r="BF1287" s="233">
        <v>45967</v>
      </c>
      <c r="BG1287" s="20">
        <f>IFERROR(IF(BC1287-DATA[[#This Row],[fecha_fs]]&lt;0,0,BC1287-DATA[[#This Row],[fecha_fs]]),0)</f>
        <v>24</v>
      </c>
      <c r="BH1287" s="20">
        <f t="shared" si="309"/>
        <v>7</v>
      </c>
      <c r="BI1287" s="20">
        <f t="shared" si="310"/>
        <v>3</v>
      </c>
      <c r="BJ1287" s="367">
        <f t="shared" si="311"/>
        <v>0</v>
      </c>
      <c r="BK1287" s="362">
        <f>IFERROR(SUM(DATA[[#This Row],[fs_fd_ttd]:[fend_fenf_ttd]]),0)</f>
        <v>34</v>
      </c>
      <c r="BL1287" s="20" t="str">
        <f>IF(DATA[[#This Row],[fecha_fs]]&gt;0,TEXT(DATA[[#This Row],[fecha_fs]],"YYYY"),0)</f>
        <v>2025</v>
      </c>
      <c r="BM1287" s="363" t="b">
        <v>1</v>
      </c>
      <c r="BN1287" s="278">
        <f>COUNTIF(DATA[[#This Row],[tiempo_td]], "&lt;=15")</f>
        <v>0</v>
      </c>
      <c r="BO1287" s="365"/>
    </row>
    <row r="1288" spans="1:67" ht="30.6" customHeight="1" x14ac:dyDescent="0.25">
      <c r="A1288" s="4">
        <v>20100211115</v>
      </c>
      <c r="B1288" s="5" t="s">
        <v>41</v>
      </c>
      <c r="C1288" s="52" t="s">
        <v>18</v>
      </c>
      <c r="D1288" s="4" t="s">
        <v>112</v>
      </c>
      <c r="E1288" s="5" t="s">
        <v>1</v>
      </c>
      <c r="F1288" s="24">
        <v>45933</v>
      </c>
      <c r="G1288" s="7" t="s">
        <v>113</v>
      </c>
      <c r="H1288" s="25">
        <f t="shared" si="312"/>
        <v>1</v>
      </c>
      <c r="I1288" s="331">
        <v>5079</v>
      </c>
      <c r="J1288" s="8" t="s">
        <v>115</v>
      </c>
      <c r="K1288" s="9" t="s">
        <v>116</v>
      </c>
      <c r="L1288" s="10" t="s">
        <v>117</v>
      </c>
      <c r="M1288" s="11">
        <v>14</v>
      </c>
      <c r="N1288" s="12" t="s">
        <v>132</v>
      </c>
      <c r="O1288" s="6">
        <v>45957</v>
      </c>
      <c r="P1288" s="115">
        <v>3744</v>
      </c>
      <c r="Q1288" s="14" t="s">
        <v>85</v>
      </c>
      <c r="R1288" s="321"/>
      <c r="S1288" s="321">
        <f>(DATA[[#This Row],[cantidad_fs]]*4.57)</f>
        <v>63.980000000000004</v>
      </c>
      <c r="T1288" s="321">
        <f>DATA[[#This Row],[C. DF]]+DATA[[#This Row],[C.OPE.]]</f>
        <v>63.980000000000004</v>
      </c>
      <c r="U1288" s="15">
        <f>DATA[[#This Row],[SUB TOTAL]]*0.18</f>
        <v>11.516400000000001</v>
      </c>
      <c r="V1288" s="15">
        <f>IFERROR(ROUND(DATA[[#This Row],[SUB TOTAL]]+DATA[[#This Row],[IGV]],2),0)</f>
        <v>75.5</v>
      </c>
      <c r="W1288" s="339" t="str">
        <f>IF(DATA[[#This Row],[VALORIZACIÓN ]]="-","NO CORRESPONDE",IF(OR(A1288=20558226979,A1288=10470707866,A1288=20111157058,A1288=20100226902),"NO CORRESPONDE",IF(J1288="Emitida",IF(P1288&gt;0,"EMITIDA","PENDIENTE"),"NO CORRESPONDE")))</f>
        <v>EMITIDA</v>
      </c>
      <c r="X1288" s="29"/>
      <c r="Y1288" s="17" t="s">
        <v>118</v>
      </c>
      <c r="Z1288" s="30">
        <v>45958</v>
      </c>
      <c r="AA1288" s="10" t="s">
        <v>150</v>
      </c>
      <c r="AB1288" s="19">
        <v>311</v>
      </c>
      <c r="AC1288" s="20">
        <v>30</v>
      </c>
      <c r="AD1288" s="18">
        <f>DATA[[#This Row],[FECHA DE EMISION]]+DATA[[#This Row],[CONDICION DE PAGO]]</f>
        <v>45988</v>
      </c>
      <c r="AE1288" s="23">
        <f>IF(DATA[[#This Row],[MONEDA]]="USD",VLOOKUP(DATA[[#This Row],[COMBINADA]],#REF!,11,0),1)</f>
        <v>1</v>
      </c>
      <c r="AF1288" s="129" t="str">
        <f>IF(DATA[[#This Row],[SERIE2]]="-","NO CORRESPONDE",IF(W1288="NO CORRESPONDE","NO CORRESPONDE",IF(Z1288&gt;0,"FACTURADO","PENDIENTE")))</f>
        <v>FACTURADO</v>
      </c>
      <c r="AG1288" s="133">
        <f>IFERROR(VLOOKUP(DATA[[#This Row],[COMBINADA]],#REF!,6,0),0)</f>
        <v>0</v>
      </c>
      <c r="AH1288" s="125">
        <f>IFERROR(VLOOKUP(DATA[[#This Row],[COMBINADA]],#REF!,9,0),0)/COUNTIFS(DATA[COMBINADA],DATA[[#This Row],[COMBINADA]])</f>
        <v>0</v>
      </c>
      <c r="AI1288" s="136">
        <f>IFERROR(VLOOKUP(DATA[[#This Row],[COMBINADA]],#REF!,6,0),0)</f>
        <v>0</v>
      </c>
      <c r="AJ1288" s="132">
        <f>IFERROR(VLOOKUP(DATA[[#This Row],[COMBINADA]],#REF!,9,0),0)/COUNTIFS(DATA[COMBINADA],DATA[[#This Row],[COMBINADA]])</f>
        <v>0</v>
      </c>
      <c r="AK1288" s="407">
        <f>IFERROR(VLOOKUP(DATA[[#This Row],[COMBINADA]],#REF!,6,0),0)</f>
        <v>0</v>
      </c>
      <c r="AL1288" s="125">
        <f>IFERROR(VLOOKUP(DATA[[#This Row],[COMBINADA]],#REF!,9,0),0)/COUNTIFS(DATA[COMBINADA],DATA[[#This Row],[COMBINADA]])</f>
        <v>0</v>
      </c>
      <c r="AM1288" s="27">
        <f>IFERROR(VLOOKUP(DATA[[#This Row],[COMBINADA]],#REF!,6,0),0)</f>
        <v>0</v>
      </c>
      <c r="AN1288" s="125">
        <f>IFERROR(VLOOKUP(DATA[[#This Row],[COMBINADA]],#REF!,9,0),0)/COUNTIFS(DATA[COMBINADA],DATA[[#This Row],[COMBINADA]])</f>
        <v>0</v>
      </c>
      <c r="AO1288" s="27">
        <f>IFERROR(VLOOKUP(DATA[[#This Row],[COMBINADA]],#REF!,6,0),0)</f>
        <v>0</v>
      </c>
      <c r="AP1288" s="132">
        <f>IFERROR(VLOOKUP(DATA[[#This Row],[COMBINADA]],#REF!,9,0),0)/COUNTIFS(DATA[COMBINADA],DATA[[#This Row],[COMBINADA]])</f>
        <v>0</v>
      </c>
      <c r="AQ128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145.6</v>
      </c>
      <c r="AR1288" s="26" t="str">
        <f>IFERROR(IF(DATA[[#This Row],[estado_fact]]="FACTURADO",VLOOKUP(DATA[[#This Row],[SERIE2]]&amp;"-"&amp;DATA[[#This Row],[NUMERO]],#REF!,34,0),"NO CORRESPONDE"),"NO CORRESPONDE")</f>
        <v>NO CORRESPONDE</v>
      </c>
      <c r="AS1288" s="22" t="str">
        <f>IF(DATA[[#This Row],[fecha_fs]]&gt;0,TEXT(DATA[[#This Row],[fecha_fs]],"Mmmm"),0)</f>
        <v>Octubre</v>
      </c>
      <c r="AT1288" s="22" t="str">
        <f>DATA[[#This Row],[SERIE2]]&amp;"-"&amp;DATA[[#This Row],[NUMERO]]</f>
        <v>FF01-311</v>
      </c>
      <c r="AU1288" s="28">
        <f>DATA[[#This Row],[TOTAL]]*DATA[[#This Row],[T.C.]]</f>
        <v>75.5</v>
      </c>
      <c r="AV1288" s="6">
        <f>DATA[[#This Row],[FECHA DE VAL.]]</f>
        <v>45957</v>
      </c>
      <c r="AW1288" s="6">
        <f>DATA[[#This Row],[FECHA DE EMISION]]</f>
        <v>45958</v>
      </c>
      <c r="AX1288" s="6">
        <f>DATA[[#This Row],[F1]]</f>
        <v>0</v>
      </c>
      <c r="AY1288" s="20">
        <f>IF(AV1288-DATA[[#This Row],[fecha_fs]]&lt;0,0,AV1288-DATA[[#This Row],[fecha_fs]])</f>
        <v>24</v>
      </c>
      <c r="AZ1288" s="20">
        <f t="shared" si="307"/>
        <v>1</v>
      </c>
      <c r="BA1288" s="53">
        <f t="shared" si="308"/>
        <v>0</v>
      </c>
      <c r="BB1288" s="360">
        <f>IFERROR(SUM(DATA[[#This Row],[fs_val_ttf]:[fact_pago_ttf]]),0)</f>
        <v>25</v>
      </c>
      <c r="BC1288" s="377">
        <v>45960</v>
      </c>
      <c r="BD1288" s="377">
        <v>45967</v>
      </c>
      <c r="BE1288" s="377">
        <v>45967</v>
      </c>
      <c r="BF1288" s="377">
        <v>45967</v>
      </c>
      <c r="BG1288" s="20">
        <f>IFERROR(IF(BC1288-DATA[[#This Row],[fecha_fs]]&lt;0,0,BC1288-DATA[[#This Row],[fecha_fs]]),0)</f>
        <v>27</v>
      </c>
      <c r="BH1288" s="20">
        <f t="shared" si="309"/>
        <v>7</v>
      </c>
      <c r="BI1288" s="20">
        <f t="shared" si="310"/>
        <v>0</v>
      </c>
      <c r="BJ1288" s="367">
        <f t="shared" si="311"/>
        <v>0</v>
      </c>
      <c r="BK1288" s="362">
        <f>IFERROR(SUM(DATA[[#This Row],[fs_fd_ttd]:[fend_fenf_ttd]]),0)</f>
        <v>34</v>
      </c>
      <c r="BL1288" s="20" t="str">
        <f>IF(DATA[[#This Row],[fecha_fs]]&gt;0,TEXT(DATA[[#This Row],[fecha_fs]],"YYYY"),0)</f>
        <v>2025</v>
      </c>
      <c r="BM1288" s="363" t="b">
        <v>1</v>
      </c>
      <c r="BN1288" s="278">
        <f>COUNTIF(DATA[[#This Row],[tiempo_td]], "&lt;=15")</f>
        <v>0</v>
      </c>
      <c r="BO1288" s="365"/>
    </row>
    <row r="1289" spans="1:67" ht="30.6" customHeight="1" x14ac:dyDescent="0.25">
      <c r="A1289" s="4">
        <v>20100211115</v>
      </c>
      <c r="B1289" s="5" t="s">
        <v>41</v>
      </c>
      <c r="C1289" s="52" t="s">
        <v>18</v>
      </c>
      <c r="D1289" s="4" t="s">
        <v>120</v>
      </c>
      <c r="E1289" s="5" t="s">
        <v>3</v>
      </c>
      <c r="F1289" s="24">
        <v>45933</v>
      </c>
      <c r="G1289" s="7" t="s">
        <v>113</v>
      </c>
      <c r="H1289" s="25">
        <f t="shared" si="312"/>
        <v>1</v>
      </c>
      <c r="I1289" s="331">
        <v>5080</v>
      </c>
      <c r="J1289" s="8" t="s">
        <v>115</v>
      </c>
      <c r="K1289" s="9" t="s">
        <v>163</v>
      </c>
      <c r="L1289" s="10" t="s">
        <v>117</v>
      </c>
      <c r="M1289" s="11">
        <v>984</v>
      </c>
      <c r="N1289" s="12" t="s">
        <v>167</v>
      </c>
      <c r="O1289" s="6">
        <v>45957</v>
      </c>
      <c r="P1289" s="115">
        <v>3743</v>
      </c>
      <c r="Q1289" s="14" t="s">
        <v>85</v>
      </c>
      <c r="R1289" s="321"/>
      <c r="S1289" s="321">
        <f>DATA[[#This Row],[cantidad_fs]]*0.72</f>
        <v>708.48</v>
      </c>
      <c r="T1289" s="321">
        <f>DATA[[#This Row],[C. DF]]+DATA[[#This Row],[C.OPE.]]</f>
        <v>708.48</v>
      </c>
      <c r="U1289" s="15">
        <f>DATA[[#This Row],[SUB TOTAL]]*0.18</f>
        <v>127.5264</v>
      </c>
      <c r="V1289" s="15">
        <f>IFERROR(ROUND(DATA[[#This Row],[SUB TOTAL]]+DATA[[#This Row],[IGV]],2),0)</f>
        <v>836.01</v>
      </c>
      <c r="W1289" s="339" t="str">
        <f>IF(DATA[[#This Row],[VALORIZACIÓN ]]="-","NO CORRESPONDE",IF(OR(A1289=20558226979,A1289=10470707866,A1289=20111157058,A1289=20100226902),"NO CORRESPONDE",IF(J1289="Emitida",IF(P1289&gt;0,"EMITIDA","PENDIENTE"),"NO CORRESPONDE")))</f>
        <v>EMITIDA</v>
      </c>
      <c r="X1289" s="29"/>
      <c r="Y1289" s="17" t="s">
        <v>118</v>
      </c>
      <c r="Z1289" s="30">
        <v>45958</v>
      </c>
      <c r="AA1289" s="10" t="s">
        <v>150</v>
      </c>
      <c r="AB1289" s="19">
        <v>310</v>
      </c>
      <c r="AC1289" s="20">
        <v>30</v>
      </c>
      <c r="AD1289" s="18">
        <f>DATA[[#This Row],[FECHA DE EMISION]]+DATA[[#This Row],[CONDICION DE PAGO]]</f>
        <v>45988</v>
      </c>
      <c r="AE1289" s="23">
        <f>IF(DATA[[#This Row],[MONEDA]]="USD",VLOOKUP(DATA[[#This Row],[COMBINADA]],#REF!,11,0),1)</f>
        <v>1</v>
      </c>
      <c r="AF1289" s="129" t="str">
        <f>IF(DATA[[#This Row],[SERIE2]]="-","NO CORRESPONDE",IF(W1289="NO CORRESPONDE","NO CORRESPONDE",IF(Z1289&gt;0,"FACTURADO","PENDIENTE")))</f>
        <v>FACTURADO</v>
      </c>
      <c r="AG1289" s="133">
        <f>IFERROR(VLOOKUP(DATA[[#This Row],[COMBINADA]],#REF!,6,0),0)</f>
        <v>0</v>
      </c>
      <c r="AH1289" s="125">
        <f>IFERROR(VLOOKUP(DATA[[#This Row],[COMBINADA]],#REF!,9,0),0)/COUNTIFS(DATA[COMBINADA],DATA[[#This Row],[COMBINADA]])</f>
        <v>0</v>
      </c>
      <c r="AI1289" s="136">
        <f>IFERROR(VLOOKUP(DATA[[#This Row],[COMBINADA]],#REF!,6,0),0)</f>
        <v>0</v>
      </c>
      <c r="AJ1289" s="132">
        <f>IFERROR(VLOOKUP(DATA[[#This Row],[COMBINADA]],#REF!,9,0),0)/COUNTIFS(DATA[COMBINADA],DATA[[#This Row],[COMBINADA]])</f>
        <v>0</v>
      </c>
      <c r="AK1289" s="407">
        <f>IFERROR(VLOOKUP(DATA[[#This Row],[COMBINADA]],#REF!,6,0),0)</f>
        <v>0</v>
      </c>
      <c r="AL1289" s="125">
        <f>IFERROR(VLOOKUP(DATA[[#This Row],[COMBINADA]],#REF!,9,0),0)/COUNTIFS(DATA[COMBINADA],DATA[[#This Row],[COMBINADA]])</f>
        <v>0</v>
      </c>
      <c r="AM1289" s="27">
        <f>IFERROR(VLOOKUP(DATA[[#This Row],[COMBINADA]],#REF!,6,0),0)</f>
        <v>0</v>
      </c>
      <c r="AN1289" s="125">
        <f>IFERROR(VLOOKUP(DATA[[#This Row],[COMBINADA]],#REF!,9,0),0)/COUNTIFS(DATA[COMBINADA],DATA[[#This Row],[COMBINADA]])</f>
        <v>0</v>
      </c>
      <c r="AO1289" s="27">
        <f>IFERROR(VLOOKUP(DATA[[#This Row],[COMBINADA]],#REF!,6,0),0)</f>
        <v>0</v>
      </c>
      <c r="AP1289" s="132">
        <f>IFERROR(VLOOKUP(DATA[[#This Row],[COMBINADA]],#REF!,9,0),0)/COUNTIFS(DATA[COMBINADA],DATA[[#This Row],[COMBINADA]])</f>
        <v>0</v>
      </c>
      <c r="AQ128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826.66499999999996</v>
      </c>
      <c r="AR1289" s="26" t="str">
        <f>IFERROR(IF(DATA[[#This Row],[estado_fact]]="FACTURADO",VLOOKUP(DATA[[#This Row],[SERIE2]]&amp;"-"&amp;DATA[[#This Row],[NUMERO]],#REF!,34,0),"NO CORRESPONDE"),"NO CORRESPONDE")</f>
        <v>NO CORRESPONDE</v>
      </c>
      <c r="AS1289" s="22" t="str">
        <f>IF(DATA[[#This Row],[fecha_fs]]&gt;0,TEXT(DATA[[#This Row],[fecha_fs]],"Mmmm"),0)</f>
        <v>Octubre</v>
      </c>
      <c r="AT1289" s="22" t="str">
        <f>DATA[[#This Row],[SERIE2]]&amp;"-"&amp;DATA[[#This Row],[NUMERO]]</f>
        <v>FF01-310</v>
      </c>
      <c r="AU1289" s="28">
        <f>DATA[[#This Row],[TOTAL]]*DATA[[#This Row],[T.C.]]</f>
        <v>836.01</v>
      </c>
      <c r="AV1289" s="6">
        <f>DATA[[#This Row],[FECHA DE VAL.]]</f>
        <v>45957</v>
      </c>
      <c r="AW1289" s="6">
        <f>DATA[[#This Row],[FECHA DE EMISION]]</f>
        <v>45958</v>
      </c>
      <c r="AX1289" s="6">
        <f>DATA[[#This Row],[F1]]</f>
        <v>0</v>
      </c>
      <c r="AY1289" s="20">
        <f>IF(AV1289-DATA[[#This Row],[fecha_fs]]&lt;0,0,AV1289-DATA[[#This Row],[fecha_fs]])</f>
        <v>24</v>
      </c>
      <c r="AZ1289" s="20">
        <f t="shared" si="307"/>
        <v>1</v>
      </c>
      <c r="BA1289" s="53">
        <f t="shared" si="308"/>
        <v>0</v>
      </c>
      <c r="BB1289" s="360">
        <f>IFERROR(SUM(DATA[[#This Row],[fs_val_ttf]:[fact_pago_ttf]]),0)</f>
        <v>25</v>
      </c>
      <c r="BC1289" s="377">
        <v>45967</v>
      </c>
      <c r="BD1289" s="377">
        <v>45972</v>
      </c>
      <c r="BE1289" s="377">
        <v>45974</v>
      </c>
      <c r="BF1289" s="361" t="s">
        <v>270</v>
      </c>
      <c r="BG1289" s="20">
        <f>IFERROR(IF(BC1289-DATA[[#This Row],[fecha_fs]]&lt;0,0,BC1289-DATA[[#This Row],[fecha_fs]]),0)</f>
        <v>34</v>
      </c>
      <c r="BH1289" s="20">
        <f t="shared" si="309"/>
        <v>5</v>
      </c>
      <c r="BI1289" s="20">
        <f t="shared" si="310"/>
        <v>2</v>
      </c>
      <c r="BJ1289" s="367">
        <f t="shared" si="311"/>
        <v>0</v>
      </c>
      <c r="BK1289" s="362">
        <f>IFERROR(SUM(DATA[[#This Row],[fs_fd_ttd]:[fend_fenf_ttd]]),0)</f>
        <v>41</v>
      </c>
      <c r="BL1289" s="20" t="str">
        <f>IF(DATA[[#This Row],[fecha_fs]]&gt;0,TEXT(DATA[[#This Row],[fecha_fs]],"YYYY"),0)</f>
        <v>2025</v>
      </c>
      <c r="BM1289" s="363" t="b">
        <v>0</v>
      </c>
      <c r="BN1289" s="278">
        <f>COUNTIF(DATA[[#This Row],[tiempo_td]], "&lt;=15")</f>
        <v>0</v>
      </c>
      <c r="BO1289" s="365"/>
    </row>
    <row r="1290" spans="1:67" ht="30.6" customHeight="1" x14ac:dyDescent="0.25">
      <c r="A1290" s="4">
        <v>20610105620</v>
      </c>
      <c r="B1290" s="5" t="s">
        <v>311</v>
      </c>
      <c r="C1290" s="52" t="s">
        <v>312</v>
      </c>
      <c r="D1290" s="4" t="s">
        <v>120</v>
      </c>
      <c r="E1290" s="5" t="s">
        <v>3</v>
      </c>
      <c r="F1290" s="24">
        <v>45933</v>
      </c>
      <c r="G1290" s="7" t="s">
        <v>113</v>
      </c>
      <c r="H1290" s="25">
        <f>IF(G1290="","",IF(G1290="LIM",2,1))</f>
        <v>1</v>
      </c>
      <c r="I1290" s="331">
        <v>5081</v>
      </c>
      <c r="J1290" s="8" t="s">
        <v>115</v>
      </c>
      <c r="K1290" s="9" t="s">
        <v>121</v>
      </c>
      <c r="L1290" s="10" t="s">
        <v>117</v>
      </c>
      <c r="M1290" s="11">
        <v>490</v>
      </c>
      <c r="N1290" s="12" t="s">
        <v>122</v>
      </c>
      <c r="O1290" s="6">
        <v>45959</v>
      </c>
      <c r="P1290" s="370">
        <v>3770</v>
      </c>
      <c r="Q1290" s="14" t="s">
        <v>85</v>
      </c>
      <c r="R1290" s="56">
        <f>80</f>
        <v>80</v>
      </c>
      <c r="S1290" s="56">
        <v>2650</v>
      </c>
      <c r="T1290" s="321">
        <f>DATA[[#This Row],[C. DF]]+DATA[[#This Row],[C.OPE.]]</f>
        <v>2730</v>
      </c>
      <c r="U1290" s="15">
        <f>DATA[[#This Row],[SUB TOTAL]]*0.18</f>
        <v>491.4</v>
      </c>
      <c r="V1290" s="15">
        <f>IFERROR(ROUND(DATA[[#This Row],[SUB TOTAL]]+DATA[[#This Row],[IGV]],2),0)</f>
        <v>3221.4</v>
      </c>
      <c r="W1290" s="339" t="str">
        <f>IF(DATA[[#This Row],[VALORIZACIÓN ]]="-","NO CORRESPONDE",IF(OR(A1290=20558226979,A1290=10470707866,A1290=20111157058,A1290=20100226902),"NO CORRESPONDE",IF(J1290="Emitida",IF(P1290&gt;0,"EMITIDA","PENDIENTE"),"NO CORRESPONDE")))</f>
        <v>EMITIDA</v>
      </c>
      <c r="X1290" s="29"/>
      <c r="Y1290" s="17" t="s">
        <v>232</v>
      </c>
      <c r="Z1290" s="30"/>
      <c r="AA1290" s="10"/>
      <c r="AB1290" s="19"/>
      <c r="AC1290" s="20"/>
      <c r="AD1290" s="18">
        <f>DATA[[#This Row],[FECHA DE EMISION]]+DATA[[#This Row],[CONDICION DE PAGO]]</f>
        <v>0</v>
      </c>
      <c r="AE1290" s="23">
        <f>IF(DATA[[#This Row],[MONEDA]]="USD",VLOOKUP(DATA[[#This Row],[COMBINADA]],#REF!,11,0),1)</f>
        <v>1</v>
      </c>
      <c r="AF1290" s="129" t="str">
        <f>IF(DATA[[#This Row],[SERIE2]]="-","NO CORRESPONDE",IF(W1290="NO CORRESPONDE","NO CORRESPONDE",IF(Z1290&gt;0,"FACTURADO","PENDIENTE")))</f>
        <v>PENDIENTE</v>
      </c>
      <c r="AG1290" s="133">
        <f>IFERROR(VLOOKUP(DATA[[#This Row],[COMBINADA]],#REF!,6,0),0)</f>
        <v>0</v>
      </c>
      <c r="AH1290" s="125">
        <f>IFERROR(VLOOKUP(DATA[[#This Row],[COMBINADA]],#REF!,9,0),0)/COUNTIFS(DATA[COMBINADA],DATA[[#This Row],[COMBINADA]])</f>
        <v>0</v>
      </c>
      <c r="AI1290" s="136">
        <f>IFERROR(VLOOKUP(DATA[[#This Row],[COMBINADA]],#REF!,6,0),0)</f>
        <v>0</v>
      </c>
      <c r="AJ1290" s="132">
        <f>IFERROR(VLOOKUP(DATA[[#This Row],[COMBINADA]],#REF!,9,0),0)/COUNTIFS(DATA[COMBINADA],DATA[[#This Row],[COMBINADA]])</f>
        <v>0</v>
      </c>
      <c r="AK1290" s="407">
        <f>IFERROR(VLOOKUP(DATA[[#This Row],[COMBINADA]],#REF!,6,0),0)</f>
        <v>0</v>
      </c>
      <c r="AL1290" s="125">
        <f>IFERROR(VLOOKUP(DATA[[#This Row],[COMBINADA]],#REF!,9,0),0)/COUNTIFS(DATA[COMBINADA],DATA[[#This Row],[COMBINADA]])</f>
        <v>0</v>
      </c>
      <c r="AM1290" s="27">
        <f>IFERROR(VLOOKUP(DATA[[#This Row],[COMBINADA]],#REF!,6,0),0)</f>
        <v>0</v>
      </c>
      <c r="AN1290" s="125">
        <f>IFERROR(VLOOKUP(DATA[[#This Row],[COMBINADA]],#REF!,9,0),0)/COUNTIFS(DATA[COMBINADA],DATA[[#This Row],[COMBINADA]])</f>
        <v>0</v>
      </c>
      <c r="AO1290" s="27">
        <f>IFERROR(VLOOKUP(DATA[[#This Row],[COMBINADA]],#REF!,6,0),0)</f>
        <v>0</v>
      </c>
      <c r="AP1290" s="132">
        <f>IFERROR(VLOOKUP(DATA[[#This Row],[COMBINADA]],#REF!,9,0),0)/COUNTIFS(DATA[COMBINADA],DATA[[#This Row],[COMBINADA]])</f>
        <v>0</v>
      </c>
      <c r="AQ129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290" s="26" t="str">
        <f>IFERROR(IF(DATA[[#This Row],[estado_fact]]="FACTURADO",VLOOKUP(DATA[[#This Row],[SERIE2]]&amp;"-"&amp;DATA[[#This Row],[NUMERO]],#REF!,34,0),"NO CORRESPONDE"),"NO CORRESPONDE")</f>
        <v>NO CORRESPONDE</v>
      </c>
      <c r="AS1290" s="22" t="str">
        <f>IF(DATA[[#This Row],[fecha_fs]]&gt;0,TEXT(DATA[[#This Row],[fecha_fs]],"Mmmm"),0)</f>
        <v>Octubre</v>
      </c>
      <c r="AT1290" s="22" t="str">
        <f>DATA[[#This Row],[SERIE2]]&amp;"-"&amp;DATA[[#This Row],[NUMERO]]</f>
        <v>-</v>
      </c>
      <c r="AU1290" s="28">
        <f>DATA[[#This Row],[TOTAL]]*DATA[[#This Row],[T.C.]]</f>
        <v>3221.4</v>
      </c>
      <c r="AV1290" s="6">
        <f>DATA[[#This Row],[FECHA DE VAL.]]</f>
        <v>45959</v>
      </c>
      <c r="AW1290" s="6">
        <f>DATA[[#This Row],[FECHA DE EMISION]]</f>
        <v>0</v>
      </c>
      <c r="AX1290" s="6">
        <f>DATA[[#This Row],[F1]]</f>
        <v>0</v>
      </c>
      <c r="AY1290" s="20">
        <f>IF(AV1290-DATA[[#This Row],[fecha_fs]]&lt;0,0,AV1290-DATA[[#This Row],[fecha_fs]])</f>
        <v>26</v>
      </c>
      <c r="AZ1290" s="20">
        <f t="shared" si="307"/>
        <v>0</v>
      </c>
      <c r="BA1290" s="53">
        <f t="shared" si="308"/>
        <v>0</v>
      </c>
      <c r="BB1290" s="360">
        <f>IFERROR(SUM(DATA[[#This Row],[fs_val_ttf]:[fact_pago_ttf]]),0)</f>
        <v>26</v>
      </c>
      <c r="BC1290" s="377">
        <v>45936</v>
      </c>
      <c r="BD1290" s="377">
        <v>45944</v>
      </c>
      <c r="BE1290" s="377">
        <v>45961</v>
      </c>
      <c r="BF1290" s="361" t="s">
        <v>270</v>
      </c>
      <c r="BG1290" s="20">
        <f>IFERROR(IF(BC1290-DATA[[#This Row],[fecha_fs]]&lt;0,0,BC1290-DATA[[#This Row],[fecha_fs]]),0)</f>
        <v>3</v>
      </c>
      <c r="BH1290" s="20">
        <f t="shared" si="309"/>
        <v>8</v>
      </c>
      <c r="BI1290" s="20">
        <f t="shared" si="310"/>
        <v>17</v>
      </c>
      <c r="BJ1290" s="367">
        <f t="shared" si="311"/>
        <v>0</v>
      </c>
      <c r="BK1290" s="362">
        <f>IFERROR(SUM(DATA[[#This Row],[fs_fd_ttd]:[fend_fenf_ttd]]),0)</f>
        <v>28</v>
      </c>
      <c r="BL1290" s="20" t="str">
        <f>IF(DATA[[#This Row],[fecha_fs]]&gt;0,TEXT(DATA[[#This Row],[fecha_fs]],"YYYY"),0)</f>
        <v>2025</v>
      </c>
      <c r="BM1290" s="363" t="b">
        <v>0</v>
      </c>
      <c r="BN1290" s="278">
        <f>COUNTIF(DATA[[#This Row],[tiempo_td]], "&lt;=15")</f>
        <v>0</v>
      </c>
      <c r="BO1290" s="365"/>
    </row>
    <row r="1291" spans="1:67" ht="30.6" customHeight="1" x14ac:dyDescent="0.25">
      <c r="A1291" s="4">
        <v>20141637941</v>
      </c>
      <c r="B1291" s="5" t="s">
        <v>79</v>
      </c>
      <c r="C1291" s="52" t="s">
        <v>18</v>
      </c>
      <c r="D1291" s="4" t="s">
        <v>120</v>
      </c>
      <c r="E1291" s="5" t="s">
        <v>3</v>
      </c>
      <c r="F1291" s="24">
        <v>45936</v>
      </c>
      <c r="G1291" s="7" t="s">
        <v>113</v>
      </c>
      <c r="H1291" s="25">
        <f t="shared" si="312"/>
        <v>1</v>
      </c>
      <c r="I1291" s="331">
        <v>5082</v>
      </c>
      <c r="J1291" s="8" t="s">
        <v>115</v>
      </c>
      <c r="K1291" s="9" t="s">
        <v>121</v>
      </c>
      <c r="L1291" s="10" t="s">
        <v>117</v>
      </c>
      <c r="M1291" s="11">
        <v>880</v>
      </c>
      <c r="N1291" s="12" t="s">
        <v>125</v>
      </c>
      <c r="O1291" s="6">
        <v>45939</v>
      </c>
      <c r="P1291" s="110">
        <v>3716</v>
      </c>
      <c r="Q1291" s="14" t="s">
        <v>85</v>
      </c>
      <c r="R1291" s="321">
        <v>80</v>
      </c>
      <c r="S1291" s="321">
        <v>832</v>
      </c>
      <c r="T1291" s="321">
        <f>DATA[[#This Row],[C. DF]]+DATA[[#This Row],[C.OPE.]]</f>
        <v>912</v>
      </c>
      <c r="U1291" s="15">
        <f>DATA[[#This Row],[SUB TOTAL]]*0.18</f>
        <v>164.16</v>
      </c>
      <c r="V1291" s="15">
        <f>IFERROR(ROUND(DATA[[#This Row],[SUB TOTAL]]+DATA[[#This Row],[IGV]],2),0)</f>
        <v>1076.1600000000001</v>
      </c>
      <c r="W1291" s="339" t="str">
        <f>IF(DATA[[#This Row],[VALORIZACIÓN ]]="-","NO CORRESPONDE",IF(OR(A1291=20558226979,A1291=10470707866,A1291=20111157058,A1291=20100226902),"NO CORRESPONDE",IF(J1291="Emitida",IF(P1291&gt;0,"EMITIDA","PENDIENTE"),"NO CORRESPONDE")))</f>
        <v>EMITIDA</v>
      </c>
      <c r="X1291" s="29"/>
      <c r="Y1291" s="17" t="s">
        <v>118</v>
      </c>
      <c r="Z1291" s="30">
        <v>45940</v>
      </c>
      <c r="AA1291" s="10" t="s">
        <v>150</v>
      </c>
      <c r="AB1291" s="19">
        <v>285</v>
      </c>
      <c r="AC1291" s="20">
        <v>30</v>
      </c>
      <c r="AD1291" s="18">
        <f>DATA[[#This Row],[FECHA DE EMISION]]+DATA[[#This Row],[CONDICION DE PAGO]]</f>
        <v>45970</v>
      </c>
      <c r="AE1291" s="23">
        <f>IF(DATA[[#This Row],[MONEDA]]="USD",VLOOKUP(DATA[[#This Row],[COMBINADA]],#REF!,11,0),1)</f>
        <v>1</v>
      </c>
      <c r="AF1291" s="129" t="str">
        <f>IF(DATA[[#This Row],[SERIE2]]="-","NO CORRESPONDE",IF(W1291="NO CORRESPONDE","NO CORRESPONDE",IF(Z1291&gt;0,"FACTURADO","PENDIENTE")))</f>
        <v>FACTURADO</v>
      </c>
      <c r="AG1291" s="133">
        <f>IFERROR(VLOOKUP(DATA[[#This Row],[COMBINADA]],#REF!,6,0),0)</f>
        <v>0</v>
      </c>
      <c r="AH1291" s="125">
        <f>IFERROR(VLOOKUP(DATA[[#This Row],[COMBINADA]],#REF!,9,0),0)/COUNTIFS(DATA[COMBINADA],DATA[[#This Row],[COMBINADA]])</f>
        <v>0</v>
      </c>
      <c r="AI1291" s="136">
        <f>IFERROR(VLOOKUP(DATA[[#This Row],[COMBINADA]],#REF!,6,0),0)</f>
        <v>0</v>
      </c>
      <c r="AJ1291" s="132">
        <f>IFERROR(VLOOKUP(DATA[[#This Row],[COMBINADA]],#REF!,9,0),0)/COUNTIFS(DATA[COMBINADA],DATA[[#This Row],[COMBINADA]])</f>
        <v>0</v>
      </c>
      <c r="AK1291" s="407">
        <f>IFERROR(VLOOKUP(DATA[[#This Row],[COMBINADA]],#REF!,6,0),0)</f>
        <v>0</v>
      </c>
      <c r="AL1291" s="125">
        <f>IFERROR(VLOOKUP(DATA[[#This Row],[COMBINADA]],#REF!,9,0),0)/COUNTIFS(DATA[COMBINADA],DATA[[#This Row],[COMBINADA]])</f>
        <v>0</v>
      </c>
      <c r="AM1291" s="27">
        <f>IFERROR(VLOOKUP(DATA[[#This Row],[COMBINADA]],#REF!,6,0),0)</f>
        <v>0</v>
      </c>
      <c r="AN1291" s="125">
        <f>IFERROR(VLOOKUP(DATA[[#This Row],[COMBINADA]],#REF!,9,0),0)/COUNTIFS(DATA[COMBINADA],DATA[[#This Row],[COMBINADA]])</f>
        <v>0</v>
      </c>
      <c r="AO1291" s="27">
        <f>IFERROR(VLOOKUP(DATA[[#This Row],[COMBINADA]],#REF!,6,0),0)</f>
        <v>0</v>
      </c>
      <c r="AP1291" s="132">
        <f>IFERROR(VLOOKUP(DATA[[#This Row],[COMBINADA]],#REF!,9,0),0)/COUNTIFS(DATA[COMBINADA],DATA[[#This Row],[COMBINADA]])</f>
        <v>0</v>
      </c>
      <c r="AQ129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1079.7</v>
      </c>
      <c r="AR1291" s="26" t="str">
        <f>IFERROR(IF(DATA[[#This Row],[estado_fact]]="FACTURADO",VLOOKUP(DATA[[#This Row],[SERIE2]]&amp;"-"&amp;DATA[[#This Row],[NUMERO]],#REF!,34,0),"NO CORRESPONDE"),"NO CORRESPONDE")</f>
        <v>NO CORRESPONDE</v>
      </c>
      <c r="AS1291" s="22" t="str">
        <f>IF(DATA[[#This Row],[fecha_fs]]&gt;0,TEXT(DATA[[#This Row],[fecha_fs]],"Mmmm"),0)</f>
        <v>Octubre</v>
      </c>
      <c r="AT1291" s="22" t="str">
        <f>DATA[[#This Row],[SERIE2]]&amp;"-"&amp;DATA[[#This Row],[NUMERO]]</f>
        <v>FF01-285</v>
      </c>
      <c r="AU1291" s="28">
        <f>DATA[[#This Row],[TOTAL]]*DATA[[#This Row],[T.C.]]</f>
        <v>1076.1600000000001</v>
      </c>
      <c r="AV1291" s="6">
        <f>DATA[[#This Row],[FECHA DE VAL.]]</f>
        <v>45939</v>
      </c>
      <c r="AW1291" s="6">
        <f>DATA[[#This Row],[FECHA DE EMISION]]</f>
        <v>45940</v>
      </c>
      <c r="AX1291" s="6">
        <f>DATA[[#This Row],[F1]]</f>
        <v>0</v>
      </c>
      <c r="AY1291" s="20">
        <f>IF(AV1291-DATA[[#This Row],[fecha_fs]]&lt;0,0,AV1291-DATA[[#This Row],[fecha_fs]])</f>
        <v>3</v>
      </c>
      <c r="AZ1291" s="20">
        <f t="shared" si="307"/>
        <v>1</v>
      </c>
      <c r="BA1291" s="53">
        <f t="shared" si="308"/>
        <v>0</v>
      </c>
      <c r="BB1291" s="360">
        <f>IFERROR(SUM(DATA[[#This Row],[fs_val_ttf]:[fact_pago_ttf]]),0)</f>
        <v>4</v>
      </c>
      <c r="BC1291" s="377">
        <v>45936</v>
      </c>
      <c r="BD1291" s="377">
        <v>45944</v>
      </c>
      <c r="BE1291" s="377">
        <v>45964</v>
      </c>
      <c r="BF1291" s="377">
        <v>45967</v>
      </c>
      <c r="BG1291" s="20">
        <f>IFERROR(IF(BC1291-DATA[[#This Row],[fecha_fs]]&lt;0,0,BC1291-DATA[[#This Row],[fecha_fs]]),0)</f>
        <v>0</v>
      </c>
      <c r="BH1291" s="20">
        <f t="shared" si="309"/>
        <v>8</v>
      </c>
      <c r="BI1291" s="20">
        <f t="shared" si="310"/>
        <v>20</v>
      </c>
      <c r="BJ1291" s="367">
        <f t="shared" si="311"/>
        <v>3</v>
      </c>
      <c r="BK1291" s="362">
        <f>IFERROR(SUM(DATA[[#This Row],[fs_fd_ttd]:[fend_fenf_ttd]]),0)</f>
        <v>31</v>
      </c>
      <c r="BL1291" s="20" t="str">
        <f>IF(DATA[[#This Row],[fecha_fs]]&gt;0,TEXT(DATA[[#This Row],[fecha_fs]],"YYYY"),0)</f>
        <v>2025</v>
      </c>
      <c r="BM1291" s="363" t="b">
        <v>1</v>
      </c>
      <c r="BN1291" s="278">
        <f>COUNTIF(DATA[[#This Row],[tiempo_td]], "&lt;=15")</f>
        <v>0</v>
      </c>
      <c r="BO1291" s="365"/>
    </row>
    <row r="1292" spans="1:67" ht="30.6" customHeight="1" x14ac:dyDescent="0.25">
      <c r="A1292" s="4">
        <v>20100192064</v>
      </c>
      <c r="B1292" s="5" t="s">
        <v>60</v>
      </c>
      <c r="C1292" s="52" t="s">
        <v>43</v>
      </c>
      <c r="D1292" s="4" t="s">
        <v>120</v>
      </c>
      <c r="E1292" s="5" t="s">
        <v>3</v>
      </c>
      <c r="F1292" s="24">
        <v>45933</v>
      </c>
      <c r="G1292" s="7" t="s">
        <v>113</v>
      </c>
      <c r="H1292" s="25">
        <f t="shared" si="312"/>
        <v>1</v>
      </c>
      <c r="I1292" s="331">
        <v>5083</v>
      </c>
      <c r="J1292" s="8" t="s">
        <v>115</v>
      </c>
      <c r="K1292" s="9" t="s">
        <v>121</v>
      </c>
      <c r="L1292" s="10" t="s">
        <v>117</v>
      </c>
      <c r="M1292" s="11">
        <v>750</v>
      </c>
      <c r="N1292" s="12" t="s">
        <v>125</v>
      </c>
      <c r="O1292" s="6">
        <v>45959</v>
      </c>
      <c r="P1292" s="366">
        <v>3758</v>
      </c>
      <c r="Q1292" s="14" t="s">
        <v>123</v>
      </c>
      <c r="R1292" s="321">
        <f>(DATA[[#This Row],[cantidad_fs]]/1000)*(47+174.34)</f>
        <v>166.005</v>
      </c>
      <c r="S1292" s="321">
        <v>137</v>
      </c>
      <c r="T1292" s="321">
        <f>DATA[[#This Row],[C. DF]]+DATA[[#This Row],[C.OPE.]]</f>
        <v>303.005</v>
      </c>
      <c r="U1292" s="15">
        <f>DATA[[#This Row],[SUB TOTAL]]*0.18</f>
        <v>54.540900000000001</v>
      </c>
      <c r="V1292" s="15">
        <f>IFERROR(ROUND(DATA[[#This Row],[SUB TOTAL]]+DATA[[#This Row],[IGV]],2),0)</f>
        <v>357.55</v>
      </c>
      <c r="W1292" s="339" t="str">
        <f>IF(DATA[[#This Row],[VALORIZACIÓN ]]="-","NO CORRESPONDE",IF(OR(A1292=20558226979,A1292=10470707866,A1292=20111157058,A1292=20100226902),"NO CORRESPONDE",IF(J1292="Emitida",IF(P1292&gt;0,"EMITIDA","PENDIENTE"),"NO CORRESPONDE")))</f>
        <v>EMITIDA</v>
      </c>
      <c r="X1292" s="29" t="s">
        <v>375</v>
      </c>
      <c r="Y1292" s="17" t="s">
        <v>118</v>
      </c>
      <c r="Z1292" s="30">
        <v>45961</v>
      </c>
      <c r="AA1292" s="10" t="s">
        <v>150</v>
      </c>
      <c r="AB1292" s="19">
        <v>318</v>
      </c>
      <c r="AC1292" s="20">
        <v>30</v>
      </c>
      <c r="AD1292" s="18">
        <f>DATA[[#This Row],[FECHA DE EMISION]]+DATA[[#This Row],[CONDICION DE PAGO]]</f>
        <v>45991</v>
      </c>
      <c r="AE1292" s="23" t="e">
        <f>IF(DATA[[#This Row],[MONEDA]]="USD",VLOOKUP(DATA[[#This Row],[COMBINADA]],#REF!,11,0),1)</f>
        <v>#REF!</v>
      </c>
      <c r="AF1292" s="129" t="str">
        <f>IF(DATA[[#This Row],[SERIE2]]="-","NO CORRESPONDE",IF(W1292="NO CORRESPONDE","NO CORRESPONDE",IF(Z1292&gt;0,"FACTURADO","PENDIENTE")))</f>
        <v>FACTURADO</v>
      </c>
      <c r="AG1292" s="133">
        <f>IFERROR(VLOOKUP(DATA[[#This Row],[COMBINADA]],#REF!,6,0),0)</f>
        <v>0</v>
      </c>
      <c r="AH1292" s="125">
        <f>IFERROR(VLOOKUP(DATA[[#This Row],[COMBINADA]],#REF!,9,0),0)/COUNTIFS(DATA[COMBINADA],DATA[[#This Row],[COMBINADA]])</f>
        <v>0</v>
      </c>
      <c r="AI1292" s="136">
        <f>IFERROR(VLOOKUP(DATA[[#This Row],[COMBINADA]],#REF!,6,0),0)</f>
        <v>0</v>
      </c>
      <c r="AJ1292" s="132">
        <f>IFERROR(VLOOKUP(DATA[[#This Row],[COMBINADA]],#REF!,9,0),0)/COUNTIFS(DATA[COMBINADA],DATA[[#This Row],[COMBINADA]])</f>
        <v>0</v>
      </c>
      <c r="AK1292" s="407">
        <f>IFERROR(VLOOKUP(DATA[[#This Row],[COMBINADA]],#REF!,6,0),0)</f>
        <v>0</v>
      </c>
      <c r="AL1292" s="125">
        <f>IFERROR(VLOOKUP(DATA[[#This Row],[COMBINADA]],#REF!,9,0),0)/COUNTIFS(DATA[COMBINADA],DATA[[#This Row],[COMBINADA]])</f>
        <v>0</v>
      </c>
      <c r="AM1292" s="27">
        <f>IFERROR(VLOOKUP(DATA[[#This Row],[COMBINADA]],#REF!,6,0),0)</f>
        <v>0</v>
      </c>
      <c r="AN1292" s="125">
        <f>IFERROR(VLOOKUP(DATA[[#This Row],[COMBINADA]],#REF!,9,0),0)/COUNTIFS(DATA[COMBINADA],DATA[[#This Row],[COMBINADA]])</f>
        <v>0</v>
      </c>
      <c r="AO1292" s="27">
        <f>IFERROR(VLOOKUP(DATA[[#This Row],[COMBINADA]],#REF!,6,0),0)</f>
        <v>0</v>
      </c>
      <c r="AP1292" s="132">
        <f>IFERROR(VLOOKUP(DATA[[#This Row],[COMBINADA]],#REF!,9,0),0)/COUNTIFS(DATA[COMBINADA],DATA[[#This Row],[COMBINADA]])</f>
        <v>0</v>
      </c>
      <c r="AQ129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492.32615384615383</v>
      </c>
      <c r="AR1292" s="26" t="str">
        <f>IFERROR(IF(DATA[[#This Row],[estado_fact]]="FACTURADO",VLOOKUP(DATA[[#This Row],[SERIE2]]&amp;"-"&amp;DATA[[#This Row],[NUMERO]],#REF!,34,0),"NO CORRESPONDE"),"NO CORRESPONDE")</f>
        <v>NO CORRESPONDE</v>
      </c>
      <c r="AS1292" s="22" t="str">
        <f>IF(DATA[[#This Row],[fecha_fs]]&gt;0,TEXT(DATA[[#This Row],[fecha_fs]],"Mmmm"),0)</f>
        <v>Octubre</v>
      </c>
      <c r="AT1292" s="22" t="str">
        <f>DATA[[#This Row],[SERIE2]]&amp;"-"&amp;DATA[[#This Row],[NUMERO]]</f>
        <v>FF01-318</v>
      </c>
      <c r="AU1292" s="28" t="e">
        <f>DATA[[#This Row],[TOTAL]]*DATA[[#This Row],[T.C.]]</f>
        <v>#REF!</v>
      </c>
      <c r="AV1292" s="6">
        <f>DATA[[#This Row],[FECHA DE VAL.]]</f>
        <v>45959</v>
      </c>
      <c r="AW1292" s="6">
        <f>DATA[[#This Row],[FECHA DE EMISION]]</f>
        <v>45961</v>
      </c>
      <c r="AX1292" s="6">
        <f>DATA[[#This Row],[F1]]</f>
        <v>0</v>
      </c>
      <c r="AY1292" s="20">
        <f>IF(AV1292-DATA[[#This Row],[fecha_fs]]&lt;0,0,AV1292-DATA[[#This Row],[fecha_fs]])</f>
        <v>26</v>
      </c>
      <c r="AZ1292" s="20">
        <f t="shared" si="307"/>
        <v>2</v>
      </c>
      <c r="BA1292" s="53">
        <f t="shared" si="308"/>
        <v>0</v>
      </c>
      <c r="BB1292" s="360">
        <f>IFERROR(SUM(DATA[[#This Row],[fs_val_ttf]:[fact_pago_ttf]]),0)</f>
        <v>28</v>
      </c>
      <c r="BC1292" s="377">
        <v>45933</v>
      </c>
      <c r="BD1292" s="377">
        <v>45939</v>
      </c>
      <c r="BE1292" s="377">
        <v>45966</v>
      </c>
      <c r="BF1292" s="361" t="s">
        <v>270</v>
      </c>
      <c r="BG1292" s="20">
        <f>IFERROR(IF(BC1292-DATA[[#This Row],[fecha_fs]]&lt;0,0,BC1292-DATA[[#This Row],[fecha_fs]]),0)</f>
        <v>0</v>
      </c>
      <c r="BH1292" s="20">
        <f t="shared" si="309"/>
        <v>6</v>
      </c>
      <c r="BI1292" s="20">
        <f t="shared" si="310"/>
        <v>27</v>
      </c>
      <c r="BJ1292" s="367">
        <f t="shared" si="311"/>
        <v>0</v>
      </c>
      <c r="BK1292" s="362">
        <f>IFERROR(SUM(DATA[[#This Row],[fs_fd_ttd]:[fend_fenf_ttd]]),0)</f>
        <v>33</v>
      </c>
      <c r="BL1292" s="20" t="str">
        <f>IF(DATA[[#This Row],[fecha_fs]]&gt;0,TEXT(DATA[[#This Row],[fecha_fs]],"YYYY"),0)</f>
        <v>2025</v>
      </c>
      <c r="BM1292" s="363" t="b">
        <v>0</v>
      </c>
      <c r="BN1292" s="278">
        <f>COUNTIF(DATA[[#This Row],[tiempo_td]], "&lt;=15")</f>
        <v>0</v>
      </c>
      <c r="BO1292" s="365"/>
    </row>
    <row r="1293" spans="1:67" ht="30.6" customHeight="1" x14ac:dyDescent="0.25">
      <c r="A1293" s="4">
        <v>20505675836</v>
      </c>
      <c r="B1293" s="5" t="s">
        <v>42</v>
      </c>
      <c r="C1293" s="52" t="s">
        <v>20</v>
      </c>
      <c r="D1293" s="4" t="s">
        <v>120</v>
      </c>
      <c r="E1293" s="5" t="s">
        <v>3</v>
      </c>
      <c r="F1293" s="24">
        <v>45933</v>
      </c>
      <c r="G1293" s="7" t="s">
        <v>113</v>
      </c>
      <c r="H1293" s="25">
        <f t="shared" si="312"/>
        <v>1</v>
      </c>
      <c r="I1293" s="331">
        <v>5084</v>
      </c>
      <c r="J1293" s="8" t="s">
        <v>115</v>
      </c>
      <c r="K1293" s="9" t="s">
        <v>121</v>
      </c>
      <c r="L1293" s="10" t="s">
        <v>117</v>
      </c>
      <c r="M1293" s="11">
        <v>120</v>
      </c>
      <c r="N1293" s="12" t="s">
        <v>337</v>
      </c>
      <c r="O1293" s="6">
        <v>45959</v>
      </c>
      <c r="P1293" s="71">
        <v>3754</v>
      </c>
      <c r="Q1293" s="14" t="s">
        <v>85</v>
      </c>
      <c r="R1293" s="56"/>
      <c r="S1293" s="15">
        <v>1387.83</v>
      </c>
      <c r="T1293" s="321">
        <f>DATA[[#This Row],[C. DF]]+DATA[[#This Row],[C.OPE.]]</f>
        <v>1387.83</v>
      </c>
      <c r="U1293" s="15">
        <f>DATA[[#This Row],[SUB TOTAL]]*0.18</f>
        <v>249.80939999999998</v>
      </c>
      <c r="V1293" s="15">
        <f>IFERROR(ROUND(DATA[[#This Row],[SUB TOTAL]]+DATA[[#This Row],[IGV]],2),0)</f>
        <v>1637.64</v>
      </c>
      <c r="W1293" s="339" t="str">
        <f>IF(DATA[[#This Row],[VALORIZACIÓN ]]="-","NO CORRESPONDE",IF(OR(A1293=20558226979,A1293=10470707866,A1293=20111157058,A1293=20100226902),"NO CORRESPONDE",IF(J1293="Emitida",IF(P1293&gt;0,"EMITIDA","PENDIENTE"),"NO CORRESPONDE")))</f>
        <v>EMITIDA</v>
      </c>
      <c r="X1293" s="29"/>
      <c r="Y1293" s="17" t="s">
        <v>118</v>
      </c>
      <c r="Z1293" s="30">
        <v>45968</v>
      </c>
      <c r="AA1293" s="10" t="s">
        <v>150</v>
      </c>
      <c r="AB1293" s="19">
        <v>344</v>
      </c>
      <c r="AC1293" s="20">
        <v>30</v>
      </c>
      <c r="AD1293" s="18">
        <f>DATA[[#This Row],[FECHA DE EMISION]]+DATA[[#This Row],[CONDICION DE PAGO]]</f>
        <v>45998</v>
      </c>
      <c r="AE1293" s="23">
        <f>IF(DATA[[#This Row],[MONEDA]]="USD",VLOOKUP(DATA[[#This Row],[COMBINADA]],#REF!,11,0),1)</f>
        <v>1</v>
      </c>
      <c r="AF1293" s="129" t="str">
        <f>IF(DATA[[#This Row],[SERIE2]]="-","NO CORRESPONDE",IF(W1293="NO CORRESPONDE","NO CORRESPONDE",IF(Z1293&gt;0,"FACTURADO","PENDIENTE")))</f>
        <v>FACTURADO</v>
      </c>
      <c r="AG1293" s="133">
        <f>IFERROR(VLOOKUP(DATA[[#This Row],[COMBINADA]],#REF!,6,0),0)</f>
        <v>0</v>
      </c>
      <c r="AH1293" s="125">
        <f>IFERROR(VLOOKUP(DATA[[#This Row],[COMBINADA]],#REF!,9,0),0)/COUNTIFS(DATA[COMBINADA],DATA[[#This Row],[COMBINADA]])</f>
        <v>0</v>
      </c>
      <c r="AI1293" s="136">
        <f>IFERROR(VLOOKUP(DATA[[#This Row],[COMBINADA]],#REF!,6,0),0)</f>
        <v>0</v>
      </c>
      <c r="AJ1293" s="132">
        <f>IFERROR(VLOOKUP(DATA[[#This Row],[COMBINADA]],#REF!,9,0),0)/COUNTIFS(DATA[COMBINADA],DATA[[#This Row],[COMBINADA]])</f>
        <v>0</v>
      </c>
      <c r="AK1293" s="407">
        <f>IFERROR(VLOOKUP(DATA[[#This Row],[COMBINADA]],#REF!,6,0),0)</f>
        <v>0</v>
      </c>
      <c r="AL1293" s="125">
        <f>IFERROR(VLOOKUP(DATA[[#This Row],[COMBINADA]],#REF!,9,0),0)/COUNTIFS(DATA[COMBINADA],DATA[[#This Row],[COMBINADA]])</f>
        <v>0</v>
      </c>
      <c r="AM1293" s="27">
        <f>IFERROR(VLOOKUP(DATA[[#This Row],[COMBINADA]],#REF!,6,0),0)</f>
        <v>0</v>
      </c>
      <c r="AN1293" s="125">
        <f>IFERROR(VLOOKUP(DATA[[#This Row],[COMBINADA]],#REF!,9,0),0)/COUNTIFS(DATA[COMBINADA],DATA[[#This Row],[COMBINADA]])</f>
        <v>0</v>
      </c>
      <c r="AO1293" s="27">
        <f>IFERROR(VLOOKUP(DATA[[#This Row],[COMBINADA]],#REF!,6,0),0)</f>
        <v>0</v>
      </c>
      <c r="AP1293" s="132">
        <f>IFERROR(VLOOKUP(DATA[[#This Row],[COMBINADA]],#REF!,9,0),0)/COUNTIFS(DATA[COMBINADA],DATA[[#This Row],[COMBINADA]])</f>
        <v>0</v>
      </c>
      <c r="AQ129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1991.9450000000002</v>
      </c>
      <c r="AR1293" s="26" t="str">
        <f>IFERROR(IF(DATA[[#This Row],[estado_fact]]="FACTURADO",VLOOKUP(DATA[[#This Row],[SERIE2]]&amp;"-"&amp;DATA[[#This Row],[NUMERO]],#REF!,34,0),"NO CORRESPONDE"),"NO CORRESPONDE")</f>
        <v>NO CORRESPONDE</v>
      </c>
      <c r="AS1293" s="22" t="str">
        <f>IF(DATA[[#This Row],[fecha_fs]]&gt;0,TEXT(DATA[[#This Row],[fecha_fs]],"Mmmm"),0)</f>
        <v>Octubre</v>
      </c>
      <c r="AT1293" s="22" t="str">
        <f>DATA[[#This Row],[SERIE2]]&amp;"-"&amp;DATA[[#This Row],[NUMERO]]</f>
        <v>FF01-344</v>
      </c>
      <c r="AU1293" s="28">
        <f>DATA[[#This Row],[TOTAL]]*DATA[[#This Row],[T.C.]]</f>
        <v>1637.64</v>
      </c>
      <c r="AV1293" s="6">
        <f>DATA[[#This Row],[FECHA DE VAL.]]</f>
        <v>45959</v>
      </c>
      <c r="AW1293" s="6">
        <f>DATA[[#This Row],[FECHA DE EMISION]]</f>
        <v>45968</v>
      </c>
      <c r="AX1293" s="6">
        <f>DATA[[#This Row],[F1]]</f>
        <v>0</v>
      </c>
      <c r="AY1293" s="20">
        <f>IF(AV1293-DATA[[#This Row],[fecha_fs]]&lt;0,0,AV1293-DATA[[#This Row],[fecha_fs]])</f>
        <v>26</v>
      </c>
      <c r="AZ1293" s="20">
        <f t="shared" si="307"/>
        <v>9</v>
      </c>
      <c r="BA1293" s="53">
        <f t="shared" si="308"/>
        <v>0</v>
      </c>
      <c r="BB1293" s="360">
        <f>IFERROR(SUM(DATA[[#This Row],[fs_val_ttf]:[fact_pago_ttf]]),0)</f>
        <v>35</v>
      </c>
      <c r="BC1293" s="377">
        <v>45936</v>
      </c>
      <c r="BD1293" s="377">
        <v>45944</v>
      </c>
      <c r="BE1293" s="377">
        <v>45966</v>
      </c>
      <c r="BF1293" s="233">
        <v>45958</v>
      </c>
      <c r="BG1293" s="20">
        <f>IFERROR(IF(BC1293-DATA[[#This Row],[fecha_fs]]&lt;0,0,BC1293-DATA[[#This Row],[fecha_fs]]),0)</f>
        <v>3</v>
      </c>
      <c r="BH1293" s="20">
        <f t="shared" ref="BH1293:BH1310" si="313">IFERROR(IF(BD1293-BC1293&lt;0,0,BD1293-BC1293),0)</f>
        <v>8</v>
      </c>
      <c r="BI1293" s="20">
        <f t="shared" ref="BI1293:BI1310" si="314">IFERROR(IF(BE1293-BD1293&lt;0,0,BE1293-BD1293),0)</f>
        <v>22</v>
      </c>
      <c r="BJ1293" s="367">
        <f t="shared" ref="BJ1293:BJ1310" si="315">IFERROR(IF(BF1293-BE1293&lt;0,0,BF1293-BE1293),0)</f>
        <v>0</v>
      </c>
      <c r="BK1293" s="362">
        <f>IFERROR(SUM(DATA[[#This Row],[fs_fd_ttd]:[fend_fenf_ttd]]),0)</f>
        <v>33</v>
      </c>
      <c r="BL1293" s="20" t="str">
        <f>IF(DATA[[#This Row],[fecha_fs]]&gt;0,TEXT(DATA[[#This Row],[fecha_fs]],"YYYY"),0)</f>
        <v>2025</v>
      </c>
      <c r="BM1293" s="363" t="b">
        <v>1</v>
      </c>
      <c r="BN1293" s="278">
        <f>COUNTIF(DATA[[#This Row],[tiempo_td]], "&lt;=15")</f>
        <v>0</v>
      </c>
      <c r="BO1293" s="365"/>
    </row>
    <row r="1294" spans="1:67" ht="30.6" customHeight="1" x14ac:dyDescent="0.25">
      <c r="A1294" s="4"/>
      <c r="B1294" s="5" t="s">
        <v>0</v>
      </c>
      <c r="C1294" s="52"/>
      <c r="D1294" s="4"/>
      <c r="E1294" s="5" t="s">
        <v>0</v>
      </c>
      <c r="F1294" s="24">
        <v>45936</v>
      </c>
      <c r="G1294" s="7" t="s">
        <v>113</v>
      </c>
      <c r="H1294" s="25">
        <f t="shared" si="312"/>
        <v>1</v>
      </c>
      <c r="I1294" s="67">
        <v>5085</v>
      </c>
      <c r="J1294" s="8" t="s">
        <v>173</v>
      </c>
      <c r="K1294" s="9"/>
      <c r="L1294" s="10"/>
      <c r="M1294" s="111"/>
      <c r="N1294" s="112"/>
      <c r="O1294" s="6"/>
      <c r="P1294" s="13"/>
      <c r="Q1294" s="14"/>
      <c r="R1294" s="56"/>
      <c r="S1294" s="56"/>
      <c r="T1294" s="56">
        <f>DATA[[#This Row],[C. DF]]+DATA[[#This Row],[C.OPE.]]</f>
        <v>0</v>
      </c>
      <c r="U1294" s="56">
        <f>DATA[[#This Row],[SUB TOTAL]]*0.18</f>
        <v>0</v>
      </c>
      <c r="V1294" s="56">
        <f>IFERROR(ROUND(DATA[[#This Row],[SUB TOTAL]]+DATA[[#This Row],[IGV]],2),0)</f>
        <v>0</v>
      </c>
      <c r="W1294" s="73" t="str">
        <f>IF(DATA[[#This Row],[VALORIZACIÓN ]]="-","NO CORRESPONDE",IF(OR(A1294=20558226979,A1294=10470707866,A1294=20111157058,A1294=20100226902),"NO CORRESPONDE",IF(J1294="Emitida",IF(P1294&gt;0,"EMITIDA","PENDIENTE"),"NO CORRESPONDE")))</f>
        <v>NO CORRESPONDE</v>
      </c>
      <c r="X1294" s="46"/>
      <c r="Y1294" s="17" t="s">
        <v>128</v>
      </c>
      <c r="Z1294" s="48"/>
      <c r="AA1294" s="49"/>
      <c r="AB1294" s="50"/>
      <c r="AC1294" s="51"/>
      <c r="AD1294" s="59">
        <f>DATA[[#This Row],[FECHA DE EMISION]]+DATA[[#This Row],[CONDICION DE PAGO]]</f>
        <v>0</v>
      </c>
      <c r="AE1294" s="23">
        <f>IF(DATA[[#This Row],[MONEDA]]="USD",VLOOKUP(DATA[[#This Row],[COMBINADA]],#REF!,11,0),1)</f>
        <v>1</v>
      </c>
      <c r="AF1294" s="129" t="str">
        <f>IF(DATA[[#This Row],[SERIE2]]="-","NO CORRESPONDE",IF(W1294="NO CORRESPONDE","NO CORRESPONDE",IF(Z1294&gt;0,"FACTURADO","PENDIENTE")))</f>
        <v>NO CORRESPONDE</v>
      </c>
      <c r="AG1294" s="133">
        <f>IFERROR(VLOOKUP(DATA[[#This Row],[COMBINADA]],#REF!,6,0),0)</f>
        <v>0</v>
      </c>
      <c r="AH1294" s="125">
        <f>IFERROR(VLOOKUP(DATA[[#This Row],[COMBINADA]],#REF!,9,0),0)/COUNTIFS(DATA[COMBINADA],DATA[[#This Row],[COMBINADA]])</f>
        <v>0</v>
      </c>
      <c r="AI1294" s="140">
        <f>IFERROR(VLOOKUP(DATA[[#This Row],[COMBINADA]],#REF!,6,0),0)</f>
        <v>0</v>
      </c>
      <c r="AJ1294" s="126">
        <f>IFERROR(VLOOKUP(DATA[[#This Row],[COMBINADA]],#REF!,9,0),0)/COUNTIFS(DATA[COMBINADA],DATA[[#This Row],[COMBINADA]])</f>
        <v>0</v>
      </c>
      <c r="AK1294" s="61">
        <f>IFERROR(VLOOKUP(DATA[[#This Row],[COMBINADA]],#REF!,6,0),0)</f>
        <v>0</v>
      </c>
      <c r="AL1294" s="126">
        <f>IFERROR(VLOOKUP(DATA[[#This Row],[COMBINADA]],#REF!,9,0),0)/COUNTIFS(DATA[COMBINADA],DATA[[#This Row],[COMBINADA]])</f>
        <v>0</v>
      </c>
      <c r="AM1294" s="61">
        <f>IFERROR(VLOOKUP(DATA[[#This Row],[COMBINADA]],#REF!,6,0),0)</f>
        <v>0</v>
      </c>
      <c r="AN1294" s="62">
        <f>IFERROR(VLOOKUP(DATA[[#This Row],[COMBINADA]],#REF!,9,0),0)/COUNTIFS(DATA[COMBINADA],DATA[[#This Row],[COMBINADA]])</f>
        <v>0</v>
      </c>
      <c r="AO1294" s="61">
        <f>IFERROR(VLOOKUP(DATA[[#This Row],[COMBINADA]],#REF!,6,0),0)</f>
        <v>0</v>
      </c>
      <c r="AP1294" s="62">
        <f>IFERROR(VLOOKUP(DATA[[#This Row],[COMBINADA]],#REF!,9,0),0)/COUNTIFS(DATA[COMBINADA],DATA[[#This Row],[COMBINADA]])</f>
        <v>0</v>
      </c>
      <c r="AQ1294"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294" s="22" t="str">
        <f>IFERROR(IF(DATA[[#This Row],[estado_fact]]="FACTURADO",VLOOKUP(DATA[[#This Row],[SERIE2]]&amp;"-"&amp;DATA[[#This Row],[NUMERO]],#REF!,34,0),"NO CORRESPONDE"),"NO CORRESPONDE")</f>
        <v>NO CORRESPONDE</v>
      </c>
      <c r="AS1294" s="198" t="str">
        <f>IF(DATA[[#This Row],[fecha_fs]]&gt;0,TEXT(DATA[[#This Row],[fecha_fs]],"Mmmm"),0)</f>
        <v>Octubre</v>
      </c>
      <c r="AT1294" s="199" t="str">
        <f>DATA[[#This Row],[SERIE2]]&amp;"-"&amp;DATA[[#This Row],[NUMERO]]</f>
        <v>-</v>
      </c>
      <c r="AU1294" s="198">
        <f>DATA[[#This Row],[TOTAL]]*DATA[[#This Row],[T.C.]]</f>
        <v>0</v>
      </c>
      <c r="AV1294" s="40">
        <f>DATA[[#This Row],[FECHA DE VAL.]]</f>
        <v>0</v>
      </c>
      <c r="AW1294" s="40">
        <f>DATA[[#This Row],[FECHA DE EMISION]]</f>
        <v>0</v>
      </c>
      <c r="AX1294" s="40">
        <f>DATA[[#This Row],[F1]]</f>
        <v>0</v>
      </c>
      <c r="AY1294" s="49">
        <f>IF(AV1294-DATA[[#This Row],[fecha_fs]]&lt;0,0,AV1294-DATA[[#This Row],[fecha_fs]])</f>
        <v>0</v>
      </c>
      <c r="AZ1294" s="49">
        <f t="shared" si="307"/>
        <v>0</v>
      </c>
      <c r="BA1294" s="49">
        <f t="shared" si="308"/>
        <v>0</v>
      </c>
      <c r="BB1294" s="195">
        <f>IFERROR(SUM(DATA[[#This Row],[fs_val_ttf]:[fact_pago_ttf]]),0)</f>
        <v>0</v>
      </c>
      <c r="BC1294" s="47"/>
      <c r="BD1294" s="47"/>
      <c r="BE1294" s="47"/>
      <c r="BF1294" s="47"/>
      <c r="BG1294" s="49">
        <f>IFERROR(IF(BC1294-DATA[[#This Row],[fecha_fs]]&lt;0,0,BC1294-DATA[[#This Row],[fecha_fs]]),0)</f>
        <v>0</v>
      </c>
      <c r="BH1294" s="49">
        <f t="shared" si="313"/>
        <v>0</v>
      </c>
      <c r="BI1294" s="49">
        <f t="shared" si="314"/>
        <v>0</v>
      </c>
      <c r="BJ1294" s="49">
        <f t="shared" si="315"/>
        <v>0</v>
      </c>
      <c r="BK1294" s="282">
        <f>IFERROR(SUM(DATA[[#This Row],[fs_fd_ttd]:[fend_fenf_ttd]]),0)</f>
        <v>0</v>
      </c>
      <c r="BL1294" s="20" t="str">
        <f>IF(DATA[[#This Row],[fecha_fs]]&gt;0,TEXT(DATA[[#This Row],[fecha_fs]],"YYYY"),0)</f>
        <v>2025</v>
      </c>
      <c r="BM1294" s="221" t="b">
        <v>0</v>
      </c>
      <c r="BN1294" s="278"/>
      <c r="BO1294" s="222"/>
    </row>
    <row r="1295" spans="1:67" ht="30.6" customHeight="1" x14ac:dyDescent="0.25">
      <c r="A1295" s="4">
        <v>20100211115</v>
      </c>
      <c r="B1295" s="5" t="s">
        <v>41</v>
      </c>
      <c r="C1295" s="52" t="s">
        <v>18</v>
      </c>
      <c r="D1295" s="4" t="s">
        <v>120</v>
      </c>
      <c r="E1295" s="5" t="s">
        <v>3</v>
      </c>
      <c r="F1295" s="24">
        <v>45936</v>
      </c>
      <c r="G1295" s="7" t="s">
        <v>113</v>
      </c>
      <c r="H1295" s="25">
        <f t="shared" ref="H1295:H1310" si="316">IF(G1295="","",IF(G1295="LIM",2,1))</f>
        <v>1</v>
      </c>
      <c r="I1295" s="331">
        <v>5086</v>
      </c>
      <c r="J1295" s="8" t="s">
        <v>115</v>
      </c>
      <c r="K1295" s="9" t="s">
        <v>121</v>
      </c>
      <c r="L1295" s="10" t="s">
        <v>117</v>
      </c>
      <c r="M1295" s="11">
        <v>90</v>
      </c>
      <c r="N1295" s="12" t="s">
        <v>167</v>
      </c>
      <c r="O1295" s="6">
        <v>45957</v>
      </c>
      <c r="P1295" s="115">
        <v>3742</v>
      </c>
      <c r="Q1295" s="14" t="s">
        <v>85</v>
      </c>
      <c r="R1295" s="74"/>
      <c r="S1295" s="321">
        <f>(DATA[[#This Row],[cantidad_fs]]*4.17)</f>
        <v>375.3</v>
      </c>
      <c r="T1295" s="321">
        <f>DATA[[#This Row],[C. DF]]+DATA[[#This Row],[C.OPE.]]</f>
        <v>375.3</v>
      </c>
      <c r="U1295" s="15">
        <f>DATA[[#This Row],[SUB TOTAL]]*0.18</f>
        <v>67.554000000000002</v>
      </c>
      <c r="V1295" s="15">
        <f>IFERROR(ROUND(DATA[[#This Row],[SUB TOTAL]]+DATA[[#This Row],[IGV]],2),0)</f>
        <v>442.85</v>
      </c>
      <c r="W1295" s="339" t="str">
        <f>IF(DATA[[#This Row],[VALORIZACIÓN ]]="-","NO CORRESPONDE",IF(OR(A1295=20558226979,A1295=10470707866,A1295=20111157058,A1295=20100226902),"NO CORRESPONDE",IF(J1295="Emitida",IF(P1295&gt;0,"EMITIDA","PENDIENTE"),"NO CORRESPONDE")))</f>
        <v>EMITIDA</v>
      </c>
      <c r="X1295" s="29"/>
      <c r="Y1295" s="17" t="s">
        <v>118</v>
      </c>
      <c r="Z1295" s="30">
        <v>45958</v>
      </c>
      <c r="AA1295" s="10" t="s">
        <v>150</v>
      </c>
      <c r="AB1295" s="19">
        <v>309</v>
      </c>
      <c r="AC1295" s="20">
        <v>30</v>
      </c>
      <c r="AD1295" s="18">
        <f>DATA[[#This Row],[FECHA DE EMISION]]+DATA[[#This Row],[CONDICION DE PAGO]]</f>
        <v>45988</v>
      </c>
      <c r="AE1295" s="23">
        <f>IF(DATA[[#This Row],[MONEDA]]="USD",VLOOKUP(DATA[[#This Row],[COMBINADA]],#REF!,11,0),1)</f>
        <v>1</v>
      </c>
      <c r="AF1295" s="129" t="str">
        <f>IF(DATA[[#This Row],[SERIE2]]="-","NO CORRESPONDE",IF(W1295="NO CORRESPONDE","NO CORRESPONDE",IF(Z1295&gt;0,"FACTURADO","PENDIENTE")))</f>
        <v>FACTURADO</v>
      </c>
      <c r="AG1295" s="133">
        <f>IFERROR(VLOOKUP(DATA[[#This Row],[COMBINADA]],#REF!,6,0),0)</f>
        <v>0</v>
      </c>
      <c r="AH1295" s="125">
        <f>IFERROR(VLOOKUP(DATA[[#This Row],[COMBINADA]],#REF!,9,0),0)/COUNTIFS(DATA[COMBINADA],DATA[[#This Row],[COMBINADA]])</f>
        <v>0</v>
      </c>
      <c r="AI1295" s="136">
        <f>IFERROR(VLOOKUP(DATA[[#This Row],[COMBINADA]],#REF!,6,0),0)</f>
        <v>0</v>
      </c>
      <c r="AJ1295" s="132">
        <f>IFERROR(VLOOKUP(DATA[[#This Row],[COMBINADA]],#REF!,9,0),0)/COUNTIFS(DATA[COMBINADA],DATA[[#This Row],[COMBINADA]])</f>
        <v>0</v>
      </c>
      <c r="AK1295" s="407">
        <f>IFERROR(VLOOKUP(DATA[[#This Row],[COMBINADA]],#REF!,6,0),0)</f>
        <v>0</v>
      </c>
      <c r="AL1295" s="125">
        <f>IFERROR(VLOOKUP(DATA[[#This Row],[COMBINADA]],#REF!,9,0),0)/COUNTIFS(DATA[COMBINADA],DATA[[#This Row],[COMBINADA]])</f>
        <v>0</v>
      </c>
      <c r="AM1295" s="27">
        <f>IFERROR(VLOOKUP(DATA[[#This Row],[COMBINADA]],#REF!,6,0),0)</f>
        <v>0</v>
      </c>
      <c r="AN1295" s="125">
        <f>IFERROR(VLOOKUP(DATA[[#This Row],[COMBINADA]],#REF!,9,0),0)/COUNTIFS(DATA[COMBINADA],DATA[[#This Row],[COMBINADA]])</f>
        <v>0</v>
      </c>
      <c r="AO1295" s="27">
        <f>IFERROR(VLOOKUP(DATA[[#This Row],[COMBINADA]],#REF!,6,0),0)</f>
        <v>0</v>
      </c>
      <c r="AP1295" s="132">
        <f>IFERROR(VLOOKUP(DATA[[#This Row],[COMBINADA]],#REF!,9,0),0)/COUNTIFS(DATA[COMBINADA],DATA[[#This Row],[COMBINADA]])</f>
        <v>0</v>
      </c>
      <c r="AQ129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295" s="26" t="str">
        <f>IFERROR(IF(DATA[[#This Row],[estado_fact]]="FACTURADO",VLOOKUP(DATA[[#This Row],[SERIE2]]&amp;"-"&amp;DATA[[#This Row],[NUMERO]],#REF!,34,0),"NO CORRESPONDE"),"NO CORRESPONDE")</f>
        <v>NO CORRESPONDE</v>
      </c>
      <c r="AS1295" s="22" t="str">
        <f>IF(DATA[[#This Row],[fecha_fs]]&gt;0,TEXT(DATA[[#This Row],[fecha_fs]],"Mmmm"),0)</f>
        <v>Octubre</v>
      </c>
      <c r="AT1295" s="22" t="str">
        <f>DATA[[#This Row],[SERIE2]]&amp;"-"&amp;DATA[[#This Row],[NUMERO]]</f>
        <v>FF01-309</v>
      </c>
      <c r="AU1295" s="28">
        <f>DATA[[#This Row],[TOTAL]]*DATA[[#This Row],[T.C.]]</f>
        <v>442.85</v>
      </c>
      <c r="AV1295" s="6">
        <f>DATA[[#This Row],[FECHA DE VAL.]]</f>
        <v>45957</v>
      </c>
      <c r="AW1295" s="6">
        <f>DATA[[#This Row],[FECHA DE EMISION]]</f>
        <v>45958</v>
      </c>
      <c r="AX1295" s="6">
        <f>DATA[[#This Row],[F1]]</f>
        <v>0</v>
      </c>
      <c r="AY1295" s="20">
        <f>IF(AV1295-DATA[[#This Row],[fecha_fs]]&lt;0,0,AV1295-DATA[[#This Row],[fecha_fs]])</f>
        <v>21</v>
      </c>
      <c r="AZ1295" s="20">
        <f t="shared" ref="AZ1295:AZ1310" si="317">IF(AW1295-AV1295&lt;0,0,AW1295-AV1295)</f>
        <v>1</v>
      </c>
      <c r="BA1295" s="53">
        <f t="shared" ref="BA1295:BA1310" si="318">IF(AX1295-AW1295&lt;0,0,AX1295-AW1295)</f>
        <v>0</v>
      </c>
      <c r="BB1295" s="360">
        <f>IFERROR(SUM(DATA[[#This Row],[fs_val_ttf]:[fact_pago_ttf]]),0)</f>
        <v>22</v>
      </c>
      <c r="BC1295" s="233">
        <v>45957</v>
      </c>
      <c r="BD1295" s="233">
        <v>45964</v>
      </c>
      <c r="BE1295" s="233">
        <v>45967</v>
      </c>
      <c r="BF1295" s="233">
        <v>45967</v>
      </c>
      <c r="BG1295" s="20">
        <f>IFERROR(IF(BC1295-DATA[[#This Row],[fecha_fs]]&lt;0,0,BC1295-DATA[[#This Row],[fecha_fs]]),0)</f>
        <v>21</v>
      </c>
      <c r="BH1295" s="20">
        <f t="shared" si="313"/>
        <v>7</v>
      </c>
      <c r="BI1295" s="20">
        <f t="shared" si="314"/>
        <v>3</v>
      </c>
      <c r="BJ1295" s="367">
        <f t="shared" si="315"/>
        <v>0</v>
      </c>
      <c r="BK1295" s="362">
        <f>IFERROR(SUM(DATA[[#This Row],[fs_fd_ttd]:[fend_fenf_ttd]]),0)</f>
        <v>31</v>
      </c>
      <c r="BL1295" s="20" t="str">
        <f>IF(DATA[[#This Row],[fecha_fs]]&gt;0,TEXT(DATA[[#This Row],[fecha_fs]],"YYYY"),0)</f>
        <v>2025</v>
      </c>
      <c r="BM1295" s="363" t="b">
        <v>1</v>
      </c>
      <c r="BN1295" s="278">
        <f>COUNTIF(DATA[[#This Row],[tiempo_td]], "&lt;=15")</f>
        <v>0</v>
      </c>
      <c r="BO1295" s="365"/>
    </row>
    <row r="1296" spans="1:67" ht="30.6" customHeight="1" x14ac:dyDescent="0.25">
      <c r="A1296" s="4">
        <v>20100226902</v>
      </c>
      <c r="B1296" s="5" t="s">
        <v>24</v>
      </c>
      <c r="C1296" s="52" t="s">
        <v>18</v>
      </c>
      <c r="D1296" s="4" t="s">
        <v>120</v>
      </c>
      <c r="E1296" s="5" t="s">
        <v>3</v>
      </c>
      <c r="F1296" s="24">
        <v>45936</v>
      </c>
      <c r="G1296" s="7" t="s">
        <v>113</v>
      </c>
      <c r="H1296" s="25">
        <f t="shared" si="316"/>
        <v>1</v>
      </c>
      <c r="I1296" s="331">
        <v>5087</v>
      </c>
      <c r="J1296" s="8" t="s">
        <v>115</v>
      </c>
      <c r="K1296" s="9" t="s">
        <v>121</v>
      </c>
      <c r="L1296" s="10" t="s">
        <v>117</v>
      </c>
      <c r="M1296" s="11">
        <v>730</v>
      </c>
      <c r="N1296" s="12" t="s">
        <v>187</v>
      </c>
      <c r="O1296" s="359"/>
      <c r="P1296" s="371" t="s">
        <v>114</v>
      </c>
      <c r="Q1296" s="372"/>
      <c r="R1296" s="373"/>
      <c r="S1296" s="373"/>
      <c r="T1296" s="373">
        <v>0</v>
      </c>
      <c r="U1296" s="373">
        <v>0</v>
      </c>
      <c r="V1296" s="373">
        <v>0</v>
      </c>
      <c r="W1296" s="339" t="str">
        <f>IF(DATA[[#This Row],[VALORIZACIÓN ]]="-","NO CORRESPONDE",IF(OR(A1296=20558226979,A1296=10470707866,A1296=20111157058,A1296=20100226902),"NO CORRESPONDE",IF(J1296="Emitida",IF(P1296&gt;0,"EMITIDA","PENDIENTE"),"NO CORRESPONDE")))</f>
        <v>NO CORRESPONDE</v>
      </c>
      <c r="X1296" s="374"/>
      <c r="Y1296" s="17" t="s">
        <v>128</v>
      </c>
      <c r="Z1296" s="340"/>
      <c r="AA1296" s="361"/>
      <c r="AB1296" s="342"/>
      <c r="AC1296" s="343"/>
      <c r="AD1296" s="344">
        <v>0</v>
      </c>
      <c r="AE1296" s="23">
        <f>IF(DATA[[#This Row],[MONEDA]]="USD",VLOOKUP(DATA[[#This Row],[COMBINADA]],#REF!,11,0),1)</f>
        <v>1</v>
      </c>
      <c r="AF1296" s="129" t="str">
        <f>IF(DATA[[#This Row],[SERIE2]]="-","NO CORRESPONDE",IF(W1296="NO CORRESPONDE","NO CORRESPONDE",IF(Z1296&gt;0,"FACTURADO","PENDIENTE")))</f>
        <v>NO CORRESPONDE</v>
      </c>
      <c r="AG1296" s="310">
        <f>IFERROR(VLOOKUP(DATA[[#This Row],[COMBINADA]],#REF!,6,0),0)</f>
        <v>0</v>
      </c>
      <c r="AH1296" s="311">
        <f>IFERROR(VLOOKUP(DATA[[#This Row],[COMBINADA]],#REF!,9,0),0)/COUNTIFS(DATA[COMBINADA],DATA[[#This Row],[COMBINADA]])</f>
        <v>0</v>
      </c>
      <c r="AI1296" s="310">
        <f>IFERROR(VLOOKUP(DATA[[#This Row],[COMBINADA]],#REF!,6,0),0)</f>
        <v>0</v>
      </c>
      <c r="AJ1296" s="311">
        <f>IFERROR(VLOOKUP(DATA[[#This Row],[COMBINADA]],#REF!,9,0),0)/COUNTIFS(DATA[COMBINADA],DATA[[#This Row],[COMBINADA]])</f>
        <v>0</v>
      </c>
      <c r="AK1296" s="413">
        <f>IFERROR(VLOOKUP(DATA[[#This Row],[COMBINADA]],#REF!,6,0),0)</f>
        <v>0</v>
      </c>
      <c r="AL1296" s="311">
        <f>IFERROR(VLOOKUP(DATA[[#This Row],[COMBINADA]],#REF!,9,0),0)/COUNTIFS(DATA[COMBINADA],DATA[[#This Row],[COMBINADA]])</f>
        <v>0</v>
      </c>
      <c r="AM1296" s="312">
        <f>IFERROR(VLOOKUP(DATA[[#This Row],[COMBINADA]],#REF!,6,0),0)</f>
        <v>0</v>
      </c>
      <c r="AN1296" s="311">
        <f>IFERROR(VLOOKUP(DATA[[#This Row],[COMBINADA]],#REF!,9,0),0)/COUNTIFS(DATA[COMBINADA],DATA[[#This Row],[COMBINADA]])</f>
        <v>0</v>
      </c>
      <c r="AO1296" s="313">
        <f>IFERROR(VLOOKUP(DATA[[#This Row],[COMBINADA]],#REF!,6,0),0)</f>
        <v>0</v>
      </c>
      <c r="AP1296" s="311">
        <f>IFERROR(VLOOKUP(DATA[[#This Row],[COMBINADA]],#REF!,9,0),0)/COUNTIFS(DATA[COMBINADA],DATA[[#This Row],[COMBINADA]])</f>
        <v>0</v>
      </c>
      <c r="AQ1296" s="314">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296" s="315" t="str">
        <f>IFERROR(IF(DATA[[#This Row],[estado_fact]]="FACTURADO",VLOOKUP(DATA[[#This Row],[SERIE2]]&amp;"-"&amp;DATA[[#This Row],[NUMERO]],#REF!,34,0),"NO CORRESPONDE"),"NO CORRESPONDE")</f>
        <v>NO CORRESPONDE</v>
      </c>
      <c r="AS1296" s="22" t="str">
        <f>IF(DATA[[#This Row],[fecha_fs]]&gt;0,TEXT(DATA[[#This Row],[fecha_fs]],"Mmmm"),0)</f>
        <v>Octubre</v>
      </c>
      <c r="AT1296" s="22" t="str">
        <f>DATA[[#This Row],[SERIE2]]&amp;"-"&amp;DATA[[#This Row],[NUMERO]]</f>
        <v>-</v>
      </c>
      <c r="AU1296" s="28">
        <f>DATA[[#This Row],[TOTAL]]*DATA[[#This Row],[T.C.]]</f>
        <v>0</v>
      </c>
      <c r="AV1296" s="6">
        <f>DATA[[#This Row],[FECHA DE VAL.]]</f>
        <v>0</v>
      </c>
      <c r="AW1296" s="6">
        <f>DATA[[#This Row],[FECHA DE EMISION]]</f>
        <v>0</v>
      </c>
      <c r="AX1296" s="6">
        <f>DATA[[#This Row],[F1]]</f>
        <v>0</v>
      </c>
      <c r="AY1296" s="20">
        <f>IF(AV1296-DATA[[#This Row],[fecha_fs]]&lt;0,0,AV1296-DATA[[#This Row],[fecha_fs]])</f>
        <v>0</v>
      </c>
      <c r="AZ1296" s="20">
        <f t="shared" si="317"/>
        <v>0</v>
      </c>
      <c r="BA1296" s="53">
        <f t="shared" si="318"/>
        <v>0</v>
      </c>
      <c r="BB1296" s="360">
        <f>IFERROR(SUM(DATA[[#This Row],[fs_val_ttf]:[fact_pago_ttf]]),0)</f>
        <v>0</v>
      </c>
      <c r="BC1296" s="377">
        <v>45936</v>
      </c>
      <c r="BD1296" s="377">
        <v>45936</v>
      </c>
      <c r="BE1296" s="377">
        <v>45954</v>
      </c>
      <c r="BF1296" s="377">
        <v>45954</v>
      </c>
      <c r="BG1296" s="20">
        <f>IFERROR(IF(BC1296-DATA[[#This Row],[fecha_fs]]&lt;0,0,BC1296-DATA[[#This Row],[fecha_fs]]),0)</f>
        <v>0</v>
      </c>
      <c r="BH1296" s="20">
        <f t="shared" si="313"/>
        <v>0</v>
      </c>
      <c r="BI1296" s="20">
        <f t="shared" si="314"/>
        <v>18</v>
      </c>
      <c r="BJ1296" s="367">
        <f t="shared" si="315"/>
        <v>0</v>
      </c>
      <c r="BK1296" s="362">
        <f>IFERROR(SUM(DATA[[#This Row],[fs_fd_ttd]:[fend_fenf_ttd]]),0)</f>
        <v>18</v>
      </c>
      <c r="BL1296" s="20" t="str">
        <f>IF(DATA[[#This Row],[fecha_fs]]&gt;0,TEXT(DATA[[#This Row],[fecha_fs]],"YYYY"),0)</f>
        <v>2025</v>
      </c>
      <c r="BM1296" s="363" t="b">
        <v>1</v>
      </c>
      <c r="BN1296" s="278">
        <f>COUNTIF(DATA[[#This Row],[tiempo_td]], "&lt;=15")</f>
        <v>0</v>
      </c>
      <c r="BO1296" s="365"/>
    </row>
    <row r="1297" spans="1:67" ht="30.6" customHeight="1" x14ac:dyDescent="0.25">
      <c r="A1297" s="4"/>
      <c r="B1297" s="5" t="s">
        <v>0</v>
      </c>
      <c r="C1297" s="52"/>
      <c r="D1297" s="4"/>
      <c r="E1297" s="5" t="s">
        <v>0</v>
      </c>
      <c r="F1297" s="24">
        <v>45936</v>
      </c>
      <c r="G1297" s="7" t="s">
        <v>113</v>
      </c>
      <c r="H1297" s="25">
        <f t="shared" si="316"/>
        <v>1</v>
      </c>
      <c r="I1297" s="67">
        <v>5088</v>
      </c>
      <c r="J1297" s="8" t="s">
        <v>173</v>
      </c>
      <c r="K1297" s="9"/>
      <c r="L1297" s="10"/>
      <c r="M1297" s="111"/>
      <c r="N1297" s="112"/>
      <c r="O1297" s="6"/>
      <c r="P1297" s="13"/>
      <c r="Q1297" s="14"/>
      <c r="R1297" s="56"/>
      <c r="S1297" s="56"/>
      <c r="T1297" s="56">
        <f>DATA[[#This Row],[C. DF]]+DATA[[#This Row],[C.OPE.]]</f>
        <v>0</v>
      </c>
      <c r="U1297" s="56">
        <f>DATA[[#This Row],[SUB TOTAL]]*0.18</f>
        <v>0</v>
      </c>
      <c r="V1297" s="56">
        <f>IFERROR(ROUND(DATA[[#This Row],[SUB TOTAL]]+DATA[[#This Row],[IGV]],2),0)</f>
        <v>0</v>
      </c>
      <c r="W1297" s="73" t="str">
        <f>IF(DATA[[#This Row],[VALORIZACIÓN ]]="-","NO CORRESPONDE",IF(OR(A1297=20558226979,A1297=10470707866,A1297=20111157058,A1297=20100226902),"NO CORRESPONDE",IF(J1297="Emitida",IF(P1297&gt;0,"EMITIDA","PENDIENTE"),"NO CORRESPONDE")))</f>
        <v>NO CORRESPONDE</v>
      </c>
      <c r="X1297" s="46"/>
      <c r="Y1297" s="17" t="s">
        <v>128</v>
      </c>
      <c r="Z1297" s="48"/>
      <c r="AA1297" s="49"/>
      <c r="AB1297" s="50"/>
      <c r="AC1297" s="51"/>
      <c r="AD1297" s="59">
        <f>DATA[[#This Row],[FECHA DE EMISION]]+DATA[[#This Row],[CONDICION DE PAGO]]</f>
        <v>0</v>
      </c>
      <c r="AE1297" s="23">
        <f>IF(DATA[[#This Row],[MONEDA]]="USD",VLOOKUP(DATA[[#This Row],[COMBINADA]],#REF!,11,0),1)</f>
        <v>1</v>
      </c>
      <c r="AF1297" s="129" t="str">
        <f>IF(DATA[[#This Row],[SERIE2]]="-","NO CORRESPONDE",IF(W1297="NO CORRESPONDE","NO CORRESPONDE",IF(Z1297&gt;0,"FACTURADO","PENDIENTE")))</f>
        <v>NO CORRESPONDE</v>
      </c>
      <c r="AG1297" s="133">
        <f>IFERROR(VLOOKUP(DATA[[#This Row],[COMBINADA]],#REF!,6,0),0)</f>
        <v>0</v>
      </c>
      <c r="AH1297" s="125">
        <f>IFERROR(VLOOKUP(DATA[[#This Row],[COMBINADA]],#REF!,9,0),0)/COUNTIFS(DATA[COMBINADA],DATA[[#This Row],[COMBINADA]])</f>
        <v>0</v>
      </c>
      <c r="AI1297" s="140">
        <f>IFERROR(VLOOKUP(DATA[[#This Row],[COMBINADA]],#REF!,6,0),0)</f>
        <v>0</v>
      </c>
      <c r="AJ1297" s="126">
        <f>IFERROR(VLOOKUP(DATA[[#This Row],[COMBINADA]],#REF!,9,0),0)/COUNTIFS(DATA[COMBINADA],DATA[[#This Row],[COMBINADA]])</f>
        <v>0</v>
      </c>
      <c r="AK1297" s="61">
        <f>IFERROR(VLOOKUP(DATA[[#This Row],[COMBINADA]],#REF!,6,0),0)</f>
        <v>0</v>
      </c>
      <c r="AL1297" s="126">
        <f>IFERROR(VLOOKUP(DATA[[#This Row],[COMBINADA]],#REF!,9,0),0)/COUNTIFS(DATA[COMBINADA],DATA[[#This Row],[COMBINADA]])</f>
        <v>0</v>
      </c>
      <c r="AM1297" s="61">
        <f>IFERROR(VLOOKUP(DATA[[#This Row],[COMBINADA]],#REF!,6,0),0)</f>
        <v>0</v>
      </c>
      <c r="AN1297" s="62">
        <f>IFERROR(VLOOKUP(DATA[[#This Row],[COMBINADA]],#REF!,9,0),0)/COUNTIFS(DATA[COMBINADA],DATA[[#This Row],[COMBINADA]])</f>
        <v>0</v>
      </c>
      <c r="AO1297" s="61">
        <f>IFERROR(VLOOKUP(DATA[[#This Row],[COMBINADA]],#REF!,6,0),0)</f>
        <v>0</v>
      </c>
      <c r="AP1297" s="62">
        <f>IFERROR(VLOOKUP(DATA[[#This Row],[COMBINADA]],#REF!,9,0),0)/COUNTIFS(DATA[COMBINADA],DATA[[#This Row],[COMBINADA]])</f>
        <v>0</v>
      </c>
      <c r="AQ1297"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297" s="22" t="str">
        <f>IFERROR(IF(DATA[[#This Row],[estado_fact]]="FACTURADO",VLOOKUP(DATA[[#This Row],[SERIE2]]&amp;"-"&amp;DATA[[#This Row],[NUMERO]],#REF!,34,0),"NO CORRESPONDE"),"NO CORRESPONDE")</f>
        <v>NO CORRESPONDE</v>
      </c>
      <c r="AS1297" s="198" t="str">
        <f>IF(DATA[[#This Row],[fecha_fs]]&gt;0,TEXT(DATA[[#This Row],[fecha_fs]],"Mmmm"),0)</f>
        <v>Octubre</v>
      </c>
      <c r="AT1297" s="199" t="str">
        <f>DATA[[#This Row],[SERIE2]]&amp;"-"&amp;DATA[[#This Row],[NUMERO]]</f>
        <v>-</v>
      </c>
      <c r="AU1297" s="198">
        <f>DATA[[#This Row],[TOTAL]]*DATA[[#This Row],[T.C.]]</f>
        <v>0</v>
      </c>
      <c r="AV1297" s="40">
        <f>DATA[[#This Row],[FECHA DE VAL.]]</f>
        <v>0</v>
      </c>
      <c r="AW1297" s="40">
        <f>DATA[[#This Row],[FECHA DE EMISION]]</f>
        <v>0</v>
      </c>
      <c r="AX1297" s="40">
        <f>DATA[[#This Row],[F1]]</f>
        <v>0</v>
      </c>
      <c r="AY1297" s="49">
        <f>IF(AV1297-DATA[[#This Row],[fecha_fs]]&lt;0,0,AV1297-DATA[[#This Row],[fecha_fs]])</f>
        <v>0</v>
      </c>
      <c r="AZ1297" s="49">
        <f t="shared" si="317"/>
        <v>0</v>
      </c>
      <c r="BA1297" s="49">
        <f t="shared" si="318"/>
        <v>0</v>
      </c>
      <c r="BB1297" s="195">
        <f>IFERROR(SUM(DATA[[#This Row],[fs_val_ttf]:[fact_pago_ttf]]),0)</f>
        <v>0</v>
      </c>
      <c r="BC1297" s="47"/>
      <c r="BD1297" s="47"/>
      <c r="BE1297" s="47"/>
      <c r="BF1297" s="47"/>
      <c r="BG1297" s="49">
        <f>IFERROR(IF(BC1297-DATA[[#This Row],[fecha_fs]]&lt;0,0,BC1297-DATA[[#This Row],[fecha_fs]]),0)</f>
        <v>0</v>
      </c>
      <c r="BH1297" s="49">
        <f t="shared" si="313"/>
        <v>0</v>
      </c>
      <c r="BI1297" s="49">
        <f t="shared" si="314"/>
        <v>0</v>
      </c>
      <c r="BJ1297" s="49">
        <f t="shared" si="315"/>
        <v>0</v>
      </c>
      <c r="BK1297" s="282">
        <f>IFERROR(SUM(DATA[[#This Row],[fs_fd_ttd]:[fend_fenf_ttd]]),0)</f>
        <v>0</v>
      </c>
      <c r="BL1297" s="20" t="str">
        <f>IF(DATA[[#This Row],[fecha_fs]]&gt;0,TEXT(DATA[[#This Row],[fecha_fs]],"YYYY"),0)</f>
        <v>2025</v>
      </c>
      <c r="BM1297" s="221" t="b">
        <v>0</v>
      </c>
      <c r="BN1297" s="278"/>
      <c r="BO1297" s="222"/>
    </row>
    <row r="1298" spans="1:67" ht="30.6" customHeight="1" x14ac:dyDescent="0.25">
      <c r="A1298" s="4">
        <v>20100192064</v>
      </c>
      <c r="B1298" s="5" t="s">
        <v>60</v>
      </c>
      <c r="C1298" s="52" t="s">
        <v>43</v>
      </c>
      <c r="D1298" s="4" t="s">
        <v>112</v>
      </c>
      <c r="E1298" s="5" t="s">
        <v>1</v>
      </c>
      <c r="F1298" s="24">
        <v>45936</v>
      </c>
      <c r="G1298" s="7" t="s">
        <v>113</v>
      </c>
      <c r="H1298" s="25">
        <f t="shared" si="316"/>
        <v>1</v>
      </c>
      <c r="I1298" s="331">
        <v>5089</v>
      </c>
      <c r="J1298" s="8" t="s">
        <v>115</v>
      </c>
      <c r="K1298" s="9" t="s">
        <v>116</v>
      </c>
      <c r="L1298" s="10" t="s">
        <v>117</v>
      </c>
      <c r="M1298" s="11">
        <v>870</v>
      </c>
      <c r="N1298" s="12" t="s">
        <v>337</v>
      </c>
      <c r="O1298" s="6">
        <v>45959</v>
      </c>
      <c r="P1298" s="366">
        <v>3759</v>
      </c>
      <c r="Q1298" s="14" t="s">
        <v>123</v>
      </c>
      <c r="R1298" s="15">
        <f>(DATA[[#This Row],[cantidad_fs]]/1000)*(143+175.34)</f>
        <v>276.95580000000001</v>
      </c>
      <c r="S1298" s="15">
        <v>137</v>
      </c>
      <c r="T1298" s="321">
        <f>DATA[[#This Row],[C. DF]]+DATA[[#This Row],[C.OPE.]]</f>
        <v>413.95580000000001</v>
      </c>
      <c r="U1298" s="15">
        <f>DATA[[#This Row],[SUB TOTAL]]*0.18</f>
        <v>74.512044000000003</v>
      </c>
      <c r="V1298" s="15">
        <f>IFERROR(ROUND(DATA[[#This Row],[SUB TOTAL]]+DATA[[#This Row],[IGV]],2),0)</f>
        <v>488.47</v>
      </c>
      <c r="W1298" s="339" t="str">
        <f>IF(DATA[[#This Row],[VALORIZACIÓN ]]="-","NO CORRESPONDE",IF(OR(A1298=20558226979,A1298=10470707866,A1298=20111157058,A1298=20100226902),"NO CORRESPONDE",IF(J1298="Emitida",IF(P1298&gt;0,"EMITIDA","PENDIENTE"),"NO CORRESPONDE")))</f>
        <v>EMITIDA</v>
      </c>
      <c r="X1298" s="29" t="s">
        <v>375</v>
      </c>
      <c r="Y1298" s="17" t="s">
        <v>118</v>
      </c>
      <c r="Z1298" s="30">
        <v>45961</v>
      </c>
      <c r="AA1298" s="10" t="s">
        <v>150</v>
      </c>
      <c r="AB1298" s="19">
        <v>318</v>
      </c>
      <c r="AC1298" s="20">
        <v>30</v>
      </c>
      <c r="AD1298" s="18">
        <f>DATA[[#This Row],[FECHA DE EMISION]]+DATA[[#This Row],[CONDICION DE PAGO]]</f>
        <v>45991</v>
      </c>
      <c r="AE1298" s="23" t="e">
        <f>IF(DATA[[#This Row],[MONEDA]]="USD",VLOOKUP(DATA[[#This Row],[COMBINADA]],#REF!,11,0),1)</f>
        <v>#REF!</v>
      </c>
      <c r="AF1298" s="129" t="str">
        <f>IF(DATA[[#This Row],[SERIE2]]="-","NO CORRESPONDE",IF(W1298="NO CORRESPONDE","NO CORRESPONDE",IF(Z1298&gt;0,"FACTURADO","PENDIENTE")))</f>
        <v>FACTURADO</v>
      </c>
      <c r="AG1298" s="133">
        <f>IFERROR(VLOOKUP(DATA[[#This Row],[COMBINADA]],#REF!,6,0),0)</f>
        <v>0</v>
      </c>
      <c r="AH1298" s="125">
        <f>IFERROR(VLOOKUP(DATA[[#This Row],[COMBINADA]],#REF!,9,0),0)/COUNTIFS(DATA[COMBINADA],DATA[[#This Row],[COMBINADA]])</f>
        <v>0</v>
      </c>
      <c r="AI1298" s="136">
        <f>IFERROR(VLOOKUP(DATA[[#This Row],[COMBINADA]],#REF!,6,0),0)</f>
        <v>0</v>
      </c>
      <c r="AJ1298" s="132">
        <f>IFERROR(VLOOKUP(DATA[[#This Row],[COMBINADA]],#REF!,9,0),0)/COUNTIFS(DATA[COMBINADA],DATA[[#This Row],[COMBINADA]])</f>
        <v>0</v>
      </c>
      <c r="AK1298" s="407">
        <f>IFERROR(VLOOKUP(DATA[[#This Row],[COMBINADA]],#REF!,6,0),0)</f>
        <v>0</v>
      </c>
      <c r="AL1298" s="125">
        <f>IFERROR(VLOOKUP(DATA[[#This Row],[COMBINADA]],#REF!,9,0),0)/COUNTIFS(DATA[COMBINADA],DATA[[#This Row],[COMBINADA]])</f>
        <v>0</v>
      </c>
      <c r="AM1298" s="27">
        <f>IFERROR(VLOOKUP(DATA[[#This Row],[COMBINADA]],#REF!,6,0),0)</f>
        <v>0</v>
      </c>
      <c r="AN1298" s="125">
        <f>IFERROR(VLOOKUP(DATA[[#This Row],[COMBINADA]],#REF!,9,0),0)/COUNTIFS(DATA[COMBINADA],DATA[[#This Row],[COMBINADA]])</f>
        <v>0</v>
      </c>
      <c r="AO1298" s="27">
        <f>IFERROR(VLOOKUP(DATA[[#This Row],[COMBINADA]],#REF!,6,0),0)</f>
        <v>0</v>
      </c>
      <c r="AP1298" s="132">
        <f>IFERROR(VLOOKUP(DATA[[#This Row],[COMBINADA]],#REF!,9,0),0)/COUNTIFS(DATA[COMBINADA],DATA[[#This Row],[COMBINADA]])</f>
        <v>0</v>
      </c>
      <c r="AQ129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492.32615384615383</v>
      </c>
      <c r="AR1298" s="26" t="str">
        <f>IFERROR(IF(DATA[[#This Row],[estado_fact]]="FACTURADO",VLOOKUP(DATA[[#This Row],[SERIE2]]&amp;"-"&amp;DATA[[#This Row],[NUMERO]],#REF!,34,0),"NO CORRESPONDE"),"NO CORRESPONDE")</f>
        <v>NO CORRESPONDE</v>
      </c>
      <c r="AS1298" s="22" t="str">
        <f>IF(DATA[[#This Row],[fecha_fs]]&gt;0,TEXT(DATA[[#This Row],[fecha_fs]],"Mmmm"),0)</f>
        <v>Octubre</v>
      </c>
      <c r="AT1298" s="22" t="str">
        <f>DATA[[#This Row],[SERIE2]]&amp;"-"&amp;DATA[[#This Row],[NUMERO]]</f>
        <v>FF01-318</v>
      </c>
      <c r="AU1298" s="28" t="e">
        <f>DATA[[#This Row],[TOTAL]]*DATA[[#This Row],[T.C.]]</f>
        <v>#REF!</v>
      </c>
      <c r="AV1298" s="6">
        <f>DATA[[#This Row],[FECHA DE VAL.]]</f>
        <v>45959</v>
      </c>
      <c r="AW1298" s="6">
        <f>DATA[[#This Row],[FECHA DE EMISION]]</f>
        <v>45961</v>
      </c>
      <c r="AX1298" s="6">
        <f>DATA[[#This Row],[F1]]</f>
        <v>0</v>
      </c>
      <c r="AY1298" s="20">
        <f>IF(AV1298-DATA[[#This Row],[fecha_fs]]&lt;0,0,AV1298-DATA[[#This Row],[fecha_fs]])</f>
        <v>23</v>
      </c>
      <c r="AZ1298" s="20">
        <f t="shared" si="317"/>
        <v>2</v>
      </c>
      <c r="BA1298" s="53">
        <f t="shared" si="318"/>
        <v>0</v>
      </c>
      <c r="BB1298" s="360">
        <f>IFERROR(SUM(DATA[[#This Row],[fs_val_ttf]:[fact_pago_ttf]]),0)</f>
        <v>25</v>
      </c>
      <c r="BC1298" s="377">
        <v>45945</v>
      </c>
      <c r="BD1298" s="377">
        <v>45952</v>
      </c>
      <c r="BE1298" s="377">
        <v>45958</v>
      </c>
      <c r="BF1298" s="361" t="s">
        <v>270</v>
      </c>
      <c r="BG1298" s="20">
        <f>IFERROR(IF(BC1298-DATA[[#This Row],[fecha_fs]]&lt;0,0,BC1298-DATA[[#This Row],[fecha_fs]]),0)</f>
        <v>9</v>
      </c>
      <c r="BH1298" s="20">
        <f t="shared" si="313"/>
        <v>7</v>
      </c>
      <c r="BI1298" s="20">
        <f t="shared" si="314"/>
        <v>6</v>
      </c>
      <c r="BJ1298" s="367">
        <f t="shared" si="315"/>
        <v>0</v>
      </c>
      <c r="BK1298" s="362">
        <f>IFERROR(SUM(DATA[[#This Row],[fs_fd_ttd]:[fend_fenf_ttd]]),0)</f>
        <v>22</v>
      </c>
      <c r="BL1298" s="20" t="str">
        <f>IF(DATA[[#This Row],[fecha_fs]]&gt;0,TEXT(DATA[[#This Row],[fecha_fs]],"YYYY"),0)</f>
        <v>2025</v>
      </c>
      <c r="BM1298" s="363" t="b">
        <v>0</v>
      </c>
      <c r="BN1298" s="278">
        <f>COUNTIF(DATA[[#This Row],[tiempo_td]], "&lt;=15")</f>
        <v>0</v>
      </c>
      <c r="BO1298" s="365"/>
    </row>
    <row r="1299" spans="1:67" ht="30.6" customHeight="1" x14ac:dyDescent="0.25">
      <c r="A1299" s="4">
        <v>20505675836</v>
      </c>
      <c r="B1299" s="5" t="s">
        <v>42</v>
      </c>
      <c r="C1299" s="52" t="s">
        <v>43</v>
      </c>
      <c r="D1299" s="4" t="s">
        <v>112</v>
      </c>
      <c r="E1299" s="5" t="s">
        <v>1</v>
      </c>
      <c r="F1299" s="24">
        <v>45936</v>
      </c>
      <c r="G1299" s="7" t="s">
        <v>113</v>
      </c>
      <c r="H1299" s="25">
        <f t="shared" si="316"/>
        <v>1</v>
      </c>
      <c r="I1299" s="331">
        <v>5090</v>
      </c>
      <c r="J1299" s="8" t="s">
        <v>115</v>
      </c>
      <c r="K1299" s="9" t="s">
        <v>116</v>
      </c>
      <c r="L1299" s="10" t="s">
        <v>117</v>
      </c>
      <c r="M1299" s="11">
        <v>1580</v>
      </c>
      <c r="N1299" s="12" t="s">
        <v>337</v>
      </c>
      <c r="O1299" s="6">
        <v>45959</v>
      </c>
      <c r="P1299" s="404">
        <v>3751</v>
      </c>
      <c r="Q1299" s="14" t="s">
        <v>85</v>
      </c>
      <c r="R1299" s="401">
        <f>(DATA[[#This Row],[cantidad_fs]]-600)*0.97</f>
        <v>950.6</v>
      </c>
      <c r="S1299" s="401">
        <v>1427.2</v>
      </c>
      <c r="T1299" s="321">
        <f>DATA[[#This Row],[C. DF]]+DATA[[#This Row],[C.OPE.]]</f>
        <v>2377.8000000000002</v>
      </c>
      <c r="U1299" s="15">
        <f>DATA[[#This Row],[SUB TOTAL]]*0.18</f>
        <v>428.00400000000002</v>
      </c>
      <c r="V1299" s="15">
        <f>IFERROR(ROUND(DATA[[#This Row],[SUB TOTAL]]+DATA[[#This Row],[IGV]],2),0)</f>
        <v>2805.8</v>
      </c>
      <c r="W1299" s="339" t="str">
        <f>IF(DATA[[#This Row],[VALORIZACIÓN ]]="-","NO CORRESPONDE",IF(OR(A1299=20558226979,A1299=10470707866,A1299=20111157058,A1299=20100226902),"NO CORRESPONDE",IF(J1299="Emitida",IF(P1299&gt;0,"EMITIDA","PENDIENTE"),"NO CORRESPONDE")))</f>
        <v>EMITIDA</v>
      </c>
      <c r="X1299" s="29" t="s">
        <v>354</v>
      </c>
      <c r="Y1299" s="17" t="s">
        <v>118</v>
      </c>
      <c r="Z1299" s="30">
        <v>45968</v>
      </c>
      <c r="AA1299" s="10" t="s">
        <v>150</v>
      </c>
      <c r="AB1299" s="19">
        <v>343</v>
      </c>
      <c r="AC1299" s="20">
        <v>30</v>
      </c>
      <c r="AD1299" s="18">
        <f>DATA[[#This Row],[FECHA DE EMISION]]+DATA[[#This Row],[CONDICION DE PAGO]]</f>
        <v>45998</v>
      </c>
      <c r="AE1299" s="23">
        <f>IF(DATA[[#This Row],[MONEDA]]="USD",VLOOKUP(DATA[[#This Row],[COMBINADA]],#REF!,11,0),1)</f>
        <v>1</v>
      </c>
      <c r="AF1299" s="129" t="str">
        <f>IF(DATA[[#This Row],[SERIE2]]="-","NO CORRESPONDE",IF(W1299="NO CORRESPONDE","NO CORRESPONDE",IF(Z1299&gt;0,"FACTURADO","PENDIENTE")))</f>
        <v>FACTURADO</v>
      </c>
      <c r="AG1299" s="133">
        <f>IFERROR(VLOOKUP(DATA[[#This Row],[COMBINADA]],#REF!,6,0),0)</f>
        <v>0</v>
      </c>
      <c r="AH1299" s="125">
        <f>IFERROR(VLOOKUP(DATA[[#This Row],[COMBINADA]],#REF!,9,0),0)/COUNTIFS(DATA[COMBINADA],DATA[[#This Row],[COMBINADA]])</f>
        <v>0</v>
      </c>
      <c r="AI1299" s="136">
        <f>IFERROR(VLOOKUP(DATA[[#This Row],[COMBINADA]],#REF!,6,0),0)</f>
        <v>0</v>
      </c>
      <c r="AJ1299" s="132">
        <f>IFERROR(VLOOKUP(DATA[[#This Row],[COMBINADA]],#REF!,9,0),0)/COUNTIFS(DATA[COMBINADA],DATA[[#This Row],[COMBINADA]])</f>
        <v>0</v>
      </c>
      <c r="AK1299" s="407">
        <f>IFERROR(VLOOKUP(DATA[[#This Row],[COMBINADA]],#REF!,6,0),0)</f>
        <v>0</v>
      </c>
      <c r="AL1299" s="125">
        <f>IFERROR(VLOOKUP(DATA[[#This Row],[COMBINADA]],#REF!,9,0),0)/COUNTIFS(DATA[COMBINADA],DATA[[#This Row],[COMBINADA]])</f>
        <v>0</v>
      </c>
      <c r="AM1299" s="27">
        <f>IFERROR(VLOOKUP(DATA[[#This Row],[COMBINADA]],#REF!,6,0),0)</f>
        <v>0</v>
      </c>
      <c r="AN1299" s="125">
        <f>IFERROR(VLOOKUP(DATA[[#This Row],[COMBINADA]],#REF!,9,0),0)/COUNTIFS(DATA[COMBINADA],DATA[[#This Row],[COMBINADA]])</f>
        <v>0</v>
      </c>
      <c r="AO1299" s="27">
        <f>IFERROR(VLOOKUP(DATA[[#This Row],[COMBINADA]],#REF!,6,0),0)</f>
        <v>0</v>
      </c>
      <c r="AP1299" s="132">
        <f>IFERROR(VLOOKUP(DATA[[#This Row],[COMBINADA]],#REF!,9,0),0)/COUNTIFS(DATA[COMBINADA],DATA[[#This Row],[COMBINADA]])</f>
        <v>0</v>
      </c>
      <c r="AQ129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4249.6959999999999</v>
      </c>
      <c r="AR1299" s="26" t="str">
        <f>IFERROR(IF(DATA[[#This Row],[estado_fact]]="FACTURADO",VLOOKUP(DATA[[#This Row],[SERIE2]]&amp;"-"&amp;DATA[[#This Row],[NUMERO]],#REF!,34,0),"NO CORRESPONDE"),"NO CORRESPONDE")</f>
        <v>NO CORRESPONDE</v>
      </c>
      <c r="AS1299" s="22" t="str">
        <f>IF(DATA[[#This Row],[fecha_fs]]&gt;0,TEXT(DATA[[#This Row],[fecha_fs]],"Mmmm"),0)</f>
        <v>Octubre</v>
      </c>
      <c r="AT1299" s="22" t="str">
        <f>DATA[[#This Row],[SERIE2]]&amp;"-"&amp;DATA[[#This Row],[NUMERO]]</f>
        <v>FF01-343</v>
      </c>
      <c r="AU1299" s="28">
        <f>DATA[[#This Row],[TOTAL]]*DATA[[#This Row],[T.C.]]</f>
        <v>2805.8</v>
      </c>
      <c r="AV1299" s="6">
        <f>DATA[[#This Row],[FECHA DE VAL.]]</f>
        <v>45959</v>
      </c>
      <c r="AW1299" s="6">
        <f>DATA[[#This Row],[FECHA DE EMISION]]</f>
        <v>45968</v>
      </c>
      <c r="AX1299" s="6">
        <f>DATA[[#This Row],[F1]]</f>
        <v>0</v>
      </c>
      <c r="AY1299" s="20">
        <f>IF(AV1299-DATA[[#This Row],[fecha_fs]]&lt;0,0,AV1299-DATA[[#This Row],[fecha_fs]])</f>
        <v>23</v>
      </c>
      <c r="AZ1299" s="20">
        <f t="shared" si="317"/>
        <v>9</v>
      </c>
      <c r="BA1299" s="53">
        <f t="shared" si="318"/>
        <v>0</v>
      </c>
      <c r="BB1299" s="360">
        <f>IFERROR(SUM(DATA[[#This Row],[fs_val_ttf]:[fact_pago_ttf]]),0)</f>
        <v>32</v>
      </c>
      <c r="BC1299" s="377">
        <v>45945</v>
      </c>
      <c r="BD1299" s="377">
        <v>45952</v>
      </c>
      <c r="BE1299" s="377">
        <v>45967</v>
      </c>
      <c r="BF1299" s="334" t="s">
        <v>270</v>
      </c>
      <c r="BG1299" s="20">
        <f>IFERROR(IF(BC1299-DATA[[#This Row],[fecha_fs]]&lt;0,0,BC1299-DATA[[#This Row],[fecha_fs]]),0)</f>
        <v>9</v>
      </c>
      <c r="BH1299" s="20">
        <f t="shared" si="313"/>
        <v>7</v>
      </c>
      <c r="BI1299" s="20">
        <f t="shared" si="314"/>
        <v>15</v>
      </c>
      <c r="BJ1299" s="367">
        <f t="shared" si="315"/>
        <v>0</v>
      </c>
      <c r="BK1299" s="362">
        <f>IFERROR(SUM(DATA[[#This Row],[fs_fd_ttd]:[fend_fenf_ttd]]),0)</f>
        <v>31</v>
      </c>
      <c r="BL1299" s="20" t="str">
        <f>IF(DATA[[#This Row],[fecha_fs]]&gt;0,TEXT(DATA[[#This Row],[fecha_fs]],"YYYY"),0)</f>
        <v>2025</v>
      </c>
      <c r="BM1299" s="363" t="b">
        <v>0</v>
      </c>
      <c r="BN1299" s="278">
        <f>COUNTIF(DATA[[#This Row],[tiempo_td]], "&lt;=15")</f>
        <v>0</v>
      </c>
      <c r="BO1299" s="365"/>
    </row>
    <row r="1300" spans="1:67" ht="30.6" customHeight="1" x14ac:dyDescent="0.25">
      <c r="A1300" s="4">
        <v>20454186002</v>
      </c>
      <c r="B1300" s="5" t="s">
        <v>25</v>
      </c>
      <c r="C1300" s="52" t="s">
        <v>18</v>
      </c>
      <c r="D1300" s="4" t="s">
        <v>120</v>
      </c>
      <c r="E1300" s="5" t="s">
        <v>3</v>
      </c>
      <c r="F1300" s="24">
        <v>45936</v>
      </c>
      <c r="G1300" s="7" t="s">
        <v>113</v>
      </c>
      <c r="H1300" s="25">
        <f t="shared" si="316"/>
        <v>1</v>
      </c>
      <c r="I1300" s="331">
        <v>5091</v>
      </c>
      <c r="J1300" s="8" t="s">
        <v>115</v>
      </c>
      <c r="K1300" s="9" t="s">
        <v>121</v>
      </c>
      <c r="L1300" s="10" t="s">
        <v>117</v>
      </c>
      <c r="M1300" s="11">
        <v>3680</v>
      </c>
      <c r="N1300" s="12" t="s">
        <v>135</v>
      </c>
      <c r="O1300" s="6">
        <v>45937</v>
      </c>
      <c r="P1300" s="13">
        <v>3715</v>
      </c>
      <c r="Q1300" s="14" t="s">
        <v>85</v>
      </c>
      <c r="R1300" s="15">
        <f>1485.02+((DATA[[#This Row],[cantidad_fs]]-3000)*0.49)</f>
        <v>1818.22</v>
      </c>
      <c r="S1300" s="74"/>
      <c r="T1300" s="321">
        <f>DATA[[#This Row],[C. DF]]+DATA[[#This Row],[C.OPE.]]</f>
        <v>1818.22</v>
      </c>
      <c r="U1300" s="15">
        <f>DATA[[#This Row],[SUB TOTAL]]*0.18</f>
        <v>327.27960000000002</v>
      </c>
      <c r="V1300" s="15">
        <f>IFERROR(ROUND(DATA[[#This Row],[SUB TOTAL]]+DATA[[#This Row],[IGV]],2),0)</f>
        <v>2145.5</v>
      </c>
      <c r="W1300" s="339" t="str">
        <f>IF(DATA[[#This Row],[VALORIZACIÓN ]]="-","NO CORRESPONDE",IF(OR(A1300=20558226979,A1300=10470707866,A1300=20111157058,A1300=20100226902),"NO CORRESPONDE",IF(J1300="Emitida",IF(P1300&gt;0,"EMITIDA","PENDIENTE"),"NO CORRESPONDE")))</f>
        <v>EMITIDA</v>
      </c>
      <c r="X1300" s="29"/>
      <c r="Y1300" s="17" t="s">
        <v>118</v>
      </c>
      <c r="Z1300" s="30">
        <v>45940</v>
      </c>
      <c r="AA1300" s="10" t="s">
        <v>150</v>
      </c>
      <c r="AB1300" s="19">
        <v>289</v>
      </c>
      <c r="AC1300" s="20">
        <v>7</v>
      </c>
      <c r="AD1300" s="18">
        <f>DATA[[#This Row],[FECHA DE EMISION]]+DATA[[#This Row],[CONDICION DE PAGO]]</f>
        <v>45947</v>
      </c>
      <c r="AE1300" s="23">
        <f>IF(DATA[[#This Row],[MONEDA]]="USD",VLOOKUP(DATA[[#This Row],[COMBINADA]],#REF!,11,0),1)</f>
        <v>1</v>
      </c>
      <c r="AF1300" s="129" t="str">
        <f>IF(DATA[[#This Row],[SERIE2]]="-","NO CORRESPONDE",IF(W1300="NO CORRESPONDE","NO CORRESPONDE",IF(Z1300&gt;0,"FACTURADO","PENDIENTE")))</f>
        <v>FACTURADO</v>
      </c>
      <c r="AG1300" s="133">
        <f>IFERROR(VLOOKUP(DATA[[#This Row],[COMBINADA]],#REF!,6,0),0)</f>
        <v>0</v>
      </c>
      <c r="AH1300" s="125">
        <f>IFERROR(VLOOKUP(DATA[[#This Row],[COMBINADA]],#REF!,9,0),0)/COUNTIFS(DATA[COMBINADA],DATA[[#This Row],[COMBINADA]])</f>
        <v>0</v>
      </c>
      <c r="AI1300" s="136">
        <f>IFERROR(VLOOKUP(DATA[[#This Row],[COMBINADA]],#REF!,6,0),0)</f>
        <v>0</v>
      </c>
      <c r="AJ1300" s="132">
        <f>IFERROR(VLOOKUP(DATA[[#This Row],[COMBINADA]],#REF!,9,0),0)/COUNTIFS(DATA[COMBINADA],DATA[[#This Row],[COMBINADA]])</f>
        <v>0</v>
      </c>
      <c r="AK1300" s="407">
        <f>IFERROR(VLOOKUP(DATA[[#This Row],[COMBINADA]],#REF!,6,0),0)</f>
        <v>0</v>
      </c>
      <c r="AL1300" s="125">
        <f>IFERROR(VLOOKUP(DATA[[#This Row],[COMBINADA]],#REF!,9,0),0)/COUNTIFS(DATA[COMBINADA],DATA[[#This Row],[COMBINADA]])</f>
        <v>0</v>
      </c>
      <c r="AM1300" s="27">
        <f>IFERROR(VLOOKUP(DATA[[#This Row],[COMBINADA]],#REF!,6,0),0)</f>
        <v>0</v>
      </c>
      <c r="AN1300" s="125">
        <f>IFERROR(VLOOKUP(DATA[[#This Row],[COMBINADA]],#REF!,9,0),0)/COUNTIFS(DATA[COMBINADA],DATA[[#This Row],[COMBINADA]])</f>
        <v>0</v>
      </c>
      <c r="AO1300" s="27">
        <f>IFERROR(VLOOKUP(DATA[[#This Row],[COMBINADA]],#REF!,6,0),0)</f>
        <v>0</v>
      </c>
      <c r="AP1300" s="132">
        <f>IFERROR(VLOOKUP(DATA[[#This Row],[COMBINADA]],#REF!,9,0),0)/COUNTIFS(DATA[COMBINADA],DATA[[#This Row],[COMBINADA]])</f>
        <v>0</v>
      </c>
      <c r="AQ130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2145.5</v>
      </c>
      <c r="AR1300" s="26" t="str">
        <f>IFERROR(IF(DATA[[#This Row],[estado_fact]]="FACTURADO",VLOOKUP(DATA[[#This Row],[SERIE2]]&amp;"-"&amp;DATA[[#This Row],[NUMERO]],#REF!,34,0),"NO CORRESPONDE"),"NO CORRESPONDE")</f>
        <v>NO CORRESPONDE</v>
      </c>
      <c r="AS1300" s="22" t="str">
        <f>IF(DATA[[#This Row],[fecha_fs]]&gt;0,TEXT(DATA[[#This Row],[fecha_fs]],"Mmmm"),0)</f>
        <v>Octubre</v>
      </c>
      <c r="AT1300" s="22" t="str">
        <f>DATA[[#This Row],[SERIE2]]&amp;"-"&amp;DATA[[#This Row],[NUMERO]]</f>
        <v>FF01-289</v>
      </c>
      <c r="AU1300" s="28">
        <f>DATA[[#This Row],[TOTAL]]*DATA[[#This Row],[T.C.]]</f>
        <v>2145.5</v>
      </c>
      <c r="AV1300" s="6">
        <f>DATA[[#This Row],[FECHA DE VAL.]]</f>
        <v>45937</v>
      </c>
      <c r="AW1300" s="6">
        <f>DATA[[#This Row],[FECHA DE EMISION]]</f>
        <v>45940</v>
      </c>
      <c r="AX1300" s="6">
        <f>DATA[[#This Row],[F1]]</f>
        <v>0</v>
      </c>
      <c r="AY1300" s="20">
        <f>IF(AV1300-DATA[[#This Row],[fecha_fs]]&lt;0,0,AV1300-DATA[[#This Row],[fecha_fs]])</f>
        <v>1</v>
      </c>
      <c r="AZ1300" s="20">
        <f t="shared" si="317"/>
        <v>3</v>
      </c>
      <c r="BA1300" s="53">
        <f t="shared" si="318"/>
        <v>0</v>
      </c>
      <c r="BB1300" s="360">
        <f>IFERROR(SUM(DATA[[#This Row],[fs_val_ttf]:[fact_pago_ttf]]),0)</f>
        <v>4</v>
      </c>
      <c r="BC1300" s="377">
        <v>45939</v>
      </c>
      <c r="BD1300" s="377">
        <v>45944</v>
      </c>
      <c r="BE1300" s="377">
        <v>45966</v>
      </c>
      <c r="BF1300" s="377">
        <v>45954</v>
      </c>
      <c r="BG1300" s="20">
        <f>IFERROR(IF(BC1300-DATA[[#This Row],[fecha_fs]]&lt;0,0,BC1300-DATA[[#This Row],[fecha_fs]]),0)</f>
        <v>3</v>
      </c>
      <c r="BH1300" s="20">
        <f t="shared" si="313"/>
        <v>5</v>
      </c>
      <c r="BI1300" s="20">
        <f t="shared" si="314"/>
        <v>22</v>
      </c>
      <c r="BJ1300" s="367">
        <f t="shared" si="315"/>
        <v>0</v>
      </c>
      <c r="BK1300" s="362">
        <f>IFERROR(SUM(DATA[[#This Row],[fs_fd_ttd]:[fend_fenf_ttd]]),0)</f>
        <v>30</v>
      </c>
      <c r="BL1300" s="20" t="str">
        <f>IF(DATA[[#This Row],[fecha_fs]]&gt;0,TEXT(DATA[[#This Row],[fecha_fs]],"YYYY"),0)</f>
        <v>2025</v>
      </c>
      <c r="BM1300" s="363" t="b">
        <v>1</v>
      </c>
      <c r="BN1300" s="278">
        <f>COUNTIF(DATA[[#This Row],[tiempo_td]], "&lt;=15")</f>
        <v>0</v>
      </c>
      <c r="BO1300" s="365"/>
    </row>
    <row r="1301" spans="1:67" ht="30.6" customHeight="1" x14ac:dyDescent="0.25">
      <c r="A1301" s="4">
        <v>20419158462</v>
      </c>
      <c r="B1301" s="5" t="s">
        <v>2</v>
      </c>
      <c r="C1301" s="52" t="s">
        <v>201</v>
      </c>
      <c r="D1301" s="4" t="s">
        <v>120</v>
      </c>
      <c r="E1301" s="5" t="s">
        <v>3</v>
      </c>
      <c r="F1301" s="24">
        <v>45937</v>
      </c>
      <c r="G1301" s="7" t="s">
        <v>113</v>
      </c>
      <c r="H1301" s="25">
        <f t="shared" si="316"/>
        <v>1</v>
      </c>
      <c r="I1301" s="331">
        <v>5092</v>
      </c>
      <c r="J1301" s="8" t="s">
        <v>115</v>
      </c>
      <c r="K1301" s="9" t="s">
        <v>156</v>
      </c>
      <c r="L1301" s="10" t="s">
        <v>117</v>
      </c>
      <c r="M1301" s="11">
        <v>280</v>
      </c>
      <c r="N1301" s="12" t="s">
        <v>125</v>
      </c>
      <c r="O1301" s="6">
        <v>45939</v>
      </c>
      <c r="P1301" s="13">
        <v>3717</v>
      </c>
      <c r="Q1301" s="14" t="s">
        <v>85</v>
      </c>
      <c r="R1301" s="74"/>
      <c r="S1301" s="15">
        <f>1429.7/2</f>
        <v>714.85</v>
      </c>
      <c r="T1301" s="321">
        <f>DATA[[#This Row],[C. DF]]+DATA[[#This Row],[C.OPE.]]</f>
        <v>714.85</v>
      </c>
      <c r="U1301" s="15">
        <f>DATA[[#This Row],[SUB TOTAL]]*0.18</f>
        <v>128.673</v>
      </c>
      <c r="V1301" s="15">
        <f>IFERROR(ROUND(DATA[[#This Row],[SUB TOTAL]]+DATA[[#This Row],[IGV]],2),0)</f>
        <v>843.52</v>
      </c>
      <c r="W1301" s="339" t="str">
        <f>IF(DATA[[#This Row],[VALORIZACIÓN ]]="-","NO CORRESPONDE",IF(OR(A1301=20558226979,A1301=10470707866,A1301=20111157058,A1301=20100226902),"NO CORRESPONDE",IF(J1301="Emitida",IF(P1301&gt;0,"EMITIDA","PENDIENTE"),"NO CORRESPONDE")))</f>
        <v>EMITIDA</v>
      </c>
      <c r="X1301" s="29"/>
      <c r="Y1301" s="17" t="s">
        <v>232</v>
      </c>
      <c r="Z1301" s="30"/>
      <c r="AA1301" s="10"/>
      <c r="AB1301" s="19"/>
      <c r="AC1301" s="20"/>
      <c r="AD1301" s="18">
        <f>DATA[[#This Row],[FECHA DE EMISION]]+DATA[[#This Row],[CONDICION DE PAGO]]</f>
        <v>0</v>
      </c>
      <c r="AE1301" s="23">
        <f>IF(DATA[[#This Row],[MONEDA]]="USD",VLOOKUP(DATA[[#This Row],[COMBINADA]],#REF!,11,0),1)</f>
        <v>1</v>
      </c>
      <c r="AF1301" s="129" t="str">
        <f>IF(DATA[[#This Row],[SERIE2]]="-","NO CORRESPONDE",IF(W1301="NO CORRESPONDE","NO CORRESPONDE",IF(Z1301&gt;0,"FACTURADO","PENDIENTE")))</f>
        <v>PENDIENTE</v>
      </c>
      <c r="AG1301" s="133">
        <f>IFERROR(VLOOKUP(DATA[[#This Row],[COMBINADA]],#REF!,6,0),0)</f>
        <v>0</v>
      </c>
      <c r="AH1301" s="125">
        <f>IFERROR(VLOOKUP(DATA[[#This Row],[COMBINADA]],#REF!,9,0),0)/COUNTIFS(DATA[COMBINADA],DATA[[#This Row],[COMBINADA]])</f>
        <v>0</v>
      </c>
      <c r="AI1301" s="136">
        <f>IFERROR(VLOOKUP(DATA[[#This Row],[COMBINADA]],#REF!,6,0),0)</f>
        <v>0</v>
      </c>
      <c r="AJ1301" s="132">
        <f>IFERROR(VLOOKUP(DATA[[#This Row],[COMBINADA]],#REF!,9,0),0)/COUNTIFS(DATA[COMBINADA],DATA[[#This Row],[COMBINADA]])</f>
        <v>0</v>
      </c>
      <c r="AK1301" s="407">
        <f>IFERROR(VLOOKUP(DATA[[#This Row],[COMBINADA]],#REF!,6,0),0)</f>
        <v>0</v>
      </c>
      <c r="AL1301" s="125">
        <f>IFERROR(VLOOKUP(DATA[[#This Row],[COMBINADA]],#REF!,9,0),0)/COUNTIFS(DATA[COMBINADA],DATA[[#This Row],[COMBINADA]])</f>
        <v>0</v>
      </c>
      <c r="AM1301" s="27">
        <f>IFERROR(VLOOKUP(DATA[[#This Row],[COMBINADA]],#REF!,6,0),0)</f>
        <v>0</v>
      </c>
      <c r="AN1301" s="125">
        <f>IFERROR(VLOOKUP(DATA[[#This Row],[COMBINADA]],#REF!,9,0),0)/COUNTIFS(DATA[COMBINADA],DATA[[#This Row],[COMBINADA]])</f>
        <v>0</v>
      </c>
      <c r="AO1301" s="27">
        <f>IFERROR(VLOOKUP(DATA[[#This Row],[COMBINADA]],#REF!,6,0),0)</f>
        <v>0</v>
      </c>
      <c r="AP1301" s="132">
        <f>IFERROR(VLOOKUP(DATA[[#This Row],[COMBINADA]],#REF!,9,0),0)/COUNTIFS(DATA[COMBINADA],DATA[[#This Row],[COMBINADA]])</f>
        <v>0</v>
      </c>
      <c r="AQ130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01" s="26" t="str">
        <f>IFERROR(IF(DATA[[#This Row],[estado_fact]]="FACTURADO",VLOOKUP(DATA[[#This Row],[SERIE2]]&amp;"-"&amp;DATA[[#This Row],[NUMERO]],#REF!,34,0),"NO CORRESPONDE"),"NO CORRESPONDE")</f>
        <v>NO CORRESPONDE</v>
      </c>
      <c r="AS1301" s="22" t="str">
        <f>IF(DATA[[#This Row],[fecha_fs]]&gt;0,TEXT(DATA[[#This Row],[fecha_fs]],"Mmmm"),0)</f>
        <v>Octubre</v>
      </c>
      <c r="AT1301" s="22" t="str">
        <f>DATA[[#This Row],[SERIE2]]&amp;"-"&amp;DATA[[#This Row],[NUMERO]]</f>
        <v>-</v>
      </c>
      <c r="AU1301" s="28">
        <f>DATA[[#This Row],[TOTAL]]*DATA[[#This Row],[T.C.]]</f>
        <v>843.52</v>
      </c>
      <c r="AV1301" s="6">
        <f>DATA[[#This Row],[FECHA DE VAL.]]</f>
        <v>45939</v>
      </c>
      <c r="AW1301" s="6">
        <f>DATA[[#This Row],[FECHA DE EMISION]]</f>
        <v>0</v>
      </c>
      <c r="AX1301" s="6">
        <f>DATA[[#This Row],[F1]]</f>
        <v>0</v>
      </c>
      <c r="AY1301" s="20">
        <f>IF(AV1301-DATA[[#This Row],[fecha_fs]]&lt;0,0,AV1301-DATA[[#This Row],[fecha_fs]])</f>
        <v>2</v>
      </c>
      <c r="AZ1301" s="20">
        <f t="shared" si="317"/>
        <v>0</v>
      </c>
      <c r="BA1301" s="53">
        <f t="shared" si="318"/>
        <v>0</v>
      </c>
      <c r="BB1301" s="360">
        <f>IFERROR(SUM(DATA[[#This Row],[fs_val_ttf]:[fact_pago_ttf]]),0)</f>
        <v>2</v>
      </c>
      <c r="BC1301" s="377">
        <v>45937</v>
      </c>
      <c r="BD1301" s="377">
        <v>45937</v>
      </c>
      <c r="BE1301" s="377">
        <v>45946</v>
      </c>
      <c r="BF1301" s="377">
        <v>45946</v>
      </c>
      <c r="BG1301" s="20">
        <f>IFERROR(IF(BC1301-DATA[[#This Row],[fecha_fs]]&lt;0,0,BC1301-DATA[[#This Row],[fecha_fs]]),0)</f>
        <v>0</v>
      </c>
      <c r="BH1301" s="20">
        <f t="shared" si="313"/>
        <v>0</v>
      </c>
      <c r="BI1301" s="20">
        <f t="shared" si="314"/>
        <v>9</v>
      </c>
      <c r="BJ1301" s="367">
        <f t="shared" si="315"/>
        <v>0</v>
      </c>
      <c r="BK1301" s="362">
        <f>IFERROR(SUM(DATA[[#This Row],[fs_fd_ttd]:[fend_fenf_ttd]]),0)</f>
        <v>9</v>
      </c>
      <c r="BL1301" s="20" t="str">
        <f>IF(DATA[[#This Row],[fecha_fs]]&gt;0,TEXT(DATA[[#This Row],[fecha_fs]],"YYYY"),0)</f>
        <v>2025</v>
      </c>
      <c r="BM1301" s="363" t="b">
        <v>1</v>
      </c>
      <c r="BN1301" s="278">
        <f>COUNTIF(DATA[[#This Row],[tiempo_td]], "&lt;=15")</f>
        <v>1</v>
      </c>
      <c r="BO1301" s="365"/>
    </row>
    <row r="1302" spans="1:67" ht="30.6" customHeight="1" x14ac:dyDescent="0.25">
      <c r="A1302" s="4">
        <v>20454186002</v>
      </c>
      <c r="B1302" s="5" t="s">
        <v>25</v>
      </c>
      <c r="C1302" s="52" t="s">
        <v>18</v>
      </c>
      <c r="D1302" s="4" t="s">
        <v>112</v>
      </c>
      <c r="E1302" s="5" t="s">
        <v>1</v>
      </c>
      <c r="F1302" s="24">
        <v>45936</v>
      </c>
      <c r="G1302" s="7" t="s">
        <v>113</v>
      </c>
      <c r="H1302" s="25">
        <f t="shared" si="316"/>
        <v>1</v>
      </c>
      <c r="I1302" s="331">
        <v>5093</v>
      </c>
      <c r="J1302" s="8" t="s">
        <v>115</v>
      </c>
      <c r="K1302" s="9" t="s">
        <v>116</v>
      </c>
      <c r="L1302" s="10" t="s">
        <v>117</v>
      </c>
      <c r="M1302" s="11">
        <v>50</v>
      </c>
      <c r="N1302" s="12" t="s">
        <v>135</v>
      </c>
      <c r="O1302" s="6"/>
      <c r="P1302" s="13" t="s">
        <v>114</v>
      </c>
      <c r="Q1302" s="14"/>
      <c r="R1302" s="74"/>
      <c r="S1302" s="74"/>
      <c r="T1302" s="321">
        <f>DATA[[#This Row],[C. DF]]+DATA[[#This Row],[C.OPE.]]</f>
        <v>0</v>
      </c>
      <c r="U1302" s="15">
        <f>DATA[[#This Row],[SUB TOTAL]]*0.18</f>
        <v>0</v>
      </c>
      <c r="V1302" s="15">
        <f>IFERROR(ROUND(DATA[[#This Row],[SUB TOTAL]]+DATA[[#This Row],[IGV]],2),0)</f>
        <v>0</v>
      </c>
      <c r="W1302" s="339" t="str">
        <f>IF(DATA[[#This Row],[VALORIZACIÓN ]]="-","NO CORRESPONDE",IF(OR(A1302=20558226979,A1302=10470707866,A1302=20111157058,A1302=20100226902),"NO CORRESPONDE",IF(J1302="Emitida",IF(P1302&gt;0,"EMITIDA","PENDIENTE"),"NO CORRESPONDE")))</f>
        <v>NO CORRESPONDE</v>
      </c>
      <c r="X1302" s="29" t="s">
        <v>314</v>
      </c>
      <c r="Y1302" s="17" t="s">
        <v>128</v>
      </c>
      <c r="Z1302" s="30"/>
      <c r="AA1302" s="10"/>
      <c r="AB1302" s="19"/>
      <c r="AC1302" s="20"/>
      <c r="AD1302" s="18">
        <f>DATA[[#This Row],[FECHA DE EMISION]]+DATA[[#This Row],[CONDICION DE PAGO]]</f>
        <v>0</v>
      </c>
      <c r="AE1302" s="23">
        <f>IF(DATA[[#This Row],[MONEDA]]="USD",VLOOKUP(DATA[[#This Row],[COMBINADA]],#REF!,11,0),1)</f>
        <v>1</v>
      </c>
      <c r="AF1302" s="129" t="str">
        <f>IF(DATA[[#This Row],[SERIE2]]="-","NO CORRESPONDE",IF(W1302="NO CORRESPONDE","NO CORRESPONDE",IF(Z1302&gt;0,"FACTURADO","PENDIENTE")))</f>
        <v>NO CORRESPONDE</v>
      </c>
      <c r="AG1302" s="133">
        <f>IFERROR(VLOOKUP(DATA[[#This Row],[COMBINADA]],#REF!,6,0),0)</f>
        <v>0</v>
      </c>
      <c r="AH1302" s="125">
        <f>IFERROR(VLOOKUP(DATA[[#This Row],[COMBINADA]],#REF!,9,0),0)/COUNTIFS(DATA[COMBINADA],DATA[[#This Row],[COMBINADA]])</f>
        <v>0</v>
      </c>
      <c r="AI1302" s="136">
        <f>IFERROR(VLOOKUP(DATA[[#This Row],[COMBINADA]],#REF!,6,0),0)</f>
        <v>0</v>
      </c>
      <c r="AJ1302" s="132">
        <f>IFERROR(VLOOKUP(DATA[[#This Row],[COMBINADA]],#REF!,9,0),0)/COUNTIFS(DATA[COMBINADA],DATA[[#This Row],[COMBINADA]])</f>
        <v>0</v>
      </c>
      <c r="AK1302" s="407">
        <f>IFERROR(VLOOKUP(DATA[[#This Row],[COMBINADA]],#REF!,6,0),0)</f>
        <v>0</v>
      </c>
      <c r="AL1302" s="125">
        <f>IFERROR(VLOOKUP(DATA[[#This Row],[COMBINADA]],#REF!,9,0),0)/COUNTIFS(DATA[COMBINADA],DATA[[#This Row],[COMBINADA]])</f>
        <v>0</v>
      </c>
      <c r="AM1302" s="27">
        <f>IFERROR(VLOOKUP(DATA[[#This Row],[COMBINADA]],#REF!,6,0),0)</f>
        <v>0</v>
      </c>
      <c r="AN1302" s="125">
        <f>IFERROR(VLOOKUP(DATA[[#This Row],[COMBINADA]],#REF!,9,0),0)/COUNTIFS(DATA[COMBINADA],DATA[[#This Row],[COMBINADA]])</f>
        <v>0</v>
      </c>
      <c r="AO1302" s="27">
        <f>IFERROR(VLOOKUP(DATA[[#This Row],[COMBINADA]],#REF!,6,0),0)</f>
        <v>0</v>
      </c>
      <c r="AP1302" s="132">
        <f>IFERROR(VLOOKUP(DATA[[#This Row],[COMBINADA]],#REF!,9,0),0)/COUNTIFS(DATA[COMBINADA],DATA[[#This Row],[COMBINADA]])</f>
        <v>0</v>
      </c>
      <c r="AQ130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02" s="26" t="str">
        <f>IFERROR(IF(DATA[[#This Row],[estado_fact]]="FACTURADO",VLOOKUP(DATA[[#This Row],[SERIE2]]&amp;"-"&amp;DATA[[#This Row],[NUMERO]],#REF!,34,0),"NO CORRESPONDE"),"NO CORRESPONDE")</f>
        <v>NO CORRESPONDE</v>
      </c>
      <c r="AS1302" s="22" t="str">
        <f>IF(DATA[[#This Row],[fecha_fs]]&gt;0,TEXT(DATA[[#This Row],[fecha_fs]],"Mmmm"),0)</f>
        <v>Octubre</v>
      </c>
      <c r="AT1302" s="22" t="str">
        <f>DATA[[#This Row],[SERIE2]]&amp;"-"&amp;DATA[[#This Row],[NUMERO]]</f>
        <v>-</v>
      </c>
      <c r="AU1302" s="28">
        <f>DATA[[#This Row],[TOTAL]]*DATA[[#This Row],[T.C.]]</f>
        <v>0</v>
      </c>
      <c r="AV1302" s="6">
        <f>DATA[[#This Row],[FECHA DE VAL.]]</f>
        <v>0</v>
      </c>
      <c r="AW1302" s="6">
        <f>DATA[[#This Row],[FECHA DE EMISION]]</f>
        <v>0</v>
      </c>
      <c r="AX1302" s="6">
        <f>DATA[[#This Row],[F1]]</f>
        <v>0</v>
      </c>
      <c r="AY1302" s="20">
        <f>IF(AV1302-DATA[[#This Row],[fecha_fs]]&lt;0,0,AV1302-DATA[[#This Row],[fecha_fs]])</f>
        <v>0</v>
      </c>
      <c r="AZ1302" s="20">
        <f t="shared" si="317"/>
        <v>0</v>
      </c>
      <c r="BA1302" s="53">
        <f t="shared" si="318"/>
        <v>0</v>
      </c>
      <c r="BB1302" s="360">
        <f>IFERROR(SUM(DATA[[#This Row],[fs_val_ttf]:[fact_pago_ttf]]),0)</f>
        <v>0</v>
      </c>
      <c r="BC1302" s="377">
        <v>45939</v>
      </c>
      <c r="BD1302" s="377">
        <v>45961</v>
      </c>
      <c r="BE1302" s="377">
        <v>45966</v>
      </c>
      <c r="BF1302" s="361" t="s">
        <v>270</v>
      </c>
      <c r="BG1302" s="20">
        <f>IFERROR(IF(BC1302-DATA[[#This Row],[fecha_fs]]&lt;0,0,BC1302-DATA[[#This Row],[fecha_fs]]),0)</f>
        <v>3</v>
      </c>
      <c r="BH1302" s="20">
        <f t="shared" si="313"/>
        <v>22</v>
      </c>
      <c r="BI1302" s="20">
        <f t="shared" si="314"/>
        <v>5</v>
      </c>
      <c r="BJ1302" s="367">
        <f t="shared" si="315"/>
        <v>0</v>
      </c>
      <c r="BK1302" s="362">
        <f>IFERROR(SUM(DATA[[#This Row],[fs_fd_ttd]:[fend_fenf_ttd]]),0)</f>
        <v>30</v>
      </c>
      <c r="BL1302" s="20" t="str">
        <f>IF(DATA[[#This Row],[fecha_fs]]&gt;0,TEXT(DATA[[#This Row],[fecha_fs]],"YYYY"),0)</f>
        <v>2025</v>
      </c>
      <c r="BM1302" s="363" t="b">
        <v>0</v>
      </c>
      <c r="BN1302" s="278">
        <f>COUNTIF(DATA[[#This Row],[tiempo_td]], "&lt;=15")</f>
        <v>0</v>
      </c>
      <c r="BO1302" s="365"/>
    </row>
    <row r="1303" spans="1:67" ht="30.6" customHeight="1" x14ac:dyDescent="0.25">
      <c r="A1303" s="4">
        <v>20100192064</v>
      </c>
      <c r="B1303" s="5" t="s">
        <v>60</v>
      </c>
      <c r="C1303" s="52" t="s">
        <v>65</v>
      </c>
      <c r="D1303" s="325" t="s">
        <v>112</v>
      </c>
      <c r="E1303" s="5" t="s">
        <v>1</v>
      </c>
      <c r="F1303" s="24">
        <v>45937</v>
      </c>
      <c r="G1303" s="7" t="s">
        <v>142</v>
      </c>
      <c r="H1303" s="25">
        <f t="shared" ref="H1303:H1304" si="319">IF(G1303="","",IF(G1303="LIM",2,1))</f>
        <v>2</v>
      </c>
      <c r="I1303" s="67">
        <v>1148</v>
      </c>
      <c r="J1303" s="8" t="s">
        <v>115</v>
      </c>
      <c r="K1303" s="9" t="s">
        <v>116</v>
      </c>
      <c r="L1303" s="10" t="s">
        <v>117</v>
      </c>
      <c r="M1303" s="11">
        <v>1950</v>
      </c>
      <c r="N1303" s="12" t="s">
        <v>180</v>
      </c>
      <c r="O1303" s="6">
        <v>45959</v>
      </c>
      <c r="P1303" s="71">
        <v>3764</v>
      </c>
      <c r="Q1303" s="14" t="s">
        <v>123</v>
      </c>
      <c r="R1303" s="321">
        <f>(DATA[[#This Row],[cantidad_fs]]/1000)*(147+81.01)</f>
        <v>444.61949999999996</v>
      </c>
      <c r="S1303" s="321">
        <v>103.6</v>
      </c>
      <c r="T1303" s="15">
        <f>DATA[[#This Row],[C. DF]]+DATA[[#This Row],[C.OPE.]]</f>
        <v>548.21949999999993</v>
      </c>
      <c r="U1303" s="15">
        <f>DATA[[#This Row],[SUB TOTAL]]*0.18</f>
        <v>98.679509999999979</v>
      </c>
      <c r="V1303" s="15">
        <f>IFERROR(ROUND(DATA[[#This Row],[SUB TOTAL]]+DATA[[#This Row],[IGV]],2),0)</f>
        <v>646.9</v>
      </c>
      <c r="W1303" s="16" t="str">
        <f>IF(DATA[[#This Row],[VALORIZACIÓN ]]="-","NO CORRESPONDE",IF(OR(A1303=20558226979,A1303=10470707866,A1303=20111157058,A1303=20100226902),"NO CORRESPONDE",IF(J1303="Emitida",IF(P1303&gt;0,"EMITIDA","PENDIENTE"),"NO CORRESPONDE")))</f>
        <v>EMITIDA</v>
      </c>
      <c r="X1303" s="29" t="s">
        <v>374</v>
      </c>
      <c r="Y1303" s="17" t="s">
        <v>118</v>
      </c>
      <c r="Z1303" s="30">
        <v>45961</v>
      </c>
      <c r="AA1303" s="10" t="s">
        <v>150</v>
      </c>
      <c r="AB1303" s="19">
        <v>315</v>
      </c>
      <c r="AC1303" s="20">
        <v>30</v>
      </c>
      <c r="AD1303" s="18">
        <f>DATA[[#This Row],[FECHA DE EMISION]]+DATA[[#This Row],[CONDICION DE PAGO]]</f>
        <v>45991</v>
      </c>
      <c r="AE1303" s="23" t="e">
        <f>IF(DATA[[#This Row],[MONEDA]]="USD",VLOOKUP(DATA[[#This Row],[COMBINADA]],#REF!,11,0),1)</f>
        <v>#REF!</v>
      </c>
      <c r="AF1303" s="129" t="str">
        <f>IF(DATA[[#This Row],[SERIE2]]="-","NO CORRESPONDE",IF(W1303="NO CORRESPONDE","NO CORRESPONDE",IF(Z1303&gt;0,"FACTURADO","PENDIENTE")))</f>
        <v>FACTURADO</v>
      </c>
      <c r="AG1303" s="133">
        <f>IFERROR(VLOOKUP(DATA[[#This Row],[COMBINADA]],#REF!,6,0),0)</f>
        <v>0</v>
      </c>
      <c r="AH1303" s="125">
        <f>IFERROR(VLOOKUP(DATA[[#This Row],[COMBINADA]],#REF!,9,0),0)/COUNTIFS(DATA[COMBINADA],DATA[[#This Row],[COMBINADA]])</f>
        <v>0</v>
      </c>
      <c r="AI1303" s="136">
        <f>IFERROR(VLOOKUP(DATA[[#This Row],[COMBINADA]],#REF!,6,0),0)</f>
        <v>0</v>
      </c>
      <c r="AJ1303" s="132">
        <f>IFERROR(VLOOKUP(DATA[[#This Row],[COMBINADA]],#REF!,9,0),0)/COUNTIFS(DATA[COMBINADA],DATA[[#This Row],[COMBINADA]])</f>
        <v>0</v>
      </c>
      <c r="AK1303" s="407">
        <f>IFERROR(VLOOKUP(DATA[[#This Row],[COMBINADA]],#REF!,6,0),0)</f>
        <v>0</v>
      </c>
      <c r="AL1303" s="125">
        <f>IFERROR(VLOOKUP(DATA[[#This Row],[COMBINADA]],#REF!,9,0),0)/COUNTIFS(DATA[COMBINADA],DATA[[#This Row],[COMBINADA]])</f>
        <v>0</v>
      </c>
      <c r="AM1303" s="27">
        <f>IFERROR(VLOOKUP(DATA[[#This Row],[COMBINADA]],#REF!,6,0),0)</f>
        <v>0</v>
      </c>
      <c r="AN1303" s="125">
        <f>IFERROR(VLOOKUP(DATA[[#This Row],[COMBINADA]],#REF!,9,0),0)/COUNTIFS(DATA[COMBINADA],DATA[[#This Row],[COMBINADA]])</f>
        <v>0</v>
      </c>
      <c r="AO1303" s="27">
        <f>IFERROR(VLOOKUP(DATA[[#This Row],[COMBINADA]],#REF!,6,0),0)</f>
        <v>0</v>
      </c>
      <c r="AP1303" s="132">
        <f>IFERROR(VLOOKUP(DATA[[#This Row],[COMBINADA]],#REF!,9,0),0)/COUNTIFS(DATA[COMBINADA],DATA[[#This Row],[COMBINADA]])</f>
        <v>0</v>
      </c>
      <c r="AQ130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425.40500000000003</v>
      </c>
      <c r="AR1303" s="26" t="str">
        <f>IFERROR(IF(DATA[[#This Row],[estado_fact]]="FACTURADO",VLOOKUP(DATA[[#This Row],[SERIE2]]&amp;"-"&amp;DATA[[#This Row],[NUMERO]],#REF!,34,0),"NO CORRESPONDE"),"NO CORRESPONDE")</f>
        <v>NO CORRESPONDE</v>
      </c>
      <c r="AS1303" s="22" t="str">
        <f>IF(DATA[[#This Row],[fecha_fs]]&gt;0,TEXT(DATA[[#This Row],[fecha_fs]],"Mmmm"),0)</f>
        <v>Octubre</v>
      </c>
      <c r="AT1303" s="22" t="str">
        <f>DATA[[#This Row],[SERIE2]]&amp;"-"&amp;DATA[[#This Row],[NUMERO]]</f>
        <v>FF01-315</v>
      </c>
      <c r="AU1303" s="28" t="e">
        <f>DATA[[#This Row],[TOTAL]]*DATA[[#This Row],[T.C.]]</f>
        <v>#REF!</v>
      </c>
      <c r="AV1303" s="6">
        <f>DATA[[#This Row],[FECHA DE VAL.]]</f>
        <v>45959</v>
      </c>
      <c r="AW1303" s="6">
        <f>DATA[[#This Row],[FECHA DE EMISION]]</f>
        <v>45961</v>
      </c>
      <c r="AX1303" s="6">
        <f>DATA[[#This Row],[F1]]</f>
        <v>0</v>
      </c>
      <c r="AY1303" s="20">
        <f>IF(AV1303-DATA[[#This Row],[fecha_fs]]&lt;0,0,AV1303-DATA[[#This Row],[fecha_fs]])</f>
        <v>22</v>
      </c>
      <c r="AZ1303" s="20">
        <f t="shared" ref="AZ1303:AZ1304" si="320">IF(AW1303-AV1303&lt;0,0,AW1303-AV1303)</f>
        <v>2</v>
      </c>
      <c r="BA1303" s="53">
        <f t="shared" ref="BA1303:BA1304" si="321">IF(AX1303-AW1303&lt;0,0,AX1303-AW1303)</f>
        <v>0</v>
      </c>
      <c r="BB1303" s="360">
        <f>IFERROR(SUM(DATA[[#This Row],[fs_val_ttf]:[fact_pago_ttf]]),0)</f>
        <v>24</v>
      </c>
      <c r="BC1303" s="377">
        <v>45937</v>
      </c>
      <c r="BD1303" s="377">
        <v>45952</v>
      </c>
      <c r="BE1303" s="377">
        <v>45957</v>
      </c>
      <c r="BF1303" s="334" t="s">
        <v>270</v>
      </c>
      <c r="BG1303" s="20">
        <f>IFERROR(IF(BC1303-DATA[[#This Row],[fecha_fs]]&lt;0,0,BC1303-DATA[[#This Row],[fecha_fs]]),0)</f>
        <v>0</v>
      </c>
      <c r="BH1303" s="20">
        <f t="shared" si="313"/>
        <v>15</v>
      </c>
      <c r="BI1303" s="20">
        <f t="shared" si="314"/>
        <v>5</v>
      </c>
      <c r="BJ1303" s="367">
        <f t="shared" si="315"/>
        <v>0</v>
      </c>
      <c r="BK1303" s="362">
        <f>IFERROR(SUM(DATA[[#This Row],[fs_fd_ttd]:[fend_fenf_ttd]]),0)</f>
        <v>20</v>
      </c>
      <c r="BL1303" s="20" t="str">
        <f>IF(DATA[[#This Row],[fecha_fs]]&gt;0,TEXT(DATA[[#This Row],[fecha_fs]],"YYYY"),0)</f>
        <v>2025</v>
      </c>
      <c r="BM1303" s="363" t="b">
        <v>0</v>
      </c>
      <c r="BN1303" s="278">
        <f>COUNTIF(DATA[[#This Row],[tiempo_td]], "&lt;=15")</f>
        <v>0</v>
      </c>
      <c r="BO1303" s="365"/>
    </row>
    <row r="1304" spans="1:67" ht="30.6" customHeight="1" x14ac:dyDescent="0.25">
      <c r="A1304" s="4">
        <v>20100192064</v>
      </c>
      <c r="B1304" s="5" t="s">
        <v>60</v>
      </c>
      <c r="C1304" s="52" t="s">
        <v>65</v>
      </c>
      <c r="D1304" s="4" t="s">
        <v>120</v>
      </c>
      <c r="E1304" s="5" t="s">
        <v>3</v>
      </c>
      <c r="F1304" s="24">
        <v>45936</v>
      </c>
      <c r="G1304" s="7" t="s">
        <v>142</v>
      </c>
      <c r="H1304" s="25">
        <f t="shared" si="319"/>
        <v>2</v>
      </c>
      <c r="I1304" s="67">
        <v>1149</v>
      </c>
      <c r="J1304" s="8" t="s">
        <v>115</v>
      </c>
      <c r="K1304" s="9" t="s">
        <v>121</v>
      </c>
      <c r="L1304" s="10" t="s">
        <v>117</v>
      </c>
      <c r="M1304" s="11">
        <v>850</v>
      </c>
      <c r="N1304" s="12" t="s">
        <v>180</v>
      </c>
      <c r="O1304" s="6">
        <v>45959</v>
      </c>
      <c r="P1304" s="71">
        <v>3763</v>
      </c>
      <c r="Q1304" s="14" t="s">
        <v>123</v>
      </c>
      <c r="R1304" s="206">
        <f>(DATA[[#This Row],[cantidad_fs]]/1000)*(37+81.01)</f>
        <v>100.3085</v>
      </c>
      <c r="S1304" s="15">
        <v>103.6</v>
      </c>
      <c r="T1304" s="15">
        <f>DATA[[#This Row],[C. DF]]+DATA[[#This Row],[C.OPE.]]</f>
        <v>203.9085</v>
      </c>
      <c r="U1304" s="15">
        <f>DATA[[#This Row],[SUB TOTAL]]*0.18</f>
        <v>36.703530000000001</v>
      </c>
      <c r="V1304" s="15">
        <f>IFERROR(ROUND(DATA[[#This Row],[SUB TOTAL]]+DATA[[#This Row],[IGV]],2),0)</f>
        <v>240.61</v>
      </c>
      <c r="W1304" s="16" t="str">
        <f>IF(DATA[[#This Row],[VALORIZACIÓN ]]="-","NO CORRESPONDE",IF(OR(A1304=20558226979,A1304=10470707866,A1304=20111157058,A1304=20100226902),"NO CORRESPONDE",IF(J1304="Emitida",IF(P1304&gt;0,"EMITIDA","PENDIENTE"),"NO CORRESPONDE")))</f>
        <v>EMITIDA</v>
      </c>
      <c r="X1304" s="29" t="s">
        <v>374</v>
      </c>
      <c r="Y1304" s="17" t="s">
        <v>118</v>
      </c>
      <c r="Z1304" s="30">
        <v>45961</v>
      </c>
      <c r="AA1304" s="10" t="s">
        <v>150</v>
      </c>
      <c r="AB1304" s="19">
        <v>315</v>
      </c>
      <c r="AC1304" s="20">
        <v>30</v>
      </c>
      <c r="AD1304" s="18">
        <f>DATA[[#This Row],[FECHA DE EMISION]]+DATA[[#This Row],[CONDICION DE PAGO]]</f>
        <v>45991</v>
      </c>
      <c r="AE1304" s="23" t="e">
        <f>IF(DATA[[#This Row],[MONEDA]]="USD",VLOOKUP(DATA[[#This Row],[COMBINADA]],#REF!,11,0),1)</f>
        <v>#REF!</v>
      </c>
      <c r="AF1304" s="129" t="str">
        <f>IF(DATA[[#This Row],[SERIE2]]="-","NO CORRESPONDE",IF(W1304="NO CORRESPONDE","NO CORRESPONDE",IF(Z1304&gt;0,"FACTURADO","PENDIENTE")))</f>
        <v>FACTURADO</v>
      </c>
      <c r="AG1304" s="133">
        <f>IFERROR(VLOOKUP(DATA[[#This Row],[COMBINADA]],#REF!,6,0),0)</f>
        <v>0</v>
      </c>
      <c r="AH1304" s="125">
        <f>IFERROR(VLOOKUP(DATA[[#This Row],[COMBINADA]],#REF!,9,0),0)/COUNTIFS(DATA[COMBINADA],DATA[[#This Row],[COMBINADA]])</f>
        <v>0</v>
      </c>
      <c r="AI1304" s="136">
        <f>IFERROR(VLOOKUP(DATA[[#This Row],[COMBINADA]],#REF!,6,0),0)</f>
        <v>0</v>
      </c>
      <c r="AJ1304" s="132">
        <f>IFERROR(VLOOKUP(DATA[[#This Row],[COMBINADA]],#REF!,9,0),0)/COUNTIFS(DATA[COMBINADA],DATA[[#This Row],[COMBINADA]])</f>
        <v>0</v>
      </c>
      <c r="AK1304" s="407">
        <f>IFERROR(VLOOKUP(DATA[[#This Row],[COMBINADA]],#REF!,6,0),0)</f>
        <v>0</v>
      </c>
      <c r="AL1304" s="125">
        <f>IFERROR(VLOOKUP(DATA[[#This Row],[COMBINADA]],#REF!,9,0),0)/COUNTIFS(DATA[COMBINADA],DATA[[#This Row],[COMBINADA]])</f>
        <v>0</v>
      </c>
      <c r="AM1304" s="27">
        <f>IFERROR(VLOOKUP(DATA[[#This Row],[COMBINADA]],#REF!,6,0),0)</f>
        <v>0</v>
      </c>
      <c r="AN1304" s="125">
        <f>IFERROR(VLOOKUP(DATA[[#This Row],[COMBINADA]],#REF!,9,0),0)/COUNTIFS(DATA[COMBINADA],DATA[[#This Row],[COMBINADA]])</f>
        <v>0</v>
      </c>
      <c r="AO1304" s="27">
        <f>IFERROR(VLOOKUP(DATA[[#This Row],[COMBINADA]],#REF!,6,0),0)</f>
        <v>0</v>
      </c>
      <c r="AP1304" s="132">
        <f>IFERROR(VLOOKUP(DATA[[#This Row],[COMBINADA]],#REF!,9,0),0)/COUNTIFS(DATA[COMBINADA],DATA[[#This Row],[COMBINADA]])</f>
        <v>0</v>
      </c>
      <c r="AQ130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425.40500000000003</v>
      </c>
      <c r="AR1304" s="26" t="str">
        <f>IFERROR(IF(DATA[[#This Row],[estado_fact]]="FACTURADO",VLOOKUP(DATA[[#This Row],[SERIE2]]&amp;"-"&amp;DATA[[#This Row],[NUMERO]],#REF!,34,0),"NO CORRESPONDE"),"NO CORRESPONDE")</f>
        <v>NO CORRESPONDE</v>
      </c>
      <c r="AS1304" s="22" t="str">
        <f>IF(DATA[[#This Row],[fecha_fs]]&gt;0,TEXT(DATA[[#This Row],[fecha_fs]],"Mmmm"),0)</f>
        <v>Octubre</v>
      </c>
      <c r="AT1304" s="22" t="str">
        <f>DATA[[#This Row],[SERIE2]]&amp;"-"&amp;DATA[[#This Row],[NUMERO]]</f>
        <v>FF01-315</v>
      </c>
      <c r="AU1304" s="28" t="e">
        <f>DATA[[#This Row],[TOTAL]]*DATA[[#This Row],[T.C.]]</f>
        <v>#REF!</v>
      </c>
      <c r="AV1304" s="6">
        <f>DATA[[#This Row],[FECHA DE VAL.]]</f>
        <v>45959</v>
      </c>
      <c r="AW1304" s="6">
        <f>DATA[[#This Row],[FECHA DE EMISION]]</f>
        <v>45961</v>
      </c>
      <c r="AX1304" s="6">
        <f>DATA[[#This Row],[F1]]</f>
        <v>0</v>
      </c>
      <c r="AY1304" s="20">
        <f>IF(AV1304-DATA[[#This Row],[fecha_fs]]&lt;0,0,AV1304-DATA[[#This Row],[fecha_fs]])</f>
        <v>23</v>
      </c>
      <c r="AZ1304" s="20">
        <f t="shared" si="320"/>
        <v>2</v>
      </c>
      <c r="BA1304" s="53">
        <f t="shared" si="321"/>
        <v>0</v>
      </c>
      <c r="BB1304" s="360">
        <f>IFERROR(SUM(DATA[[#This Row],[fs_val_ttf]:[fact_pago_ttf]]),0)</f>
        <v>25</v>
      </c>
      <c r="BC1304" s="417">
        <v>45946</v>
      </c>
      <c r="BD1304" s="377">
        <v>45967</v>
      </c>
      <c r="BE1304" s="377">
        <v>45967</v>
      </c>
      <c r="BF1304" s="334" t="s">
        <v>270</v>
      </c>
      <c r="BG1304" s="20">
        <f>IFERROR(IF(BC1304-DATA[[#This Row],[fecha_fs]]&lt;0,0,BC1304-DATA[[#This Row],[fecha_fs]]),0)</f>
        <v>10</v>
      </c>
      <c r="BH1304" s="20">
        <f t="shared" si="313"/>
        <v>21</v>
      </c>
      <c r="BI1304" s="20">
        <f t="shared" si="314"/>
        <v>0</v>
      </c>
      <c r="BJ1304" s="367">
        <f t="shared" si="315"/>
        <v>0</v>
      </c>
      <c r="BK1304" s="362">
        <f>IFERROR(SUM(DATA[[#This Row],[fs_fd_ttd]:[fend_fenf_ttd]]),0)</f>
        <v>31</v>
      </c>
      <c r="BL1304" s="20" t="str">
        <f>IF(DATA[[#This Row],[fecha_fs]]&gt;0,TEXT(DATA[[#This Row],[fecha_fs]],"YYYY"),0)</f>
        <v>2025</v>
      </c>
      <c r="BM1304" s="363" t="b">
        <v>0</v>
      </c>
      <c r="BN1304" s="278">
        <f>COUNTIF(DATA[[#This Row],[tiempo_td]], "&lt;=15")</f>
        <v>0</v>
      </c>
      <c r="BO1304" s="365"/>
    </row>
    <row r="1305" spans="1:67" ht="30.6" customHeight="1" x14ac:dyDescent="0.25">
      <c r="A1305" s="4">
        <v>20419158462</v>
      </c>
      <c r="B1305" s="5" t="s">
        <v>2</v>
      </c>
      <c r="C1305" s="52" t="s">
        <v>199</v>
      </c>
      <c r="D1305" s="4" t="s">
        <v>120</v>
      </c>
      <c r="E1305" s="5" t="s">
        <v>3</v>
      </c>
      <c r="F1305" s="24">
        <v>45937</v>
      </c>
      <c r="G1305" s="7" t="s">
        <v>113</v>
      </c>
      <c r="H1305" s="25">
        <f t="shared" si="316"/>
        <v>1</v>
      </c>
      <c r="I1305" s="331">
        <v>5094</v>
      </c>
      <c r="J1305" s="8" t="s">
        <v>115</v>
      </c>
      <c r="K1305" s="9" t="s">
        <v>156</v>
      </c>
      <c r="L1305" s="10" t="s">
        <v>117</v>
      </c>
      <c r="M1305" s="11">
        <v>310</v>
      </c>
      <c r="N1305" s="12" t="s">
        <v>125</v>
      </c>
      <c r="O1305" s="6">
        <v>45939</v>
      </c>
      <c r="P1305" s="13">
        <v>3717</v>
      </c>
      <c r="Q1305" s="14" t="s">
        <v>85</v>
      </c>
      <c r="R1305" s="74"/>
      <c r="S1305" s="15">
        <f>1429.7/2</f>
        <v>714.85</v>
      </c>
      <c r="T1305" s="321">
        <f>DATA[[#This Row],[C. DF]]+DATA[[#This Row],[C.OPE.]]</f>
        <v>714.85</v>
      </c>
      <c r="U1305" s="15">
        <f>DATA[[#This Row],[SUB TOTAL]]*0.18</f>
        <v>128.673</v>
      </c>
      <c r="V1305" s="15">
        <f>IFERROR(ROUND(DATA[[#This Row],[SUB TOTAL]]+DATA[[#This Row],[IGV]],2),0)</f>
        <v>843.52</v>
      </c>
      <c r="W1305" s="339" t="str">
        <f>IF(DATA[[#This Row],[VALORIZACIÓN ]]="-","NO CORRESPONDE",IF(OR(A1305=20558226979,A1305=10470707866,A1305=20111157058,A1305=20100226902),"NO CORRESPONDE",IF(J1305="Emitida",IF(P1305&gt;0,"EMITIDA","PENDIENTE"),"NO CORRESPONDE")))</f>
        <v>EMITIDA</v>
      </c>
      <c r="X1305" s="29"/>
      <c r="Y1305" s="17" t="s">
        <v>232</v>
      </c>
      <c r="Z1305" s="30"/>
      <c r="AA1305" s="10"/>
      <c r="AB1305" s="19"/>
      <c r="AC1305" s="20"/>
      <c r="AD1305" s="18">
        <f>DATA[[#This Row],[FECHA DE EMISION]]+DATA[[#This Row],[CONDICION DE PAGO]]</f>
        <v>0</v>
      </c>
      <c r="AE1305" s="23">
        <f>IF(DATA[[#This Row],[MONEDA]]="USD",VLOOKUP(DATA[[#This Row],[COMBINADA]],#REF!,11,0),1)</f>
        <v>1</v>
      </c>
      <c r="AF1305" s="129" t="str">
        <f>IF(DATA[[#This Row],[SERIE2]]="-","NO CORRESPONDE",IF(W1305="NO CORRESPONDE","NO CORRESPONDE",IF(Z1305&gt;0,"FACTURADO","PENDIENTE")))</f>
        <v>PENDIENTE</v>
      </c>
      <c r="AG1305" s="133">
        <f>IFERROR(VLOOKUP(DATA[[#This Row],[COMBINADA]],#REF!,6,0),0)</f>
        <v>0</v>
      </c>
      <c r="AH1305" s="125">
        <f>IFERROR(VLOOKUP(DATA[[#This Row],[COMBINADA]],#REF!,9,0),0)/COUNTIFS(DATA[COMBINADA],DATA[[#This Row],[COMBINADA]])</f>
        <v>0</v>
      </c>
      <c r="AI1305" s="136">
        <f>IFERROR(VLOOKUP(DATA[[#This Row],[COMBINADA]],#REF!,6,0),0)</f>
        <v>0</v>
      </c>
      <c r="AJ1305" s="132">
        <f>IFERROR(VLOOKUP(DATA[[#This Row],[COMBINADA]],#REF!,9,0),0)/COUNTIFS(DATA[COMBINADA],DATA[[#This Row],[COMBINADA]])</f>
        <v>0</v>
      </c>
      <c r="AK1305" s="407">
        <f>IFERROR(VLOOKUP(DATA[[#This Row],[COMBINADA]],#REF!,6,0),0)</f>
        <v>0</v>
      </c>
      <c r="AL1305" s="125">
        <f>IFERROR(VLOOKUP(DATA[[#This Row],[COMBINADA]],#REF!,9,0),0)/COUNTIFS(DATA[COMBINADA],DATA[[#This Row],[COMBINADA]])</f>
        <v>0</v>
      </c>
      <c r="AM1305" s="27">
        <f>IFERROR(VLOOKUP(DATA[[#This Row],[COMBINADA]],#REF!,6,0),0)</f>
        <v>0</v>
      </c>
      <c r="AN1305" s="125">
        <f>IFERROR(VLOOKUP(DATA[[#This Row],[COMBINADA]],#REF!,9,0),0)/COUNTIFS(DATA[COMBINADA],DATA[[#This Row],[COMBINADA]])</f>
        <v>0</v>
      </c>
      <c r="AO1305" s="27">
        <f>IFERROR(VLOOKUP(DATA[[#This Row],[COMBINADA]],#REF!,6,0),0)</f>
        <v>0</v>
      </c>
      <c r="AP1305" s="132">
        <f>IFERROR(VLOOKUP(DATA[[#This Row],[COMBINADA]],#REF!,9,0),0)/COUNTIFS(DATA[COMBINADA],DATA[[#This Row],[COMBINADA]])</f>
        <v>0</v>
      </c>
      <c r="AQ130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05" s="26" t="str">
        <f>IFERROR(IF(DATA[[#This Row],[estado_fact]]="FACTURADO",VLOOKUP(DATA[[#This Row],[SERIE2]]&amp;"-"&amp;DATA[[#This Row],[NUMERO]],#REF!,34,0),"NO CORRESPONDE"),"NO CORRESPONDE")</f>
        <v>NO CORRESPONDE</v>
      </c>
      <c r="AS1305" s="22" t="str">
        <f>IF(DATA[[#This Row],[fecha_fs]]&gt;0,TEXT(DATA[[#This Row],[fecha_fs]],"Mmmm"),0)</f>
        <v>Octubre</v>
      </c>
      <c r="AT1305" s="22" t="str">
        <f>DATA[[#This Row],[SERIE2]]&amp;"-"&amp;DATA[[#This Row],[NUMERO]]</f>
        <v>-</v>
      </c>
      <c r="AU1305" s="28">
        <f>DATA[[#This Row],[TOTAL]]*DATA[[#This Row],[T.C.]]</f>
        <v>843.52</v>
      </c>
      <c r="AV1305" s="6">
        <f>DATA[[#This Row],[FECHA DE VAL.]]</f>
        <v>45939</v>
      </c>
      <c r="AW1305" s="6">
        <f>DATA[[#This Row],[FECHA DE EMISION]]</f>
        <v>0</v>
      </c>
      <c r="AX1305" s="6">
        <f>DATA[[#This Row],[F1]]</f>
        <v>0</v>
      </c>
      <c r="AY1305" s="20">
        <f>IF(AV1305-DATA[[#This Row],[fecha_fs]]&lt;0,0,AV1305-DATA[[#This Row],[fecha_fs]])</f>
        <v>2</v>
      </c>
      <c r="AZ1305" s="20">
        <f t="shared" si="317"/>
        <v>0</v>
      </c>
      <c r="BA1305" s="53">
        <f t="shared" si="318"/>
        <v>0</v>
      </c>
      <c r="BB1305" s="360">
        <f>IFERROR(SUM(DATA[[#This Row],[fs_val_ttf]:[fact_pago_ttf]]),0)</f>
        <v>2</v>
      </c>
      <c r="BC1305" s="377">
        <v>45937</v>
      </c>
      <c r="BD1305" s="377">
        <v>45937</v>
      </c>
      <c r="BE1305" s="377">
        <v>45946</v>
      </c>
      <c r="BF1305" s="377">
        <v>45946</v>
      </c>
      <c r="BG1305" s="20">
        <f>IFERROR(IF(BC1305-DATA[[#This Row],[fecha_fs]]&lt;0,0,BC1305-DATA[[#This Row],[fecha_fs]]),0)</f>
        <v>0</v>
      </c>
      <c r="BH1305" s="20">
        <f t="shared" si="313"/>
        <v>0</v>
      </c>
      <c r="BI1305" s="20">
        <f t="shared" si="314"/>
        <v>9</v>
      </c>
      <c r="BJ1305" s="367">
        <f t="shared" si="315"/>
        <v>0</v>
      </c>
      <c r="BK1305" s="362">
        <f>IFERROR(SUM(DATA[[#This Row],[fs_fd_ttd]:[fend_fenf_ttd]]),0)</f>
        <v>9</v>
      </c>
      <c r="BL1305" s="20" t="str">
        <f>IF(DATA[[#This Row],[fecha_fs]]&gt;0,TEXT(DATA[[#This Row],[fecha_fs]],"YYYY"),0)</f>
        <v>2025</v>
      </c>
      <c r="BM1305" s="363" t="b">
        <v>1</v>
      </c>
      <c r="BN1305" s="278">
        <f>COUNTIF(DATA[[#This Row],[tiempo_td]], "&lt;=15")</f>
        <v>1</v>
      </c>
      <c r="BO1305" s="365"/>
    </row>
    <row r="1306" spans="1:67" ht="30.6" customHeight="1" x14ac:dyDescent="0.25">
      <c r="A1306" s="4">
        <v>20100055237</v>
      </c>
      <c r="B1306" s="5" t="s">
        <v>21</v>
      </c>
      <c r="C1306" s="52" t="s">
        <v>138</v>
      </c>
      <c r="D1306" s="4" t="s">
        <v>139</v>
      </c>
      <c r="E1306" s="5" t="s">
        <v>23</v>
      </c>
      <c r="F1306" s="24">
        <v>45937</v>
      </c>
      <c r="G1306" s="7" t="s">
        <v>113</v>
      </c>
      <c r="H1306" s="25">
        <f t="shared" si="316"/>
        <v>1</v>
      </c>
      <c r="I1306" s="331">
        <v>5095</v>
      </c>
      <c r="J1306" s="8" t="s">
        <v>115</v>
      </c>
      <c r="K1306" s="9" t="s">
        <v>121</v>
      </c>
      <c r="L1306" s="10" t="s">
        <v>117</v>
      </c>
      <c r="M1306" s="11">
        <v>120</v>
      </c>
      <c r="N1306" s="12" t="s">
        <v>167</v>
      </c>
      <c r="O1306" s="6">
        <v>45961</v>
      </c>
      <c r="P1306" s="54">
        <v>3772</v>
      </c>
      <c r="Q1306" s="14" t="s">
        <v>85</v>
      </c>
      <c r="R1306" s="56"/>
      <c r="S1306" s="56">
        <v>297.92</v>
      </c>
      <c r="T1306" s="321">
        <f>DATA[[#This Row],[C. DF]]+DATA[[#This Row],[C.OPE.]]</f>
        <v>297.92</v>
      </c>
      <c r="U1306" s="15">
        <f>DATA[[#This Row],[SUB TOTAL]]*0.18</f>
        <v>53.625599999999999</v>
      </c>
      <c r="V1306" s="15">
        <f>IFERROR(ROUND(DATA[[#This Row],[SUB TOTAL]]+DATA[[#This Row],[IGV]],2),0)</f>
        <v>351.55</v>
      </c>
      <c r="W1306" s="339" t="str">
        <f>IF(DATA[[#This Row],[VALORIZACIÓN ]]="-","NO CORRESPONDE",IF(OR(A1306=20558226979,A1306=10470707866,A1306=20111157058,A1306=20100226902),"NO CORRESPONDE",IF(J1306="Emitida",IF(P1306&gt;0,"EMITIDA","PENDIENTE"),"NO CORRESPONDE")))</f>
        <v>EMITIDA</v>
      </c>
      <c r="X1306" s="29"/>
      <c r="Y1306" s="17" t="s">
        <v>232</v>
      </c>
      <c r="Z1306" s="30"/>
      <c r="AA1306" s="10"/>
      <c r="AB1306" s="19"/>
      <c r="AC1306" s="20"/>
      <c r="AD1306" s="18">
        <f>DATA[[#This Row],[FECHA DE EMISION]]+DATA[[#This Row],[CONDICION DE PAGO]]</f>
        <v>0</v>
      </c>
      <c r="AE1306" s="23">
        <f>IF(DATA[[#This Row],[MONEDA]]="USD",VLOOKUP(DATA[[#This Row],[COMBINADA]],#REF!,11,0),1)</f>
        <v>1</v>
      </c>
      <c r="AF1306" s="129" t="str">
        <f>IF(DATA[[#This Row],[SERIE2]]="-","NO CORRESPONDE",IF(W1306="NO CORRESPONDE","NO CORRESPONDE",IF(Z1306&gt;0,"FACTURADO","PENDIENTE")))</f>
        <v>PENDIENTE</v>
      </c>
      <c r="AG1306" s="133">
        <f>IFERROR(VLOOKUP(DATA[[#This Row],[COMBINADA]],#REF!,6,0),0)</f>
        <v>0</v>
      </c>
      <c r="AH1306" s="125">
        <f>IFERROR(VLOOKUP(DATA[[#This Row],[COMBINADA]],#REF!,9,0),0)/COUNTIFS(DATA[COMBINADA],DATA[[#This Row],[COMBINADA]])</f>
        <v>0</v>
      </c>
      <c r="AI1306" s="136">
        <f>IFERROR(VLOOKUP(DATA[[#This Row],[COMBINADA]],#REF!,6,0),0)</f>
        <v>0</v>
      </c>
      <c r="AJ1306" s="132">
        <f>IFERROR(VLOOKUP(DATA[[#This Row],[COMBINADA]],#REF!,9,0),0)/COUNTIFS(DATA[COMBINADA],DATA[[#This Row],[COMBINADA]])</f>
        <v>0</v>
      </c>
      <c r="AK1306" s="407">
        <f>IFERROR(VLOOKUP(DATA[[#This Row],[COMBINADA]],#REF!,6,0),0)</f>
        <v>0</v>
      </c>
      <c r="AL1306" s="125">
        <f>IFERROR(VLOOKUP(DATA[[#This Row],[COMBINADA]],#REF!,9,0),0)/COUNTIFS(DATA[COMBINADA],DATA[[#This Row],[COMBINADA]])</f>
        <v>0</v>
      </c>
      <c r="AM1306" s="27">
        <f>IFERROR(VLOOKUP(DATA[[#This Row],[COMBINADA]],#REF!,6,0),0)</f>
        <v>0</v>
      </c>
      <c r="AN1306" s="125">
        <f>IFERROR(VLOOKUP(DATA[[#This Row],[COMBINADA]],#REF!,9,0),0)/COUNTIFS(DATA[COMBINADA],DATA[[#This Row],[COMBINADA]])</f>
        <v>0</v>
      </c>
      <c r="AO1306" s="27">
        <f>IFERROR(VLOOKUP(DATA[[#This Row],[COMBINADA]],#REF!,6,0),0)</f>
        <v>0</v>
      </c>
      <c r="AP1306" s="132">
        <f>IFERROR(VLOOKUP(DATA[[#This Row],[COMBINADA]],#REF!,9,0),0)/COUNTIFS(DATA[COMBINADA],DATA[[#This Row],[COMBINADA]])</f>
        <v>0</v>
      </c>
      <c r="AQ130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06" s="26" t="str">
        <f>IFERROR(IF(DATA[[#This Row],[estado_fact]]="FACTURADO",VLOOKUP(DATA[[#This Row],[SERIE2]]&amp;"-"&amp;DATA[[#This Row],[NUMERO]],#REF!,34,0),"NO CORRESPONDE"),"NO CORRESPONDE")</f>
        <v>NO CORRESPONDE</v>
      </c>
      <c r="AS1306" s="22" t="str">
        <f>IF(DATA[[#This Row],[fecha_fs]]&gt;0,TEXT(DATA[[#This Row],[fecha_fs]],"Mmmm"),0)</f>
        <v>Octubre</v>
      </c>
      <c r="AT1306" s="22" t="str">
        <f>DATA[[#This Row],[SERIE2]]&amp;"-"&amp;DATA[[#This Row],[NUMERO]]</f>
        <v>-</v>
      </c>
      <c r="AU1306" s="28">
        <f>DATA[[#This Row],[TOTAL]]*DATA[[#This Row],[T.C.]]</f>
        <v>351.55</v>
      </c>
      <c r="AV1306" s="6">
        <f>DATA[[#This Row],[FECHA DE VAL.]]</f>
        <v>45961</v>
      </c>
      <c r="AW1306" s="6">
        <f>DATA[[#This Row],[FECHA DE EMISION]]</f>
        <v>0</v>
      </c>
      <c r="AX1306" s="6">
        <f>DATA[[#This Row],[F1]]</f>
        <v>0</v>
      </c>
      <c r="AY1306" s="20">
        <f>IF(AV1306-DATA[[#This Row],[fecha_fs]]&lt;0,0,AV1306-DATA[[#This Row],[fecha_fs]])</f>
        <v>24</v>
      </c>
      <c r="AZ1306" s="20">
        <f t="shared" si="317"/>
        <v>0</v>
      </c>
      <c r="BA1306" s="53">
        <f t="shared" si="318"/>
        <v>0</v>
      </c>
      <c r="BB1306" s="360">
        <f>IFERROR(SUM(DATA[[#This Row],[fs_val_ttf]:[fact_pago_ttf]]),0)</f>
        <v>24</v>
      </c>
      <c r="BC1306" s="377">
        <v>45937</v>
      </c>
      <c r="BD1306" s="377">
        <v>45937</v>
      </c>
      <c r="BE1306" s="377">
        <v>45966</v>
      </c>
      <c r="BF1306" s="377">
        <v>45966</v>
      </c>
      <c r="BG1306" s="20">
        <f>IFERROR(IF(BC1306-DATA[[#This Row],[fecha_fs]]&lt;0,0,BC1306-DATA[[#This Row],[fecha_fs]]),0)</f>
        <v>0</v>
      </c>
      <c r="BH1306" s="20">
        <f t="shared" si="313"/>
        <v>0</v>
      </c>
      <c r="BI1306" s="20">
        <f t="shared" si="314"/>
        <v>29</v>
      </c>
      <c r="BJ1306" s="367">
        <f t="shared" si="315"/>
        <v>0</v>
      </c>
      <c r="BK1306" s="362">
        <f>IFERROR(SUM(DATA[[#This Row],[fs_fd_ttd]:[fend_fenf_ttd]]),0)</f>
        <v>29</v>
      </c>
      <c r="BL1306" s="20" t="str">
        <f>IF(DATA[[#This Row],[fecha_fs]]&gt;0,TEXT(DATA[[#This Row],[fecha_fs]],"YYYY"),0)</f>
        <v>2025</v>
      </c>
      <c r="BM1306" s="363" t="b">
        <v>1</v>
      </c>
      <c r="BN1306" s="278">
        <f>COUNTIF(DATA[[#This Row],[tiempo_td]], "&lt;=15")</f>
        <v>0</v>
      </c>
      <c r="BO1306" s="365"/>
    </row>
    <row r="1307" spans="1:67" ht="30.6" customHeight="1" x14ac:dyDescent="0.25">
      <c r="A1307" s="4">
        <v>20120788389</v>
      </c>
      <c r="B1307" s="5" t="s">
        <v>283</v>
      </c>
      <c r="C1307" s="52" t="s">
        <v>18</v>
      </c>
      <c r="D1307" s="4" t="s">
        <v>120</v>
      </c>
      <c r="E1307" s="5" t="s">
        <v>3</v>
      </c>
      <c r="F1307" s="24">
        <v>45939</v>
      </c>
      <c r="G1307" s="7" t="s">
        <v>113</v>
      </c>
      <c r="H1307" s="25">
        <f t="shared" si="316"/>
        <v>1</v>
      </c>
      <c r="I1307" s="331">
        <v>5096</v>
      </c>
      <c r="J1307" s="8" t="s">
        <v>115</v>
      </c>
      <c r="K1307" s="9" t="s">
        <v>121</v>
      </c>
      <c r="L1307" s="10" t="s">
        <v>117</v>
      </c>
      <c r="M1307" s="11">
        <v>240</v>
      </c>
      <c r="N1307" s="12" t="s">
        <v>167</v>
      </c>
      <c r="O1307" s="6">
        <v>45961</v>
      </c>
      <c r="P1307" s="319">
        <v>3775</v>
      </c>
      <c r="Q1307" s="14" t="s">
        <v>85</v>
      </c>
      <c r="R1307" s="74"/>
      <c r="S1307" s="15">
        <v>670.43</v>
      </c>
      <c r="T1307" s="321">
        <f>DATA[[#This Row],[C. DF]]+DATA[[#This Row],[C.OPE.]]</f>
        <v>670.43</v>
      </c>
      <c r="U1307" s="15">
        <f>DATA[[#This Row],[SUB TOTAL]]*0.18</f>
        <v>120.67739999999999</v>
      </c>
      <c r="V1307" s="15">
        <f>IFERROR(ROUND(DATA[[#This Row],[SUB TOTAL]]+DATA[[#This Row],[IGV]],2),0)</f>
        <v>791.11</v>
      </c>
      <c r="W1307" s="339" t="str">
        <f>IF(DATA[[#This Row],[VALORIZACIÓN ]]="-","NO CORRESPONDE",IF(OR(A1307=20558226979,A1307=10470707866,A1307=20111157058,A1307=20100226902),"NO CORRESPONDE",IF(J1307="Emitida",IF(P1307&gt;0,"EMITIDA","PENDIENTE"),"NO CORRESPONDE")))</f>
        <v>EMITIDA</v>
      </c>
      <c r="X1307" s="29"/>
      <c r="Y1307" s="17" t="s">
        <v>118</v>
      </c>
      <c r="Z1307" s="30">
        <v>45968</v>
      </c>
      <c r="AA1307" s="10" t="s">
        <v>150</v>
      </c>
      <c r="AB1307" s="19">
        <v>348</v>
      </c>
      <c r="AC1307" s="20">
        <v>15</v>
      </c>
      <c r="AD1307" s="18">
        <f>DATA[[#This Row],[FECHA DE EMISION]]+DATA[[#This Row],[CONDICION DE PAGO]]</f>
        <v>45983</v>
      </c>
      <c r="AE1307" s="23">
        <f>IF(DATA[[#This Row],[MONEDA]]="USD",VLOOKUP(DATA[[#This Row],[COMBINADA]],#REF!,11,0),1)</f>
        <v>1</v>
      </c>
      <c r="AF1307" s="129" t="str">
        <f>IF(DATA[[#This Row],[SERIE2]]="-","NO CORRESPONDE",IF(W1307="NO CORRESPONDE","NO CORRESPONDE",IF(Z1307&gt;0,"FACTURADO","PENDIENTE")))</f>
        <v>FACTURADO</v>
      </c>
      <c r="AG1307" s="133">
        <f>IFERROR(VLOOKUP(DATA[[#This Row],[COMBINADA]],#REF!,6,0),0)</f>
        <v>0</v>
      </c>
      <c r="AH1307" s="125">
        <f>IFERROR(VLOOKUP(DATA[[#This Row],[COMBINADA]],#REF!,9,0),0)/COUNTIFS(DATA[COMBINADA],DATA[[#This Row],[COMBINADA]])</f>
        <v>0</v>
      </c>
      <c r="AI1307" s="136">
        <f>IFERROR(VLOOKUP(DATA[[#This Row],[COMBINADA]],#REF!,6,0),0)</f>
        <v>0</v>
      </c>
      <c r="AJ1307" s="132">
        <f>IFERROR(VLOOKUP(DATA[[#This Row],[COMBINADA]],#REF!,9,0),0)/COUNTIFS(DATA[COMBINADA],DATA[[#This Row],[COMBINADA]])</f>
        <v>0</v>
      </c>
      <c r="AK1307" s="407">
        <f>IFERROR(VLOOKUP(DATA[[#This Row],[COMBINADA]],#REF!,6,0),0)</f>
        <v>0</v>
      </c>
      <c r="AL1307" s="125">
        <f>IFERROR(VLOOKUP(DATA[[#This Row],[COMBINADA]],#REF!,9,0),0)/COUNTIFS(DATA[COMBINADA],DATA[[#This Row],[COMBINADA]])</f>
        <v>0</v>
      </c>
      <c r="AM1307" s="27">
        <f>IFERROR(VLOOKUP(DATA[[#This Row],[COMBINADA]],#REF!,6,0),0)</f>
        <v>0</v>
      </c>
      <c r="AN1307" s="125">
        <f>IFERROR(VLOOKUP(DATA[[#This Row],[COMBINADA]],#REF!,9,0),0)/COUNTIFS(DATA[COMBINADA],DATA[[#This Row],[COMBINADA]])</f>
        <v>0</v>
      </c>
      <c r="AO1307" s="27">
        <f>IFERROR(VLOOKUP(DATA[[#This Row],[COMBINADA]],#REF!,6,0),0)</f>
        <v>0</v>
      </c>
      <c r="AP1307" s="132">
        <f>IFERROR(VLOOKUP(DATA[[#This Row],[COMBINADA]],#REF!,9,0),0)/COUNTIFS(DATA[COMBINADA],DATA[[#This Row],[COMBINADA]])</f>
        <v>0</v>
      </c>
      <c r="AQ130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791.11</v>
      </c>
      <c r="AR1307" s="26" t="str">
        <f>IFERROR(IF(DATA[[#This Row],[estado_fact]]="FACTURADO",VLOOKUP(DATA[[#This Row],[SERIE2]]&amp;"-"&amp;DATA[[#This Row],[NUMERO]],#REF!,34,0),"NO CORRESPONDE"),"NO CORRESPONDE")</f>
        <v>NO CORRESPONDE</v>
      </c>
      <c r="AS1307" s="22" t="str">
        <f>IF(DATA[[#This Row],[fecha_fs]]&gt;0,TEXT(DATA[[#This Row],[fecha_fs]],"Mmmm"),0)</f>
        <v>Octubre</v>
      </c>
      <c r="AT1307" s="22" t="str">
        <f>DATA[[#This Row],[SERIE2]]&amp;"-"&amp;DATA[[#This Row],[NUMERO]]</f>
        <v>FF01-348</v>
      </c>
      <c r="AU1307" s="28">
        <f>DATA[[#This Row],[TOTAL]]*DATA[[#This Row],[T.C.]]</f>
        <v>791.11</v>
      </c>
      <c r="AV1307" s="6">
        <f>DATA[[#This Row],[FECHA DE VAL.]]</f>
        <v>45961</v>
      </c>
      <c r="AW1307" s="6">
        <f>DATA[[#This Row],[FECHA DE EMISION]]</f>
        <v>45968</v>
      </c>
      <c r="AX1307" s="6">
        <f>DATA[[#This Row],[F1]]</f>
        <v>0</v>
      </c>
      <c r="AY1307" s="20">
        <f>IF(AV1307-DATA[[#This Row],[fecha_fs]]&lt;0,0,AV1307-DATA[[#This Row],[fecha_fs]])</f>
        <v>22</v>
      </c>
      <c r="AZ1307" s="20">
        <f t="shared" si="317"/>
        <v>7</v>
      </c>
      <c r="BA1307" s="53">
        <f t="shared" si="318"/>
        <v>0</v>
      </c>
      <c r="BB1307" s="360">
        <f>IFERROR(SUM(DATA[[#This Row],[fs_val_ttf]:[fact_pago_ttf]]),0)</f>
        <v>29</v>
      </c>
      <c r="BC1307" s="361" t="s">
        <v>270</v>
      </c>
      <c r="BD1307" s="361" t="s">
        <v>270</v>
      </c>
      <c r="BE1307" s="361" t="s">
        <v>270</v>
      </c>
      <c r="BF1307" s="361" t="s">
        <v>270</v>
      </c>
      <c r="BG1307" s="20">
        <f>IFERROR(IF(BC1307-DATA[[#This Row],[fecha_fs]]&lt;0,0,BC1307-DATA[[#This Row],[fecha_fs]]),0)</f>
        <v>0</v>
      </c>
      <c r="BH1307" s="20">
        <f t="shared" si="313"/>
        <v>0</v>
      </c>
      <c r="BI1307" s="20">
        <f t="shared" si="314"/>
        <v>0</v>
      </c>
      <c r="BJ1307" s="367">
        <f t="shared" si="315"/>
        <v>0</v>
      </c>
      <c r="BK1307" s="362">
        <f>IFERROR(SUM(DATA[[#This Row],[fs_fd_ttd]:[fend_fenf_ttd]]),0)</f>
        <v>0</v>
      </c>
      <c r="BL1307" s="20" t="str">
        <f>IF(DATA[[#This Row],[fecha_fs]]&gt;0,TEXT(DATA[[#This Row],[fecha_fs]],"YYYY"),0)</f>
        <v>2025</v>
      </c>
      <c r="BM1307" s="363" t="b">
        <v>0</v>
      </c>
      <c r="BN1307" s="278">
        <f>COUNTIF(DATA[[#This Row],[tiempo_td]], "&lt;=15")</f>
        <v>1</v>
      </c>
      <c r="BO1307" s="365"/>
    </row>
    <row r="1308" spans="1:67" ht="30.6" customHeight="1" x14ac:dyDescent="0.25">
      <c r="A1308" s="4">
        <v>20141637941</v>
      </c>
      <c r="B1308" s="5" t="s">
        <v>79</v>
      </c>
      <c r="C1308" s="52" t="s">
        <v>18</v>
      </c>
      <c r="D1308" s="4" t="s">
        <v>120</v>
      </c>
      <c r="E1308" s="5" t="s">
        <v>3</v>
      </c>
      <c r="F1308" s="24">
        <v>45939</v>
      </c>
      <c r="G1308" s="7" t="s">
        <v>113</v>
      </c>
      <c r="H1308" s="25">
        <f t="shared" si="316"/>
        <v>1</v>
      </c>
      <c r="I1308" s="331">
        <v>5097</v>
      </c>
      <c r="J1308" s="8" t="s">
        <v>115</v>
      </c>
      <c r="K1308" s="9" t="s">
        <v>121</v>
      </c>
      <c r="L1308" s="10" t="s">
        <v>117</v>
      </c>
      <c r="M1308" s="11">
        <v>990</v>
      </c>
      <c r="N1308" s="12" t="s">
        <v>249</v>
      </c>
      <c r="O1308" s="6">
        <v>45939</v>
      </c>
      <c r="P1308" s="110">
        <v>3716</v>
      </c>
      <c r="Q1308" s="14" t="s">
        <v>85</v>
      </c>
      <c r="R1308" s="321">
        <v>80</v>
      </c>
      <c r="S1308" s="321">
        <v>832</v>
      </c>
      <c r="T1308" s="321">
        <f>DATA[[#This Row],[C. DF]]+DATA[[#This Row],[C.OPE.]]</f>
        <v>912</v>
      </c>
      <c r="U1308" s="15">
        <f>DATA[[#This Row],[SUB TOTAL]]*0.18</f>
        <v>164.16</v>
      </c>
      <c r="V1308" s="15">
        <f>IFERROR(ROUND(DATA[[#This Row],[SUB TOTAL]]+DATA[[#This Row],[IGV]],2),0)</f>
        <v>1076.1600000000001</v>
      </c>
      <c r="W1308" s="339" t="str">
        <f>IF(DATA[[#This Row],[VALORIZACIÓN ]]="-","NO CORRESPONDE",IF(OR(A1308=20558226979,A1308=10470707866,A1308=20111157058,A1308=20100226902),"NO CORRESPONDE",IF(J1308="Emitida",IF(P1308&gt;0,"EMITIDA","PENDIENTE"),"NO CORRESPONDE")))</f>
        <v>EMITIDA</v>
      </c>
      <c r="X1308" s="29"/>
      <c r="Y1308" s="17" t="s">
        <v>118</v>
      </c>
      <c r="Z1308" s="30">
        <v>45940</v>
      </c>
      <c r="AA1308" s="10" t="s">
        <v>150</v>
      </c>
      <c r="AB1308" s="19">
        <v>285</v>
      </c>
      <c r="AC1308" s="20">
        <v>30</v>
      </c>
      <c r="AD1308" s="18">
        <f>DATA[[#This Row],[FECHA DE EMISION]]+DATA[[#This Row],[CONDICION DE PAGO]]</f>
        <v>45970</v>
      </c>
      <c r="AE1308" s="23">
        <f>IF(DATA[[#This Row],[MONEDA]]="USD",VLOOKUP(DATA[[#This Row],[COMBINADA]],#REF!,11,0),1)</f>
        <v>1</v>
      </c>
      <c r="AF1308" s="129" t="str">
        <f>IF(DATA[[#This Row],[SERIE2]]="-","NO CORRESPONDE",IF(W1308="NO CORRESPONDE","NO CORRESPONDE",IF(Z1308&gt;0,"FACTURADO","PENDIENTE")))</f>
        <v>FACTURADO</v>
      </c>
      <c r="AG1308" s="133">
        <f>IFERROR(VLOOKUP(DATA[[#This Row],[COMBINADA]],#REF!,6,0),0)</f>
        <v>0</v>
      </c>
      <c r="AH1308" s="125">
        <f>IFERROR(VLOOKUP(DATA[[#This Row],[COMBINADA]],#REF!,9,0),0)/COUNTIFS(DATA[COMBINADA],DATA[[#This Row],[COMBINADA]])</f>
        <v>0</v>
      </c>
      <c r="AI1308" s="136">
        <f>IFERROR(VLOOKUP(DATA[[#This Row],[COMBINADA]],#REF!,6,0),0)</f>
        <v>0</v>
      </c>
      <c r="AJ1308" s="132">
        <f>IFERROR(VLOOKUP(DATA[[#This Row],[COMBINADA]],#REF!,9,0),0)/COUNTIFS(DATA[COMBINADA],DATA[[#This Row],[COMBINADA]])</f>
        <v>0</v>
      </c>
      <c r="AK1308" s="407">
        <f>IFERROR(VLOOKUP(DATA[[#This Row],[COMBINADA]],#REF!,6,0),0)</f>
        <v>0</v>
      </c>
      <c r="AL1308" s="125">
        <f>IFERROR(VLOOKUP(DATA[[#This Row],[COMBINADA]],#REF!,9,0),0)/COUNTIFS(DATA[COMBINADA],DATA[[#This Row],[COMBINADA]])</f>
        <v>0</v>
      </c>
      <c r="AM1308" s="27">
        <f>IFERROR(VLOOKUP(DATA[[#This Row],[COMBINADA]],#REF!,6,0),0)</f>
        <v>0</v>
      </c>
      <c r="AN1308" s="125">
        <f>IFERROR(VLOOKUP(DATA[[#This Row],[COMBINADA]],#REF!,9,0),0)/COUNTIFS(DATA[COMBINADA],DATA[[#This Row],[COMBINADA]])</f>
        <v>0</v>
      </c>
      <c r="AO1308" s="27">
        <f>IFERROR(VLOOKUP(DATA[[#This Row],[COMBINADA]],#REF!,6,0),0)</f>
        <v>0</v>
      </c>
      <c r="AP1308" s="132">
        <f>IFERROR(VLOOKUP(DATA[[#This Row],[COMBINADA]],#REF!,9,0),0)/COUNTIFS(DATA[COMBINADA],DATA[[#This Row],[COMBINADA]])</f>
        <v>0</v>
      </c>
      <c r="AQ130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1079.7</v>
      </c>
      <c r="AR1308" s="26" t="str">
        <f>IFERROR(IF(DATA[[#This Row],[estado_fact]]="FACTURADO",VLOOKUP(DATA[[#This Row],[SERIE2]]&amp;"-"&amp;DATA[[#This Row],[NUMERO]],#REF!,34,0),"NO CORRESPONDE"),"NO CORRESPONDE")</f>
        <v>NO CORRESPONDE</v>
      </c>
      <c r="AS1308" s="22" t="str">
        <f>IF(DATA[[#This Row],[fecha_fs]]&gt;0,TEXT(DATA[[#This Row],[fecha_fs]],"Mmmm"),0)</f>
        <v>Octubre</v>
      </c>
      <c r="AT1308" s="22" t="str">
        <f>DATA[[#This Row],[SERIE2]]&amp;"-"&amp;DATA[[#This Row],[NUMERO]]</f>
        <v>FF01-285</v>
      </c>
      <c r="AU1308" s="28">
        <f>DATA[[#This Row],[TOTAL]]*DATA[[#This Row],[T.C.]]</f>
        <v>1076.1600000000001</v>
      </c>
      <c r="AV1308" s="6">
        <f>DATA[[#This Row],[FECHA DE VAL.]]</f>
        <v>45939</v>
      </c>
      <c r="AW1308" s="6">
        <f>DATA[[#This Row],[FECHA DE EMISION]]</f>
        <v>45940</v>
      </c>
      <c r="AX1308" s="6">
        <f>DATA[[#This Row],[F1]]</f>
        <v>0</v>
      </c>
      <c r="AY1308" s="20">
        <f>IF(AV1308-DATA[[#This Row],[fecha_fs]]&lt;0,0,AV1308-DATA[[#This Row],[fecha_fs]])</f>
        <v>0</v>
      </c>
      <c r="AZ1308" s="20">
        <f t="shared" si="317"/>
        <v>1</v>
      </c>
      <c r="BA1308" s="53">
        <f t="shared" si="318"/>
        <v>0</v>
      </c>
      <c r="BB1308" s="360">
        <f>IFERROR(SUM(DATA[[#This Row],[fs_val_ttf]:[fact_pago_ttf]]),0)</f>
        <v>1</v>
      </c>
      <c r="BC1308" s="377">
        <v>45939</v>
      </c>
      <c r="BD1308" s="377">
        <v>45944</v>
      </c>
      <c r="BE1308" s="377">
        <v>45964</v>
      </c>
      <c r="BF1308" s="377">
        <v>45967</v>
      </c>
      <c r="BG1308" s="20">
        <f>IFERROR(IF(BC1308-DATA[[#This Row],[fecha_fs]]&lt;0,0,BC1308-DATA[[#This Row],[fecha_fs]]),0)</f>
        <v>0</v>
      </c>
      <c r="BH1308" s="20">
        <f t="shared" si="313"/>
        <v>5</v>
      </c>
      <c r="BI1308" s="20">
        <f t="shared" si="314"/>
        <v>20</v>
      </c>
      <c r="BJ1308" s="367">
        <f t="shared" si="315"/>
        <v>3</v>
      </c>
      <c r="BK1308" s="362">
        <f>IFERROR(SUM(DATA[[#This Row],[fs_fd_ttd]:[fend_fenf_ttd]]),0)</f>
        <v>28</v>
      </c>
      <c r="BL1308" s="20" t="str">
        <f>IF(DATA[[#This Row],[fecha_fs]]&gt;0,TEXT(DATA[[#This Row],[fecha_fs]],"YYYY"),0)</f>
        <v>2025</v>
      </c>
      <c r="BM1308" s="363" t="b">
        <v>1</v>
      </c>
      <c r="BN1308" s="278">
        <f>COUNTIF(DATA[[#This Row],[tiempo_td]], "&lt;=15")</f>
        <v>0</v>
      </c>
      <c r="BO1308" s="365"/>
    </row>
    <row r="1309" spans="1:67" ht="30.6" customHeight="1" x14ac:dyDescent="0.25">
      <c r="A1309" s="4">
        <v>20100055237</v>
      </c>
      <c r="B1309" s="5" t="s">
        <v>21</v>
      </c>
      <c r="C1309" s="52" t="s">
        <v>138</v>
      </c>
      <c r="D1309" s="4" t="s">
        <v>139</v>
      </c>
      <c r="E1309" s="5" t="s">
        <v>23</v>
      </c>
      <c r="F1309" s="24">
        <v>45939</v>
      </c>
      <c r="G1309" s="7" t="s">
        <v>113</v>
      </c>
      <c r="H1309" s="25">
        <f t="shared" si="316"/>
        <v>1</v>
      </c>
      <c r="I1309" s="331">
        <v>5098</v>
      </c>
      <c r="J1309" s="8" t="s">
        <v>115</v>
      </c>
      <c r="K1309" s="9" t="s">
        <v>121</v>
      </c>
      <c r="L1309" s="10" t="s">
        <v>117</v>
      </c>
      <c r="M1309" s="11">
        <v>90</v>
      </c>
      <c r="N1309" s="12" t="s">
        <v>167</v>
      </c>
      <c r="O1309" s="6">
        <v>45961</v>
      </c>
      <c r="P1309" s="54">
        <v>3772</v>
      </c>
      <c r="Q1309" s="14" t="s">
        <v>85</v>
      </c>
      <c r="R1309" s="401"/>
      <c r="S1309" s="401">
        <v>297.92</v>
      </c>
      <c r="T1309" s="321">
        <f>DATA[[#This Row],[C. DF]]+DATA[[#This Row],[C.OPE.]]</f>
        <v>297.92</v>
      </c>
      <c r="U1309" s="15">
        <f>DATA[[#This Row],[SUB TOTAL]]*0.18</f>
        <v>53.625599999999999</v>
      </c>
      <c r="V1309" s="15">
        <f>IFERROR(ROUND(DATA[[#This Row],[SUB TOTAL]]+DATA[[#This Row],[IGV]],2),0)</f>
        <v>351.55</v>
      </c>
      <c r="W1309" s="339" t="str">
        <f>IF(DATA[[#This Row],[VALORIZACIÓN ]]="-","NO CORRESPONDE",IF(OR(A1309=20558226979,A1309=10470707866,A1309=20111157058,A1309=20100226902),"NO CORRESPONDE",IF(J1309="Emitida",IF(P1309&gt;0,"EMITIDA","PENDIENTE"),"NO CORRESPONDE")))</f>
        <v>EMITIDA</v>
      </c>
      <c r="X1309" s="29"/>
      <c r="Y1309" s="17" t="s">
        <v>232</v>
      </c>
      <c r="Z1309" s="30"/>
      <c r="AA1309" s="10"/>
      <c r="AB1309" s="19"/>
      <c r="AC1309" s="20"/>
      <c r="AD1309" s="18">
        <f>DATA[[#This Row],[FECHA DE EMISION]]+DATA[[#This Row],[CONDICION DE PAGO]]</f>
        <v>0</v>
      </c>
      <c r="AE1309" s="23">
        <f>IF(DATA[[#This Row],[MONEDA]]="USD",VLOOKUP(DATA[[#This Row],[COMBINADA]],#REF!,11,0),1)</f>
        <v>1</v>
      </c>
      <c r="AF1309" s="129" t="str">
        <f>IF(DATA[[#This Row],[SERIE2]]="-","NO CORRESPONDE",IF(W1309="NO CORRESPONDE","NO CORRESPONDE",IF(Z1309&gt;0,"FACTURADO","PENDIENTE")))</f>
        <v>PENDIENTE</v>
      </c>
      <c r="AG1309" s="133">
        <f>IFERROR(VLOOKUP(DATA[[#This Row],[COMBINADA]],#REF!,6,0),0)</f>
        <v>0</v>
      </c>
      <c r="AH1309" s="125">
        <f>IFERROR(VLOOKUP(DATA[[#This Row],[COMBINADA]],#REF!,9,0),0)/COUNTIFS(DATA[COMBINADA],DATA[[#This Row],[COMBINADA]])</f>
        <v>0</v>
      </c>
      <c r="AI1309" s="136">
        <f>IFERROR(VLOOKUP(DATA[[#This Row],[COMBINADA]],#REF!,6,0),0)</f>
        <v>0</v>
      </c>
      <c r="AJ1309" s="132">
        <f>IFERROR(VLOOKUP(DATA[[#This Row],[COMBINADA]],#REF!,9,0),0)/COUNTIFS(DATA[COMBINADA],DATA[[#This Row],[COMBINADA]])</f>
        <v>0</v>
      </c>
      <c r="AK1309" s="407">
        <f>IFERROR(VLOOKUP(DATA[[#This Row],[COMBINADA]],#REF!,6,0),0)</f>
        <v>0</v>
      </c>
      <c r="AL1309" s="125">
        <f>IFERROR(VLOOKUP(DATA[[#This Row],[COMBINADA]],#REF!,9,0),0)/COUNTIFS(DATA[COMBINADA],DATA[[#This Row],[COMBINADA]])</f>
        <v>0</v>
      </c>
      <c r="AM1309" s="27">
        <f>IFERROR(VLOOKUP(DATA[[#This Row],[COMBINADA]],#REF!,6,0),0)</f>
        <v>0</v>
      </c>
      <c r="AN1309" s="125">
        <f>IFERROR(VLOOKUP(DATA[[#This Row],[COMBINADA]],#REF!,9,0),0)/COUNTIFS(DATA[COMBINADA],DATA[[#This Row],[COMBINADA]])</f>
        <v>0</v>
      </c>
      <c r="AO1309" s="27">
        <f>IFERROR(VLOOKUP(DATA[[#This Row],[COMBINADA]],#REF!,6,0),0)</f>
        <v>0</v>
      </c>
      <c r="AP1309" s="132">
        <f>IFERROR(VLOOKUP(DATA[[#This Row],[COMBINADA]],#REF!,9,0),0)/COUNTIFS(DATA[COMBINADA],DATA[[#This Row],[COMBINADA]])</f>
        <v>0</v>
      </c>
      <c r="AQ130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09" s="26" t="str">
        <f>IFERROR(IF(DATA[[#This Row],[estado_fact]]="FACTURADO",VLOOKUP(DATA[[#This Row],[SERIE2]]&amp;"-"&amp;DATA[[#This Row],[NUMERO]],#REF!,34,0),"NO CORRESPONDE"),"NO CORRESPONDE")</f>
        <v>NO CORRESPONDE</v>
      </c>
      <c r="AS1309" s="22" t="str">
        <f>IF(DATA[[#This Row],[fecha_fs]]&gt;0,TEXT(DATA[[#This Row],[fecha_fs]],"Mmmm"),0)</f>
        <v>Octubre</v>
      </c>
      <c r="AT1309" s="22" t="str">
        <f>DATA[[#This Row],[SERIE2]]&amp;"-"&amp;DATA[[#This Row],[NUMERO]]</f>
        <v>-</v>
      </c>
      <c r="AU1309" s="28">
        <f>DATA[[#This Row],[TOTAL]]*DATA[[#This Row],[T.C.]]</f>
        <v>351.55</v>
      </c>
      <c r="AV1309" s="6">
        <f>DATA[[#This Row],[FECHA DE VAL.]]</f>
        <v>45961</v>
      </c>
      <c r="AW1309" s="6">
        <f>DATA[[#This Row],[FECHA DE EMISION]]</f>
        <v>0</v>
      </c>
      <c r="AX1309" s="6">
        <f>DATA[[#This Row],[F1]]</f>
        <v>0</v>
      </c>
      <c r="AY1309" s="20">
        <f>IF(AV1309-DATA[[#This Row],[fecha_fs]]&lt;0,0,AV1309-DATA[[#This Row],[fecha_fs]])</f>
        <v>22</v>
      </c>
      <c r="AZ1309" s="20">
        <f t="shared" si="317"/>
        <v>0</v>
      </c>
      <c r="BA1309" s="53">
        <f t="shared" si="318"/>
        <v>0</v>
      </c>
      <c r="BB1309" s="360">
        <f>IFERROR(SUM(DATA[[#This Row],[fs_val_ttf]:[fact_pago_ttf]]),0)</f>
        <v>22</v>
      </c>
      <c r="BC1309" s="377">
        <v>45939</v>
      </c>
      <c r="BD1309" s="377">
        <v>45939</v>
      </c>
      <c r="BE1309" s="377">
        <v>45966</v>
      </c>
      <c r="BF1309" s="377">
        <v>45966</v>
      </c>
      <c r="BG1309" s="20">
        <f>IFERROR(IF(BC1309-DATA[[#This Row],[fecha_fs]]&lt;0,0,BC1309-DATA[[#This Row],[fecha_fs]]),0)</f>
        <v>0</v>
      </c>
      <c r="BH1309" s="20">
        <f t="shared" si="313"/>
        <v>0</v>
      </c>
      <c r="BI1309" s="20">
        <f t="shared" si="314"/>
        <v>27</v>
      </c>
      <c r="BJ1309" s="367">
        <f t="shared" si="315"/>
        <v>0</v>
      </c>
      <c r="BK1309" s="362">
        <f>IFERROR(SUM(DATA[[#This Row],[fs_fd_ttd]:[fend_fenf_ttd]]),0)</f>
        <v>27</v>
      </c>
      <c r="BL1309" s="20" t="str">
        <f>IF(DATA[[#This Row],[fecha_fs]]&gt;0,TEXT(DATA[[#This Row],[fecha_fs]],"YYYY"),0)</f>
        <v>2025</v>
      </c>
      <c r="BM1309" s="363" t="b">
        <v>1</v>
      </c>
      <c r="BN1309" s="278">
        <f>COUNTIF(DATA[[#This Row],[tiempo_td]], "&lt;=15")</f>
        <v>0</v>
      </c>
      <c r="BO1309" s="365"/>
    </row>
    <row r="1310" spans="1:67" ht="30.6" customHeight="1" x14ac:dyDescent="0.25">
      <c r="A1310" s="4">
        <v>20100192064</v>
      </c>
      <c r="B1310" s="5" t="s">
        <v>60</v>
      </c>
      <c r="C1310" s="52" t="s">
        <v>59</v>
      </c>
      <c r="D1310" s="4" t="s">
        <v>112</v>
      </c>
      <c r="E1310" s="5" t="s">
        <v>1</v>
      </c>
      <c r="F1310" s="24">
        <v>45939</v>
      </c>
      <c r="G1310" s="7" t="s">
        <v>113</v>
      </c>
      <c r="H1310" s="25">
        <f t="shared" si="316"/>
        <v>1</v>
      </c>
      <c r="I1310" s="331">
        <v>5099</v>
      </c>
      <c r="J1310" s="8" t="s">
        <v>115</v>
      </c>
      <c r="K1310" s="9" t="s">
        <v>116</v>
      </c>
      <c r="L1310" s="10" t="s">
        <v>117</v>
      </c>
      <c r="M1310" s="11">
        <v>970</v>
      </c>
      <c r="N1310" s="12" t="s">
        <v>249</v>
      </c>
      <c r="O1310" s="6">
        <v>45957</v>
      </c>
      <c r="P1310" s="71">
        <v>3757</v>
      </c>
      <c r="Q1310" s="14" t="s">
        <v>123</v>
      </c>
      <c r="R1310" s="401">
        <f>(DATA[[#This Row],[cantidad_fs]]/1000)*(143+169.83)</f>
        <v>303.44510000000002</v>
      </c>
      <c r="S1310" s="401">
        <v>67</v>
      </c>
      <c r="T1310" s="321">
        <f>DATA[[#This Row],[C. DF]]+DATA[[#This Row],[C.OPE.]]</f>
        <v>370.44510000000002</v>
      </c>
      <c r="U1310" s="15">
        <f>DATA[[#This Row],[SUB TOTAL]]*0.18</f>
        <v>66.680118000000007</v>
      </c>
      <c r="V1310" s="15">
        <f>IFERROR(ROUND(DATA[[#This Row],[SUB TOTAL]]+DATA[[#This Row],[IGV]],2),0)</f>
        <v>437.13</v>
      </c>
      <c r="W1310" s="339" t="str">
        <f>IF(DATA[[#This Row],[VALORIZACIÓN ]]="-","NO CORRESPONDE",IF(OR(A1310=20558226979,A1310=10470707866,A1310=20111157058,A1310=20100226902),"NO CORRESPONDE",IF(J1310="Emitida",IF(P1310&gt;0,"EMITIDA","PENDIENTE"),"NO CORRESPONDE")))</f>
        <v>EMITIDA</v>
      </c>
      <c r="X1310" s="29" t="s">
        <v>375</v>
      </c>
      <c r="Y1310" s="17" t="s">
        <v>118</v>
      </c>
      <c r="Z1310" s="30">
        <v>45961</v>
      </c>
      <c r="AA1310" s="10" t="s">
        <v>150</v>
      </c>
      <c r="AB1310" s="19">
        <v>318</v>
      </c>
      <c r="AC1310" s="20">
        <v>30</v>
      </c>
      <c r="AD1310" s="18">
        <f>DATA[[#This Row],[FECHA DE EMISION]]+DATA[[#This Row],[CONDICION DE PAGO]]</f>
        <v>45991</v>
      </c>
      <c r="AE1310" s="23" t="e">
        <f>IF(DATA[[#This Row],[MONEDA]]="USD",VLOOKUP(DATA[[#This Row],[COMBINADA]],#REF!,11,0),1)</f>
        <v>#REF!</v>
      </c>
      <c r="AF1310" s="129" t="str">
        <f>IF(DATA[[#This Row],[SERIE2]]="-","NO CORRESPONDE",IF(W1310="NO CORRESPONDE","NO CORRESPONDE",IF(Z1310&gt;0,"FACTURADO","PENDIENTE")))</f>
        <v>FACTURADO</v>
      </c>
      <c r="AG1310" s="133">
        <f>IFERROR(VLOOKUP(DATA[[#This Row],[COMBINADA]],#REF!,6,0),0)</f>
        <v>0</v>
      </c>
      <c r="AH1310" s="125">
        <f>IFERROR(VLOOKUP(DATA[[#This Row],[COMBINADA]],#REF!,9,0),0)/COUNTIFS(DATA[COMBINADA],DATA[[#This Row],[COMBINADA]])</f>
        <v>0</v>
      </c>
      <c r="AI1310" s="136">
        <f>IFERROR(VLOOKUP(DATA[[#This Row],[COMBINADA]],#REF!,6,0),0)</f>
        <v>0</v>
      </c>
      <c r="AJ1310" s="132">
        <f>IFERROR(VLOOKUP(DATA[[#This Row],[COMBINADA]],#REF!,9,0),0)/COUNTIFS(DATA[COMBINADA],DATA[[#This Row],[COMBINADA]])</f>
        <v>0</v>
      </c>
      <c r="AK1310" s="407">
        <f>IFERROR(VLOOKUP(DATA[[#This Row],[COMBINADA]],#REF!,6,0),0)</f>
        <v>0</v>
      </c>
      <c r="AL1310" s="125">
        <f>IFERROR(VLOOKUP(DATA[[#This Row],[COMBINADA]],#REF!,9,0),0)/COUNTIFS(DATA[COMBINADA],DATA[[#This Row],[COMBINADA]])</f>
        <v>0</v>
      </c>
      <c r="AM1310" s="27">
        <f>IFERROR(VLOOKUP(DATA[[#This Row],[COMBINADA]],#REF!,6,0),0)</f>
        <v>0</v>
      </c>
      <c r="AN1310" s="125">
        <f>IFERROR(VLOOKUP(DATA[[#This Row],[COMBINADA]],#REF!,9,0),0)/COUNTIFS(DATA[COMBINADA],DATA[[#This Row],[COMBINADA]])</f>
        <v>0</v>
      </c>
      <c r="AO1310" s="27">
        <f>IFERROR(VLOOKUP(DATA[[#This Row],[COMBINADA]],#REF!,6,0),0)</f>
        <v>0</v>
      </c>
      <c r="AP1310" s="132">
        <f>IFERROR(VLOOKUP(DATA[[#This Row],[COMBINADA]],#REF!,9,0),0)/COUNTIFS(DATA[COMBINADA],DATA[[#This Row],[COMBINADA]])</f>
        <v>0</v>
      </c>
      <c r="AQ131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492.32615384615383</v>
      </c>
      <c r="AR1310" s="26" t="str">
        <f>IFERROR(IF(DATA[[#This Row],[estado_fact]]="FACTURADO",VLOOKUP(DATA[[#This Row],[SERIE2]]&amp;"-"&amp;DATA[[#This Row],[NUMERO]],#REF!,34,0),"NO CORRESPONDE"),"NO CORRESPONDE")</f>
        <v>NO CORRESPONDE</v>
      </c>
      <c r="AS1310" s="22" t="str">
        <f>IF(DATA[[#This Row],[fecha_fs]]&gt;0,TEXT(DATA[[#This Row],[fecha_fs]],"Mmmm"),0)</f>
        <v>Octubre</v>
      </c>
      <c r="AT1310" s="22" t="str">
        <f>DATA[[#This Row],[SERIE2]]&amp;"-"&amp;DATA[[#This Row],[NUMERO]]</f>
        <v>FF01-318</v>
      </c>
      <c r="AU1310" s="28" t="e">
        <f>DATA[[#This Row],[TOTAL]]*DATA[[#This Row],[T.C.]]</f>
        <v>#REF!</v>
      </c>
      <c r="AV1310" s="6">
        <f>DATA[[#This Row],[FECHA DE VAL.]]</f>
        <v>45957</v>
      </c>
      <c r="AW1310" s="6">
        <f>DATA[[#This Row],[FECHA DE EMISION]]</f>
        <v>45961</v>
      </c>
      <c r="AX1310" s="6">
        <f>DATA[[#This Row],[F1]]</f>
        <v>0</v>
      </c>
      <c r="AY1310" s="20">
        <f>IF(AV1310-DATA[[#This Row],[fecha_fs]]&lt;0,0,AV1310-DATA[[#This Row],[fecha_fs]])</f>
        <v>18</v>
      </c>
      <c r="AZ1310" s="20">
        <f t="shared" si="317"/>
        <v>4</v>
      </c>
      <c r="BA1310" s="53">
        <f t="shared" si="318"/>
        <v>0</v>
      </c>
      <c r="BB1310" s="360">
        <f>IFERROR(SUM(DATA[[#This Row],[fs_val_ttf]:[fact_pago_ttf]]),0)</f>
        <v>22</v>
      </c>
      <c r="BC1310" s="377">
        <v>45945</v>
      </c>
      <c r="BD1310" s="377">
        <v>45952</v>
      </c>
      <c r="BE1310" s="377">
        <v>45958</v>
      </c>
      <c r="BF1310" s="361" t="s">
        <v>270</v>
      </c>
      <c r="BG1310" s="20">
        <f>IFERROR(IF(BC1310-DATA[[#This Row],[fecha_fs]]&lt;0,0,BC1310-DATA[[#This Row],[fecha_fs]]),0)</f>
        <v>6</v>
      </c>
      <c r="BH1310" s="20">
        <f t="shared" si="313"/>
        <v>7</v>
      </c>
      <c r="BI1310" s="20">
        <f t="shared" si="314"/>
        <v>6</v>
      </c>
      <c r="BJ1310" s="367">
        <f t="shared" si="315"/>
        <v>0</v>
      </c>
      <c r="BK1310" s="362">
        <f>IFERROR(SUM(DATA[[#This Row],[fs_fd_ttd]:[fend_fenf_ttd]]),0)</f>
        <v>19</v>
      </c>
      <c r="BL1310" s="20" t="str">
        <f>IF(DATA[[#This Row],[fecha_fs]]&gt;0,TEXT(DATA[[#This Row],[fecha_fs]],"YYYY"),0)</f>
        <v>2025</v>
      </c>
      <c r="BM1310" s="363" t="b">
        <v>0</v>
      </c>
      <c r="BN1310" s="278">
        <f>COUNTIF(DATA[[#This Row],[tiempo_td]], "&lt;=15")</f>
        <v>0</v>
      </c>
      <c r="BO1310" s="365"/>
    </row>
    <row r="1311" spans="1:67" ht="30.6" customHeight="1" x14ac:dyDescent="0.25">
      <c r="A1311" s="4">
        <v>20100192064</v>
      </c>
      <c r="B1311" s="5" t="s">
        <v>60</v>
      </c>
      <c r="C1311" s="52" t="s">
        <v>59</v>
      </c>
      <c r="D1311" s="4" t="s">
        <v>120</v>
      </c>
      <c r="E1311" s="5" t="s">
        <v>3</v>
      </c>
      <c r="F1311" s="24">
        <v>45939</v>
      </c>
      <c r="G1311" s="7" t="s">
        <v>113</v>
      </c>
      <c r="H1311" s="25">
        <f t="shared" ref="H1311:H1353" si="322">IF(G1311="","",IF(G1311="LIM",2,1))</f>
        <v>1</v>
      </c>
      <c r="I1311" s="331">
        <v>5100</v>
      </c>
      <c r="J1311" s="8" t="s">
        <v>115</v>
      </c>
      <c r="K1311" s="9" t="s">
        <v>121</v>
      </c>
      <c r="L1311" s="10" t="s">
        <v>117</v>
      </c>
      <c r="M1311" s="11">
        <v>330</v>
      </c>
      <c r="N1311" s="12" t="s">
        <v>167</v>
      </c>
      <c r="O1311" s="6">
        <v>45957</v>
      </c>
      <c r="P1311" s="71">
        <v>3756</v>
      </c>
      <c r="Q1311" s="402" t="s">
        <v>123</v>
      </c>
      <c r="R1311" s="401">
        <f>(DATA[[#This Row],[cantidad_fs]]/1000)*(47+169.83)</f>
        <v>71.553900000000013</v>
      </c>
      <c r="S1311" s="401">
        <v>67</v>
      </c>
      <c r="T1311" s="321">
        <f>DATA[[#This Row],[C. DF]]+DATA[[#This Row],[C.OPE.]]</f>
        <v>138.5539</v>
      </c>
      <c r="U1311" s="15">
        <f>DATA[[#This Row],[SUB TOTAL]]*0.18</f>
        <v>24.939702</v>
      </c>
      <c r="V1311" s="15">
        <f>IFERROR(ROUND(DATA[[#This Row],[SUB TOTAL]]+DATA[[#This Row],[IGV]],2),0)</f>
        <v>163.49</v>
      </c>
      <c r="W1311" s="339" t="str">
        <f>IF(DATA[[#This Row],[VALORIZACIÓN ]]="-","NO CORRESPONDE",IF(OR(A1311=20558226979,A1311=10470707866,A1311=20111157058,A1311=20100226902),"NO CORRESPONDE",IF(J1311="Emitida",IF(P1311&gt;0,"EMITIDA","PENDIENTE"),"NO CORRESPONDE")))</f>
        <v>EMITIDA</v>
      </c>
      <c r="X1311" s="29" t="s">
        <v>375</v>
      </c>
      <c r="Y1311" s="17" t="s">
        <v>118</v>
      </c>
      <c r="Z1311" s="30">
        <v>45961</v>
      </c>
      <c r="AA1311" s="10" t="s">
        <v>150</v>
      </c>
      <c r="AB1311" s="19">
        <v>318</v>
      </c>
      <c r="AC1311" s="20">
        <v>30</v>
      </c>
      <c r="AD1311" s="18">
        <f>DATA[[#This Row],[FECHA DE EMISION]]+DATA[[#This Row],[CONDICION DE PAGO]]</f>
        <v>45991</v>
      </c>
      <c r="AE1311" s="23" t="e">
        <f>IF(DATA[[#This Row],[MONEDA]]="USD",VLOOKUP(DATA[[#This Row],[COMBINADA]],#REF!,11,0),1)</f>
        <v>#REF!</v>
      </c>
      <c r="AF1311" s="129" t="str">
        <f>IF(DATA[[#This Row],[SERIE2]]="-","NO CORRESPONDE",IF(W1311="NO CORRESPONDE","NO CORRESPONDE",IF(Z1311&gt;0,"FACTURADO","PENDIENTE")))</f>
        <v>FACTURADO</v>
      </c>
      <c r="AG1311" s="133">
        <f>IFERROR(VLOOKUP(DATA[[#This Row],[COMBINADA]],#REF!,6,0),0)</f>
        <v>0</v>
      </c>
      <c r="AH1311" s="125">
        <f>IFERROR(VLOOKUP(DATA[[#This Row],[COMBINADA]],#REF!,9,0),0)/COUNTIFS(DATA[COMBINADA],DATA[[#This Row],[COMBINADA]])</f>
        <v>0</v>
      </c>
      <c r="AI1311" s="136">
        <f>IFERROR(VLOOKUP(DATA[[#This Row],[COMBINADA]],#REF!,6,0),0)</f>
        <v>0</v>
      </c>
      <c r="AJ1311" s="132">
        <f>IFERROR(VLOOKUP(DATA[[#This Row],[COMBINADA]],#REF!,9,0),0)/COUNTIFS(DATA[COMBINADA],DATA[[#This Row],[COMBINADA]])</f>
        <v>0</v>
      </c>
      <c r="AK1311" s="407">
        <f>IFERROR(VLOOKUP(DATA[[#This Row],[COMBINADA]],#REF!,6,0),0)</f>
        <v>0</v>
      </c>
      <c r="AL1311" s="125">
        <f>IFERROR(VLOOKUP(DATA[[#This Row],[COMBINADA]],#REF!,9,0),0)/COUNTIFS(DATA[COMBINADA],DATA[[#This Row],[COMBINADA]])</f>
        <v>0</v>
      </c>
      <c r="AM1311" s="27">
        <f>IFERROR(VLOOKUP(DATA[[#This Row],[COMBINADA]],#REF!,6,0),0)</f>
        <v>0</v>
      </c>
      <c r="AN1311" s="125">
        <f>IFERROR(VLOOKUP(DATA[[#This Row],[COMBINADA]],#REF!,9,0),0)/COUNTIFS(DATA[COMBINADA],DATA[[#This Row],[COMBINADA]])</f>
        <v>0</v>
      </c>
      <c r="AO1311" s="27">
        <f>IFERROR(VLOOKUP(DATA[[#This Row],[COMBINADA]],#REF!,6,0),0)</f>
        <v>0</v>
      </c>
      <c r="AP1311" s="132">
        <f>IFERROR(VLOOKUP(DATA[[#This Row],[COMBINADA]],#REF!,9,0),0)/COUNTIFS(DATA[COMBINADA],DATA[[#This Row],[COMBINADA]])</f>
        <v>0</v>
      </c>
      <c r="AQ131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492.32615384615383</v>
      </c>
      <c r="AR1311" s="26" t="str">
        <f>IFERROR(IF(DATA[[#This Row],[estado_fact]]="FACTURADO",VLOOKUP(DATA[[#This Row],[SERIE2]]&amp;"-"&amp;DATA[[#This Row],[NUMERO]],#REF!,34,0),"NO CORRESPONDE"),"NO CORRESPONDE")</f>
        <v>NO CORRESPONDE</v>
      </c>
      <c r="AS1311" s="22" t="str">
        <f>IF(DATA[[#This Row],[fecha_fs]]&gt;0,TEXT(DATA[[#This Row],[fecha_fs]],"Mmmm"),0)</f>
        <v>Octubre</v>
      </c>
      <c r="AT1311" s="22" t="str">
        <f>DATA[[#This Row],[SERIE2]]&amp;"-"&amp;DATA[[#This Row],[NUMERO]]</f>
        <v>FF01-318</v>
      </c>
      <c r="AU1311" s="28" t="e">
        <f>DATA[[#This Row],[TOTAL]]*DATA[[#This Row],[T.C.]]</f>
        <v>#REF!</v>
      </c>
      <c r="AV1311" s="6">
        <f>DATA[[#This Row],[FECHA DE VAL.]]</f>
        <v>45957</v>
      </c>
      <c r="AW1311" s="6">
        <f>DATA[[#This Row],[FECHA DE EMISION]]</f>
        <v>45961</v>
      </c>
      <c r="AX1311" s="6">
        <f>DATA[[#This Row],[F1]]</f>
        <v>0</v>
      </c>
      <c r="AY1311" s="20">
        <f>IF(AV1311-DATA[[#This Row],[fecha_fs]]&lt;0,0,AV1311-DATA[[#This Row],[fecha_fs]])</f>
        <v>18</v>
      </c>
      <c r="AZ1311" s="20">
        <f t="shared" ref="AZ1311:AZ1353" si="323">IF(AW1311-AV1311&lt;0,0,AW1311-AV1311)</f>
        <v>4</v>
      </c>
      <c r="BA1311" s="53">
        <f t="shared" ref="BA1311:BA1353" si="324">IF(AX1311-AW1311&lt;0,0,AX1311-AW1311)</f>
        <v>0</v>
      </c>
      <c r="BB1311" s="360">
        <f>IFERROR(SUM(DATA[[#This Row],[fs_val_ttf]:[fact_pago_ttf]]),0)</f>
        <v>22</v>
      </c>
      <c r="BC1311" s="377">
        <v>45939</v>
      </c>
      <c r="BD1311" s="377">
        <v>45944</v>
      </c>
      <c r="BE1311" s="377">
        <v>45966</v>
      </c>
      <c r="BF1311" s="361" t="s">
        <v>270</v>
      </c>
      <c r="BG1311" s="20">
        <f>IFERROR(IF(BC1311-DATA[[#This Row],[fecha_fs]]&lt;0,0,BC1311-DATA[[#This Row],[fecha_fs]]),0)</f>
        <v>0</v>
      </c>
      <c r="BH1311" s="20">
        <f t="shared" ref="BH1311:BH1353" si="325">IFERROR(IF(BD1311-BC1311&lt;0,0,BD1311-BC1311),0)</f>
        <v>5</v>
      </c>
      <c r="BI1311" s="20">
        <f t="shared" ref="BI1311:BI1353" si="326">IFERROR(IF(BE1311-BD1311&lt;0,0,BE1311-BD1311),0)</f>
        <v>22</v>
      </c>
      <c r="BJ1311" s="367">
        <f t="shared" ref="BJ1311:BJ1353" si="327">IFERROR(IF(BF1311-BE1311&lt;0,0,BF1311-BE1311),0)</f>
        <v>0</v>
      </c>
      <c r="BK1311" s="362">
        <f>IFERROR(SUM(DATA[[#This Row],[fs_fd_ttd]:[fend_fenf_ttd]]),0)</f>
        <v>27</v>
      </c>
      <c r="BL1311" s="20" t="str">
        <f>IF(DATA[[#This Row],[fecha_fs]]&gt;0,TEXT(DATA[[#This Row],[fecha_fs]],"YYYY"),0)</f>
        <v>2025</v>
      </c>
      <c r="BM1311" s="363" t="b">
        <v>0</v>
      </c>
      <c r="BN1311" s="278">
        <f>COUNTIF(DATA[[#This Row],[tiempo_td]], "&lt;=15")</f>
        <v>0</v>
      </c>
      <c r="BO1311" s="365"/>
    </row>
    <row r="1312" spans="1:67" ht="30.6" customHeight="1" x14ac:dyDescent="0.25">
      <c r="A1312" s="4">
        <v>20141637941</v>
      </c>
      <c r="B1312" s="5" t="s">
        <v>79</v>
      </c>
      <c r="C1312" s="52" t="s">
        <v>18</v>
      </c>
      <c r="D1312" s="4" t="s">
        <v>120</v>
      </c>
      <c r="E1312" s="5" t="s">
        <v>3</v>
      </c>
      <c r="F1312" s="24">
        <v>45940</v>
      </c>
      <c r="G1312" s="7" t="s">
        <v>113</v>
      </c>
      <c r="H1312" s="25">
        <f t="shared" si="322"/>
        <v>1</v>
      </c>
      <c r="I1312" s="331">
        <v>5101</v>
      </c>
      <c r="J1312" s="8" t="s">
        <v>115</v>
      </c>
      <c r="K1312" s="9" t="s">
        <v>121</v>
      </c>
      <c r="L1312" s="10" t="s">
        <v>117</v>
      </c>
      <c r="M1312" s="11">
        <v>860</v>
      </c>
      <c r="N1312" s="12" t="s">
        <v>249</v>
      </c>
      <c r="O1312" s="6">
        <v>45946</v>
      </c>
      <c r="P1312" s="110">
        <v>3724</v>
      </c>
      <c r="Q1312" s="14" t="s">
        <v>85</v>
      </c>
      <c r="R1312" s="401">
        <v>80</v>
      </c>
      <c r="S1312" s="401">
        <v>832</v>
      </c>
      <c r="T1312" s="321">
        <f>DATA[[#This Row],[C. DF]]+DATA[[#This Row],[C.OPE.]]</f>
        <v>912</v>
      </c>
      <c r="U1312" s="15">
        <f>DATA[[#This Row],[SUB TOTAL]]*0.18</f>
        <v>164.16</v>
      </c>
      <c r="V1312" s="15">
        <f>IFERROR(ROUND(DATA[[#This Row],[SUB TOTAL]]+DATA[[#This Row],[IGV]],2),0)</f>
        <v>1076.1600000000001</v>
      </c>
      <c r="W1312" s="339" t="str">
        <f>IF(DATA[[#This Row],[VALORIZACIÓN ]]="-","NO CORRESPONDE",IF(OR(A1312=20558226979,A1312=10470707866,A1312=20111157058,A1312=20100226902),"NO CORRESPONDE",IF(J1312="Emitida",IF(P1312&gt;0,"EMITIDA","PENDIENTE"),"NO CORRESPONDE")))</f>
        <v>EMITIDA</v>
      </c>
      <c r="X1312" s="29"/>
      <c r="Y1312" s="17" t="s">
        <v>118</v>
      </c>
      <c r="Z1312" s="30">
        <v>45946</v>
      </c>
      <c r="AA1312" s="10" t="s">
        <v>150</v>
      </c>
      <c r="AB1312" s="19">
        <v>294</v>
      </c>
      <c r="AC1312" s="20">
        <v>30</v>
      </c>
      <c r="AD1312" s="18">
        <f>DATA[[#This Row],[FECHA DE EMISION]]+DATA[[#This Row],[CONDICION DE PAGO]]</f>
        <v>45976</v>
      </c>
      <c r="AE1312" s="23">
        <f>IF(DATA[[#This Row],[MONEDA]]="USD",VLOOKUP(DATA[[#This Row],[COMBINADA]],#REF!,11,0),1)</f>
        <v>1</v>
      </c>
      <c r="AF1312" s="129" t="str">
        <f>IF(DATA[[#This Row],[SERIE2]]="-","NO CORRESPONDE",IF(W1312="NO CORRESPONDE","NO CORRESPONDE",IF(Z1312&gt;0,"FACTURADO","PENDIENTE")))</f>
        <v>FACTURADO</v>
      </c>
      <c r="AG1312" s="133">
        <f>IFERROR(VLOOKUP(DATA[[#This Row],[COMBINADA]],#REF!,6,0),0)</f>
        <v>0</v>
      </c>
      <c r="AH1312" s="125">
        <f>IFERROR(VLOOKUP(DATA[[#This Row],[COMBINADA]],#REF!,9,0),0)/COUNTIFS(DATA[COMBINADA],DATA[[#This Row],[COMBINADA]])</f>
        <v>0</v>
      </c>
      <c r="AI1312" s="136">
        <f>IFERROR(VLOOKUP(DATA[[#This Row],[COMBINADA]],#REF!,6,0),0)</f>
        <v>0</v>
      </c>
      <c r="AJ1312" s="132">
        <f>IFERROR(VLOOKUP(DATA[[#This Row],[COMBINADA]],#REF!,9,0),0)/COUNTIFS(DATA[COMBINADA],DATA[[#This Row],[COMBINADA]])</f>
        <v>0</v>
      </c>
      <c r="AK1312" s="407">
        <f>IFERROR(VLOOKUP(DATA[[#This Row],[COMBINADA]],#REF!,6,0),0)</f>
        <v>0</v>
      </c>
      <c r="AL1312" s="125">
        <f>IFERROR(VLOOKUP(DATA[[#This Row],[COMBINADA]],#REF!,9,0),0)/COUNTIFS(DATA[COMBINADA],DATA[[#This Row],[COMBINADA]])</f>
        <v>0</v>
      </c>
      <c r="AM1312" s="27">
        <f>IFERROR(VLOOKUP(DATA[[#This Row],[COMBINADA]],#REF!,6,0),0)</f>
        <v>0</v>
      </c>
      <c r="AN1312" s="125">
        <f>IFERROR(VLOOKUP(DATA[[#This Row],[COMBINADA]],#REF!,9,0),0)/COUNTIFS(DATA[COMBINADA],DATA[[#This Row],[COMBINADA]])</f>
        <v>0</v>
      </c>
      <c r="AO1312" s="27">
        <f>IFERROR(VLOOKUP(DATA[[#This Row],[COMBINADA]],#REF!,6,0),0)</f>
        <v>0</v>
      </c>
      <c r="AP1312" s="132">
        <f>IFERROR(VLOOKUP(DATA[[#This Row],[COMBINADA]],#REF!,9,0),0)/COUNTIFS(DATA[COMBINADA],DATA[[#This Row],[COMBINADA]])</f>
        <v>0</v>
      </c>
      <c r="AQ131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1077.8125</v>
      </c>
      <c r="AR1312" s="26" t="str">
        <f>IFERROR(IF(DATA[[#This Row],[estado_fact]]="FACTURADO",VLOOKUP(DATA[[#This Row],[SERIE2]]&amp;"-"&amp;DATA[[#This Row],[NUMERO]],#REF!,34,0),"NO CORRESPONDE"),"NO CORRESPONDE")</f>
        <v>NO CORRESPONDE</v>
      </c>
      <c r="AS1312" s="22" t="str">
        <f>IF(DATA[[#This Row],[fecha_fs]]&gt;0,TEXT(DATA[[#This Row],[fecha_fs]],"Mmmm"),0)</f>
        <v>Octubre</v>
      </c>
      <c r="AT1312" s="22" t="str">
        <f>DATA[[#This Row],[SERIE2]]&amp;"-"&amp;DATA[[#This Row],[NUMERO]]</f>
        <v>FF01-294</v>
      </c>
      <c r="AU1312" s="28">
        <f>DATA[[#This Row],[TOTAL]]*DATA[[#This Row],[T.C.]]</f>
        <v>1076.1600000000001</v>
      </c>
      <c r="AV1312" s="6">
        <f>DATA[[#This Row],[FECHA DE VAL.]]</f>
        <v>45946</v>
      </c>
      <c r="AW1312" s="6">
        <f>DATA[[#This Row],[FECHA DE EMISION]]</f>
        <v>45946</v>
      </c>
      <c r="AX1312" s="6">
        <f>DATA[[#This Row],[F1]]</f>
        <v>0</v>
      </c>
      <c r="AY1312" s="20">
        <f>IF(AV1312-DATA[[#This Row],[fecha_fs]]&lt;0,0,AV1312-DATA[[#This Row],[fecha_fs]])</f>
        <v>6</v>
      </c>
      <c r="AZ1312" s="20">
        <f t="shared" si="323"/>
        <v>0</v>
      </c>
      <c r="BA1312" s="53">
        <f t="shared" si="324"/>
        <v>0</v>
      </c>
      <c r="BB1312" s="360">
        <f>IFERROR(SUM(DATA[[#This Row],[fs_val_ttf]:[fact_pago_ttf]]),0)</f>
        <v>6</v>
      </c>
      <c r="BC1312" s="377">
        <v>45940</v>
      </c>
      <c r="BD1312" s="377">
        <v>45945</v>
      </c>
      <c r="BE1312" s="377">
        <v>45964</v>
      </c>
      <c r="BF1312" s="377">
        <v>45967</v>
      </c>
      <c r="BG1312" s="20">
        <f>IFERROR(IF(BC1312-DATA[[#This Row],[fecha_fs]]&lt;0,0,BC1312-DATA[[#This Row],[fecha_fs]]),0)</f>
        <v>0</v>
      </c>
      <c r="BH1312" s="20">
        <f t="shared" si="325"/>
        <v>5</v>
      </c>
      <c r="BI1312" s="20">
        <f t="shared" si="326"/>
        <v>19</v>
      </c>
      <c r="BJ1312" s="367">
        <f t="shared" si="327"/>
        <v>3</v>
      </c>
      <c r="BK1312" s="362">
        <f>IFERROR(SUM(DATA[[#This Row],[fs_fd_ttd]:[fend_fenf_ttd]]),0)</f>
        <v>27</v>
      </c>
      <c r="BL1312" s="20" t="str">
        <f>IF(DATA[[#This Row],[fecha_fs]]&gt;0,TEXT(DATA[[#This Row],[fecha_fs]],"YYYY"),0)</f>
        <v>2025</v>
      </c>
      <c r="BM1312" s="363" t="b">
        <v>1</v>
      </c>
      <c r="BN1312" s="278">
        <f>COUNTIF(DATA[[#This Row],[tiempo_td]], "&lt;=15")</f>
        <v>0</v>
      </c>
      <c r="BO1312" s="365"/>
    </row>
    <row r="1313" spans="1:67" ht="30.6" customHeight="1" x14ac:dyDescent="0.25">
      <c r="A1313" s="4">
        <v>20100211115</v>
      </c>
      <c r="B1313" s="5" t="s">
        <v>41</v>
      </c>
      <c r="C1313" s="52" t="s">
        <v>18</v>
      </c>
      <c r="D1313" s="4" t="s">
        <v>120</v>
      </c>
      <c r="E1313" s="5" t="s">
        <v>3</v>
      </c>
      <c r="F1313" s="24">
        <v>45940</v>
      </c>
      <c r="G1313" s="7" t="s">
        <v>113</v>
      </c>
      <c r="H1313" s="25">
        <f t="shared" si="322"/>
        <v>1</v>
      </c>
      <c r="I1313" s="331">
        <v>5102</v>
      </c>
      <c r="J1313" s="8" t="s">
        <v>115</v>
      </c>
      <c r="K1313" s="9" t="s">
        <v>121</v>
      </c>
      <c r="L1313" s="10" t="s">
        <v>117</v>
      </c>
      <c r="M1313" s="11">
        <v>90</v>
      </c>
      <c r="N1313" s="12" t="s">
        <v>167</v>
      </c>
      <c r="O1313" s="6">
        <v>45957</v>
      </c>
      <c r="P1313" s="115">
        <v>3742</v>
      </c>
      <c r="Q1313" s="14" t="s">
        <v>85</v>
      </c>
      <c r="R1313" s="74"/>
      <c r="S1313" s="401">
        <f>(DATA[[#This Row],[cantidad_fs]]*4.17)</f>
        <v>375.3</v>
      </c>
      <c r="T1313" s="321">
        <f>DATA[[#This Row],[C. DF]]+DATA[[#This Row],[C.OPE.]]</f>
        <v>375.3</v>
      </c>
      <c r="U1313" s="15">
        <f>DATA[[#This Row],[SUB TOTAL]]*0.18</f>
        <v>67.554000000000002</v>
      </c>
      <c r="V1313" s="15">
        <f>IFERROR(ROUND(DATA[[#This Row],[SUB TOTAL]]+DATA[[#This Row],[IGV]],2),0)</f>
        <v>442.85</v>
      </c>
      <c r="W1313" s="339" t="str">
        <f>IF(DATA[[#This Row],[VALORIZACIÓN ]]="-","NO CORRESPONDE",IF(OR(A1313=20558226979,A1313=10470707866,A1313=20111157058,A1313=20100226902),"NO CORRESPONDE",IF(J1313="Emitida",IF(P1313&gt;0,"EMITIDA","PENDIENTE"),"NO CORRESPONDE")))</f>
        <v>EMITIDA</v>
      </c>
      <c r="X1313" s="29"/>
      <c r="Y1313" s="17" t="s">
        <v>118</v>
      </c>
      <c r="Z1313" s="30">
        <v>45958</v>
      </c>
      <c r="AA1313" s="10" t="s">
        <v>150</v>
      </c>
      <c r="AB1313" s="19">
        <v>309</v>
      </c>
      <c r="AC1313" s="20">
        <v>30</v>
      </c>
      <c r="AD1313" s="18">
        <f>DATA[[#This Row],[FECHA DE EMISION]]+DATA[[#This Row],[CONDICION DE PAGO]]</f>
        <v>45988</v>
      </c>
      <c r="AE1313" s="23">
        <f>IF(DATA[[#This Row],[MONEDA]]="USD",VLOOKUP(DATA[[#This Row],[COMBINADA]],#REF!,11,0),1)</f>
        <v>1</v>
      </c>
      <c r="AF1313" s="129" t="str">
        <f>IF(DATA[[#This Row],[SERIE2]]="-","NO CORRESPONDE",IF(W1313="NO CORRESPONDE","NO CORRESPONDE",IF(Z1313&gt;0,"FACTURADO","PENDIENTE")))</f>
        <v>FACTURADO</v>
      </c>
      <c r="AG1313" s="133">
        <f>IFERROR(VLOOKUP(DATA[[#This Row],[COMBINADA]],#REF!,6,0),0)</f>
        <v>0</v>
      </c>
      <c r="AH1313" s="125">
        <f>IFERROR(VLOOKUP(DATA[[#This Row],[COMBINADA]],#REF!,9,0),0)/COUNTIFS(DATA[COMBINADA],DATA[[#This Row],[COMBINADA]])</f>
        <v>0</v>
      </c>
      <c r="AI1313" s="136">
        <f>IFERROR(VLOOKUP(DATA[[#This Row],[COMBINADA]],#REF!,6,0),0)</f>
        <v>0</v>
      </c>
      <c r="AJ1313" s="132">
        <f>IFERROR(VLOOKUP(DATA[[#This Row],[COMBINADA]],#REF!,9,0),0)/COUNTIFS(DATA[COMBINADA],DATA[[#This Row],[COMBINADA]])</f>
        <v>0</v>
      </c>
      <c r="AK1313" s="407">
        <f>IFERROR(VLOOKUP(DATA[[#This Row],[COMBINADA]],#REF!,6,0),0)</f>
        <v>0</v>
      </c>
      <c r="AL1313" s="125">
        <f>IFERROR(VLOOKUP(DATA[[#This Row],[COMBINADA]],#REF!,9,0),0)/COUNTIFS(DATA[COMBINADA],DATA[[#This Row],[COMBINADA]])</f>
        <v>0</v>
      </c>
      <c r="AM1313" s="27">
        <f>IFERROR(VLOOKUP(DATA[[#This Row],[COMBINADA]],#REF!,6,0),0)</f>
        <v>0</v>
      </c>
      <c r="AN1313" s="125">
        <f>IFERROR(VLOOKUP(DATA[[#This Row],[COMBINADA]],#REF!,9,0),0)/COUNTIFS(DATA[COMBINADA],DATA[[#This Row],[COMBINADA]])</f>
        <v>0</v>
      </c>
      <c r="AO1313" s="27">
        <f>IFERROR(VLOOKUP(DATA[[#This Row],[COMBINADA]],#REF!,6,0),0)</f>
        <v>0</v>
      </c>
      <c r="AP1313" s="132">
        <f>IFERROR(VLOOKUP(DATA[[#This Row],[COMBINADA]],#REF!,9,0),0)/COUNTIFS(DATA[COMBINADA],DATA[[#This Row],[COMBINADA]])</f>
        <v>0</v>
      </c>
      <c r="AQ131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313" s="26" t="str">
        <f>IFERROR(IF(DATA[[#This Row],[estado_fact]]="FACTURADO",VLOOKUP(DATA[[#This Row],[SERIE2]]&amp;"-"&amp;DATA[[#This Row],[NUMERO]],#REF!,34,0),"NO CORRESPONDE"),"NO CORRESPONDE")</f>
        <v>NO CORRESPONDE</v>
      </c>
      <c r="AS1313" s="22" t="str">
        <f>IF(DATA[[#This Row],[fecha_fs]]&gt;0,TEXT(DATA[[#This Row],[fecha_fs]],"Mmmm"),0)</f>
        <v>Octubre</v>
      </c>
      <c r="AT1313" s="22" t="str">
        <f>DATA[[#This Row],[SERIE2]]&amp;"-"&amp;DATA[[#This Row],[NUMERO]]</f>
        <v>FF01-309</v>
      </c>
      <c r="AU1313" s="28">
        <f>DATA[[#This Row],[TOTAL]]*DATA[[#This Row],[T.C.]]</f>
        <v>442.85</v>
      </c>
      <c r="AV1313" s="6">
        <f>DATA[[#This Row],[FECHA DE VAL.]]</f>
        <v>45957</v>
      </c>
      <c r="AW1313" s="6">
        <f>DATA[[#This Row],[FECHA DE EMISION]]</f>
        <v>45958</v>
      </c>
      <c r="AX1313" s="6">
        <f>DATA[[#This Row],[F1]]</f>
        <v>0</v>
      </c>
      <c r="AY1313" s="20">
        <f>IF(AV1313-DATA[[#This Row],[fecha_fs]]&lt;0,0,AV1313-DATA[[#This Row],[fecha_fs]])</f>
        <v>17</v>
      </c>
      <c r="AZ1313" s="20">
        <f t="shared" si="323"/>
        <v>1</v>
      </c>
      <c r="BA1313" s="53">
        <f t="shared" si="324"/>
        <v>0</v>
      </c>
      <c r="BB1313" s="360">
        <f>IFERROR(SUM(DATA[[#This Row],[fs_val_ttf]:[fact_pago_ttf]]),0)</f>
        <v>18</v>
      </c>
      <c r="BC1313" s="233">
        <v>45957</v>
      </c>
      <c r="BD1313" s="233">
        <v>45964</v>
      </c>
      <c r="BE1313" s="233">
        <v>45967</v>
      </c>
      <c r="BF1313" s="233">
        <v>45967</v>
      </c>
      <c r="BG1313" s="20">
        <f>IFERROR(IF(BC1313-DATA[[#This Row],[fecha_fs]]&lt;0,0,BC1313-DATA[[#This Row],[fecha_fs]]),0)</f>
        <v>17</v>
      </c>
      <c r="BH1313" s="20">
        <f t="shared" si="325"/>
        <v>7</v>
      </c>
      <c r="BI1313" s="20">
        <f t="shared" si="326"/>
        <v>3</v>
      </c>
      <c r="BJ1313" s="367">
        <f t="shared" si="327"/>
        <v>0</v>
      </c>
      <c r="BK1313" s="362">
        <f>IFERROR(SUM(DATA[[#This Row],[fs_fd_ttd]:[fend_fenf_ttd]]),0)</f>
        <v>27</v>
      </c>
      <c r="BL1313" s="20" t="str">
        <f>IF(DATA[[#This Row],[fecha_fs]]&gt;0,TEXT(DATA[[#This Row],[fecha_fs]],"YYYY"),0)</f>
        <v>2025</v>
      </c>
      <c r="BM1313" s="363" t="b">
        <v>1</v>
      </c>
      <c r="BN1313" s="278">
        <f>COUNTIF(DATA[[#This Row],[tiempo_td]], "&lt;=15")</f>
        <v>0</v>
      </c>
      <c r="BO1313" s="365"/>
    </row>
    <row r="1314" spans="1:67" ht="30.6" customHeight="1" x14ac:dyDescent="0.25">
      <c r="A1314" s="4">
        <v>20100192064</v>
      </c>
      <c r="B1314" s="5" t="s">
        <v>60</v>
      </c>
      <c r="C1314" s="52" t="s">
        <v>43</v>
      </c>
      <c r="D1314" s="4" t="s">
        <v>120</v>
      </c>
      <c r="E1314" s="5" t="s">
        <v>3</v>
      </c>
      <c r="F1314" s="24">
        <v>45939</v>
      </c>
      <c r="G1314" s="7" t="s">
        <v>113</v>
      </c>
      <c r="H1314" s="25">
        <f t="shared" si="322"/>
        <v>1</v>
      </c>
      <c r="I1314" s="331">
        <v>5103</v>
      </c>
      <c r="J1314" s="8" t="s">
        <v>115</v>
      </c>
      <c r="K1314" s="9" t="s">
        <v>121</v>
      </c>
      <c r="L1314" s="10" t="s">
        <v>117</v>
      </c>
      <c r="M1314" s="11">
        <v>430</v>
      </c>
      <c r="N1314" s="12" t="s">
        <v>122</v>
      </c>
      <c r="O1314" s="6">
        <v>45959</v>
      </c>
      <c r="P1314" s="366">
        <v>3758</v>
      </c>
      <c r="Q1314" s="402" t="s">
        <v>123</v>
      </c>
      <c r="R1314" s="401">
        <f>(DATA[[#This Row],[cantidad_fs]]/1000)*(47+174.34)</f>
        <v>95.176199999999994</v>
      </c>
      <c r="S1314" s="401">
        <v>137</v>
      </c>
      <c r="T1314" s="321">
        <f>DATA[[#This Row],[C. DF]]+DATA[[#This Row],[C.OPE.]]</f>
        <v>232.17619999999999</v>
      </c>
      <c r="U1314" s="15">
        <f>DATA[[#This Row],[SUB TOTAL]]*0.18</f>
        <v>41.791716000000001</v>
      </c>
      <c r="V1314" s="15">
        <f>IFERROR(ROUND(DATA[[#This Row],[SUB TOTAL]]+DATA[[#This Row],[IGV]],2),0)</f>
        <v>273.97000000000003</v>
      </c>
      <c r="W1314" s="339" t="str">
        <f>IF(DATA[[#This Row],[VALORIZACIÓN ]]="-","NO CORRESPONDE",IF(OR(A1314=20558226979,A1314=10470707866,A1314=20111157058,A1314=20100226902),"NO CORRESPONDE",IF(J1314="Emitida",IF(P1314&gt;0,"EMITIDA","PENDIENTE"),"NO CORRESPONDE")))</f>
        <v>EMITIDA</v>
      </c>
      <c r="X1314" s="29" t="s">
        <v>375</v>
      </c>
      <c r="Y1314" s="17" t="s">
        <v>118</v>
      </c>
      <c r="Z1314" s="30">
        <v>45961</v>
      </c>
      <c r="AA1314" s="10" t="s">
        <v>150</v>
      </c>
      <c r="AB1314" s="19">
        <v>318</v>
      </c>
      <c r="AC1314" s="20">
        <v>30</v>
      </c>
      <c r="AD1314" s="18">
        <f>DATA[[#This Row],[FECHA DE EMISION]]+DATA[[#This Row],[CONDICION DE PAGO]]</f>
        <v>45991</v>
      </c>
      <c r="AE1314" s="23" t="e">
        <f>IF(DATA[[#This Row],[MONEDA]]="USD",VLOOKUP(DATA[[#This Row],[COMBINADA]],#REF!,11,0),1)</f>
        <v>#REF!</v>
      </c>
      <c r="AF1314" s="129" t="str">
        <f>IF(DATA[[#This Row],[SERIE2]]="-","NO CORRESPONDE",IF(W1314="NO CORRESPONDE","NO CORRESPONDE",IF(Z1314&gt;0,"FACTURADO","PENDIENTE")))</f>
        <v>FACTURADO</v>
      </c>
      <c r="AG1314" s="133">
        <f>IFERROR(VLOOKUP(DATA[[#This Row],[COMBINADA]],#REF!,6,0),0)</f>
        <v>0</v>
      </c>
      <c r="AH1314" s="125">
        <f>IFERROR(VLOOKUP(DATA[[#This Row],[COMBINADA]],#REF!,9,0),0)/COUNTIFS(DATA[COMBINADA],DATA[[#This Row],[COMBINADA]])</f>
        <v>0</v>
      </c>
      <c r="AI1314" s="136">
        <f>IFERROR(VLOOKUP(DATA[[#This Row],[COMBINADA]],#REF!,6,0),0)</f>
        <v>0</v>
      </c>
      <c r="AJ1314" s="132">
        <f>IFERROR(VLOOKUP(DATA[[#This Row],[COMBINADA]],#REF!,9,0),0)/COUNTIFS(DATA[COMBINADA],DATA[[#This Row],[COMBINADA]])</f>
        <v>0</v>
      </c>
      <c r="AK1314" s="407">
        <f>IFERROR(VLOOKUP(DATA[[#This Row],[COMBINADA]],#REF!,6,0),0)</f>
        <v>0</v>
      </c>
      <c r="AL1314" s="125">
        <f>IFERROR(VLOOKUP(DATA[[#This Row],[COMBINADA]],#REF!,9,0),0)/COUNTIFS(DATA[COMBINADA],DATA[[#This Row],[COMBINADA]])</f>
        <v>0</v>
      </c>
      <c r="AM1314" s="27">
        <f>IFERROR(VLOOKUP(DATA[[#This Row],[COMBINADA]],#REF!,6,0),0)</f>
        <v>0</v>
      </c>
      <c r="AN1314" s="125">
        <f>IFERROR(VLOOKUP(DATA[[#This Row],[COMBINADA]],#REF!,9,0),0)/COUNTIFS(DATA[COMBINADA],DATA[[#This Row],[COMBINADA]])</f>
        <v>0</v>
      </c>
      <c r="AO1314" s="27">
        <f>IFERROR(VLOOKUP(DATA[[#This Row],[COMBINADA]],#REF!,6,0),0)</f>
        <v>0</v>
      </c>
      <c r="AP1314" s="132">
        <f>IFERROR(VLOOKUP(DATA[[#This Row],[COMBINADA]],#REF!,9,0),0)/COUNTIFS(DATA[COMBINADA],DATA[[#This Row],[COMBINADA]])</f>
        <v>0</v>
      </c>
      <c r="AQ131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492.32615384615383</v>
      </c>
      <c r="AR1314" s="26" t="str">
        <f>IFERROR(IF(DATA[[#This Row],[estado_fact]]="FACTURADO",VLOOKUP(DATA[[#This Row],[SERIE2]]&amp;"-"&amp;DATA[[#This Row],[NUMERO]],#REF!,34,0),"NO CORRESPONDE"),"NO CORRESPONDE")</f>
        <v>NO CORRESPONDE</v>
      </c>
      <c r="AS1314" s="22" t="str">
        <f>IF(DATA[[#This Row],[fecha_fs]]&gt;0,TEXT(DATA[[#This Row],[fecha_fs]],"Mmmm"),0)</f>
        <v>Octubre</v>
      </c>
      <c r="AT1314" s="22" t="str">
        <f>DATA[[#This Row],[SERIE2]]&amp;"-"&amp;DATA[[#This Row],[NUMERO]]</f>
        <v>FF01-318</v>
      </c>
      <c r="AU1314" s="28" t="e">
        <f>DATA[[#This Row],[TOTAL]]*DATA[[#This Row],[T.C.]]</f>
        <v>#REF!</v>
      </c>
      <c r="AV1314" s="6">
        <f>DATA[[#This Row],[FECHA DE VAL.]]</f>
        <v>45959</v>
      </c>
      <c r="AW1314" s="6">
        <f>DATA[[#This Row],[FECHA DE EMISION]]</f>
        <v>45961</v>
      </c>
      <c r="AX1314" s="6">
        <f>DATA[[#This Row],[F1]]</f>
        <v>0</v>
      </c>
      <c r="AY1314" s="20">
        <f>IF(AV1314-DATA[[#This Row],[fecha_fs]]&lt;0,0,AV1314-DATA[[#This Row],[fecha_fs]])</f>
        <v>20</v>
      </c>
      <c r="AZ1314" s="20">
        <f t="shared" si="323"/>
        <v>2</v>
      </c>
      <c r="BA1314" s="53">
        <f t="shared" si="324"/>
        <v>0</v>
      </c>
      <c r="BB1314" s="360">
        <f>IFERROR(SUM(DATA[[#This Row],[fs_val_ttf]:[fact_pago_ttf]]),0)</f>
        <v>22</v>
      </c>
      <c r="BC1314" s="377">
        <v>45939</v>
      </c>
      <c r="BD1314" s="377">
        <v>45944</v>
      </c>
      <c r="BE1314" s="377">
        <v>45966</v>
      </c>
      <c r="BF1314" s="361" t="s">
        <v>270</v>
      </c>
      <c r="BG1314" s="20">
        <f>IFERROR(IF(BC1314-DATA[[#This Row],[fecha_fs]]&lt;0,0,BC1314-DATA[[#This Row],[fecha_fs]]),0)</f>
        <v>0</v>
      </c>
      <c r="BH1314" s="20">
        <f t="shared" si="325"/>
        <v>5</v>
      </c>
      <c r="BI1314" s="20">
        <f t="shared" si="326"/>
        <v>22</v>
      </c>
      <c r="BJ1314" s="367">
        <f t="shared" si="327"/>
        <v>0</v>
      </c>
      <c r="BK1314" s="362">
        <f>IFERROR(SUM(DATA[[#This Row],[fs_fd_ttd]:[fend_fenf_ttd]]),0)</f>
        <v>27</v>
      </c>
      <c r="BL1314" s="20" t="str">
        <f>IF(DATA[[#This Row],[fecha_fs]]&gt;0,TEXT(DATA[[#This Row],[fecha_fs]],"YYYY"),0)</f>
        <v>2025</v>
      </c>
      <c r="BM1314" s="363" t="b">
        <v>0</v>
      </c>
      <c r="BN1314" s="278">
        <f>COUNTIF(DATA[[#This Row],[tiempo_td]], "&lt;=15")</f>
        <v>0</v>
      </c>
      <c r="BO1314" s="365"/>
    </row>
    <row r="1315" spans="1:67" ht="30.6" customHeight="1" x14ac:dyDescent="0.25">
      <c r="A1315" s="4">
        <v>20100211115</v>
      </c>
      <c r="B1315" s="5" t="s">
        <v>41</v>
      </c>
      <c r="C1315" s="52" t="s">
        <v>18</v>
      </c>
      <c r="D1315" s="4" t="s">
        <v>112</v>
      </c>
      <c r="E1315" s="5" t="s">
        <v>1</v>
      </c>
      <c r="F1315" s="24">
        <v>45940</v>
      </c>
      <c r="G1315" s="7" t="s">
        <v>113</v>
      </c>
      <c r="H1315" s="25">
        <f t="shared" si="322"/>
        <v>1</v>
      </c>
      <c r="I1315" s="331">
        <v>5104</v>
      </c>
      <c r="J1315" s="8" t="s">
        <v>115</v>
      </c>
      <c r="K1315" s="9" t="s">
        <v>116</v>
      </c>
      <c r="L1315" s="10" t="s">
        <v>117</v>
      </c>
      <c r="M1315" s="11">
        <v>29</v>
      </c>
      <c r="N1315" s="12" t="s">
        <v>167</v>
      </c>
      <c r="O1315" s="6">
        <v>45957</v>
      </c>
      <c r="P1315" s="115">
        <v>3744</v>
      </c>
      <c r="Q1315" s="14" t="s">
        <v>85</v>
      </c>
      <c r="R1315" s="401"/>
      <c r="S1315" s="401">
        <f>(DATA[[#This Row],[cantidad_fs]]*4.57)</f>
        <v>132.53</v>
      </c>
      <c r="T1315" s="321">
        <f>DATA[[#This Row],[C. DF]]+DATA[[#This Row],[C.OPE.]]</f>
        <v>132.53</v>
      </c>
      <c r="U1315" s="15">
        <f>DATA[[#This Row],[SUB TOTAL]]*0.18</f>
        <v>23.855399999999999</v>
      </c>
      <c r="V1315" s="15">
        <f>IFERROR(ROUND(DATA[[#This Row],[SUB TOTAL]]+DATA[[#This Row],[IGV]],2),0)</f>
        <v>156.38999999999999</v>
      </c>
      <c r="W1315" s="339" t="str">
        <f>IF(DATA[[#This Row],[VALORIZACIÓN ]]="-","NO CORRESPONDE",IF(OR(A1315=20558226979,A1315=10470707866,A1315=20111157058,A1315=20100226902),"NO CORRESPONDE",IF(J1315="Emitida",IF(P1315&gt;0,"EMITIDA","PENDIENTE"),"NO CORRESPONDE")))</f>
        <v>EMITIDA</v>
      </c>
      <c r="X1315" s="29"/>
      <c r="Y1315" s="17" t="s">
        <v>118</v>
      </c>
      <c r="Z1315" s="30">
        <v>45958</v>
      </c>
      <c r="AA1315" s="10" t="s">
        <v>150</v>
      </c>
      <c r="AB1315" s="19">
        <v>311</v>
      </c>
      <c r="AC1315" s="20">
        <v>30</v>
      </c>
      <c r="AD1315" s="18">
        <f>DATA[[#This Row],[FECHA DE EMISION]]+DATA[[#This Row],[CONDICION DE PAGO]]</f>
        <v>45988</v>
      </c>
      <c r="AE1315" s="23">
        <f>IF(DATA[[#This Row],[MONEDA]]="USD",VLOOKUP(DATA[[#This Row],[COMBINADA]],#REF!,11,0),1)</f>
        <v>1</v>
      </c>
      <c r="AF1315" s="129" t="str">
        <f>IF(DATA[[#This Row],[SERIE2]]="-","NO CORRESPONDE",IF(W1315="NO CORRESPONDE","NO CORRESPONDE",IF(Z1315&gt;0,"FACTURADO","PENDIENTE")))</f>
        <v>FACTURADO</v>
      </c>
      <c r="AG1315" s="133">
        <f>IFERROR(VLOOKUP(DATA[[#This Row],[COMBINADA]],#REF!,6,0),0)</f>
        <v>0</v>
      </c>
      <c r="AH1315" s="125">
        <f>IFERROR(VLOOKUP(DATA[[#This Row],[COMBINADA]],#REF!,9,0),0)/COUNTIFS(DATA[COMBINADA],DATA[[#This Row],[COMBINADA]])</f>
        <v>0</v>
      </c>
      <c r="AI1315" s="136">
        <f>IFERROR(VLOOKUP(DATA[[#This Row],[COMBINADA]],#REF!,6,0),0)</f>
        <v>0</v>
      </c>
      <c r="AJ1315" s="132">
        <f>IFERROR(VLOOKUP(DATA[[#This Row],[COMBINADA]],#REF!,9,0),0)/COUNTIFS(DATA[COMBINADA],DATA[[#This Row],[COMBINADA]])</f>
        <v>0</v>
      </c>
      <c r="AK1315" s="407">
        <f>IFERROR(VLOOKUP(DATA[[#This Row],[COMBINADA]],#REF!,6,0),0)</f>
        <v>0</v>
      </c>
      <c r="AL1315" s="125">
        <f>IFERROR(VLOOKUP(DATA[[#This Row],[COMBINADA]],#REF!,9,0),0)/COUNTIFS(DATA[COMBINADA],DATA[[#This Row],[COMBINADA]])</f>
        <v>0</v>
      </c>
      <c r="AM1315" s="27">
        <f>IFERROR(VLOOKUP(DATA[[#This Row],[COMBINADA]],#REF!,6,0),0)</f>
        <v>0</v>
      </c>
      <c r="AN1315" s="125">
        <f>IFERROR(VLOOKUP(DATA[[#This Row],[COMBINADA]],#REF!,9,0),0)/COUNTIFS(DATA[COMBINADA],DATA[[#This Row],[COMBINADA]])</f>
        <v>0</v>
      </c>
      <c r="AO1315" s="27">
        <f>IFERROR(VLOOKUP(DATA[[#This Row],[COMBINADA]],#REF!,6,0),0)</f>
        <v>0</v>
      </c>
      <c r="AP1315" s="132">
        <f>IFERROR(VLOOKUP(DATA[[#This Row],[COMBINADA]],#REF!,9,0),0)/COUNTIFS(DATA[COMBINADA],DATA[[#This Row],[COMBINADA]])</f>
        <v>0</v>
      </c>
      <c r="AQ131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145.6</v>
      </c>
      <c r="AR1315" s="26" t="str">
        <f>IFERROR(IF(DATA[[#This Row],[estado_fact]]="FACTURADO",VLOOKUP(DATA[[#This Row],[SERIE2]]&amp;"-"&amp;DATA[[#This Row],[NUMERO]],#REF!,34,0),"NO CORRESPONDE"),"NO CORRESPONDE")</f>
        <v>NO CORRESPONDE</v>
      </c>
      <c r="AS1315" s="22" t="str">
        <f>IF(DATA[[#This Row],[fecha_fs]]&gt;0,TEXT(DATA[[#This Row],[fecha_fs]],"Mmmm"),0)</f>
        <v>Octubre</v>
      </c>
      <c r="AT1315" s="22" t="str">
        <f>DATA[[#This Row],[SERIE2]]&amp;"-"&amp;DATA[[#This Row],[NUMERO]]</f>
        <v>FF01-311</v>
      </c>
      <c r="AU1315" s="28">
        <f>DATA[[#This Row],[TOTAL]]*DATA[[#This Row],[T.C.]]</f>
        <v>156.38999999999999</v>
      </c>
      <c r="AV1315" s="6">
        <f>DATA[[#This Row],[FECHA DE VAL.]]</f>
        <v>45957</v>
      </c>
      <c r="AW1315" s="6">
        <f>DATA[[#This Row],[FECHA DE EMISION]]</f>
        <v>45958</v>
      </c>
      <c r="AX1315" s="6">
        <f>DATA[[#This Row],[F1]]</f>
        <v>0</v>
      </c>
      <c r="AY1315" s="20">
        <f>IF(AV1315-DATA[[#This Row],[fecha_fs]]&lt;0,0,AV1315-DATA[[#This Row],[fecha_fs]])</f>
        <v>17</v>
      </c>
      <c r="AZ1315" s="20">
        <f t="shared" si="323"/>
        <v>1</v>
      </c>
      <c r="BA1315" s="53">
        <f t="shared" si="324"/>
        <v>0</v>
      </c>
      <c r="BB1315" s="360">
        <f>IFERROR(SUM(DATA[[#This Row],[fs_val_ttf]:[fact_pago_ttf]]),0)</f>
        <v>18</v>
      </c>
      <c r="BC1315" s="377">
        <v>45960</v>
      </c>
      <c r="BD1315" s="377">
        <v>45967</v>
      </c>
      <c r="BE1315" s="377">
        <v>45967</v>
      </c>
      <c r="BF1315" s="377">
        <v>45967</v>
      </c>
      <c r="BG1315" s="20">
        <f>IFERROR(IF(BC1315-DATA[[#This Row],[fecha_fs]]&lt;0,0,BC1315-DATA[[#This Row],[fecha_fs]]),0)</f>
        <v>20</v>
      </c>
      <c r="BH1315" s="20">
        <f t="shared" si="325"/>
        <v>7</v>
      </c>
      <c r="BI1315" s="20">
        <f t="shared" si="326"/>
        <v>0</v>
      </c>
      <c r="BJ1315" s="367">
        <f t="shared" si="327"/>
        <v>0</v>
      </c>
      <c r="BK1315" s="362">
        <f>IFERROR(SUM(DATA[[#This Row],[fs_fd_ttd]:[fend_fenf_ttd]]),0)</f>
        <v>27</v>
      </c>
      <c r="BL1315" s="20" t="str">
        <f>IF(DATA[[#This Row],[fecha_fs]]&gt;0,TEXT(DATA[[#This Row],[fecha_fs]],"YYYY"),0)</f>
        <v>2025</v>
      </c>
      <c r="BM1315" s="363" t="b">
        <v>1</v>
      </c>
      <c r="BN1315" s="278">
        <f>COUNTIF(DATA[[#This Row],[tiempo_td]], "&lt;=15")</f>
        <v>0</v>
      </c>
      <c r="BO1315" s="365"/>
    </row>
    <row r="1316" spans="1:67" ht="30.6" customHeight="1" x14ac:dyDescent="0.25">
      <c r="A1316" s="4">
        <v>20159473148</v>
      </c>
      <c r="B1316" s="5" t="s">
        <v>280</v>
      </c>
      <c r="C1316" s="52" t="s">
        <v>20</v>
      </c>
      <c r="D1316" s="4" t="s">
        <v>120</v>
      </c>
      <c r="E1316" s="5" t="s">
        <v>3</v>
      </c>
      <c r="F1316" s="24">
        <v>45940</v>
      </c>
      <c r="G1316" s="7" t="s">
        <v>113</v>
      </c>
      <c r="H1316" s="25">
        <f t="shared" si="322"/>
        <v>1</v>
      </c>
      <c r="I1316" s="331">
        <v>5105</v>
      </c>
      <c r="J1316" s="8" t="s">
        <v>115</v>
      </c>
      <c r="K1316" s="9" t="s">
        <v>121</v>
      </c>
      <c r="L1316" s="10" t="s">
        <v>117</v>
      </c>
      <c r="M1316" s="11">
        <v>680</v>
      </c>
      <c r="N1316" s="12" t="s">
        <v>249</v>
      </c>
      <c r="O1316" s="6">
        <v>45959</v>
      </c>
      <c r="P1316" s="83">
        <v>3749</v>
      </c>
      <c r="Q1316" s="14" t="s">
        <v>85</v>
      </c>
      <c r="R1316" s="15">
        <f>DATA[[#This Row],[cantidad_fs]]*0.08</f>
        <v>54.4</v>
      </c>
      <c r="S1316" s="15">
        <v>908.43</v>
      </c>
      <c r="T1316" s="321">
        <f>DATA[[#This Row],[C. DF]]+DATA[[#This Row],[C.OPE.]]</f>
        <v>962.82999999999993</v>
      </c>
      <c r="U1316" s="15">
        <f>DATA[[#This Row],[SUB TOTAL]]*0.18</f>
        <v>173.30939999999998</v>
      </c>
      <c r="V1316" s="15">
        <f>IFERROR(ROUND(DATA[[#This Row],[SUB TOTAL]]+DATA[[#This Row],[IGV]],2),0)</f>
        <v>1136.1400000000001</v>
      </c>
      <c r="W1316" s="339" t="str">
        <f>IF(DATA[[#This Row],[VALORIZACIÓN ]]="-","NO CORRESPONDE",IF(OR(A1316=20558226979,A1316=10470707866,A1316=20111157058,A1316=20100226902),"NO CORRESPONDE",IF(J1316="Emitida",IF(P1316&gt;0,"EMITIDA","PENDIENTE"),"NO CORRESPONDE")))</f>
        <v>EMITIDA</v>
      </c>
      <c r="X1316" s="29" t="s">
        <v>377</v>
      </c>
      <c r="Y1316" s="17" t="s">
        <v>118</v>
      </c>
      <c r="Z1316" s="30">
        <v>45967</v>
      </c>
      <c r="AA1316" s="10" t="s">
        <v>150</v>
      </c>
      <c r="AB1316" s="19">
        <v>339</v>
      </c>
      <c r="AC1316" s="20">
        <v>60</v>
      </c>
      <c r="AD1316" s="18">
        <f>DATA[[#This Row],[FECHA DE EMISION]]+DATA[[#This Row],[CONDICION DE PAGO]]</f>
        <v>46027</v>
      </c>
      <c r="AE1316" s="23">
        <f>IF(DATA[[#This Row],[MONEDA]]="USD",VLOOKUP(DATA[[#This Row],[COMBINADA]],#REF!,11,0),1)</f>
        <v>1</v>
      </c>
      <c r="AF1316" s="129" t="str">
        <f>IF(DATA[[#This Row],[SERIE2]]="-","NO CORRESPONDE",IF(W1316="NO CORRESPONDE","NO CORRESPONDE",IF(Z1316&gt;0,"FACTURADO","PENDIENTE")))</f>
        <v>FACTURADO</v>
      </c>
      <c r="AG1316" s="133">
        <f>IFERROR(VLOOKUP(DATA[[#This Row],[COMBINADA]],#REF!,6,0),0)</f>
        <v>0</v>
      </c>
      <c r="AH1316" s="125">
        <f>IFERROR(VLOOKUP(DATA[[#This Row],[COMBINADA]],#REF!,9,0),0)/COUNTIFS(DATA[COMBINADA],DATA[[#This Row],[COMBINADA]])</f>
        <v>0</v>
      </c>
      <c r="AI1316" s="136">
        <f>IFERROR(VLOOKUP(DATA[[#This Row],[COMBINADA]],#REF!,6,0),0)</f>
        <v>0</v>
      </c>
      <c r="AJ1316" s="132">
        <f>IFERROR(VLOOKUP(DATA[[#This Row],[COMBINADA]],#REF!,9,0),0)/COUNTIFS(DATA[COMBINADA],DATA[[#This Row],[COMBINADA]])</f>
        <v>0</v>
      </c>
      <c r="AK1316" s="407">
        <f>IFERROR(VLOOKUP(DATA[[#This Row],[COMBINADA]],#REF!,6,0),0)</f>
        <v>0</v>
      </c>
      <c r="AL1316" s="125">
        <f>IFERROR(VLOOKUP(DATA[[#This Row],[COMBINADA]],#REF!,9,0),0)/COUNTIFS(DATA[COMBINADA],DATA[[#This Row],[COMBINADA]])</f>
        <v>0</v>
      </c>
      <c r="AM1316" s="27">
        <f>IFERROR(VLOOKUP(DATA[[#This Row],[COMBINADA]],#REF!,6,0),0)</f>
        <v>0</v>
      </c>
      <c r="AN1316" s="125">
        <f>IFERROR(VLOOKUP(DATA[[#This Row],[COMBINADA]],#REF!,9,0),0)/COUNTIFS(DATA[COMBINADA],DATA[[#This Row],[COMBINADA]])</f>
        <v>0</v>
      </c>
      <c r="AO1316" s="27">
        <f>IFERROR(VLOOKUP(DATA[[#This Row],[COMBINADA]],#REF!,6,0),0)</f>
        <v>0</v>
      </c>
      <c r="AP1316" s="132">
        <f>IFERROR(VLOOKUP(DATA[[#This Row],[COMBINADA]],#REF!,9,0),0)/COUNTIFS(DATA[COMBINADA],DATA[[#This Row],[COMBINADA]])</f>
        <v>0</v>
      </c>
      <c r="AQ131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1169.18</v>
      </c>
      <c r="AR1316" s="26" t="str">
        <f>IFERROR(IF(DATA[[#This Row],[estado_fact]]="FACTURADO",VLOOKUP(DATA[[#This Row],[SERIE2]]&amp;"-"&amp;DATA[[#This Row],[NUMERO]],#REF!,34,0),"NO CORRESPONDE"),"NO CORRESPONDE")</f>
        <v>NO CORRESPONDE</v>
      </c>
      <c r="AS1316" s="22" t="str">
        <f>IF(DATA[[#This Row],[fecha_fs]]&gt;0,TEXT(DATA[[#This Row],[fecha_fs]],"Mmmm"),0)</f>
        <v>Octubre</v>
      </c>
      <c r="AT1316" s="22" t="str">
        <f>DATA[[#This Row],[SERIE2]]&amp;"-"&amp;DATA[[#This Row],[NUMERO]]</f>
        <v>FF01-339</v>
      </c>
      <c r="AU1316" s="28">
        <f>DATA[[#This Row],[TOTAL]]*DATA[[#This Row],[T.C.]]</f>
        <v>1136.1400000000001</v>
      </c>
      <c r="AV1316" s="6">
        <f>DATA[[#This Row],[FECHA DE VAL.]]</f>
        <v>45959</v>
      </c>
      <c r="AW1316" s="6">
        <f>DATA[[#This Row],[FECHA DE EMISION]]</f>
        <v>45967</v>
      </c>
      <c r="AX1316" s="6">
        <f>DATA[[#This Row],[F1]]</f>
        <v>0</v>
      </c>
      <c r="AY1316" s="20">
        <f>IF(AV1316-DATA[[#This Row],[fecha_fs]]&lt;0,0,AV1316-DATA[[#This Row],[fecha_fs]])</f>
        <v>19</v>
      </c>
      <c r="AZ1316" s="20">
        <f t="shared" si="323"/>
        <v>8</v>
      </c>
      <c r="BA1316" s="53">
        <f t="shared" si="324"/>
        <v>0</v>
      </c>
      <c r="BB1316" s="360">
        <f>IFERROR(SUM(DATA[[#This Row],[fs_val_ttf]:[fact_pago_ttf]]),0)</f>
        <v>27</v>
      </c>
      <c r="BC1316" s="377">
        <v>45940</v>
      </c>
      <c r="BD1316" s="377">
        <v>45945</v>
      </c>
      <c r="BE1316" s="377">
        <v>45966</v>
      </c>
      <c r="BF1316" s="361" t="s">
        <v>270</v>
      </c>
      <c r="BG1316" s="20">
        <f>IFERROR(IF(BC1316-DATA[[#This Row],[fecha_fs]]&lt;0,0,BC1316-DATA[[#This Row],[fecha_fs]]),0)</f>
        <v>0</v>
      </c>
      <c r="BH1316" s="20">
        <f t="shared" si="325"/>
        <v>5</v>
      </c>
      <c r="BI1316" s="20">
        <f t="shared" si="326"/>
        <v>21</v>
      </c>
      <c r="BJ1316" s="367">
        <f t="shared" si="327"/>
        <v>0</v>
      </c>
      <c r="BK1316" s="362">
        <f>IFERROR(SUM(DATA[[#This Row],[fs_fd_ttd]:[fend_fenf_ttd]]),0)</f>
        <v>26</v>
      </c>
      <c r="BL1316" s="20" t="str">
        <f>IF(DATA[[#This Row],[fecha_fs]]&gt;0,TEXT(DATA[[#This Row],[fecha_fs]],"YYYY"),0)</f>
        <v>2025</v>
      </c>
      <c r="BM1316" s="363" t="b">
        <v>0</v>
      </c>
      <c r="BN1316" s="278">
        <f>COUNTIF(DATA[[#This Row],[tiempo_td]], "&lt;=15")</f>
        <v>0</v>
      </c>
      <c r="BO1316" s="365"/>
    </row>
    <row r="1317" spans="1:67" ht="30.6" customHeight="1" x14ac:dyDescent="0.25">
      <c r="A1317" s="4">
        <v>20161541991</v>
      </c>
      <c r="B1317" s="5" t="s">
        <v>28</v>
      </c>
      <c r="C1317" s="52" t="s">
        <v>355</v>
      </c>
      <c r="D1317" s="4" t="s">
        <v>112</v>
      </c>
      <c r="E1317" s="5" t="s">
        <v>1</v>
      </c>
      <c r="F1317" s="24">
        <v>45940</v>
      </c>
      <c r="G1317" s="7" t="s">
        <v>113</v>
      </c>
      <c r="H1317" s="25">
        <f t="shared" si="322"/>
        <v>1</v>
      </c>
      <c r="I1317" s="331">
        <v>5106</v>
      </c>
      <c r="J1317" s="8" t="s">
        <v>115</v>
      </c>
      <c r="K1317" s="9" t="s">
        <v>116</v>
      </c>
      <c r="L1317" s="10" t="s">
        <v>117</v>
      </c>
      <c r="M1317" s="11">
        <v>330</v>
      </c>
      <c r="N1317" s="12" t="s">
        <v>122</v>
      </c>
      <c r="O1317" s="6">
        <v>45944</v>
      </c>
      <c r="P1317" s="13">
        <v>3718</v>
      </c>
      <c r="Q1317" s="14" t="s">
        <v>85</v>
      </c>
      <c r="R1317" s="15">
        <f>DATA[[#This Row],[cantidad_fs]]*0.67</f>
        <v>221.10000000000002</v>
      </c>
      <c r="S1317" s="15">
        <v>592.4</v>
      </c>
      <c r="T1317" s="321">
        <f>DATA[[#This Row],[C. DF]]+DATA[[#This Row],[C.OPE.]]</f>
        <v>813.5</v>
      </c>
      <c r="U1317" s="15">
        <f>DATA[[#This Row],[SUB TOTAL]]*0.18</f>
        <v>146.43</v>
      </c>
      <c r="V1317" s="15">
        <f>IFERROR(ROUND(DATA[[#This Row],[SUB TOTAL]]+DATA[[#This Row],[IGV]],2),0)</f>
        <v>959.93</v>
      </c>
      <c r="W1317" s="339" t="str">
        <f>IF(DATA[[#This Row],[VALORIZACIÓN ]]="-","NO CORRESPONDE",IF(OR(A1317=20558226979,A1317=10470707866,A1317=20111157058,A1317=20100226902),"NO CORRESPONDE",IF(J1317="Emitida",IF(P1317&gt;0,"EMITIDA","PENDIENTE"),"NO CORRESPONDE")))</f>
        <v>EMITIDA</v>
      </c>
      <c r="X1317" s="29"/>
      <c r="Y1317" s="17" t="s">
        <v>118</v>
      </c>
      <c r="Z1317" s="30">
        <v>45950</v>
      </c>
      <c r="AA1317" s="10" t="s">
        <v>150</v>
      </c>
      <c r="AB1317" s="19">
        <v>298</v>
      </c>
      <c r="AC1317" s="20">
        <v>30</v>
      </c>
      <c r="AD1317" s="18">
        <f>DATA[[#This Row],[FECHA DE EMISION]]+DATA[[#This Row],[CONDICION DE PAGO]]</f>
        <v>45980</v>
      </c>
      <c r="AE1317" s="23">
        <f>IF(DATA[[#This Row],[MONEDA]]="USD",VLOOKUP(DATA[[#This Row],[COMBINADA]],#REF!,11,0),1)</f>
        <v>1</v>
      </c>
      <c r="AF1317" s="129" t="str">
        <f>IF(DATA[[#This Row],[SERIE2]]="-","NO CORRESPONDE",IF(W1317="NO CORRESPONDE","NO CORRESPONDE",IF(Z1317&gt;0,"FACTURADO","PENDIENTE")))</f>
        <v>FACTURADO</v>
      </c>
      <c r="AG1317" s="133">
        <f>IFERROR(VLOOKUP(DATA[[#This Row],[COMBINADA]],#REF!,6,0),0)</f>
        <v>0</v>
      </c>
      <c r="AH1317" s="125">
        <f>IFERROR(VLOOKUP(DATA[[#This Row],[COMBINADA]],#REF!,9,0),0)/COUNTIFS(DATA[COMBINADA],DATA[[#This Row],[COMBINADA]])</f>
        <v>0</v>
      </c>
      <c r="AI1317" s="136">
        <f>IFERROR(VLOOKUP(DATA[[#This Row],[COMBINADA]],#REF!,6,0),0)</f>
        <v>0</v>
      </c>
      <c r="AJ1317" s="132">
        <f>IFERROR(VLOOKUP(DATA[[#This Row],[COMBINADA]],#REF!,9,0),0)/COUNTIFS(DATA[COMBINADA],DATA[[#This Row],[COMBINADA]])</f>
        <v>0</v>
      </c>
      <c r="AK1317" s="407">
        <f>IFERROR(VLOOKUP(DATA[[#This Row],[COMBINADA]],#REF!,6,0),0)</f>
        <v>0</v>
      </c>
      <c r="AL1317" s="125">
        <f>IFERROR(VLOOKUP(DATA[[#This Row],[COMBINADA]],#REF!,9,0),0)/COUNTIFS(DATA[COMBINADA],DATA[[#This Row],[COMBINADA]])</f>
        <v>0</v>
      </c>
      <c r="AM1317" s="27">
        <f>IFERROR(VLOOKUP(DATA[[#This Row],[COMBINADA]],#REF!,6,0),0)</f>
        <v>0</v>
      </c>
      <c r="AN1317" s="125">
        <f>IFERROR(VLOOKUP(DATA[[#This Row],[COMBINADA]],#REF!,9,0),0)/COUNTIFS(DATA[COMBINADA],DATA[[#This Row],[COMBINADA]])</f>
        <v>0</v>
      </c>
      <c r="AO1317" s="27">
        <f>IFERROR(VLOOKUP(DATA[[#This Row],[COMBINADA]],#REF!,6,0),0)</f>
        <v>0</v>
      </c>
      <c r="AP1317" s="132">
        <f>IFERROR(VLOOKUP(DATA[[#This Row],[COMBINADA]],#REF!,9,0),0)/COUNTIFS(DATA[COMBINADA],DATA[[#This Row],[COMBINADA]])</f>
        <v>0</v>
      </c>
      <c r="AQ131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597.375</v>
      </c>
      <c r="AR1317" s="26" t="str">
        <f>IFERROR(IF(DATA[[#This Row],[estado_fact]]="FACTURADO",VLOOKUP(DATA[[#This Row],[SERIE2]]&amp;"-"&amp;DATA[[#This Row],[NUMERO]],#REF!,34,0),"NO CORRESPONDE"),"NO CORRESPONDE")</f>
        <v>NO CORRESPONDE</v>
      </c>
      <c r="AS1317" s="22" t="str">
        <f>IF(DATA[[#This Row],[fecha_fs]]&gt;0,TEXT(DATA[[#This Row],[fecha_fs]],"Mmmm"),0)</f>
        <v>Octubre</v>
      </c>
      <c r="AT1317" s="22" t="str">
        <f>DATA[[#This Row],[SERIE2]]&amp;"-"&amp;DATA[[#This Row],[NUMERO]]</f>
        <v>FF01-298</v>
      </c>
      <c r="AU1317" s="28">
        <f>DATA[[#This Row],[TOTAL]]*DATA[[#This Row],[T.C.]]</f>
        <v>959.93</v>
      </c>
      <c r="AV1317" s="6">
        <f>DATA[[#This Row],[FECHA DE VAL.]]</f>
        <v>45944</v>
      </c>
      <c r="AW1317" s="6">
        <f>DATA[[#This Row],[FECHA DE EMISION]]</f>
        <v>45950</v>
      </c>
      <c r="AX1317" s="6">
        <f>DATA[[#This Row],[F1]]</f>
        <v>0</v>
      </c>
      <c r="AY1317" s="20">
        <f>IF(AV1317-DATA[[#This Row],[fecha_fs]]&lt;0,0,AV1317-DATA[[#This Row],[fecha_fs]])</f>
        <v>4</v>
      </c>
      <c r="AZ1317" s="20">
        <f t="shared" si="323"/>
        <v>6</v>
      </c>
      <c r="BA1317" s="53">
        <f t="shared" si="324"/>
        <v>0</v>
      </c>
      <c r="BB1317" s="360">
        <f>IFERROR(SUM(DATA[[#This Row],[fs_val_ttf]:[fact_pago_ttf]]),0)</f>
        <v>10</v>
      </c>
      <c r="BC1317" s="377">
        <v>45940</v>
      </c>
      <c r="BD1317" s="377">
        <v>45954</v>
      </c>
      <c r="BE1317" s="377">
        <v>45954</v>
      </c>
      <c r="BF1317" s="377">
        <v>45967</v>
      </c>
      <c r="BG1317" s="20">
        <f>IFERROR(IF(BC1317-DATA[[#This Row],[fecha_fs]]&lt;0,0,BC1317-DATA[[#This Row],[fecha_fs]]),0)</f>
        <v>0</v>
      </c>
      <c r="BH1317" s="20">
        <f t="shared" si="325"/>
        <v>14</v>
      </c>
      <c r="BI1317" s="20">
        <f t="shared" si="326"/>
        <v>0</v>
      </c>
      <c r="BJ1317" s="367">
        <f t="shared" si="327"/>
        <v>13</v>
      </c>
      <c r="BK1317" s="362">
        <f>IFERROR(SUM(DATA[[#This Row],[fs_fd_ttd]:[fend_fenf_ttd]]),0)</f>
        <v>27</v>
      </c>
      <c r="BL1317" s="20" t="str">
        <f>IF(DATA[[#This Row],[fecha_fs]]&gt;0,TEXT(DATA[[#This Row],[fecha_fs]],"YYYY"),0)</f>
        <v>2025</v>
      </c>
      <c r="BM1317" s="363" t="b">
        <v>1</v>
      </c>
      <c r="BN1317" s="278">
        <f>COUNTIF(DATA[[#This Row],[tiempo_td]], "&lt;=15")</f>
        <v>0</v>
      </c>
      <c r="BO1317" s="365"/>
    </row>
    <row r="1318" spans="1:67" ht="30.6" customHeight="1" x14ac:dyDescent="0.25">
      <c r="A1318" s="4">
        <v>20161541991</v>
      </c>
      <c r="B1318" s="5" t="s">
        <v>28</v>
      </c>
      <c r="C1318" s="52" t="s">
        <v>355</v>
      </c>
      <c r="D1318" s="4" t="s">
        <v>152</v>
      </c>
      <c r="E1318" s="5" t="s">
        <v>10</v>
      </c>
      <c r="F1318" s="24">
        <v>45940</v>
      </c>
      <c r="G1318" s="7" t="s">
        <v>113</v>
      </c>
      <c r="H1318" s="25">
        <f t="shared" si="322"/>
        <v>1</v>
      </c>
      <c r="I1318" s="331">
        <v>5107</v>
      </c>
      <c r="J1318" s="8" t="s">
        <v>115</v>
      </c>
      <c r="K1318" s="9" t="s">
        <v>153</v>
      </c>
      <c r="L1318" s="10" t="s">
        <v>117</v>
      </c>
      <c r="M1318" s="11">
        <v>30</v>
      </c>
      <c r="N1318" s="12" t="s">
        <v>122</v>
      </c>
      <c r="O1318" s="6">
        <v>45944</v>
      </c>
      <c r="P1318" s="13">
        <v>3719</v>
      </c>
      <c r="Q1318" s="14" t="s">
        <v>85</v>
      </c>
      <c r="R1318" s="74"/>
      <c r="S1318" s="15">
        <v>199</v>
      </c>
      <c r="T1318" s="321">
        <f>DATA[[#This Row],[C. DF]]+DATA[[#This Row],[C.OPE.]]</f>
        <v>199</v>
      </c>
      <c r="U1318" s="15">
        <f>DATA[[#This Row],[SUB TOTAL]]*0.18</f>
        <v>35.82</v>
      </c>
      <c r="V1318" s="15">
        <f>IFERROR(ROUND(DATA[[#This Row],[SUB TOTAL]]+DATA[[#This Row],[IGV]],2),0)</f>
        <v>234.82</v>
      </c>
      <c r="W1318" s="339" t="str">
        <f>IF(DATA[[#This Row],[VALORIZACIÓN ]]="-","NO CORRESPONDE",IF(OR(A1318=20558226979,A1318=10470707866,A1318=20111157058,A1318=20100226902),"NO CORRESPONDE",IF(J1318="Emitida",IF(P1318&gt;0,"EMITIDA","PENDIENTE"),"NO CORRESPONDE")))</f>
        <v>EMITIDA</v>
      </c>
      <c r="X1318" s="29"/>
      <c r="Y1318" s="17" t="s">
        <v>118</v>
      </c>
      <c r="Z1318" s="30">
        <v>45950</v>
      </c>
      <c r="AA1318" s="10" t="s">
        <v>150</v>
      </c>
      <c r="AB1318" s="19">
        <v>298</v>
      </c>
      <c r="AC1318" s="20">
        <v>30</v>
      </c>
      <c r="AD1318" s="18">
        <f>DATA[[#This Row],[FECHA DE EMISION]]+DATA[[#This Row],[CONDICION DE PAGO]]</f>
        <v>45980</v>
      </c>
      <c r="AE1318" s="23">
        <f>IF(DATA[[#This Row],[MONEDA]]="USD",VLOOKUP(DATA[[#This Row],[COMBINADA]],#REF!,11,0),1)</f>
        <v>1</v>
      </c>
      <c r="AF1318" s="129" t="str">
        <f>IF(DATA[[#This Row],[SERIE2]]="-","NO CORRESPONDE",IF(W1318="NO CORRESPONDE","NO CORRESPONDE",IF(Z1318&gt;0,"FACTURADO","PENDIENTE")))</f>
        <v>FACTURADO</v>
      </c>
      <c r="AG1318" s="133">
        <f>IFERROR(VLOOKUP(DATA[[#This Row],[COMBINADA]],#REF!,6,0),0)</f>
        <v>0</v>
      </c>
      <c r="AH1318" s="125">
        <f>IFERROR(VLOOKUP(DATA[[#This Row],[COMBINADA]],#REF!,9,0),0)/COUNTIFS(DATA[COMBINADA],DATA[[#This Row],[COMBINADA]])</f>
        <v>0</v>
      </c>
      <c r="AI1318" s="136">
        <f>IFERROR(VLOOKUP(DATA[[#This Row],[COMBINADA]],#REF!,6,0),0)</f>
        <v>0</v>
      </c>
      <c r="AJ1318" s="132">
        <f>IFERROR(VLOOKUP(DATA[[#This Row],[COMBINADA]],#REF!,9,0),0)/COUNTIFS(DATA[COMBINADA],DATA[[#This Row],[COMBINADA]])</f>
        <v>0</v>
      </c>
      <c r="AK1318" s="407">
        <f>IFERROR(VLOOKUP(DATA[[#This Row],[COMBINADA]],#REF!,6,0),0)</f>
        <v>0</v>
      </c>
      <c r="AL1318" s="125">
        <f>IFERROR(VLOOKUP(DATA[[#This Row],[COMBINADA]],#REF!,9,0),0)/COUNTIFS(DATA[COMBINADA],DATA[[#This Row],[COMBINADA]])</f>
        <v>0</v>
      </c>
      <c r="AM1318" s="27">
        <f>IFERROR(VLOOKUP(DATA[[#This Row],[COMBINADA]],#REF!,6,0),0)</f>
        <v>0</v>
      </c>
      <c r="AN1318" s="125">
        <f>IFERROR(VLOOKUP(DATA[[#This Row],[COMBINADA]],#REF!,9,0),0)/COUNTIFS(DATA[COMBINADA],DATA[[#This Row],[COMBINADA]])</f>
        <v>0</v>
      </c>
      <c r="AO1318" s="27">
        <f>IFERROR(VLOOKUP(DATA[[#This Row],[COMBINADA]],#REF!,6,0),0)</f>
        <v>0</v>
      </c>
      <c r="AP1318" s="132">
        <f>IFERROR(VLOOKUP(DATA[[#This Row],[COMBINADA]],#REF!,9,0),0)/COUNTIFS(DATA[COMBINADA],DATA[[#This Row],[COMBINADA]])</f>
        <v>0</v>
      </c>
      <c r="AQ131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597.375</v>
      </c>
      <c r="AR1318" s="26" t="str">
        <f>IFERROR(IF(DATA[[#This Row],[estado_fact]]="FACTURADO",VLOOKUP(DATA[[#This Row],[SERIE2]]&amp;"-"&amp;DATA[[#This Row],[NUMERO]],#REF!,34,0),"NO CORRESPONDE"),"NO CORRESPONDE")</f>
        <v>NO CORRESPONDE</v>
      </c>
      <c r="AS1318" s="22" t="str">
        <f>IF(DATA[[#This Row],[fecha_fs]]&gt;0,TEXT(DATA[[#This Row],[fecha_fs]],"Mmmm"),0)</f>
        <v>Octubre</v>
      </c>
      <c r="AT1318" s="22" t="str">
        <f>DATA[[#This Row],[SERIE2]]&amp;"-"&amp;DATA[[#This Row],[NUMERO]]</f>
        <v>FF01-298</v>
      </c>
      <c r="AU1318" s="28">
        <f>DATA[[#This Row],[TOTAL]]*DATA[[#This Row],[T.C.]]</f>
        <v>234.82</v>
      </c>
      <c r="AV1318" s="6">
        <f>DATA[[#This Row],[FECHA DE VAL.]]</f>
        <v>45944</v>
      </c>
      <c r="AW1318" s="6">
        <f>DATA[[#This Row],[FECHA DE EMISION]]</f>
        <v>45950</v>
      </c>
      <c r="AX1318" s="6">
        <f>DATA[[#This Row],[F1]]</f>
        <v>0</v>
      </c>
      <c r="AY1318" s="20">
        <f>IF(AV1318-DATA[[#This Row],[fecha_fs]]&lt;0,0,AV1318-DATA[[#This Row],[fecha_fs]])</f>
        <v>4</v>
      </c>
      <c r="AZ1318" s="20">
        <f t="shared" si="323"/>
        <v>6</v>
      </c>
      <c r="BA1318" s="53">
        <f t="shared" si="324"/>
        <v>0</v>
      </c>
      <c r="BB1318" s="360">
        <f>IFERROR(SUM(DATA[[#This Row],[fs_val_ttf]:[fact_pago_ttf]]),0)</f>
        <v>10</v>
      </c>
      <c r="BC1318" s="377">
        <v>45946</v>
      </c>
      <c r="BD1318" s="377">
        <v>45952</v>
      </c>
      <c r="BE1318" s="377">
        <v>45954</v>
      </c>
      <c r="BF1318" s="377">
        <v>45967</v>
      </c>
      <c r="BG1318" s="20">
        <f>IFERROR(IF(BC1318-DATA[[#This Row],[fecha_fs]]&lt;0,0,BC1318-DATA[[#This Row],[fecha_fs]]),0)</f>
        <v>6</v>
      </c>
      <c r="BH1318" s="20">
        <f t="shared" si="325"/>
        <v>6</v>
      </c>
      <c r="BI1318" s="20">
        <f t="shared" si="326"/>
        <v>2</v>
      </c>
      <c r="BJ1318" s="367">
        <f t="shared" si="327"/>
        <v>13</v>
      </c>
      <c r="BK1318" s="362">
        <f>IFERROR(SUM(DATA[[#This Row],[fs_fd_ttd]:[fend_fenf_ttd]]),0)</f>
        <v>27</v>
      </c>
      <c r="BL1318" s="20" t="str">
        <f>IF(DATA[[#This Row],[fecha_fs]]&gt;0,TEXT(DATA[[#This Row],[fecha_fs]],"YYYY"),0)</f>
        <v>2025</v>
      </c>
      <c r="BM1318" s="363" t="b">
        <v>1</v>
      </c>
      <c r="BN1318" s="278">
        <f>COUNTIF(DATA[[#This Row],[tiempo_td]], "&lt;=15")</f>
        <v>0</v>
      </c>
      <c r="BO1318" s="365"/>
    </row>
    <row r="1319" spans="1:67" ht="30.6" customHeight="1" x14ac:dyDescent="0.25">
      <c r="A1319" s="4">
        <v>20100226902</v>
      </c>
      <c r="B1319" s="5" t="s">
        <v>24</v>
      </c>
      <c r="C1319" s="52" t="s">
        <v>18</v>
      </c>
      <c r="D1319" s="4" t="s">
        <v>120</v>
      </c>
      <c r="E1319" s="5" t="s">
        <v>3</v>
      </c>
      <c r="F1319" s="24">
        <v>45940</v>
      </c>
      <c r="G1319" s="7" t="s">
        <v>113</v>
      </c>
      <c r="H1319" s="25">
        <f t="shared" si="322"/>
        <v>1</v>
      </c>
      <c r="I1319" s="331">
        <v>5108</v>
      </c>
      <c r="J1319" s="8" t="s">
        <v>115</v>
      </c>
      <c r="K1319" s="9" t="s">
        <v>121</v>
      </c>
      <c r="L1319" s="10" t="s">
        <v>117</v>
      </c>
      <c r="M1319" s="11">
        <v>840</v>
      </c>
      <c r="N1319" s="12" t="s">
        <v>187</v>
      </c>
      <c r="O1319" s="359"/>
      <c r="P1319" s="371" t="s">
        <v>114</v>
      </c>
      <c r="Q1319" s="372"/>
      <c r="R1319" s="373"/>
      <c r="S1319" s="373"/>
      <c r="T1319" s="373">
        <v>0</v>
      </c>
      <c r="U1319" s="373">
        <v>0</v>
      </c>
      <c r="V1319" s="373">
        <v>0</v>
      </c>
      <c r="W1319" s="339" t="s">
        <v>128</v>
      </c>
      <c r="X1319" s="374"/>
      <c r="Y1319" s="17" t="s">
        <v>128</v>
      </c>
      <c r="Z1319" s="340"/>
      <c r="AA1319" s="361"/>
      <c r="AB1319" s="342"/>
      <c r="AC1319" s="343"/>
      <c r="AD1319" s="344">
        <v>0</v>
      </c>
      <c r="AE1319" s="23">
        <v>1</v>
      </c>
      <c r="AF1319" s="129" t="s">
        <v>128</v>
      </c>
      <c r="AG1319" s="310">
        <f>IFERROR(VLOOKUP(DATA[[#This Row],[COMBINADA]],#REF!,6,0),0)</f>
        <v>0</v>
      </c>
      <c r="AH1319" s="311">
        <f>IFERROR(VLOOKUP(DATA[[#This Row],[COMBINADA]],#REF!,9,0),0)/COUNTIFS(DATA[COMBINADA],DATA[[#This Row],[COMBINADA]])</f>
        <v>0</v>
      </c>
      <c r="AI1319" s="310">
        <f>IFERROR(VLOOKUP(DATA[[#This Row],[COMBINADA]],#REF!,6,0),0)</f>
        <v>0</v>
      </c>
      <c r="AJ1319" s="311">
        <f>IFERROR(VLOOKUP(DATA[[#This Row],[COMBINADA]],#REF!,9,0),0)/COUNTIFS(DATA[COMBINADA],DATA[[#This Row],[COMBINADA]])</f>
        <v>0</v>
      </c>
      <c r="AK1319" s="413">
        <f>IFERROR(VLOOKUP(DATA[[#This Row],[COMBINADA]],#REF!,6,0),0)</f>
        <v>0</v>
      </c>
      <c r="AL1319" s="311">
        <f>IFERROR(VLOOKUP(DATA[[#This Row],[COMBINADA]],#REF!,9,0),0)/COUNTIFS(DATA[COMBINADA],DATA[[#This Row],[COMBINADA]])</f>
        <v>0</v>
      </c>
      <c r="AM1319" s="312">
        <f>IFERROR(VLOOKUP(DATA[[#This Row],[COMBINADA]],#REF!,6,0),0)</f>
        <v>0</v>
      </c>
      <c r="AN1319" s="311">
        <f>IFERROR(VLOOKUP(DATA[[#This Row],[COMBINADA]],#REF!,9,0),0)/COUNTIFS(DATA[COMBINADA],DATA[[#This Row],[COMBINADA]])</f>
        <v>0</v>
      </c>
      <c r="AO1319" s="313">
        <f>IFERROR(VLOOKUP(DATA[[#This Row],[COMBINADA]],#REF!,6,0),0)</f>
        <v>0</v>
      </c>
      <c r="AP1319" s="311">
        <f>IFERROR(VLOOKUP(DATA[[#This Row],[COMBINADA]],#REF!,9,0),0)/COUNTIFS(DATA[COMBINADA],DATA[[#This Row],[COMBINADA]])</f>
        <v>0</v>
      </c>
      <c r="AQ1319" s="314">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19" s="315" t="str">
        <f>IFERROR(IF(DATA[[#This Row],[estado_fact]]="FACTURADO",VLOOKUP(DATA[[#This Row],[SERIE2]]&amp;"-"&amp;DATA[[#This Row],[NUMERO]],#REF!,34,0),"NO CORRESPONDE"),"NO CORRESPONDE")</f>
        <v>NO CORRESPONDE</v>
      </c>
      <c r="AS1319" s="22" t="str">
        <f>IF(DATA[[#This Row],[fecha_fs]]&gt;0,TEXT(DATA[[#This Row],[fecha_fs]],"Mmmm"),0)</f>
        <v>Octubre</v>
      </c>
      <c r="AT1319" s="22" t="str">
        <f>DATA[[#This Row],[SERIE2]]&amp;"-"&amp;DATA[[#This Row],[NUMERO]]</f>
        <v>-</v>
      </c>
      <c r="AU1319" s="28">
        <f>DATA[[#This Row],[TOTAL]]*DATA[[#This Row],[T.C.]]</f>
        <v>0</v>
      </c>
      <c r="AV1319" s="6">
        <f>DATA[[#This Row],[FECHA DE VAL.]]</f>
        <v>0</v>
      </c>
      <c r="AW1319" s="6">
        <f>DATA[[#This Row],[FECHA DE EMISION]]</f>
        <v>0</v>
      </c>
      <c r="AX1319" s="6">
        <f>DATA[[#This Row],[F1]]</f>
        <v>0</v>
      </c>
      <c r="AY1319" s="20">
        <f>IF(AV1319-DATA[[#This Row],[fecha_fs]]&lt;0,0,AV1319-DATA[[#This Row],[fecha_fs]])</f>
        <v>0</v>
      </c>
      <c r="AZ1319" s="20">
        <f t="shared" si="323"/>
        <v>0</v>
      </c>
      <c r="BA1319" s="53">
        <f t="shared" si="324"/>
        <v>0</v>
      </c>
      <c r="BB1319" s="360">
        <f>IFERROR(SUM(DATA[[#This Row],[fs_val_ttf]:[fact_pago_ttf]]),0)</f>
        <v>0</v>
      </c>
      <c r="BC1319" s="377">
        <v>45940</v>
      </c>
      <c r="BD1319" s="377">
        <v>45940</v>
      </c>
      <c r="BE1319" s="377">
        <v>45954</v>
      </c>
      <c r="BF1319" s="377">
        <v>45954</v>
      </c>
      <c r="BG1319" s="20">
        <f>IFERROR(IF(BC1319-DATA[[#This Row],[fecha_fs]]&lt;0,0,BC1319-DATA[[#This Row],[fecha_fs]]),0)</f>
        <v>0</v>
      </c>
      <c r="BH1319" s="20">
        <f t="shared" si="325"/>
        <v>0</v>
      </c>
      <c r="BI1319" s="20">
        <f t="shared" si="326"/>
        <v>14</v>
      </c>
      <c r="BJ1319" s="367">
        <f t="shared" si="327"/>
        <v>0</v>
      </c>
      <c r="BK1319" s="362">
        <f>IFERROR(SUM(DATA[[#This Row],[fs_fd_ttd]:[fend_fenf_ttd]]),0)</f>
        <v>14</v>
      </c>
      <c r="BL1319" s="20" t="str">
        <f>IF(DATA[[#This Row],[fecha_fs]]&gt;0,TEXT(DATA[[#This Row],[fecha_fs]],"YYYY"),0)</f>
        <v>2025</v>
      </c>
      <c r="BM1319" s="363" t="b">
        <v>1</v>
      </c>
      <c r="BN1319" s="278">
        <f>COUNTIF(DATA[[#This Row],[tiempo_td]], "&lt;=15")</f>
        <v>1</v>
      </c>
      <c r="BO1319" s="365"/>
    </row>
    <row r="1320" spans="1:67" ht="30.6" customHeight="1" x14ac:dyDescent="0.25">
      <c r="A1320" s="4">
        <v>20100192064</v>
      </c>
      <c r="B1320" s="5" t="s">
        <v>60</v>
      </c>
      <c r="C1320" s="52" t="s">
        <v>64</v>
      </c>
      <c r="D1320" s="4" t="s">
        <v>112</v>
      </c>
      <c r="E1320" s="5" t="s">
        <v>1</v>
      </c>
      <c r="F1320" s="24">
        <v>45940</v>
      </c>
      <c r="G1320" s="7" t="s">
        <v>113</v>
      </c>
      <c r="H1320" s="25">
        <f t="shared" si="322"/>
        <v>1</v>
      </c>
      <c r="I1320" s="331">
        <v>5109</v>
      </c>
      <c r="J1320" s="8" t="s">
        <v>115</v>
      </c>
      <c r="K1320" s="9" t="s">
        <v>136</v>
      </c>
      <c r="L1320" s="10" t="s">
        <v>137</v>
      </c>
      <c r="M1320" s="11">
        <v>12</v>
      </c>
      <c r="N1320" s="12" t="s">
        <v>135</v>
      </c>
      <c r="O1320" s="6">
        <v>45957</v>
      </c>
      <c r="P1320" s="71">
        <v>3762</v>
      </c>
      <c r="Q1320" s="14" t="s">
        <v>123</v>
      </c>
      <c r="R1320" s="56">
        <f>DATA[[#This Row],[cantidad_fs]]*23.7</f>
        <v>284.39999999999998</v>
      </c>
      <c r="S1320" s="74"/>
      <c r="T1320" s="321">
        <f>DATA[[#This Row],[C. DF]]+DATA[[#This Row],[C.OPE.]]</f>
        <v>284.39999999999998</v>
      </c>
      <c r="U1320" s="15">
        <f>DATA[[#This Row],[SUB TOTAL]]*0.18</f>
        <v>51.191999999999993</v>
      </c>
      <c r="V1320" s="15">
        <f>IFERROR(ROUND(DATA[[#This Row],[SUB TOTAL]]+DATA[[#This Row],[IGV]],2),0)</f>
        <v>335.59</v>
      </c>
      <c r="W1320" s="339" t="str">
        <f>IF(DATA[[#This Row],[VALORIZACIÓN ]]="-","NO CORRESPONDE",IF(OR(A1320=20558226979,A1320=10470707866,A1320=20111157058,A1320=20100226902),"NO CORRESPONDE",IF(J1320="Emitida",IF(P1320&gt;0,"EMITIDA","PENDIENTE"),"NO CORRESPONDE")))</f>
        <v>EMITIDA</v>
      </c>
      <c r="X1320" s="29" t="s">
        <v>375</v>
      </c>
      <c r="Y1320" s="17" t="s">
        <v>118</v>
      </c>
      <c r="Z1320" s="30">
        <v>45961</v>
      </c>
      <c r="AA1320" s="10" t="s">
        <v>150</v>
      </c>
      <c r="AB1320" s="19">
        <v>318</v>
      </c>
      <c r="AC1320" s="20">
        <v>30</v>
      </c>
      <c r="AD1320" s="18">
        <f>DATA[[#This Row],[FECHA DE EMISION]]+DATA[[#This Row],[CONDICION DE PAGO]]</f>
        <v>45991</v>
      </c>
      <c r="AE1320" s="23" t="e">
        <f>IF(DATA[[#This Row],[MONEDA]]="USD",VLOOKUP(DATA[[#This Row],[COMBINADA]],#REF!,11,0),1)</f>
        <v>#REF!</v>
      </c>
      <c r="AF1320" s="129" t="str">
        <f>IF(DATA[[#This Row],[SERIE2]]="-","NO CORRESPONDE",IF(W1320="NO CORRESPONDE","NO CORRESPONDE",IF(Z1320&gt;0,"FACTURADO","PENDIENTE")))</f>
        <v>FACTURADO</v>
      </c>
      <c r="AG1320" s="133">
        <f>IFERROR(VLOOKUP(DATA[[#This Row],[COMBINADA]],#REF!,6,0),0)</f>
        <v>0</v>
      </c>
      <c r="AH1320" s="125">
        <f>IFERROR(VLOOKUP(DATA[[#This Row],[COMBINADA]],#REF!,9,0),0)/COUNTIFS(DATA[COMBINADA],DATA[[#This Row],[COMBINADA]])</f>
        <v>0</v>
      </c>
      <c r="AI1320" s="136">
        <f>IFERROR(VLOOKUP(DATA[[#This Row],[COMBINADA]],#REF!,6,0),0)</f>
        <v>0</v>
      </c>
      <c r="AJ1320" s="132">
        <f>IFERROR(VLOOKUP(DATA[[#This Row],[COMBINADA]],#REF!,9,0),0)/COUNTIFS(DATA[COMBINADA],DATA[[#This Row],[COMBINADA]])</f>
        <v>0</v>
      </c>
      <c r="AK1320" s="407">
        <f>IFERROR(VLOOKUP(DATA[[#This Row],[COMBINADA]],#REF!,6,0),0)</f>
        <v>0</v>
      </c>
      <c r="AL1320" s="125">
        <f>IFERROR(VLOOKUP(DATA[[#This Row],[COMBINADA]],#REF!,9,0),0)/COUNTIFS(DATA[COMBINADA],DATA[[#This Row],[COMBINADA]])</f>
        <v>0</v>
      </c>
      <c r="AM1320" s="27">
        <f>IFERROR(VLOOKUP(DATA[[#This Row],[COMBINADA]],#REF!,6,0),0)</f>
        <v>0</v>
      </c>
      <c r="AN1320" s="125">
        <f>IFERROR(VLOOKUP(DATA[[#This Row],[COMBINADA]],#REF!,9,0),0)/COUNTIFS(DATA[COMBINADA],DATA[[#This Row],[COMBINADA]])</f>
        <v>0</v>
      </c>
      <c r="AO1320" s="27">
        <f>IFERROR(VLOOKUP(DATA[[#This Row],[COMBINADA]],#REF!,6,0),0)</f>
        <v>0</v>
      </c>
      <c r="AP1320" s="132">
        <f>IFERROR(VLOOKUP(DATA[[#This Row],[COMBINADA]],#REF!,9,0),0)/COUNTIFS(DATA[COMBINADA],DATA[[#This Row],[COMBINADA]])</f>
        <v>0</v>
      </c>
      <c r="AQ132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492.32615384615383</v>
      </c>
      <c r="AR1320" s="26" t="str">
        <f>IFERROR(IF(DATA[[#This Row],[estado_fact]]="FACTURADO",VLOOKUP(DATA[[#This Row],[SERIE2]]&amp;"-"&amp;DATA[[#This Row],[NUMERO]],#REF!,34,0),"NO CORRESPONDE"),"NO CORRESPONDE")</f>
        <v>NO CORRESPONDE</v>
      </c>
      <c r="AS1320" s="22" t="str">
        <f>IF(DATA[[#This Row],[fecha_fs]]&gt;0,TEXT(DATA[[#This Row],[fecha_fs]],"Mmmm"),0)</f>
        <v>Octubre</v>
      </c>
      <c r="AT1320" s="22" t="str">
        <f>DATA[[#This Row],[SERIE2]]&amp;"-"&amp;DATA[[#This Row],[NUMERO]]</f>
        <v>FF01-318</v>
      </c>
      <c r="AU1320" s="28" t="e">
        <f>DATA[[#This Row],[TOTAL]]*DATA[[#This Row],[T.C.]]</f>
        <v>#REF!</v>
      </c>
      <c r="AV1320" s="6">
        <f>DATA[[#This Row],[FECHA DE VAL.]]</f>
        <v>45957</v>
      </c>
      <c r="AW1320" s="6">
        <f>DATA[[#This Row],[FECHA DE EMISION]]</f>
        <v>45961</v>
      </c>
      <c r="AX1320" s="6">
        <f>DATA[[#This Row],[F1]]</f>
        <v>0</v>
      </c>
      <c r="AY1320" s="20">
        <f>IF(AV1320-DATA[[#This Row],[fecha_fs]]&lt;0,0,AV1320-DATA[[#This Row],[fecha_fs]])</f>
        <v>17</v>
      </c>
      <c r="AZ1320" s="20">
        <f t="shared" si="323"/>
        <v>4</v>
      </c>
      <c r="BA1320" s="53">
        <f t="shared" si="324"/>
        <v>0</v>
      </c>
      <c r="BB1320" s="360">
        <f>IFERROR(SUM(DATA[[#This Row],[fs_val_ttf]:[fact_pago_ttf]]),0)</f>
        <v>21</v>
      </c>
      <c r="BC1320" s="377">
        <v>45943</v>
      </c>
      <c r="BD1320" s="377">
        <v>45958</v>
      </c>
      <c r="BE1320" s="377">
        <v>45967</v>
      </c>
      <c r="BF1320" s="361" t="s">
        <v>270</v>
      </c>
      <c r="BG1320" s="20">
        <f>IFERROR(IF(BC1320-DATA[[#This Row],[fecha_fs]]&lt;0,0,BC1320-DATA[[#This Row],[fecha_fs]]),0)</f>
        <v>3</v>
      </c>
      <c r="BH1320" s="20">
        <f t="shared" si="325"/>
        <v>15</v>
      </c>
      <c r="BI1320" s="20">
        <f t="shared" si="326"/>
        <v>9</v>
      </c>
      <c r="BJ1320" s="367">
        <f t="shared" si="327"/>
        <v>0</v>
      </c>
      <c r="BK1320" s="362">
        <f>IFERROR(SUM(DATA[[#This Row],[fs_fd_ttd]:[fend_fenf_ttd]]),0)</f>
        <v>27</v>
      </c>
      <c r="BL1320" s="20" t="str">
        <f>IF(DATA[[#This Row],[fecha_fs]]&gt;0,TEXT(DATA[[#This Row],[fecha_fs]],"YYYY"),0)</f>
        <v>2025</v>
      </c>
      <c r="BM1320" s="363" t="b">
        <v>0</v>
      </c>
      <c r="BN1320" s="278">
        <f>COUNTIF(DATA[[#This Row],[tiempo_td]], "&lt;=15")</f>
        <v>0</v>
      </c>
      <c r="BO1320" s="365"/>
    </row>
    <row r="1321" spans="1:67" ht="30.6" customHeight="1" x14ac:dyDescent="0.25">
      <c r="A1321" s="4">
        <v>20100211115</v>
      </c>
      <c r="B1321" s="5" t="s">
        <v>41</v>
      </c>
      <c r="C1321" s="52" t="s">
        <v>18</v>
      </c>
      <c r="D1321" s="4" t="s">
        <v>120</v>
      </c>
      <c r="E1321" s="5" t="s">
        <v>3</v>
      </c>
      <c r="F1321" s="24">
        <v>45943</v>
      </c>
      <c r="G1321" s="7" t="s">
        <v>113</v>
      </c>
      <c r="H1321" s="25">
        <f t="shared" si="322"/>
        <v>1</v>
      </c>
      <c r="I1321" s="331">
        <v>5110</v>
      </c>
      <c r="J1321" s="8" t="s">
        <v>115</v>
      </c>
      <c r="K1321" s="9" t="s">
        <v>121</v>
      </c>
      <c r="L1321" s="10" t="s">
        <v>117</v>
      </c>
      <c r="M1321" s="11">
        <v>90</v>
      </c>
      <c r="N1321" s="12" t="s">
        <v>167</v>
      </c>
      <c r="O1321" s="6">
        <v>45957</v>
      </c>
      <c r="P1321" s="115">
        <v>3742</v>
      </c>
      <c r="Q1321" s="14" t="s">
        <v>85</v>
      </c>
      <c r="R1321" s="74"/>
      <c r="S1321" s="401">
        <f>(DATA[[#This Row],[cantidad_fs]]*4.17)</f>
        <v>375.3</v>
      </c>
      <c r="T1321" s="321">
        <f>DATA[[#This Row],[C. DF]]+DATA[[#This Row],[C.OPE.]]</f>
        <v>375.3</v>
      </c>
      <c r="U1321" s="15">
        <f>DATA[[#This Row],[SUB TOTAL]]*0.18</f>
        <v>67.554000000000002</v>
      </c>
      <c r="V1321" s="15">
        <f>IFERROR(ROUND(DATA[[#This Row],[SUB TOTAL]]+DATA[[#This Row],[IGV]],2),0)</f>
        <v>442.85</v>
      </c>
      <c r="W1321" s="339" t="str">
        <f>IF(DATA[[#This Row],[VALORIZACIÓN ]]="-","NO CORRESPONDE",IF(OR(A1321=20558226979,A1321=10470707866,A1321=20111157058,A1321=20100226902),"NO CORRESPONDE",IF(J1321="Emitida",IF(P1321&gt;0,"EMITIDA","PENDIENTE"),"NO CORRESPONDE")))</f>
        <v>EMITIDA</v>
      </c>
      <c r="X1321" s="29"/>
      <c r="Y1321" s="17" t="s">
        <v>118</v>
      </c>
      <c r="Z1321" s="30">
        <v>45958</v>
      </c>
      <c r="AA1321" s="10" t="s">
        <v>150</v>
      </c>
      <c r="AB1321" s="19">
        <v>309</v>
      </c>
      <c r="AC1321" s="20">
        <v>30</v>
      </c>
      <c r="AD1321" s="18">
        <f>DATA[[#This Row],[FECHA DE EMISION]]+DATA[[#This Row],[CONDICION DE PAGO]]</f>
        <v>45988</v>
      </c>
      <c r="AE1321" s="23">
        <f>IF(DATA[[#This Row],[MONEDA]]="USD",VLOOKUP(DATA[[#This Row],[COMBINADA]],#REF!,11,0),1)</f>
        <v>1</v>
      </c>
      <c r="AF1321" s="129" t="str">
        <f>IF(DATA[[#This Row],[SERIE2]]="-","NO CORRESPONDE",IF(W1321="NO CORRESPONDE","NO CORRESPONDE",IF(Z1321&gt;0,"FACTURADO","PENDIENTE")))</f>
        <v>FACTURADO</v>
      </c>
      <c r="AG1321" s="133">
        <f>IFERROR(VLOOKUP(DATA[[#This Row],[COMBINADA]],#REF!,6,0),0)</f>
        <v>0</v>
      </c>
      <c r="AH1321" s="125">
        <f>IFERROR(VLOOKUP(DATA[[#This Row],[COMBINADA]],#REF!,9,0),0)/COUNTIFS(DATA[COMBINADA],DATA[[#This Row],[COMBINADA]])</f>
        <v>0</v>
      </c>
      <c r="AI1321" s="136">
        <f>IFERROR(VLOOKUP(DATA[[#This Row],[COMBINADA]],#REF!,6,0),0)</f>
        <v>0</v>
      </c>
      <c r="AJ1321" s="132">
        <f>IFERROR(VLOOKUP(DATA[[#This Row],[COMBINADA]],#REF!,9,0),0)/COUNTIFS(DATA[COMBINADA],DATA[[#This Row],[COMBINADA]])</f>
        <v>0</v>
      </c>
      <c r="AK1321" s="407">
        <f>IFERROR(VLOOKUP(DATA[[#This Row],[COMBINADA]],#REF!,6,0),0)</f>
        <v>0</v>
      </c>
      <c r="AL1321" s="125">
        <f>IFERROR(VLOOKUP(DATA[[#This Row],[COMBINADA]],#REF!,9,0),0)/COUNTIFS(DATA[COMBINADA],DATA[[#This Row],[COMBINADA]])</f>
        <v>0</v>
      </c>
      <c r="AM1321" s="27">
        <f>IFERROR(VLOOKUP(DATA[[#This Row],[COMBINADA]],#REF!,6,0),0)</f>
        <v>0</v>
      </c>
      <c r="AN1321" s="125">
        <f>IFERROR(VLOOKUP(DATA[[#This Row],[COMBINADA]],#REF!,9,0),0)/COUNTIFS(DATA[COMBINADA],DATA[[#This Row],[COMBINADA]])</f>
        <v>0</v>
      </c>
      <c r="AO1321" s="27">
        <f>IFERROR(VLOOKUP(DATA[[#This Row],[COMBINADA]],#REF!,6,0),0)</f>
        <v>0</v>
      </c>
      <c r="AP1321" s="132">
        <f>IFERROR(VLOOKUP(DATA[[#This Row],[COMBINADA]],#REF!,9,0),0)/COUNTIFS(DATA[COMBINADA],DATA[[#This Row],[COMBINADA]])</f>
        <v>0</v>
      </c>
      <c r="AQ132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321" s="26" t="str">
        <f>IFERROR(IF(DATA[[#This Row],[estado_fact]]="FACTURADO",VLOOKUP(DATA[[#This Row],[SERIE2]]&amp;"-"&amp;DATA[[#This Row],[NUMERO]],#REF!,34,0),"NO CORRESPONDE"),"NO CORRESPONDE")</f>
        <v>NO CORRESPONDE</v>
      </c>
      <c r="AS1321" s="22" t="str">
        <f>IF(DATA[[#This Row],[fecha_fs]]&gt;0,TEXT(DATA[[#This Row],[fecha_fs]],"Mmmm"),0)</f>
        <v>Octubre</v>
      </c>
      <c r="AT1321" s="22" t="str">
        <f>DATA[[#This Row],[SERIE2]]&amp;"-"&amp;DATA[[#This Row],[NUMERO]]</f>
        <v>FF01-309</v>
      </c>
      <c r="AU1321" s="28">
        <f>DATA[[#This Row],[TOTAL]]*DATA[[#This Row],[T.C.]]</f>
        <v>442.85</v>
      </c>
      <c r="AV1321" s="6">
        <f>DATA[[#This Row],[FECHA DE VAL.]]</f>
        <v>45957</v>
      </c>
      <c r="AW1321" s="6">
        <f>DATA[[#This Row],[FECHA DE EMISION]]</f>
        <v>45958</v>
      </c>
      <c r="AX1321" s="6">
        <f>DATA[[#This Row],[F1]]</f>
        <v>0</v>
      </c>
      <c r="AY1321" s="20">
        <f>IF(AV1321-DATA[[#This Row],[fecha_fs]]&lt;0,0,AV1321-DATA[[#This Row],[fecha_fs]])</f>
        <v>14</v>
      </c>
      <c r="AZ1321" s="20">
        <f t="shared" si="323"/>
        <v>1</v>
      </c>
      <c r="BA1321" s="53">
        <f t="shared" si="324"/>
        <v>0</v>
      </c>
      <c r="BB1321" s="360">
        <f>IFERROR(SUM(DATA[[#This Row],[fs_val_ttf]:[fact_pago_ttf]]),0)</f>
        <v>15</v>
      </c>
      <c r="BC1321" s="233">
        <v>45957</v>
      </c>
      <c r="BD1321" s="233">
        <v>45964</v>
      </c>
      <c r="BE1321" s="233">
        <v>45967</v>
      </c>
      <c r="BF1321" s="233">
        <v>45967</v>
      </c>
      <c r="BG1321" s="20">
        <f>IFERROR(IF(BC1321-DATA[[#This Row],[fecha_fs]]&lt;0,0,BC1321-DATA[[#This Row],[fecha_fs]]),0)</f>
        <v>14</v>
      </c>
      <c r="BH1321" s="20">
        <f t="shared" si="325"/>
        <v>7</v>
      </c>
      <c r="BI1321" s="20">
        <f t="shared" si="326"/>
        <v>3</v>
      </c>
      <c r="BJ1321" s="367">
        <f t="shared" si="327"/>
        <v>0</v>
      </c>
      <c r="BK1321" s="362">
        <f>IFERROR(SUM(DATA[[#This Row],[fs_fd_ttd]:[fend_fenf_ttd]]),0)</f>
        <v>24</v>
      </c>
      <c r="BL1321" s="20" t="str">
        <f>IF(DATA[[#This Row],[fecha_fs]]&gt;0,TEXT(DATA[[#This Row],[fecha_fs]],"YYYY"),0)</f>
        <v>2025</v>
      </c>
      <c r="BM1321" s="363" t="b">
        <v>1</v>
      </c>
      <c r="BN1321" s="278">
        <f>COUNTIF(DATA[[#This Row],[tiempo_td]], "&lt;=15")</f>
        <v>0</v>
      </c>
      <c r="BO1321" s="365"/>
    </row>
    <row r="1322" spans="1:67" ht="30.6" customHeight="1" x14ac:dyDescent="0.25">
      <c r="A1322" s="4">
        <v>20141637941</v>
      </c>
      <c r="B1322" s="5" t="s">
        <v>79</v>
      </c>
      <c r="C1322" s="52" t="s">
        <v>18</v>
      </c>
      <c r="D1322" s="4" t="s">
        <v>120</v>
      </c>
      <c r="E1322" s="5" t="s">
        <v>3</v>
      </c>
      <c r="F1322" s="24">
        <v>45943</v>
      </c>
      <c r="G1322" s="7" t="s">
        <v>113</v>
      </c>
      <c r="H1322" s="25">
        <f t="shared" si="322"/>
        <v>1</v>
      </c>
      <c r="I1322" s="331">
        <v>5111</v>
      </c>
      <c r="J1322" s="8" t="s">
        <v>115</v>
      </c>
      <c r="K1322" s="9" t="s">
        <v>121</v>
      </c>
      <c r="L1322" s="10" t="s">
        <v>117</v>
      </c>
      <c r="M1322" s="11">
        <v>790</v>
      </c>
      <c r="N1322" s="12" t="s">
        <v>249</v>
      </c>
      <c r="O1322" s="6">
        <v>45946</v>
      </c>
      <c r="P1322" s="110">
        <v>3724</v>
      </c>
      <c r="Q1322" s="14" t="s">
        <v>85</v>
      </c>
      <c r="R1322" s="401">
        <v>80</v>
      </c>
      <c r="S1322" s="401">
        <v>832</v>
      </c>
      <c r="T1322" s="321">
        <f>DATA[[#This Row],[C. DF]]+DATA[[#This Row],[C.OPE.]]</f>
        <v>912</v>
      </c>
      <c r="U1322" s="15">
        <f>DATA[[#This Row],[SUB TOTAL]]*0.18</f>
        <v>164.16</v>
      </c>
      <c r="V1322" s="15">
        <f>IFERROR(ROUND(DATA[[#This Row],[SUB TOTAL]]+DATA[[#This Row],[IGV]],2),0)</f>
        <v>1076.1600000000001</v>
      </c>
      <c r="W1322" s="339" t="str">
        <f>IF(DATA[[#This Row],[VALORIZACIÓN ]]="-","NO CORRESPONDE",IF(OR(A1322=20558226979,A1322=10470707866,A1322=20111157058,A1322=20100226902),"NO CORRESPONDE",IF(J1322="Emitida",IF(P1322&gt;0,"EMITIDA","PENDIENTE"),"NO CORRESPONDE")))</f>
        <v>EMITIDA</v>
      </c>
      <c r="X1322" s="29"/>
      <c r="Y1322" s="17" t="s">
        <v>118</v>
      </c>
      <c r="Z1322" s="30">
        <v>45946</v>
      </c>
      <c r="AA1322" s="10" t="s">
        <v>150</v>
      </c>
      <c r="AB1322" s="19">
        <v>294</v>
      </c>
      <c r="AC1322" s="20">
        <v>30</v>
      </c>
      <c r="AD1322" s="18">
        <f>DATA[[#This Row],[FECHA DE EMISION]]+DATA[[#This Row],[CONDICION DE PAGO]]</f>
        <v>45976</v>
      </c>
      <c r="AE1322" s="23">
        <f>IF(DATA[[#This Row],[MONEDA]]="USD",VLOOKUP(DATA[[#This Row],[COMBINADA]],#REF!,11,0),1)</f>
        <v>1</v>
      </c>
      <c r="AF1322" s="129" t="str">
        <f>IF(DATA[[#This Row],[SERIE2]]="-","NO CORRESPONDE",IF(W1322="NO CORRESPONDE","NO CORRESPONDE",IF(Z1322&gt;0,"FACTURADO","PENDIENTE")))</f>
        <v>FACTURADO</v>
      </c>
      <c r="AG1322" s="133">
        <f>IFERROR(VLOOKUP(DATA[[#This Row],[COMBINADA]],#REF!,6,0),0)</f>
        <v>0</v>
      </c>
      <c r="AH1322" s="125">
        <f>IFERROR(VLOOKUP(DATA[[#This Row],[COMBINADA]],#REF!,9,0),0)/COUNTIFS(DATA[COMBINADA],DATA[[#This Row],[COMBINADA]])</f>
        <v>0</v>
      </c>
      <c r="AI1322" s="136">
        <f>IFERROR(VLOOKUP(DATA[[#This Row],[COMBINADA]],#REF!,6,0),0)</f>
        <v>0</v>
      </c>
      <c r="AJ1322" s="132">
        <f>IFERROR(VLOOKUP(DATA[[#This Row],[COMBINADA]],#REF!,9,0),0)/COUNTIFS(DATA[COMBINADA],DATA[[#This Row],[COMBINADA]])</f>
        <v>0</v>
      </c>
      <c r="AK1322" s="407">
        <f>IFERROR(VLOOKUP(DATA[[#This Row],[COMBINADA]],#REF!,6,0),0)</f>
        <v>0</v>
      </c>
      <c r="AL1322" s="125">
        <f>IFERROR(VLOOKUP(DATA[[#This Row],[COMBINADA]],#REF!,9,0),0)/COUNTIFS(DATA[COMBINADA],DATA[[#This Row],[COMBINADA]])</f>
        <v>0</v>
      </c>
      <c r="AM1322" s="27">
        <f>IFERROR(VLOOKUP(DATA[[#This Row],[COMBINADA]],#REF!,6,0),0)</f>
        <v>0</v>
      </c>
      <c r="AN1322" s="125">
        <f>IFERROR(VLOOKUP(DATA[[#This Row],[COMBINADA]],#REF!,9,0),0)/COUNTIFS(DATA[COMBINADA],DATA[[#This Row],[COMBINADA]])</f>
        <v>0</v>
      </c>
      <c r="AO1322" s="27">
        <f>IFERROR(VLOOKUP(DATA[[#This Row],[COMBINADA]],#REF!,6,0),0)</f>
        <v>0</v>
      </c>
      <c r="AP1322" s="132">
        <f>IFERROR(VLOOKUP(DATA[[#This Row],[COMBINADA]],#REF!,9,0),0)/COUNTIFS(DATA[COMBINADA],DATA[[#This Row],[COMBINADA]])</f>
        <v>0</v>
      </c>
      <c r="AQ132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1077.8125</v>
      </c>
      <c r="AR1322" s="26" t="str">
        <f>IFERROR(IF(DATA[[#This Row],[estado_fact]]="FACTURADO",VLOOKUP(DATA[[#This Row],[SERIE2]]&amp;"-"&amp;DATA[[#This Row],[NUMERO]],#REF!,34,0),"NO CORRESPONDE"),"NO CORRESPONDE")</f>
        <v>NO CORRESPONDE</v>
      </c>
      <c r="AS1322" s="22" t="str">
        <f>IF(DATA[[#This Row],[fecha_fs]]&gt;0,TEXT(DATA[[#This Row],[fecha_fs]],"Mmmm"),0)</f>
        <v>Octubre</v>
      </c>
      <c r="AT1322" s="22" t="str">
        <f>DATA[[#This Row],[SERIE2]]&amp;"-"&amp;DATA[[#This Row],[NUMERO]]</f>
        <v>FF01-294</v>
      </c>
      <c r="AU1322" s="28">
        <f>DATA[[#This Row],[TOTAL]]*DATA[[#This Row],[T.C.]]</f>
        <v>1076.1600000000001</v>
      </c>
      <c r="AV1322" s="6">
        <f>DATA[[#This Row],[FECHA DE VAL.]]</f>
        <v>45946</v>
      </c>
      <c r="AW1322" s="6">
        <f>DATA[[#This Row],[FECHA DE EMISION]]</f>
        <v>45946</v>
      </c>
      <c r="AX1322" s="6">
        <f>DATA[[#This Row],[F1]]</f>
        <v>0</v>
      </c>
      <c r="AY1322" s="20">
        <f>IF(AV1322-DATA[[#This Row],[fecha_fs]]&lt;0,0,AV1322-DATA[[#This Row],[fecha_fs]])</f>
        <v>3</v>
      </c>
      <c r="AZ1322" s="20">
        <f t="shared" si="323"/>
        <v>0</v>
      </c>
      <c r="BA1322" s="53">
        <f t="shared" si="324"/>
        <v>0</v>
      </c>
      <c r="BB1322" s="360">
        <f>IFERROR(SUM(DATA[[#This Row],[fs_val_ttf]:[fact_pago_ttf]]),0)</f>
        <v>3</v>
      </c>
      <c r="BC1322" s="377">
        <v>45943</v>
      </c>
      <c r="BD1322" s="377">
        <v>45945</v>
      </c>
      <c r="BE1322" s="377">
        <v>45964</v>
      </c>
      <c r="BF1322" s="377">
        <v>45967</v>
      </c>
      <c r="BG1322" s="20">
        <f>IFERROR(IF(BC1322-DATA[[#This Row],[fecha_fs]]&lt;0,0,BC1322-DATA[[#This Row],[fecha_fs]]),0)</f>
        <v>0</v>
      </c>
      <c r="BH1322" s="20">
        <f t="shared" si="325"/>
        <v>2</v>
      </c>
      <c r="BI1322" s="20">
        <f t="shared" si="326"/>
        <v>19</v>
      </c>
      <c r="BJ1322" s="367">
        <f t="shared" si="327"/>
        <v>3</v>
      </c>
      <c r="BK1322" s="362">
        <f>IFERROR(SUM(DATA[[#This Row],[fs_fd_ttd]:[fend_fenf_ttd]]),0)</f>
        <v>24</v>
      </c>
      <c r="BL1322" s="20" t="str">
        <f>IF(DATA[[#This Row],[fecha_fs]]&gt;0,TEXT(DATA[[#This Row],[fecha_fs]],"YYYY"),0)</f>
        <v>2025</v>
      </c>
      <c r="BM1322" s="363" t="b">
        <v>1</v>
      </c>
      <c r="BN1322" s="278">
        <f>COUNTIF(DATA[[#This Row],[tiempo_td]], "&lt;=15")</f>
        <v>0</v>
      </c>
      <c r="BO1322" s="365"/>
    </row>
    <row r="1323" spans="1:67" ht="30.6" customHeight="1" x14ac:dyDescent="0.25">
      <c r="A1323" s="4">
        <v>20100055237</v>
      </c>
      <c r="B1323" s="5" t="s">
        <v>21</v>
      </c>
      <c r="C1323" s="52" t="s">
        <v>138</v>
      </c>
      <c r="D1323" s="4" t="s">
        <v>139</v>
      </c>
      <c r="E1323" s="5" t="s">
        <v>23</v>
      </c>
      <c r="F1323" s="24">
        <v>45944</v>
      </c>
      <c r="G1323" s="7" t="s">
        <v>113</v>
      </c>
      <c r="H1323" s="25">
        <f t="shared" si="322"/>
        <v>1</v>
      </c>
      <c r="I1323" s="331">
        <v>5112</v>
      </c>
      <c r="J1323" s="8" t="s">
        <v>115</v>
      </c>
      <c r="K1323" s="9" t="s">
        <v>121</v>
      </c>
      <c r="L1323" s="10" t="s">
        <v>117</v>
      </c>
      <c r="M1323" s="11">
        <v>110</v>
      </c>
      <c r="N1323" s="12" t="s">
        <v>249</v>
      </c>
      <c r="O1323" s="6">
        <v>45961</v>
      </c>
      <c r="P1323" s="54">
        <v>3772</v>
      </c>
      <c r="Q1323" s="14" t="s">
        <v>85</v>
      </c>
      <c r="R1323" s="401"/>
      <c r="S1323" s="401">
        <v>297.92</v>
      </c>
      <c r="T1323" s="321">
        <f>DATA[[#This Row],[C. DF]]+DATA[[#This Row],[C.OPE.]]</f>
        <v>297.92</v>
      </c>
      <c r="U1323" s="15">
        <f>DATA[[#This Row],[SUB TOTAL]]*0.18</f>
        <v>53.625599999999999</v>
      </c>
      <c r="V1323" s="15">
        <f>IFERROR(ROUND(DATA[[#This Row],[SUB TOTAL]]+DATA[[#This Row],[IGV]],2),0)</f>
        <v>351.55</v>
      </c>
      <c r="W1323" s="339" t="str">
        <f>IF(DATA[[#This Row],[VALORIZACIÓN ]]="-","NO CORRESPONDE",IF(OR(A1323=20558226979,A1323=10470707866,A1323=20111157058,A1323=20100226902),"NO CORRESPONDE",IF(J1323="Emitida",IF(P1323&gt;0,"EMITIDA","PENDIENTE"),"NO CORRESPONDE")))</f>
        <v>EMITIDA</v>
      </c>
      <c r="X1323" s="29"/>
      <c r="Y1323" s="17" t="s">
        <v>232</v>
      </c>
      <c r="Z1323" s="30"/>
      <c r="AA1323" s="10"/>
      <c r="AB1323" s="19"/>
      <c r="AC1323" s="20"/>
      <c r="AD1323" s="18">
        <f>DATA[[#This Row],[FECHA DE EMISION]]+DATA[[#This Row],[CONDICION DE PAGO]]</f>
        <v>0</v>
      </c>
      <c r="AE1323" s="23">
        <f>IF(DATA[[#This Row],[MONEDA]]="USD",VLOOKUP(DATA[[#This Row],[COMBINADA]],#REF!,11,0),1)</f>
        <v>1</v>
      </c>
      <c r="AF1323" s="129" t="str">
        <f>IF(DATA[[#This Row],[SERIE2]]="-","NO CORRESPONDE",IF(W1323="NO CORRESPONDE","NO CORRESPONDE",IF(Z1323&gt;0,"FACTURADO","PENDIENTE")))</f>
        <v>PENDIENTE</v>
      </c>
      <c r="AG1323" s="133">
        <f>IFERROR(VLOOKUP(DATA[[#This Row],[COMBINADA]],#REF!,6,0),0)</f>
        <v>0</v>
      </c>
      <c r="AH1323" s="125">
        <f>IFERROR(VLOOKUP(DATA[[#This Row],[COMBINADA]],#REF!,9,0),0)/COUNTIFS(DATA[COMBINADA],DATA[[#This Row],[COMBINADA]])</f>
        <v>0</v>
      </c>
      <c r="AI1323" s="136">
        <f>IFERROR(VLOOKUP(DATA[[#This Row],[COMBINADA]],#REF!,6,0),0)</f>
        <v>0</v>
      </c>
      <c r="AJ1323" s="132">
        <f>IFERROR(VLOOKUP(DATA[[#This Row],[COMBINADA]],#REF!,9,0),0)/COUNTIFS(DATA[COMBINADA],DATA[[#This Row],[COMBINADA]])</f>
        <v>0</v>
      </c>
      <c r="AK1323" s="407">
        <f>IFERROR(VLOOKUP(DATA[[#This Row],[COMBINADA]],#REF!,6,0),0)</f>
        <v>0</v>
      </c>
      <c r="AL1323" s="125">
        <f>IFERROR(VLOOKUP(DATA[[#This Row],[COMBINADA]],#REF!,9,0),0)/COUNTIFS(DATA[COMBINADA],DATA[[#This Row],[COMBINADA]])</f>
        <v>0</v>
      </c>
      <c r="AM1323" s="27">
        <f>IFERROR(VLOOKUP(DATA[[#This Row],[COMBINADA]],#REF!,6,0),0)</f>
        <v>0</v>
      </c>
      <c r="AN1323" s="125">
        <f>IFERROR(VLOOKUP(DATA[[#This Row],[COMBINADA]],#REF!,9,0),0)/COUNTIFS(DATA[COMBINADA],DATA[[#This Row],[COMBINADA]])</f>
        <v>0</v>
      </c>
      <c r="AO1323" s="27">
        <f>IFERROR(VLOOKUP(DATA[[#This Row],[COMBINADA]],#REF!,6,0),0)</f>
        <v>0</v>
      </c>
      <c r="AP1323" s="132">
        <f>IFERROR(VLOOKUP(DATA[[#This Row],[COMBINADA]],#REF!,9,0),0)/COUNTIFS(DATA[COMBINADA],DATA[[#This Row],[COMBINADA]])</f>
        <v>0</v>
      </c>
      <c r="AQ132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23" s="26" t="str">
        <f>IFERROR(IF(DATA[[#This Row],[estado_fact]]="FACTURADO",VLOOKUP(DATA[[#This Row],[SERIE2]]&amp;"-"&amp;DATA[[#This Row],[NUMERO]],#REF!,34,0),"NO CORRESPONDE"),"NO CORRESPONDE")</f>
        <v>NO CORRESPONDE</v>
      </c>
      <c r="AS1323" s="22" t="str">
        <f>IF(DATA[[#This Row],[fecha_fs]]&gt;0,TEXT(DATA[[#This Row],[fecha_fs]],"Mmmm"),0)</f>
        <v>Octubre</v>
      </c>
      <c r="AT1323" s="22" t="str">
        <f>DATA[[#This Row],[SERIE2]]&amp;"-"&amp;DATA[[#This Row],[NUMERO]]</f>
        <v>-</v>
      </c>
      <c r="AU1323" s="28">
        <f>DATA[[#This Row],[TOTAL]]*DATA[[#This Row],[T.C.]]</f>
        <v>351.55</v>
      </c>
      <c r="AV1323" s="6">
        <f>DATA[[#This Row],[FECHA DE VAL.]]</f>
        <v>45961</v>
      </c>
      <c r="AW1323" s="6">
        <f>DATA[[#This Row],[FECHA DE EMISION]]</f>
        <v>0</v>
      </c>
      <c r="AX1323" s="6">
        <f>DATA[[#This Row],[F1]]</f>
        <v>0</v>
      </c>
      <c r="AY1323" s="20">
        <f>IF(AV1323-DATA[[#This Row],[fecha_fs]]&lt;0,0,AV1323-DATA[[#This Row],[fecha_fs]])</f>
        <v>17</v>
      </c>
      <c r="AZ1323" s="20">
        <f t="shared" si="323"/>
        <v>0</v>
      </c>
      <c r="BA1323" s="53">
        <f t="shared" si="324"/>
        <v>0</v>
      </c>
      <c r="BB1323" s="360">
        <f>IFERROR(SUM(DATA[[#This Row],[fs_val_ttf]:[fact_pago_ttf]]),0)</f>
        <v>17</v>
      </c>
      <c r="BC1323" s="377">
        <v>45944</v>
      </c>
      <c r="BD1323" s="377">
        <v>45944</v>
      </c>
      <c r="BE1323" s="377">
        <v>45966</v>
      </c>
      <c r="BF1323" s="377">
        <v>45966</v>
      </c>
      <c r="BG1323" s="20">
        <f>IFERROR(IF(BC1323-DATA[[#This Row],[fecha_fs]]&lt;0,0,BC1323-DATA[[#This Row],[fecha_fs]]),0)</f>
        <v>0</v>
      </c>
      <c r="BH1323" s="20">
        <f t="shared" si="325"/>
        <v>0</v>
      </c>
      <c r="BI1323" s="20">
        <f t="shared" si="326"/>
        <v>22</v>
      </c>
      <c r="BJ1323" s="367">
        <f t="shared" si="327"/>
        <v>0</v>
      </c>
      <c r="BK1323" s="362">
        <f>IFERROR(SUM(DATA[[#This Row],[fs_fd_ttd]:[fend_fenf_ttd]]),0)</f>
        <v>22</v>
      </c>
      <c r="BL1323" s="20" t="str">
        <f>IF(DATA[[#This Row],[fecha_fs]]&gt;0,TEXT(DATA[[#This Row],[fecha_fs]],"YYYY"),0)</f>
        <v>2025</v>
      </c>
      <c r="BM1323" s="363" t="b">
        <v>1</v>
      </c>
      <c r="BN1323" s="278">
        <f>COUNTIF(DATA[[#This Row],[tiempo_td]], "&lt;=15")</f>
        <v>0</v>
      </c>
      <c r="BO1323" s="365"/>
    </row>
    <row r="1324" spans="1:67" ht="30.6" customHeight="1" x14ac:dyDescent="0.25">
      <c r="A1324" s="4">
        <v>20419158462</v>
      </c>
      <c r="B1324" s="5" t="s">
        <v>2</v>
      </c>
      <c r="C1324" s="52" t="s">
        <v>147</v>
      </c>
      <c r="D1324" s="4" t="s">
        <v>120</v>
      </c>
      <c r="E1324" s="5" t="s">
        <v>3</v>
      </c>
      <c r="F1324" s="24">
        <v>45943</v>
      </c>
      <c r="G1324" s="7" t="s">
        <v>113</v>
      </c>
      <c r="H1324" s="25">
        <f t="shared" si="322"/>
        <v>1</v>
      </c>
      <c r="I1324" s="331">
        <v>5113</v>
      </c>
      <c r="J1324" s="8" t="s">
        <v>115</v>
      </c>
      <c r="K1324" s="9" t="s">
        <v>121</v>
      </c>
      <c r="L1324" s="10" t="s">
        <v>117</v>
      </c>
      <c r="M1324" s="11">
        <v>3590</v>
      </c>
      <c r="N1324" s="12" t="s">
        <v>337</v>
      </c>
      <c r="O1324" s="6">
        <v>45944</v>
      </c>
      <c r="P1324" s="13">
        <v>3720</v>
      </c>
      <c r="Q1324" s="14" t="s">
        <v>85</v>
      </c>
      <c r="R1324" s="15">
        <f>DATA[[#This Row],[cantidad_fs]]*0.67</f>
        <v>2405.3000000000002</v>
      </c>
      <c r="S1324" s="15">
        <v>839.7</v>
      </c>
      <c r="T1324" s="321">
        <f>DATA[[#This Row],[C. DF]]+DATA[[#This Row],[C.OPE.]]</f>
        <v>3245</v>
      </c>
      <c r="U1324" s="15">
        <f>DATA[[#This Row],[SUB TOTAL]]*0.18</f>
        <v>584.1</v>
      </c>
      <c r="V1324" s="15">
        <f>IFERROR(ROUND(DATA[[#This Row],[SUB TOTAL]]+DATA[[#This Row],[IGV]],2),0)</f>
        <v>3829.1</v>
      </c>
      <c r="W1324" s="339" t="str">
        <f>IF(DATA[[#This Row],[VALORIZACIÓN ]]="-","NO CORRESPONDE",IF(OR(A1324=20558226979,A1324=10470707866,A1324=20111157058,A1324=20100226902),"NO CORRESPONDE",IF(J1324="Emitida",IF(P1324&gt;0,"EMITIDA","PENDIENTE"),"NO CORRESPONDE")))</f>
        <v>EMITIDA</v>
      </c>
      <c r="X1324" s="29"/>
      <c r="Y1324" s="17" t="s">
        <v>232</v>
      </c>
      <c r="Z1324" s="30"/>
      <c r="AA1324" s="10"/>
      <c r="AB1324" s="19"/>
      <c r="AC1324" s="20"/>
      <c r="AD1324" s="18">
        <f>DATA[[#This Row],[FECHA DE EMISION]]+DATA[[#This Row],[CONDICION DE PAGO]]</f>
        <v>0</v>
      </c>
      <c r="AE1324" s="23">
        <f>IF(DATA[[#This Row],[MONEDA]]="USD",VLOOKUP(DATA[[#This Row],[COMBINADA]],#REF!,11,0),1)</f>
        <v>1</v>
      </c>
      <c r="AF1324" s="129" t="str">
        <f>IF(DATA[[#This Row],[SERIE2]]="-","NO CORRESPONDE",IF(W1324="NO CORRESPONDE","NO CORRESPONDE",IF(Z1324&gt;0,"FACTURADO","PENDIENTE")))</f>
        <v>PENDIENTE</v>
      </c>
      <c r="AG1324" s="133">
        <f>IFERROR(VLOOKUP(DATA[[#This Row],[COMBINADA]],#REF!,6,0),0)</f>
        <v>0</v>
      </c>
      <c r="AH1324" s="125">
        <f>IFERROR(VLOOKUP(DATA[[#This Row],[COMBINADA]],#REF!,9,0),0)/COUNTIFS(DATA[COMBINADA],DATA[[#This Row],[COMBINADA]])</f>
        <v>0</v>
      </c>
      <c r="AI1324" s="136">
        <f>IFERROR(VLOOKUP(DATA[[#This Row],[COMBINADA]],#REF!,6,0),0)</f>
        <v>0</v>
      </c>
      <c r="AJ1324" s="132">
        <f>IFERROR(VLOOKUP(DATA[[#This Row],[COMBINADA]],#REF!,9,0),0)/COUNTIFS(DATA[COMBINADA],DATA[[#This Row],[COMBINADA]])</f>
        <v>0</v>
      </c>
      <c r="AK1324" s="407">
        <f>IFERROR(VLOOKUP(DATA[[#This Row],[COMBINADA]],#REF!,6,0),0)</f>
        <v>0</v>
      </c>
      <c r="AL1324" s="125">
        <f>IFERROR(VLOOKUP(DATA[[#This Row],[COMBINADA]],#REF!,9,0),0)/COUNTIFS(DATA[COMBINADA],DATA[[#This Row],[COMBINADA]])</f>
        <v>0</v>
      </c>
      <c r="AM1324" s="27">
        <f>IFERROR(VLOOKUP(DATA[[#This Row],[COMBINADA]],#REF!,6,0),0)</f>
        <v>0</v>
      </c>
      <c r="AN1324" s="125">
        <f>IFERROR(VLOOKUP(DATA[[#This Row],[COMBINADA]],#REF!,9,0),0)/COUNTIFS(DATA[COMBINADA],DATA[[#This Row],[COMBINADA]])</f>
        <v>0</v>
      </c>
      <c r="AO1324" s="27">
        <f>IFERROR(VLOOKUP(DATA[[#This Row],[COMBINADA]],#REF!,6,0),0)</f>
        <v>0</v>
      </c>
      <c r="AP1324" s="132">
        <f>IFERROR(VLOOKUP(DATA[[#This Row],[COMBINADA]],#REF!,9,0),0)/COUNTIFS(DATA[COMBINADA],DATA[[#This Row],[COMBINADA]])</f>
        <v>0</v>
      </c>
      <c r="AQ132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24" s="26" t="str">
        <f>IFERROR(IF(DATA[[#This Row],[estado_fact]]="FACTURADO",VLOOKUP(DATA[[#This Row],[SERIE2]]&amp;"-"&amp;DATA[[#This Row],[NUMERO]],#REF!,34,0),"NO CORRESPONDE"),"NO CORRESPONDE")</f>
        <v>NO CORRESPONDE</v>
      </c>
      <c r="AS1324" s="22" t="str">
        <f>IF(DATA[[#This Row],[fecha_fs]]&gt;0,TEXT(DATA[[#This Row],[fecha_fs]],"Mmmm"),0)</f>
        <v>Octubre</v>
      </c>
      <c r="AT1324" s="22" t="str">
        <f>DATA[[#This Row],[SERIE2]]&amp;"-"&amp;DATA[[#This Row],[NUMERO]]</f>
        <v>-</v>
      </c>
      <c r="AU1324" s="28">
        <f>DATA[[#This Row],[TOTAL]]*DATA[[#This Row],[T.C.]]</f>
        <v>3829.1</v>
      </c>
      <c r="AV1324" s="6">
        <f>DATA[[#This Row],[FECHA DE VAL.]]</f>
        <v>45944</v>
      </c>
      <c r="AW1324" s="6">
        <f>DATA[[#This Row],[FECHA DE EMISION]]</f>
        <v>0</v>
      </c>
      <c r="AX1324" s="6">
        <f>DATA[[#This Row],[F1]]</f>
        <v>0</v>
      </c>
      <c r="AY1324" s="20">
        <f>IF(AV1324-DATA[[#This Row],[fecha_fs]]&lt;0,0,AV1324-DATA[[#This Row],[fecha_fs]])</f>
        <v>1</v>
      </c>
      <c r="AZ1324" s="20">
        <f t="shared" si="323"/>
        <v>0</v>
      </c>
      <c r="BA1324" s="53">
        <f t="shared" si="324"/>
        <v>0</v>
      </c>
      <c r="BB1324" s="360">
        <f>IFERROR(SUM(DATA[[#This Row],[fs_val_ttf]:[fact_pago_ttf]]),0)</f>
        <v>1</v>
      </c>
      <c r="BC1324" s="377">
        <v>45943</v>
      </c>
      <c r="BD1324" s="377">
        <v>45945</v>
      </c>
      <c r="BE1324" s="361" t="s">
        <v>270</v>
      </c>
      <c r="BF1324" s="361" t="s">
        <v>270</v>
      </c>
      <c r="BG1324" s="20">
        <f>IFERROR(IF(BC1324-DATA[[#This Row],[fecha_fs]]&lt;0,0,BC1324-DATA[[#This Row],[fecha_fs]]),0)</f>
        <v>0</v>
      </c>
      <c r="BH1324" s="20">
        <f t="shared" si="325"/>
        <v>2</v>
      </c>
      <c r="BI1324" s="20">
        <f t="shared" si="326"/>
        <v>0</v>
      </c>
      <c r="BJ1324" s="367">
        <f t="shared" si="327"/>
        <v>0</v>
      </c>
      <c r="BK1324" s="362">
        <f>IFERROR(SUM(DATA[[#This Row],[fs_fd_ttd]:[fend_fenf_ttd]]),0)</f>
        <v>2</v>
      </c>
      <c r="BL1324" s="20" t="str">
        <f>IF(DATA[[#This Row],[fecha_fs]]&gt;0,TEXT(DATA[[#This Row],[fecha_fs]],"YYYY"),0)</f>
        <v>2025</v>
      </c>
      <c r="BM1324" s="363" t="b">
        <v>0</v>
      </c>
      <c r="BN1324" s="278">
        <f>COUNTIF(DATA[[#This Row],[tiempo_td]], "&lt;=15")</f>
        <v>1</v>
      </c>
      <c r="BO1324" s="365"/>
    </row>
    <row r="1325" spans="1:67" ht="30.6" customHeight="1" x14ac:dyDescent="0.25">
      <c r="A1325" s="4">
        <v>20419158462</v>
      </c>
      <c r="B1325" s="5" t="s">
        <v>2</v>
      </c>
      <c r="C1325" s="52" t="s">
        <v>15</v>
      </c>
      <c r="D1325" s="4" t="s">
        <v>120</v>
      </c>
      <c r="E1325" s="5" t="s">
        <v>3</v>
      </c>
      <c r="F1325" s="24">
        <v>45943</v>
      </c>
      <c r="G1325" s="7" t="s">
        <v>113</v>
      </c>
      <c r="H1325" s="25">
        <f t="shared" si="322"/>
        <v>1</v>
      </c>
      <c r="I1325" s="331">
        <v>5114</v>
      </c>
      <c r="J1325" s="8" t="s">
        <v>115</v>
      </c>
      <c r="K1325" s="9" t="s">
        <v>156</v>
      </c>
      <c r="L1325" s="10" t="s">
        <v>117</v>
      </c>
      <c r="M1325" s="11">
        <v>390</v>
      </c>
      <c r="N1325" s="12" t="s">
        <v>249</v>
      </c>
      <c r="O1325" s="6">
        <v>45944</v>
      </c>
      <c r="P1325" s="13">
        <v>3721</v>
      </c>
      <c r="Q1325" s="14" t="s">
        <v>85</v>
      </c>
      <c r="R1325" s="74"/>
      <c r="S1325" s="321">
        <v>1429.7</v>
      </c>
      <c r="T1325" s="321">
        <f>DATA[[#This Row],[C. DF]]+DATA[[#This Row],[C.OPE.]]</f>
        <v>1429.7</v>
      </c>
      <c r="U1325" s="15">
        <f>DATA[[#This Row],[SUB TOTAL]]*0.18</f>
        <v>257.346</v>
      </c>
      <c r="V1325" s="15">
        <f>IFERROR(ROUND(DATA[[#This Row],[SUB TOTAL]]+DATA[[#This Row],[IGV]],2),0)</f>
        <v>1687.05</v>
      </c>
      <c r="W1325" s="339" t="str">
        <f>IF(DATA[[#This Row],[VALORIZACIÓN ]]="-","NO CORRESPONDE",IF(OR(A1325=20558226979,A1325=10470707866,A1325=20111157058,A1325=20100226902),"NO CORRESPONDE",IF(J1325="Emitida",IF(P1325&gt;0,"EMITIDA","PENDIENTE"),"NO CORRESPONDE")))</f>
        <v>EMITIDA</v>
      </c>
      <c r="X1325" s="29"/>
      <c r="Y1325" s="17" t="s">
        <v>232</v>
      </c>
      <c r="Z1325" s="30"/>
      <c r="AA1325" s="10"/>
      <c r="AB1325" s="19"/>
      <c r="AC1325" s="20"/>
      <c r="AD1325" s="18">
        <f>DATA[[#This Row],[FECHA DE EMISION]]+DATA[[#This Row],[CONDICION DE PAGO]]</f>
        <v>0</v>
      </c>
      <c r="AE1325" s="23">
        <f>IF(DATA[[#This Row],[MONEDA]]="USD",VLOOKUP(DATA[[#This Row],[COMBINADA]],#REF!,11,0),1)</f>
        <v>1</v>
      </c>
      <c r="AF1325" s="129" t="str">
        <f>IF(DATA[[#This Row],[SERIE2]]="-","NO CORRESPONDE",IF(W1325="NO CORRESPONDE","NO CORRESPONDE",IF(Z1325&gt;0,"FACTURADO","PENDIENTE")))</f>
        <v>PENDIENTE</v>
      </c>
      <c r="AG1325" s="133">
        <f>IFERROR(VLOOKUP(DATA[[#This Row],[COMBINADA]],#REF!,6,0),0)</f>
        <v>0</v>
      </c>
      <c r="AH1325" s="125">
        <f>IFERROR(VLOOKUP(DATA[[#This Row],[COMBINADA]],#REF!,9,0),0)/COUNTIFS(DATA[COMBINADA],DATA[[#This Row],[COMBINADA]])</f>
        <v>0</v>
      </c>
      <c r="AI1325" s="136">
        <f>IFERROR(VLOOKUP(DATA[[#This Row],[COMBINADA]],#REF!,6,0),0)</f>
        <v>0</v>
      </c>
      <c r="AJ1325" s="132">
        <f>IFERROR(VLOOKUP(DATA[[#This Row],[COMBINADA]],#REF!,9,0),0)/COUNTIFS(DATA[COMBINADA],DATA[[#This Row],[COMBINADA]])</f>
        <v>0</v>
      </c>
      <c r="AK1325" s="407">
        <f>IFERROR(VLOOKUP(DATA[[#This Row],[COMBINADA]],#REF!,6,0),0)</f>
        <v>0</v>
      </c>
      <c r="AL1325" s="125">
        <f>IFERROR(VLOOKUP(DATA[[#This Row],[COMBINADA]],#REF!,9,0),0)/COUNTIFS(DATA[COMBINADA],DATA[[#This Row],[COMBINADA]])</f>
        <v>0</v>
      </c>
      <c r="AM1325" s="27">
        <f>IFERROR(VLOOKUP(DATA[[#This Row],[COMBINADA]],#REF!,6,0),0)</f>
        <v>0</v>
      </c>
      <c r="AN1325" s="125">
        <f>IFERROR(VLOOKUP(DATA[[#This Row],[COMBINADA]],#REF!,9,0),0)/COUNTIFS(DATA[COMBINADA],DATA[[#This Row],[COMBINADA]])</f>
        <v>0</v>
      </c>
      <c r="AO1325" s="27">
        <f>IFERROR(VLOOKUP(DATA[[#This Row],[COMBINADA]],#REF!,6,0),0)</f>
        <v>0</v>
      </c>
      <c r="AP1325" s="132">
        <f>IFERROR(VLOOKUP(DATA[[#This Row],[COMBINADA]],#REF!,9,0),0)/COUNTIFS(DATA[COMBINADA],DATA[[#This Row],[COMBINADA]])</f>
        <v>0</v>
      </c>
      <c r="AQ132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25" s="26" t="str">
        <f>IFERROR(IF(DATA[[#This Row],[estado_fact]]="FACTURADO",VLOOKUP(DATA[[#This Row],[SERIE2]]&amp;"-"&amp;DATA[[#This Row],[NUMERO]],#REF!,34,0),"NO CORRESPONDE"),"NO CORRESPONDE")</f>
        <v>NO CORRESPONDE</v>
      </c>
      <c r="AS1325" s="22" t="str">
        <f>IF(DATA[[#This Row],[fecha_fs]]&gt;0,TEXT(DATA[[#This Row],[fecha_fs]],"Mmmm"),0)</f>
        <v>Octubre</v>
      </c>
      <c r="AT1325" s="22" t="str">
        <f>DATA[[#This Row],[SERIE2]]&amp;"-"&amp;DATA[[#This Row],[NUMERO]]</f>
        <v>-</v>
      </c>
      <c r="AU1325" s="28">
        <f>DATA[[#This Row],[TOTAL]]*DATA[[#This Row],[T.C.]]</f>
        <v>1687.05</v>
      </c>
      <c r="AV1325" s="6">
        <f>DATA[[#This Row],[FECHA DE VAL.]]</f>
        <v>45944</v>
      </c>
      <c r="AW1325" s="6">
        <f>DATA[[#This Row],[FECHA DE EMISION]]</f>
        <v>0</v>
      </c>
      <c r="AX1325" s="6">
        <f>DATA[[#This Row],[F1]]</f>
        <v>0</v>
      </c>
      <c r="AY1325" s="20">
        <f>IF(AV1325-DATA[[#This Row],[fecha_fs]]&lt;0,0,AV1325-DATA[[#This Row],[fecha_fs]])</f>
        <v>1</v>
      </c>
      <c r="AZ1325" s="20">
        <f t="shared" si="323"/>
        <v>0</v>
      </c>
      <c r="BA1325" s="53">
        <f t="shared" si="324"/>
        <v>0</v>
      </c>
      <c r="BB1325" s="360">
        <f>IFERROR(SUM(DATA[[#This Row],[fs_val_ttf]:[fact_pago_ttf]]),0)</f>
        <v>1</v>
      </c>
      <c r="BC1325" s="377">
        <v>45943</v>
      </c>
      <c r="BD1325" s="377">
        <v>45943</v>
      </c>
      <c r="BE1325" s="377">
        <v>45950</v>
      </c>
      <c r="BF1325" s="377">
        <v>45950</v>
      </c>
      <c r="BG1325" s="20">
        <f>IFERROR(IF(BC1325-DATA[[#This Row],[fecha_fs]]&lt;0,0,BC1325-DATA[[#This Row],[fecha_fs]]),0)</f>
        <v>0</v>
      </c>
      <c r="BH1325" s="20">
        <f t="shared" si="325"/>
        <v>0</v>
      </c>
      <c r="BI1325" s="20">
        <f t="shared" si="326"/>
        <v>7</v>
      </c>
      <c r="BJ1325" s="367">
        <f t="shared" si="327"/>
        <v>0</v>
      </c>
      <c r="BK1325" s="362">
        <f>IFERROR(SUM(DATA[[#This Row],[fs_fd_ttd]:[fend_fenf_ttd]]),0)</f>
        <v>7</v>
      </c>
      <c r="BL1325" s="20" t="str">
        <f>IF(DATA[[#This Row],[fecha_fs]]&gt;0,TEXT(DATA[[#This Row],[fecha_fs]],"YYYY"),0)</f>
        <v>2025</v>
      </c>
      <c r="BM1325" s="363" t="b">
        <v>1</v>
      </c>
      <c r="BN1325" s="278">
        <f>COUNTIF(DATA[[#This Row],[tiempo_td]], "&lt;=15")</f>
        <v>1</v>
      </c>
      <c r="BO1325" s="365"/>
    </row>
    <row r="1326" spans="1:67" ht="30.6" customHeight="1" x14ac:dyDescent="0.25">
      <c r="A1326" s="4">
        <v>20100192064</v>
      </c>
      <c r="B1326" s="5" t="s">
        <v>60</v>
      </c>
      <c r="C1326" s="52" t="s">
        <v>63</v>
      </c>
      <c r="D1326" s="4" t="s">
        <v>120</v>
      </c>
      <c r="E1326" s="5" t="s">
        <v>3</v>
      </c>
      <c r="F1326" s="24">
        <v>45944</v>
      </c>
      <c r="G1326" s="7" t="s">
        <v>142</v>
      </c>
      <c r="H1326" s="25">
        <f>IF(G1326="","",IF(G1326="LIM",2,1))</f>
        <v>2</v>
      </c>
      <c r="I1326" s="67">
        <v>1150</v>
      </c>
      <c r="J1326" s="8" t="s">
        <v>115</v>
      </c>
      <c r="K1326" s="9" t="s">
        <v>121</v>
      </c>
      <c r="L1326" s="10" t="s">
        <v>117</v>
      </c>
      <c r="M1326" s="11">
        <v>177</v>
      </c>
      <c r="N1326" s="12" t="s">
        <v>180</v>
      </c>
      <c r="O1326" s="6">
        <v>45959</v>
      </c>
      <c r="P1326" s="71">
        <v>3766</v>
      </c>
      <c r="Q1326" s="14" t="s">
        <v>123</v>
      </c>
      <c r="R1326" s="15">
        <f>(DATA[[#This Row],[cantidad_fs]]/1000)*(37+82.74)</f>
        <v>21.193979999999996</v>
      </c>
      <c r="S1326" s="15">
        <v>148.53</v>
      </c>
      <c r="T1326" s="15">
        <f>DATA[[#This Row],[C. DF]]+DATA[[#This Row],[C.OPE.]]</f>
        <v>169.72397999999998</v>
      </c>
      <c r="U1326" s="15">
        <f>DATA[[#This Row],[SUB TOTAL]]*0.18</f>
        <v>30.550316399999996</v>
      </c>
      <c r="V1326" s="15">
        <f>IFERROR(ROUND(DATA[[#This Row],[SUB TOTAL]]+DATA[[#This Row],[IGV]],2),0)</f>
        <v>200.27</v>
      </c>
      <c r="W1326" s="16" t="str">
        <f>IF(DATA[[#This Row],[VALORIZACIÓN ]]="-","NO CORRESPONDE",IF(OR(A1326=20558226979,A1326=10470707866,A1326=20111157058,A1326=20100226902),"NO CORRESPONDE",IF(J1326="Emitida",IF(P1326&gt;0,"EMITIDA","PENDIENTE"),"NO CORRESPONDE")))</f>
        <v>EMITIDA</v>
      </c>
      <c r="X1326" s="29" t="s">
        <v>374</v>
      </c>
      <c r="Y1326" s="17" t="s">
        <v>118</v>
      </c>
      <c r="Z1326" s="30">
        <v>45961</v>
      </c>
      <c r="AA1326" s="10" t="s">
        <v>150</v>
      </c>
      <c r="AB1326" s="19">
        <v>315</v>
      </c>
      <c r="AC1326" s="20">
        <v>30</v>
      </c>
      <c r="AD1326" s="18">
        <f>DATA[[#This Row],[FECHA DE EMISION]]+DATA[[#This Row],[CONDICION DE PAGO]]</f>
        <v>45991</v>
      </c>
      <c r="AE1326" s="23" t="e">
        <f>IF(DATA[[#This Row],[MONEDA]]="USD",VLOOKUP(DATA[[#This Row],[COMBINADA]],#REF!,11,0),1)</f>
        <v>#REF!</v>
      </c>
      <c r="AF1326" s="129" t="str">
        <f>IF(DATA[[#This Row],[SERIE2]]="-","NO CORRESPONDE",IF(W1326="NO CORRESPONDE","NO CORRESPONDE",IF(Z1326&gt;0,"FACTURADO","PENDIENTE")))</f>
        <v>FACTURADO</v>
      </c>
      <c r="AG1326" s="133">
        <f>IFERROR(VLOOKUP(DATA[[#This Row],[COMBINADA]],#REF!,6,0),0)</f>
        <v>0</v>
      </c>
      <c r="AH1326" s="125">
        <f>IFERROR(VLOOKUP(DATA[[#This Row],[COMBINADA]],#REF!,9,0),0)/COUNTIFS(DATA[COMBINADA],DATA[[#This Row],[COMBINADA]])</f>
        <v>0</v>
      </c>
      <c r="AI1326" s="136">
        <f>IFERROR(VLOOKUP(DATA[[#This Row],[COMBINADA]],#REF!,6,0),0)</f>
        <v>0</v>
      </c>
      <c r="AJ1326" s="132">
        <f>IFERROR(VLOOKUP(DATA[[#This Row],[COMBINADA]],#REF!,9,0),0)/COUNTIFS(DATA[COMBINADA],DATA[[#This Row],[COMBINADA]])</f>
        <v>0</v>
      </c>
      <c r="AK1326" s="407">
        <f>IFERROR(VLOOKUP(DATA[[#This Row],[COMBINADA]],#REF!,6,0),0)</f>
        <v>0</v>
      </c>
      <c r="AL1326" s="125">
        <f>IFERROR(VLOOKUP(DATA[[#This Row],[COMBINADA]],#REF!,9,0),0)/COUNTIFS(DATA[COMBINADA],DATA[[#This Row],[COMBINADA]])</f>
        <v>0</v>
      </c>
      <c r="AM1326" s="27">
        <f>IFERROR(VLOOKUP(DATA[[#This Row],[COMBINADA]],#REF!,6,0),0)</f>
        <v>0</v>
      </c>
      <c r="AN1326" s="125">
        <f>IFERROR(VLOOKUP(DATA[[#This Row],[COMBINADA]],#REF!,9,0),0)/COUNTIFS(DATA[COMBINADA],DATA[[#This Row],[COMBINADA]])</f>
        <v>0</v>
      </c>
      <c r="AO1326" s="27">
        <f>IFERROR(VLOOKUP(DATA[[#This Row],[COMBINADA]],#REF!,6,0),0)</f>
        <v>0</v>
      </c>
      <c r="AP1326" s="132">
        <f>IFERROR(VLOOKUP(DATA[[#This Row],[COMBINADA]],#REF!,9,0),0)/COUNTIFS(DATA[COMBINADA],DATA[[#This Row],[COMBINADA]])</f>
        <v>0</v>
      </c>
      <c r="AQ132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425.40500000000003</v>
      </c>
      <c r="AR1326" s="26" t="str">
        <f>IFERROR(IF(DATA[[#This Row],[estado_fact]]="FACTURADO",VLOOKUP(DATA[[#This Row],[SERIE2]]&amp;"-"&amp;DATA[[#This Row],[NUMERO]],#REF!,34,0),"NO CORRESPONDE"),"NO CORRESPONDE")</f>
        <v>NO CORRESPONDE</v>
      </c>
      <c r="AS1326" s="22" t="str">
        <f>IF(DATA[[#This Row],[fecha_fs]]&gt;0,TEXT(DATA[[#This Row],[fecha_fs]],"Mmmm"),0)</f>
        <v>Octubre</v>
      </c>
      <c r="AT1326" s="22" t="str">
        <f>DATA[[#This Row],[SERIE2]]&amp;"-"&amp;DATA[[#This Row],[NUMERO]]</f>
        <v>FF01-315</v>
      </c>
      <c r="AU1326" s="28" t="e">
        <f>DATA[[#This Row],[TOTAL]]*DATA[[#This Row],[T.C.]]</f>
        <v>#REF!</v>
      </c>
      <c r="AV1326" s="6">
        <f>DATA[[#This Row],[FECHA DE VAL.]]</f>
        <v>45959</v>
      </c>
      <c r="AW1326" s="6">
        <f>DATA[[#This Row],[FECHA DE EMISION]]</f>
        <v>45961</v>
      </c>
      <c r="AX1326" s="6">
        <f>DATA[[#This Row],[F1]]</f>
        <v>0</v>
      </c>
      <c r="AY1326" s="20">
        <f>IF(AV1326-DATA[[#This Row],[fecha_fs]]&lt;0,0,AV1326-DATA[[#This Row],[fecha_fs]])</f>
        <v>15</v>
      </c>
      <c r="AZ1326" s="20">
        <f>IF(AW1326-AV1326&lt;0,0,AW1326-AV1326)</f>
        <v>2</v>
      </c>
      <c r="BA1326" s="53">
        <f>IF(AX1326-AW1326&lt;0,0,AX1326-AW1326)</f>
        <v>0</v>
      </c>
      <c r="BB1326" s="360">
        <f>IFERROR(SUM(DATA[[#This Row],[fs_val_ttf]:[fact_pago_ttf]]),0)</f>
        <v>17</v>
      </c>
      <c r="BC1326" s="417">
        <v>45946</v>
      </c>
      <c r="BD1326" s="377">
        <v>45967</v>
      </c>
      <c r="BE1326" s="377">
        <v>45967</v>
      </c>
      <c r="BF1326" s="334" t="s">
        <v>270</v>
      </c>
      <c r="BG1326" s="20">
        <f>IFERROR(IF(BC1326-DATA[[#This Row],[fecha_fs]]&lt;0,0,BC1326-DATA[[#This Row],[fecha_fs]]),0)</f>
        <v>2</v>
      </c>
      <c r="BH1326" s="20">
        <f t="shared" ref="BH1326" si="328">IFERROR(IF(BD1326-BC1326&lt;0,0,BD1326-BC1326),0)</f>
        <v>21</v>
      </c>
      <c r="BI1326" s="20">
        <f t="shared" ref="BI1326" si="329">IFERROR(IF(BE1326-BD1326&lt;0,0,BE1326-BD1326),0)</f>
        <v>0</v>
      </c>
      <c r="BJ1326" s="367">
        <f t="shared" ref="BJ1326" si="330">IFERROR(IF(BF1326-BE1326&lt;0,0,BF1326-BE1326),0)</f>
        <v>0</v>
      </c>
      <c r="BK1326" s="362">
        <f>IFERROR(SUM(DATA[[#This Row],[fs_fd_ttd]:[fend_fenf_ttd]]),0)</f>
        <v>23</v>
      </c>
      <c r="BL1326" s="20" t="str">
        <f>IF(DATA[[#This Row],[fecha_fs]]&gt;0,TEXT(DATA[[#This Row],[fecha_fs]],"YYYY"),0)</f>
        <v>2025</v>
      </c>
      <c r="BM1326" s="363" t="b">
        <v>0</v>
      </c>
      <c r="BN1326" s="278">
        <f>COUNTIF(DATA[[#This Row],[tiempo_td]], "&lt;=15")</f>
        <v>0</v>
      </c>
      <c r="BO1326" s="365"/>
    </row>
    <row r="1327" spans="1:67" ht="30.6" customHeight="1" x14ac:dyDescent="0.25">
      <c r="A1327" s="4">
        <v>20100192064</v>
      </c>
      <c r="B1327" s="5" t="s">
        <v>60</v>
      </c>
      <c r="C1327" s="52" t="s">
        <v>63</v>
      </c>
      <c r="D1327" s="4" t="s">
        <v>112</v>
      </c>
      <c r="E1327" s="5" t="s">
        <v>1</v>
      </c>
      <c r="F1327" s="24">
        <v>45944</v>
      </c>
      <c r="G1327" s="7" t="s">
        <v>142</v>
      </c>
      <c r="H1327" s="25">
        <f>IF(G1327="","",IF(G1327="LIM",2,1))</f>
        <v>2</v>
      </c>
      <c r="I1327" s="67">
        <v>1151</v>
      </c>
      <c r="J1327" s="8" t="s">
        <v>115</v>
      </c>
      <c r="K1327" s="9" t="s">
        <v>116</v>
      </c>
      <c r="L1327" s="10" t="s">
        <v>117</v>
      </c>
      <c r="M1327" s="11">
        <v>10</v>
      </c>
      <c r="N1327" s="12" t="s">
        <v>180</v>
      </c>
      <c r="O1327" s="6">
        <v>45959</v>
      </c>
      <c r="P1327" s="71">
        <v>3767</v>
      </c>
      <c r="Q1327" s="14" t="s">
        <v>123</v>
      </c>
      <c r="R1327" s="15">
        <f>(DATA[[#This Row],[cantidad_fs]]/1000)*(147+82.74)</f>
        <v>2.2974000000000001</v>
      </c>
      <c r="S1327" s="15">
        <v>148.53</v>
      </c>
      <c r="T1327" s="15">
        <f>DATA[[#This Row],[C. DF]]+DATA[[#This Row],[C.OPE.]]</f>
        <v>150.82740000000001</v>
      </c>
      <c r="U1327" s="15">
        <f>DATA[[#This Row],[SUB TOTAL]]*0.18</f>
        <v>27.148932000000002</v>
      </c>
      <c r="V1327" s="15">
        <f>IFERROR(ROUND(DATA[[#This Row],[SUB TOTAL]]+DATA[[#This Row],[IGV]],2),0)</f>
        <v>177.98</v>
      </c>
      <c r="W1327" s="16" t="str">
        <f>IF(DATA[[#This Row],[VALORIZACIÓN ]]="-","NO CORRESPONDE",IF(OR(A1327=20558226979,A1327=10470707866,A1327=20111157058,A1327=20100226902),"NO CORRESPONDE",IF(J1327="Emitida",IF(P1327&gt;0,"EMITIDA","PENDIENTE"),"NO CORRESPONDE")))</f>
        <v>EMITIDA</v>
      </c>
      <c r="X1327" s="29" t="s">
        <v>374</v>
      </c>
      <c r="Y1327" s="17" t="s">
        <v>118</v>
      </c>
      <c r="Z1327" s="30">
        <v>45961</v>
      </c>
      <c r="AA1327" s="10" t="s">
        <v>150</v>
      </c>
      <c r="AB1327" s="19">
        <v>315</v>
      </c>
      <c r="AC1327" s="20">
        <v>30</v>
      </c>
      <c r="AD1327" s="18">
        <f>DATA[[#This Row],[FECHA DE EMISION]]+DATA[[#This Row],[CONDICION DE PAGO]]</f>
        <v>45991</v>
      </c>
      <c r="AE1327" s="23" t="e">
        <f>IF(DATA[[#This Row],[MONEDA]]="USD",VLOOKUP(DATA[[#This Row],[COMBINADA]],#REF!,11,0),1)</f>
        <v>#REF!</v>
      </c>
      <c r="AF1327" s="129" t="str">
        <f>IF(DATA[[#This Row],[SERIE2]]="-","NO CORRESPONDE",IF(W1327="NO CORRESPONDE","NO CORRESPONDE",IF(Z1327&gt;0,"FACTURADO","PENDIENTE")))</f>
        <v>FACTURADO</v>
      </c>
      <c r="AG1327" s="133">
        <f>IFERROR(VLOOKUP(DATA[[#This Row],[COMBINADA]],#REF!,6,0),0)</f>
        <v>0</v>
      </c>
      <c r="AH1327" s="125">
        <f>IFERROR(VLOOKUP(DATA[[#This Row],[COMBINADA]],#REF!,9,0),0)/COUNTIFS(DATA[COMBINADA],DATA[[#This Row],[COMBINADA]])</f>
        <v>0</v>
      </c>
      <c r="AI1327" s="136">
        <f>IFERROR(VLOOKUP(DATA[[#This Row],[COMBINADA]],#REF!,6,0),0)</f>
        <v>0</v>
      </c>
      <c r="AJ1327" s="132">
        <f>IFERROR(VLOOKUP(DATA[[#This Row],[COMBINADA]],#REF!,9,0),0)/COUNTIFS(DATA[COMBINADA],DATA[[#This Row],[COMBINADA]])</f>
        <v>0</v>
      </c>
      <c r="AK1327" s="407">
        <f>IFERROR(VLOOKUP(DATA[[#This Row],[COMBINADA]],#REF!,6,0),0)</f>
        <v>0</v>
      </c>
      <c r="AL1327" s="125">
        <f>IFERROR(VLOOKUP(DATA[[#This Row],[COMBINADA]],#REF!,9,0),0)/COUNTIFS(DATA[COMBINADA],DATA[[#This Row],[COMBINADA]])</f>
        <v>0</v>
      </c>
      <c r="AM1327" s="27">
        <f>IFERROR(VLOOKUP(DATA[[#This Row],[COMBINADA]],#REF!,6,0),0)</f>
        <v>0</v>
      </c>
      <c r="AN1327" s="125">
        <f>IFERROR(VLOOKUP(DATA[[#This Row],[COMBINADA]],#REF!,9,0),0)/COUNTIFS(DATA[COMBINADA],DATA[[#This Row],[COMBINADA]])</f>
        <v>0</v>
      </c>
      <c r="AO1327" s="27">
        <f>IFERROR(VLOOKUP(DATA[[#This Row],[COMBINADA]],#REF!,6,0),0)</f>
        <v>0</v>
      </c>
      <c r="AP1327" s="132">
        <f>IFERROR(VLOOKUP(DATA[[#This Row],[COMBINADA]],#REF!,9,0),0)/COUNTIFS(DATA[COMBINADA],DATA[[#This Row],[COMBINADA]])</f>
        <v>0</v>
      </c>
      <c r="AQ132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425.40500000000003</v>
      </c>
      <c r="AR1327" s="26" t="str">
        <f>IFERROR(IF(DATA[[#This Row],[estado_fact]]="FACTURADO",VLOOKUP(DATA[[#This Row],[SERIE2]]&amp;"-"&amp;DATA[[#This Row],[NUMERO]],#REF!,34,0),"NO CORRESPONDE"),"NO CORRESPONDE")</f>
        <v>NO CORRESPONDE</v>
      </c>
      <c r="AS1327" s="22" t="str">
        <f>IF(DATA[[#This Row],[fecha_fs]]&gt;0,TEXT(DATA[[#This Row],[fecha_fs]],"Mmmm"),0)</f>
        <v>Octubre</v>
      </c>
      <c r="AT1327" s="22" t="str">
        <f>DATA[[#This Row],[SERIE2]]&amp;"-"&amp;DATA[[#This Row],[NUMERO]]</f>
        <v>FF01-315</v>
      </c>
      <c r="AU1327" s="28" t="e">
        <f>DATA[[#This Row],[TOTAL]]*DATA[[#This Row],[T.C.]]</f>
        <v>#REF!</v>
      </c>
      <c r="AV1327" s="6">
        <f>DATA[[#This Row],[FECHA DE VAL.]]</f>
        <v>45959</v>
      </c>
      <c r="AW1327" s="6">
        <f>DATA[[#This Row],[FECHA DE EMISION]]</f>
        <v>45961</v>
      </c>
      <c r="AX1327" s="6">
        <f>DATA[[#This Row],[F1]]</f>
        <v>0</v>
      </c>
      <c r="AY1327" s="20">
        <f>IF(AV1327-DATA[[#This Row],[fecha_fs]]&lt;0,0,AV1327-DATA[[#This Row],[fecha_fs]])</f>
        <v>15</v>
      </c>
      <c r="AZ1327" s="20">
        <f>IF(AW1327-AV1327&lt;0,0,AW1327-AV1327)</f>
        <v>2</v>
      </c>
      <c r="BA1327" s="53">
        <f>IF(AX1327-AW1327&lt;0,0,AX1327-AW1327)</f>
        <v>0</v>
      </c>
      <c r="BB1327" s="360">
        <f>IFERROR(SUM(DATA[[#This Row],[fs_val_ttf]:[fact_pago_ttf]]),0)</f>
        <v>17</v>
      </c>
      <c r="BC1327" s="377">
        <v>45945</v>
      </c>
      <c r="BD1327" s="377">
        <v>45952</v>
      </c>
      <c r="BE1327" s="377">
        <v>45957</v>
      </c>
      <c r="BF1327" s="334" t="s">
        <v>270</v>
      </c>
      <c r="BG1327" s="20">
        <f>IFERROR(IF(BC1327-DATA[[#This Row],[fecha_fs]]&lt;0,0,BC1327-DATA[[#This Row],[fecha_fs]]),0)</f>
        <v>1</v>
      </c>
      <c r="BH1327" s="20">
        <f t="shared" ref="BH1327" si="331">IFERROR(IF(BD1327-BC1327&lt;0,0,BD1327-BC1327),0)</f>
        <v>7</v>
      </c>
      <c r="BI1327" s="20">
        <f t="shared" ref="BI1327" si="332">IFERROR(IF(BE1327-BD1327&lt;0,0,BE1327-BD1327),0)</f>
        <v>5</v>
      </c>
      <c r="BJ1327" s="367">
        <f t="shared" ref="BJ1327" si="333">IFERROR(IF(BF1327-BE1327&lt;0,0,BF1327-BE1327),0)</f>
        <v>0</v>
      </c>
      <c r="BK1327" s="362">
        <f>IFERROR(SUM(DATA[[#This Row],[fs_fd_ttd]:[fend_fenf_ttd]]),0)</f>
        <v>13</v>
      </c>
      <c r="BL1327" s="20" t="str">
        <f>IF(DATA[[#This Row],[fecha_fs]]&gt;0,TEXT(DATA[[#This Row],[fecha_fs]],"YYYY"),0)</f>
        <v>2025</v>
      </c>
      <c r="BM1327" s="363" t="b">
        <v>0</v>
      </c>
      <c r="BN1327" s="278">
        <f>COUNTIF(DATA[[#This Row],[tiempo_td]], "&lt;=15")</f>
        <v>1</v>
      </c>
      <c r="BO1327" s="365"/>
    </row>
    <row r="1328" spans="1:67" ht="30.6" customHeight="1" x14ac:dyDescent="0.25">
      <c r="A1328" s="4">
        <v>20462509236</v>
      </c>
      <c r="B1328" s="5" t="s">
        <v>81</v>
      </c>
      <c r="C1328" s="52" t="s">
        <v>358</v>
      </c>
      <c r="D1328" s="4" t="s">
        <v>152</v>
      </c>
      <c r="E1328" s="5" t="s">
        <v>10</v>
      </c>
      <c r="F1328" s="24">
        <v>45944</v>
      </c>
      <c r="G1328" s="7" t="s">
        <v>113</v>
      </c>
      <c r="H1328" s="25">
        <f t="shared" si="322"/>
        <v>1</v>
      </c>
      <c r="I1328" s="331">
        <v>5115</v>
      </c>
      <c r="J1328" s="8" t="s">
        <v>115</v>
      </c>
      <c r="K1328" s="9" t="s">
        <v>153</v>
      </c>
      <c r="L1328" s="10" t="s">
        <v>117</v>
      </c>
      <c r="M1328" s="11">
        <v>140</v>
      </c>
      <c r="N1328" s="12" t="s">
        <v>167</v>
      </c>
      <c r="O1328" s="6">
        <v>45946</v>
      </c>
      <c r="P1328" s="13">
        <v>3723</v>
      </c>
      <c r="Q1328" s="14" t="s">
        <v>85</v>
      </c>
      <c r="R1328" s="56"/>
      <c r="S1328" s="56">
        <v>1199.9000000000001</v>
      </c>
      <c r="T1328" s="321">
        <f>DATA[[#This Row],[C. DF]]+DATA[[#This Row],[C.OPE.]]</f>
        <v>1199.9000000000001</v>
      </c>
      <c r="U1328" s="15">
        <f>DATA[[#This Row],[SUB TOTAL]]*0.18</f>
        <v>215.982</v>
      </c>
      <c r="V1328" s="15">
        <f>IFERROR(ROUND(DATA[[#This Row],[SUB TOTAL]]+DATA[[#This Row],[IGV]],2),0)</f>
        <v>1415.88</v>
      </c>
      <c r="W1328" s="339" t="str">
        <f>IF(DATA[[#This Row],[VALORIZACIÓN ]]="-","NO CORRESPONDE",IF(OR(A1328=20558226979,A1328=10470707866,A1328=20111157058,A1328=20100226902),"NO CORRESPONDE",IF(J1328="Emitida",IF(P1328&gt;0,"EMITIDA","PENDIENTE"),"NO CORRESPONDE")))</f>
        <v>EMITIDA</v>
      </c>
      <c r="X1328" s="29" t="s">
        <v>369</v>
      </c>
      <c r="Y1328" s="17" t="s">
        <v>232</v>
      </c>
      <c r="Z1328" s="30"/>
      <c r="AA1328" s="10"/>
      <c r="AB1328" s="19"/>
      <c r="AC1328" s="20"/>
      <c r="AD1328" s="18">
        <f>DATA[[#This Row],[FECHA DE EMISION]]+DATA[[#This Row],[CONDICION DE PAGO]]</f>
        <v>0</v>
      </c>
      <c r="AE1328" s="23">
        <f>IF(DATA[[#This Row],[MONEDA]]="USD",VLOOKUP(DATA[[#This Row],[COMBINADA]],#REF!,11,0),1)</f>
        <v>1</v>
      </c>
      <c r="AF1328" s="129" t="str">
        <f>IF(DATA[[#This Row],[SERIE2]]="-","NO CORRESPONDE",IF(W1328="NO CORRESPONDE","NO CORRESPONDE",IF(Z1328&gt;0,"FACTURADO","PENDIENTE")))</f>
        <v>PENDIENTE</v>
      </c>
      <c r="AG1328" s="133">
        <f>IFERROR(VLOOKUP(DATA[[#This Row],[COMBINADA]],#REF!,6,0),0)</f>
        <v>0</v>
      </c>
      <c r="AH1328" s="125">
        <f>IFERROR(VLOOKUP(DATA[[#This Row],[COMBINADA]],#REF!,9,0),0)/COUNTIFS(DATA[COMBINADA],DATA[[#This Row],[COMBINADA]])</f>
        <v>0</v>
      </c>
      <c r="AI1328" s="136">
        <f>IFERROR(VLOOKUP(DATA[[#This Row],[COMBINADA]],#REF!,6,0),0)</f>
        <v>0</v>
      </c>
      <c r="AJ1328" s="132">
        <f>IFERROR(VLOOKUP(DATA[[#This Row],[COMBINADA]],#REF!,9,0),0)/COUNTIFS(DATA[COMBINADA],DATA[[#This Row],[COMBINADA]])</f>
        <v>0</v>
      </c>
      <c r="AK1328" s="407">
        <f>IFERROR(VLOOKUP(DATA[[#This Row],[COMBINADA]],#REF!,6,0),0)</f>
        <v>0</v>
      </c>
      <c r="AL1328" s="125">
        <f>IFERROR(VLOOKUP(DATA[[#This Row],[COMBINADA]],#REF!,9,0),0)/COUNTIFS(DATA[COMBINADA],DATA[[#This Row],[COMBINADA]])</f>
        <v>0</v>
      </c>
      <c r="AM1328" s="27">
        <f>IFERROR(VLOOKUP(DATA[[#This Row],[COMBINADA]],#REF!,6,0),0)</f>
        <v>0</v>
      </c>
      <c r="AN1328" s="125">
        <f>IFERROR(VLOOKUP(DATA[[#This Row],[COMBINADA]],#REF!,9,0),0)/COUNTIFS(DATA[COMBINADA],DATA[[#This Row],[COMBINADA]])</f>
        <v>0</v>
      </c>
      <c r="AO1328" s="27">
        <f>IFERROR(VLOOKUP(DATA[[#This Row],[COMBINADA]],#REF!,6,0),0)</f>
        <v>0</v>
      </c>
      <c r="AP1328" s="132">
        <f>IFERROR(VLOOKUP(DATA[[#This Row],[COMBINADA]],#REF!,9,0),0)/COUNTIFS(DATA[COMBINADA],DATA[[#This Row],[COMBINADA]])</f>
        <v>0</v>
      </c>
      <c r="AQ132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28" s="26" t="str">
        <f>IFERROR(IF(DATA[[#This Row],[estado_fact]]="FACTURADO",VLOOKUP(DATA[[#This Row],[SERIE2]]&amp;"-"&amp;DATA[[#This Row],[NUMERO]],#REF!,34,0),"NO CORRESPONDE"),"NO CORRESPONDE")</f>
        <v>NO CORRESPONDE</v>
      </c>
      <c r="AS1328" s="22" t="str">
        <f>IF(DATA[[#This Row],[fecha_fs]]&gt;0,TEXT(DATA[[#This Row],[fecha_fs]],"Mmmm"),0)</f>
        <v>Octubre</v>
      </c>
      <c r="AT1328" s="22" t="str">
        <f>DATA[[#This Row],[SERIE2]]&amp;"-"&amp;DATA[[#This Row],[NUMERO]]</f>
        <v>-</v>
      </c>
      <c r="AU1328" s="28">
        <f>DATA[[#This Row],[TOTAL]]*DATA[[#This Row],[T.C.]]</f>
        <v>1415.88</v>
      </c>
      <c r="AV1328" s="6">
        <f>DATA[[#This Row],[FECHA DE VAL.]]</f>
        <v>45946</v>
      </c>
      <c r="AW1328" s="6">
        <f>DATA[[#This Row],[FECHA DE EMISION]]</f>
        <v>0</v>
      </c>
      <c r="AX1328" s="6">
        <f>DATA[[#This Row],[F1]]</f>
        <v>0</v>
      </c>
      <c r="AY1328" s="20">
        <f>IF(AV1328-DATA[[#This Row],[fecha_fs]]&lt;0,0,AV1328-DATA[[#This Row],[fecha_fs]])</f>
        <v>2</v>
      </c>
      <c r="AZ1328" s="20">
        <f t="shared" si="323"/>
        <v>0</v>
      </c>
      <c r="BA1328" s="53">
        <f t="shared" si="324"/>
        <v>0</v>
      </c>
      <c r="BB1328" s="360">
        <f>IFERROR(SUM(DATA[[#This Row],[fs_val_ttf]:[fact_pago_ttf]]),0)</f>
        <v>2</v>
      </c>
      <c r="BC1328" s="377">
        <v>45946</v>
      </c>
      <c r="BD1328" s="377">
        <v>45952</v>
      </c>
      <c r="BE1328" s="377">
        <v>45958</v>
      </c>
      <c r="BF1328" s="361" t="s">
        <v>270</v>
      </c>
      <c r="BG1328" s="20">
        <f>IFERROR(IF(BC1328-DATA[[#This Row],[fecha_fs]]&lt;0,0,BC1328-DATA[[#This Row],[fecha_fs]]),0)</f>
        <v>2</v>
      </c>
      <c r="BH1328" s="20">
        <f t="shared" si="325"/>
        <v>6</v>
      </c>
      <c r="BI1328" s="20">
        <f t="shared" si="326"/>
        <v>6</v>
      </c>
      <c r="BJ1328" s="367">
        <f t="shared" si="327"/>
        <v>0</v>
      </c>
      <c r="BK1328" s="362">
        <f>IFERROR(SUM(DATA[[#This Row],[fs_fd_ttd]:[fend_fenf_ttd]]),0)</f>
        <v>14</v>
      </c>
      <c r="BL1328" s="20" t="str">
        <f>IF(DATA[[#This Row],[fecha_fs]]&gt;0,TEXT(DATA[[#This Row],[fecha_fs]],"YYYY"),0)</f>
        <v>2025</v>
      </c>
      <c r="BM1328" s="363" t="b">
        <v>0</v>
      </c>
      <c r="BN1328" s="278">
        <f>COUNTIF(DATA[[#This Row],[tiempo_td]], "&lt;=15")</f>
        <v>1</v>
      </c>
      <c r="BO1328" s="365"/>
    </row>
    <row r="1329" spans="1:67" ht="30.6" customHeight="1" x14ac:dyDescent="0.25">
      <c r="A1329" s="4">
        <v>20462509236</v>
      </c>
      <c r="B1329" s="5" t="s">
        <v>81</v>
      </c>
      <c r="C1329" s="52" t="s">
        <v>360</v>
      </c>
      <c r="D1329" s="4" t="s">
        <v>152</v>
      </c>
      <c r="E1329" s="5" t="s">
        <v>10</v>
      </c>
      <c r="F1329" s="24">
        <v>45944</v>
      </c>
      <c r="G1329" s="7" t="s">
        <v>113</v>
      </c>
      <c r="H1329" s="25">
        <f t="shared" si="322"/>
        <v>1</v>
      </c>
      <c r="I1329" s="331">
        <v>5116</v>
      </c>
      <c r="J1329" s="8" t="s">
        <v>115</v>
      </c>
      <c r="K1329" s="9" t="s">
        <v>153</v>
      </c>
      <c r="L1329" s="10" t="s">
        <v>117</v>
      </c>
      <c r="M1329" s="11">
        <v>100</v>
      </c>
      <c r="N1329" s="12" t="s">
        <v>167</v>
      </c>
      <c r="O1329" s="6">
        <v>45954</v>
      </c>
      <c r="P1329" s="13">
        <v>3740</v>
      </c>
      <c r="Q1329" s="14" t="s">
        <v>85</v>
      </c>
      <c r="R1329" s="56"/>
      <c r="S1329" s="56">
        <v>1199.9000000000001</v>
      </c>
      <c r="T1329" s="321">
        <f>DATA[[#This Row],[C. DF]]+DATA[[#This Row],[C.OPE.]]</f>
        <v>1199.9000000000001</v>
      </c>
      <c r="U1329" s="15">
        <f>DATA[[#This Row],[SUB TOTAL]]*0.18</f>
        <v>215.982</v>
      </c>
      <c r="V1329" s="15">
        <f>IFERROR(ROUND(DATA[[#This Row],[SUB TOTAL]]+DATA[[#This Row],[IGV]],2),0)</f>
        <v>1415.88</v>
      </c>
      <c r="W1329" s="339" t="str">
        <f>IF(DATA[[#This Row],[VALORIZACIÓN ]]="-","NO CORRESPONDE",IF(OR(A1329=20558226979,A1329=10470707866,A1329=20111157058,A1329=20100226902),"NO CORRESPONDE",IF(J1329="Emitida",IF(P1329&gt;0,"EMITIDA","PENDIENTE"),"NO CORRESPONDE")))</f>
        <v>EMITIDA</v>
      </c>
      <c r="X1329" s="29" t="s">
        <v>369</v>
      </c>
      <c r="Y1329" s="17" t="s">
        <v>232</v>
      </c>
      <c r="Z1329" s="30"/>
      <c r="AA1329" s="10"/>
      <c r="AB1329" s="19"/>
      <c r="AC1329" s="20"/>
      <c r="AD1329" s="18">
        <f>DATA[[#This Row],[FECHA DE EMISION]]+DATA[[#This Row],[CONDICION DE PAGO]]</f>
        <v>0</v>
      </c>
      <c r="AE1329" s="23">
        <f>IF(DATA[[#This Row],[MONEDA]]="USD",VLOOKUP(DATA[[#This Row],[COMBINADA]],#REF!,11,0),1)</f>
        <v>1</v>
      </c>
      <c r="AF1329" s="129" t="str">
        <f>IF(DATA[[#This Row],[SERIE2]]="-","NO CORRESPONDE",IF(W1329="NO CORRESPONDE","NO CORRESPONDE",IF(Z1329&gt;0,"FACTURADO","PENDIENTE")))</f>
        <v>PENDIENTE</v>
      </c>
      <c r="AG1329" s="133">
        <f>IFERROR(VLOOKUP(DATA[[#This Row],[COMBINADA]],#REF!,6,0),0)</f>
        <v>0</v>
      </c>
      <c r="AH1329" s="125">
        <f>IFERROR(VLOOKUP(DATA[[#This Row],[COMBINADA]],#REF!,9,0),0)/COUNTIFS(DATA[COMBINADA],DATA[[#This Row],[COMBINADA]])</f>
        <v>0</v>
      </c>
      <c r="AI1329" s="136">
        <f>IFERROR(VLOOKUP(DATA[[#This Row],[COMBINADA]],#REF!,6,0),0)</f>
        <v>0</v>
      </c>
      <c r="AJ1329" s="132">
        <f>IFERROR(VLOOKUP(DATA[[#This Row],[COMBINADA]],#REF!,9,0),0)/COUNTIFS(DATA[COMBINADA],DATA[[#This Row],[COMBINADA]])</f>
        <v>0</v>
      </c>
      <c r="AK1329" s="407">
        <f>IFERROR(VLOOKUP(DATA[[#This Row],[COMBINADA]],#REF!,6,0),0)</f>
        <v>0</v>
      </c>
      <c r="AL1329" s="125">
        <f>IFERROR(VLOOKUP(DATA[[#This Row],[COMBINADA]],#REF!,9,0),0)/COUNTIFS(DATA[COMBINADA],DATA[[#This Row],[COMBINADA]])</f>
        <v>0</v>
      </c>
      <c r="AM1329" s="27">
        <f>IFERROR(VLOOKUP(DATA[[#This Row],[COMBINADA]],#REF!,6,0),0)</f>
        <v>0</v>
      </c>
      <c r="AN1329" s="125">
        <f>IFERROR(VLOOKUP(DATA[[#This Row],[COMBINADA]],#REF!,9,0),0)/COUNTIFS(DATA[COMBINADA],DATA[[#This Row],[COMBINADA]])</f>
        <v>0</v>
      </c>
      <c r="AO1329" s="27">
        <f>IFERROR(VLOOKUP(DATA[[#This Row],[COMBINADA]],#REF!,6,0),0)</f>
        <v>0</v>
      </c>
      <c r="AP1329" s="132">
        <f>IFERROR(VLOOKUP(DATA[[#This Row],[COMBINADA]],#REF!,9,0),0)/COUNTIFS(DATA[COMBINADA],DATA[[#This Row],[COMBINADA]])</f>
        <v>0</v>
      </c>
      <c r="AQ132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29" s="26" t="str">
        <f>IFERROR(IF(DATA[[#This Row],[estado_fact]]="FACTURADO",VLOOKUP(DATA[[#This Row],[SERIE2]]&amp;"-"&amp;DATA[[#This Row],[NUMERO]],#REF!,34,0),"NO CORRESPONDE"),"NO CORRESPONDE")</f>
        <v>NO CORRESPONDE</v>
      </c>
      <c r="AS1329" s="22" t="str">
        <f>IF(DATA[[#This Row],[fecha_fs]]&gt;0,TEXT(DATA[[#This Row],[fecha_fs]],"Mmmm"),0)</f>
        <v>Octubre</v>
      </c>
      <c r="AT1329" s="22" t="str">
        <f>DATA[[#This Row],[SERIE2]]&amp;"-"&amp;DATA[[#This Row],[NUMERO]]</f>
        <v>-</v>
      </c>
      <c r="AU1329" s="28">
        <f>DATA[[#This Row],[TOTAL]]*DATA[[#This Row],[T.C.]]</f>
        <v>1415.88</v>
      </c>
      <c r="AV1329" s="6">
        <f>DATA[[#This Row],[FECHA DE VAL.]]</f>
        <v>45954</v>
      </c>
      <c r="AW1329" s="6">
        <f>DATA[[#This Row],[FECHA DE EMISION]]</f>
        <v>0</v>
      </c>
      <c r="AX1329" s="6">
        <f>DATA[[#This Row],[F1]]</f>
        <v>0</v>
      </c>
      <c r="AY1329" s="20">
        <f>IF(AV1329-DATA[[#This Row],[fecha_fs]]&lt;0,0,AV1329-DATA[[#This Row],[fecha_fs]])</f>
        <v>10</v>
      </c>
      <c r="AZ1329" s="20">
        <f t="shared" si="323"/>
        <v>0</v>
      </c>
      <c r="BA1329" s="53">
        <f t="shared" si="324"/>
        <v>0</v>
      </c>
      <c r="BB1329" s="360">
        <f>IFERROR(SUM(DATA[[#This Row],[fs_val_ttf]:[fact_pago_ttf]]),0)</f>
        <v>10</v>
      </c>
      <c r="BC1329" s="377">
        <v>45946</v>
      </c>
      <c r="BD1329" s="377">
        <v>45952</v>
      </c>
      <c r="BE1329" s="377">
        <v>45958</v>
      </c>
      <c r="BF1329" s="361" t="s">
        <v>270</v>
      </c>
      <c r="BG1329" s="20">
        <f>IFERROR(IF(BC1329-DATA[[#This Row],[fecha_fs]]&lt;0,0,BC1329-DATA[[#This Row],[fecha_fs]]),0)</f>
        <v>2</v>
      </c>
      <c r="BH1329" s="20">
        <f t="shared" si="325"/>
        <v>6</v>
      </c>
      <c r="BI1329" s="20">
        <f t="shared" si="326"/>
        <v>6</v>
      </c>
      <c r="BJ1329" s="367">
        <f t="shared" si="327"/>
        <v>0</v>
      </c>
      <c r="BK1329" s="362">
        <f>IFERROR(SUM(DATA[[#This Row],[fs_fd_ttd]:[fend_fenf_ttd]]),0)</f>
        <v>14</v>
      </c>
      <c r="BL1329" s="20" t="str">
        <f>IF(DATA[[#This Row],[fecha_fs]]&gt;0,TEXT(DATA[[#This Row],[fecha_fs]],"YYYY"),0)</f>
        <v>2025</v>
      </c>
      <c r="BM1329" s="363" t="b">
        <v>0</v>
      </c>
      <c r="BN1329" s="278">
        <f>COUNTIF(DATA[[#This Row],[tiempo_td]], "&lt;=15")</f>
        <v>1</v>
      </c>
      <c r="BO1329" s="365"/>
    </row>
    <row r="1330" spans="1:67" ht="30.6" customHeight="1" x14ac:dyDescent="0.25">
      <c r="A1330" s="4">
        <v>20100211115</v>
      </c>
      <c r="B1330" s="5" t="s">
        <v>41</v>
      </c>
      <c r="C1330" s="52" t="s">
        <v>18</v>
      </c>
      <c r="D1330" s="4" t="s">
        <v>120</v>
      </c>
      <c r="E1330" s="5" t="s">
        <v>3</v>
      </c>
      <c r="F1330" s="24">
        <v>45945</v>
      </c>
      <c r="G1330" s="7" t="s">
        <v>113</v>
      </c>
      <c r="H1330" s="25">
        <f t="shared" si="322"/>
        <v>1</v>
      </c>
      <c r="I1330" s="331">
        <v>5117</v>
      </c>
      <c r="J1330" s="8" t="s">
        <v>115</v>
      </c>
      <c r="K1330" s="9" t="s">
        <v>121</v>
      </c>
      <c r="L1330" s="10" t="s">
        <v>117</v>
      </c>
      <c r="M1330" s="11">
        <v>90</v>
      </c>
      <c r="N1330" s="12" t="s">
        <v>167</v>
      </c>
      <c r="O1330" s="6">
        <v>45957</v>
      </c>
      <c r="P1330" s="115">
        <v>3742</v>
      </c>
      <c r="Q1330" s="14" t="s">
        <v>85</v>
      </c>
      <c r="R1330" s="74"/>
      <c r="S1330" s="401">
        <f>(DATA[[#This Row],[cantidad_fs]]*4.17)</f>
        <v>375.3</v>
      </c>
      <c r="T1330" s="321">
        <f>DATA[[#This Row],[C. DF]]+DATA[[#This Row],[C.OPE.]]</f>
        <v>375.3</v>
      </c>
      <c r="U1330" s="15">
        <f>DATA[[#This Row],[SUB TOTAL]]*0.18</f>
        <v>67.554000000000002</v>
      </c>
      <c r="V1330" s="15">
        <f>IFERROR(ROUND(DATA[[#This Row],[SUB TOTAL]]+DATA[[#This Row],[IGV]],2),0)</f>
        <v>442.85</v>
      </c>
      <c r="W1330" s="339" t="str">
        <f>IF(DATA[[#This Row],[VALORIZACIÓN ]]="-","NO CORRESPONDE",IF(OR(A1330=20558226979,A1330=10470707866,A1330=20111157058,A1330=20100226902),"NO CORRESPONDE",IF(J1330="Emitida",IF(P1330&gt;0,"EMITIDA","PENDIENTE"),"NO CORRESPONDE")))</f>
        <v>EMITIDA</v>
      </c>
      <c r="X1330" s="29"/>
      <c r="Y1330" s="17" t="s">
        <v>118</v>
      </c>
      <c r="Z1330" s="30">
        <v>45958</v>
      </c>
      <c r="AA1330" s="10" t="s">
        <v>150</v>
      </c>
      <c r="AB1330" s="19">
        <v>309</v>
      </c>
      <c r="AC1330" s="20">
        <v>30</v>
      </c>
      <c r="AD1330" s="18">
        <f>DATA[[#This Row],[FECHA DE EMISION]]+DATA[[#This Row],[CONDICION DE PAGO]]</f>
        <v>45988</v>
      </c>
      <c r="AE1330" s="23">
        <f>IF(DATA[[#This Row],[MONEDA]]="USD",VLOOKUP(DATA[[#This Row],[COMBINADA]],#REF!,11,0),1)</f>
        <v>1</v>
      </c>
      <c r="AF1330" s="129" t="str">
        <f>IF(DATA[[#This Row],[SERIE2]]="-","NO CORRESPONDE",IF(W1330="NO CORRESPONDE","NO CORRESPONDE",IF(Z1330&gt;0,"FACTURADO","PENDIENTE")))</f>
        <v>FACTURADO</v>
      </c>
      <c r="AG1330" s="133">
        <f>IFERROR(VLOOKUP(DATA[[#This Row],[COMBINADA]],#REF!,6,0),0)</f>
        <v>0</v>
      </c>
      <c r="AH1330" s="125">
        <f>IFERROR(VLOOKUP(DATA[[#This Row],[COMBINADA]],#REF!,9,0),0)/COUNTIFS(DATA[COMBINADA],DATA[[#This Row],[COMBINADA]])</f>
        <v>0</v>
      </c>
      <c r="AI1330" s="136">
        <f>IFERROR(VLOOKUP(DATA[[#This Row],[COMBINADA]],#REF!,6,0),0)</f>
        <v>0</v>
      </c>
      <c r="AJ1330" s="132">
        <f>IFERROR(VLOOKUP(DATA[[#This Row],[COMBINADA]],#REF!,9,0),0)/COUNTIFS(DATA[COMBINADA],DATA[[#This Row],[COMBINADA]])</f>
        <v>0</v>
      </c>
      <c r="AK1330" s="407">
        <f>IFERROR(VLOOKUP(DATA[[#This Row],[COMBINADA]],#REF!,6,0),0)</f>
        <v>0</v>
      </c>
      <c r="AL1330" s="125">
        <f>IFERROR(VLOOKUP(DATA[[#This Row],[COMBINADA]],#REF!,9,0),0)/COUNTIFS(DATA[COMBINADA],DATA[[#This Row],[COMBINADA]])</f>
        <v>0</v>
      </c>
      <c r="AM1330" s="27">
        <f>IFERROR(VLOOKUP(DATA[[#This Row],[COMBINADA]],#REF!,6,0),0)</f>
        <v>0</v>
      </c>
      <c r="AN1330" s="125">
        <f>IFERROR(VLOOKUP(DATA[[#This Row],[COMBINADA]],#REF!,9,0),0)/COUNTIFS(DATA[COMBINADA],DATA[[#This Row],[COMBINADA]])</f>
        <v>0</v>
      </c>
      <c r="AO1330" s="27">
        <f>IFERROR(VLOOKUP(DATA[[#This Row],[COMBINADA]],#REF!,6,0),0)</f>
        <v>0</v>
      </c>
      <c r="AP1330" s="132">
        <f>IFERROR(VLOOKUP(DATA[[#This Row],[COMBINADA]],#REF!,9,0),0)/COUNTIFS(DATA[COMBINADA],DATA[[#This Row],[COMBINADA]])</f>
        <v>0</v>
      </c>
      <c r="AQ133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330" s="26" t="str">
        <f>IFERROR(IF(DATA[[#This Row],[estado_fact]]="FACTURADO",VLOOKUP(DATA[[#This Row],[SERIE2]]&amp;"-"&amp;DATA[[#This Row],[NUMERO]],#REF!,34,0),"NO CORRESPONDE"),"NO CORRESPONDE")</f>
        <v>NO CORRESPONDE</v>
      </c>
      <c r="AS1330" s="22" t="str">
        <f>IF(DATA[[#This Row],[fecha_fs]]&gt;0,TEXT(DATA[[#This Row],[fecha_fs]],"Mmmm"),0)</f>
        <v>Octubre</v>
      </c>
      <c r="AT1330" s="22" t="str">
        <f>DATA[[#This Row],[SERIE2]]&amp;"-"&amp;DATA[[#This Row],[NUMERO]]</f>
        <v>FF01-309</v>
      </c>
      <c r="AU1330" s="28">
        <f>DATA[[#This Row],[TOTAL]]*DATA[[#This Row],[T.C.]]</f>
        <v>442.85</v>
      </c>
      <c r="AV1330" s="6">
        <f>DATA[[#This Row],[FECHA DE VAL.]]</f>
        <v>45957</v>
      </c>
      <c r="AW1330" s="6">
        <f>DATA[[#This Row],[FECHA DE EMISION]]</f>
        <v>45958</v>
      </c>
      <c r="AX1330" s="6">
        <f>DATA[[#This Row],[F1]]</f>
        <v>0</v>
      </c>
      <c r="AY1330" s="20">
        <f>IF(AV1330-DATA[[#This Row],[fecha_fs]]&lt;0,0,AV1330-DATA[[#This Row],[fecha_fs]])</f>
        <v>12</v>
      </c>
      <c r="AZ1330" s="20">
        <f t="shared" si="323"/>
        <v>1</v>
      </c>
      <c r="BA1330" s="53">
        <f t="shared" si="324"/>
        <v>0</v>
      </c>
      <c r="BB1330" s="360">
        <f>IFERROR(SUM(DATA[[#This Row],[fs_val_ttf]:[fact_pago_ttf]]),0)</f>
        <v>13</v>
      </c>
      <c r="BC1330" s="233">
        <v>45957</v>
      </c>
      <c r="BD1330" s="233">
        <v>45964</v>
      </c>
      <c r="BE1330" s="233">
        <v>45967</v>
      </c>
      <c r="BF1330" s="233">
        <v>45967</v>
      </c>
      <c r="BG1330" s="20">
        <f>IFERROR(IF(BC1330-DATA[[#This Row],[fecha_fs]]&lt;0,0,BC1330-DATA[[#This Row],[fecha_fs]]),0)</f>
        <v>12</v>
      </c>
      <c r="BH1330" s="20">
        <f t="shared" si="325"/>
        <v>7</v>
      </c>
      <c r="BI1330" s="20">
        <f t="shared" si="326"/>
        <v>3</v>
      </c>
      <c r="BJ1330" s="367">
        <f t="shared" si="327"/>
        <v>0</v>
      </c>
      <c r="BK1330" s="362">
        <f>IFERROR(SUM(DATA[[#This Row],[fs_fd_ttd]:[fend_fenf_ttd]]),0)</f>
        <v>22</v>
      </c>
      <c r="BL1330" s="20" t="str">
        <f>IF(DATA[[#This Row],[fecha_fs]]&gt;0,TEXT(DATA[[#This Row],[fecha_fs]],"YYYY"),0)</f>
        <v>2025</v>
      </c>
      <c r="BM1330" s="363" t="b">
        <v>1</v>
      </c>
      <c r="BN1330" s="278">
        <f>COUNTIF(DATA[[#This Row],[tiempo_td]], "&lt;=15")</f>
        <v>0</v>
      </c>
      <c r="BO1330" s="365"/>
    </row>
    <row r="1331" spans="1:67" ht="30.6" customHeight="1" x14ac:dyDescent="0.25">
      <c r="A1331" s="4">
        <v>20454413009</v>
      </c>
      <c r="B1331" s="5" t="s">
        <v>365</v>
      </c>
      <c r="C1331" s="52" t="s">
        <v>366</v>
      </c>
      <c r="D1331" s="4" t="s">
        <v>290</v>
      </c>
      <c r="E1331" s="5" t="s">
        <v>294</v>
      </c>
      <c r="F1331" s="24">
        <v>45944</v>
      </c>
      <c r="G1331" s="7" t="s">
        <v>113</v>
      </c>
      <c r="H1331" s="25">
        <f t="shared" si="322"/>
        <v>1</v>
      </c>
      <c r="I1331" s="331">
        <v>5118</v>
      </c>
      <c r="J1331" s="8" t="s">
        <v>115</v>
      </c>
      <c r="K1331" s="9" t="s">
        <v>195</v>
      </c>
      <c r="L1331" s="10" t="s">
        <v>117</v>
      </c>
      <c r="M1331" s="11">
        <v>13530</v>
      </c>
      <c r="N1331" s="12" t="s">
        <v>122</v>
      </c>
      <c r="O1331" s="6">
        <v>45952</v>
      </c>
      <c r="P1331" s="13">
        <v>3731</v>
      </c>
      <c r="Q1331" s="14" t="s">
        <v>85</v>
      </c>
      <c r="R1331" s="401">
        <f>DATA[[#This Row],[cantidad_fs]]*0.08</f>
        <v>1082.4000000000001</v>
      </c>
      <c r="S1331" s="401">
        <v>2100</v>
      </c>
      <c r="T1331" s="321">
        <f>DATA[[#This Row],[C. DF]]+DATA[[#This Row],[C.OPE.]]</f>
        <v>3182.4</v>
      </c>
      <c r="U1331" s="15">
        <f>DATA[[#This Row],[SUB TOTAL]]*0.18</f>
        <v>572.83199999999999</v>
      </c>
      <c r="V1331" s="15">
        <f>IFERROR(ROUND(DATA[[#This Row],[SUB TOTAL]]+DATA[[#This Row],[IGV]],2),0)</f>
        <v>3755.23</v>
      </c>
      <c r="W1331" s="339" t="str">
        <f>IF(DATA[[#This Row],[VALORIZACIÓN ]]="-","NO CORRESPONDE",IF(OR(A1331=20558226979,A1331=10470707866,A1331=20111157058,A1331=20100226902),"NO CORRESPONDE",IF(J1331="Emitida",IF(P1331&gt;0,"EMITIDA","PENDIENTE"),"NO CORRESPONDE")))</f>
        <v>EMITIDA</v>
      </c>
      <c r="X1331" s="29" t="s">
        <v>364</v>
      </c>
      <c r="Y1331" s="17" t="s">
        <v>118</v>
      </c>
      <c r="Z1331" s="30">
        <v>45968</v>
      </c>
      <c r="AA1331" s="10" t="s">
        <v>150</v>
      </c>
      <c r="AB1331" s="19">
        <v>346</v>
      </c>
      <c r="AC1331" s="20">
        <v>15</v>
      </c>
      <c r="AD1331" s="18">
        <f>DATA[[#This Row],[FECHA DE EMISION]]+DATA[[#This Row],[CONDICION DE PAGO]]</f>
        <v>45983</v>
      </c>
      <c r="AE1331" s="23">
        <f>IF(DATA[[#This Row],[MONEDA]]="USD",VLOOKUP(DATA[[#This Row],[COMBINADA]],#REF!,11,0),1)</f>
        <v>1</v>
      </c>
      <c r="AF1331" s="129" t="str">
        <f>IF(DATA[[#This Row],[SERIE2]]="-","NO CORRESPONDE",IF(W1331="NO CORRESPONDE","NO CORRESPONDE",IF(Z1331&gt;0,"FACTURADO","PENDIENTE")))</f>
        <v>FACTURADO</v>
      </c>
      <c r="AG1331" s="133">
        <f>IFERROR(VLOOKUP(DATA[[#This Row],[COMBINADA]],#REF!,6,0),0)</f>
        <v>0</v>
      </c>
      <c r="AH1331" s="125">
        <f>IFERROR(VLOOKUP(DATA[[#This Row],[COMBINADA]],#REF!,9,0),0)/COUNTIFS(DATA[COMBINADA],DATA[[#This Row],[COMBINADA]])</f>
        <v>0</v>
      </c>
      <c r="AI1331" s="136">
        <f>IFERROR(VLOOKUP(DATA[[#This Row],[COMBINADA]],#REF!,6,0),0)</f>
        <v>0</v>
      </c>
      <c r="AJ1331" s="132">
        <f>IFERROR(VLOOKUP(DATA[[#This Row],[COMBINADA]],#REF!,9,0),0)/COUNTIFS(DATA[COMBINADA],DATA[[#This Row],[COMBINADA]])</f>
        <v>0</v>
      </c>
      <c r="AK1331" s="407">
        <f>IFERROR(VLOOKUP(DATA[[#This Row],[COMBINADA]],#REF!,6,0),0)</f>
        <v>0</v>
      </c>
      <c r="AL1331" s="125">
        <f>IFERROR(VLOOKUP(DATA[[#This Row],[COMBINADA]],#REF!,9,0),0)/COUNTIFS(DATA[COMBINADA],DATA[[#This Row],[COMBINADA]])</f>
        <v>0</v>
      </c>
      <c r="AM1331" s="27">
        <f>IFERROR(VLOOKUP(DATA[[#This Row],[COMBINADA]],#REF!,6,0),0)</f>
        <v>0</v>
      </c>
      <c r="AN1331" s="125">
        <f>IFERROR(VLOOKUP(DATA[[#This Row],[COMBINADA]],#REF!,9,0),0)/COUNTIFS(DATA[COMBINADA],DATA[[#This Row],[COMBINADA]])</f>
        <v>0</v>
      </c>
      <c r="AO1331" s="27">
        <f>IFERROR(VLOOKUP(DATA[[#This Row],[COMBINADA]],#REF!,6,0),0)</f>
        <v>0</v>
      </c>
      <c r="AP1331" s="132">
        <f>IFERROR(VLOOKUP(DATA[[#This Row],[COMBINADA]],#REF!,9,0),0)/COUNTIFS(DATA[COMBINADA],DATA[[#This Row],[COMBINADA]])</f>
        <v>0</v>
      </c>
      <c r="AQ133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3755.23</v>
      </c>
      <c r="AR1331" s="26" t="str">
        <f>IFERROR(IF(DATA[[#This Row],[estado_fact]]="FACTURADO",VLOOKUP(DATA[[#This Row],[SERIE2]]&amp;"-"&amp;DATA[[#This Row],[NUMERO]],#REF!,34,0),"NO CORRESPONDE"),"NO CORRESPONDE")</f>
        <v>NO CORRESPONDE</v>
      </c>
      <c r="AS1331" s="22" t="str">
        <f>IF(DATA[[#This Row],[fecha_fs]]&gt;0,TEXT(DATA[[#This Row],[fecha_fs]],"Mmmm"),0)</f>
        <v>Octubre</v>
      </c>
      <c r="AT1331" s="22" t="str">
        <f>DATA[[#This Row],[SERIE2]]&amp;"-"&amp;DATA[[#This Row],[NUMERO]]</f>
        <v>FF01-346</v>
      </c>
      <c r="AU1331" s="28">
        <f>DATA[[#This Row],[TOTAL]]*DATA[[#This Row],[T.C.]]</f>
        <v>3755.23</v>
      </c>
      <c r="AV1331" s="6">
        <f>DATA[[#This Row],[FECHA DE VAL.]]</f>
        <v>45952</v>
      </c>
      <c r="AW1331" s="6">
        <f>DATA[[#This Row],[FECHA DE EMISION]]</f>
        <v>45968</v>
      </c>
      <c r="AX1331" s="6">
        <f>DATA[[#This Row],[F1]]</f>
        <v>0</v>
      </c>
      <c r="AY1331" s="20">
        <f>IF(AV1331-DATA[[#This Row],[fecha_fs]]&lt;0,0,AV1331-DATA[[#This Row],[fecha_fs]])</f>
        <v>8</v>
      </c>
      <c r="AZ1331" s="20">
        <f t="shared" si="323"/>
        <v>16</v>
      </c>
      <c r="BA1331" s="53">
        <f t="shared" si="324"/>
        <v>0</v>
      </c>
      <c r="BB1331" s="360">
        <f>IFERROR(SUM(DATA[[#This Row],[fs_val_ttf]:[fact_pago_ttf]]),0)</f>
        <v>24</v>
      </c>
      <c r="BC1331" s="377">
        <v>45950</v>
      </c>
      <c r="BD1331" s="377">
        <v>45957</v>
      </c>
      <c r="BE1331" s="377">
        <v>45958</v>
      </c>
      <c r="BF1331" s="361" t="s">
        <v>270</v>
      </c>
      <c r="BG1331" s="20">
        <f>IFERROR(IF(BC1331-DATA[[#This Row],[fecha_fs]]&lt;0,0,BC1331-DATA[[#This Row],[fecha_fs]]),0)</f>
        <v>6</v>
      </c>
      <c r="BH1331" s="20">
        <f t="shared" si="325"/>
        <v>7</v>
      </c>
      <c r="BI1331" s="20">
        <f t="shared" si="326"/>
        <v>1</v>
      </c>
      <c r="BJ1331" s="367">
        <f t="shared" si="327"/>
        <v>0</v>
      </c>
      <c r="BK1331" s="362">
        <f>IFERROR(SUM(DATA[[#This Row],[fs_fd_ttd]:[fend_fenf_ttd]]),0)</f>
        <v>14</v>
      </c>
      <c r="BL1331" s="20" t="str">
        <f>IF(DATA[[#This Row],[fecha_fs]]&gt;0,TEXT(DATA[[#This Row],[fecha_fs]],"YYYY"),0)</f>
        <v>2025</v>
      </c>
      <c r="BM1331" s="363" t="b">
        <v>0</v>
      </c>
      <c r="BN1331" s="278">
        <f>COUNTIF(DATA[[#This Row],[tiempo_td]], "&lt;=15")</f>
        <v>1</v>
      </c>
      <c r="BO1331" s="365"/>
    </row>
    <row r="1332" spans="1:67" ht="30.6" customHeight="1" x14ac:dyDescent="0.25">
      <c r="A1332" s="4">
        <v>20100192064</v>
      </c>
      <c r="B1332" s="5" t="s">
        <v>60</v>
      </c>
      <c r="C1332" s="52" t="s">
        <v>43</v>
      </c>
      <c r="D1332" s="4" t="s">
        <v>120</v>
      </c>
      <c r="E1332" s="5" t="s">
        <v>3</v>
      </c>
      <c r="F1332" s="24">
        <v>45945</v>
      </c>
      <c r="G1332" s="7" t="s">
        <v>113</v>
      </c>
      <c r="H1332" s="25">
        <f t="shared" si="322"/>
        <v>1</v>
      </c>
      <c r="I1332" s="331">
        <v>5119</v>
      </c>
      <c r="J1332" s="8" t="s">
        <v>115</v>
      </c>
      <c r="K1332" s="9" t="s">
        <v>121</v>
      </c>
      <c r="L1332" s="10" t="s">
        <v>117</v>
      </c>
      <c r="M1332" s="11">
        <v>640</v>
      </c>
      <c r="N1332" s="12" t="s">
        <v>249</v>
      </c>
      <c r="O1332" s="6">
        <v>45959</v>
      </c>
      <c r="P1332" s="366">
        <v>3758</v>
      </c>
      <c r="Q1332" s="402" t="s">
        <v>123</v>
      </c>
      <c r="R1332" s="401">
        <f>(DATA[[#This Row],[cantidad_fs]]/1000)*(47+174.34)</f>
        <v>141.6576</v>
      </c>
      <c r="S1332" s="401">
        <v>137</v>
      </c>
      <c r="T1332" s="321">
        <f>DATA[[#This Row],[C. DF]]+DATA[[#This Row],[C.OPE.]]</f>
        <v>278.6576</v>
      </c>
      <c r="U1332" s="15">
        <f>DATA[[#This Row],[SUB TOTAL]]*0.18</f>
        <v>50.158367999999996</v>
      </c>
      <c r="V1332" s="15">
        <f>IFERROR(ROUND(DATA[[#This Row],[SUB TOTAL]]+DATA[[#This Row],[IGV]],2),0)</f>
        <v>328.82</v>
      </c>
      <c r="W1332" s="339" t="str">
        <f>IF(DATA[[#This Row],[VALORIZACIÓN ]]="-","NO CORRESPONDE",IF(OR(A1332=20558226979,A1332=10470707866,A1332=20111157058,A1332=20100226902),"NO CORRESPONDE",IF(J1332="Emitida",IF(P1332&gt;0,"EMITIDA","PENDIENTE"),"NO CORRESPONDE")))</f>
        <v>EMITIDA</v>
      </c>
      <c r="X1332" s="29" t="s">
        <v>375</v>
      </c>
      <c r="Y1332" s="17" t="s">
        <v>118</v>
      </c>
      <c r="Z1332" s="30">
        <v>45961</v>
      </c>
      <c r="AA1332" s="10" t="s">
        <v>150</v>
      </c>
      <c r="AB1332" s="19">
        <v>318</v>
      </c>
      <c r="AC1332" s="20">
        <v>30</v>
      </c>
      <c r="AD1332" s="18">
        <f>DATA[[#This Row],[FECHA DE EMISION]]+DATA[[#This Row],[CONDICION DE PAGO]]</f>
        <v>45991</v>
      </c>
      <c r="AE1332" s="23" t="e">
        <f>IF(DATA[[#This Row],[MONEDA]]="USD",VLOOKUP(DATA[[#This Row],[COMBINADA]],#REF!,11,0),1)</f>
        <v>#REF!</v>
      </c>
      <c r="AF1332" s="129" t="str">
        <f>IF(DATA[[#This Row],[SERIE2]]="-","NO CORRESPONDE",IF(W1332="NO CORRESPONDE","NO CORRESPONDE",IF(Z1332&gt;0,"FACTURADO","PENDIENTE")))</f>
        <v>FACTURADO</v>
      </c>
      <c r="AG1332" s="133">
        <f>IFERROR(VLOOKUP(DATA[[#This Row],[COMBINADA]],#REF!,6,0),0)</f>
        <v>0</v>
      </c>
      <c r="AH1332" s="125">
        <f>IFERROR(VLOOKUP(DATA[[#This Row],[COMBINADA]],#REF!,9,0),0)/COUNTIFS(DATA[COMBINADA],DATA[[#This Row],[COMBINADA]])</f>
        <v>0</v>
      </c>
      <c r="AI1332" s="136">
        <f>IFERROR(VLOOKUP(DATA[[#This Row],[COMBINADA]],#REF!,6,0),0)</f>
        <v>0</v>
      </c>
      <c r="AJ1332" s="132">
        <f>IFERROR(VLOOKUP(DATA[[#This Row],[COMBINADA]],#REF!,9,0),0)/COUNTIFS(DATA[COMBINADA],DATA[[#This Row],[COMBINADA]])</f>
        <v>0</v>
      </c>
      <c r="AK1332" s="407">
        <f>IFERROR(VLOOKUP(DATA[[#This Row],[COMBINADA]],#REF!,6,0),0)</f>
        <v>0</v>
      </c>
      <c r="AL1332" s="125">
        <f>IFERROR(VLOOKUP(DATA[[#This Row],[COMBINADA]],#REF!,9,0),0)/COUNTIFS(DATA[COMBINADA],DATA[[#This Row],[COMBINADA]])</f>
        <v>0</v>
      </c>
      <c r="AM1332" s="27">
        <f>IFERROR(VLOOKUP(DATA[[#This Row],[COMBINADA]],#REF!,6,0),0)</f>
        <v>0</v>
      </c>
      <c r="AN1332" s="125">
        <f>IFERROR(VLOOKUP(DATA[[#This Row],[COMBINADA]],#REF!,9,0),0)/COUNTIFS(DATA[COMBINADA],DATA[[#This Row],[COMBINADA]])</f>
        <v>0</v>
      </c>
      <c r="AO1332" s="27">
        <f>IFERROR(VLOOKUP(DATA[[#This Row],[COMBINADA]],#REF!,6,0),0)</f>
        <v>0</v>
      </c>
      <c r="AP1332" s="132">
        <f>IFERROR(VLOOKUP(DATA[[#This Row],[COMBINADA]],#REF!,9,0),0)/COUNTIFS(DATA[COMBINADA],DATA[[#This Row],[COMBINADA]])</f>
        <v>0</v>
      </c>
      <c r="AQ133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492.32615384615383</v>
      </c>
      <c r="AR1332" s="26" t="str">
        <f>IFERROR(IF(DATA[[#This Row],[estado_fact]]="FACTURADO",VLOOKUP(DATA[[#This Row],[SERIE2]]&amp;"-"&amp;DATA[[#This Row],[NUMERO]],#REF!,34,0),"NO CORRESPONDE"),"NO CORRESPONDE")</f>
        <v>NO CORRESPONDE</v>
      </c>
      <c r="AS1332" s="22" t="str">
        <f>IF(DATA[[#This Row],[fecha_fs]]&gt;0,TEXT(DATA[[#This Row],[fecha_fs]],"Mmmm"),0)</f>
        <v>Octubre</v>
      </c>
      <c r="AT1332" s="22" t="str">
        <f>DATA[[#This Row],[SERIE2]]&amp;"-"&amp;DATA[[#This Row],[NUMERO]]</f>
        <v>FF01-318</v>
      </c>
      <c r="AU1332" s="28" t="e">
        <f>DATA[[#This Row],[TOTAL]]*DATA[[#This Row],[T.C.]]</f>
        <v>#REF!</v>
      </c>
      <c r="AV1332" s="6">
        <f>DATA[[#This Row],[FECHA DE VAL.]]</f>
        <v>45959</v>
      </c>
      <c r="AW1332" s="6">
        <f>DATA[[#This Row],[FECHA DE EMISION]]</f>
        <v>45961</v>
      </c>
      <c r="AX1332" s="6">
        <f>DATA[[#This Row],[F1]]</f>
        <v>0</v>
      </c>
      <c r="AY1332" s="20">
        <f>IF(AV1332-DATA[[#This Row],[fecha_fs]]&lt;0,0,AV1332-DATA[[#This Row],[fecha_fs]])</f>
        <v>14</v>
      </c>
      <c r="AZ1332" s="20">
        <f t="shared" si="323"/>
        <v>2</v>
      </c>
      <c r="BA1332" s="53">
        <f t="shared" si="324"/>
        <v>0</v>
      </c>
      <c r="BB1332" s="360">
        <f>IFERROR(SUM(DATA[[#This Row],[fs_val_ttf]:[fact_pago_ttf]]),0)</f>
        <v>16</v>
      </c>
      <c r="BC1332" s="377">
        <v>45945</v>
      </c>
      <c r="BD1332" s="377">
        <v>45952</v>
      </c>
      <c r="BE1332" s="377">
        <v>45966</v>
      </c>
      <c r="BF1332" s="361" t="s">
        <v>270</v>
      </c>
      <c r="BG1332" s="20">
        <f>IFERROR(IF(BC1332-DATA[[#This Row],[fecha_fs]]&lt;0,0,BC1332-DATA[[#This Row],[fecha_fs]]),0)</f>
        <v>0</v>
      </c>
      <c r="BH1332" s="20">
        <f t="shared" si="325"/>
        <v>7</v>
      </c>
      <c r="BI1332" s="20">
        <f t="shared" si="326"/>
        <v>14</v>
      </c>
      <c r="BJ1332" s="367">
        <f t="shared" si="327"/>
        <v>0</v>
      </c>
      <c r="BK1332" s="362">
        <f>IFERROR(SUM(DATA[[#This Row],[fs_fd_ttd]:[fend_fenf_ttd]]),0)</f>
        <v>21</v>
      </c>
      <c r="BL1332" s="20" t="str">
        <f>IF(DATA[[#This Row],[fecha_fs]]&gt;0,TEXT(DATA[[#This Row],[fecha_fs]],"YYYY"),0)</f>
        <v>2025</v>
      </c>
      <c r="BM1332" s="363" t="b">
        <v>0</v>
      </c>
      <c r="BN1332" s="278">
        <f>COUNTIF(DATA[[#This Row],[tiempo_td]], "&lt;=15")</f>
        <v>0</v>
      </c>
      <c r="BO1332" s="365"/>
    </row>
    <row r="1333" spans="1:67" ht="30.6" customHeight="1" x14ac:dyDescent="0.25">
      <c r="A1333" s="4">
        <v>20141637941</v>
      </c>
      <c r="B1333" s="5" t="s">
        <v>79</v>
      </c>
      <c r="C1333" s="52" t="s">
        <v>18</v>
      </c>
      <c r="D1333" s="4" t="s">
        <v>120</v>
      </c>
      <c r="E1333" s="5" t="s">
        <v>3</v>
      </c>
      <c r="F1333" s="24">
        <v>45945</v>
      </c>
      <c r="G1333" s="7" t="s">
        <v>113</v>
      </c>
      <c r="H1333" s="25">
        <f t="shared" si="322"/>
        <v>1</v>
      </c>
      <c r="I1333" s="331">
        <v>5120</v>
      </c>
      <c r="J1333" s="8" t="s">
        <v>115</v>
      </c>
      <c r="K1333" s="9" t="s">
        <v>121</v>
      </c>
      <c r="L1333" s="10" t="s">
        <v>117</v>
      </c>
      <c r="M1333" s="11">
        <v>720</v>
      </c>
      <c r="N1333" s="12" t="s">
        <v>249</v>
      </c>
      <c r="O1333" s="6">
        <v>45946</v>
      </c>
      <c r="P1333" s="110">
        <v>3724</v>
      </c>
      <c r="Q1333" s="14" t="s">
        <v>85</v>
      </c>
      <c r="R1333" s="401">
        <v>80</v>
      </c>
      <c r="S1333" s="401">
        <v>832</v>
      </c>
      <c r="T1333" s="321">
        <f>DATA[[#This Row],[C. DF]]+DATA[[#This Row],[C.OPE.]]</f>
        <v>912</v>
      </c>
      <c r="U1333" s="15">
        <f>DATA[[#This Row],[SUB TOTAL]]*0.18</f>
        <v>164.16</v>
      </c>
      <c r="V1333" s="15">
        <f>IFERROR(ROUND(DATA[[#This Row],[SUB TOTAL]]+DATA[[#This Row],[IGV]],2),0)</f>
        <v>1076.1600000000001</v>
      </c>
      <c r="W1333" s="339" t="str">
        <f>IF(DATA[[#This Row],[VALORIZACIÓN ]]="-","NO CORRESPONDE",IF(OR(A1333=20558226979,A1333=10470707866,A1333=20111157058,A1333=20100226902),"NO CORRESPONDE",IF(J1333="Emitida",IF(P1333&gt;0,"EMITIDA","PENDIENTE"),"NO CORRESPONDE")))</f>
        <v>EMITIDA</v>
      </c>
      <c r="X1333" s="29"/>
      <c r="Y1333" s="17" t="s">
        <v>118</v>
      </c>
      <c r="Z1333" s="30">
        <v>45946</v>
      </c>
      <c r="AA1333" s="10" t="s">
        <v>150</v>
      </c>
      <c r="AB1333" s="19">
        <v>294</v>
      </c>
      <c r="AC1333" s="20">
        <v>30</v>
      </c>
      <c r="AD1333" s="18">
        <f>DATA[[#This Row],[FECHA DE EMISION]]+DATA[[#This Row],[CONDICION DE PAGO]]</f>
        <v>45976</v>
      </c>
      <c r="AE1333" s="23">
        <f>IF(DATA[[#This Row],[MONEDA]]="USD",VLOOKUP(DATA[[#This Row],[COMBINADA]],#REF!,11,0),1)</f>
        <v>1</v>
      </c>
      <c r="AF1333" s="129" t="str">
        <f>IF(DATA[[#This Row],[SERIE2]]="-","NO CORRESPONDE",IF(W1333="NO CORRESPONDE","NO CORRESPONDE",IF(Z1333&gt;0,"FACTURADO","PENDIENTE")))</f>
        <v>FACTURADO</v>
      </c>
      <c r="AG1333" s="133">
        <f>IFERROR(VLOOKUP(DATA[[#This Row],[COMBINADA]],#REF!,6,0),0)</f>
        <v>0</v>
      </c>
      <c r="AH1333" s="125">
        <f>IFERROR(VLOOKUP(DATA[[#This Row],[COMBINADA]],#REF!,9,0),0)/COUNTIFS(DATA[COMBINADA],DATA[[#This Row],[COMBINADA]])</f>
        <v>0</v>
      </c>
      <c r="AI1333" s="136">
        <f>IFERROR(VLOOKUP(DATA[[#This Row],[COMBINADA]],#REF!,6,0),0)</f>
        <v>0</v>
      </c>
      <c r="AJ1333" s="132">
        <f>IFERROR(VLOOKUP(DATA[[#This Row],[COMBINADA]],#REF!,9,0),0)/COUNTIFS(DATA[COMBINADA],DATA[[#This Row],[COMBINADA]])</f>
        <v>0</v>
      </c>
      <c r="AK1333" s="407">
        <f>IFERROR(VLOOKUP(DATA[[#This Row],[COMBINADA]],#REF!,6,0),0)</f>
        <v>0</v>
      </c>
      <c r="AL1333" s="125">
        <f>IFERROR(VLOOKUP(DATA[[#This Row],[COMBINADA]],#REF!,9,0),0)/COUNTIFS(DATA[COMBINADA],DATA[[#This Row],[COMBINADA]])</f>
        <v>0</v>
      </c>
      <c r="AM1333" s="27">
        <f>IFERROR(VLOOKUP(DATA[[#This Row],[COMBINADA]],#REF!,6,0),0)</f>
        <v>0</v>
      </c>
      <c r="AN1333" s="125">
        <f>IFERROR(VLOOKUP(DATA[[#This Row],[COMBINADA]],#REF!,9,0),0)/COUNTIFS(DATA[COMBINADA],DATA[[#This Row],[COMBINADA]])</f>
        <v>0</v>
      </c>
      <c r="AO1333" s="27">
        <f>IFERROR(VLOOKUP(DATA[[#This Row],[COMBINADA]],#REF!,6,0),0)</f>
        <v>0</v>
      </c>
      <c r="AP1333" s="132">
        <f>IFERROR(VLOOKUP(DATA[[#This Row],[COMBINADA]],#REF!,9,0),0)/COUNTIFS(DATA[COMBINADA],DATA[[#This Row],[COMBINADA]])</f>
        <v>0</v>
      </c>
      <c r="AQ133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1077.8125</v>
      </c>
      <c r="AR1333" s="26" t="str">
        <f>IFERROR(IF(DATA[[#This Row],[estado_fact]]="FACTURADO",VLOOKUP(DATA[[#This Row],[SERIE2]]&amp;"-"&amp;DATA[[#This Row],[NUMERO]],#REF!,34,0),"NO CORRESPONDE"),"NO CORRESPONDE")</f>
        <v>NO CORRESPONDE</v>
      </c>
      <c r="AS1333" s="22" t="str">
        <f>IF(DATA[[#This Row],[fecha_fs]]&gt;0,TEXT(DATA[[#This Row],[fecha_fs]],"Mmmm"),0)</f>
        <v>Octubre</v>
      </c>
      <c r="AT1333" s="22" t="str">
        <f>DATA[[#This Row],[SERIE2]]&amp;"-"&amp;DATA[[#This Row],[NUMERO]]</f>
        <v>FF01-294</v>
      </c>
      <c r="AU1333" s="28">
        <f>DATA[[#This Row],[TOTAL]]*DATA[[#This Row],[T.C.]]</f>
        <v>1076.1600000000001</v>
      </c>
      <c r="AV1333" s="6">
        <f>DATA[[#This Row],[FECHA DE VAL.]]</f>
        <v>45946</v>
      </c>
      <c r="AW1333" s="6">
        <f>DATA[[#This Row],[FECHA DE EMISION]]</f>
        <v>45946</v>
      </c>
      <c r="AX1333" s="6">
        <f>DATA[[#This Row],[F1]]</f>
        <v>0</v>
      </c>
      <c r="AY1333" s="20">
        <f>IF(AV1333-DATA[[#This Row],[fecha_fs]]&lt;0,0,AV1333-DATA[[#This Row],[fecha_fs]])</f>
        <v>1</v>
      </c>
      <c r="AZ1333" s="20">
        <f t="shared" si="323"/>
        <v>0</v>
      </c>
      <c r="BA1333" s="53">
        <f t="shared" si="324"/>
        <v>0</v>
      </c>
      <c r="BB1333" s="360">
        <f>IFERROR(SUM(DATA[[#This Row],[fs_val_ttf]:[fact_pago_ttf]]),0)</f>
        <v>1</v>
      </c>
      <c r="BC1333" s="377">
        <v>45945</v>
      </c>
      <c r="BD1333" s="377">
        <v>45952</v>
      </c>
      <c r="BE1333" s="377">
        <v>45964</v>
      </c>
      <c r="BF1333" s="377">
        <v>45967</v>
      </c>
      <c r="BG1333" s="20">
        <f>IFERROR(IF(BC1333-DATA[[#This Row],[fecha_fs]]&lt;0,0,BC1333-DATA[[#This Row],[fecha_fs]]),0)</f>
        <v>0</v>
      </c>
      <c r="BH1333" s="20">
        <f t="shared" si="325"/>
        <v>7</v>
      </c>
      <c r="BI1333" s="20">
        <f t="shared" si="326"/>
        <v>12</v>
      </c>
      <c r="BJ1333" s="367">
        <f t="shared" si="327"/>
        <v>3</v>
      </c>
      <c r="BK1333" s="362">
        <f>IFERROR(SUM(DATA[[#This Row],[fs_fd_ttd]:[fend_fenf_ttd]]),0)</f>
        <v>22</v>
      </c>
      <c r="BL1333" s="20" t="str">
        <f>IF(DATA[[#This Row],[fecha_fs]]&gt;0,TEXT(DATA[[#This Row],[fecha_fs]],"YYYY"),0)</f>
        <v>2025</v>
      </c>
      <c r="BM1333" s="363" t="b">
        <v>1</v>
      </c>
      <c r="BN1333" s="278">
        <f>COUNTIF(DATA[[#This Row],[tiempo_td]], "&lt;=15")</f>
        <v>0</v>
      </c>
      <c r="BO1333" s="365"/>
    </row>
    <row r="1334" spans="1:67" ht="30.6" customHeight="1" x14ac:dyDescent="0.25">
      <c r="A1334" s="4">
        <v>20100192064</v>
      </c>
      <c r="B1334" s="5" t="s">
        <v>60</v>
      </c>
      <c r="C1334" s="52" t="s">
        <v>65</v>
      </c>
      <c r="D1334" s="4" t="s">
        <v>120</v>
      </c>
      <c r="E1334" s="5" t="s">
        <v>3</v>
      </c>
      <c r="F1334" s="24">
        <v>45946</v>
      </c>
      <c r="G1334" s="7" t="s">
        <v>142</v>
      </c>
      <c r="H1334" s="25">
        <f>IF(G1334="","",IF(G1334="LIM",2,1))</f>
        <v>2</v>
      </c>
      <c r="I1334" s="67">
        <v>1152</v>
      </c>
      <c r="J1334" s="8" t="s">
        <v>115</v>
      </c>
      <c r="K1334" s="9" t="s">
        <v>121</v>
      </c>
      <c r="L1334" s="10" t="s">
        <v>117</v>
      </c>
      <c r="M1334" s="11">
        <v>600</v>
      </c>
      <c r="N1334" s="12" t="s">
        <v>180</v>
      </c>
      <c r="O1334" s="6">
        <v>45959</v>
      </c>
      <c r="P1334" s="71">
        <v>3763</v>
      </c>
      <c r="Q1334" s="14" t="s">
        <v>123</v>
      </c>
      <c r="R1334" s="206">
        <f>(DATA[[#This Row],[cantidad_fs]]/1000)*(37+81.01)</f>
        <v>70.805999999999997</v>
      </c>
      <c r="S1334" s="15">
        <v>103.6</v>
      </c>
      <c r="T1334" s="15">
        <f>DATA[[#This Row],[C. DF]]+DATA[[#This Row],[C.OPE.]]</f>
        <v>174.40600000000001</v>
      </c>
      <c r="U1334" s="15">
        <f>DATA[[#This Row],[SUB TOTAL]]*0.18</f>
        <v>31.393080000000001</v>
      </c>
      <c r="V1334" s="15">
        <f>IFERROR(ROUND(DATA[[#This Row],[SUB TOTAL]]+DATA[[#This Row],[IGV]],2),0)</f>
        <v>205.8</v>
      </c>
      <c r="W1334" s="16" t="str">
        <f>IF(DATA[[#This Row],[VALORIZACIÓN ]]="-","NO CORRESPONDE",IF(OR(A1334=20558226979,A1334=10470707866,A1334=20111157058,A1334=20100226902),"NO CORRESPONDE",IF(J1334="Emitida",IF(P1334&gt;0,"EMITIDA","PENDIENTE"),"NO CORRESPONDE")))</f>
        <v>EMITIDA</v>
      </c>
      <c r="X1334" s="29" t="s">
        <v>374</v>
      </c>
      <c r="Y1334" s="17" t="s">
        <v>118</v>
      </c>
      <c r="Z1334" s="30">
        <v>45961</v>
      </c>
      <c r="AA1334" s="10" t="s">
        <v>150</v>
      </c>
      <c r="AB1334" s="19">
        <v>315</v>
      </c>
      <c r="AC1334" s="20">
        <v>30</v>
      </c>
      <c r="AD1334" s="18">
        <f>DATA[[#This Row],[FECHA DE EMISION]]+DATA[[#This Row],[CONDICION DE PAGO]]</f>
        <v>45991</v>
      </c>
      <c r="AE1334" s="23" t="e">
        <f>IF(DATA[[#This Row],[MONEDA]]="USD",VLOOKUP(DATA[[#This Row],[COMBINADA]],#REF!,11,0),1)</f>
        <v>#REF!</v>
      </c>
      <c r="AF1334" s="129" t="str">
        <f>IF(DATA[[#This Row],[SERIE2]]="-","NO CORRESPONDE",IF(W1334="NO CORRESPONDE","NO CORRESPONDE",IF(Z1334&gt;0,"FACTURADO","PENDIENTE")))</f>
        <v>FACTURADO</v>
      </c>
      <c r="AG1334" s="133">
        <f>IFERROR(VLOOKUP(DATA[[#This Row],[COMBINADA]],#REF!,6,0),0)</f>
        <v>0</v>
      </c>
      <c r="AH1334" s="125">
        <f>IFERROR(VLOOKUP(DATA[[#This Row],[COMBINADA]],#REF!,9,0),0)/COUNTIFS(DATA[COMBINADA],DATA[[#This Row],[COMBINADA]])</f>
        <v>0</v>
      </c>
      <c r="AI1334" s="136">
        <f>IFERROR(VLOOKUP(DATA[[#This Row],[COMBINADA]],#REF!,6,0),0)</f>
        <v>0</v>
      </c>
      <c r="AJ1334" s="132">
        <f>IFERROR(VLOOKUP(DATA[[#This Row],[COMBINADA]],#REF!,9,0),0)/COUNTIFS(DATA[COMBINADA],DATA[[#This Row],[COMBINADA]])</f>
        <v>0</v>
      </c>
      <c r="AK1334" s="407">
        <f>IFERROR(VLOOKUP(DATA[[#This Row],[COMBINADA]],#REF!,6,0),0)</f>
        <v>0</v>
      </c>
      <c r="AL1334" s="125">
        <f>IFERROR(VLOOKUP(DATA[[#This Row],[COMBINADA]],#REF!,9,0),0)/COUNTIFS(DATA[COMBINADA],DATA[[#This Row],[COMBINADA]])</f>
        <v>0</v>
      </c>
      <c r="AM1334" s="27">
        <f>IFERROR(VLOOKUP(DATA[[#This Row],[COMBINADA]],#REF!,6,0),0)</f>
        <v>0</v>
      </c>
      <c r="AN1334" s="125">
        <f>IFERROR(VLOOKUP(DATA[[#This Row],[COMBINADA]],#REF!,9,0),0)/COUNTIFS(DATA[COMBINADA],DATA[[#This Row],[COMBINADA]])</f>
        <v>0</v>
      </c>
      <c r="AO1334" s="27">
        <f>IFERROR(VLOOKUP(DATA[[#This Row],[COMBINADA]],#REF!,6,0),0)</f>
        <v>0</v>
      </c>
      <c r="AP1334" s="132">
        <f>IFERROR(VLOOKUP(DATA[[#This Row],[COMBINADA]],#REF!,9,0),0)/COUNTIFS(DATA[COMBINADA],DATA[[#This Row],[COMBINADA]])</f>
        <v>0</v>
      </c>
      <c r="AQ133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425.40500000000003</v>
      </c>
      <c r="AR1334" s="26" t="str">
        <f>IFERROR(IF(DATA[[#This Row],[estado_fact]]="FACTURADO",VLOOKUP(DATA[[#This Row],[SERIE2]]&amp;"-"&amp;DATA[[#This Row],[NUMERO]],#REF!,34,0),"NO CORRESPONDE"),"NO CORRESPONDE")</f>
        <v>NO CORRESPONDE</v>
      </c>
      <c r="AS1334" s="22" t="str">
        <f>IF(DATA[[#This Row],[fecha_fs]]&gt;0,TEXT(DATA[[#This Row],[fecha_fs]],"Mmmm"),0)</f>
        <v>Octubre</v>
      </c>
      <c r="AT1334" s="22" t="str">
        <f>DATA[[#This Row],[SERIE2]]&amp;"-"&amp;DATA[[#This Row],[NUMERO]]</f>
        <v>FF01-315</v>
      </c>
      <c r="AU1334" s="28" t="e">
        <f>DATA[[#This Row],[TOTAL]]*DATA[[#This Row],[T.C.]]</f>
        <v>#REF!</v>
      </c>
      <c r="AV1334" s="6">
        <f>DATA[[#This Row],[FECHA DE VAL.]]</f>
        <v>45959</v>
      </c>
      <c r="AW1334" s="6">
        <f>DATA[[#This Row],[FECHA DE EMISION]]</f>
        <v>45961</v>
      </c>
      <c r="AX1334" s="6">
        <f>DATA[[#This Row],[F1]]</f>
        <v>0</v>
      </c>
      <c r="AY1334" s="20">
        <f>IF(AV1334-DATA[[#This Row],[fecha_fs]]&lt;0,0,AV1334-DATA[[#This Row],[fecha_fs]])</f>
        <v>13</v>
      </c>
      <c r="AZ1334" s="20">
        <f>IF(AW1334-AV1334&lt;0,0,AW1334-AV1334)</f>
        <v>2</v>
      </c>
      <c r="BA1334" s="53">
        <f>IF(AX1334-AW1334&lt;0,0,AX1334-AW1334)</f>
        <v>0</v>
      </c>
      <c r="BB1334" s="360">
        <f>IFERROR(SUM(DATA[[#This Row],[fs_val_ttf]:[fact_pago_ttf]]),0)</f>
        <v>15</v>
      </c>
      <c r="BC1334" s="417">
        <v>45946</v>
      </c>
      <c r="BD1334" s="377">
        <v>45967</v>
      </c>
      <c r="BE1334" s="377">
        <v>45967</v>
      </c>
      <c r="BF1334" s="334" t="s">
        <v>270</v>
      </c>
      <c r="BG1334" s="20">
        <f>IFERROR(IF(BC1334-DATA[[#This Row],[fecha_fs]]&lt;0,0,BC1334-DATA[[#This Row],[fecha_fs]]),0)</f>
        <v>0</v>
      </c>
      <c r="BH1334" s="20">
        <f t="shared" si="325"/>
        <v>21</v>
      </c>
      <c r="BI1334" s="20">
        <f t="shared" si="326"/>
        <v>0</v>
      </c>
      <c r="BJ1334" s="367">
        <f t="shared" si="327"/>
        <v>0</v>
      </c>
      <c r="BK1334" s="362">
        <f>IFERROR(SUM(DATA[[#This Row],[fs_fd_ttd]:[fend_fenf_ttd]]),0)</f>
        <v>21</v>
      </c>
      <c r="BL1334" s="20" t="str">
        <f>IF(DATA[[#This Row],[fecha_fs]]&gt;0,TEXT(DATA[[#This Row],[fecha_fs]],"YYYY"),0)</f>
        <v>2025</v>
      </c>
      <c r="BM1334" s="363" t="b">
        <v>0</v>
      </c>
      <c r="BN1334" s="278">
        <f>COUNTIF(DATA[[#This Row],[tiempo_td]], "&lt;=15")</f>
        <v>0</v>
      </c>
      <c r="BO1334" s="365"/>
    </row>
    <row r="1335" spans="1:67" ht="30.6" customHeight="1" x14ac:dyDescent="0.25">
      <c r="A1335" s="4">
        <v>20141637941</v>
      </c>
      <c r="B1335" s="5" t="s">
        <v>79</v>
      </c>
      <c r="C1335" s="52" t="s">
        <v>18</v>
      </c>
      <c r="D1335" s="4" t="s">
        <v>120</v>
      </c>
      <c r="E1335" s="5" t="s">
        <v>3</v>
      </c>
      <c r="F1335" s="24">
        <v>45946</v>
      </c>
      <c r="G1335" s="7" t="s">
        <v>113</v>
      </c>
      <c r="H1335" s="25">
        <f t="shared" si="322"/>
        <v>1</v>
      </c>
      <c r="I1335" s="331">
        <v>5121</v>
      </c>
      <c r="J1335" s="8" t="s">
        <v>115</v>
      </c>
      <c r="K1335" s="9" t="s">
        <v>121</v>
      </c>
      <c r="L1335" s="10" t="s">
        <v>117</v>
      </c>
      <c r="M1335" s="11">
        <v>1070</v>
      </c>
      <c r="N1335" s="12" t="s">
        <v>249</v>
      </c>
      <c r="O1335" s="6">
        <v>45946</v>
      </c>
      <c r="P1335" s="110">
        <v>3724</v>
      </c>
      <c r="Q1335" s="14" t="s">
        <v>85</v>
      </c>
      <c r="R1335" s="321">
        <f>80+((DATA[[#This Row],[cantidad_fs]]-1000)*0.08)</f>
        <v>85.6</v>
      </c>
      <c r="S1335" s="321">
        <v>832</v>
      </c>
      <c r="T1335" s="321">
        <f>DATA[[#This Row],[C. DF]]+DATA[[#This Row],[C.OPE.]]</f>
        <v>917.6</v>
      </c>
      <c r="U1335" s="15">
        <f>DATA[[#This Row],[SUB TOTAL]]*0.18</f>
        <v>165.16800000000001</v>
      </c>
      <c r="V1335" s="15">
        <f>IFERROR(ROUND(DATA[[#This Row],[SUB TOTAL]]+DATA[[#This Row],[IGV]],2),0)</f>
        <v>1082.77</v>
      </c>
      <c r="W1335" s="339" t="str">
        <f>IF(DATA[[#This Row],[VALORIZACIÓN ]]="-","NO CORRESPONDE",IF(OR(A1335=20558226979,A1335=10470707866,A1335=20111157058,A1335=20100226902),"NO CORRESPONDE",IF(J1335="Emitida",IF(P1335&gt;0,"EMITIDA","PENDIENTE"),"NO CORRESPONDE")))</f>
        <v>EMITIDA</v>
      </c>
      <c r="X1335" s="29"/>
      <c r="Y1335" s="17" t="s">
        <v>118</v>
      </c>
      <c r="Z1335" s="30">
        <v>45946</v>
      </c>
      <c r="AA1335" s="10" t="s">
        <v>150</v>
      </c>
      <c r="AB1335" s="19">
        <v>294</v>
      </c>
      <c r="AC1335" s="20">
        <v>30</v>
      </c>
      <c r="AD1335" s="18">
        <f>DATA[[#This Row],[FECHA DE EMISION]]+DATA[[#This Row],[CONDICION DE PAGO]]</f>
        <v>45976</v>
      </c>
      <c r="AE1335" s="23">
        <f>IF(DATA[[#This Row],[MONEDA]]="USD",VLOOKUP(DATA[[#This Row],[COMBINADA]],#REF!,11,0),1)</f>
        <v>1</v>
      </c>
      <c r="AF1335" s="129" t="str">
        <f>IF(DATA[[#This Row],[SERIE2]]="-","NO CORRESPONDE",IF(W1335="NO CORRESPONDE","NO CORRESPONDE",IF(Z1335&gt;0,"FACTURADO","PENDIENTE")))</f>
        <v>FACTURADO</v>
      </c>
      <c r="AG1335" s="133">
        <f>IFERROR(VLOOKUP(DATA[[#This Row],[COMBINADA]],#REF!,6,0),0)</f>
        <v>0</v>
      </c>
      <c r="AH1335" s="125">
        <f>IFERROR(VLOOKUP(DATA[[#This Row],[COMBINADA]],#REF!,9,0),0)/COUNTIFS(DATA[COMBINADA],DATA[[#This Row],[COMBINADA]])</f>
        <v>0</v>
      </c>
      <c r="AI1335" s="136">
        <f>IFERROR(VLOOKUP(DATA[[#This Row],[COMBINADA]],#REF!,6,0),0)</f>
        <v>0</v>
      </c>
      <c r="AJ1335" s="132">
        <f>IFERROR(VLOOKUP(DATA[[#This Row],[COMBINADA]],#REF!,9,0),0)/COUNTIFS(DATA[COMBINADA],DATA[[#This Row],[COMBINADA]])</f>
        <v>0</v>
      </c>
      <c r="AK1335" s="407">
        <f>IFERROR(VLOOKUP(DATA[[#This Row],[COMBINADA]],#REF!,6,0),0)</f>
        <v>0</v>
      </c>
      <c r="AL1335" s="125">
        <f>IFERROR(VLOOKUP(DATA[[#This Row],[COMBINADA]],#REF!,9,0),0)/COUNTIFS(DATA[COMBINADA],DATA[[#This Row],[COMBINADA]])</f>
        <v>0</v>
      </c>
      <c r="AM1335" s="27">
        <f>IFERROR(VLOOKUP(DATA[[#This Row],[COMBINADA]],#REF!,6,0),0)</f>
        <v>0</v>
      </c>
      <c r="AN1335" s="125">
        <f>IFERROR(VLOOKUP(DATA[[#This Row],[COMBINADA]],#REF!,9,0),0)/COUNTIFS(DATA[COMBINADA],DATA[[#This Row],[COMBINADA]])</f>
        <v>0</v>
      </c>
      <c r="AO1335" s="27">
        <f>IFERROR(VLOOKUP(DATA[[#This Row],[COMBINADA]],#REF!,6,0),0)</f>
        <v>0</v>
      </c>
      <c r="AP1335" s="132">
        <f>IFERROR(VLOOKUP(DATA[[#This Row],[COMBINADA]],#REF!,9,0),0)/COUNTIFS(DATA[COMBINADA],DATA[[#This Row],[COMBINADA]])</f>
        <v>0</v>
      </c>
      <c r="AQ133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1077.8125</v>
      </c>
      <c r="AR1335" s="26" t="str">
        <f>IFERROR(IF(DATA[[#This Row],[estado_fact]]="FACTURADO",VLOOKUP(DATA[[#This Row],[SERIE2]]&amp;"-"&amp;DATA[[#This Row],[NUMERO]],#REF!,34,0),"NO CORRESPONDE"),"NO CORRESPONDE")</f>
        <v>NO CORRESPONDE</v>
      </c>
      <c r="AS1335" s="22" t="str">
        <f>IF(DATA[[#This Row],[fecha_fs]]&gt;0,TEXT(DATA[[#This Row],[fecha_fs]],"Mmmm"),0)</f>
        <v>Octubre</v>
      </c>
      <c r="AT1335" s="22" t="str">
        <f>DATA[[#This Row],[SERIE2]]&amp;"-"&amp;DATA[[#This Row],[NUMERO]]</f>
        <v>FF01-294</v>
      </c>
      <c r="AU1335" s="28">
        <f>DATA[[#This Row],[TOTAL]]*DATA[[#This Row],[T.C.]]</f>
        <v>1082.77</v>
      </c>
      <c r="AV1335" s="6">
        <f>DATA[[#This Row],[FECHA DE VAL.]]</f>
        <v>45946</v>
      </c>
      <c r="AW1335" s="6">
        <f>DATA[[#This Row],[FECHA DE EMISION]]</f>
        <v>45946</v>
      </c>
      <c r="AX1335" s="6">
        <f>DATA[[#This Row],[F1]]</f>
        <v>0</v>
      </c>
      <c r="AY1335" s="20">
        <f>IF(AV1335-DATA[[#This Row],[fecha_fs]]&lt;0,0,AV1335-DATA[[#This Row],[fecha_fs]])</f>
        <v>0</v>
      </c>
      <c r="AZ1335" s="20">
        <f t="shared" si="323"/>
        <v>0</v>
      </c>
      <c r="BA1335" s="53">
        <f t="shared" si="324"/>
        <v>0</v>
      </c>
      <c r="BB1335" s="360">
        <f>IFERROR(SUM(DATA[[#This Row],[fs_val_ttf]:[fact_pago_ttf]]),0)</f>
        <v>0</v>
      </c>
      <c r="BC1335" s="377">
        <v>45952</v>
      </c>
      <c r="BD1335" s="377">
        <v>45960</v>
      </c>
      <c r="BE1335" s="377">
        <v>45964</v>
      </c>
      <c r="BF1335" s="377">
        <v>45967</v>
      </c>
      <c r="BG1335" s="20">
        <f>IFERROR(IF(BC1335-DATA[[#This Row],[fecha_fs]]&lt;0,0,BC1335-DATA[[#This Row],[fecha_fs]]),0)</f>
        <v>6</v>
      </c>
      <c r="BH1335" s="20">
        <f t="shared" si="325"/>
        <v>8</v>
      </c>
      <c r="BI1335" s="20">
        <f t="shared" si="326"/>
        <v>4</v>
      </c>
      <c r="BJ1335" s="367">
        <f t="shared" si="327"/>
        <v>3</v>
      </c>
      <c r="BK1335" s="362">
        <f>IFERROR(SUM(DATA[[#This Row],[fs_fd_ttd]:[fend_fenf_ttd]]),0)</f>
        <v>21</v>
      </c>
      <c r="BL1335" s="20" t="str">
        <f>IF(DATA[[#This Row],[fecha_fs]]&gt;0,TEXT(DATA[[#This Row],[fecha_fs]],"YYYY"),0)</f>
        <v>2025</v>
      </c>
      <c r="BM1335" s="363" t="b">
        <v>1</v>
      </c>
      <c r="BN1335" s="278">
        <f>COUNTIF(DATA[[#This Row],[tiempo_td]], "&lt;=15")</f>
        <v>0</v>
      </c>
      <c r="BO1335" s="365"/>
    </row>
    <row r="1336" spans="1:67" ht="30.6" customHeight="1" x14ac:dyDescent="0.25">
      <c r="A1336" s="4">
        <v>20100055237</v>
      </c>
      <c r="B1336" s="5" t="s">
        <v>21</v>
      </c>
      <c r="C1336" s="52" t="s">
        <v>138</v>
      </c>
      <c r="D1336" s="4" t="s">
        <v>139</v>
      </c>
      <c r="E1336" s="5" t="s">
        <v>23</v>
      </c>
      <c r="F1336" s="24">
        <v>45946</v>
      </c>
      <c r="G1336" s="7" t="s">
        <v>113</v>
      </c>
      <c r="H1336" s="25">
        <f t="shared" si="322"/>
        <v>1</v>
      </c>
      <c r="I1336" s="331">
        <v>5122</v>
      </c>
      <c r="J1336" s="8" t="s">
        <v>115</v>
      </c>
      <c r="K1336" s="9" t="s">
        <v>121</v>
      </c>
      <c r="L1336" s="10" t="s">
        <v>117</v>
      </c>
      <c r="M1336" s="11">
        <v>50</v>
      </c>
      <c r="N1336" s="12" t="s">
        <v>167</v>
      </c>
      <c r="O1336" s="6">
        <v>45961</v>
      </c>
      <c r="P1336" s="54">
        <v>3772</v>
      </c>
      <c r="Q1336" s="14" t="s">
        <v>85</v>
      </c>
      <c r="R1336" s="401"/>
      <c r="S1336" s="401">
        <v>297.92</v>
      </c>
      <c r="T1336" s="321">
        <f>DATA[[#This Row],[C. DF]]+DATA[[#This Row],[C.OPE.]]</f>
        <v>297.92</v>
      </c>
      <c r="U1336" s="15">
        <f>DATA[[#This Row],[SUB TOTAL]]*0.18</f>
        <v>53.625599999999999</v>
      </c>
      <c r="V1336" s="15">
        <f>IFERROR(ROUND(DATA[[#This Row],[SUB TOTAL]]+DATA[[#This Row],[IGV]],2),0)</f>
        <v>351.55</v>
      </c>
      <c r="W1336" s="339" t="str">
        <f>IF(DATA[[#This Row],[VALORIZACIÓN ]]="-","NO CORRESPONDE",IF(OR(A1336=20558226979,A1336=10470707866,A1336=20111157058,A1336=20100226902),"NO CORRESPONDE",IF(J1336="Emitida",IF(P1336&gt;0,"EMITIDA","PENDIENTE"),"NO CORRESPONDE")))</f>
        <v>EMITIDA</v>
      </c>
      <c r="X1336" s="29"/>
      <c r="Y1336" s="17" t="s">
        <v>232</v>
      </c>
      <c r="Z1336" s="30"/>
      <c r="AA1336" s="10"/>
      <c r="AB1336" s="19"/>
      <c r="AC1336" s="20"/>
      <c r="AD1336" s="18">
        <f>DATA[[#This Row],[FECHA DE EMISION]]+DATA[[#This Row],[CONDICION DE PAGO]]</f>
        <v>0</v>
      </c>
      <c r="AE1336" s="23">
        <f>IF(DATA[[#This Row],[MONEDA]]="USD",VLOOKUP(DATA[[#This Row],[COMBINADA]],#REF!,11,0),1)</f>
        <v>1</v>
      </c>
      <c r="AF1336" s="129" t="str">
        <f>IF(DATA[[#This Row],[SERIE2]]="-","NO CORRESPONDE",IF(W1336="NO CORRESPONDE","NO CORRESPONDE",IF(Z1336&gt;0,"FACTURADO","PENDIENTE")))</f>
        <v>PENDIENTE</v>
      </c>
      <c r="AG1336" s="133">
        <f>IFERROR(VLOOKUP(DATA[[#This Row],[COMBINADA]],#REF!,6,0),0)</f>
        <v>0</v>
      </c>
      <c r="AH1336" s="125">
        <f>IFERROR(VLOOKUP(DATA[[#This Row],[COMBINADA]],#REF!,9,0),0)/COUNTIFS(DATA[COMBINADA],DATA[[#This Row],[COMBINADA]])</f>
        <v>0</v>
      </c>
      <c r="AI1336" s="136">
        <f>IFERROR(VLOOKUP(DATA[[#This Row],[COMBINADA]],#REF!,6,0),0)</f>
        <v>0</v>
      </c>
      <c r="AJ1336" s="132">
        <f>IFERROR(VLOOKUP(DATA[[#This Row],[COMBINADA]],#REF!,9,0),0)/COUNTIFS(DATA[COMBINADA],DATA[[#This Row],[COMBINADA]])</f>
        <v>0</v>
      </c>
      <c r="AK1336" s="407">
        <f>IFERROR(VLOOKUP(DATA[[#This Row],[COMBINADA]],#REF!,6,0),0)</f>
        <v>0</v>
      </c>
      <c r="AL1336" s="125">
        <f>IFERROR(VLOOKUP(DATA[[#This Row],[COMBINADA]],#REF!,9,0),0)/COUNTIFS(DATA[COMBINADA],DATA[[#This Row],[COMBINADA]])</f>
        <v>0</v>
      </c>
      <c r="AM1336" s="27">
        <f>IFERROR(VLOOKUP(DATA[[#This Row],[COMBINADA]],#REF!,6,0),0)</f>
        <v>0</v>
      </c>
      <c r="AN1336" s="125">
        <f>IFERROR(VLOOKUP(DATA[[#This Row],[COMBINADA]],#REF!,9,0),0)/COUNTIFS(DATA[COMBINADA],DATA[[#This Row],[COMBINADA]])</f>
        <v>0</v>
      </c>
      <c r="AO1336" s="27">
        <f>IFERROR(VLOOKUP(DATA[[#This Row],[COMBINADA]],#REF!,6,0),0)</f>
        <v>0</v>
      </c>
      <c r="AP1336" s="132">
        <f>IFERROR(VLOOKUP(DATA[[#This Row],[COMBINADA]],#REF!,9,0),0)/COUNTIFS(DATA[COMBINADA],DATA[[#This Row],[COMBINADA]])</f>
        <v>0</v>
      </c>
      <c r="AQ133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36" s="26" t="str">
        <f>IFERROR(IF(DATA[[#This Row],[estado_fact]]="FACTURADO",VLOOKUP(DATA[[#This Row],[SERIE2]]&amp;"-"&amp;DATA[[#This Row],[NUMERO]],#REF!,34,0),"NO CORRESPONDE"),"NO CORRESPONDE")</f>
        <v>NO CORRESPONDE</v>
      </c>
      <c r="AS1336" s="22" t="str">
        <f>IF(DATA[[#This Row],[fecha_fs]]&gt;0,TEXT(DATA[[#This Row],[fecha_fs]],"Mmmm"),0)</f>
        <v>Octubre</v>
      </c>
      <c r="AT1336" s="22" t="str">
        <f>DATA[[#This Row],[SERIE2]]&amp;"-"&amp;DATA[[#This Row],[NUMERO]]</f>
        <v>-</v>
      </c>
      <c r="AU1336" s="28">
        <f>DATA[[#This Row],[TOTAL]]*DATA[[#This Row],[T.C.]]</f>
        <v>351.55</v>
      </c>
      <c r="AV1336" s="6">
        <f>DATA[[#This Row],[FECHA DE VAL.]]</f>
        <v>45961</v>
      </c>
      <c r="AW1336" s="6">
        <f>DATA[[#This Row],[FECHA DE EMISION]]</f>
        <v>0</v>
      </c>
      <c r="AX1336" s="6">
        <f>DATA[[#This Row],[F1]]</f>
        <v>0</v>
      </c>
      <c r="AY1336" s="20">
        <f>IF(AV1336-DATA[[#This Row],[fecha_fs]]&lt;0,0,AV1336-DATA[[#This Row],[fecha_fs]])</f>
        <v>15</v>
      </c>
      <c r="AZ1336" s="20">
        <f t="shared" si="323"/>
        <v>0</v>
      </c>
      <c r="BA1336" s="53">
        <f t="shared" si="324"/>
        <v>0</v>
      </c>
      <c r="BB1336" s="360">
        <f>IFERROR(SUM(DATA[[#This Row],[fs_val_ttf]:[fact_pago_ttf]]),0)</f>
        <v>15</v>
      </c>
      <c r="BC1336" s="377">
        <v>45946</v>
      </c>
      <c r="BD1336" s="377">
        <v>45946</v>
      </c>
      <c r="BE1336" s="377">
        <v>45966</v>
      </c>
      <c r="BF1336" s="377">
        <v>45966</v>
      </c>
      <c r="BG1336" s="20">
        <f>IFERROR(IF(BC1336-DATA[[#This Row],[fecha_fs]]&lt;0,0,BC1336-DATA[[#This Row],[fecha_fs]]),0)</f>
        <v>0</v>
      </c>
      <c r="BH1336" s="20">
        <f t="shared" si="325"/>
        <v>0</v>
      </c>
      <c r="BI1336" s="20">
        <f t="shared" si="326"/>
        <v>20</v>
      </c>
      <c r="BJ1336" s="367">
        <f t="shared" si="327"/>
        <v>0</v>
      </c>
      <c r="BK1336" s="362">
        <f>IFERROR(SUM(DATA[[#This Row],[fs_fd_ttd]:[fend_fenf_ttd]]),0)</f>
        <v>20</v>
      </c>
      <c r="BL1336" s="20" t="str">
        <f>IF(DATA[[#This Row],[fecha_fs]]&gt;0,TEXT(DATA[[#This Row],[fecha_fs]],"YYYY"),0)</f>
        <v>2025</v>
      </c>
      <c r="BM1336" s="363" t="b">
        <v>1</v>
      </c>
      <c r="BN1336" s="278">
        <f>COUNTIF(DATA[[#This Row],[tiempo_td]], "&lt;=15")</f>
        <v>0</v>
      </c>
      <c r="BO1336" s="365"/>
    </row>
    <row r="1337" spans="1:67" ht="30" customHeight="1" x14ac:dyDescent="0.25">
      <c r="A1337" s="4">
        <v>20565347099</v>
      </c>
      <c r="B1337" s="5" t="s">
        <v>46</v>
      </c>
      <c r="C1337" s="52" t="s">
        <v>18</v>
      </c>
      <c r="D1337" s="4" t="s">
        <v>120</v>
      </c>
      <c r="E1337" s="5" t="s">
        <v>3</v>
      </c>
      <c r="F1337" s="24">
        <v>45946</v>
      </c>
      <c r="G1337" s="7" t="s">
        <v>113</v>
      </c>
      <c r="H1337" s="25">
        <f t="shared" si="322"/>
        <v>1</v>
      </c>
      <c r="I1337" s="331">
        <v>5123</v>
      </c>
      <c r="J1337" s="8" t="s">
        <v>115</v>
      </c>
      <c r="K1337" s="9" t="s">
        <v>121</v>
      </c>
      <c r="L1337" s="10" t="s">
        <v>117</v>
      </c>
      <c r="M1337" s="11">
        <v>540</v>
      </c>
      <c r="N1337" s="12" t="s">
        <v>249</v>
      </c>
      <c r="O1337" s="6">
        <v>45947</v>
      </c>
      <c r="P1337" s="13">
        <v>3725</v>
      </c>
      <c r="Q1337" s="14" t="s">
        <v>85</v>
      </c>
      <c r="R1337" s="321">
        <v>80</v>
      </c>
      <c r="S1337" s="321">
        <v>1123.9000000000001</v>
      </c>
      <c r="T1337" s="321">
        <f>DATA[[#This Row],[C. DF]]+DATA[[#This Row],[C.OPE.]]</f>
        <v>1203.9000000000001</v>
      </c>
      <c r="U1337" s="15">
        <f>DATA[[#This Row],[SUB TOTAL]]*0.18</f>
        <v>216.702</v>
      </c>
      <c r="V1337" s="15">
        <f>IFERROR(ROUND(DATA[[#This Row],[SUB TOTAL]]+DATA[[#This Row],[IGV]],2),0)</f>
        <v>1420.6</v>
      </c>
      <c r="W1337" s="339" t="str">
        <f>IF(DATA[[#This Row],[VALORIZACIÓN ]]="-","NO CORRESPONDE",IF(OR(A1337=20558226979,A1337=10470707866,A1337=20111157058,A1337=20100226902),"NO CORRESPONDE",IF(J1337="Emitida",IF(P1337&gt;0,"EMITIDA","PENDIENTE"),"NO CORRESPONDE")))</f>
        <v>EMITIDA</v>
      </c>
      <c r="X1337" s="29"/>
      <c r="Y1337" s="17" t="s">
        <v>118</v>
      </c>
      <c r="Z1337" s="30">
        <v>45964</v>
      </c>
      <c r="AA1337" s="10" t="s">
        <v>150</v>
      </c>
      <c r="AB1337" s="19">
        <v>320</v>
      </c>
      <c r="AC1337" s="20">
        <v>15</v>
      </c>
      <c r="AD1337" s="18">
        <f>DATA[[#This Row],[FECHA DE EMISION]]+DATA[[#This Row],[CONDICION DE PAGO]]</f>
        <v>45979</v>
      </c>
      <c r="AE1337" s="23">
        <f>IF(DATA[[#This Row],[MONEDA]]="USD",VLOOKUP(DATA[[#This Row],[COMBINADA]],#REF!,11,0),1)</f>
        <v>1</v>
      </c>
      <c r="AF1337" s="129" t="str">
        <f>IF(DATA[[#This Row],[SERIE2]]="-","NO CORRESPONDE",IF(W1337="NO CORRESPONDE","NO CORRESPONDE",IF(Z1337&gt;0,"FACTURADO","PENDIENTE")))</f>
        <v>FACTURADO</v>
      </c>
      <c r="AG1337" s="133">
        <f>IFERROR(VLOOKUP(DATA[[#This Row],[COMBINADA]],#REF!,6,0),0)</f>
        <v>0</v>
      </c>
      <c r="AH1337" s="125">
        <f>IFERROR(VLOOKUP(DATA[[#This Row],[COMBINADA]],#REF!,9,0),0)/COUNTIFS(DATA[COMBINADA],DATA[[#This Row],[COMBINADA]])</f>
        <v>0</v>
      </c>
      <c r="AI1337" s="136">
        <f>IFERROR(VLOOKUP(DATA[[#This Row],[COMBINADA]],#REF!,6,0),0)</f>
        <v>0</v>
      </c>
      <c r="AJ1337" s="132">
        <f>IFERROR(VLOOKUP(DATA[[#This Row],[COMBINADA]],#REF!,9,0),0)/COUNTIFS(DATA[COMBINADA],DATA[[#This Row],[COMBINADA]])</f>
        <v>0</v>
      </c>
      <c r="AK1337" s="407">
        <f>IFERROR(VLOOKUP(DATA[[#This Row],[COMBINADA]],#REF!,6,0),0)</f>
        <v>0</v>
      </c>
      <c r="AL1337" s="125">
        <f>IFERROR(VLOOKUP(DATA[[#This Row],[COMBINADA]],#REF!,9,0),0)/COUNTIFS(DATA[COMBINADA],DATA[[#This Row],[COMBINADA]])</f>
        <v>0</v>
      </c>
      <c r="AM1337" s="27">
        <f>IFERROR(VLOOKUP(DATA[[#This Row],[COMBINADA]],#REF!,6,0),0)</f>
        <v>0</v>
      </c>
      <c r="AN1337" s="125">
        <f>IFERROR(VLOOKUP(DATA[[#This Row],[COMBINADA]],#REF!,9,0),0)/COUNTIFS(DATA[COMBINADA],DATA[[#This Row],[COMBINADA]])</f>
        <v>0</v>
      </c>
      <c r="AO1337" s="27">
        <f>IFERROR(VLOOKUP(DATA[[#This Row],[COMBINADA]],#REF!,6,0),0)</f>
        <v>0</v>
      </c>
      <c r="AP1337" s="132">
        <f>IFERROR(VLOOKUP(DATA[[#This Row],[COMBINADA]],#REF!,9,0),0)/COUNTIFS(DATA[COMBINADA],DATA[[#This Row],[COMBINADA]])</f>
        <v>0</v>
      </c>
      <c r="AQ133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1420.6</v>
      </c>
      <c r="AR1337" s="26" t="str">
        <f>IFERROR(IF(DATA[[#This Row],[estado_fact]]="FACTURADO",VLOOKUP(DATA[[#This Row],[SERIE2]]&amp;"-"&amp;DATA[[#This Row],[NUMERO]],#REF!,34,0),"NO CORRESPONDE"),"NO CORRESPONDE")</f>
        <v>NO CORRESPONDE</v>
      </c>
      <c r="AS1337" s="22" t="str">
        <f>IF(DATA[[#This Row],[fecha_fs]]&gt;0,TEXT(DATA[[#This Row],[fecha_fs]],"Mmmm"),0)</f>
        <v>Octubre</v>
      </c>
      <c r="AT1337" s="22" t="str">
        <f>DATA[[#This Row],[SERIE2]]&amp;"-"&amp;DATA[[#This Row],[NUMERO]]</f>
        <v>FF01-320</v>
      </c>
      <c r="AU1337" s="28">
        <f>DATA[[#This Row],[TOTAL]]*DATA[[#This Row],[T.C.]]</f>
        <v>1420.6</v>
      </c>
      <c r="AV1337" s="6">
        <f>DATA[[#This Row],[FECHA DE VAL.]]</f>
        <v>45947</v>
      </c>
      <c r="AW1337" s="6">
        <f>DATA[[#This Row],[FECHA DE EMISION]]</f>
        <v>45964</v>
      </c>
      <c r="AX1337" s="6">
        <f>DATA[[#This Row],[F1]]</f>
        <v>0</v>
      </c>
      <c r="AY1337" s="20">
        <f>IF(AV1337-DATA[[#This Row],[fecha_fs]]&lt;0,0,AV1337-DATA[[#This Row],[fecha_fs]])</f>
        <v>1</v>
      </c>
      <c r="AZ1337" s="20">
        <f t="shared" si="323"/>
        <v>17</v>
      </c>
      <c r="BA1337" s="53">
        <f t="shared" si="324"/>
        <v>0</v>
      </c>
      <c r="BB1337" s="360">
        <f>IFERROR(SUM(DATA[[#This Row],[fs_val_ttf]:[fact_pago_ttf]]),0)</f>
        <v>18</v>
      </c>
      <c r="BC1337" s="377">
        <v>45946</v>
      </c>
      <c r="BD1337" s="377">
        <v>45957</v>
      </c>
      <c r="BE1337" s="377">
        <v>45964</v>
      </c>
      <c r="BF1337" s="361" t="s">
        <v>270</v>
      </c>
      <c r="BG1337" s="20">
        <f>IFERROR(IF(BC1337-DATA[[#This Row],[fecha_fs]]&lt;0,0,BC1337-DATA[[#This Row],[fecha_fs]]),0)</f>
        <v>0</v>
      </c>
      <c r="BH1337" s="20">
        <f t="shared" si="325"/>
        <v>11</v>
      </c>
      <c r="BI1337" s="20">
        <f t="shared" si="326"/>
        <v>7</v>
      </c>
      <c r="BJ1337" s="367">
        <f t="shared" si="327"/>
        <v>0</v>
      </c>
      <c r="BK1337" s="362">
        <f>IFERROR(SUM(DATA[[#This Row],[fs_fd_ttd]:[fend_fenf_ttd]]),0)</f>
        <v>18</v>
      </c>
      <c r="BL1337" s="20" t="str">
        <f>IF(DATA[[#This Row],[fecha_fs]]&gt;0,TEXT(DATA[[#This Row],[fecha_fs]],"YYYY"),0)</f>
        <v>2025</v>
      </c>
      <c r="BM1337" s="363" t="b">
        <v>0</v>
      </c>
      <c r="BN1337" s="278">
        <f>COUNTIF(DATA[[#This Row],[tiempo_td]], "&lt;=15")</f>
        <v>0</v>
      </c>
      <c r="BO1337" s="365"/>
    </row>
    <row r="1338" spans="1:67" ht="30" customHeight="1" x14ac:dyDescent="0.25">
      <c r="A1338" s="4">
        <v>20519212162</v>
      </c>
      <c r="B1338" s="5" t="s">
        <v>279</v>
      </c>
      <c r="C1338" s="52" t="s">
        <v>18</v>
      </c>
      <c r="D1338" s="4" t="s">
        <v>120</v>
      </c>
      <c r="E1338" s="5" t="s">
        <v>3</v>
      </c>
      <c r="F1338" s="24">
        <v>45946</v>
      </c>
      <c r="G1338" s="7" t="s">
        <v>113</v>
      </c>
      <c r="H1338" s="25">
        <f t="shared" si="322"/>
        <v>1</v>
      </c>
      <c r="I1338" s="331">
        <v>5124</v>
      </c>
      <c r="J1338" s="8" t="s">
        <v>115</v>
      </c>
      <c r="K1338" s="9" t="s">
        <v>121</v>
      </c>
      <c r="L1338" s="10" t="s">
        <v>117</v>
      </c>
      <c r="M1338" s="11">
        <v>2290</v>
      </c>
      <c r="N1338" s="12" t="s">
        <v>135</v>
      </c>
      <c r="O1338" s="6">
        <v>45961</v>
      </c>
      <c r="P1338" s="416">
        <v>3773</v>
      </c>
      <c r="Q1338" s="14" t="s">
        <v>85</v>
      </c>
      <c r="R1338" s="321">
        <f>80+((DATA[[#This Row],[cantidad_fs]]-1000)*0.08)</f>
        <v>183.2</v>
      </c>
      <c r="S1338" s="321">
        <v>1250.7</v>
      </c>
      <c r="T1338" s="321">
        <f>DATA[[#This Row],[C. DF]]+DATA[[#This Row],[C.OPE.]]</f>
        <v>1433.9</v>
      </c>
      <c r="U1338" s="15">
        <f>DATA[[#This Row],[SUB TOTAL]]*0.18</f>
        <v>258.10200000000003</v>
      </c>
      <c r="V1338" s="15">
        <f>IFERROR(ROUND(DATA[[#This Row],[SUB TOTAL]]+DATA[[#This Row],[IGV]],2),0)</f>
        <v>1692</v>
      </c>
      <c r="W1338" s="339" t="str">
        <f>IF(DATA[[#This Row],[VALORIZACIÓN ]]="-","NO CORRESPONDE",IF(OR(A1338=20558226979,A1338=10470707866,A1338=20111157058,A1338=20100226902),"NO CORRESPONDE",IF(J1338="Emitida",IF(P1338&gt;0,"EMITIDA","PENDIENTE"),"NO CORRESPONDE")))</f>
        <v>EMITIDA</v>
      </c>
      <c r="X1338" s="29"/>
      <c r="Y1338" s="17" t="s">
        <v>232</v>
      </c>
      <c r="Z1338" s="30"/>
      <c r="AA1338" s="10"/>
      <c r="AB1338" s="19"/>
      <c r="AC1338" s="20"/>
      <c r="AD1338" s="18">
        <f>DATA[[#This Row],[FECHA DE EMISION]]+DATA[[#This Row],[CONDICION DE PAGO]]</f>
        <v>0</v>
      </c>
      <c r="AE1338" s="23">
        <f>IF(DATA[[#This Row],[MONEDA]]="USD",VLOOKUP(DATA[[#This Row],[COMBINADA]],#REF!,11,0),1)</f>
        <v>1</v>
      </c>
      <c r="AF1338" s="129" t="str">
        <f>IF(DATA[[#This Row],[SERIE2]]="-","NO CORRESPONDE",IF(W1338="NO CORRESPONDE","NO CORRESPONDE",IF(Z1338&gt;0,"FACTURADO","PENDIENTE")))</f>
        <v>PENDIENTE</v>
      </c>
      <c r="AG1338" s="133">
        <f>IFERROR(VLOOKUP(DATA[[#This Row],[COMBINADA]],#REF!,6,0),0)</f>
        <v>0</v>
      </c>
      <c r="AH1338" s="125">
        <f>IFERROR(VLOOKUP(DATA[[#This Row],[COMBINADA]],#REF!,9,0),0)/COUNTIFS(DATA[COMBINADA],DATA[[#This Row],[COMBINADA]])</f>
        <v>0</v>
      </c>
      <c r="AI1338" s="136">
        <f>IFERROR(VLOOKUP(DATA[[#This Row],[COMBINADA]],#REF!,6,0),0)</f>
        <v>0</v>
      </c>
      <c r="AJ1338" s="132">
        <f>IFERROR(VLOOKUP(DATA[[#This Row],[COMBINADA]],#REF!,9,0),0)/COUNTIFS(DATA[COMBINADA],DATA[[#This Row],[COMBINADA]])</f>
        <v>0</v>
      </c>
      <c r="AK1338" s="407">
        <f>IFERROR(VLOOKUP(DATA[[#This Row],[COMBINADA]],#REF!,6,0),0)</f>
        <v>0</v>
      </c>
      <c r="AL1338" s="125">
        <f>IFERROR(VLOOKUP(DATA[[#This Row],[COMBINADA]],#REF!,9,0),0)/COUNTIFS(DATA[COMBINADA],DATA[[#This Row],[COMBINADA]])</f>
        <v>0</v>
      </c>
      <c r="AM1338" s="27">
        <f>IFERROR(VLOOKUP(DATA[[#This Row],[COMBINADA]],#REF!,6,0),0)</f>
        <v>0</v>
      </c>
      <c r="AN1338" s="125">
        <f>IFERROR(VLOOKUP(DATA[[#This Row],[COMBINADA]],#REF!,9,0),0)/COUNTIFS(DATA[COMBINADA],DATA[[#This Row],[COMBINADA]])</f>
        <v>0</v>
      </c>
      <c r="AO1338" s="27">
        <f>IFERROR(VLOOKUP(DATA[[#This Row],[COMBINADA]],#REF!,6,0),0)</f>
        <v>0</v>
      </c>
      <c r="AP1338" s="132">
        <f>IFERROR(VLOOKUP(DATA[[#This Row],[COMBINADA]],#REF!,9,0),0)/COUNTIFS(DATA[COMBINADA],DATA[[#This Row],[COMBINADA]])</f>
        <v>0</v>
      </c>
      <c r="AQ133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38" s="26" t="str">
        <f>IFERROR(IF(DATA[[#This Row],[estado_fact]]="FACTURADO",VLOOKUP(DATA[[#This Row],[SERIE2]]&amp;"-"&amp;DATA[[#This Row],[NUMERO]],#REF!,34,0),"NO CORRESPONDE"),"NO CORRESPONDE")</f>
        <v>NO CORRESPONDE</v>
      </c>
      <c r="AS1338" s="22" t="str">
        <f>IF(DATA[[#This Row],[fecha_fs]]&gt;0,TEXT(DATA[[#This Row],[fecha_fs]],"Mmmm"),0)</f>
        <v>Octubre</v>
      </c>
      <c r="AT1338" s="22" t="str">
        <f>DATA[[#This Row],[SERIE2]]&amp;"-"&amp;DATA[[#This Row],[NUMERO]]</f>
        <v>-</v>
      </c>
      <c r="AU1338" s="28">
        <f>DATA[[#This Row],[TOTAL]]*DATA[[#This Row],[T.C.]]</f>
        <v>1692</v>
      </c>
      <c r="AV1338" s="6">
        <f>DATA[[#This Row],[FECHA DE VAL.]]</f>
        <v>45961</v>
      </c>
      <c r="AW1338" s="6">
        <f>DATA[[#This Row],[FECHA DE EMISION]]</f>
        <v>0</v>
      </c>
      <c r="AX1338" s="6">
        <f>DATA[[#This Row],[F1]]</f>
        <v>0</v>
      </c>
      <c r="AY1338" s="20">
        <f>IF(AV1338-DATA[[#This Row],[fecha_fs]]&lt;0,0,AV1338-DATA[[#This Row],[fecha_fs]])</f>
        <v>15</v>
      </c>
      <c r="AZ1338" s="20">
        <f t="shared" si="323"/>
        <v>0</v>
      </c>
      <c r="BA1338" s="53">
        <f t="shared" si="324"/>
        <v>0</v>
      </c>
      <c r="BB1338" s="360">
        <f>IFERROR(SUM(DATA[[#This Row],[fs_val_ttf]:[fact_pago_ttf]]),0)</f>
        <v>15</v>
      </c>
      <c r="BC1338" s="377">
        <v>45946</v>
      </c>
      <c r="BD1338" s="377">
        <v>45957</v>
      </c>
      <c r="BE1338" s="377">
        <v>45964</v>
      </c>
      <c r="BF1338" s="361" t="s">
        <v>270</v>
      </c>
      <c r="BG1338" s="20">
        <f>IFERROR(IF(BC1338-DATA[[#This Row],[fecha_fs]]&lt;0,0,BC1338-DATA[[#This Row],[fecha_fs]]),0)</f>
        <v>0</v>
      </c>
      <c r="BH1338" s="20">
        <f t="shared" si="325"/>
        <v>11</v>
      </c>
      <c r="BI1338" s="20">
        <f t="shared" si="326"/>
        <v>7</v>
      </c>
      <c r="BJ1338" s="367">
        <f t="shared" si="327"/>
        <v>0</v>
      </c>
      <c r="BK1338" s="362">
        <f>IFERROR(SUM(DATA[[#This Row],[fs_fd_ttd]:[fend_fenf_ttd]]),0)</f>
        <v>18</v>
      </c>
      <c r="BL1338" s="20" t="str">
        <f>IF(DATA[[#This Row],[fecha_fs]]&gt;0,TEXT(DATA[[#This Row],[fecha_fs]],"YYYY"),0)</f>
        <v>2025</v>
      </c>
      <c r="BM1338" s="363" t="b">
        <v>0</v>
      </c>
      <c r="BN1338" s="278">
        <f>COUNTIF(DATA[[#This Row],[tiempo_td]], "&lt;=15")</f>
        <v>0</v>
      </c>
      <c r="BO1338" s="365"/>
    </row>
    <row r="1339" spans="1:67" ht="30.6" customHeight="1" x14ac:dyDescent="0.25">
      <c r="A1339" s="4">
        <v>20565347099</v>
      </c>
      <c r="B1339" s="5" t="s">
        <v>46</v>
      </c>
      <c r="C1339" s="52" t="s">
        <v>18</v>
      </c>
      <c r="D1339" s="4" t="s">
        <v>112</v>
      </c>
      <c r="E1339" s="5" t="s">
        <v>1</v>
      </c>
      <c r="F1339" s="24">
        <v>45946</v>
      </c>
      <c r="G1339" s="7" t="s">
        <v>113</v>
      </c>
      <c r="H1339" s="25">
        <f t="shared" si="322"/>
        <v>1</v>
      </c>
      <c r="I1339" s="331">
        <v>5125</v>
      </c>
      <c r="J1339" s="8" t="s">
        <v>115</v>
      </c>
      <c r="K1339" s="9" t="s">
        <v>116</v>
      </c>
      <c r="L1339" s="10" t="s">
        <v>117</v>
      </c>
      <c r="M1339" s="11">
        <v>920</v>
      </c>
      <c r="N1339" s="12" t="s">
        <v>167</v>
      </c>
      <c r="O1339" s="6">
        <v>45952</v>
      </c>
      <c r="P1339" s="13">
        <v>3732</v>
      </c>
      <c r="Q1339" s="14" t="s">
        <v>85</v>
      </c>
      <c r="R1339" s="15">
        <v>400</v>
      </c>
      <c r="S1339" s="321">
        <v>1123.9000000000001</v>
      </c>
      <c r="T1339" s="321">
        <f>DATA[[#This Row],[C. DF]]+DATA[[#This Row],[C.OPE.]]</f>
        <v>1523.9</v>
      </c>
      <c r="U1339" s="15">
        <f>DATA[[#This Row],[SUB TOTAL]]*0.18</f>
        <v>274.30200000000002</v>
      </c>
      <c r="V1339" s="15">
        <f>IFERROR(ROUND(DATA[[#This Row],[SUB TOTAL]]+DATA[[#This Row],[IGV]],2),0)</f>
        <v>1798.2</v>
      </c>
      <c r="W1339" s="339" t="str">
        <f>IF(DATA[[#This Row],[VALORIZACIÓN ]]="-","NO CORRESPONDE",IF(OR(A1339=20558226979,A1339=10470707866,A1339=20111157058,A1339=20100226902),"NO CORRESPONDE",IF(J1339="Emitida",IF(P1339&gt;0,"EMITIDA","PENDIENTE"),"NO CORRESPONDE")))</f>
        <v>EMITIDA</v>
      </c>
      <c r="X1339" s="29" t="s">
        <v>364</v>
      </c>
      <c r="Y1339" s="17" t="s">
        <v>118</v>
      </c>
      <c r="Z1339" s="30">
        <v>45953</v>
      </c>
      <c r="AA1339" s="10" t="s">
        <v>150</v>
      </c>
      <c r="AB1339" s="19">
        <v>303</v>
      </c>
      <c r="AC1339" s="20">
        <v>15</v>
      </c>
      <c r="AD1339" s="18">
        <f>DATA[[#This Row],[FECHA DE EMISION]]+DATA[[#This Row],[CONDICION DE PAGO]]</f>
        <v>45968</v>
      </c>
      <c r="AE1339" s="23">
        <f>IF(DATA[[#This Row],[MONEDA]]="USD",VLOOKUP(DATA[[#This Row],[COMBINADA]],#REF!,11,0),1)</f>
        <v>1</v>
      </c>
      <c r="AF1339" s="129" t="str">
        <f>IF(DATA[[#This Row],[SERIE2]]="-","NO CORRESPONDE",IF(W1339="NO CORRESPONDE","NO CORRESPONDE",IF(Z1339&gt;0,"FACTURADO","PENDIENTE")))</f>
        <v>FACTURADO</v>
      </c>
      <c r="AG1339" s="133">
        <f>IFERROR(VLOOKUP(DATA[[#This Row],[COMBINADA]],#REF!,6,0),0)</f>
        <v>0</v>
      </c>
      <c r="AH1339" s="125">
        <f>IFERROR(VLOOKUP(DATA[[#This Row],[COMBINADA]],#REF!,9,0),0)/COUNTIFS(DATA[COMBINADA],DATA[[#This Row],[COMBINADA]])</f>
        <v>0</v>
      </c>
      <c r="AI1339" s="136">
        <f>IFERROR(VLOOKUP(DATA[[#This Row],[COMBINADA]],#REF!,6,0),0)</f>
        <v>0</v>
      </c>
      <c r="AJ1339" s="132">
        <f>IFERROR(VLOOKUP(DATA[[#This Row],[COMBINADA]],#REF!,9,0),0)/COUNTIFS(DATA[COMBINADA],DATA[[#This Row],[COMBINADA]])</f>
        <v>0</v>
      </c>
      <c r="AK1339" s="407">
        <f>IFERROR(VLOOKUP(DATA[[#This Row],[COMBINADA]],#REF!,6,0),0)</f>
        <v>0</v>
      </c>
      <c r="AL1339" s="125">
        <f>IFERROR(VLOOKUP(DATA[[#This Row],[COMBINADA]],#REF!,9,0),0)/COUNTIFS(DATA[COMBINADA],DATA[[#This Row],[COMBINADA]])</f>
        <v>0</v>
      </c>
      <c r="AM1339" s="27">
        <f>IFERROR(VLOOKUP(DATA[[#This Row],[COMBINADA]],#REF!,6,0),0)</f>
        <v>0</v>
      </c>
      <c r="AN1339" s="125">
        <f>IFERROR(VLOOKUP(DATA[[#This Row],[COMBINADA]],#REF!,9,0),0)/COUNTIFS(DATA[COMBINADA],DATA[[#This Row],[COMBINADA]])</f>
        <v>0</v>
      </c>
      <c r="AO1339" s="27">
        <f>IFERROR(VLOOKUP(DATA[[#This Row],[COMBINADA]],#REF!,6,0),0)</f>
        <v>0</v>
      </c>
      <c r="AP1339" s="132">
        <f>IFERROR(VLOOKUP(DATA[[#This Row],[COMBINADA]],#REF!,9,0),0)/COUNTIFS(DATA[COMBINADA],DATA[[#This Row],[COMBINADA]])</f>
        <v>0</v>
      </c>
      <c r="AQ133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1798.2</v>
      </c>
      <c r="AR1339" s="26" t="str">
        <f>IFERROR(IF(DATA[[#This Row],[estado_fact]]="FACTURADO",VLOOKUP(DATA[[#This Row],[SERIE2]]&amp;"-"&amp;DATA[[#This Row],[NUMERO]],#REF!,34,0),"NO CORRESPONDE"),"NO CORRESPONDE")</f>
        <v>NO CORRESPONDE</v>
      </c>
      <c r="AS1339" s="22" t="str">
        <f>IF(DATA[[#This Row],[fecha_fs]]&gt;0,TEXT(DATA[[#This Row],[fecha_fs]],"Mmmm"),0)</f>
        <v>Octubre</v>
      </c>
      <c r="AT1339" s="22" t="str">
        <f>DATA[[#This Row],[SERIE2]]&amp;"-"&amp;DATA[[#This Row],[NUMERO]]</f>
        <v>FF01-303</v>
      </c>
      <c r="AU1339" s="28">
        <f>DATA[[#This Row],[TOTAL]]*DATA[[#This Row],[T.C.]]</f>
        <v>1798.2</v>
      </c>
      <c r="AV1339" s="6">
        <f>DATA[[#This Row],[FECHA DE VAL.]]</f>
        <v>45952</v>
      </c>
      <c r="AW1339" s="6">
        <f>DATA[[#This Row],[FECHA DE EMISION]]</f>
        <v>45953</v>
      </c>
      <c r="AX1339" s="6">
        <f>DATA[[#This Row],[F1]]</f>
        <v>0</v>
      </c>
      <c r="AY1339" s="20">
        <f>IF(AV1339-DATA[[#This Row],[fecha_fs]]&lt;0,0,AV1339-DATA[[#This Row],[fecha_fs]])</f>
        <v>6</v>
      </c>
      <c r="AZ1339" s="20">
        <f t="shared" si="323"/>
        <v>1</v>
      </c>
      <c r="BA1339" s="53">
        <f t="shared" si="324"/>
        <v>0</v>
      </c>
      <c r="BB1339" s="360">
        <f>IFERROR(SUM(DATA[[#This Row],[fs_val_ttf]:[fact_pago_ttf]]),0)</f>
        <v>7</v>
      </c>
      <c r="BC1339" s="377">
        <v>45951</v>
      </c>
      <c r="BD1339" s="377">
        <v>45958</v>
      </c>
      <c r="BE1339" s="377">
        <v>45964</v>
      </c>
      <c r="BF1339" s="361" t="s">
        <v>270</v>
      </c>
      <c r="BG1339" s="20">
        <f>IFERROR(IF(BC1339-DATA[[#This Row],[fecha_fs]]&lt;0,0,BC1339-DATA[[#This Row],[fecha_fs]]),0)</f>
        <v>5</v>
      </c>
      <c r="BH1339" s="20">
        <f t="shared" si="325"/>
        <v>7</v>
      </c>
      <c r="BI1339" s="20">
        <f t="shared" si="326"/>
        <v>6</v>
      </c>
      <c r="BJ1339" s="367">
        <f t="shared" si="327"/>
        <v>0</v>
      </c>
      <c r="BK1339" s="362">
        <f>IFERROR(SUM(DATA[[#This Row],[fs_fd_ttd]:[fend_fenf_ttd]]),0)</f>
        <v>18</v>
      </c>
      <c r="BL1339" s="20" t="str">
        <f>IF(DATA[[#This Row],[fecha_fs]]&gt;0,TEXT(DATA[[#This Row],[fecha_fs]],"YYYY"),0)</f>
        <v>2025</v>
      </c>
      <c r="BM1339" s="363" t="b">
        <v>0</v>
      </c>
      <c r="BN1339" s="278">
        <f>COUNTIF(DATA[[#This Row],[tiempo_td]], "&lt;=15")</f>
        <v>0</v>
      </c>
      <c r="BO1339" s="365"/>
    </row>
    <row r="1340" spans="1:67" ht="30.6" customHeight="1" x14ac:dyDescent="0.25">
      <c r="A1340" s="4">
        <v>20558226979</v>
      </c>
      <c r="B1340" s="5" t="s">
        <v>45</v>
      </c>
      <c r="C1340" s="52" t="s">
        <v>18</v>
      </c>
      <c r="D1340" s="4" t="s">
        <v>152</v>
      </c>
      <c r="E1340" s="5" t="s">
        <v>10</v>
      </c>
      <c r="F1340" s="24">
        <v>45946</v>
      </c>
      <c r="G1340" s="7" t="s">
        <v>113</v>
      </c>
      <c r="H1340" s="25">
        <f t="shared" si="322"/>
        <v>1</v>
      </c>
      <c r="I1340" s="331">
        <v>5126</v>
      </c>
      <c r="J1340" s="8" t="s">
        <v>115</v>
      </c>
      <c r="K1340" s="9" t="s">
        <v>153</v>
      </c>
      <c r="L1340" s="10" t="s">
        <v>117</v>
      </c>
      <c r="M1340" s="11">
        <v>100</v>
      </c>
      <c r="N1340" s="12" t="s">
        <v>249</v>
      </c>
      <c r="O1340" s="359"/>
      <c r="P1340" s="371" t="s">
        <v>114</v>
      </c>
      <c r="Q1340" s="372"/>
      <c r="R1340" s="373"/>
      <c r="S1340" s="373"/>
      <c r="T1340" s="373">
        <f>DATA[[#This Row],[C. DF]]+DATA[[#This Row],[C.OPE.]]</f>
        <v>0</v>
      </c>
      <c r="U1340" s="373">
        <f>DATA[[#This Row],[SUB TOTAL]]*0.18</f>
        <v>0</v>
      </c>
      <c r="V1340" s="373">
        <f>IFERROR(ROUND(DATA[[#This Row],[SUB TOTAL]]+DATA[[#This Row],[IGV]],2),0)</f>
        <v>0</v>
      </c>
      <c r="W1340" s="16" t="str">
        <f>IF(DATA[[#This Row],[VALORIZACIÓN ]]="-","NO CORRESPONDE",IF(OR(A1340=20558226979,A1340=10470707866,A1340=20111157058,A1340=20100226902),"NO CORRESPONDE",IF(J1340="Emitida",IF(P1340&gt;0,"EMITIDA","PENDIENTE"),"NO CORRESPONDE")))</f>
        <v>NO CORRESPONDE</v>
      </c>
      <c r="X1340" s="374"/>
      <c r="Y1340" s="17" t="s">
        <v>128</v>
      </c>
      <c r="Z1340" s="340"/>
      <c r="AA1340" s="361"/>
      <c r="AB1340" s="342"/>
      <c r="AC1340" s="343"/>
      <c r="AD1340" s="344">
        <f>DATA[[#This Row],[FECHA DE EMISION]]+DATA[[#This Row],[CONDICION DE PAGO]]</f>
        <v>0</v>
      </c>
      <c r="AE1340" s="23">
        <f>IF(DATA[[#This Row],[MONEDA]]="USD",VLOOKUP(DATA[[#This Row],[COMBINADA]],#REF!,11,0),1)</f>
        <v>1</v>
      </c>
      <c r="AF1340" s="129" t="str">
        <f>IF(DATA[[#This Row],[SERIE2]]="-","NO CORRESPONDE",IF(W1340="NO CORRESPONDE","NO CORRESPONDE",IF(Z1340&gt;0,"FACTURADO","PENDIENTE")))</f>
        <v>NO CORRESPONDE</v>
      </c>
      <c r="AG1340" s="133">
        <f>IFERROR(VLOOKUP(DATA[[#This Row],[COMBINADA]],#REF!,6,0),0)</f>
        <v>0</v>
      </c>
      <c r="AH1340" s="125">
        <f>IFERROR(VLOOKUP(DATA[[#This Row],[COMBINADA]],#REF!,9,0),0)/COUNTIFS(DATA[COMBINADA],DATA[[#This Row],[COMBINADA]])</f>
        <v>0</v>
      </c>
      <c r="AI1340" s="136">
        <f>IFERROR(VLOOKUP(DATA[[#This Row],[COMBINADA]],#REF!,6,0),0)</f>
        <v>0</v>
      </c>
      <c r="AJ1340" s="132">
        <f>IFERROR(VLOOKUP(DATA[[#This Row],[COMBINADA]],#REF!,9,0),0)/COUNTIFS(DATA[COMBINADA],DATA[[#This Row],[COMBINADA]])</f>
        <v>0</v>
      </c>
      <c r="AK1340" s="407">
        <f>IFERROR(VLOOKUP(DATA[[#This Row],[COMBINADA]],#REF!,6,0),0)</f>
        <v>0</v>
      </c>
      <c r="AL1340" s="125">
        <f>IFERROR(VLOOKUP(DATA[[#This Row],[COMBINADA]],#REF!,9,0),0)/COUNTIFS(DATA[COMBINADA],DATA[[#This Row],[COMBINADA]])</f>
        <v>0</v>
      </c>
      <c r="AM1340" s="27">
        <f>IFERROR(VLOOKUP(DATA[[#This Row],[COMBINADA]],#REF!,6,0),0)</f>
        <v>0</v>
      </c>
      <c r="AN1340" s="125">
        <f>IFERROR(VLOOKUP(DATA[[#This Row],[COMBINADA]],#REF!,9,0),0)/COUNTIFS(DATA[COMBINADA],DATA[[#This Row],[COMBINADA]])</f>
        <v>0</v>
      </c>
      <c r="AO1340" s="27">
        <f>IFERROR(VLOOKUP(DATA[[#This Row],[COMBINADA]],#REF!,6,0),0)</f>
        <v>0</v>
      </c>
      <c r="AP1340" s="132">
        <f>IFERROR(VLOOKUP(DATA[[#This Row],[COMBINADA]],#REF!,9,0),0)/COUNTIFS(DATA[COMBINADA],DATA[[#This Row],[COMBINADA]])</f>
        <v>0</v>
      </c>
      <c r="AQ134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40" s="26" t="str">
        <f>IFERROR(IF(DATA[[#This Row],[estado_fact]]="FACTURADO",VLOOKUP(DATA[[#This Row],[SERIE2]]&amp;"-"&amp;DATA[[#This Row],[NUMERO]],#REF!,34,0),"NO CORRESPONDE"),"NO CORRESPONDE")</f>
        <v>NO CORRESPONDE</v>
      </c>
      <c r="AS1340" s="22" t="str">
        <f>IF(DATA[[#This Row],[fecha_fs]]&gt;0,TEXT(DATA[[#This Row],[fecha_fs]],"Mmmm"),0)</f>
        <v>Octubre</v>
      </c>
      <c r="AT1340" s="22" t="str">
        <f>DATA[[#This Row],[SERIE2]]&amp;"-"&amp;DATA[[#This Row],[NUMERO]]</f>
        <v>-</v>
      </c>
      <c r="AU1340" s="28">
        <f>DATA[[#This Row],[TOTAL]]*DATA[[#This Row],[T.C.]]</f>
        <v>0</v>
      </c>
      <c r="AV1340" s="6">
        <f>DATA[[#This Row],[FECHA DE VAL.]]</f>
        <v>0</v>
      </c>
      <c r="AW1340" s="6">
        <f>DATA[[#This Row],[FECHA DE EMISION]]</f>
        <v>0</v>
      </c>
      <c r="AX1340" s="6">
        <f>DATA[[#This Row],[F1]]</f>
        <v>0</v>
      </c>
      <c r="AY1340" s="20">
        <f>IF(AV1340-DATA[[#This Row],[fecha_fs]]&lt;0,0,AV1340-DATA[[#This Row],[fecha_fs]])</f>
        <v>0</v>
      </c>
      <c r="AZ1340" s="20">
        <f t="shared" si="323"/>
        <v>0</v>
      </c>
      <c r="BA1340" s="53">
        <f t="shared" si="324"/>
        <v>0</v>
      </c>
      <c r="BB1340" s="360">
        <f>IFERROR(SUM(DATA[[#This Row],[fs_val_ttf]:[fact_pago_ttf]]),0)</f>
        <v>0</v>
      </c>
      <c r="BC1340" s="377">
        <v>45946</v>
      </c>
      <c r="BD1340" s="377">
        <v>45952</v>
      </c>
      <c r="BE1340" s="377">
        <v>45958</v>
      </c>
      <c r="BF1340" s="361" t="s">
        <v>270</v>
      </c>
      <c r="BG1340" s="20">
        <f>IFERROR(IF(BC1340-DATA[[#This Row],[fecha_fs]]&lt;0,0,BC1340-DATA[[#This Row],[fecha_fs]]),0)</f>
        <v>0</v>
      </c>
      <c r="BH1340" s="20">
        <f t="shared" si="325"/>
        <v>6</v>
      </c>
      <c r="BI1340" s="20">
        <f t="shared" si="326"/>
        <v>6</v>
      </c>
      <c r="BJ1340" s="367">
        <f t="shared" si="327"/>
        <v>0</v>
      </c>
      <c r="BK1340" s="362">
        <f>IFERROR(SUM(DATA[[#This Row],[fs_fd_ttd]:[fend_fenf_ttd]]),0)</f>
        <v>12</v>
      </c>
      <c r="BL1340" s="20" t="str">
        <f>IF(DATA[[#This Row],[fecha_fs]]&gt;0,TEXT(DATA[[#This Row],[fecha_fs]],"YYYY"),0)</f>
        <v>2025</v>
      </c>
      <c r="BM1340" s="363" t="b">
        <v>0</v>
      </c>
      <c r="BN1340" s="278">
        <f>COUNTIF(DATA[[#This Row],[tiempo_td]], "&lt;=15")</f>
        <v>1</v>
      </c>
      <c r="BO1340" s="365"/>
    </row>
    <row r="1341" spans="1:67" ht="30.6" customHeight="1" x14ac:dyDescent="0.25">
      <c r="A1341" s="4">
        <v>20141637941</v>
      </c>
      <c r="B1341" s="5" t="s">
        <v>79</v>
      </c>
      <c r="C1341" s="52" t="s">
        <v>18</v>
      </c>
      <c r="D1341" s="4" t="s">
        <v>120</v>
      </c>
      <c r="E1341" s="5" t="s">
        <v>3</v>
      </c>
      <c r="F1341" s="24">
        <v>45947</v>
      </c>
      <c r="G1341" s="7" t="s">
        <v>113</v>
      </c>
      <c r="H1341" s="25">
        <f t="shared" si="322"/>
        <v>1</v>
      </c>
      <c r="I1341" s="331">
        <v>5127</v>
      </c>
      <c r="J1341" s="8" t="s">
        <v>115</v>
      </c>
      <c r="K1341" s="9" t="s">
        <v>121</v>
      </c>
      <c r="L1341" s="10" t="s">
        <v>117</v>
      </c>
      <c r="M1341" s="11">
        <v>710</v>
      </c>
      <c r="N1341" s="12" t="s">
        <v>249</v>
      </c>
      <c r="O1341" s="6">
        <v>45954</v>
      </c>
      <c r="P1341" s="110">
        <v>3738</v>
      </c>
      <c r="Q1341" s="14" t="s">
        <v>85</v>
      </c>
      <c r="R1341" s="401">
        <v>80</v>
      </c>
      <c r="S1341" s="401">
        <v>832</v>
      </c>
      <c r="T1341" s="321">
        <f>DATA[[#This Row],[C. DF]]+DATA[[#This Row],[C.OPE.]]</f>
        <v>912</v>
      </c>
      <c r="U1341" s="15">
        <f>DATA[[#This Row],[SUB TOTAL]]*0.18</f>
        <v>164.16</v>
      </c>
      <c r="V1341" s="15">
        <f>IFERROR(ROUND(DATA[[#This Row],[SUB TOTAL]]+DATA[[#This Row],[IGV]],2),0)</f>
        <v>1076.1600000000001</v>
      </c>
      <c r="W1341" s="339" t="str">
        <f>IF(DATA[[#This Row],[VALORIZACIÓN ]]="-","NO CORRESPONDE",IF(OR(A1341=20558226979,A1341=10470707866,A1341=20111157058,A1341=20100226902),"NO CORRESPONDE",IF(J1341="Emitida",IF(P1341&gt;0,"EMITIDA","PENDIENTE"),"NO CORRESPONDE")))</f>
        <v>EMITIDA</v>
      </c>
      <c r="X1341" s="29"/>
      <c r="Y1341" s="17" t="s">
        <v>118</v>
      </c>
      <c r="Z1341" s="30">
        <v>45964</v>
      </c>
      <c r="AA1341" s="10" t="s">
        <v>150</v>
      </c>
      <c r="AB1341" s="19">
        <v>319</v>
      </c>
      <c r="AC1341" s="20">
        <v>30</v>
      </c>
      <c r="AD1341" s="18">
        <f>DATA[[#This Row],[FECHA DE EMISION]]+DATA[[#This Row],[CONDICION DE PAGO]]</f>
        <v>45994</v>
      </c>
      <c r="AE1341" s="23">
        <f>IF(DATA[[#This Row],[MONEDA]]="USD",VLOOKUP(DATA[[#This Row],[COMBINADA]],#REF!,11,0),1)</f>
        <v>1</v>
      </c>
      <c r="AF1341" s="129" t="str">
        <f>IF(DATA[[#This Row],[SERIE2]]="-","NO CORRESPONDE",IF(W1341="NO CORRESPONDE","NO CORRESPONDE",IF(Z1341&gt;0,"FACTURADO","PENDIENTE")))</f>
        <v>FACTURADO</v>
      </c>
      <c r="AG1341" s="133">
        <f>IFERROR(VLOOKUP(DATA[[#This Row],[COMBINADA]],#REF!,6,0),0)</f>
        <v>0</v>
      </c>
      <c r="AH1341" s="125">
        <f>IFERROR(VLOOKUP(DATA[[#This Row],[COMBINADA]],#REF!,9,0),0)/COUNTIFS(DATA[COMBINADA],DATA[[#This Row],[COMBINADA]])</f>
        <v>0</v>
      </c>
      <c r="AI1341" s="136">
        <f>IFERROR(VLOOKUP(DATA[[#This Row],[COMBINADA]],#REF!,6,0),0)</f>
        <v>0</v>
      </c>
      <c r="AJ1341" s="132">
        <f>IFERROR(VLOOKUP(DATA[[#This Row],[COMBINADA]],#REF!,9,0),0)/COUNTIFS(DATA[COMBINADA],DATA[[#This Row],[COMBINADA]])</f>
        <v>0</v>
      </c>
      <c r="AK1341" s="407">
        <f>IFERROR(VLOOKUP(DATA[[#This Row],[COMBINADA]],#REF!,6,0),0)</f>
        <v>0</v>
      </c>
      <c r="AL1341" s="125">
        <f>IFERROR(VLOOKUP(DATA[[#This Row],[COMBINADA]],#REF!,9,0),0)/COUNTIFS(DATA[COMBINADA],DATA[[#This Row],[COMBINADA]])</f>
        <v>0</v>
      </c>
      <c r="AM1341" s="27">
        <f>IFERROR(VLOOKUP(DATA[[#This Row],[COMBINADA]],#REF!,6,0),0)</f>
        <v>0</v>
      </c>
      <c r="AN1341" s="125">
        <f>IFERROR(VLOOKUP(DATA[[#This Row],[COMBINADA]],#REF!,9,0),0)/COUNTIFS(DATA[COMBINADA],DATA[[#This Row],[COMBINADA]])</f>
        <v>0</v>
      </c>
      <c r="AO1341" s="27">
        <f>IFERROR(VLOOKUP(DATA[[#This Row],[COMBINADA]],#REF!,6,0),0)</f>
        <v>0</v>
      </c>
      <c r="AP1341" s="132">
        <f>IFERROR(VLOOKUP(DATA[[#This Row],[COMBINADA]],#REF!,9,0),0)/COUNTIFS(DATA[COMBINADA],DATA[[#This Row],[COMBINADA]])</f>
        <v>0</v>
      </c>
      <c r="AQ134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1076.8675000000001</v>
      </c>
      <c r="AR1341" s="26" t="str">
        <f>IFERROR(IF(DATA[[#This Row],[estado_fact]]="FACTURADO",VLOOKUP(DATA[[#This Row],[SERIE2]]&amp;"-"&amp;DATA[[#This Row],[NUMERO]],#REF!,34,0),"NO CORRESPONDE"),"NO CORRESPONDE")</f>
        <v>NO CORRESPONDE</v>
      </c>
      <c r="AS1341" s="22" t="str">
        <f>IF(DATA[[#This Row],[fecha_fs]]&gt;0,TEXT(DATA[[#This Row],[fecha_fs]],"Mmmm"),0)</f>
        <v>Octubre</v>
      </c>
      <c r="AT1341" s="22" t="str">
        <f>DATA[[#This Row],[SERIE2]]&amp;"-"&amp;DATA[[#This Row],[NUMERO]]</f>
        <v>FF01-319</v>
      </c>
      <c r="AU1341" s="28">
        <f>DATA[[#This Row],[TOTAL]]*DATA[[#This Row],[T.C.]]</f>
        <v>1076.1600000000001</v>
      </c>
      <c r="AV1341" s="6">
        <f>DATA[[#This Row],[FECHA DE VAL.]]</f>
        <v>45954</v>
      </c>
      <c r="AW1341" s="6">
        <f>DATA[[#This Row],[FECHA DE EMISION]]</f>
        <v>45964</v>
      </c>
      <c r="AX1341" s="6">
        <f>DATA[[#This Row],[F1]]</f>
        <v>0</v>
      </c>
      <c r="AY1341" s="20">
        <f>IF(AV1341-DATA[[#This Row],[fecha_fs]]&lt;0,0,AV1341-DATA[[#This Row],[fecha_fs]])</f>
        <v>7</v>
      </c>
      <c r="AZ1341" s="20">
        <f t="shared" si="323"/>
        <v>10</v>
      </c>
      <c r="BA1341" s="53">
        <f t="shared" si="324"/>
        <v>0</v>
      </c>
      <c r="BB1341" s="360">
        <f>IFERROR(SUM(DATA[[#This Row],[fs_val_ttf]:[fact_pago_ttf]]),0)</f>
        <v>17</v>
      </c>
      <c r="BC1341" s="377">
        <v>45947</v>
      </c>
      <c r="BD1341" s="377">
        <v>45957</v>
      </c>
      <c r="BE1341" s="377">
        <v>45964</v>
      </c>
      <c r="BF1341" s="377">
        <v>45967</v>
      </c>
      <c r="BG1341" s="20">
        <f>IFERROR(IF(BC1341-DATA[[#This Row],[fecha_fs]]&lt;0,0,BC1341-DATA[[#This Row],[fecha_fs]]),0)</f>
        <v>0</v>
      </c>
      <c r="BH1341" s="20">
        <f t="shared" si="325"/>
        <v>10</v>
      </c>
      <c r="BI1341" s="20">
        <f t="shared" si="326"/>
        <v>7</v>
      </c>
      <c r="BJ1341" s="367">
        <f t="shared" si="327"/>
        <v>3</v>
      </c>
      <c r="BK1341" s="362">
        <f>IFERROR(SUM(DATA[[#This Row],[fs_fd_ttd]:[fend_fenf_ttd]]),0)</f>
        <v>20</v>
      </c>
      <c r="BL1341" s="20" t="str">
        <f>IF(DATA[[#This Row],[fecha_fs]]&gt;0,TEXT(DATA[[#This Row],[fecha_fs]],"YYYY"),0)</f>
        <v>2025</v>
      </c>
      <c r="BM1341" s="363" t="b">
        <v>1</v>
      </c>
      <c r="BN1341" s="278">
        <f>COUNTIF(DATA[[#This Row],[tiempo_td]], "&lt;=15")</f>
        <v>0</v>
      </c>
      <c r="BO1341" s="365"/>
    </row>
    <row r="1342" spans="1:67" ht="30.6" customHeight="1" x14ac:dyDescent="0.25">
      <c r="A1342" s="4">
        <v>20100211115</v>
      </c>
      <c r="B1342" s="5" t="s">
        <v>41</v>
      </c>
      <c r="C1342" s="52" t="s">
        <v>18</v>
      </c>
      <c r="D1342" s="4" t="s">
        <v>120</v>
      </c>
      <c r="E1342" s="5" t="s">
        <v>3</v>
      </c>
      <c r="F1342" s="24">
        <v>45947</v>
      </c>
      <c r="G1342" s="7" t="s">
        <v>113</v>
      </c>
      <c r="H1342" s="25">
        <f t="shared" si="322"/>
        <v>1</v>
      </c>
      <c r="I1342" s="331">
        <v>5128</v>
      </c>
      <c r="J1342" s="8" t="s">
        <v>115</v>
      </c>
      <c r="K1342" s="9" t="s">
        <v>121</v>
      </c>
      <c r="L1342" s="10" t="s">
        <v>117</v>
      </c>
      <c r="M1342" s="11">
        <v>90</v>
      </c>
      <c r="N1342" s="12" t="s">
        <v>167</v>
      </c>
      <c r="O1342" s="6">
        <v>45957</v>
      </c>
      <c r="P1342" s="115">
        <v>3742</v>
      </c>
      <c r="Q1342" s="14" t="s">
        <v>85</v>
      </c>
      <c r="R1342" s="74"/>
      <c r="S1342" s="401">
        <f>(DATA[[#This Row],[cantidad_fs]]*4.17)</f>
        <v>375.3</v>
      </c>
      <c r="T1342" s="321">
        <f>DATA[[#This Row],[C. DF]]+DATA[[#This Row],[C.OPE.]]</f>
        <v>375.3</v>
      </c>
      <c r="U1342" s="15">
        <f>DATA[[#This Row],[SUB TOTAL]]*0.18</f>
        <v>67.554000000000002</v>
      </c>
      <c r="V1342" s="15">
        <f>IFERROR(ROUND(DATA[[#This Row],[SUB TOTAL]]+DATA[[#This Row],[IGV]],2),0)</f>
        <v>442.85</v>
      </c>
      <c r="W1342" s="339" t="str">
        <f>IF(DATA[[#This Row],[VALORIZACIÓN ]]="-","NO CORRESPONDE",IF(OR(A1342=20558226979,A1342=10470707866,A1342=20111157058,A1342=20100226902),"NO CORRESPONDE",IF(J1342="Emitida",IF(P1342&gt;0,"EMITIDA","PENDIENTE"),"NO CORRESPONDE")))</f>
        <v>EMITIDA</v>
      </c>
      <c r="X1342" s="29"/>
      <c r="Y1342" s="17" t="s">
        <v>118</v>
      </c>
      <c r="Z1342" s="30">
        <v>45958</v>
      </c>
      <c r="AA1342" s="10" t="s">
        <v>150</v>
      </c>
      <c r="AB1342" s="19">
        <v>309</v>
      </c>
      <c r="AC1342" s="20">
        <v>30</v>
      </c>
      <c r="AD1342" s="18">
        <f>DATA[[#This Row],[FECHA DE EMISION]]+DATA[[#This Row],[CONDICION DE PAGO]]</f>
        <v>45988</v>
      </c>
      <c r="AE1342" s="23">
        <f>IF(DATA[[#This Row],[MONEDA]]="USD",VLOOKUP(DATA[[#This Row],[COMBINADA]],#REF!,11,0),1)</f>
        <v>1</v>
      </c>
      <c r="AF1342" s="129" t="str">
        <f>IF(DATA[[#This Row],[SERIE2]]="-","NO CORRESPONDE",IF(W1342="NO CORRESPONDE","NO CORRESPONDE",IF(Z1342&gt;0,"FACTURADO","PENDIENTE")))</f>
        <v>FACTURADO</v>
      </c>
      <c r="AG1342" s="133">
        <f>IFERROR(VLOOKUP(DATA[[#This Row],[COMBINADA]],#REF!,6,0),0)</f>
        <v>0</v>
      </c>
      <c r="AH1342" s="125">
        <f>IFERROR(VLOOKUP(DATA[[#This Row],[COMBINADA]],#REF!,9,0),0)/COUNTIFS(DATA[COMBINADA],DATA[[#This Row],[COMBINADA]])</f>
        <v>0</v>
      </c>
      <c r="AI1342" s="136">
        <f>IFERROR(VLOOKUP(DATA[[#This Row],[COMBINADA]],#REF!,6,0),0)</f>
        <v>0</v>
      </c>
      <c r="AJ1342" s="132">
        <f>IFERROR(VLOOKUP(DATA[[#This Row],[COMBINADA]],#REF!,9,0),0)/COUNTIFS(DATA[COMBINADA],DATA[[#This Row],[COMBINADA]])</f>
        <v>0</v>
      </c>
      <c r="AK1342" s="407">
        <f>IFERROR(VLOOKUP(DATA[[#This Row],[COMBINADA]],#REF!,6,0),0)</f>
        <v>0</v>
      </c>
      <c r="AL1342" s="125">
        <f>IFERROR(VLOOKUP(DATA[[#This Row],[COMBINADA]],#REF!,9,0),0)/COUNTIFS(DATA[COMBINADA],DATA[[#This Row],[COMBINADA]])</f>
        <v>0</v>
      </c>
      <c r="AM1342" s="27">
        <f>IFERROR(VLOOKUP(DATA[[#This Row],[COMBINADA]],#REF!,6,0),0)</f>
        <v>0</v>
      </c>
      <c r="AN1342" s="125">
        <f>IFERROR(VLOOKUP(DATA[[#This Row],[COMBINADA]],#REF!,9,0),0)/COUNTIFS(DATA[COMBINADA],DATA[[#This Row],[COMBINADA]])</f>
        <v>0</v>
      </c>
      <c r="AO1342" s="27">
        <f>IFERROR(VLOOKUP(DATA[[#This Row],[COMBINADA]],#REF!,6,0),0)</f>
        <v>0</v>
      </c>
      <c r="AP1342" s="132">
        <f>IFERROR(VLOOKUP(DATA[[#This Row],[COMBINADA]],#REF!,9,0),0)/COUNTIFS(DATA[COMBINADA],DATA[[#This Row],[COMBINADA]])</f>
        <v>0</v>
      </c>
      <c r="AQ134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342" s="26" t="str">
        <f>IFERROR(IF(DATA[[#This Row],[estado_fact]]="FACTURADO",VLOOKUP(DATA[[#This Row],[SERIE2]]&amp;"-"&amp;DATA[[#This Row],[NUMERO]],#REF!,34,0),"NO CORRESPONDE"),"NO CORRESPONDE")</f>
        <v>NO CORRESPONDE</v>
      </c>
      <c r="AS1342" s="22" t="str">
        <f>IF(DATA[[#This Row],[fecha_fs]]&gt;0,TEXT(DATA[[#This Row],[fecha_fs]],"Mmmm"),0)</f>
        <v>Octubre</v>
      </c>
      <c r="AT1342" s="22" t="str">
        <f>DATA[[#This Row],[SERIE2]]&amp;"-"&amp;DATA[[#This Row],[NUMERO]]</f>
        <v>FF01-309</v>
      </c>
      <c r="AU1342" s="28">
        <f>DATA[[#This Row],[TOTAL]]*DATA[[#This Row],[T.C.]]</f>
        <v>442.85</v>
      </c>
      <c r="AV1342" s="6">
        <f>DATA[[#This Row],[FECHA DE VAL.]]</f>
        <v>45957</v>
      </c>
      <c r="AW1342" s="6">
        <f>DATA[[#This Row],[FECHA DE EMISION]]</f>
        <v>45958</v>
      </c>
      <c r="AX1342" s="6">
        <f>DATA[[#This Row],[F1]]</f>
        <v>0</v>
      </c>
      <c r="AY1342" s="20">
        <f>IF(AV1342-DATA[[#This Row],[fecha_fs]]&lt;0,0,AV1342-DATA[[#This Row],[fecha_fs]])</f>
        <v>10</v>
      </c>
      <c r="AZ1342" s="20">
        <f t="shared" si="323"/>
        <v>1</v>
      </c>
      <c r="BA1342" s="53">
        <f t="shared" si="324"/>
        <v>0</v>
      </c>
      <c r="BB1342" s="360">
        <f>IFERROR(SUM(DATA[[#This Row],[fs_val_ttf]:[fact_pago_ttf]]),0)</f>
        <v>11</v>
      </c>
      <c r="BC1342" s="233">
        <v>45957</v>
      </c>
      <c r="BD1342" s="233">
        <v>45964</v>
      </c>
      <c r="BE1342" s="233">
        <v>45967</v>
      </c>
      <c r="BF1342" s="233">
        <v>45967</v>
      </c>
      <c r="BG1342" s="20">
        <f>IFERROR(IF(BC1342-DATA[[#This Row],[fecha_fs]]&lt;0,0,BC1342-DATA[[#This Row],[fecha_fs]]),0)</f>
        <v>10</v>
      </c>
      <c r="BH1342" s="20">
        <f t="shared" si="325"/>
        <v>7</v>
      </c>
      <c r="BI1342" s="20">
        <f t="shared" si="326"/>
        <v>3</v>
      </c>
      <c r="BJ1342" s="367">
        <f t="shared" si="327"/>
        <v>0</v>
      </c>
      <c r="BK1342" s="362">
        <f>IFERROR(SUM(DATA[[#This Row],[fs_fd_ttd]:[fend_fenf_ttd]]),0)</f>
        <v>20</v>
      </c>
      <c r="BL1342" s="20" t="str">
        <f>IF(DATA[[#This Row],[fecha_fs]]&gt;0,TEXT(DATA[[#This Row],[fecha_fs]],"YYYY"),0)</f>
        <v>2025</v>
      </c>
      <c r="BM1342" s="363" t="b">
        <v>1</v>
      </c>
      <c r="BN1342" s="278">
        <f>COUNTIF(DATA[[#This Row],[tiempo_td]], "&lt;=15")</f>
        <v>0</v>
      </c>
      <c r="BO1342" s="365"/>
    </row>
    <row r="1343" spans="1:67" ht="30.6" customHeight="1" x14ac:dyDescent="0.25">
      <c r="A1343" s="4">
        <v>20100211115</v>
      </c>
      <c r="B1343" s="5" t="s">
        <v>41</v>
      </c>
      <c r="C1343" s="52" t="s">
        <v>18</v>
      </c>
      <c r="D1343" s="4" t="s">
        <v>112</v>
      </c>
      <c r="E1343" s="5" t="s">
        <v>1</v>
      </c>
      <c r="F1343" s="24">
        <v>45947</v>
      </c>
      <c r="G1343" s="7" t="s">
        <v>113</v>
      </c>
      <c r="H1343" s="25">
        <f t="shared" si="322"/>
        <v>1</v>
      </c>
      <c r="I1343" s="331">
        <v>5129</v>
      </c>
      <c r="J1343" s="8" t="s">
        <v>115</v>
      </c>
      <c r="K1343" s="9" t="s">
        <v>116</v>
      </c>
      <c r="L1343" s="10" t="s">
        <v>117</v>
      </c>
      <c r="M1343" s="11">
        <v>21</v>
      </c>
      <c r="N1343" s="12" t="s">
        <v>167</v>
      </c>
      <c r="O1343" s="6">
        <v>45957</v>
      </c>
      <c r="P1343" s="115">
        <v>3744</v>
      </c>
      <c r="Q1343" s="14" t="s">
        <v>85</v>
      </c>
      <c r="R1343" s="74"/>
      <c r="S1343" s="401">
        <f>(DATA[[#This Row],[cantidad_fs]]*4.57)</f>
        <v>95.97</v>
      </c>
      <c r="T1343" s="321">
        <f>DATA[[#This Row],[C. DF]]+DATA[[#This Row],[C.OPE.]]</f>
        <v>95.97</v>
      </c>
      <c r="U1343" s="15">
        <f>DATA[[#This Row],[SUB TOTAL]]*0.18</f>
        <v>17.2746</v>
      </c>
      <c r="V1343" s="15">
        <f>IFERROR(ROUND(DATA[[#This Row],[SUB TOTAL]]+DATA[[#This Row],[IGV]],2),0)</f>
        <v>113.24</v>
      </c>
      <c r="W1343" s="339" t="str">
        <f>IF(DATA[[#This Row],[VALORIZACIÓN ]]="-","NO CORRESPONDE",IF(OR(A1343=20558226979,A1343=10470707866,A1343=20111157058,A1343=20100226902),"NO CORRESPONDE",IF(J1343="Emitida",IF(P1343&gt;0,"EMITIDA","PENDIENTE"),"NO CORRESPONDE")))</f>
        <v>EMITIDA</v>
      </c>
      <c r="X1343" s="29"/>
      <c r="Y1343" s="17" t="s">
        <v>118</v>
      </c>
      <c r="Z1343" s="30">
        <v>45958</v>
      </c>
      <c r="AA1343" s="10" t="s">
        <v>150</v>
      </c>
      <c r="AB1343" s="19">
        <v>311</v>
      </c>
      <c r="AC1343" s="20">
        <v>30</v>
      </c>
      <c r="AD1343" s="18">
        <f>DATA[[#This Row],[FECHA DE EMISION]]+DATA[[#This Row],[CONDICION DE PAGO]]</f>
        <v>45988</v>
      </c>
      <c r="AE1343" s="23">
        <f>IF(DATA[[#This Row],[MONEDA]]="USD",VLOOKUP(DATA[[#This Row],[COMBINADA]],#REF!,11,0),1)</f>
        <v>1</v>
      </c>
      <c r="AF1343" s="129" t="str">
        <f>IF(DATA[[#This Row],[SERIE2]]="-","NO CORRESPONDE",IF(W1343="NO CORRESPONDE","NO CORRESPONDE",IF(Z1343&gt;0,"FACTURADO","PENDIENTE")))</f>
        <v>FACTURADO</v>
      </c>
      <c r="AG1343" s="133">
        <f>IFERROR(VLOOKUP(DATA[[#This Row],[COMBINADA]],#REF!,6,0),0)</f>
        <v>0</v>
      </c>
      <c r="AH1343" s="125">
        <f>IFERROR(VLOOKUP(DATA[[#This Row],[COMBINADA]],#REF!,9,0),0)/COUNTIFS(DATA[COMBINADA],DATA[[#This Row],[COMBINADA]])</f>
        <v>0</v>
      </c>
      <c r="AI1343" s="136">
        <f>IFERROR(VLOOKUP(DATA[[#This Row],[COMBINADA]],#REF!,6,0),0)</f>
        <v>0</v>
      </c>
      <c r="AJ1343" s="132">
        <f>IFERROR(VLOOKUP(DATA[[#This Row],[COMBINADA]],#REF!,9,0),0)/COUNTIFS(DATA[COMBINADA],DATA[[#This Row],[COMBINADA]])</f>
        <v>0</v>
      </c>
      <c r="AK1343" s="407">
        <f>IFERROR(VLOOKUP(DATA[[#This Row],[COMBINADA]],#REF!,6,0),0)</f>
        <v>0</v>
      </c>
      <c r="AL1343" s="125">
        <f>IFERROR(VLOOKUP(DATA[[#This Row],[COMBINADA]],#REF!,9,0),0)/COUNTIFS(DATA[COMBINADA],DATA[[#This Row],[COMBINADA]])</f>
        <v>0</v>
      </c>
      <c r="AM1343" s="27">
        <f>IFERROR(VLOOKUP(DATA[[#This Row],[COMBINADA]],#REF!,6,0),0)</f>
        <v>0</v>
      </c>
      <c r="AN1343" s="125">
        <f>IFERROR(VLOOKUP(DATA[[#This Row],[COMBINADA]],#REF!,9,0),0)/COUNTIFS(DATA[COMBINADA],DATA[[#This Row],[COMBINADA]])</f>
        <v>0</v>
      </c>
      <c r="AO1343" s="27">
        <f>IFERROR(VLOOKUP(DATA[[#This Row],[COMBINADA]],#REF!,6,0),0)</f>
        <v>0</v>
      </c>
      <c r="AP1343" s="132">
        <f>IFERROR(VLOOKUP(DATA[[#This Row],[COMBINADA]],#REF!,9,0),0)/COUNTIFS(DATA[COMBINADA],DATA[[#This Row],[COMBINADA]])</f>
        <v>0</v>
      </c>
      <c r="AQ134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145.6</v>
      </c>
      <c r="AR1343" s="26" t="str">
        <f>IFERROR(IF(DATA[[#This Row],[estado_fact]]="FACTURADO",VLOOKUP(DATA[[#This Row],[SERIE2]]&amp;"-"&amp;DATA[[#This Row],[NUMERO]],#REF!,34,0),"NO CORRESPONDE"),"NO CORRESPONDE")</f>
        <v>NO CORRESPONDE</v>
      </c>
      <c r="AS1343" s="22" t="str">
        <f>IF(DATA[[#This Row],[fecha_fs]]&gt;0,TEXT(DATA[[#This Row],[fecha_fs]],"Mmmm"),0)</f>
        <v>Octubre</v>
      </c>
      <c r="AT1343" s="22" t="str">
        <f>DATA[[#This Row],[SERIE2]]&amp;"-"&amp;DATA[[#This Row],[NUMERO]]</f>
        <v>FF01-311</v>
      </c>
      <c r="AU1343" s="28">
        <f>DATA[[#This Row],[TOTAL]]*DATA[[#This Row],[T.C.]]</f>
        <v>113.24</v>
      </c>
      <c r="AV1343" s="6">
        <f>DATA[[#This Row],[FECHA DE VAL.]]</f>
        <v>45957</v>
      </c>
      <c r="AW1343" s="6">
        <f>DATA[[#This Row],[FECHA DE EMISION]]</f>
        <v>45958</v>
      </c>
      <c r="AX1343" s="6">
        <f>DATA[[#This Row],[F1]]</f>
        <v>0</v>
      </c>
      <c r="AY1343" s="20">
        <f>IF(AV1343-DATA[[#This Row],[fecha_fs]]&lt;0,0,AV1343-DATA[[#This Row],[fecha_fs]])</f>
        <v>10</v>
      </c>
      <c r="AZ1343" s="20">
        <f t="shared" si="323"/>
        <v>1</v>
      </c>
      <c r="BA1343" s="53">
        <f t="shared" si="324"/>
        <v>0</v>
      </c>
      <c r="BB1343" s="360">
        <f>IFERROR(SUM(DATA[[#This Row],[fs_val_ttf]:[fact_pago_ttf]]),0)</f>
        <v>11</v>
      </c>
      <c r="BC1343" s="377">
        <v>45960</v>
      </c>
      <c r="BD1343" s="377">
        <v>45967</v>
      </c>
      <c r="BE1343" s="377">
        <v>45967</v>
      </c>
      <c r="BF1343" s="377">
        <v>45967</v>
      </c>
      <c r="BG1343" s="20">
        <f>IFERROR(IF(BC1343-DATA[[#This Row],[fecha_fs]]&lt;0,0,BC1343-DATA[[#This Row],[fecha_fs]]),0)</f>
        <v>13</v>
      </c>
      <c r="BH1343" s="20">
        <f t="shared" si="325"/>
        <v>7</v>
      </c>
      <c r="BI1343" s="20">
        <f t="shared" si="326"/>
        <v>0</v>
      </c>
      <c r="BJ1343" s="367">
        <f t="shared" si="327"/>
        <v>0</v>
      </c>
      <c r="BK1343" s="362">
        <f>IFERROR(SUM(DATA[[#This Row],[fs_fd_ttd]:[fend_fenf_ttd]]),0)</f>
        <v>20</v>
      </c>
      <c r="BL1343" s="20" t="str">
        <f>IF(DATA[[#This Row],[fecha_fs]]&gt;0,TEXT(DATA[[#This Row],[fecha_fs]],"YYYY"),0)</f>
        <v>2025</v>
      </c>
      <c r="BM1343" s="363" t="b">
        <v>1</v>
      </c>
      <c r="BN1343" s="278">
        <f>COUNTIF(DATA[[#This Row],[tiempo_td]], "&lt;=15")</f>
        <v>0</v>
      </c>
      <c r="BO1343" s="365"/>
    </row>
    <row r="1344" spans="1:67" ht="30.6" customHeight="1" x14ac:dyDescent="0.25">
      <c r="A1344" s="4">
        <v>20100211115</v>
      </c>
      <c r="B1344" s="5" t="s">
        <v>41</v>
      </c>
      <c r="C1344" s="52" t="s">
        <v>18</v>
      </c>
      <c r="D1344" s="4" t="s">
        <v>120</v>
      </c>
      <c r="E1344" s="5" t="s">
        <v>3</v>
      </c>
      <c r="F1344" s="24">
        <v>45947</v>
      </c>
      <c r="G1344" s="7" t="s">
        <v>113</v>
      </c>
      <c r="H1344" s="25">
        <f t="shared" si="322"/>
        <v>1</v>
      </c>
      <c r="I1344" s="331">
        <v>5130</v>
      </c>
      <c r="J1344" s="8" t="s">
        <v>115</v>
      </c>
      <c r="K1344" s="9" t="s">
        <v>163</v>
      </c>
      <c r="L1344" s="10" t="s">
        <v>117</v>
      </c>
      <c r="M1344" s="11">
        <v>962</v>
      </c>
      <c r="N1344" s="12" t="s">
        <v>167</v>
      </c>
      <c r="O1344" s="6">
        <v>45957</v>
      </c>
      <c r="P1344" s="115">
        <v>3743</v>
      </c>
      <c r="Q1344" s="14" t="s">
        <v>85</v>
      </c>
      <c r="R1344" s="74"/>
      <c r="S1344" s="321">
        <f>DATA[[#This Row],[cantidad_fs]]*0.72</f>
        <v>692.64</v>
      </c>
      <c r="T1344" s="321">
        <f>DATA[[#This Row],[C. DF]]+DATA[[#This Row],[C.OPE.]]</f>
        <v>692.64</v>
      </c>
      <c r="U1344" s="15">
        <f>DATA[[#This Row],[SUB TOTAL]]*0.18</f>
        <v>124.67519999999999</v>
      </c>
      <c r="V1344" s="15">
        <f>IFERROR(ROUND(DATA[[#This Row],[SUB TOTAL]]+DATA[[#This Row],[IGV]],2),0)</f>
        <v>817.32</v>
      </c>
      <c r="W1344" s="339" t="str">
        <f>IF(DATA[[#This Row],[VALORIZACIÓN ]]="-","NO CORRESPONDE",IF(OR(A1344=20558226979,A1344=10470707866,A1344=20111157058,A1344=20100226902),"NO CORRESPONDE",IF(J1344="Emitida",IF(P1344&gt;0,"EMITIDA","PENDIENTE"),"NO CORRESPONDE")))</f>
        <v>EMITIDA</v>
      </c>
      <c r="X1344" s="29"/>
      <c r="Y1344" s="17" t="s">
        <v>118</v>
      </c>
      <c r="Z1344" s="30">
        <v>45958</v>
      </c>
      <c r="AA1344" s="10" t="s">
        <v>150</v>
      </c>
      <c r="AB1344" s="19">
        <v>310</v>
      </c>
      <c r="AC1344" s="20">
        <v>30</v>
      </c>
      <c r="AD1344" s="18">
        <f>DATA[[#This Row],[FECHA DE EMISION]]+DATA[[#This Row],[CONDICION DE PAGO]]</f>
        <v>45988</v>
      </c>
      <c r="AE1344" s="23">
        <f>IF(DATA[[#This Row],[MONEDA]]="USD",VLOOKUP(DATA[[#This Row],[COMBINADA]],#REF!,11,0),1)</f>
        <v>1</v>
      </c>
      <c r="AF1344" s="129" t="str">
        <f>IF(DATA[[#This Row],[SERIE2]]="-","NO CORRESPONDE",IF(W1344="NO CORRESPONDE","NO CORRESPONDE",IF(Z1344&gt;0,"FACTURADO","PENDIENTE")))</f>
        <v>FACTURADO</v>
      </c>
      <c r="AG1344" s="133">
        <f>IFERROR(VLOOKUP(DATA[[#This Row],[COMBINADA]],#REF!,6,0),0)</f>
        <v>0</v>
      </c>
      <c r="AH1344" s="125">
        <f>IFERROR(VLOOKUP(DATA[[#This Row],[COMBINADA]],#REF!,9,0),0)/COUNTIFS(DATA[COMBINADA],DATA[[#This Row],[COMBINADA]])</f>
        <v>0</v>
      </c>
      <c r="AI1344" s="136">
        <f>IFERROR(VLOOKUP(DATA[[#This Row],[COMBINADA]],#REF!,6,0),0)</f>
        <v>0</v>
      </c>
      <c r="AJ1344" s="132">
        <f>IFERROR(VLOOKUP(DATA[[#This Row],[COMBINADA]],#REF!,9,0),0)/COUNTIFS(DATA[COMBINADA],DATA[[#This Row],[COMBINADA]])</f>
        <v>0</v>
      </c>
      <c r="AK1344" s="407">
        <f>IFERROR(VLOOKUP(DATA[[#This Row],[COMBINADA]],#REF!,6,0),0)</f>
        <v>0</v>
      </c>
      <c r="AL1344" s="125">
        <f>IFERROR(VLOOKUP(DATA[[#This Row],[COMBINADA]],#REF!,9,0),0)/COUNTIFS(DATA[COMBINADA],DATA[[#This Row],[COMBINADA]])</f>
        <v>0</v>
      </c>
      <c r="AM1344" s="27">
        <f>IFERROR(VLOOKUP(DATA[[#This Row],[COMBINADA]],#REF!,6,0),0)</f>
        <v>0</v>
      </c>
      <c r="AN1344" s="125">
        <f>IFERROR(VLOOKUP(DATA[[#This Row],[COMBINADA]],#REF!,9,0),0)/COUNTIFS(DATA[COMBINADA],DATA[[#This Row],[COMBINADA]])</f>
        <v>0</v>
      </c>
      <c r="AO1344" s="27">
        <f>IFERROR(VLOOKUP(DATA[[#This Row],[COMBINADA]],#REF!,6,0),0)</f>
        <v>0</v>
      </c>
      <c r="AP1344" s="132">
        <f>IFERROR(VLOOKUP(DATA[[#This Row],[COMBINADA]],#REF!,9,0),0)/COUNTIFS(DATA[COMBINADA],DATA[[#This Row],[COMBINADA]])</f>
        <v>0</v>
      </c>
      <c r="AQ134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826.66499999999996</v>
      </c>
      <c r="AR1344" s="26" t="str">
        <f>IFERROR(IF(DATA[[#This Row],[estado_fact]]="FACTURADO",VLOOKUP(DATA[[#This Row],[SERIE2]]&amp;"-"&amp;DATA[[#This Row],[NUMERO]],#REF!,34,0),"NO CORRESPONDE"),"NO CORRESPONDE")</f>
        <v>NO CORRESPONDE</v>
      </c>
      <c r="AS1344" s="22" t="str">
        <f>IF(DATA[[#This Row],[fecha_fs]]&gt;0,TEXT(DATA[[#This Row],[fecha_fs]],"Mmmm"),0)</f>
        <v>Octubre</v>
      </c>
      <c r="AT1344" s="22" t="str">
        <f>DATA[[#This Row],[SERIE2]]&amp;"-"&amp;DATA[[#This Row],[NUMERO]]</f>
        <v>FF01-310</v>
      </c>
      <c r="AU1344" s="28">
        <f>DATA[[#This Row],[TOTAL]]*DATA[[#This Row],[T.C.]]</f>
        <v>817.32</v>
      </c>
      <c r="AV1344" s="6">
        <f>DATA[[#This Row],[FECHA DE VAL.]]</f>
        <v>45957</v>
      </c>
      <c r="AW1344" s="6">
        <f>DATA[[#This Row],[FECHA DE EMISION]]</f>
        <v>45958</v>
      </c>
      <c r="AX1344" s="6">
        <f>DATA[[#This Row],[F1]]</f>
        <v>0</v>
      </c>
      <c r="AY1344" s="20">
        <f>IF(AV1344-DATA[[#This Row],[fecha_fs]]&lt;0,0,AV1344-DATA[[#This Row],[fecha_fs]])</f>
        <v>10</v>
      </c>
      <c r="AZ1344" s="20">
        <f t="shared" si="323"/>
        <v>1</v>
      </c>
      <c r="BA1344" s="53">
        <f t="shared" si="324"/>
        <v>0</v>
      </c>
      <c r="BB1344" s="360">
        <f>IFERROR(SUM(DATA[[#This Row],[fs_val_ttf]:[fact_pago_ttf]]),0)</f>
        <v>11</v>
      </c>
      <c r="BC1344" s="377">
        <v>45967</v>
      </c>
      <c r="BD1344" s="377">
        <v>45972</v>
      </c>
      <c r="BE1344" s="377">
        <v>45974</v>
      </c>
      <c r="BF1344" s="361" t="s">
        <v>270</v>
      </c>
      <c r="BG1344" s="20">
        <f>IFERROR(IF(BC1344-DATA[[#This Row],[fecha_fs]]&lt;0,0,BC1344-DATA[[#This Row],[fecha_fs]]),0)</f>
        <v>20</v>
      </c>
      <c r="BH1344" s="20">
        <f t="shared" si="325"/>
        <v>5</v>
      </c>
      <c r="BI1344" s="20">
        <f t="shared" si="326"/>
        <v>2</v>
      </c>
      <c r="BJ1344" s="367">
        <f t="shared" si="327"/>
        <v>0</v>
      </c>
      <c r="BK1344" s="362">
        <f>IFERROR(SUM(DATA[[#This Row],[fs_fd_ttd]:[fend_fenf_ttd]]),0)</f>
        <v>27</v>
      </c>
      <c r="BL1344" s="20" t="str">
        <f>IF(DATA[[#This Row],[fecha_fs]]&gt;0,TEXT(DATA[[#This Row],[fecha_fs]],"YYYY"),0)</f>
        <v>2025</v>
      </c>
      <c r="BM1344" s="363" t="b">
        <v>0</v>
      </c>
      <c r="BN1344" s="278">
        <f>COUNTIF(DATA[[#This Row],[tiempo_td]], "&lt;=15")</f>
        <v>0</v>
      </c>
      <c r="BO1344" s="365"/>
    </row>
    <row r="1345" spans="1:67" ht="30.6" customHeight="1" x14ac:dyDescent="0.25">
      <c r="A1345" s="4">
        <v>20100322456</v>
      </c>
      <c r="B1345" s="5" t="s">
        <v>361</v>
      </c>
      <c r="C1345" s="52" t="s">
        <v>18</v>
      </c>
      <c r="D1345" s="4" t="s">
        <v>120</v>
      </c>
      <c r="E1345" s="5" t="s">
        <v>3</v>
      </c>
      <c r="F1345" s="24">
        <v>45947</v>
      </c>
      <c r="G1345" s="7" t="s">
        <v>113</v>
      </c>
      <c r="H1345" s="25">
        <f t="shared" si="322"/>
        <v>1</v>
      </c>
      <c r="I1345" s="331">
        <v>5131</v>
      </c>
      <c r="J1345" s="8" t="s">
        <v>115</v>
      </c>
      <c r="K1345" s="9" t="s">
        <v>121</v>
      </c>
      <c r="L1345" s="10" t="s">
        <v>117</v>
      </c>
      <c r="M1345" s="11">
        <v>1620</v>
      </c>
      <c r="N1345" s="12" t="s">
        <v>122</v>
      </c>
      <c r="O1345" s="6">
        <v>45950</v>
      </c>
      <c r="P1345" s="13">
        <v>3727</v>
      </c>
      <c r="Q1345" s="14" t="s">
        <v>85</v>
      </c>
      <c r="R1345" s="321"/>
      <c r="S1345" s="321">
        <v>550</v>
      </c>
      <c r="T1345" s="321">
        <f>DATA[[#This Row],[C. DF]]+DATA[[#This Row],[C.OPE.]]</f>
        <v>550</v>
      </c>
      <c r="U1345" s="15">
        <f>DATA[[#This Row],[SUB TOTAL]]*0.18</f>
        <v>99</v>
      </c>
      <c r="V1345" s="15">
        <f>IFERROR(ROUND(DATA[[#This Row],[SUB TOTAL]]+DATA[[#This Row],[IGV]],2),0)</f>
        <v>649</v>
      </c>
      <c r="W1345" s="339" t="str">
        <f>IF(DATA[[#This Row],[VALORIZACIÓN ]]="-","NO CORRESPONDE",IF(OR(A1345=20558226979,A1345=10470707866,A1345=20111157058,A1345=20100226902),"NO CORRESPONDE",IF(J1345="Emitida",IF(P1345&gt;0,"EMITIDA","PENDIENTE"),"NO CORRESPONDE")))</f>
        <v>EMITIDA</v>
      </c>
      <c r="X1345" s="29"/>
      <c r="Y1345" s="17" t="s">
        <v>118</v>
      </c>
      <c r="Z1345" s="30">
        <v>45950</v>
      </c>
      <c r="AA1345" s="10" t="s">
        <v>150</v>
      </c>
      <c r="AB1345" s="19">
        <v>297</v>
      </c>
      <c r="AC1345" s="20">
        <v>0</v>
      </c>
      <c r="AD1345" s="18">
        <f>DATA[[#This Row],[FECHA DE EMISION]]+DATA[[#This Row],[CONDICION DE PAGO]]</f>
        <v>45950</v>
      </c>
      <c r="AE1345" s="23">
        <f>IF(DATA[[#This Row],[MONEDA]]="USD",VLOOKUP(DATA[[#This Row],[COMBINADA]],#REF!,11,0),1)</f>
        <v>1</v>
      </c>
      <c r="AF1345" s="129" t="str">
        <f>IF(DATA[[#This Row],[SERIE2]]="-","NO CORRESPONDE",IF(W1345="NO CORRESPONDE","NO CORRESPONDE",IF(Z1345&gt;0,"FACTURADO","PENDIENTE")))</f>
        <v>FACTURADO</v>
      </c>
      <c r="AG1345" s="133">
        <f>IFERROR(VLOOKUP(DATA[[#This Row],[COMBINADA]],#REF!,6,0),0)</f>
        <v>0</v>
      </c>
      <c r="AH1345" s="125">
        <f>IFERROR(VLOOKUP(DATA[[#This Row],[COMBINADA]],#REF!,9,0),0)/COUNTIFS(DATA[COMBINADA],DATA[[#This Row],[COMBINADA]])</f>
        <v>0</v>
      </c>
      <c r="AI1345" s="136">
        <f>IFERROR(VLOOKUP(DATA[[#This Row],[COMBINADA]],#REF!,6,0),0)</f>
        <v>0</v>
      </c>
      <c r="AJ1345" s="132">
        <f>IFERROR(VLOOKUP(DATA[[#This Row],[COMBINADA]],#REF!,9,0),0)/COUNTIFS(DATA[COMBINADA],DATA[[#This Row],[COMBINADA]])</f>
        <v>0</v>
      </c>
      <c r="AK1345" s="407">
        <f>IFERROR(VLOOKUP(DATA[[#This Row],[COMBINADA]],#REF!,6,0),0)</f>
        <v>0</v>
      </c>
      <c r="AL1345" s="125">
        <f>IFERROR(VLOOKUP(DATA[[#This Row],[COMBINADA]],#REF!,9,0),0)/COUNTIFS(DATA[COMBINADA],DATA[[#This Row],[COMBINADA]])</f>
        <v>0</v>
      </c>
      <c r="AM1345" s="27">
        <f>IFERROR(VLOOKUP(DATA[[#This Row],[COMBINADA]],#REF!,6,0),0)</f>
        <v>0</v>
      </c>
      <c r="AN1345" s="125">
        <f>IFERROR(VLOOKUP(DATA[[#This Row],[COMBINADA]],#REF!,9,0),0)/COUNTIFS(DATA[COMBINADA],DATA[[#This Row],[COMBINADA]])</f>
        <v>0</v>
      </c>
      <c r="AO1345" s="27">
        <f>IFERROR(VLOOKUP(DATA[[#This Row],[COMBINADA]],#REF!,6,0),0)</f>
        <v>0</v>
      </c>
      <c r="AP1345" s="132">
        <f>IFERROR(VLOOKUP(DATA[[#This Row],[COMBINADA]],#REF!,9,0),0)/COUNTIFS(DATA[COMBINADA],DATA[[#This Row],[COMBINADA]])</f>
        <v>0</v>
      </c>
      <c r="AQ134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649</v>
      </c>
      <c r="AR1345" s="26" t="str">
        <f>IFERROR(IF(DATA[[#This Row],[estado_fact]]="FACTURADO",VLOOKUP(DATA[[#This Row],[SERIE2]]&amp;"-"&amp;DATA[[#This Row],[NUMERO]],#REF!,34,0),"NO CORRESPONDE"),"NO CORRESPONDE")</f>
        <v>NO CORRESPONDE</v>
      </c>
      <c r="AS1345" s="22" t="str">
        <f>IF(DATA[[#This Row],[fecha_fs]]&gt;0,TEXT(DATA[[#This Row],[fecha_fs]],"Mmmm"),0)</f>
        <v>Octubre</v>
      </c>
      <c r="AT1345" s="22" t="str">
        <f>DATA[[#This Row],[SERIE2]]&amp;"-"&amp;DATA[[#This Row],[NUMERO]]</f>
        <v>FF01-297</v>
      </c>
      <c r="AU1345" s="28">
        <f>DATA[[#This Row],[TOTAL]]*DATA[[#This Row],[T.C.]]</f>
        <v>649</v>
      </c>
      <c r="AV1345" s="6">
        <f>DATA[[#This Row],[FECHA DE VAL.]]</f>
        <v>45950</v>
      </c>
      <c r="AW1345" s="6">
        <f>DATA[[#This Row],[FECHA DE EMISION]]</f>
        <v>45950</v>
      </c>
      <c r="AX1345" s="6">
        <f>DATA[[#This Row],[F1]]</f>
        <v>0</v>
      </c>
      <c r="AY1345" s="20">
        <f>IF(AV1345-DATA[[#This Row],[fecha_fs]]&lt;0,0,AV1345-DATA[[#This Row],[fecha_fs]])</f>
        <v>3</v>
      </c>
      <c r="AZ1345" s="20">
        <f t="shared" si="323"/>
        <v>0</v>
      </c>
      <c r="BA1345" s="53">
        <f t="shared" si="324"/>
        <v>0</v>
      </c>
      <c r="BB1345" s="360">
        <f>IFERROR(SUM(DATA[[#This Row],[fs_val_ttf]:[fact_pago_ttf]]),0)</f>
        <v>3</v>
      </c>
      <c r="BC1345" s="377">
        <v>45947</v>
      </c>
      <c r="BD1345" s="377">
        <v>45947</v>
      </c>
      <c r="BE1345" s="377">
        <v>45950</v>
      </c>
      <c r="BF1345" s="377">
        <v>45950</v>
      </c>
      <c r="BG1345" s="20">
        <f>IFERROR(IF(BC1345-DATA[[#This Row],[fecha_fs]]&lt;0,0,BC1345-DATA[[#This Row],[fecha_fs]]),0)</f>
        <v>0</v>
      </c>
      <c r="BH1345" s="20">
        <f t="shared" si="325"/>
        <v>0</v>
      </c>
      <c r="BI1345" s="20">
        <f t="shared" si="326"/>
        <v>3</v>
      </c>
      <c r="BJ1345" s="367">
        <f t="shared" si="327"/>
        <v>0</v>
      </c>
      <c r="BK1345" s="362">
        <f>IFERROR(SUM(DATA[[#This Row],[fs_fd_ttd]:[fend_fenf_ttd]]),0)</f>
        <v>3</v>
      </c>
      <c r="BL1345" s="20" t="str">
        <f>IF(DATA[[#This Row],[fecha_fs]]&gt;0,TEXT(DATA[[#This Row],[fecha_fs]],"YYYY"),0)</f>
        <v>2025</v>
      </c>
      <c r="BM1345" s="363" t="b">
        <v>1</v>
      </c>
      <c r="BN1345" s="278">
        <f>COUNTIF(DATA[[#This Row],[tiempo_td]], "&lt;=15")</f>
        <v>1</v>
      </c>
      <c r="BO1345" s="365"/>
    </row>
    <row r="1346" spans="1:67" ht="30.6" customHeight="1" x14ac:dyDescent="0.25">
      <c r="A1346" s="4">
        <v>20539684656</v>
      </c>
      <c r="B1346" s="5" t="s">
        <v>362</v>
      </c>
      <c r="C1346" s="52" t="s">
        <v>18</v>
      </c>
      <c r="D1346" s="4" t="s">
        <v>112</v>
      </c>
      <c r="E1346" s="5" t="s">
        <v>1</v>
      </c>
      <c r="F1346" s="24">
        <v>45947</v>
      </c>
      <c r="G1346" s="7" t="s">
        <v>113</v>
      </c>
      <c r="H1346" s="25">
        <f t="shared" si="322"/>
        <v>1</v>
      </c>
      <c r="I1346" s="331">
        <v>5132</v>
      </c>
      <c r="J1346" s="8" t="s">
        <v>115</v>
      </c>
      <c r="K1346" s="9" t="s">
        <v>116</v>
      </c>
      <c r="L1346" s="10" t="s">
        <v>117</v>
      </c>
      <c r="M1346" s="11">
        <v>290</v>
      </c>
      <c r="N1346" s="12" t="s">
        <v>200</v>
      </c>
      <c r="O1346" s="6">
        <v>45951</v>
      </c>
      <c r="P1346" s="13">
        <v>3728</v>
      </c>
      <c r="Q1346" s="14" t="s">
        <v>85</v>
      </c>
      <c r="R1346" s="321">
        <v>400</v>
      </c>
      <c r="S1346" s="321">
        <v>1021.1</v>
      </c>
      <c r="T1346" s="321">
        <f>DATA[[#This Row],[C. DF]]+DATA[[#This Row],[C.OPE.]]</f>
        <v>1421.1</v>
      </c>
      <c r="U1346" s="15">
        <f>DATA[[#This Row],[SUB TOTAL]]*0.18</f>
        <v>255.79799999999997</v>
      </c>
      <c r="V1346" s="15">
        <f>IFERROR(ROUND(DATA[[#This Row],[SUB TOTAL]]+DATA[[#This Row],[IGV]],2),0)</f>
        <v>1676.9</v>
      </c>
      <c r="W1346" s="339" t="str">
        <f>IF(DATA[[#This Row],[VALORIZACIÓN ]]="-","NO CORRESPONDE",IF(OR(A1346=20558226979,A1346=10470707866,A1346=20111157058,A1346=20100226902),"NO CORRESPONDE",IF(J1346="Emitida",IF(P1346&gt;0,"EMITIDA","PENDIENTE"),"NO CORRESPONDE")))</f>
        <v>EMITIDA</v>
      </c>
      <c r="X1346" s="29" t="s">
        <v>363</v>
      </c>
      <c r="Y1346" s="17" t="s">
        <v>118</v>
      </c>
      <c r="Z1346" s="30">
        <v>45966</v>
      </c>
      <c r="AA1346" s="10" t="s">
        <v>150</v>
      </c>
      <c r="AB1346" s="19">
        <v>336</v>
      </c>
      <c r="AC1346" s="20">
        <v>5</v>
      </c>
      <c r="AD1346" s="18">
        <f>DATA[[#This Row],[FECHA DE EMISION]]+DATA[[#This Row],[CONDICION DE PAGO]]</f>
        <v>45971</v>
      </c>
      <c r="AE1346" s="23">
        <f>IF(DATA[[#This Row],[MONEDA]]="USD",VLOOKUP(DATA[[#This Row],[COMBINADA]],#REF!,11,0),1)</f>
        <v>1</v>
      </c>
      <c r="AF1346" s="129" t="str">
        <f>IF(DATA[[#This Row],[SERIE2]]="-","NO CORRESPONDE",IF(W1346="NO CORRESPONDE","NO CORRESPONDE",IF(Z1346&gt;0,"FACTURADO","PENDIENTE")))</f>
        <v>FACTURADO</v>
      </c>
      <c r="AG1346" s="133">
        <f>IFERROR(VLOOKUP(DATA[[#This Row],[COMBINADA]],#REF!,6,0),0)</f>
        <v>0</v>
      </c>
      <c r="AH1346" s="125">
        <f>IFERROR(VLOOKUP(DATA[[#This Row],[COMBINADA]],#REF!,9,0),0)/COUNTIFS(DATA[COMBINADA],DATA[[#This Row],[COMBINADA]])</f>
        <v>0</v>
      </c>
      <c r="AI1346" s="136">
        <f>IFERROR(VLOOKUP(DATA[[#This Row],[COMBINADA]],#REF!,6,0),0)</f>
        <v>0</v>
      </c>
      <c r="AJ1346" s="132">
        <f>IFERROR(VLOOKUP(DATA[[#This Row],[COMBINADA]],#REF!,9,0),0)/COUNTIFS(DATA[COMBINADA],DATA[[#This Row],[COMBINADA]])</f>
        <v>0</v>
      </c>
      <c r="AK1346" s="407">
        <f>IFERROR(VLOOKUP(DATA[[#This Row],[COMBINADA]],#REF!,6,0),0)</f>
        <v>0</v>
      </c>
      <c r="AL1346" s="125">
        <f>IFERROR(VLOOKUP(DATA[[#This Row],[COMBINADA]],#REF!,9,0),0)/COUNTIFS(DATA[COMBINADA],DATA[[#This Row],[COMBINADA]])</f>
        <v>0</v>
      </c>
      <c r="AM1346" s="27">
        <f>IFERROR(VLOOKUP(DATA[[#This Row],[COMBINADA]],#REF!,6,0),0)</f>
        <v>0</v>
      </c>
      <c r="AN1346" s="125">
        <f>IFERROR(VLOOKUP(DATA[[#This Row],[COMBINADA]],#REF!,9,0),0)/COUNTIFS(DATA[COMBINADA],DATA[[#This Row],[COMBINADA]])</f>
        <v>0</v>
      </c>
      <c r="AO1346" s="27">
        <f>IFERROR(VLOOKUP(DATA[[#This Row],[COMBINADA]],#REF!,6,0),0)</f>
        <v>0</v>
      </c>
      <c r="AP1346" s="132">
        <f>IFERROR(VLOOKUP(DATA[[#This Row],[COMBINADA]],#REF!,9,0),0)/COUNTIFS(DATA[COMBINADA],DATA[[#This Row],[COMBINADA]])</f>
        <v>0</v>
      </c>
      <c r="AQ134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1676.9</v>
      </c>
      <c r="AR1346" s="26" t="str">
        <f>IFERROR(IF(DATA[[#This Row],[estado_fact]]="FACTURADO",VLOOKUP(DATA[[#This Row],[SERIE2]]&amp;"-"&amp;DATA[[#This Row],[NUMERO]],#REF!,34,0),"NO CORRESPONDE"),"NO CORRESPONDE")</f>
        <v>NO CORRESPONDE</v>
      </c>
      <c r="AS1346" s="22" t="str">
        <f>IF(DATA[[#This Row],[fecha_fs]]&gt;0,TEXT(DATA[[#This Row],[fecha_fs]],"Mmmm"),0)</f>
        <v>Octubre</v>
      </c>
      <c r="AT1346" s="22" t="str">
        <f>DATA[[#This Row],[SERIE2]]&amp;"-"&amp;DATA[[#This Row],[NUMERO]]</f>
        <v>FF01-336</v>
      </c>
      <c r="AU1346" s="28">
        <f>DATA[[#This Row],[TOTAL]]*DATA[[#This Row],[T.C.]]</f>
        <v>1676.9</v>
      </c>
      <c r="AV1346" s="6">
        <f>DATA[[#This Row],[FECHA DE VAL.]]</f>
        <v>45951</v>
      </c>
      <c r="AW1346" s="6">
        <f>DATA[[#This Row],[FECHA DE EMISION]]</f>
        <v>45966</v>
      </c>
      <c r="AX1346" s="6">
        <f>DATA[[#This Row],[F1]]</f>
        <v>0</v>
      </c>
      <c r="AY1346" s="20">
        <f>IF(AV1346-DATA[[#This Row],[fecha_fs]]&lt;0,0,AV1346-DATA[[#This Row],[fecha_fs]])</f>
        <v>4</v>
      </c>
      <c r="AZ1346" s="20">
        <f t="shared" si="323"/>
        <v>15</v>
      </c>
      <c r="BA1346" s="53">
        <f t="shared" si="324"/>
        <v>0</v>
      </c>
      <c r="BB1346" s="360">
        <f>IFERROR(SUM(DATA[[#This Row],[fs_val_ttf]:[fact_pago_ttf]]),0)</f>
        <v>19</v>
      </c>
      <c r="BC1346" s="377">
        <v>45951</v>
      </c>
      <c r="BD1346" s="377">
        <v>45958</v>
      </c>
      <c r="BE1346" s="185">
        <v>45965</v>
      </c>
      <c r="BF1346" s="377">
        <v>45967</v>
      </c>
      <c r="BG1346" s="20">
        <f>IFERROR(IF(BC1346-DATA[[#This Row],[fecha_fs]]&lt;0,0,BC1346-DATA[[#This Row],[fecha_fs]]),0)</f>
        <v>4</v>
      </c>
      <c r="BH1346" s="20">
        <f t="shared" si="325"/>
        <v>7</v>
      </c>
      <c r="BI1346" s="20">
        <f t="shared" si="326"/>
        <v>7</v>
      </c>
      <c r="BJ1346" s="367">
        <f t="shared" si="327"/>
        <v>2</v>
      </c>
      <c r="BK1346" s="362">
        <f>IFERROR(SUM(DATA[[#This Row],[fs_fd_ttd]:[fend_fenf_ttd]]),0)</f>
        <v>20</v>
      </c>
      <c r="BL1346" s="20" t="str">
        <f>IF(DATA[[#This Row],[fecha_fs]]&gt;0,TEXT(DATA[[#This Row],[fecha_fs]],"YYYY"),0)</f>
        <v>2025</v>
      </c>
      <c r="BM1346" s="363" t="b">
        <v>1</v>
      </c>
      <c r="BN1346" s="278">
        <f>COUNTIF(DATA[[#This Row],[tiempo_td]], "&lt;=15")</f>
        <v>0</v>
      </c>
      <c r="BO1346" s="365"/>
    </row>
    <row r="1347" spans="1:67" ht="30.6" customHeight="1" x14ac:dyDescent="0.25">
      <c r="A1347" s="4">
        <v>20100226902</v>
      </c>
      <c r="B1347" s="5" t="s">
        <v>24</v>
      </c>
      <c r="C1347" s="52" t="s">
        <v>18</v>
      </c>
      <c r="D1347" s="4" t="s">
        <v>120</v>
      </c>
      <c r="E1347" s="5" t="s">
        <v>3</v>
      </c>
      <c r="F1347" s="24">
        <v>45950</v>
      </c>
      <c r="G1347" s="7" t="s">
        <v>113</v>
      </c>
      <c r="H1347" s="25">
        <f t="shared" si="322"/>
        <v>1</v>
      </c>
      <c r="I1347" s="331">
        <v>5133</v>
      </c>
      <c r="J1347" s="8" t="s">
        <v>115</v>
      </c>
      <c r="K1347" s="9" t="s">
        <v>121</v>
      </c>
      <c r="L1347" s="10" t="s">
        <v>117</v>
      </c>
      <c r="M1347" s="11">
        <v>430</v>
      </c>
      <c r="N1347" s="12" t="s">
        <v>204</v>
      </c>
      <c r="O1347" s="359"/>
      <c r="P1347" s="371" t="s">
        <v>114</v>
      </c>
      <c r="Q1347" s="372"/>
      <c r="R1347" s="373"/>
      <c r="S1347" s="373"/>
      <c r="T1347" s="373">
        <v>0</v>
      </c>
      <c r="U1347" s="373">
        <v>0</v>
      </c>
      <c r="V1347" s="373">
        <v>0</v>
      </c>
      <c r="W1347" s="339" t="s">
        <v>128</v>
      </c>
      <c r="X1347" s="374"/>
      <c r="Y1347" s="17" t="s">
        <v>128</v>
      </c>
      <c r="Z1347" s="340"/>
      <c r="AA1347" s="361"/>
      <c r="AB1347" s="342"/>
      <c r="AC1347" s="343"/>
      <c r="AD1347" s="344">
        <v>0</v>
      </c>
      <c r="AE1347" s="23">
        <f>IF(DATA[[#This Row],[MONEDA]]="USD",VLOOKUP(DATA[[#This Row],[COMBINADA]],#REF!,11,0),1)</f>
        <v>1</v>
      </c>
      <c r="AF1347" s="129" t="str">
        <f>IF(DATA[[#This Row],[SERIE2]]="-","NO CORRESPONDE",IF(W1347="NO CORRESPONDE","NO CORRESPONDE",IF(Z1347&gt;0,"FACTURADO","PENDIENTE")))</f>
        <v>NO CORRESPONDE</v>
      </c>
      <c r="AG1347" s="310">
        <f>IFERROR(VLOOKUP(DATA[[#This Row],[COMBINADA]],#REF!,6,0),0)</f>
        <v>0</v>
      </c>
      <c r="AH1347" s="311">
        <f>IFERROR(VLOOKUP(DATA[[#This Row],[COMBINADA]],#REF!,9,0),0)/COUNTIFS(DATA[COMBINADA],DATA[[#This Row],[COMBINADA]])</f>
        <v>0</v>
      </c>
      <c r="AI1347" s="310">
        <f>IFERROR(VLOOKUP(DATA[[#This Row],[COMBINADA]],#REF!,6,0),0)</f>
        <v>0</v>
      </c>
      <c r="AJ1347" s="311">
        <f>IFERROR(VLOOKUP(DATA[[#This Row],[COMBINADA]],#REF!,9,0),0)/COUNTIFS(DATA[COMBINADA],DATA[[#This Row],[COMBINADA]])</f>
        <v>0</v>
      </c>
      <c r="AK1347" s="413">
        <f>IFERROR(VLOOKUP(DATA[[#This Row],[COMBINADA]],#REF!,6,0),0)</f>
        <v>0</v>
      </c>
      <c r="AL1347" s="311">
        <f>IFERROR(VLOOKUP(DATA[[#This Row],[COMBINADA]],#REF!,9,0),0)/COUNTIFS(DATA[COMBINADA],DATA[[#This Row],[COMBINADA]])</f>
        <v>0</v>
      </c>
      <c r="AM1347" s="312">
        <f>IFERROR(VLOOKUP(DATA[[#This Row],[COMBINADA]],#REF!,6,0),0)</f>
        <v>0</v>
      </c>
      <c r="AN1347" s="311">
        <f>IFERROR(VLOOKUP(DATA[[#This Row],[COMBINADA]],#REF!,9,0),0)/COUNTIFS(DATA[COMBINADA],DATA[[#This Row],[COMBINADA]])</f>
        <v>0</v>
      </c>
      <c r="AO1347" s="313">
        <f>IFERROR(VLOOKUP(DATA[[#This Row],[COMBINADA]],#REF!,6,0),0)</f>
        <v>0</v>
      </c>
      <c r="AP1347" s="311">
        <f>IFERROR(VLOOKUP(DATA[[#This Row],[COMBINADA]],#REF!,9,0),0)/COUNTIFS(DATA[COMBINADA],DATA[[#This Row],[COMBINADA]])</f>
        <v>0</v>
      </c>
      <c r="AQ1347" s="314">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47" s="315" t="str">
        <f>IFERROR(IF(DATA[[#This Row],[estado_fact]]="FACTURADO",VLOOKUP(DATA[[#This Row],[SERIE2]]&amp;"-"&amp;DATA[[#This Row],[NUMERO]],#REF!,34,0),"NO CORRESPONDE"),"NO CORRESPONDE")</f>
        <v>NO CORRESPONDE</v>
      </c>
      <c r="AS1347" s="22" t="str">
        <f>IF(DATA[[#This Row],[fecha_fs]]&gt;0,TEXT(DATA[[#This Row],[fecha_fs]],"Mmmm"),0)</f>
        <v>Octubre</v>
      </c>
      <c r="AT1347" s="22" t="str">
        <f>DATA[[#This Row],[SERIE2]]&amp;"-"&amp;DATA[[#This Row],[NUMERO]]</f>
        <v>-</v>
      </c>
      <c r="AU1347" s="28">
        <f>DATA[[#This Row],[TOTAL]]*DATA[[#This Row],[T.C.]]</f>
        <v>0</v>
      </c>
      <c r="AV1347" s="6">
        <f>DATA[[#This Row],[FECHA DE VAL.]]</f>
        <v>0</v>
      </c>
      <c r="AW1347" s="6">
        <f>DATA[[#This Row],[FECHA DE EMISION]]</f>
        <v>0</v>
      </c>
      <c r="AX1347" s="6">
        <f>DATA[[#This Row],[F1]]</f>
        <v>0</v>
      </c>
      <c r="AY1347" s="20">
        <f>IF(AV1347-DATA[[#This Row],[fecha_fs]]&lt;0,0,AV1347-DATA[[#This Row],[fecha_fs]])</f>
        <v>0</v>
      </c>
      <c r="AZ1347" s="20">
        <f t="shared" si="323"/>
        <v>0</v>
      </c>
      <c r="BA1347" s="53">
        <f t="shared" si="324"/>
        <v>0</v>
      </c>
      <c r="BB1347" s="360">
        <f>IFERROR(SUM(DATA[[#This Row],[fs_val_ttf]:[fact_pago_ttf]]),0)</f>
        <v>0</v>
      </c>
      <c r="BC1347" s="377">
        <v>45950</v>
      </c>
      <c r="BD1347" s="377">
        <v>45950</v>
      </c>
      <c r="BE1347" s="377">
        <v>45954</v>
      </c>
      <c r="BF1347" s="377">
        <v>45954</v>
      </c>
      <c r="BG1347" s="20">
        <f>IFERROR(IF(BC1347-DATA[[#This Row],[fecha_fs]]&lt;0,0,BC1347-DATA[[#This Row],[fecha_fs]]),0)</f>
        <v>0</v>
      </c>
      <c r="BH1347" s="20">
        <f t="shared" si="325"/>
        <v>0</v>
      </c>
      <c r="BI1347" s="20">
        <f t="shared" si="326"/>
        <v>4</v>
      </c>
      <c r="BJ1347" s="367">
        <f t="shared" si="327"/>
        <v>0</v>
      </c>
      <c r="BK1347" s="362">
        <f>IFERROR(SUM(DATA[[#This Row],[fs_fd_ttd]:[fend_fenf_ttd]]),0)</f>
        <v>4</v>
      </c>
      <c r="BL1347" s="20" t="str">
        <f>IF(DATA[[#This Row],[fecha_fs]]&gt;0,TEXT(DATA[[#This Row],[fecha_fs]],"YYYY"),0)</f>
        <v>2025</v>
      </c>
      <c r="BM1347" s="363" t="b">
        <v>1</v>
      </c>
      <c r="BN1347" s="278">
        <f>COUNTIF(DATA[[#This Row],[tiempo_td]], "&lt;=15")</f>
        <v>1</v>
      </c>
      <c r="BO1347" s="365"/>
    </row>
    <row r="1348" spans="1:67" ht="30" customHeight="1" x14ac:dyDescent="0.25">
      <c r="A1348" s="4">
        <v>20519212162</v>
      </c>
      <c r="B1348" s="5" t="s">
        <v>279</v>
      </c>
      <c r="C1348" s="52" t="s">
        <v>18</v>
      </c>
      <c r="D1348" s="4" t="s">
        <v>120</v>
      </c>
      <c r="E1348" s="5" t="s">
        <v>3</v>
      </c>
      <c r="F1348" s="24">
        <v>45950</v>
      </c>
      <c r="G1348" s="7" t="s">
        <v>113</v>
      </c>
      <c r="H1348" s="25">
        <f t="shared" si="322"/>
        <v>1</v>
      </c>
      <c r="I1348" s="331">
        <v>5134</v>
      </c>
      <c r="J1348" s="8" t="s">
        <v>115</v>
      </c>
      <c r="K1348" s="9" t="s">
        <v>121</v>
      </c>
      <c r="L1348" s="10" t="s">
        <v>117</v>
      </c>
      <c r="M1348" s="11">
        <v>450</v>
      </c>
      <c r="N1348" s="12" t="s">
        <v>164</v>
      </c>
      <c r="O1348" s="6">
        <v>45961</v>
      </c>
      <c r="P1348" s="416">
        <v>3773</v>
      </c>
      <c r="Q1348" s="14" t="s">
        <v>85</v>
      </c>
      <c r="R1348" s="321">
        <v>80</v>
      </c>
      <c r="S1348" s="321">
        <v>1250.7</v>
      </c>
      <c r="T1348" s="321">
        <f>DATA[[#This Row],[C. DF]]+DATA[[#This Row],[C.OPE.]]</f>
        <v>1330.7</v>
      </c>
      <c r="U1348" s="15">
        <f>DATA[[#This Row],[SUB TOTAL]]*0.18</f>
        <v>239.52600000000001</v>
      </c>
      <c r="V1348" s="15">
        <f>IFERROR(ROUND(DATA[[#This Row],[SUB TOTAL]]+DATA[[#This Row],[IGV]],2),0)</f>
        <v>1570.23</v>
      </c>
      <c r="W1348" s="339" t="str">
        <f>IF(DATA[[#This Row],[VALORIZACIÓN ]]="-","NO CORRESPONDE",IF(OR(A1348=20558226979,A1348=10470707866,A1348=20111157058,A1348=20100226902),"NO CORRESPONDE",IF(J1348="Emitida",IF(P1348&gt;0,"EMITIDA","PENDIENTE"),"NO CORRESPONDE")))</f>
        <v>EMITIDA</v>
      </c>
      <c r="X1348" s="29" t="s">
        <v>364</v>
      </c>
      <c r="Y1348" s="17" t="s">
        <v>232</v>
      </c>
      <c r="Z1348" s="30"/>
      <c r="AA1348" s="10"/>
      <c r="AB1348" s="19"/>
      <c r="AC1348" s="20"/>
      <c r="AD1348" s="18">
        <f>DATA[[#This Row],[FECHA DE EMISION]]+DATA[[#This Row],[CONDICION DE PAGO]]</f>
        <v>0</v>
      </c>
      <c r="AE1348" s="23">
        <f>IF(DATA[[#This Row],[MONEDA]]="USD",VLOOKUP(DATA[[#This Row],[COMBINADA]],#REF!,11,0),1)</f>
        <v>1</v>
      </c>
      <c r="AF1348" s="129" t="str">
        <f>IF(DATA[[#This Row],[SERIE2]]="-","NO CORRESPONDE",IF(W1348="NO CORRESPONDE","NO CORRESPONDE",IF(Z1348&gt;0,"FACTURADO","PENDIENTE")))</f>
        <v>PENDIENTE</v>
      </c>
      <c r="AG1348" s="133">
        <f>IFERROR(VLOOKUP(DATA[[#This Row],[COMBINADA]],#REF!,6,0),0)</f>
        <v>0</v>
      </c>
      <c r="AH1348" s="125">
        <f>IFERROR(VLOOKUP(DATA[[#This Row],[COMBINADA]],#REF!,9,0),0)/COUNTIFS(DATA[COMBINADA],DATA[[#This Row],[COMBINADA]])</f>
        <v>0</v>
      </c>
      <c r="AI1348" s="136">
        <f>IFERROR(VLOOKUP(DATA[[#This Row],[COMBINADA]],#REF!,6,0),0)</f>
        <v>0</v>
      </c>
      <c r="AJ1348" s="132">
        <f>IFERROR(VLOOKUP(DATA[[#This Row],[COMBINADA]],#REF!,9,0),0)/COUNTIFS(DATA[COMBINADA],DATA[[#This Row],[COMBINADA]])</f>
        <v>0</v>
      </c>
      <c r="AK1348" s="407">
        <f>IFERROR(VLOOKUP(DATA[[#This Row],[COMBINADA]],#REF!,6,0),0)</f>
        <v>0</v>
      </c>
      <c r="AL1348" s="125">
        <f>IFERROR(VLOOKUP(DATA[[#This Row],[COMBINADA]],#REF!,9,0),0)/COUNTIFS(DATA[COMBINADA],DATA[[#This Row],[COMBINADA]])</f>
        <v>0</v>
      </c>
      <c r="AM1348" s="27">
        <f>IFERROR(VLOOKUP(DATA[[#This Row],[COMBINADA]],#REF!,6,0),0)</f>
        <v>0</v>
      </c>
      <c r="AN1348" s="125">
        <f>IFERROR(VLOOKUP(DATA[[#This Row],[COMBINADA]],#REF!,9,0),0)/COUNTIFS(DATA[COMBINADA],DATA[[#This Row],[COMBINADA]])</f>
        <v>0</v>
      </c>
      <c r="AO1348" s="27">
        <f>IFERROR(VLOOKUP(DATA[[#This Row],[COMBINADA]],#REF!,6,0),0)</f>
        <v>0</v>
      </c>
      <c r="AP1348" s="132">
        <f>IFERROR(VLOOKUP(DATA[[#This Row],[COMBINADA]],#REF!,9,0),0)/COUNTIFS(DATA[COMBINADA],DATA[[#This Row],[COMBINADA]])</f>
        <v>0</v>
      </c>
      <c r="AQ134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48" s="26" t="str">
        <f>IFERROR(IF(DATA[[#This Row],[estado_fact]]="FACTURADO",VLOOKUP(DATA[[#This Row],[SERIE2]]&amp;"-"&amp;DATA[[#This Row],[NUMERO]],#REF!,34,0),"NO CORRESPONDE"),"NO CORRESPONDE")</f>
        <v>NO CORRESPONDE</v>
      </c>
      <c r="AS1348" s="22" t="str">
        <f>IF(DATA[[#This Row],[fecha_fs]]&gt;0,TEXT(DATA[[#This Row],[fecha_fs]],"Mmmm"),0)</f>
        <v>Octubre</v>
      </c>
      <c r="AT1348" s="22" t="str">
        <f>DATA[[#This Row],[SERIE2]]&amp;"-"&amp;DATA[[#This Row],[NUMERO]]</f>
        <v>-</v>
      </c>
      <c r="AU1348" s="28">
        <f>DATA[[#This Row],[TOTAL]]*DATA[[#This Row],[T.C.]]</f>
        <v>1570.23</v>
      </c>
      <c r="AV1348" s="6">
        <f>DATA[[#This Row],[FECHA DE VAL.]]</f>
        <v>45961</v>
      </c>
      <c r="AW1348" s="6">
        <f>DATA[[#This Row],[FECHA DE EMISION]]</f>
        <v>0</v>
      </c>
      <c r="AX1348" s="6">
        <f>DATA[[#This Row],[F1]]</f>
        <v>0</v>
      </c>
      <c r="AY1348" s="20">
        <f>IF(AV1348-DATA[[#This Row],[fecha_fs]]&lt;0,0,AV1348-DATA[[#This Row],[fecha_fs]])</f>
        <v>11</v>
      </c>
      <c r="AZ1348" s="20">
        <f t="shared" si="323"/>
        <v>0</v>
      </c>
      <c r="BA1348" s="53">
        <f t="shared" si="324"/>
        <v>0</v>
      </c>
      <c r="BB1348" s="360">
        <f>IFERROR(SUM(DATA[[#This Row],[fs_val_ttf]:[fact_pago_ttf]]),0)</f>
        <v>11</v>
      </c>
      <c r="BC1348" s="377">
        <v>45950</v>
      </c>
      <c r="BD1348" s="377">
        <v>45957</v>
      </c>
      <c r="BE1348" s="377">
        <v>45964</v>
      </c>
      <c r="BF1348" s="361" t="s">
        <v>270</v>
      </c>
      <c r="BG1348" s="20">
        <f>IFERROR(IF(BC1348-DATA[[#This Row],[fecha_fs]]&lt;0,0,BC1348-DATA[[#This Row],[fecha_fs]]),0)</f>
        <v>0</v>
      </c>
      <c r="BH1348" s="20">
        <f t="shared" si="325"/>
        <v>7</v>
      </c>
      <c r="BI1348" s="20">
        <f t="shared" si="326"/>
        <v>7</v>
      </c>
      <c r="BJ1348" s="367">
        <f t="shared" si="327"/>
        <v>0</v>
      </c>
      <c r="BK1348" s="362">
        <f>IFERROR(SUM(DATA[[#This Row],[fs_fd_ttd]:[fend_fenf_ttd]]),0)</f>
        <v>14</v>
      </c>
      <c r="BL1348" s="20" t="str">
        <f>IF(DATA[[#This Row],[fecha_fs]]&gt;0,TEXT(DATA[[#This Row],[fecha_fs]],"YYYY"),0)</f>
        <v>2025</v>
      </c>
      <c r="BM1348" s="363" t="b">
        <v>0</v>
      </c>
      <c r="BN1348" s="278">
        <f>COUNTIF(DATA[[#This Row],[tiempo_td]], "&lt;=15")</f>
        <v>1</v>
      </c>
      <c r="BO1348" s="365"/>
    </row>
    <row r="1349" spans="1:67" ht="30.6" customHeight="1" x14ac:dyDescent="0.25">
      <c r="A1349" s="4">
        <v>20141637941</v>
      </c>
      <c r="B1349" s="5" t="s">
        <v>79</v>
      </c>
      <c r="C1349" s="52" t="s">
        <v>18</v>
      </c>
      <c r="D1349" s="4" t="s">
        <v>120</v>
      </c>
      <c r="E1349" s="5" t="s">
        <v>3</v>
      </c>
      <c r="F1349" s="24">
        <v>45950</v>
      </c>
      <c r="G1349" s="7" t="s">
        <v>113</v>
      </c>
      <c r="H1349" s="25">
        <f t="shared" si="322"/>
        <v>1</v>
      </c>
      <c r="I1349" s="331">
        <v>5135</v>
      </c>
      <c r="J1349" s="8" t="s">
        <v>115</v>
      </c>
      <c r="K1349" s="9" t="s">
        <v>121</v>
      </c>
      <c r="L1349" s="10" t="s">
        <v>117</v>
      </c>
      <c r="M1349" s="11">
        <v>800</v>
      </c>
      <c r="N1349" s="12" t="s">
        <v>249</v>
      </c>
      <c r="O1349" s="6">
        <v>45954</v>
      </c>
      <c r="P1349" s="110">
        <v>3738</v>
      </c>
      <c r="Q1349" s="14" t="s">
        <v>85</v>
      </c>
      <c r="R1349" s="401">
        <v>80</v>
      </c>
      <c r="S1349" s="401">
        <v>832</v>
      </c>
      <c r="T1349" s="321">
        <f>DATA[[#This Row],[C. DF]]+DATA[[#This Row],[C.OPE.]]</f>
        <v>912</v>
      </c>
      <c r="U1349" s="15">
        <f>DATA[[#This Row],[SUB TOTAL]]*0.18</f>
        <v>164.16</v>
      </c>
      <c r="V1349" s="15">
        <f>IFERROR(ROUND(DATA[[#This Row],[SUB TOTAL]]+DATA[[#This Row],[IGV]],2),0)</f>
        <v>1076.1600000000001</v>
      </c>
      <c r="W1349" s="339" t="str">
        <f>IF(DATA[[#This Row],[VALORIZACIÓN ]]="-","NO CORRESPONDE",IF(OR(A1349=20558226979,A1349=10470707866,A1349=20111157058,A1349=20100226902),"NO CORRESPONDE",IF(J1349="Emitida",IF(P1349&gt;0,"EMITIDA","PENDIENTE"),"NO CORRESPONDE")))</f>
        <v>EMITIDA</v>
      </c>
      <c r="X1349" s="29"/>
      <c r="Y1349" s="17" t="s">
        <v>118</v>
      </c>
      <c r="Z1349" s="30">
        <v>45964</v>
      </c>
      <c r="AA1349" s="10" t="s">
        <v>150</v>
      </c>
      <c r="AB1349" s="19">
        <v>319</v>
      </c>
      <c r="AC1349" s="20">
        <v>30</v>
      </c>
      <c r="AD1349" s="18">
        <f>DATA[[#This Row],[FECHA DE EMISION]]+DATA[[#This Row],[CONDICION DE PAGO]]</f>
        <v>45994</v>
      </c>
      <c r="AE1349" s="23">
        <f>IF(DATA[[#This Row],[MONEDA]]="USD",VLOOKUP(DATA[[#This Row],[COMBINADA]],#REF!,11,0),1)</f>
        <v>1</v>
      </c>
      <c r="AF1349" s="129" t="str">
        <f>IF(DATA[[#This Row],[SERIE2]]="-","NO CORRESPONDE",IF(W1349="NO CORRESPONDE","NO CORRESPONDE",IF(Z1349&gt;0,"FACTURADO","PENDIENTE")))</f>
        <v>FACTURADO</v>
      </c>
      <c r="AG1349" s="133">
        <f>IFERROR(VLOOKUP(DATA[[#This Row],[COMBINADA]],#REF!,6,0),0)</f>
        <v>0</v>
      </c>
      <c r="AH1349" s="125">
        <f>IFERROR(VLOOKUP(DATA[[#This Row],[COMBINADA]],#REF!,9,0),0)/COUNTIFS(DATA[COMBINADA],DATA[[#This Row],[COMBINADA]])</f>
        <v>0</v>
      </c>
      <c r="AI1349" s="136">
        <f>IFERROR(VLOOKUP(DATA[[#This Row],[COMBINADA]],#REF!,6,0),0)</f>
        <v>0</v>
      </c>
      <c r="AJ1349" s="132">
        <f>IFERROR(VLOOKUP(DATA[[#This Row],[COMBINADA]],#REF!,9,0),0)/COUNTIFS(DATA[COMBINADA],DATA[[#This Row],[COMBINADA]])</f>
        <v>0</v>
      </c>
      <c r="AK1349" s="407">
        <f>IFERROR(VLOOKUP(DATA[[#This Row],[COMBINADA]],#REF!,6,0),0)</f>
        <v>0</v>
      </c>
      <c r="AL1349" s="125">
        <f>IFERROR(VLOOKUP(DATA[[#This Row],[COMBINADA]],#REF!,9,0),0)/COUNTIFS(DATA[COMBINADA],DATA[[#This Row],[COMBINADA]])</f>
        <v>0</v>
      </c>
      <c r="AM1349" s="27">
        <f>IFERROR(VLOOKUP(DATA[[#This Row],[COMBINADA]],#REF!,6,0),0)</f>
        <v>0</v>
      </c>
      <c r="AN1349" s="125">
        <f>IFERROR(VLOOKUP(DATA[[#This Row],[COMBINADA]],#REF!,9,0),0)/COUNTIFS(DATA[COMBINADA],DATA[[#This Row],[COMBINADA]])</f>
        <v>0</v>
      </c>
      <c r="AO1349" s="27">
        <f>IFERROR(VLOOKUP(DATA[[#This Row],[COMBINADA]],#REF!,6,0),0)</f>
        <v>0</v>
      </c>
      <c r="AP1349" s="132">
        <f>IFERROR(VLOOKUP(DATA[[#This Row],[COMBINADA]],#REF!,9,0),0)/COUNTIFS(DATA[COMBINADA],DATA[[#This Row],[COMBINADA]])</f>
        <v>0</v>
      </c>
      <c r="AQ134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1076.8675000000001</v>
      </c>
      <c r="AR1349" s="26" t="str">
        <f>IFERROR(IF(DATA[[#This Row],[estado_fact]]="FACTURADO",VLOOKUP(DATA[[#This Row],[SERIE2]]&amp;"-"&amp;DATA[[#This Row],[NUMERO]],#REF!,34,0),"NO CORRESPONDE"),"NO CORRESPONDE")</f>
        <v>NO CORRESPONDE</v>
      </c>
      <c r="AS1349" s="22" t="str">
        <f>IF(DATA[[#This Row],[fecha_fs]]&gt;0,TEXT(DATA[[#This Row],[fecha_fs]],"Mmmm"),0)</f>
        <v>Octubre</v>
      </c>
      <c r="AT1349" s="22" t="str">
        <f>DATA[[#This Row],[SERIE2]]&amp;"-"&amp;DATA[[#This Row],[NUMERO]]</f>
        <v>FF01-319</v>
      </c>
      <c r="AU1349" s="28">
        <f>DATA[[#This Row],[TOTAL]]*DATA[[#This Row],[T.C.]]</f>
        <v>1076.1600000000001</v>
      </c>
      <c r="AV1349" s="6">
        <f>DATA[[#This Row],[FECHA DE VAL.]]</f>
        <v>45954</v>
      </c>
      <c r="AW1349" s="6">
        <f>DATA[[#This Row],[FECHA DE EMISION]]</f>
        <v>45964</v>
      </c>
      <c r="AX1349" s="6">
        <f>DATA[[#This Row],[F1]]</f>
        <v>0</v>
      </c>
      <c r="AY1349" s="20">
        <f>IF(AV1349-DATA[[#This Row],[fecha_fs]]&lt;0,0,AV1349-DATA[[#This Row],[fecha_fs]])</f>
        <v>4</v>
      </c>
      <c r="AZ1349" s="20">
        <f t="shared" si="323"/>
        <v>10</v>
      </c>
      <c r="BA1349" s="53">
        <f t="shared" si="324"/>
        <v>0</v>
      </c>
      <c r="BB1349" s="360">
        <f>IFERROR(SUM(DATA[[#This Row],[fs_val_ttf]:[fact_pago_ttf]]),0)</f>
        <v>14</v>
      </c>
      <c r="BC1349" s="377">
        <v>45950</v>
      </c>
      <c r="BD1349" s="377">
        <v>45957</v>
      </c>
      <c r="BE1349" s="377">
        <v>45964</v>
      </c>
      <c r="BF1349" s="377">
        <v>45967</v>
      </c>
      <c r="BG1349" s="20">
        <f>IFERROR(IF(BC1349-DATA[[#This Row],[fecha_fs]]&lt;0,0,BC1349-DATA[[#This Row],[fecha_fs]]),0)</f>
        <v>0</v>
      </c>
      <c r="BH1349" s="20">
        <f t="shared" si="325"/>
        <v>7</v>
      </c>
      <c r="BI1349" s="20">
        <f t="shared" si="326"/>
        <v>7</v>
      </c>
      <c r="BJ1349" s="367">
        <f t="shared" si="327"/>
        <v>3</v>
      </c>
      <c r="BK1349" s="362">
        <f>IFERROR(SUM(DATA[[#This Row],[fs_fd_ttd]:[fend_fenf_ttd]]),0)</f>
        <v>17</v>
      </c>
      <c r="BL1349" s="20" t="str">
        <f>IF(DATA[[#This Row],[fecha_fs]]&gt;0,TEXT(DATA[[#This Row],[fecha_fs]],"YYYY"),0)</f>
        <v>2025</v>
      </c>
      <c r="BM1349" s="363" t="b">
        <v>1</v>
      </c>
      <c r="BN1349" s="278">
        <f>COUNTIF(DATA[[#This Row],[tiempo_td]], "&lt;=15")</f>
        <v>0</v>
      </c>
      <c r="BO1349" s="365"/>
    </row>
    <row r="1350" spans="1:67" ht="30.6" customHeight="1" x14ac:dyDescent="0.25">
      <c r="A1350" s="4">
        <v>20100211115</v>
      </c>
      <c r="B1350" s="5" t="s">
        <v>41</v>
      </c>
      <c r="C1350" s="52" t="s">
        <v>18</v>
      </c>
      <c r="D1350" s="4" t="s">
        <v>120</v>
      </c>
      <c r="E1350" s="5" t="s">
        <v>3</v>
      </c>
      <c r="F1350" s="24">
        <v>45950</v>
      </c>
      <c r="G1350" s="7" t="s">
        <v>113</v>
      </c>
      <c r="H1350" s="25">
        <f t="shared" si="322"/>
        <v>1</v>
      </c>
      <c r="I1350" s="331">
        <v>5136</v>
      </c>
      <c r="J1350" s="8" t="s">
        <v>115</v>
      </c>
      <c r="K1350" s="9" t="s">
        <v>121</v>
      </c>
      <c r="L1350" s="10" t="s">
        <v>117</v>
      </c>
      <c r="M1350" s="11">
        <v>90</v>
      </c>
      <c r="N1350" s="12" t="s">
        <v>167</v>
      </c>
      <c r="O1350" s="6">
        <v>45957</v>
      </c>
      <c r="P1350" s="115">
        <v>3742</v>
      </c>
      <c r="Q1350" s="14" t="s">
        <v>85</v>
      </c>
      <c r="R1350" s="74"/>
      <c r="S1350" s="401">
        <f>(DATA[[#This Row],[cantidad_fs]]*4.17)</f>
        <v>375.3</v>
      </c>
      <c r="T1350" s="321">
        <f>DATA[[#This Row],[C. DF]]+DATA[[#This Row],[C.OPE.]]</f>
        <v>375.3</v>
      </c>
      <c r="U1350" s="15">
        <f>DATA[[#This Row],[SUB TOTAL]]*0.18</f>
        <v>67.554000000000002</v>
      </c>
      <c r="V1350" s="15">
        <f>IFERROR(ROUND(DATA[[#This Row],[SUB TOTAL]]+DATA[[#This Row],[IGV]],2),0)</f>
        <v>442.85</v>
      </c>
      <c r="W1350" s="339" t="str">
        <f>IF(DATA[[#This Row],[VALORIZACIÓN ]]="-","NO CORRESPONDE",IF(OR(A1350=20558226979,A1350=10470707866,A1350=20111157058,A1350=20100226902),"NO CORRESPONDE",IF(J1350="Emitida",IF(P1350&gt;0,"EMITIDA","PENDIENTE"),"NO CORRESPONDE")))</f>
        <v>EMITIDA</v>
      </c>
      <c r="X1350" s="29"/>
      <c r="Y1350" s="17" t="s">
        <v>118</v>
      </c>
      <c r="Z1350" s="30">
        <v>45958</v>
      </c>
      <c r="AA1350" s="10" t="s">
        <v>150</v>
      </c>
      <c r="AB1350" s="19">
        <v>309</v>
      </c>
      <c r="AC1350" s="20">
        <v>30</v>
      </c>
      <c r="AD1350" s="18">
        <f>DATA[[#This Row],[FECHA DE EMISION]]+DATA[[#This Row],[CONDICION DE PAGO]]</f>
        <v>45988</v>
      </c>
      <c r="AE1350" s="23">
        <f>IF(DATA[[#This Row],[MONEDA]]="USD",VLOOKUP(DATA[[#This Row],[COMBINADA]],#REF!,11,0),1)</f>
        <v>1</v>
      </c>
      <c r="AF1350" s="129" t="str">
        <f>IF(DATA[[#This Row],[SERIE2]]="-","NO CORRESPONDE",IF(W1350="NO CORRESPONDE","NO CORRESPONDE",IF(Z1350&gt;0,"FACTURADO","PENDIENTE")))</f>
        <v>FACTURADO</v>
      </c>
      <c r="AG1350" s="133">
        <f>IFERROR(VLOOKUP(DATA[[#This Row],[COMBINADA]],#REF!,6,0),0)</f>
        <v>0</v>
      </c>
      <c r="AH1350" s="125">
        <f>IFERROR(VLOOKUP(DATA[[#This Row],[COMBINADA]],#REF!,9,0),0)/COUNTIFS(DATA[COMBINADA],DATA[[#This Row],[COMBINADA]])</f>
        <v>0</v>
      </c>
      <c r="AI1350" s="136">
        <f>IFERROR(VLOOKUP(DATA[[#This Row],[COMBINADA]],#REF!,6,0),0)</f>
        <v>0</v>
      </c>
      <c r="AJ1350" s="132">
        <f>IFERROR(VLOOKUP(DATA[[#This Row],[COMBINADA]],#REF!,9,0),0)/COUNTIFS(DATA[COMBINADA],DATA[[#This Row],[COMBINADA]])</f>
        <v>0</v>
      </c>
      <c r="AK1350" s="407">
        <f>IFERROR(VLOOKUP(DATA[[#This Row],[COMBINADA]],#REF!,6,0),0)</f>
        <v>0</v>
      </c>
      <c r="AL1350" s="125">
        <f>IFERROR(VLOOKUP(DATA[[#This Row],[COMBINADA]],#REF!,9,0),0)/COUNTIFS(DATA[COMBINADA],DATA[[#This Row],[COMBINADA]])</f>
        <v>0</v>
      </c>
      <c r="AM1350" s="27">
        <f>IFERROR(VLOOKUP(DATA[[#This Row],[COMBINADA]],#REF!,6,0),0)</f>
        <v>0</v>
      </c>
      <c r="AN1350" s="125">
        <f>IFERROR(VLOOKUP(DATA[[#This Row],[COMBINADA]],#REF!,9,0),0)/COUNTIFS(DATA[COMBINADA],DATA[[#This Row],[COMBINADA]])</f>
        <v>0</v>
      </c>
      <c r="AO1350" s="27">
        <f>IFERROR(VLOOKUP(DATA[[#This Row],[COMBINADA]],#REF!,6,0),0)</f>
        <v>0</v>
      </c>
      <c r="AP1350" s="132">
        <f>IFERROR(VLOOKUP(DATA[[#This Row],[COMBINADA]],#REF!,9,0),0)/COUNTIFS(DATA[COMBINADA],DATA[[#This Row],[COMBINADA]])</f>
        <v>0</v>
      </c>
      <c r="AQ135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350" s="26" t="str">
        <f>IFERROR(IF(DATA[[#This Row],[estado_fact]]="FACTURADO",VLOOKUP(DATA[[#This Row],[SERIE2]]&amp;"-"&amp;DATA[[#This Row],[NUMERO]],#REF!,34,0),"NO CORRESPONDE"),"NO CORRESPONDE")</f>
        <v>NO CORRESPONDE</v>
      </c>
      <c r="AS1350" s="22" t="str">
        <f>IF(DATA[[#This Row],[fecha_fs]]&gt;0,TEXT(DATA[[#This Row],[fecha_fs]],"Mmmm"),0)</f>
        <v>Octubre</v>
      </c>
      <c r="AT1350" s="22" t="str">
        <f>DATA[[#This Row],[SERIE2]]&amp;"-"&amp;DATA[[#This Row],[NUMERO]]</f>
        <v>FF01-309</v>
      </c>
      <c r="AU1350" s="28">
        <f>DATA[[#This Row],[TOTAL]]*DATA[[#This Row],[T.C.]]</f>
        <v>442.85</v>
      </c>
      <c r="AV1350" s="6">
        <f>DATA[[#This Row],[FECHA DE VAL.]]</f>
        <v>45957</v>
      </c>
      <c r="AW1350" s="6">
        <f>DATA[[#This Row],[FECHA DE EMISION]]</f>
        <v>45958</v>
      </c>
      <c r="AX1350" s="6">
        <f>DATA[[#This Row],[F1]]</f>
        <v>0</v>
      </c>
      <c r="AY1350" s="20">
        <f>IF(AV1350-DATA[[#This Row],[fecha_fs]]&lt;0,0,AV1350-DATA[[#This Row],[fecha_fs]])</f>
        <v>7</v>
      </c>
      <c r="AZ1350" s="20">
        <f t="shared" si="323"/>
        <v>1</v>
      </c>
      <c r="BA1350" s="53">
        <f t="shared" si="324"/>
        <v>0</v>
      </c>
      <c r="BB1350" s="360">
        <f>IFERROR(SUM(DATA[[#This Row],[fs_val_ttf]:[fact_pago_ttf]]),0)</f>
        <v>8</v>
      </c>
      <c r="BC1350" s="233">
        <v>45957</v>
      </c>
      <c r="BD1350" s="233">
        <v>45964</v>
      </c>
      <c r="BE1350" s="233">
        <v>45967</v>
      </c>
      <c r="BF1350" s="233">
        <v>45967</v>
      </c>
      <c r="BG1350" s="20">
        <f>IFERROR(IF(BC1350-DATA[[#This Row],[fecha_fs]]&lt;0,0,BC1350-DATA[[#This Row],[fecha_fs]]),0)</f>
        <v>7</v>
      </c>
      <c r="BH1350" s="20">
        <f t="shared" si="325"/>
        <v>7</v>
      </c>
      <c r="BI1350" s="20">
        <f t="shared" si="326"/>
        <v>3</v>
      </c>
      <c r="BJ1350" s="367">
        <f t="shared" si="327"/>
        <v>0</v>
      </c>
      <c r="BK1350" s="362">
        <f>IFERROR(SUM(DATA[[#This Row],[fs_fd_ttd]:[fend_fenf_ttd]]),0)</f>
        <v>17</v>
      </c>
      <c r="BL1350" s="20" t="str">
        <f>IF(DATA[[#This Row],[fecha_fs]]&gt;0,TEXT(DATA[[#This Row],[fecha_fs]],"YYYY"),0)</f>
        <v>2025</v>
      </c>
      <c r="BM1350" s="363" t="b">
        <v>1</v>
      </c>
      <c r="BN1350" s="278">
        <f>COUNTIF(DATA[[#This Row],[tiempo_td]], "&lt;=15")</f>
        <v>0</v>
      </c>
      <c r="BO1350" s="365"/>
    </row>
    <row r="1351" spans="1:67" ht="30.6" customHeight="1" x14ac:dyDescent="0.25">
      <c r="A1351" s="4">
        <v>20454186002</v>
      </c>
      <c r="B1351" s="5" t="s">
        <v>25</v>
      </c>
      <c r="C1351" s="52" t="s">
        <v>18</v>
      </c>
      <c r="D1351" s="4" t="s">
        <v>120</v>
      </c>
      <c r="E1351" s="5" t="s">
        <v>3</v>
      </c>
      <c r="F1351" s="24">
        <v>45950</v>
      </c>
      <c r="G1351" s="7" t="s">
        <v>113</v>
      </c>
      <c r="H1351" s="25">
        <f t="shared" si="322"/>
        <v>1</v>
      </c>
      <c r="I1351" s="331">
        <v>5137</v>
      </c>
      <c r="J1351" s="8" t="s">
        <v>115</v>
      </c>
      <c r="K1351" s="9" t="s">
        <v>121</v>
      </c>
      <c r="L1351" s="10" t="s">
        <v>117</v>
      </c>
      <c r="M1351" s="11">
        <v>4420</v>
      </c>
      <c r="N1351" s="12" t="s">
        <v>337</v>
      </c>
      <c r="O1351" s="6">
        <v>45951</v>
      </c>
      <c r="P1351" s="13">
        <v>3729</v>
      </c>
      <c r="Q1351" s="14" t="s">
        <v>85</v>
      </c>
      <c r="R1351" s="321">
        <f>1485.02+((DATA[[#This Row],[cantidad_fs]]-3000)*0.49)</f>
        <v>2180.8199999999997</v>
      </c>
      <c r="S1351" s="321"/>
      <c r="T1351" s="321">
        <f>DATA[[#This Row],[C. DF]]+DATA[[#This Row],[C.OPE.]]</f>
        <v>2180.8199999999997</v>
      </c>
      <c r="U1351" s="15">
        <f>DATA[[#This Row],[SUB TOTAL]]*0.18</f>
        <v>392.54759999999993</v>
      </c>
      <c r="V1351" s="15">
        <f>IFERROR(ROUND(DATA[[#This Row],[SUB TOTAL]]+DATA[[#This Row],[IGV]],2),0)</f>
        <v>2573.37</v>
      </c>
      <c r="W1351" s="339" t="str">
        <f>IF(DATA[[#This Row],[VALORIZACIÓN ]]="-","NO CORRESPONDE",IF(OR(A1351=20558226979,A1351=10470707866,A1351=20111157058,A1351=20100226902),"NO CORRESPONDE",IF(J1351="Emitida",IF(P1351&gt;0,"EMITIDA","PENDIENTE"),"NO CORRESPONDE")))</f>
        <v>EMITIDA</v>
      </c>
      <c r="X1351" s="29"/>
      <c r="Y1351" s="17" t="s">
        <v>118</v>
      </c>
      <c r="Z1351" s="30">
        <v>45957</v>
      </c>
      <c r="AA1351" s="10" t="s">
        <v>150</v>
      </c>
      <c r="AB1351" s="19">
        <v>307</v>
      </c>
      <c r="AC1351" s="20">
        <v>7</v>
      </c>
      <c r="AD1351" s="18">
        <f>DATA[[#This Row],[FECHA DE EMISION]]+DATA[[#This Row],[CONDICION DE PAGO]]</f>
        <v>45964</v>
      </c>
      <c r="AE1351" s="23">
        <f>IF(DATA[[#This Row],[MONEDA]]="USD",VLOOKUP(DATA[[#This Row],[COMBINADA]],#REF!,11,0),1)</f>
        <v>1</v>
      </c>
      <c r="AF1351" s="129" t="str">
        <f>IF(DATA[[#This Row],[SERIE2]]="-","NO CORRESPONDE",IF(W1351="NO CORRESPONDE","NO CORRESPONDE",IF(Z1351&gt;0,"FACTURADO","PENDIENTE")))</f>
        <v>FACTURADO</v>
      </c>
      <c r="AG1351" s="133">
        <f>IFERROR(VLOOKUP(DATA[[#This Row],[COMBINADA]],#REF!,6,0),0)</f>
        <v>0</v>
      </c>
      <c r="AH1351" s="125">
        <f>IFERROR(VLOOKUP(DATA[[#This Row],[COMBINADA]],#REF!,9,0),0)/COUNTIFS(DATA[COMBINADA],DATA[[#This Row],[COMBINADA]])</f>
        <v>0</v>
      </c>
      <c r="AI1351" s="136">
        <f>IFERROR(VLOOKUP(DATA[[#This Row],[COMBINADA]],#REF!,6,0),0)</f>
        <v>0</v>
      </c>
      <c r="AJ1351" s="132">
        <f>IFERROR(VLOOKUP(DATA[[#This Row],[COMBINADA]],#REF!,9,0),0)/COUNTIFS(DATA[COMBINADA],DATA[[#This Row],[COMBINADA]])</f>
        <v>0</v>
      </c>
      <c r="AK1351" s="407">
        <f>IFERROR(VLOOKUP(DATA[[#This Row],[COMBINADA]],#REF!,6,0),0)</f>
        <v>0</v>
      </c>
      <c r="AL1351" s="125">
        <f>IFERROR(VLOOKUP(DATA[[#This Row],[COMBINADA]],#REF!,9,0),0)/COUNTIFS(DATA[COMBINADA],DATA[[#This Row],[COMBINADA]])</f>
        <v>0</v>
      </c>
      <c r="AM1351" s="27">
        <f>IFERROR(VLOOKUP(DATA[[#This Row],[COMBINADA]],#REF!,6,0),0)</f>
        <v>0</v>
      </c>
      <c r="AN1351" s="125">
        <f>IFERROR(VLOOKUP(DATA[[#This Row],[COMBINADA]],#REF!,9,0),0)/COUNTIFS(DATA[COMBINADA],DATA[[#This Row],[COMBINADA]])</f>
        <v>0</v>
      </c>
      <c r="AO1351" s="27">
        <f>IFERROR(VLOOKUP(DATA[[#This Row],[COMBINADA]],#REF!,6,0),0)</f>
        <v>0</v>
      </c>
      <c r="AP1351" s="132">
        <f>IFERROR(VLOOKUP(DATA[[#This Row],[COMBINADA]],#REF!,9,0),0)/COUNTIFS(DATA[COMBINADA],DATA[[#This Row],[COMBINADA]])</f>
        <v>0</v>
      </c>
      <c r="AQ135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2573.37</v>
      </c>
      <c r="AR1351" s="26" t="str">
        <f>IFERROR(IF(DATA[[#This Row],[estado_fact]]="FACTURADO",VLOOKUP(DATA[[#This Row],[SERIE2]]&amp;"-"&amp;DATA[[#This Row],[NUMERO]],#REF!,34,0),"NO CORRESPONDE"),"NO CORRESPONDE")</f>
        <v>NO CORRESPONDE</v>
      </c>
      <c r="AS1351" s="22" t="str">
        <f>IF(DATA[[#This Row],[fecha_fs]]&gt;0,TEXT(DATA[[#This Row],[fecha_fs]],"Mmmm"),0)</f>
        <v>Octubre</v>
      </c>
      <c r="AT1351" s="22" t="str">
        <f>DATA[[#This Row],[SERIE2]]&amp;"-"&amp;DATA[[#This Row],[NUMERO]]</f>
        <v>FF01-307</v>
      </c>
      <c r="AU1351" s="28">
        <f>DATA[[#This Row],[TOTAL]]*DATA[[#This Row],[T.C.]]</f>
        <v>2573.37</v>
      </c>
      <c r="AV1351" s="6">
        <f>DATA[[#This Row],[FECHA DE VAL.]]</f>
        <v>45951</v>
      </c>
      <c r="AW1351" s="6">
        <f>DATA[[#This Row],[FECHA DE EMISION]]</f>
        <v>45957</v>
      </c>
      <c r="AX1351" s="6">
        <f>DATA[[#This Row],[F1]]</f>
        <v>0</v>
      </c>
      <c r="AY1351" s="20">
        <f>IF(AV1351-DATA[[#This Row],[fecha_fs]]&lt;0,0,AV1351-DATA[[#This Row],[fecha_fs]])</f>
        <v>1</v>
      </c>
      <c r="AZ1351" s="20">
        <f t="shared" si="323"/>
        <v>6</v>
      </c>
      <c r="BA1351" s="53">
        <f t="shared" si="324"/>
        <v>0</v>
      </c>
      <c r="BB1351" s="360">
        <f>IFERROR(SUM(DATA[[#This Row],[fs_val_ttf]:[fact_pago_ttf]]),0)</f>
        <v>7</v>
      </c>
      <c r="BC1351" s="377">
        <v>45950</v>
      </c>
      <c r="BD1351" s="377">
        <v>45957</v>
      </c>
      <c r="BE1351" s="377">
        <v>45966</v>
      </c>
      <c r="BF1351" s="361" t="s">
        <v>270</v>
      </c>
      <c r="BG1351" s="20">
        <f>IFERROR(IF(BC1351-DATA[[#This Row],[fecha_fs]]&lt;0,0,BC1351-DATA[[#This Row],[fecha_fs]]),0)</f>
        <v>0</v>
      </c>
      <c r="BH1351" s="20">
        <f t="shared" si="325"/>
        <v>7</v>
      </c>
      <c r="BI1351" s="20">
        <f t="shared" si="326"/>
        <v>9</v>
      </c>
      <c r="BJ1351" s="367">
        <f t="shared" si="327"/>
        <v>0</v>
      </c>
      <c r="BK1351" s="362">
        <f>IFERROR(SUM(DATA[[#This Row],[fs_fd_ttd]:[fend_fenf_ttd]]),0)</f>
        <v>16</v>
      </c>
      <c r="BL1351" s="20" t="str">
        <f>IF(DATA[[#This Row],[fecha_fs]]&gt;0,TEXT(DATA[[#This Row],[fecha_fs]],"YYYY"),0)</f>
        <v>2025</v>
      </c>
      <c r="BM1351" s="363" t="b">
        <v>0</v>
      </c>
      <c r="BN1351" s="278">
        <f>COUNTIF(DATA[[#This Row],[tiempo_td]], "&lt;=15")</f>
        <v>0</v>
      </c>
      <c r="BO1351" s="365"/>
    </row>
    <row r="1352" spans="1:67" ht="30.6" customHeight="1" x14ac:dyDescent="0.25">
      <c r="A1352" s="4"/>
      <c r="B1352" s="5" t="s">
        <v>0</v>
      </c>
      <c r="C1352" s="52"/>
      <c r="D1352" s="4"/>
      <c r="E1352" s="5" t="s">
        <v>0</v>
      </c>
      <c r="F1352" s="24">
        <v>45950</v>
      </c>
      <c r="G1352" s="7" t="s">
        <v>113</v>
      </c>
      <c r="H1352" s="25">
        <f t="shared" si="322"/>
        <v>1</v>
      </c>
      <c r="I1352" s="67">
        <v>5138</v>
      </c>
      <c r="J1352" s="8" t="s">
        <v>173</v>
      </c>
      <c r="K1352" s="9"/>
      <c r="L1352" s="10"/>
      <c r="M1352" s="111"/>
      <c r="N1352" s="112"/>
      <c r="O1352" s="6"/>
      <c r="P1352" s="13"/>
      <c r="Q1352" s="14"/>
      <c r="R1352" s="56"/>
      <c r="S1352" s="56"/>
      <c r="T1352" s="56">
        <f>DATA[[#This Row],[C. DF]]+DATA[[#This Row],[C.OPE.]]</f>
        <v>0</v>
      </c>
      <c r="U1352" s="56">
        <f>DATA[[#This Row],[SUB TOTAL]]*0.18</f>
        <v>0</v>
      </c>
      <c r="V1352" s="56">
        <f>IFERROR(ROUND(DATA[[#This Row],[SUB TOTAL]]+DATA[[#This Row],[IGV]],2),0)</f>
        <v>0</v>
      </c>
      <c r="W1352" s="73" t="str">
        <f>IF(DATA[[#This Row],[VALORIZACIÓN ]]="-","NO CORRESPONDE",IF(OR(A1352=20558226979,A1352=10470707866,A1352=20111157058,A1352=20100226902),"NO CORRESPONDE",IF(J1352="Emitida",IF(P1352&gt;0,"EMITIDA","PENDIENTE"),"NO CORRESPONDE")))</f>
        <v>NO CORRESPONDE</v>
      </c>
      <c r="X1352" s="46"/>
      <c r="Y1352" s="17" t="s">
        <v>128</v>
      </c>
      <c r="Z1352" s="48"/>
      <c r="AA1352" s="49"/>
      <c r="AB1352" s="50"/>
      <c r="AC1352" s="51"/>
      <c r="AD1352" s="59">
        <f>DATA[[#This Row],[FECHA DE EMISION]]+DATA[[#This Row],[CONDICION DE PAGO]]</f>
        <v>0</v>
      </c>
      <c r="AE1352" s="23">
        <f>IF(DATA[[#This Row],[MONEDA]]="USD",VLOOKUP(DATA[[#This Row],[COMBINADA]],#REF!,11,0),1)</f>
        <v>1</v>
      </c>
      <c r="AF1352" s="129" t="str">
        <f>IF(DATA[[#This Row],[SERIE2]]="-","NO CORRESPONDE",IF(W1352="NO CORRESPONDE","NO CORRESPONDE",IF(Z1352&gt;0,"FACTURADO","PENDIENTE")))</f>
        <v>NO CORRESPONDE</v>
      </c>
      <c r="AG1352" s="133">
        <f>IFERROR(VLOOKUP(DATA[[#This Row],[COMBINADA]],#REF!,6,0),0)</f>
        <v>0</v>
      </c>
      <c r="AH1352" s="125">
        <f>IFERROR(VLOOKUP(DATA[[#This Row],[COMBINADA]],#REF!,9,0),0)/COUNTIFS(DATA[COMBINADA],DATA[[#This Row],[COMBINADA]])</f>
        <v>0</v>
      </c>
      <c r="AI1352" s="140">
        <f>IFERROR(VLOOKUP(DATA[[#This Row],[COMBINADA]],#REF!,6,0),0)</f>
        <v>0</v>
      </c>
      <c r="AJ1352" s="126">
        <f>IFERROR(VLOOKUP(DATA[[#This Row],[COMBINADA]],#REF!,9,0),0)/COUNTIFS(DATA[COMBINADA],DATA[[#This Row],[COMBINADA]])</f>
        <v>0</v>
      </c>
      <c r="AK1352" s="61">
        <f>IFERROR(VLOOKUP(DATA[[#This Row],[COMBINADA]],#REF!,6,0),0)</f>
        <v>0</v>
      </c>
      <c r="AL1352" s="126">
        <f>IFERROR(VLOOKUP(DATA[[#This Row],[COMBINADA]],#REF!,9,0),0)/COUNTIFS(DATA[COMBINADA],DATA[[#This Row],[COMBINADA]])</f>
        <v>0</v>
      </c>
      <c r="AM1352" s="61">
        <f>IFERROR(VLOOKUP(DATA[[#This Row],[COMBINADA]],#REF!,6,0),0)</f>
        <v>0</v>
      </c>
      <c r="AN1352" s="62">
        <f>IFERROR(VLOOKUP(DATA[[#This Row],[COMBINADA]],#REF!,9,0),0)/COUNTIFS(DATA[COMBINADA],DATA[[#This Row],[COMBINADA]])</f>
        <v>0</v>
      </c>
      <c r="AO1352" s="61">
        <f>IFERROR(VLOOKUP(DATA[[#This Row],[COMBINADA]],#REF!,6,0),0)</f>
        <v>0</v>
      </c>
      <c r="AP1352" s="62">
        <f>IFERROR(VLOOKUP(DATA[[#This Row],[COMBINADA]],#REF!,9,0),0)/COUNTIFS(DATA[COMBINADA],DATA[[#This Row],[COMBINADA]])</f>
        <v>0</v>
      </c>
      <c r="AQ1352"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52" s="22" t="str">
        <f>IFERROR(IF(DATA[[#This Row],[estado_fact]]="FACTURADO",VLOOKUP(DATA[[#This Row],[SERIE2]]&amp;"-"&amp;DATA[[#This Row],[NUMERO]],#REF!,34,0),"NO CORRESPONDE"),"NO CORRESPONDE")</f>
        <v>NO CORRESPONDE</v>
      </c>
      <c r="AS1352" s="198" t="str">
        <f>IF(DATA[[#This Row],[fecha_fs]]&gt;0,TEXT(DATA[[#This Row],[fecha_fs]],"Mmmm"),0)</f>
        <v>Octubre</v>
      </c>
      <c r="AT1352" s="199" t="str">
        <f>DATA[[#This Row],[SERIE2]]&amp;"-"&amp;DATA[[#This Row],[NUMERO]]</f>
        <v>-</v>
      </c>
      <c r="AU1352" s="198">
        <f>DATA[[#This Row],[TOTAL]]*DATA[[#This Row],[T.C.]]</f>
        <v>0</v>
      </c>
      <c r="AV1352" s="40">
        <f>DATA[[#This Row],[FECHA DE VAL.]]</f>
        <v>0</v>
      </c>
      <c r="AW1352" s="40">
        <f>DATA[[#This Row],[FECHA DE EMISION]]</f>
        <v>0</v>
      </c>
      <c r="AX1352" s="40">
        <f>DATA[[#This Row],[F1]]</f>
        <v>0</v>
      </c>
      <c r="AY1352" s="49">
        <f>IF(AV1352-DATA[[#This Row],[fecha_fs]]&lt;0,0,AV1352-DATA[[#This Row],[fecha_fs]])</f>
        <v>0</v>
      </c>
      <c r="AZ1352" s="49">
        <f t="shared" si="323"/>
        <v>0</v>
      </c>
      <c r="BA1352" s="49">
        <f t="shared" si="324"/>
        <v>0</v>
      </c>
      <c r="BB1352" s="195">
        <f>IFERROR(SUM(DATA[[#This Row],[fs_val_ttf]:[fact_pago_ttf]]),0)</f>
        <v>0</v>
      </c>
      <c r="BC1352" s="47"/>
      <c r="BD1352" s="47"/>
      <c r="BE1352" s="47"/>
      <c r="BF1352" s="47"/>
      <c r="BG1352" s="49">
        <f>IFERROR(IF(BC1352-DATA[[#This Row],[fecha_fs]]&lt;0,0,BC1352-DATA[[#This Row],[fecha_fs]]),0)</f>
        <v>0</v>
      </c>
      <c r="BH1352" s="49">
        <f t="shared" si="325"/>
        <v>0</v>
      </c>
      <c r="BI1352" s="49">
        <f t="shared" si="326"/>
        <v>0</v>
      </c>
      <c r="BJ1352" s="49">
        <f t="shared" si="327"/>
        <v>0</v>
      </c>
      <c r="BK1352" s="282">
        <f>IFERROR(SUM(DATA[[#This Row],[fs_fd_ttd]:[fend_fenf_ttd]]),0)</f>
        <v>0</v>
      </c>
      <c r="BL1352" s="20" t="str">
        <f>IF(DATA[[#This Row],[fecha_fs]]&gt;0,TEXT(DATA[[#This Row],[fecha_fs]],"YYYY"),0)</f>
        <v>2025</v>
      </c>
      <c r="BM1352" s="221" t="b">
        <v>0</v>
      </c>
      <c r="BN1352" s="278"/>
      <c r="BO1352" s="222"/>
    </row>
    <row r="1353" spans="1:67" ht="30.6" customHeight="1" x14ac:dyDescent="0.25">
      <c r="A1353" s="4">
        <v>20558226979</v>
      </c>
      <c r="B1353" s="5" t="s">
        <v>45</v>
      </c>
      <c r="C1353" s="52" t="s">
        <v>18</v>
      </c>
      <c r="D1353" s="4" t="s">
        <v>120</v>
      </c>
      <c r="E1353" s="5" t="s">
        <v>3</v>
      </c>
      <c r="F1353" s="24">
        <v>45946</v>
      </c>
      <c r="G1353" s="7" t="s">
        <v>113</v>
      </c>
      <c r="H1353" s="25">
        <f t="shared" si="322"/>
        <v>1</v>
      </c>
      <c r="I1353" s="331">
        <v>5139</v>
      </c>
      <c r="J1353" s="8" t="s">
        <v>115</v>
      </c>
      <c r="K1353" s="9" t="s">
        <v>121</v>
      </c>
      <c r="L1353" s="10" t="s">
        <v>117</v>
      </c>
      <c r="M1353" s="11">
        <v>3050</v>
      </c>
      <c r="N1353" s="12" t="s">
        <v>135</v>
      </c>
      <c r="O1353" s="359"/>
      <c r="P1353" s="371" t="s">
        <v>114</v>
      </c>
      <c r="Q1353" s="372"/>
      <c r="R1353" s="373"/>
      <c r="S1353" s="373"/>
      <c r="T1353" s="373">
        <f>DATA[[#This Row],[C. DF]]+DATA[[#This Row],[C.OPE.]]</f>
        <v>0</v>
      </c>
      <c r="U1353" s="373">
        <f>DATA[[#This Row],[SUB TOTAL]]*0.18</f>
        <v>0</v>
      </c>
      <c r="V1353" s="373">
        <f>IFERROR(ROUND(DATA[[#This Row],[SUB TOTAL]]+DATA[[#This Row],[IGV]],2),0)</f>
        <v>0</v>
      </c>
      <c r="W1353" s="16" t="str">
        <f>IF(DATA[[#This Row],[VALORIZACIÓN ]]="-","NO CORRESPONDE",IF(OR(A1353=20558226979,A1353=10470707866,A1353=20111157058,A1353=20100226902),"NO CORRESPONDE",IF(J1353="Emitida",IF(P1353&gt;0,"EMITIDA","PENDIENTE"),"NO CORRESPONDE")))</f>
        <v>NO CORRESPONDE</v>
      </c>
      <c r="X1353" s="374"/>
      <c r="Y1353" s="17" t="s">
        <v>128</v>
      </c>
      <c r="Z1353" s="340"/>
      <c r="AA1353" s="361"/>
      <c r="AB1353" s="342"/>
      <c r="AC1353" s="343"/>
      <c r="AD1353" s="344">
        <f>DATA[[#This Row],[FECHA DE EMISION]]+DATA[[#This Row],[CONDICION DE PAGO]]</f>
        <v>0</v>
      </c>
      <c r="AE1353" s="23">
        <f>IF(DATA[[#This Row],[MONEDA]]="USD",VLOOKUP(DATA[[#This Row],[COMBINADA]],#REF!,11,0),1)</f>
        <v>1</v>
      </c>
      <c r="AF1353" s="129" t="str">
        <f>IF(DATA[[#This Row],[SERIE2]]="-","NO CORRESPONDE",IF(W1353="NO CORRESPONDE","NO CORRESPONDE",IF(Z1353&gt;0,"FACTURADO","PENDIENTE")))</f>
        <v>NO CORRESPONDE</v>
      </c>
      <c r="AG1353" s="133">
        <f>IFERROR(VLOOKUP(DATA[[#This Row],[COMBINADA]],#REF!,6,0),0)</f>
        <v>0</v>
      </c>
      <c r="AH1353" s="125">
        <f>IFERROR(VLOOKUP(DATA[[#This Row],[COMBINADA]],#REF!,9,0),0)/COUNTIFS(DATA[COMBINADA],DATA[[#This Row],[COMBINADA]])</f>
        <v>0</v>
      </c>
      <c r="AI1353" s="136">
        <f>IFERROR(VLOOKUP(DATA[[#This Row],[COMBINADA]],#REF!,6,0),0)</f>
        <v>0</v>
      </c>
      <c r="AJ1353" s="132">
        <f>IFERROR(VLOOKUP(DATA[[#This Row],[COMBINADA]],#REF!,9,0),0)/COUNTIFS(DATA[COMBINADA],DATA[[#This Row],[COMBINADA]])</f>
        <v>0</v>
      </c>
      <c r="AK1353" s="407">
        <f>IFERROR(VLOOKUP(DATA[[#This Row],[COMBINADA]],#REF!,6,0),0)</f>
        <v>0</v>
      </c>
      <c r="AL1353" s="125">
        <f>IFERROR(VLOOKUP(DATA[[#This Row],[COMBINADA]],#REF!,9,0),0)/COUNTIFS(DATA[COMBINADA],DATA[[#This Row],[COMBINADA]])</f>
        <v>0</v>
      </c>
      <c r="AM1353" s="27">
        <f>IFERROR(VLOOKUP(DATA[[#This Row],[COMBINADA]],#REF!,6,0),0)</f>
        <v>0</v>
      </c>
      <c r="AN1353" s="125">
        <f>IFERROR(VLOOKUP(DATA[[#This Row],[COMBINADA]],#REF!,9,0),0)/COUNTIFS(DATA[COMBINADA],DATA[[#This Row],[COMBINADA]])</f>
        <v>0</v>
      </c>
      <c r="AO1353" s="27">
        <f>IFERROR(VLOOKUP(DATA[[#This Row],[COMBINADA]],#REF!,6,0),0)</f>
        <v>0</v>
      </c>
      <c r="AP1353" s="132">
        <f>IFERROR(VLOOKUP(DATA[[#This Row],[COMBINADA]],#REF!,9,0),0)/COUNTIFS(DATA[COMBINADA],DATA[[#This Row],[COMBINADA]])</f>
        <v>0</v>
      </c>
      <c r="AQ135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53" s="26" t="str">
        <f>IFERROR(IF(DATA[[#This Row],[estado_fact]]="FACTURADO",VLOOKUP(DATA[[#This Row],[SERIE2]]&amp;"-"&amp;DATA[[#This Row],[NUMERO]],#REF!,34,0),"NO CORRESPONDE"),"NO CORRESPONDE")</f>
        <v>NO CORRESPONDE</v>
      </c>
      <c r="AS1353" s="22" t="str">
        <f>IF(DATA[[#This Row],[fecha_fs]]&gt;0,TEXT(DATA[[#This Row],[fecha_fs]],"Mmmm"),0)</f>
        <v>Octubre</v>
      </c>
      <c r="AT1353" s="22" t="str">
        <f>DATA[[#This Row],[SERIE2]]&amp;"-"&amp;DATA[[#This Row],[NUMERO]]</f>
        <v>-</v>
      </c>
      <c r="AU1353" s="28">
        <f>DATA[[#This Row],[TOTAL]]*DATA[[#This Row],[T.C.]]</f>
        <v>0</v>
      </c>
      <c r="AV1353" s="6">
        <f>DATA[[#This Row],[FECHA DE VAL.]]</f>
        <v>0</v>
      </c>
      <c r="AW1353" s="6">
        <f>DATA[[#This Row],[FECHA DE EMISION]]</f>
        <v>0</v>
      </c>
      <c r="AX1353" s="6">
        <f>DATA[[#This Row],[F1]]</f>
        <v>0</v>
      </c>
      <c r="AY1353" s="20">
        <f>IF(AV1353-DATA[[#This Row],[fecha_fs]]&lt;0,0,AV1353-DATA[[#This Row],[fecha_fs]])</f>
        <v>0</v>
      </c>
      <c r="AZ1353" s="20">
        <f t="shared" si="323"/>
        <v>0</v>
      </c>
      <c r="BA1353" s="53">
        <f t="shared" si="324"/>
        <v>0</v>
      </c>
      <c r="BB1353" s="360">
        <f>IFERROR(SUM(DATA[[#This Row],[fs_val_ttf]:[fact_pago_ttf]]),0)</f>
        <v>0</v>
      </c>
      <c r="BC1353" s="377">
        <v>45946</v>
      </c>
      <c r="BD1353" s="377">
        <v>45957</v>
      </c>
      <c r="BE1353" s="377">
        <v>45958</v>
      </c>
      <c r="BF1353" s="361" t="s">
        <v>270</v>
      </c>
      <c r="BG1353" s="20">
        <f>IFERROR(IF(BC1353-DATA[[#This Row],[fecha_fs]]&lt;0,0,BC1353-DATA[[#This Row],[fecha_fs]]),0)</f>
        <v>0</v>
      </c>
      <c r="BH1353" s="20">
        <f t="shared" si="325"/>
        <v>11</v>
      </c>
      <c r="BI1353" s="20">
        <f t="shared" si="326"/>
        <v>1</v>
      </c>
      <c r="BJ1353" s="367">
        <f t="shared" si="327"/>
        <v>0</v>
      </c>
      <c r="BK1353" s="362">
        <f>IFERROR(SUM(DATA[[#This Row],[fs_fd_ttd]:[fend_fenf_ttd]]),0)</f>
        <v>12</v>
      </c>
      <c r="BL1353" s="171" t="str">
        <f>IF(DATA[[#This Row],[fecha_fs]]&gt;0,TEXT(DATA[[#This Row],[fecha_fs]],"YYYY"),0)</f>
        <v>2025</v>
      </c>
      <c r="BM1353" s="363" t="b">
        <v>0</v>
      </c>
      <c r="BN1353" s="278">
        <f>COUNTIF(DATA[[#This Row],[tiempo_td]], "&lt;=15")</f>
        <v>1</v>
      </c>
      <c r="BO1353" s="365"/>
    </row>
    <row r="1354" spans="1:67" ht="30.6" customHeight="1" x14ac:dyDescent="0.25">
      <c r="A1354" s="4">
        <v>20456012427</v>
      </c>
      <c r="B1354" s="5" t="s">
        <v>54</v>
      </c>
      <c r="C1354" s="52" t="s">
        <v>55</v>
      </c>
      <c r="D1354" s="4" t="s">
        <v>112</v>
      </c>
      <c r="E1354" s="5" t="s">
        <v>1</v>
      </c>
      <c r="F1354" s="24">
        <v>45950</v>
      </c>
      <c r="G1354" s="7" t="s">
        <v>113</v>
      </c>
      <c r="H1354" s="25">
        <f t="shared" ref="H1354:H1371" si="334">IF(G1354="","",IF(G1354="LIM",2,1))</f>
        <v>1</v>
      </c>
      <c r="I1354" s="331">
        <v>5140</v>
      </c>
      <c r="J1354" s="8" t="s">
        <v>115</v>
      </c>
      <c r="K1354" s="9" t="s">
        <v>116</v>
      </c>
      <c r="L1354" s="10" t="s">
        <v>117</v>
      </c>
      <c r="M1354" s="11">
        <v>160</v>
      </c>
      <c r="N1354" s="12" t="s">
        <v>114</v>
      </c>
      <c r="O1354" s="6">
        <v>45952</v>
      </c>
      <c r="P1354" s="13">
        <v>3736</v>
      </c>
      <c r="Q1354" s="14" t="s">
        <v>85</v>
      </c>
      <c r="R1354" s="56">
        <f>DATA[[#This Row],[cantidad_fs]]*1</f>
        <v>160</v>
      </c>
      <c r="S1354" s="56">
        <v>270</v>
      </c>
      <c r="T1354" s="321">
        <f>DATA[[#This Row],[C. DF]]+DATA[[#This Row],[C.OPE.]]</f>
        <v>430</v>
      </c>
      <c r="U1354" s="15">
        <f>DATA[[#This Row],[SUB TOTAL]]*0.18</f>
        <v>77.399999999999991</v>
      </c>
      <c r="V1354" s="15">
        <f>IFERROR(ROUND(DATA[[#This Row],[SUB TOTAL]]+DATA[[#This Row],[IGV]],2),0)</f>
        <v>507.4</v>
      </c>
      <c r="W1354" s="339" t="str">
        <f>IF(DATA[[#This Row],[VALORIZACIÓN ]]="-","NO CORRESPONDE",IF(OR(A1354=20558226979,A1354=10470707866,A1354=20111157058,A1354=20100226902),"NO CORRESPONDE",IF(J1354="Emitida",IF(P1354&gt;0,"EMITIDA","PENDIENTE"),"NO CORRESPONDE")))</f>
        <v>EMITIDA</v>
      </c>
      <c r="X1354" s="29"/>
      <c r="Y1354" s="17" t="s">
        <v>118</v>
      </c>
      <c r="Z1354" s="30">
        <v>45967</v>
      </c>
      <c r="AA1354" s="10" t="s">
        <v>150</v>
      </c>
      <c r="AB1354" s="19">
        <v>340</v>
      </c>
      <c r="AC1354" s="20">
        <v>15</v>
      </c>
      <c r="AD1354" s="18">
        <f>DATA[[#This Row],[FECHA DE EMISION]]+DATA[[#This Row],[CONDICION DE PAGO]]</f>
        <v>45982</v>
      </c>
      <c r="AE1354" s="23">
        <f>IF(DATA[[#This Row],[MONEDA]]="USD",VLOOKUP(DATA[[#This Row],[COMBINADA]],#REF!,11,0),1)</f>
        <v>1</v>
      </c>
      <c r="AF1354" s="129" t="str">
        <f>IF(DATA[[#This Row],[SERIE2]]="-","NO CORRESPONDE",IF(W1354="NO CORRESPONDE","NO CORRESPONDE",IF(Z1354&gt;0,"FACTURADO","PENDIENTE")))</f>
        <v>FACTURADO</v>
      </c>
      <c r="AG1354" s="133">
        <f>IFERROR(VLOOKUP(DATA[[#This Row],[COMBINADA]],#REF!,6,0),0)</f>
        <v>0</v>
      </c>
      <c r="AH1354" s="125">
        <f>IFERROR(VLOOKUP(DATA[[#This Row],[COMBINADA]],#REF!,9,0),0)/COUNTIFS(DATA[COMBINADA],DATA[[#This Row],[COMBINADA]])</f>
        <v>0</v>
      </c>
      <c r="AI1354" s="136">
        <f>IFERROR(VLOOKUP(DATA[[#This Row],[COMBINADA]],#REF!,6,0),0)</f>
        <v>0</v>
      </c>
      <c r="AJ1354" s="132">
        <f>IFERROR(VLOOKUP(DATA[[#This Row],[COMBINADA]],#REF!,9,0),0)/COUNTIFS(DATA[COMBINADA],DATA[[#This Row],[COMBINADA]])</f>
        <v>0</v>
      </c>
      <c r="AK1354" s="407">
        <f>IFERROR(VLOOKUP(DATA[[#This Row],[COMBINADA]],#REF!,6,0),0)</f>
        <v>0</v>
      </c>
      <c r="AL1354" s="125">
        <f>IFERROR(VLOOKUP(DATA[[#This Row],[COMBINADA]],#REF!,9,0),0)/COUNTIFS(DATA[COMBINADA],DATA[[#This Row],[COMBINADA]])</f>
        <v>0</v>
      </c>
      <c r="AM1354" s="27">
        <f>IFERROR(VLOOKUP(DATA[[#This Row],[COMBINADA]],#REF!,6,0),0)</f>
        <v>0</v>
      </c>
      <c r="AN1354" s="125">
        <f>IFERROR(VLOOKUP(DATA[[#This Row],[COMBINADA]],#REF!,9,0),0)/COUNTIFS(DATA[COMBINADA],DATA[[#This Row],[COMBINADA]])</f>
        <v>0</v>
      </c>
      <c r="AO1354" s="27">
        <f>IFERROR(VLOOKUP(DATA[[#This Row],[COMBINADA]],#REF!,6,0),0)</f>
        <v>0</v>
      </c>
      <c r="AP1354" s="132">
        <f>IFERROR(VLOOKUP(DATA[[#This Row],[COMBINADA]],#REF!,9,0),0)/COUNTIFS(DATA[COMBINADA],DATA[[#This Row],[COMBINADA]])</f>
        <v>0</v>
      </c>
      <c r="AQ135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472</v>
      </c>
      <c r="AR1354" s="26" t="str">
        <f>IFERROR(IF(DATA[[#This Row],[estado_fact]]="FACTURADO",VLOOKUP(DATA[[#This Row],[SERIE2]]&amp;"-"&amp;DATA[[#This Row],[NUMERO]],#REF!,34,0),"NO CORRESPONDE"),"NO CORRESPONDE")</f>
        <v>NO CORRESPONDE</v>
      </c>
      <c r="AS1354" s="22" t="str">
        <f>IF(DATA[[#This Row],[fecha_fs]]&gt;0,TEXT(DATA[[#This Row],[fecha_fs]],"Mmmm"),0)</f>
        <v>Octubre</v>
      </c>
      <c r="AT1354" s="22" t="str">
        <f>DATA[[#This Row],[SERIE2]]&amp;"-"&amp;DATA[[#This Row],[NUMERO]]</f>
        <v>FF01-340</v>
      </c>
      <c r="AU1354" s="28">
        <f>DATA[[#This Row],[TOTAL]]*DATA[[#This Row],[T.C.]]</f>
        <v>507.4</v>
      </c>
      <c r="AV1354" s="6">
        <f>DATA[[#This Row],[FECHA DE VAL.]]</f>
        <v>45952</v>
      </c>
      <c r="AW1354" s="6">
        <f>DATA[[#This Row],[FECHA DE EMISION]]</f>
        <v>45967</v>
      </c>
      <c r="AX1354" s="6">
        <f>DATA[[#This Row],[F1]]</f>
        <v>0</v>
      </c>
      <c r="AY1354" s="20">
        <f>IF(AV1354-DATA[[#This Row],[fecha_fs]]&lt;0,0,AV1354-DATA[[#This Row],[fecha_fs]])</f>
        <v>2</v>
      </c>
      <c r="AZ1354" s="20">
        <f t="shared" ref="AZ1354:AZ1371" si="335">IF(AW1354-AV1354&lt;0,0,AW1354-AV1354)</f>
        <v>15</v>
      </c>
      <c r="BA1354" s="53">
        <f t="shared" ref="BA1354:BA1371" si="336">IF(AX1354-AW1354&lt;0,0,AX1354-AW1354)</f>
        <v>0</v>
      </c>
      <c r="BB1354" s="360">
        <f>IFERROR(SUM(DATA[[#This Row],[fs_val_ttf]:[fact_pago_ttf]]),0)</f>
        <v>17</v>
      </c>
      <c r="BC1354" s="377">
        <v>45960</v>
      </c>
      <c r="BD1354" s="377">
        <v>45967</v>
      </c>
      <c r="BE1354" s="377">
        <v>45967</v>
      </c>
      <c r="BF1354" s="377">
        <v>45968</v>
      </c>
      <c r="BG1354" s="20">
        <f>IFERROR(IF(BC1354-DATA[[#This Row],[fecha_fs]]&lt;0,0,BC1354-DATA[[#This Row],[fecha_fs]]),0)</f>
        <v>10</v>
      </c>
      <c r="BH1354" s="20">
        <f t="shared" ref="BH1354:BH1356" si="337">IFERROR(IF(BD1354-BC1354&lt;0,0,BD1354-BC1354),0)</f>
        <v>7</v>
      </c>
      <c r="BI1354" s="20">
        <f t="shared" ref="BI1354:BI1356" si="338">IFERROR(IF(BE1354-BD1354&lt;0,0,BE1354-BD1354),0)</f>
        <v>0</v>
      </c>
      <c r="BJ1354" s="367">
        <f t="shared" ref="BJ1354:BJ1356" si="339">IFERROR(IF(BF1354-BE1354&lt;0,0,BF1354-BE1354),0)</f>
        <v>1</v>
      </c>
      <c r="BK1354" s="362">
        <f>IFERROR(SUM(DATA[[#This Row],[fs_fd_ttd]:[fend_fenf_ttd]]),0)</f>
        <v>18</v>
      </c>
      <c r="BL1354" s="20" t="str">
        <f>IF(DATA[[#This Row],[fecha_fs]]&gt;0,TEXT(DATA[[#This Row],[fecha_fs]],"YYYY"),0)</f>
        <v>2025</v>
      </c>
      <c r="BM1354" s="363" t="b">
        <v>1</v>
      </c>
      <c r="BN1354" s="278">
        <f>COUNTIF(DATA[[#This Row],[tiempo_td]], "&lt;=15")</f>
        <v>0</v>
      </c>
      <c r="BO1354" s="365"/>
    </row>
    <row r="1355" spans="1:67" ht="30.6" customHeight="1" x14ac:dyDescent="0.25">
      <c r="A1355" s="4">
        <v>20456012427</v>
      </c>
      <c r="B1355" s="5" t="s">
        <v>54</v>
      </c>
      <c r="C1355" s="52" t="s">
        <v>177</v>
      </c>
      <c r="D1355" s="4" t="s">
        <v>112</v>
      </c>
      <c r="E1355" s="5" t="s">
        <v>1</v>
      </c>
      <c r="F1355" s="24">
        <v>45950</v>
      </c>
      <c r="G1355" s="7" t="s">
        <v>113</v>
      </c>
      <c r="H1355" s="25">
        <f t="shared" si="334"/>
        <v>1</v>
      </c>
      <c r="I1355" s="331">
        <v>5141</v>
      </c>
      <c r="J1355" s="8" t="s">
        <v>115</v>
      </c>
      <c r="K1355" s="9" t="s">
        <v>116</v>
      </c>
      <c r="L1355" s="10" t="s">
        <v>117</v>
      </c>
      <c r="M1355" s="11">
        <v>100</v>
      </c>
      <c r="N1355" s="12" t="s">
        <v>114</v>
      </c>
      <c r="O1355" s="6">
        <v>45952</v>
      </c>
      <c r="P1355" s="13">
        <v>3736</v>
      </c>
      <c r="Q1355" s="14" t="s">
        <v>85</v>
      </c>
      <c r="R1355" s="56">
        <f>DATA[[#This Row],[cantidad_fs]]*1</f>
        <v>100</v>
      </c>
      <c r="S1355" s="56">
        <v>270</v>
      </c>
      <c r="T1355" s="321">
        <f>DATA[[#This Row],[C. DF]]+DATA[[#This Row],[C.OPE.]]</f>
        <v>370</v>
      </c>
      <c r="U1355" s="15">
        <f>DATA[[#This Row],[SUB TOTAL]]*0.18</f>
        <v>66.599999999999994</v>
      </c>
      <c r="V1355" s="15">
        <f>IFERROR(ROUND(DATA[[#This Row],[SUB TOTAL]]+DATA[[#This Row],[IGV]],2),0)</f>
        <v>436.6</v>
      </c>
      <c r="W1355" s="339" t="str">
        <f>IF(DATA[[#This Row],[VALORIZACIÓN ]]="-","NO CORRESPONDE",IF(OR(A1355=20558226979,A1355=10470707866,A1355=20111157058,A1355=20100226902),"NO CORRESPONDE",IF(J1355="Emitida",IF(P1355&gt;0,"EMITIDA","PENDIENTE"),"NO CORRESPONDE")))</f>
        <v>EMITIDA</v>
      </c>
      <c r="X1355" s="29"/>
      <c r="Y1355" s="17" t="s">
        <v>118</v>
      </c>
      <c r="Z1355" s="30">
        <v>45967</v>
      </c>
      <c r="AA1355" s="10" t="s">
        <v>150</v>
      </c>
      <c r="AB1355" s="19">
        <v>340</v>
      </c>
      <c r="AC1355" s="20">
        <v>15</v>
      </c>
      <c r="AD1355" s="18">
        <f>DATA[[#This Row],[FECHA DE EMISION]]+DATA[[#This Row],[CONDICION DE PAGO]]</f>
        <v>45982</v>
      </c>
      <c r="AE1355" s="23">
        <f>IF(DATA[[#This Row],[MONEDA]]="USD",VLOOKUP(DATA[[#This Row],[COMBINADA]],#REF!,11,0),1)</f>
        <v>1</v>
      </c>
      <c r="AF1355" s="129" t="str">
        <f>IF(DATA[[#This Row],[SERIE2]]="-","NO CORRESPONDE",IF(W1355="NO CORRESPONDE","NO CORRESPONDE",IF(Z1355&gt;0,"FACTURADO","PENDIENTE")))</f>
        <v>FACTURADO</v>
      </c>
      <c r="AG1355" s="133">
        <f>IFERROR(VLOOKUP(DATA[[#This Row],[COMBINADA]],#REF!,6,0),0)</f>
        <v>0</v>
      </c>
      <c r="AH1355" s="125">
        <f>IFERROR(VLOOKUP(DATA[[#This Row],[COMBINADA]],#REF!,9,0),0)/COUNTIFS(DATA[COMBINADA],DATA[[#This Row],[COMBINADA]])</f>
        <v>0</v>
      </c>
      <c r="AI1355" s="136">
        <f>IFERROR(VLOOKUP(DATA[[#This Row],[COMBINADA]],#REF!,6,0),0)</f>
        <v>0</v>
      </c>
      <c r="AJ1355" s="132">
        <f>IFERROR(VLOOKUP(DATA[[#This Row],[COMBINADA]],#REF!,9,0),0)/COUNTIFS(DATA[COMBINADA],DATA[[#This Row],[COMBINADA]])</f>
        <v>0</v>
      </c>
      <c r="AK1355" s="407">
        <f>IFERROR(VLOOKUP(DATA[[#This Row],[COMBINADA]],#REF!,6,0),0)</f>
        <v>0</v>
      </c>
      <c r="AL1355" s="125">
        <f>IFERROR(VLOOKUP(DATA[[#This Row],[COMBINADA]],#REF!,9,0),0)/COUNTIFS(DATA[COMBINADA],DATA[[#This Row],[COMBINADA]])</f>
        <v>0</v>
      </c>
      <c r="AM1355" s="27">
        <f>IFERROR(VLOOKUP(DATA[[#This Row],[COMBINADA]],#REF!,6,0),0)</f>
        <v>0</v>
      </c>
      <c r="AN1355" s="125">
        <f>IFERROR(VLOOKUP(DATA[[#This Row],[COMBINADA]],#REF!,9,0),0)/COUNTIFS(DATA[COMBINADA],DATA[[#This Row],[COMBINADA]])</f>
        <v>0</v>
      </c>
      <c r="AO1355" s="27">
        <f>IFERROR(VLOOKUP(DATA[[#This Row],[COMBINADA]],#REF!,6,0),0)</f>
        <v>0</v>
      </c>
      <c r="AP1355" s="132">
        <f>IFERROR(VLOOKUP(DATA[[#This Row],[COMBINADA]],#REF!,9,0),0)/COUNTIFS(DATA[COMBINADA],DATA[[#This Row],[COMBINADA]])</f>
        <v>0</v>
      </c>
      <c r="AQ135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472</v>
      </c>
      <c r="AR1355" s="26" t="str">
        <f>IFERROR(IF(DATA[[#This Row],[estado_fact]]="FACTURADO",VLOOKUP(DATA[[#This Row],[SERIE2]]&amp;"-"&amp;DATA[[#This Row],[NUMERO]],#REF!,34,0),"NO CORRESPONDE"),"NO CORRESPONDE")</f>
        <v>NO CORRESPONDE</v>
      </c>
      <c r="AS1355" s="22" t="str">
        <f>IF(DATA[[#This Row],[fecha_fs]]&gt;0,TEXT(DATA[[#This Row],[fecha_fs]],"Mmmm"),0)</f>
        <v>Octubre</v>
      </c>
      <c r="AT1355" s="22" t="str">
        <f>DATA[[#This Row],[SERIE2]]&amp;"-"&amp;DATA[[#This Row],[NUMERO]]</f>
        <v>FF01-340</v>
      </c>
      <c r="AU1355" s="28">
        <f>DATA[[#This Row],[TOTAL]]*DATA[[#This Row],[T.C.]]</f>
        <v>436.6</v>
      </c>
      <c r="AV1355" s="6">
        <f>DATA[[#This Row],[FECHA DE VAL.]]</f>
        <v>45952</v>
      </c>
      <c r="AW1355" s="6">
        <f>DATA[[#This Row],[FECHA DE EMISION]]</f>
        <v>45967</v>
      </c>
      <c r="AX1355" s="6">
        <f>DATA[[#This Row],[F1]]</f>
        <v>0</v>
      </c>
      <c r="AY1355" s="20">
        <f>IF(AV1355-DATA[[#This Row],[fecha_fs]]&lt;0,0,AV1355-DATA[[#This Row],[fecha_fs]])</f>
        <v>2</v>
      </c>
      <c r="AZ1355" s="20">
        <f t="shared" si="335"/>
        <v>15</v>
      </c>
      <c r="BA1355" s="53">
        <f t="shared" si="336"/>
        <v>0</v>
      </c>
      <c r="BB1355" s="360">
        <f>IFERROR(SUM(DATA[[#This Row],[fs_val_ttf]:[fact_pago_ttf]]),0)</f>
        <v>17</v>
      </c>
      <c r="BC1355" s="377">
        <v>45960</v>
      </c>
      <c r="BD1355" s="377">
        <v>45967</v>
      </c>
      <c r="BE1355" s="377">
        <v>45967</v>
      </c>
      <c r="BF1355" s="377">
        <v>45968</v>
      </c>
      <c r="BG1355" s="20">
        <f>IFERROR(IF(BC1355-DATA[[#This Row],[fecha_fs]]&lt;0,0,BC1355-DATA[[#This Row],[fecha_fs]]),0)</f>
        <v>10</v>
      </c>
      <c r="BH1355" s="20">
        <f t="shared" si="337"/>
        <v>7</v>
      </c>
      <c r="BI1355" s="20">
        <f t="shared" si="338"/>
        <v>0</v>
      </c>
      <c r="BJ1355" s="367">
        <f t="shared" si="339"/>
        <v>1</v>
      </c>
      <c r="BK1355" s="362">
        <f>IFERROR(SUM(DATA[[#This Row],[fs_fd_ttd]:[fend_fenf_ttd]]),0)</f>
        <v>18</v>
      </c>
      <c r="BL1355" s="171" t="str">
        <f>IF(DATA[[#This Row],[fecha_fs]]&gt;0,TEXT(DATA[[#This Row],[fecha_fs]],"YYYY"),0)</f>
        <v>2025</v>
      </c>
      <c r="BM1355" s="363" t="b">
        <v>1</v>
      </c>
      <c r="BN1355" s="278">
        <f>COUNTIF(DATA[[#This Row],[tiempo_td]], "&lt;=15")</f>
        <v>0</v>
      </c>
      <c r="BO1355" s="365"/>
    </row>
    <row r="1356" spans="1:67" ht="30.6" customHeight="1" x14ac:dyDescent="0.25">
      <c r="A1356" s="4">
        <v>20100192064</v>
      </c>
      <c r="B1356" s="5" t="s">
        <v>60</v>
      </c>
      <c r="C1356" s="52" t="s">
        <v>66</v>
      </c>
      <c r="D1356" s="4" t="s">
        <v>120</v>
      </c>
      <c r="E1356" s="5" t="s">
        <v>3</v>
      </c>
      <c r="F1356" s="24">
        <v>45950</v>
      </c>
      <c r="G1356" s="7" t="s">
        <v>142</v>
      </c>
      <c r="H1356" s="25">
        <f t="shared" ref="H1356:H1357" si="340">IF(G1356="","",IF(G1356="LIM",2,1))</f>
        <v>2</v>
      </c>
      <c r="I1356" s="67">
        <v>1153</v>
      </c>
      <c r="J1356" s="8" t="s">
        <v>115</v>
      </c>
      <c r="K1356" s="333" t="s">
        <v>169</v>
      </c>
      <c r="L1356" s="10" t="s">
        <v>117</v>
      </c>
      <c r="M1356" s="11">
        <v>900</v>
      </c>
      <c r="N1356" s="12" t="s">
        <v>180</v>
      </c>
      <c r="O1356" s="6">
        <v>45959</v>
      </c>
      <c r="P1356" s="71">
        <v>3768</v>
      </c>
      <c r="Q1356" s="14" t="s">
        <v>123</v>
      </c>
      <c r="R1356" s="74"/>
      <c r="S1356" s="321">
        <f>227</f>
        <v>227</v>
      </c>
      <c r="T1356" s="15">
        <f>DATA[[#This Row],[C. DF]]+DATA[[#This Row],[C.OPE.]]</f>
        <v>227</v>
      </c>
      <c r="U1356" s="15">
        <f>DATA[[#This Row],[SUB TOTAL]]*0.18</f>
        <v>40.86</v>
      </c>
      <c r="V1356" s="15">
        <f>IFERROR(ROUND(DATA[[#This Row],[SUB TOTAL]]+DATA[[#This Row],[IGV]],2),0)</f>
        <v>267.86</v>
      </c>
      <c r="W1356" s="16" t="str">
        <f>IF(DATA[[#This Row],[VALORIZACIÓN ]]="-","NO CORRESPONDE",IF(OR(A1356=20558226979,A1356=10470707866,A1356=20111157058,A1356=20100226902),"NO CORRESPONDE",IF(J1356="Emitida",IF(P1356&gt;0,"EMITIDA","PENDIENTE"),"NO CORRESPONDE")))</f>
        <v>EMITIDA</v>
      </c>
      <c r="X1356" s="29" t="s">
        <v>374</v>
      </c>
      <c r="Y1356" s="17" t="s">
        <v>118</v>
      </c>
      <c r="Z1356" s="30">
        <v>45961</v>
      </c>
      <c r="AA1356" s="10" t="s">
        <v>150</v>
      </c>
      <c r="AB1356" s="19">
        <v>315</v>
      </c>
      <c r="AC1356" s="20">
        <v>30</v>
      </c>
      <c r="AD1356" s="18">
        <f>DATA[[#This Row],[FECHA DE EMISION]]+DATA[[#This Row],[CONDICION DE PAGO]]</f>
        <v>45991</v>
      </c>
      <c r="AE1356" s="23" t="e">
        <f>IF(DATA[[#This Row],[MONEDA]]="USD",VLOOKUP(DATA[[#This Row],[COMBINADA]],#REF!,11,0),1)</f>
        <v>#REF!</v>
      </c>
      <c r="AF1356" s="129" t="str">
        <f>IF(DATA[[#This Row],[SERIE2]]="-","NO CORRESPONDE",IF(W1356="NO CORRESPONDE","NO CORRESPONDE",IF(Z1356&gt;0,"FACTURADO","PENDIENTE")))</f>
        <v>FACTURADO</v>
      </c>
      <c r="AG1356" s="133">
        <f>IFERROR(VLOOKUP(DATA[[#This Row],[COMBINADA]],#REF!,6,0),0)</f>
        <v>0</v>
      </c>
      <c r="AH1356" s="125">
        <f>IFERROR(VLOOKUP(DATA[[#This Row],[COMBINADA]],#REF!,9,0),0)/COUNTIFS(DATA[COMBINADA],DATA[[#This Row],[COMBINADA]])</f>
        <v>0</v>
      </c>
      <c r="AI1356" s="136">
        <f>IFERROR(VLOOKUP(DATA[[#This Row],[COMBINADA]],#REF!,6,0),0)</f>
        <v>0</v>
      </c>
      <c r="AJ1356" s="132">
        <f>IFERROR(VLOOKUP(DATA[[#This Row],[COMBINADA]],#REF!,9,0),0)/COUNTIFS(DATA[COMBINADA],DATA[[#This Row],[COMBINADA]])</f>
        <v>0</v>
      </c>
      <c r="AK1356" s="407">
        <f>IFERROR(VLOOKUP(DATA[[#This Row],[COMBINADA]],#REF!,6,0),0)</f>
        <v>0</v>
      </c>
      <c r="AL1356" s="125">
        <f>IFERROR(VLOOKUP(DATA[[#This Row],[COMBINADA]],#REF!,9,0),0)/COUNTIFS(DATA[COMBINADA],DATA[[#This Row],[COMBINADA]])</f>
        <v>0</v>
      </c>
      <c r="AM1356" s="27">
        <f>IFERROR(VLOOKUP(DATA[[#This Row],[COMBINADA]],#REF!,6,0),0)</f>
        <v>0</v>
      </c>
      <c r="AN1356" s="125">
        <f>IFERROR(VLOOKUP(DATA[[#This Row],[COMBINADA]],#REF!,9,0),0)/COUNTIFS(DATA[COMBINADA],DATA[[#This Row],[COMBINADA]])</f>
        <v>0</v>
      </c>
      <c r="AO1356" s="27">
        <f>IFERROR(VLOOKUP(DATA[[#This Row],[COMBINADA]],#REF!,6,0),0)</f>
        <v>0</v>
      </c>
      <c r="AP1356" s="132">
        <f>IFERROR(VLOOKUP(DATA[[#This Row],[COMBINADA]],#REF!,9,0),0)/COUNTIFS(DATA[COMBINADA],DATA[[#This Row],[COMBINADA]])</f>
        <v>0</v>
      </c>
      <c r="AQ135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425.40500000000003</v>
      </c>
      <c r="AR1356" s="26" t="str">
        <f>IFERROR(IF(DATA[[#This Row],[estado_fact]]="FACTURADO",VLOOKUP(DATA[[#This Row],[SERIE2]]&amp;"-"&amp;DATA[[#This Row],[NUMERO]],#REF!,34,0),"NO CORRESPONDE"),"NO CORRESPONDE")</f>
        <v>NO CORRESPONDE</v>
      </c>
      <c r="AS1356" s="22" t="str">
        <f>IF(DATA[[#This Row],[fecha_fs]]&gt;0,TEXT(DATA[[#This Row],[fecha_fs]],"Mmmm"),0)</f>
        <v>Octubre</v>
      </c>
      <c r="AT1356" s="22" t="str">
        <f>DATA[[#This Row],[SERIE2]]&amp;"-"&amp;DATA[[#This Row],[NUMERO]]</f>
        <v>FF01-315</v>
      </c>
      <c r="AU1356" s="28" t="e">
        <f>DATA[[#This Row],[TOTAL]]*DATA[[#This Row],[T.C.]]</f>
        <v>#REF!</v>
      </c>
      <c r="AV1356" s="6">
        <f>DATA[[#This Row],[FECHA DE VAL.]]</f>
        <v>45959</v>
      </c>
      <c r="AW1356" s="6">
        <f>DATA[[#This Row],[FECHA DE EMISION]]</f>
        <v>45961</v>
      </c>
      <c r="AX1356" s="6">
        <f>DATA[[#This Row],[F1]]</f>
        <v>0</v>
      </c>
      <c r="AY1356" s="20">
        <f>IF(AV1356-DATA[[#This Row],[fecha_fs]]&lt;0,0,AV1356-DATA[[#This Row],[fecha_fs]])</f>
        <v>9</v>
      </c>
      <c r="AZ1356" s="20">
        <f t="shared" ref="AZ1356:AZ1357" si="341">IF(AW1356-AV1356&lt;0,0,AW1356-AV1356)</f>
        <v>2</v>
      </c>
      <c r="BA1356" s="53">
        <f t="shared" ref="BA1356:BA1357" si="342">IF(AX1356-AW1356&lt;0,0,AX1356-AW1356)</f>
        <v>0</v>
      </c>
      <c r="BB1356" s="360">
        <f>IFERROR(SUM(DATA[[#This Row],[fs_val_ttf]:[fact_pago_ttf]]),0)</f>
        <v>11</v>
      </c>
      <c r="BC1356" s="378">
        <v>45950</v>
      </c>
      <c r="BD1356" s="185">
        <v>45950</v>
      </c>
      <c r="BE1356" s="185">
        <v>45967</v>
      </c>
      <c r="BF1356" s="185" t="s">
        <v>270</v>
      </c>
      <c r="BG1356" s="20">
        <f>IFERROR(IF(BC1356-DATA[[#This Row],[fecha_fs]]&lt;0,0,BC1356-DATA[[#This Row],[fecha_fs]]),0)</f>
        <v>0</v>
      </c>
      <c r="BH1356" s="20">
        <f t="shared" si="337"/>
        <v>0</v>
      </c>
      <c r="BI1356" s="20">
        <f t="shared" si="338"/>
        <v>17</v>
      </c>
      <c r="BJ1356" s="53">
        <f t="shared" si="339"/>
        <v>0</v>
      </c>
      <c r="BK1356" s="376">
        <f>IFERROR(SUM(DATA[[#This Row],[fs_fd_ttd]:[fend_fenf_ttd]]),0)</f>
        <v>17</v>
      </c>
      <c r="BL1356" s="20" t="str">
        <f>IF(DATA[[#This Row],[fecha_fs]]&gt;0,TEXT(DATA[[#This Row],[fecha_fs]],"YYYY"),0)</f>
        <v>2025</v>
      </c>
      <c r="BM1356" s="236" t="b">
        <v>0</v>
      </c>
      <c r="BN1356" s="278">
        <f>COUNTIF(DATA[[#This Row],[tiempo_td]], "&lt;=15")</f>
        <v>0</v>
      </c>
      <c r="BO1356" s="365"/>
    </row>
    <row r="1357" spans="1:67" ht="30.6" customHeight="1" x14ac:dyDescent="0.25">
      <c r="A1357" s="4">
        <v>20100192064</v>
      </c>
      <c r="B1357" s="5" t="s">
        <v>60</v>
      </c>
      <c r="C1357" s="52" t="s">
        <v>66</v>
      </c>
      <c r="D1357" s="4" t="s">
        <v>120</v>
      </c>
      <c r="E1357" s="5" t="s">
        <v>3</v>
      </c>
      <c r="F1357" s="24">
        <v>45951</v>
      </c>
      <c r="G1357" s="7" t="s">
        <v>142</v>
      </c>
      <c r="H1357" s="25">
        <f t="shared" si="340"/>
        <v>2</v>
      </c>
      <c r="I1357" s="67">
        <v>1154</v>
      </c>
      <c r="J1357" s="8" t="s">
        <v>115</v>
      </c>
      <c r="K1357" s="9" t="s">
        <v>121</v>
      </c>
      <c r="L1357" s="10" t="s">
        <v>117</v>
      </c>
      <c r="M1357" s="11">
        <v>1150</v>
      </c>
      <c r="N1357" s="12" t="s">
        <v>180</v>
      </c>
      <c r="O1357" s="6">
        <v>45959</v>
      </c>
      <c r="P1357" s="71">
        <v>3768</v>
      </c>
      <c r="Q1357" s="14" t="s">
        <v>123</v>
      </c>
      <c r="R1357" s="321">
        <f>(DATA[[#This Row],[cantidad_fs]]/1000)*37</f>
        <v>42.55</v>
      </c>
      <c r="S1357" s="321">
        <f>227</f>
        <v>227</v>
      </c>
      <c r="T1357" s="15">
        <f>DATA[[#This Row],[C. DF]]+DATA[[#This Row],[C.OPE.]]</f>
        <v>269.55</v>
      </c>
      <c r="U1357" s="15">
        <f>DATA[[#This Row],[SUB TOTAL]]*0.18</f>
        <v>48.518999999999998</v>
      </c>
      <c r="V1357" s="15">
        <f>IFERROR(ROUND(DATA[[#This Row],[SUB TOTAL]]+DATA[[#This Row],[IGV]],2),0)</f>
        <v>318.07</v>
      </c>
      <c r="W1357" s="16" t="str">
        <f>IF(DATA[[#This Row],[VALORIZACIÓN ]]="-","NO CORRESPONDE",IF(OR(A1357=20558226979,A1357=10470707866,A1357=20111157058,A1357=20100226902),"NO CORRESPONDE",IF(J1357="Emitida",IF(P1357&gt;0,"EMITIDA","PENDIENTE"),"NO CORRESPONDE")))</f>
        <v>EMITIDA</v>
      </c>
      <c r="X1357" s="29" t="s">
        <v>374</v>
      </c>
      <c r="Y1357" s="17" t="s">
        <v>118</v>
      </c>
      <c r="Z1357" s="30">
        <v>45961</v>
      </c>
      <c r="AA1357" s="10" t="s">
        <v>150</v>
      </c>
      <c r="AB1357" s="19">
        <v>315</v>
      </c>
      <c r="AC1357" s="20">
        <v>30</v>
      </c>
      <c r="AD1357" s="18">
        <f>DATA[[#This Row],[FECHA DE EMISION]]+DATA[[#This Row],[CONDICION DE PAGO]]</f>
        <v>45991</v>
      </c>
      <c r="AE1357" s="23" t="e">
        <f>IF(DATA[[#This Row],[MONEDA]]="USD",VLOOKUP(DATA[[#This Row],[COMBINADA]],#REF!,11,0),1)</f>
        <v>#REF!</v>
      </c>
      <c r="AF1357" s="129" t="str">
        <f>IF(DATA[[#This Row],[SERIE2]]="-","NO CORRESPONDE",IF(W1357="NO CORRESPONDE","NO CORRESPONDE",IF(Z1357&gt;0,"FACTURADO","PENDIENTE")))</f>
        <v>FACTURADO</v>
      </c>
      <c r="AG1357" s="133">
        <f>IFERROR(VLOOKUP(DATA[[#This Row],[COMBINADA]],#REF!,6,0),0)</f>
        <v>0</v>
      </c>
      <c r="AH1357" s="125">
        <f>IFERROR(VLOOKUP(DATA[[#This Row],[COMBINADA]],#REF!,9,0),0)/COUNTIFS(DATA[COMBINADA],DATA[[#This Row],[COMBINADA]])</f>
        <v>0</v>
      </c>
      <c r="AI1357" s="136">
        <f>IFERROR(VLOOKUP(DATA[[#This Row],[COMBINADA]],#REF!,6,0),0)</f>
        <v>0</v>
      </c>
      <c r="AJ1357" s="132">
        <f>IFERROR(VLOOKUP(DATA[[#This Row],[COMBINADA]],#REF!,9,0),0)/COUNTIFS(DATA[COMBINADA],DATA[[#This Row],[COMBINADA]])</f>
        <v>0</v>
      </c>
      <c r="AK1357" s="407">
        <f>IFERROR(VLOOKUP(DATA[[#This Row],[COMBINADA]],#REF!,6,0),0)</f>
        <v>0</v>
      </c>
      <c r="AL1357" s="125">
        <f>IFERROR(VLOOKUP(DATA[[#This Row],[COMBINADA]],#REF!,9,0),0)/COUNTIFS(DATA[COMBINADA],DATA[[#This Row],[COMBINADA]])</f>
        <v>0</v>
      </c>
      <c r="AM1357" s="27">
        <f>IFERROR(VLOOKUP(DATA[[#This Row],[COMBINADA]],#REF!,6,0),0)</f>
        <v>0</v>
      </c>
      <c r="AN1357" s="125">
        <f>IFERROR(VLOOKUP(DATA[[#This Row],[COMBINADA]],#REF!,9,0),0)/COUNTIFS(DATA[COMBINADA],DATA[[#This Row],[COMBINADA]])</f>
        <v>0</v>
      </c>
      <c r="AO1357" s="27">
        <f>IFERROR(VLOOKUP(DATA[[#This Row],[COMBINADA]],#REF!,6,0),0)</f>
        <v>0</v>
      </c>
      <c r="AP1357" s="132">
        <f>IFERROR(VLOOKUP(DATA[[#This Row],[COMBINADA]],#REF!,9,0),0)/COUNTIFS(DATA[COMBINADA],DATA[[#This Row],[COMBINADA]])</f>
        <v>0</v>
      </c>
      <c r="AQ135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425.40500000000003</v>
      </c>
      <c r="AR1357" s="26" t="str">
        <f>IFERROR(IF(DATA[[#This Row],[estado_fact]]="FACTURADO",VLOOKUP(DATA[[#This Row],[SERIE2]]&amp;"-"&amp;DATA[[#This Row],[NUMERO]],#REF!,34,0),"NO CORRESPONDE"),"NO CORRESPONDE")</f>
        <v>NO CORRESPONDE</v>
      </c>
      <c r="AS1357" s="22" t="str">
        <f>IF(DATA[[#This Row],[fecha_fs]]&gt;0,TEXT(DATA[[#This Row],[fecha_fs]],"Mmmm"),0)</f>
        <v>Octubre</v>
      </c>
      <c r="AT1357" s="22" t="str">
        <f>DATA[[#This Row],[SERIE2]]&amp;"-"&amp;DATA[[#This Row],[NUMERO]]</f>
        <v>FF01-315</v>
      </c>
      <c r="AU1357" s="28" t="e">
        <f>DATA[[#This Row],[TOTAL]]*DATA[[#This Row],[T.C.]]</f>
        <v>#REF!</v>
      </c>
      <c r="AV1357" s="6">
        <f>DATA[[#This Row],[FECHA DE VAL.]]</f>
        <v>45959</v>
      </c>
      <c r="AW1357" s="6">
        <f>DATA[[#This Row],[FECHA DE EMISION]]</f>
        <v>45961</v>
      </c>
      <c r="AX1357" s="6">
        <f>DATA[[#This Row],[F1]]</f>
        <v>0</v>
      </c>
      <c r="AY1357" s="20">
        <f>IF(AV1357-DATA[[#This Row],[fecha_fs]]&lt;0,0,AV1357-DATA[[#This Row],[fecha_fs]])</f>
        <v>8</v>
      </c>
      <c r="AZ1357" s="20">
        <f t="shared" si="341"/>
        <v>2</v>
      </c>
      <c r="BA1357" s="53">
        <f t="shared" si="342"/>
        <v>0</v>
      </c>
      <c r="BB1357" s="360">
        <f>IFERROR(SUM(DATA[[#This Row],[fs_val_ttf]:[fact_pago_ttf]]),0)</f>
        <v>10</v>
      </c>
      <c r="BC1357" s="378">
        <v>45951</v>
      </c>
      <c r="BD1357" s="377">
        <v>45967</v>
      </c>
      <c r="BE1357" s="185">
        <v>45967</v>
      </c>
      <c r="BF1357" s="185" t="s">
        <v>270</v>
      </c>
      <c r="BG1357" s="20">
        <f>IFERROR(IF(BC1357-DATA[[#This Row],[fecha_fs]]&lt;0,0,BC1357-DATA[[#This Row],[fecha_fs]]),0)</f>
        <v>0</v>
      </c>
      <c r="BH1357" s="20">
        <f t="shared" ref="BH1357" si="343">IFERROR(IF(BD1357-BC1357&lt;0,0,BD1357-BC1357),0)</f>
        <v>16</v>
      </c>
      <c r="BI1357" s="20">
        <f t="shared" ref="BI1357" si="344">IFERROR(IF(BE1357-BD1357&lt;0,0,BE1357-BD1357),0)</f>
        <v>0</v>
      </c>
      <c r="BJ1357" s="53">
        <f t="shared" ref="BJ1357" si="345">IFERROR(IF(BF1357-BE1357&lt;0,0,BF1357-BE1357),0)</f>
        <v>0</v>
      </c>
      <c r="BK1357" s="376">
        <f>IFERROR(SUM(DATA[[#This Row],[fs_fd_ttd]:[fend_fenf_ttd]]),0)</f>
        <v>16</v>
      </c>
      <c r="BL1357" s="20" t="str">
        <f>IF(DATA[[#This Row],[fecha_fs]]&gt;0,TEXT(DATA[[#This Row],[fecha_fs]],"YYYY"),0)</f>
        <v>2025</v>
      </c>
      <c r="BM1357" s="236" t="b">
        <v>0</v>
      </c>
      <c r="BN1357" s="278">
        <f>COUNTIF(DATA[[#This Row],[tiempo_td]], "&lt;=15")</f>
        <v>0</v>
      </c>
      <c r="BO1357" s="365"/>
    </row>
    <row r="1358" spans="1:67" ht="30.6" customHeight="1" x14ac:dyDescent="0.25">
      <c r="A1358" s="4">
        <v>20100172543</v>
      </c>
      <c r="B1358" s="5" t="s">
        <v>67</v>
      </c>
      <c r="C1358" s="52" t="s">
        <v>18</v>
      </c>
      <c r="D1358" s="4" t="s">
        <v>112</v>
      </c>
      <c r="E1358" s="5" t="s">
        <v>1</v>
      </c>
      <c r="F1358" s="24">
        <v>45951</v>
      </c>
      <c r="G1358" s="7" t="s">
        <v>113</v>
      </c>
      <c r="H1358" s="25">
        <f t="shared" si="334"/>
        <v>1</v>
      </c>
      <c r="I1358" s="331">
        <v>5142</v>
      </c>
      <c r="J1358" s="8" t="s">
        <v>115</v>
      </c>
      <c r="K1358" s="9" t="s">
        <v>116</v>
      </c>
      <c r="L1358" s="10" t="s">
        <v>117</v>
      </c>
      <c r="M1358" s="11">
        <v>320</v>
      </c>
      <c r="N1358" s="12" t="s">
        <v>167</v>
      </c>
      <c r="O1358" s="6">
        <v>45952</v>
      </c>
      <c r="P1358" s="13">
        <v>3734</v>
      </c>
      <c r="Q1358" s="14" t="s">
        <v>85</v>
      </c>
      <c r="R1358" s="15">
        <f>DATA[[#This Row],[cantidad_fs]]*0.42</f>
        <v>134.4</v>
      </c>
      <c r="S1358" s="15">
        <v>912.42</v>
      </c>
      <c r="T1358" s="321">
        <f>DATA[[#This Row],[C. DF]]+DATA[[#This Row],[C.OPE.]]</f>
        <v>1046.82</v>
      </c>
      <c r="U1358" s="15">
        <f>DATA[[#This Row],[SUB TOTAL]]*0.18</f>
        <v>188.42759999999998</v>
      </c>
      <c r="V1358" s="15">
        <f>IFERROR(ROUND(DATA[[#This Row],[SUB TOTAL]]+DATA[[#This Row],[IGV]],2),0)</f>
        <v>1235.25</v>
      </c>
      <c r="W1358" s="339" t="str">
        <f>IF(DATA[[#This Row],[VALORIZACIÓN ]]="-","NO CORRESPONDE",IF(OR(A1358=20558226979,A1358=10470707866,A1358=20111157058,A1358=20100226902),"NO CORRESPONDE",IF(J1358="Emitida",IF(P1358&gt;0,"EMITIDA","PENDIENTE"),"NO CORRESPONDE")))</f>
        <v>EMITIDA</v>
      </c>
      <c r="X1358" s="29"/>
      <c r="Y1358" s="17" t="s">
        <v>118</v>
      </c>
      <c r="Z1358" s="30">
        <v>45953</v>
      </c>
      <c r="AA1358" s="10" t="s">
        <v>150</v>
      </c>
      <c r="AB1358" s="19">
        <v>304</v>
      </c>
      <c r="AC1358" s="20">
        <v>30</v>
      </c>
      <c r="AD1358" s="18">
        <f>DATA[[#This Row],[FECHA DE EMISION]]+DATA[[#This Row],[CONDICION DE PAGO]]</f>
        <v>45983</v>
      </c>
      <c r="AE1358" s="23">
        <f>IF(DATA[[#This Row],[MONEDA]]="USD",VLOOKUP(DATA[[#This Row],[COMBINADA]],#REF!,11,0),1)</f>
        <v>1</v>
      </c>
      <c r="AF1358" s="129" t="str">
        <f>IF(DATA[[#This Row],[SERIE2]]="-","NO CORRESPONDE",IF(W1358="NO CORRESPONDE","NO CORRESPONDE",IF(Z1358&gt;0,"FACTURADO","PENDIENTE")))</f>
        <v>FACTURADO</v>
      </c>
      <c r="AG1358" s="133">
        <f>IFERROR(VLOOKUP(DATA[[#This Row],[COMBINADA]],#REF!,6,0),0)</f>
        <v>0</v>
      </c>
      <c r="AH1358" s="125">
        <f>IFERROR(VLOOKUP(DATA[[#This Row],[COMBINADA]],#REF!,9,0),0)/COUNTIFS(DATA[COMBINADA],DATA[[#This Row],[COMBINADA]])</f>
        <v>0</v>
      </c>
      <c r="AI1358" s="136">
        <f>IFERROR(VLOOKUP(DATA[[#This Row],[COMBINADA]],#REF!,6,0),0)</f>
        <v>0</v>
      </c>
      <c r="AJ1358" s="132">
        <f>IFERROR(VLOOKUP(DATA[[#This Row],[COMBINADA]],#REF!,9,0),0)/COUNTIFS(DATA[COMBINADA],DATA[[#This Row],[COMBINADA]])</f>
        <v>0</v>
      </c>
      <c r="AK1358" s="407">
        <f>IFERROR(VLOOKUP(DATA[[#This Row],[COMBINADA]],#REF!,6,0),0)</f>
        <v>0</v>
      </c>
      <c r="AL1358" s="125">
        <f>IFERROR(VLOOKUP(DATA[[#This Row],[COMBINADA]],#REF!,9,0),0)/COUNTIFS(DATA[COMBINADA],DATA[[#This Row],[COMBINADA]])</f>
        <v>0</v>
      </c>
      <c r="AM1358" s="27">
        <f>IFERROR(VLOOKUP(DATA[[#This Row],[COMBINADA]],#REF!,6,0),0)</f>
        <v>0</v>
      </c>
      <c r="AN1358" s="125">
        <f>IFERROR(VLOOKUP(DATA[[#This Row],[COMBINADA]],#REF!,9,0),0)/COUNTIFS(DATA[COMBINADA],DATA[[#This Row],[COMBINADA]])</f>
        <v>0</v>
      </c>
      <c r="AO1358" s="27">
        <f>IFERROR(VLOOKUP(DATA[[#This Row],[COMBINADA]],#REF!,6,0),0)</f>
        <v>0</v>
      </c>
      <c r="AP1358" s="132">
        <f>IFERROR(VLOOKUP(DATA[[#This Row],[COMBINADA]],#REF!,9,0),0)/COUNTIFS(DATA[COMBINADA],DATA[[#This Row],[COMBINADA]])</f>
        <v>0</v>
      </c>
      <c r="AQ135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1235.25</v>
      </c>
      <c r="AR1358" s="26" t="str">
        <f>IFERROR(IF(DATA[[#This Row],[estado_fact]]="FACTURADO",VLOOKUP(DATA[[#This Row],[SERIE2]]&amp;"-"&amp;DATA[[#This Row],[NUMERO]],#REF!,34,0),"NO CORRESPONDE"),"NO CORRESPONDE")</f>
        <v>NO CORRESPONDE</v>
      </c>
      <c r="AS1358" s="22" t="str">
        <f>IF(DATA[[#This Row],[fecha_fs]]&gt;0,TEXT(DATA[[#This Row],[fecha_fs]],"Mmmm"),0)</f>
        <v>Octubre</v>
      </c>
      <c r="AT1358" s="22" t="str">
        <f>DATA[[#This Row],[SERIE2]]&amp;"-"&amp;DATA[[#This Row],[NUMERO]]</f>
        <v>FF01-304</v>
      </c>
      <c r="AU1358" s="28">
        <f>DATA[[#This Row],[TOTAL]]*DATA[[#This Row],[T.C.]]</f>
        <v>1235.25</v>
      </c>
      <c r="AV1358" s="6">
        <f>DATA[[#This Row],[FECHA DE VAL.]]</f>
        <v>45952</v>
      </c>
      <c r="AW1358" s="6">
        <f>DATA[[#This Row],[FECHA DE EMISION]]</f>
        <v>45953</v>
      </c>
      <c r="AX1358" s="6">
        <f>DATA[[#This Row],[F1]]</f>
        <v>0</v>
      </c>
      <c r="AY1358" s="20">
        <f>IF(AV1358-DATA[[#This Row],[fecha_fs]]&lt;0,0,AV1358-DATA[[#This Row],[fecha_fs]])</f>
        <v>1</v>
      </c>
      <c r="AZ1358" s="20">
        <f t="shared" si="335"/>
        <v>1</v>
      </c>
      <c r="BA1358" s="53">
        <f t="shared" si="336"/>
        <v>0</v>
      </c>
      <c r="BB1358" s="360">
        <f>IFERROR(SUM(DATA[[#This Row],[fs_val_ttf]:[fact_pago_ttf]]),0)</f>
        <v>2</v>
      </c>
      <c r="BC1358" s="378">
        <v>45951</v>
      </c>
      <c r="BD1358" s="377">
        <v>45967</v>
      </c>
      <c r="BE1358" s="185">
        <v>45967</v>
      </c>
      <c r="BF1358" s="185" t="s">
        <v>270</v>
      </c>
      <c r="BG1358" s="20">
        <f>IFERROR(IF(BC1358-DATA[[#This Row],[fecha_fs]]&lt;0,0,BC1358-DATA[[#This Row],[fecha_fs]]),0)</f>
        <v>0</v>
      </c>
      <c r="BH1358" s="20">
        <f t="shared" ref="BH1358:BH1421" si="346">IFERROR(IF(BD1358-BC1358&lt;0,0,BD1358-BC1358),0)</f>
        <v>16</v>
      </c>
      <c r="BI1358" s="20">
        <f t="shared" ref="BI1358:BI1421" si="347">IFERROR(IF(BE1358-BD1358&lt;0,0,BE1358-BD1358),0)</f>
        <v>0</v>
      </c>
      <c r="BJ1358" s="53">
        <f t="shared" ref="BJ1358:BJ1421" si="348">IFERROR(IF(BF1358-BE1358&lt;0,0,BF1358-BE1358),0)</f>
        <v>0</v>
      </c>
      <c r="BK1358" s="376">
        <f>IFERROR(SUM(DATA[[#This Row],[fs_fd_ttd]:[fend_fenf_ttd]]),0)</f>
        <v>16</v>
      </c>
      <c r="BL1358" s="20" t="str">
        <f>IF(DATA[[#This Row],[fecha_fs]]&gt;0,TEXT(DATA[[#This Row],[fecha_fs]],"YYYY"),0)</f>
        <v>2025</v>
      </c>
      <c r="BM1358" s="236" t="b">
        <v>0</v>
      </c>
      <c r="BN1358" s="278">
        <f>COUNTIF(DATA[[#This Row],[tiempo_td]], "&lt;=15")</f>
        <v>0</v>
      </c>
      <c r="BO1358" s="365"/>
    </row>
    <row r="1359" spans="1:67" ht="30.6" customHeight="1" x14ac:dyDescent="0.25">
      <c r="A1359" s="4">
        <v>20552714378</v>
      </c>
      <c r="B1359" s="5" t="s">
        <v>288</v>
      </c>
      <c r="C1359" s="52" t="s">
        <v>264</v>
      </c>
      <c r="D1359" s="4" t="s">
        <v>120</v>
      </c>
      <c r="E1359" s="5" t="s">
        <v>3</v>
      </c>
      <c r="F1359" s="24">
        <v>45952</v>
      </c>
      <c r="G1359" s="7" t="s">
        <v>113</v>
      </c>
      <c r="H1359" s="25">
        <f t="shared" si="334"/>
        <v>1</v>
      </c>
      <c r="I1359" s="331">
        <v>5143</v>
      </c>
      <c r="J1359" s="8" t="s">
        <v>115</v>
      </c>
      <c r="K1359" s="9" t="s">
        <v>121</v>
      </c>
      <c r="L1359" s="10" t="s">
        <v>117</v>
      </c>
      <c r="M1359" s="11">
        <v>260</v>
      </c>
      <c r="N1359" s="12" t="s">
        <v>367</v>
      </c>
      <c r="O1359" s="6">
        <v>45982</v>
      </c>
      <c r="P1359" s="109"/>
      <c r="Q1359" s="14" t="s">
        <v>85</v>
      </c>
      <c r="R1359" s="237">
        <f>(DATA[[#This Row],[cantidad_fs]]/1000)*80</f>
        <v>20.8</v>
      </c>
      <c r="S1359" s="237">
        <v>2112.33</v>
      </c>
      <c r="T1359" s="321">
        <f>DATA[[#This Row],[C. DF]]+DATA[[#This Row],[C.OPE.]]</f>
        <v>2133.13</v>
      </c>
      <c r="U1359" s="15">
        <f>DATA[[#This Row],[SUB TOTAL]]*0.18</f>
        <v>383.96339999999998</v>
      </c>
      <c r="V1359" s="15">
        <f>IFERROR(ROUND(DATA[[#This Row],[SUB TOTAL]]+DATA[[#This Row],[IGV]],2),0)</f>
        <v>2517.09</v>
      </c>
      <c r="W1359" s="339" t="str">
        <f>IF(DATA[[#This Row],[VALORIZACIÓN ]]="-","NO CORRESPONDE",IF(OR(A1359=20558226979,A1359=10470707866,A1359=20111157058,A1359=20100226902),"NO CORRESPONDE",IF(J1359="Emitida",IF(P1359&gt;0,"EMITIDA","PENDIENTE"),"NO CORRESPONDE")))</f>
        <v>PENDIENTE</v>
      </c>
      <c r="X1359" s="29"/>
      <c r="Y1359" s="17" t="s">
        <v>232</v>
      </c>
      <c r="Z1359" s="30"/>
      <c r="AA1359" s="10"/>
      <c r="AB1359" s="19"/>
      <c r="AC1359" s="20"/>
      <c r="AD1359" s="18">
        <f>DATA[[#This Row],[FECHA DE EMISION]]+DATA[[#This Row],[CONDICION DE PAGO]]</f>
        <v>0</v>
      </c>
      <c r="AE1359" s="23">
        <f>IF(DATA[[#This Row],[MONEDA]]="USD",VLOOKUP(DATA[[#This Row],[COMBINADA]],#REF!,11,0),1)</f>
        <v>1</v>
      </c>
      <c r="AF1359" s="129" t="str">
        <f>IF(DATA[[#This Row],[SERIE2]]="-","NO CORRESPONDE",IF(W1359="NO CORRESPONDE","NO CORRESPONDE",IF(Z1359&gt;0,"FACTURADO","PENDIENTE")))</f>
        <v>PENDIENTE</v>
      </c>
      <c r="AG1359" s="133">
        <f>IFERROR(VLOOKUP(DATA[[#This Row],[COMBINADA]],#REF!,6,0),0)</f>
        <v>0</v>
      </c>
      <c r="AH1359" s="125">
        <f>IFERROR(VLOOKUP(DATA[[#This Row],[COMBINADA]],#REF!,9,0),0)/COUNTIFS(DATA[COMBINADA],DATA[[#This Row],[COMBINADA]])</f>
        <v>0</v>
      </c>
      <c r="AI1359" s="136">
        <f>IFERROR(VLOOKUP(DATA[[#This Row],[COMBINADA]],#REF!,6,0),0)</f>
        <v>0</v>
      </c>
      <c r="AJ1359" s="132">
        <f>IFERROR(VLOOKUP(DATA[[#This Row],[COMBINADA]],#REF!,9,0),0)/COUNTIFS(DATA[COMBINADA],DATA[[#This Row],[COMBINADA]])</f>
        <v>0</v>
      </c>
      <c r="AK1359" s="407">
        <f>IFERROR(VLOOKUP(DATA[[#This Row],[COMBINADA]],#REF!,6,0),0)</f>
        <v>0</v>
      </c>
      <c r="AL1359" s="125">
        <f>IFERROR(VLOOKUP(DATA[[#This Row],[COMBINADA]],#REF!,9,0),0)/COUNTIFS(DATA[COMBINADA],DATA[[#This Row],[COMBINADA]])</f>
        <v>0</v>
      </c>
      <c r="AM1359" s="27">
        <f>IFERROR(VLOOKUP(DATA[[#This Row],[COMBINADA]],#REF!,6,0),0)</f>
        <v>0</v>
      </c>
      <c r="AN1359" s="125">
        <f>IFERROR(VLOOKUP(DATA[[#This Row],[COMBINADA]],#REF!,9,0),0)/COUNTIFS(DATA[COMBINADA],DATA[[#This Row],[COMBINADA]])</f>
        <v>0</v>
      </c>
      <c r="AO1359" s="27">
        <f>IFERROR(VLOOKUP(DATA[[#This Row],[COMBINADA]],#REF!,6,0),0)</f>
        <v>0</v>
      </c>
      <c r="AP1359" s="132">
        <f>IFERROR(VLOOKUP(DATA[[#This Row],[COMBINADA]],#REF!,9,0),0)/COUNTIFS(DATA[COMBINADA],DATA[[#This Row],[COMBINADA]])</f>
        <v>0</v>
      </c>
      <c r="AQ135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59" s="26" t="str">
        <f>IFERROR(IF(DATA[[#This Row],[estado_fact]]="FACTURADO",VLOOKUP(DATA[[#This Row],[SERIE2]]&amp;"-"&amp;DATA[[#This Row],[NUMERO]],#REF!,34,0),"NO CORRESPONDE"),"NO CORRESPONDE")</f>
        <v>NO CORRESPONDE</v>
      </c>
      <c r="AS1359" s="22" t="str">
        <f>IF(DATA[[#This Row],[fecha_fs]]&gt;0,TEXT(DATA[[#This Row],[fecha_fs]],"Mmmm"),0)</f>
        <v>Octubre</v>
      </c>
      <c r="AT1359" s="22" t="str">
        <f>DATA[[#This Row],[SERIE2]]&amp;"-"&amp;DATA[[#This Row],[NUMERO]]</f>
        <v>-</v>
      </c>
      <c r="AU1359" s="28">
        <f>DATA[[#This Row],[TOTAL]]*DATA[[#This Row],[T.C.]]</f>
        <v>2517.09</v>
      </c>
      <c r="AV1359" s="6">
        <f>DATA[[#This Row],[FECHA DE VAL.]]</f>
        <v>45982</v>
      </c>
      <c r="AW1359" s="6">
        <f>DATA[[#This Row],[FECHA DE EMISION]]</f>
        <v>0</v>
      </c>
      <c r="AX1359" s="6">
        <f>DATA[[#This Row],[F1]]</f>
        <v>0</v>
      </c>
      <c r="AY1359" s="20">
        <f>IF(AV1359-DATA[[#This Row],[fecha_fs]]&lt;0,0,AV1359-DATA[[#This Row],[fecha_fs]])</f>
        <v>30</v>
      </c>
      <c r="AZ1359" s="20">
        <f t="shared" si="335"/>
        <v>0</v>
      </c>
      <c r="BA1359" s="53">
        <f t="shared" si="336"/>
        <v>0</v>
      </c>
      <c r="BB1359" s="360">
        <f>IFERROR(SUM(DATA[[#This Row],[fs_val_ttf]:[fact_pago_ttf]]),0)</f>
        <v>30</v>
      </c>
      <c r="BC1359" s="378" t="s">
        <v>270</v>
      </c>
      <c r="BD1359" s="185" t="s">
        <v>270</v>
      </c>
      <c r="BE1359" s="185" t="s">
        <v>270</v>
      </c>
      <c r="BF1359" s="185" t="s">
        <v>270</v>
      </c>
      <c r="BG1359" s="20">
        <f>IFERROR(IF(BC1359-DATA[[#This Row],[fecha_fs]]&lt;0,0,BC1359-DATA[[#This Row],[fecha_fs]]),0)</f>
        <v>0</v>
      </c>
      <c r="BH1359" s="20">
        <f t="shared" si="346"/>
        <v>0</v>
      </c>
      <c r="BI1359" s="20">
        <f t="shared" si="347"/>
        <v>0</v>
      </c>
      <c r="BJ1359" s="53">
        <f t="shared" si="348"/>
        <v>0</v>
      </c>
      <c r="BK1359" s="376">
        <f>IFERROR(SUM(DATA[[#This Row],[fs_fd_ttd]:[fend_fenf_ttd]]),0)</f>
        <v>0</v>
      </c>
      <c r="BL1359" s="20" t="str">
        <f>IF(DATA[[#This Row],[fecha_fs]]&gt;0,TEXT(DATA[[#This Row],[fecha_fs]],"YYYY"),0)</f>
        <v>2025</v>
      </c>
      <c r="BM1359" s="236" t="b">
        <v>0</v>
      </c>
      <c r="BN1359" s="278">
        <f>COUNTIF(DATA[[#This Row],[tiempo_td]], "&lt;=15")</f>
        <v>1</v>
      </c>
      <c r="BO1359" s="365"/>
    </row>
    <row r="1360" spans="1:67" ht="30.6" customHeight="1" x14ac:dyDescent="0.25">
      <c r="A1360" s="4">
        <v>20412524218</v>
      </c>
      <c r="B1360" s="5" t="s">
        <v>278</v>
      </c>
      <c r="C1360" s="52" t="s">
        <v>18</v>
      </c>
      <c r="D1360" s="4" t="s">
        <v>152</v>
      </c>
      <c r="E1360" s="5" t="s">
        <v>10</v>
      </c>
      <c r="F1360" s="24">
        <v>45951</v>
      </c>
      <c r="G1360" s="7" t="s">
        <v>113</v>
      </c>
      <c r="H1360" s="25">
        <f t="shared" si="334"/>
        <v>1</v>
      </c>
      <c r="I1360" s="331">
        <v>5144</v>
      </c>
      <c r="J1360" s="8" t="s">
        <v>115</v>
      </c>
      <c r="K1360" s="9" t="s">
        <v>153</v>
      </c>
      <c r="L1360" s="10" t="s">
        <v>117</v>
      </c>
      <c r="M1360" s="11">
        <v>30</v>
      </c>
      <c r="N1360" s="12" t="s">
        <v>122</v>
      </c>
      <c r="O1360" s="6">
        <v>45952</v>
      </c>
      <c r="P1360" s="13">
        <v>3735</v>
      </c>
      <c r="Q1360" s="14" t="s">
        <v>85</v>
      </c>
      <c r="R1360" s="74"/>
      <c r="S1360" s="401">
        <v>720.42</v>
      </c>
      <c r="T1360" s="321">
        <f>DATA[[#This Row],[C. DF]]+DATA[[#This Row],[C.OPE.]]</f>
        <v>720.42</v>
      </c>
      <c r="U1360" s="15">
        <f>DATA[[#This Row],[SUB TOTAL]]*0.18</f>
        <v>129.67559999999997</v>
      </c>
      <c r="V1360" s="15">
        <f>IFERROR(ROUND(DATA[[#This Row],[SUB TOTAL]]+DATA[[#This Row],[IGV]],2),0)</f>
        <v>850.1</v>
      </c>
      <c r="W1360" s="339" t="str">
        <f>IF(DATA[[#This Row],[VALORIZACIÓN ]]="-","NO CORRESPONDE",IF(OR(A1360=20558226979,A1360=10470707866,A1360=20111157058,A1360=20100226902),"NO CORRESPONDE",IF(J1360="Emitida",IF(P1360&gt;0,"EMITIDA","PENDIENTE"),"NO CORRESPONDE")))</f>
        <v>EMITIDA</v>
      </c>
      <c r="X1360" s="29"/>
      <c r="Y1360" s="17" t="s">
        <v>232</v>
      </c>
      <c r="Z1360" s="30"/>
      <c r="AA1360" s="10"/>
      <c r="AB1360" s="19"/>
      <c r="AC1360" s="20"/>
      <c r="AD1360" s="18">
        <f>DATA[[#This Row],[FECHA DE EMISION]]+DATA[[#This Row],[CONDICION DE PAGO]]</f>
        <v>0</v>
      </c>
      <c r="AE1360" s="23">
        <f>IF(DATA[[#This Row],[MONEDA]]="USD",VLOOKUP(DATA[[#This Row],[COMBINADA]],#REF!,11,0),1)</f>
        <v>1</v>
      </c>
      <c r="AF1360" s="129" t="str">
        <f>IF(DATA[[#This Row],[SERIE2]]="-","NO CORRESPONDE",IF(W1360="NO CORRESPONDE","NO CORRESPONDE",IF(Z1360&gt;0,"FACTURADO","PENDIENTE")))</f>
        <v>PENDIENTE</v>
      </c>
      <c r="AG1360" s="133">
        <f>IFERROR(VLOOKUP(DATA[[#This Row],[COMBINADA]],#REF!,6,0),0)</f>
        <v>0</v>
      </c>
      <c r="AH1360" s="125">
        <f>IFERROR(VLOOKUP(DATA[[#This Row],[COMBINADA]],#REF!,9,0),0)/COUNTIFS(DATA[COMBINADA],DATA[[#This Row],[COMBINADA]])</f>
        <v>0</v>
      </c>
      <c r="AI1360" s="136">
        <f>IFERROR(VLOOKUP(DATA[[#This Row],[COMBINADA]],#REF!,6,0),0)</f>
        <v>0</v>
      </c>
      <c r="AJ1360" s="132">
        <f>IFERROR(VLOOKUP(DATA[[#This Row],[COMBINADA]],#REF!,9,0),0)/COUNTIFS(DATA[COMBINADA],DATA[[#This Row],[COMBINADA]])</f>
        <v>0</v>
      </c>
      <c r="AK1360" s="407">
        <f>IFERROR(VLOOKUP(DATA[[#This Row],[COMBINADA]],#REF!,6,0),0)</f>
        <v>0</v>
      </c>
      <c r="AL1360" s="125">
        <f>IFERROR(VLOOKUP(DATA[[#This Row],[COMBINADA]],#REF!,9,0),0)/COUNTIFS(DATA[COMBINADA],DATA[[#This Row],[COMBINADA]])</f>
        <v>0</v>
      </c>
      <c r="AM1360" s="27">
        <f>IFERROR(VLOOKUP(DATA[[#This Row],[COMBINADA]],#REF!,6,0),0)</f>
        <v>0</v>
      </c>
      <c r="AN1360" s="125">
        <f>IFERROR(VLOOKUP(DATA[[#This Row],[COMBINADA]],#REF!,9,0),0)/COUNTIFS(DATA[COMBINADA],DATA[[#This Row],[COMBINADA]])</f>
        <v>0</v>
      </c>
      <c r="AO1360" s="27">
        <f>IFERROR(VLOOKUP(DATA[[#This Row],[COMBINADA]],#REF!,6,0),0)</f>
        <v>0</v>
      </c>
      <c r="AP1360" s="132">
        <f>IFERROR(VLOOKUP(DATA[[#This Row],[COMBINADA]],#REF!,9,0),0)/COUNTIFS(DATA[COMBINADA],DATA[[#This Row],[COMBINADA]])</f>
        <v>0</v>
      </c>
      <c r="AQ136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60" s="26" t="str">
        <f>IFERROR(IF(DATA[[#This Row],[estado_fact]]="FACTURADO",VLOOKUP(DATA[[#This Row],[SERIE2]]&amp;"-"&amp;DATA[[#This Row],[NUMERO]],#REF!,34,0),"NO CORRESPONDE"),"NO CORRESPONDE")</f>
        <v>NO CORRESPONDE</v>
      </c>
      <c r="AS1360" s="22" t="str">
        <f>IF(DATA[[#This Row],[fecha_fs]]&gt;0,TEXT(DATA[[#This Row],[fecha_fs]],"Mmmm"),0)</f>
        <v>Octubre</v>
      </c>
      <c r="AT1360" s="22" t="str">
        <f>DATA[[#This Row],[SERIE2]]&amp;"-"&amp;DATA[[#This Row],[NUMERO]]</f>
        <v>-</v>
      </c>
      <c r="AU1360" s="28">
        <f>DATA[[#This Row],[TOTAL]]*DATA[[#This Row],[T.C.]]</f>
        <v>850.1</v>
      </c>
      <c r="AV1360" s="6">
        <f>DATA[[#This Row],[FECHA DE VAL.]]</f>
        <v>45952</v>
      </c>
      <c r="AW1360" s="6">
        <f>DATA[[#This Row],[FECHA DE EMISION]]</f>
        <v>0</v>
      </c>
      <c r="AX1360" s="6">
        <f>DATA[[#This Row],[F1]]</f>
        <v>0</v>
      </c>
      <c r="AY1360" s="20">
        <f>IF(AV1360-DATA[[#This Row],[fecha_fs]]&lt;0,0,AV1360-DATA[[#This Row],[fecha_fs]])</f>
        <v>1</v>
      </c>
      <c r="AZ1360" s="20">
        <f t="shared" si="335"/>
        <v>0</v>
      </c>
      <c r="BA1360" s="53">
        <f t="shared" si="336"/>
        <v>0</v>
      </c>
      <c r="BB1360" s="360">
        <f>IFERROR(SUM(DATA[[#This Row],[fs_val_ttf]:[fact_pago_ttf]]),0)</f>
        <v>1</v>
      </c>
      <c r="BC1360" s="378">
        <v>45951</v>
      </c>
      <c r="BD1360" s="377">
        <v>45967</v>
      </c>
      <c r="BE1360" s="185">
        <v>45967</v>
      </c>
      <c r="BF1360" s="185" t="s">
        <v>270</v>
      </c>
      <c r="BG1360" s="20">
        <f>IFERROR(IF(BC1360-DATA[[#This Row],[fecha_fs]]&lt;0,0,BC1360-DATA[[#This Row],[fecha_fs]]),0)</f>
        <v>0</v>
      </c>
      <c r="BH1360" s="20">
        <f t="shared" si="346"/>
        <v>16</v>
      </c>
      <c r="BI1360" s="20">
        <f t="shared" si="347"/>
        <v>0</v>
      </c>
      <c r="BJ1360" s="53">
        <f t="shared" si="348"/>
        <v>0</v>
      </c>
      <c r="BK1360" s="376">
        <f>IFERROR(SUM(DATA[[#This Row],[fs_fd_ttd]:[fend_fenf_ttd]]),0)</f>
        <v>16</v>
      </c>
      <c r="BL1360" s="20" t="str">
        <f>IF(DATA[[#This Row],[fecha_fs]]&gt;0,TEXT(DATA[[#This Row],[fecha_fs]],"YYYY"),0)</f>
        <v>2025</v>
      </c>
      <c r="BM1360" s="236" t="b">
        <v>0</v>
      </c>
      <c r="BN1360" s="278">
        <f>COUNTIF(DATA[[#This Row],[tiempo_td]], "&lt;=15")</f>
        <v>0</v>
      </c>
      <c r="BO1360" s="365"/>
    </row>
    <row r="1361" spans="1:67" ht="30.6" customHeight="1" x14ac:dyDescent="0.25">
      <c r="A1361" s="4">
        <v>20100055237</v>
      </c>
      <c r="B1361" s="5" t="s">
        <v>21</v>
      </c>
      <c r="C1361" s="52" t="s">
        <v>138</v>
      </c>
      <c r="D1361" s="4" t="s">
        <v>139</v>
      </c>
      <c r="E1361" s="5" t="s">
        <v>23</v>
      </c>
      <c r="F1361" s="24">
        <v>45951</v>
      </c>
      <c r="G1361" s="7" t="s">
        <v>113</v>
      </c>
      <c r="H1361" s="25">
        <f t="shared" si="334"/>
        <v>1</v>
      </c>
      <c r="I1361" s="331">
        <v>5145</v>
      </c>
      <c r="J1361" s="8" t="s">
        <v>115</v>
      </c>
      <c r="K1361" s="9" t="s">
        <v>121</v>
      </c>
      <c r="L1361" s="10" t="s">
        <v>117</v>
      </c>
      <c r="M1361" s="11">
        <v>120</v>
      </c>
      <c r="N1361" s="12" t="s">
        <v>249</v>
      </c>
      <c r="O1361" s="6">
        <v>45961</v>
      </c>
      <c r="P1361" s="54">
        <v>3772</v>
      </c>
      <c r="Q1361" s="14" t="s">
        <v>85</v>
      </c>
      <c r="R1361" s="401"/>
      <c r="S1361" s="401">
        <v>297.92</v>
      </c>
      <c r="T1361" s="321">
        <f>DATA[[#This Row],[C. DF]]+DATA[[#This Row],[C.OPE.]]</f>
        <v>297.92</v>
      </c>
      <c r="U1361" s="15">
        <f>DATA[[#This Row],[SUB TOTAL]]*0.18</f>
        <v>53.625599999999999</v>
      </c>
      <c r="V1361" s="15">
        <f>IFERROR(ROUND(DATA[[#This Row],[SUB TOTAL]]+DATA[[#This Row],[IGV]],2),0)</f>
        <v>351.55</v>
      </c>
      <c r="W1361" s="339" t="str">
        <f>IF(DATA[[#This Row],[VALORIZACIÓN ]]="-","NO CORRESPONDE",IF(OR(A1361=20558226979,A1361=10470707866,A1361=20111157058,A1361=20100226902),"NO CORRESPONDE",IF(J1361="Emitida",IF(P1361&gt;0,"EMITIDA","PENDIENTE"),"NO CORRESPONDE")))</f>
        <v>EMITIDA</v>
      </c>
      <c r="X1361" s="29"/>
      <c r="Y1361" s="17" t="s">
        <v>232</v>
      </c>
      <c r="Z1361" s="30"/>
      <c r="AA1361" s="10"/>
      <c r="AB1361" s="19"/>
      <c r="AC1361" s="20"/>
      <c r="AD1361" s="18">
        <f>DATA[[#This Row],[FECHA DE EMISION]]+DATA[[#This Row],[CONDICION DE PAGO]]</f>
        <v>0</v>
      </c>
      <c r="AE1361" s="23">
        <f>IF(DATA[[#This Row],[MONEDA]]="USD",VLOOKUP(DATA[[#This Row],[COMBINADA]],#REF!,11,0),1)</f>
        <v>1</v>
      </c>
      <c r="AF1361" s="129" t="str">
        <f>IF(DATA[[#This Row],[SERIE2]]="-","NO CORRESPONDE",IF(W1361="NO CORRESPONDE","NO CORRESPONDE",IF(Z1361&gt;0,"FACTURADO","PENDIENTE")))</f>
        <v>PENDIENTE</v>
      </c>
      <c r="AG1361" s="133">
        <f>IFERROR(VLOOKUP(DATA[[#This Row],[COMBINADA]],#REF!,6,0),0)</f>
        <v>0</v>
      </c>
      <c r="AH1361" s="125">
        <f>IFERROR(VLOOKUP(DATA[[#This Row],[COMBINADA]],#REF!,9,0),0)/COUNTIFS(DATA[COMBINADA],DATA[[#This Row],[COMBINADA]])</f>
        <v>0</v>
      </c>
      <c r="AI1361" s="136">
        <f>IFERROR(VLOOKUP(DATA[[#This Row],[COMBINADA]],#REF!,6,0),0)</f>
        <v>0</v>
      </c>
      <c r="AJ1361" s="132">
        <f>IFERROR(VLOOKUP(DATA[[#This Row],[COMBINADA]],#REF!,9,0),0)/COUNTIFS(DATA[COMBINADA],DATA[[#This Row],[COMBINADA]])</f>
        <v>0</v>
      </c>
      <c r="AK1361" s="407">
        <f>IFERROR(VLOOKUP(DATA[[#This Row],[COMBINADA]],#REF!,6,0),0)</f>
        <v>0</v>
      </c>
      <c r="AL1361" s="125">
        <f>IFERROR(VLOOKUP(DATA[[#This Row],[COMBINADA]],#REF!,9,0),0)/COUNTIFS(DATA[COMBINADA],DATA[[#This Row],[COMBINADA]])</f>
        <v>0</v>
      </c>
      <c r="AM1361" s="27">
        <f>IFERROR(VLOOKUP(DATA[[#This Row],[COMBINADA]],#REF!,6,0),0)</f>
        <v>0</v>
      </c>
      <c r="AN1361" s="125">
        <f>IFERROR(VLOOKUP(DATA[[#This Row],[COMBINADA]],#REF!,9,0),0)/COUNTIFS(DATA[COMBINADA],DATA[[#This Row],[COMBINADA]])</f>
        <v>0</v>
      </c>
      <c r="AO1361" s="27">
        <f>IFERROR(VLOOKUP(DATA[[#This Row],[COMBINADA]],#REF!,6,0),0)</f>
        <v>0</v>
      </c>
      <c r="AP1361" s="132">
        <f>IFERROR(VLOOKUP(DATA[[#This Row],[COMBINADA]],#REF!,9,0),0)/COUNTIFS(DATA[COMBINADA],DATA[[#This Row],[COMBINADA]])</f>
        <v>0</v>
      </c>
      <c r="AQ136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61" s="26" t="str">
        <f>IFERROR(IF(DATA[[#This Row],[estado_fact]]="FACTURADO",VLOOKUP(DATA[[#This Row],[SERIE2]]&amp;"-"&amp;DATA[[#This Row],[NUMERO]],#REF!,34,0),"NO CORRESPONDE"),"NO CORRESPONDE")</f>
        <v>NO CORRESPONDE</v>
      </c>
      <c r="AS1361" s="22" t="str">
        <f>IF(DATA[[#This Row],[fecha_fs]]&gt;0,TEXT(DATA[[#This Row],[fecha_fs]],"Mmmm"),0)</f>
        <v>Octubre</v>
      </c>
      <c r="AT1361" s="22" t="str">
        <f>DATA[[#This Row],[SERIE2]]&amp;"-"&amp;DATA[[#This Row],[NUMERO]]</f>
        <v>-</v>
      </c>
      <c r="AU1361" s="28">
        <f>DATA[[#This Row],[TOTAL]]*DATA[[#This Row],[T.C.]]</f>
        <v>351.55</v>
      </c>
      <c r="AV1361" s="6">
        <f>DATA[[#This Row],[FECHA DE VAL.]]</f>
        <v>45961</v>
      </c>
      <c r="AW1361" s="6">
        <f>DATA[[#This Row],[FECHA DE EMISION]]</f>
        <v>0</v>
      </c>
      <c r="AX1361" s="6">
        <f>DATA[[#This Row],[F1]]</f>
        <v>0</v>
      </c>
      <c r="AY1361" s="20">
        <f>IF(AV1361-DATA[[#This Row],[fecha_fs]]&lt;0,0,AV1361-DATA[[#This Row],[fecha_fs]])</f>
        <v>10</v>
      </c>
      <c r="AZ1361" s="20">
        <f t="shared" si="335"/>
        <v>0</v>
      </c>
      <c r="BA1361" s="53">
        <f t="shared" si="336"/>
        <v>0</v>
      </c>
      <c r="BB1361" s="360">
        <f>IFERROR(SUM(DATA[[#This Row],[fs_val_ttf]:[fact_pago_ttf]]),0)</f>
        <v>10</v>
      </c>
      <c r="BC1361" s="378">
        <v>45951</v>
      </c>
      <c r="BD1361" s="377">
        <v>45967</v>
      </c>
      <c r="BE1361" s="185">
        <v>45967</v>
      </c>
      <c r="BF1361" s="185">
        <v>45966</v>
      </c>
      <c r="BG1361" s="20">
        <f>IFERROR(IF(BC1361-DATA[[#This Row],[fecha_fs]]&lt;0,0,BC1361-DATA[[#This Row],[fecha_fs]]),0)</f>
        <v>0</v>
      </c>
      <c r="BH1361" s="20">
        <f t="shared" si="346"/>
        <v>16</v>
      </c>
      <c r="BI1361" s="20">
        <f t="shared" si="347"/>
        <v>0</v>
      </c>
      <c r="BJ1361" s="53">
        <f t="shared" si="348"/>
        <v>0</v>
      </c>
      <c r="BK1361" s="376">
        <f>IFERROR(SUM(DATA[[#This Row],[fs_fd_ttd]:[fend_fenf_ttd]]),0)</f>
        <v>16</v>
      </c>
      <c r="BL1361" s="20" t="str">
        <f>IF(DATA[[#This Row],[fecha_fs]]&gt;0,TEXT(DATA[[#This Row],[fecha_fs]],"YYYY"),0)</f>
        <v>2025</v>
      </c>
      <c r="BM1361" s="236" t="b">
        <v>0</v>
      </c>
      <c r="BN1361" s="278">
        <f>COUNTIF(DATA[[#This Row],[tiempo_td]], "&lt;=15")</f>
        <v>0</v>
      </c>
      <c r="BO1361" s="365"/>
    </row>
    <row r="1362" spans="1:67" ht="30.6" customHeight="1" x14ac:dyDescent="0.25">
      <c r="A1362" s="4">
        <v>20159473148</v>
      </c>
      <c r="B1362" s="5" t="s">
        <v>280</v>
      </c>
      <c r="C1362" s="52" t="s">
        <v>20</v>
      </c>
      <c r="D1362" s="4" t="s">
        <v>120</v>
      </c>
      <c r="E1362" s="5" t="s">
        <v>3</v>
      </c>
      <c r="F1362" s="24">
        <v>45951</v>
      </c>
      <c r="G1362" s="7" t="s">
        <v>113</v>
      </c>
      <c r="H1362" s="25">
        <f t="shared" si="334"/>
        <v>1</v>
      </c>
      <c r="I1362" s="331">
        <v>5146</v>
      </c>
      <c r="J1362" s="8" t="s">
        <v>115</v>
      </c>
      <c r="K1362" s="9" t="s">
        <v>121</v>
      </c>
      <c r="L1362" s="10" t="s">
        <v>117</v>
      </c>
      <c r="M1362" s="11">
        <v>1110</v>
      </c>
      <c r="N1362" s="12" t="s">
        <v>249</v>
      </c>
      <c r="O1362" s="6">
        <v>45959</v>
      </c>
      <c r="P1362" s="83">
        <v>3749</v>
      </c>
      <c r="Q1362" s="14" t="s">
        <v>85</v>
      </c>
      <c r="R1362" s="15">
        <f>DATA[[#This Row],[cantidad_fs]]*0.08</f>
        <v>88.8</v>
      </c>
      <c r="S1362" s="15">
        <v>908.43</v>
      </c>
      <c r="T1362" s="321">
        <f>DATA[[#This Row],[C. DF]]+DATA[[#This Row],[C.OPE.]]</f>
        <v>997.2299999999999</v>
      </c>
      <c r="U1362" s="15">
        <f>DATA[[#This Row],[SUB TOTAL]]*0.18</f>
        <v>179.50139999999999</v>
      </c>
      <c r="V1362" s="15">
        <f>IFERROR(ROUND(DATA[[#This Row],[SUB TOTAL]]+DATA[[#This Row],[IGV]],2),0)</f>
        <v>1176.73</v>
      </c>
      <c r="W1362" s="339" t="str">
        <f>IF(DATA[[#This Row],[VALORIZACIÓN ]]="-","NO CORRESPONDE",IF(OR(A1362=20558226979,A1362=10470707866,A1362=20111157058,A1362=20100226902),"NO CORRESPONDE",IF(J1362="Emitida",IF(P1362&gt;0,"EMITIDA","PENDIENTE"),"NO CORRESPONDE")))</f>
        <v>EMITIDA</v>
      </c>
      <c r="X1362" s="29" t="s">
        <v>377</v>
      </c>
      <c r="Y1362" s="17" t="s">
        <v>118</v>
      </c>
      <c r="Z1362" s="30">
        <v>45967</v>
      </c>
      <c r="AA1362" s="10" t="s">
        <v>150</v>
      </c>
      <c r="AB1362" s="19">
        <v>339</v>
      </c>
      <c r="AC1362" s="20">
        <v>60</v>
      </c>
      <c r="AD1362" s="18">
        <f>DATA[[#This Row],[FECHA DE EMISION]]+DATA[[#This Row],[CONDICION DE PAGO]]</f>
        <v>46027</v>
      </c>
      <c r="AE1362" s="23">
        <f>IF(DATA[[#This Row],[MONEDA]]="USD",VLOOKUP(DATA[[#This Row],[COMBINADA]],#REF!,11,0),1)</f>
        <v>1</v>
      </c>
      <c r="AF1362" s="129" t="str">
        <f>IF(DATA[[#This Row],[SERIE2]]="-","NO CORRESPONDE",IF(W1362="NO CORRESPONDE","NO CORRESPONDE",IF(Z1362&gt;0,"FACTURADO","PENDIENTE")))</f>
        <v>FACTURADO</v>
      </c>
      <c r="AG1362" s="133">
        <f>IFERROR(VLOOKUP(DATA[[#This Row],[COMBINADA]],#REF!,6,0),0)</f>
        <v>0</v>
      </c>
      <c r="AH1362" s="125">
        <f>IFERROR(VLOOKUP(DATA[[#This Row],[COMBINADA]],#REF!,9,0),0)/COUNTIFS(DATA[COMBINADA],DATA[[#This Row],[COMBINADA]])</f>
        <v>0</v>
      </c>
      <c r="AI1362" s="136">
        <f>IFERROR(VLOOKUP(DATA[[#This Row],[COMBINADA]],#REF!,6,0),0)</f>
        <v>0</v>
      </c>
      <c r="AJ1362" s="132">
        <f>IFERROR(VLOOKUP(DATA[[#This Row],[COMBINADA]],#REF!,9,0),0)/COUNTIFS(DATA[COMBINADA],DATA[[#This Row],[COMBINADA]])</f>
        <v>0</v>
      </c>
      <c r="AK1362" s="407">
        <f>IFERROR(VLOOKUP(DATA[[#This Row],[COMBINADA]],#REF!,6,0),0)</f>
        <v>0</v>
      </c>
      <c r="AL1362" s="125">
        <f>IFERROR(VLOOKUP(DATA[[#This Row],[COMBINADA]],#REF!,9,0),0)/COUNTIFS(DATA[COMBINADA],DATA[[#This Row],[COMBINADA]])</f>
        <v>0</v>
      </c>
      <c r="AM1362" s="27">
        <f>IFERROR(VLOOKUP(DATA[[#This Row],[COMBINADA]],#REF!,6,0),0)</f>
        <v>0</v>
      </c>
      <c r="AN1362" s="125">
        <f>IFERROR(VLOOKUP(DATA[[#This Row],[COMBINADA]],#REF!,9,0),0)/COUNTIFS(DATA[COMBINADA],DATA[[#This Row],[COMBINADA]])</f>
        <v>0</v>
      </c>
      <c r="AO1362" s="27">
        <f>IFERROR(VLOOKUP(DATA[[#This Row],[COMBINADA]],#REF!,6,0),0)</f>
        <v>0</v>
      </c>
      <c r="AP1362" s="132">
        <f>IFERROR(VLOOKUP(DATA[[#This Row],[COMBINADA]],#REF!,9,0),0)/COUNTIFS(DATA[COMBINADA],DATA[[#This Row],[COMBINADA]])</f>
        <v>0</v>
      </c>
      <c r="AQ136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1169.18</v>
      </c>
      <c r="AR1362" s="26" t="str">
        <f>IFERROR(IF(DATA[[#This Row],[estado_fact]]="FACTURADO",VLOOKUP(DATA[[#This Row],[SERIE2]]&amp;"-"&amp;DATA[[#This Row],[NUMERO]],#REF!,34,0),"NO CORRESPONDE"),"NO CORRESPONDE")</f>
        <v>NO CORRESPONDE</v>
      </c>
      <c r="AS1362" s="22" t="str">
        <f>IF(DATA[[#This Row],[fecha_fs]]&gt;0,TEXT(DATA[[#This Row],[fecha_fs]],"Mmmm"),0)</f>
        <v>Octubre</v>
      </c>
      <c r="AT1362" s="22" t="str">
        <f>DATA[[#This Row],[SERIE2]]&amp;"-"&amp;DATA[[#This Row],[NUMERO]]</f>
        <v>FF01-339</v>
      </c>
      <c r="AU1362" s="28">
        <f>DATA[[#This Row],[TOTAL]]*DATA[[#This Row],[T.C.]]</f>
        <v>1176.73</v>
      </c>
      <c r="AV1362" s="6">
        <f>DATA[[#This Row],[FECHA DE VAL.]]</f>
        <v>45959</v>
      </c>
      <c r="AW1362" s="6">
        <f>DATA[[#This Row],[FECHA DE EMISION]]</f>
        <v>45967</v>
      </c>
      <c r="AX1362" s="6">
        <f>DATA[[#This Row],[F1]]</f>
        <v>0</v>
      </c>
      <c r="AY1362" s="20">
        <f>IF(AV1362-DATA[[#This Row],[fecha_fs]]&lt;0,0,AV1362-DATA[[#This Row],[fecha_fs]])</f>
        <v>8</v>
      </c>
      <c r="AZ1362" s="20">
        <f t="shared" si="335"/>
        <v>8</v>
      </c>
      <c r="BA1362" s="53">
        <f t="shared" si="336"/>
        <v>0</v>
      </c>
      <c r="BB1362" s="360">
        <f>IFERROR(SUM(DATA[[#This Row],[fs_val_ttf]:[fact_pago_ttf]]),0)</f>
        <v>16</v>
      </c>
      <c r="BC1362" s="378">
        <v>45951</v>
      </c>
      <c r="BD1362" s="377">
        <v>45967</v>
      </c>
      <c r="BE1362" s="185">
        <v>45967</v>
      </c>
      <c r="BF1362" s="185" t="s">
        <v>270</v>
      </c>
      <c r="BG1362" s="20">
        <f>IFERROR(IF(BC1362-DATA[[#This Row],[fecha_fs]]&lt;0,0,BC1362-DATA[[#This Row],[fecha_fs]]),0)</f>
        <v>0</v>
      </c>
      <c r="BH1362" s="20">
        <f t="shared" si="346"/>
        <v>16</v>
      </c>
      <c r="BI1362" s="20">
        <f t="shared" si="347"/>
        <v>0</v>
      </c>
      <c r="BJ1362" s="53">
        <f t="shared" si="348"/>
        <v>0</v>
      </c>
      <c r="BK1362" s="376">
        <f>IFERROR(SUM(DATA[[#This Row],[fs_fd_ttd]:[fend_fenf_ttd]]),0)</f>
        <v>16</v>
      </c>
      <c r="BL1362" s="20" t="str">
        <f>IF(DATA[[#This Row],[fecha_fs]]&gt;0,TEXT(DATA[[#This Row],[fecha_fs]],"YYYY"),0)</f>
        <v>2025</v>
      </c>
      <c r="BM1362" s="236" t="b">
        <v>0</v>
      </c>
      <c r="BN1362" s="278">
        <f>COUNTIF(DATA[[#This Row],[tiempo_td]], "&lt;=15")</f>
        <v>0</v>
      </c>
      <c r="BO1362" s="365"/>
    </row>
    <row r="1363" spans="1:67" ht="30.6" customHeight="1" x14ac:dyDescent="0.25">
      <c r="A1363" s="4">
        <v>20419158462</v>
      </c>
      <c r="B1363" s="5" t="s">
        <v>2</v>
      </c>
      <c r="C1363" s="52" t="s">
        <v>147</v>
      </c>
      <c r="D1363" s="4" t="s">
        <v>120</v>
      </c>
      <c r="E1363" s="5" t="s">
        <v>3</v>
      </c>
      <c r="F1363" s="24">
        <v>45952</v>
      </c>
      <c r="G1363" s="7" t="s">
        <v>113</v>
      </c>
      <c r="H1363" s="25">
        <f t="shared" si="334"/>
        <v>1</v>
      </c>
      <c r="I1363" s="331">
        <v>5147</v>
      </c>
      <c r="J1363" s="8" t="s">
        <v>115</v>
      </c>
      <c r="K1363" s="9" t="s">
        <v>148</v>
      </c>
      <c r="L1363" s="10" t="s">
        <v>117</v>
      </c>
      <c r="M1363" s="11">
        <v>4200</v>
      </c>
      <c r="N1363" s="12" t="s">
        <v>122</v>
      </c>
      <c r="O1363" s="6">
        <v>45953</v>
      </c>
      <c r="P1363" s="13">
        <v>3737</v>
      </c>
      <c r="Q1363" s="14" t="s">
        <v>85</v>
      </c>
      <c r="R1363" s="401"/>
      <c r="S1363" s="56">
        <v>2597.6999999999998</v>
      </c>
      <c r="T1363" s="321">
        <f>DATA[[#This Row],[C. DF]]+DATA[[#This Row],[C.OPE.]]</f>
        <v>2597.6999999999998</v>
      </c>
      <c r="U1363" s="15">
        <f>DATA[[#This Row],[SUB TOTAL]]*0.18</f>
        <v>467.58599999999996</v>
      </c>
      <c r="V1363" s="15">
        <f>IFERROR(ROUND(DATA[[#This Row],[SUB TOTAL]]+DATA[[#This Row],[IGV]],2),0)</f>
        <v>3065.29</v>
      </c>
      <c r="W1363" s="339" t="str">
        <f>IF(DATA[[#This Row],[VALORIZACIÓN ]]="-","NO CORRESPONDE",IF(OR(A1363=20558226979,A1363=10470707866,A1363=20111157058,A1363=20100226902),"NO CORRESPONDE",IF(J1363="Emitida",IF(P1363&gt;0,"EMITIDA","PENDIENTE"),"NO CORRESPONDE")))</f>
        <v>EMITIDA</v>
      </c>
      <c r="X1363" s="29"/>
      <c r="Y1363" s="17" t="s">
        <v>232</v>
      </c>
      <c r="Z1363" s="30"/>
      <c r="AA1363" s="10"/>
      <c r="AB1363" s="19"/>
      <c r="AC1363" s="20"/>
      <c r="AD1363" s="18">
        <f>DATA[[#This Row],[FECHA DE EMISION]]+DATA[[#This Row],[CONDICION DE PAGO]]</f>
        <v>0</v>
      </c>
      <c r="AE1363" s="23">
        <f>IF(DATA[[#This Row],[MONEDA]]="USD",VLOOKUP(DATA[[#This Row],[COMBINADA]],#REF!,11,0),1)</f>
        <v>1</v>
      </c>
      <c r="AF1363" s="129" t="str">
        <f>IF(DATA[[#This Row],[SERIE2]]="-","NO CORRESPONDE",IF(W1363="NO CORRESPONDE","NO CORRESPONDE",IF(Z1363&gt;0,"FACTURADO","PENDIENTE")))</f>
        <v>PENDIENTE</v>
      </c>
      <c r="AG1363" s="133">
        <f>IFERROR(VLOOKUP(DATA[[#This Row],[COMBINADA]],#REF!,6,0),0)</f>
        <v>0</v>
      </c>
      <c r="AH1363" s="125">
        <f>IFERROR(VLOOKUP(DATA[[#This Row],[COMBINADA]],#REF!,9,0),0)/COUNTIFS(DATA[COMBINADA],DATA[[#This Row],[COMBINADA]])</f>
        <v>0</v>
      </c>
      <c r="AI1363" s="136">
        <f>IFERROR(VLOOKUP(DATA[[#This Row],[COMBINADA]],#REF!,6,0),0)</f>
        <v>0</v>
      </c>
      <c r="AJ1363" s="132">
        <f>IFERROR(VLOOKUP(DATA[[#This Row],[COMBINADA]],#REF!,9,0),0)/COUNTIFS(DATA[COMBINADA],DATA[[#This Row],[COMBINADA]])</f>
        <v>0</v>
      </c>
      <c r="AK1363" s="407">
        <f>IFERROR(VLOOKUP(DATA[[#This Row],[COMBINADA]],#REF!,6,0),0)</f>
        <v>0</v>
      </c>
      <c r="AL1363" s="125">
        <f>IFERROR(VLOOKUP(DATA[[#This Row],[COMBINADA]],#REF!,9,0),0)/COUNTIFS(DATA[COMBINADA],DATA[[#This Row],[COMBINADA]])</f>
        <v>0</v>
      </c>
      <c r="AM1363" s="27">
        <f>IFERROR(VLOOKUP(DATA[[#This Row],[COMBINADA]],#REF!,6,0),0)</f>
        <v>0</v>
      </c>
      <c r="AN1363" s="125">
        <f>IFERROR(VLOOKUP(DATA[[#This Row],[COMBINADA]],#REF!,9,0),0)/COUNTIFS(DATA[COMBINADA],DATA[[#This Row],[COMBINADA]])</f>
        <v>0</v>
      </c>
      <c r="AO1363" s="27">
        <f>IFERROR(VLOOKUP(DATA[[#This Row],[COMBINADA]],#REF!,6,0),0)</f>
        <v>0</v>
      </c>
      <c r="AP1363" s="132">
        <f>IFERROR(VLOOKUP(DATA[[#This Row],[COMBINADA]],#REF!,9,0),0)/COUNTIFS(DATA[COMBINADA],DATA[[#This Row],[COMBINADA]])</f>
        <v>0</v>
      </c>
      <c r="AQ136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63" s="26" t="str">
        <f>IFERROR(IF(DATA[[#This Row],[estado_fact]]="FACTURADO",VLOOKUP(DATA[[#This Row],[SERIE2]]&amp;"-"&amp;DATA[[#This Row],[NUMERO]],#REF!,34,0),"NO CORRESPONDE"),"NO CORRESPONDE")</f>
        <v>NO CORRESPONDE</v>
      </c>
      <c r="AS1363" s="22" t="str">
        <f>IF(DATA[[#This Row],[fecha_fs]]&gt;0,TEXT(DATA[[#This Row],[fecha_fs]],"Mmmm"),0)</f>
        <v>Octubre</v>
      </c>
      <c r="AT1363" s="22" t="str">
        <f>DATA[[#This Row],[SERIE2]]&amp;"-"&amp;DATA[[#This Row],[NUMERO]]</f>
        <v>-</v>
      </c>
      <c r="AU1363" s="28">
        <f>DATA[[#This Row],[TOTAL]]*DATA[[#This Row],[T.C.]]</f>
        <v>3065.29</v>
      </c>
      <c r="AV1363" s="6">
        <f>DATA[[#This Row],[FECHA DE VAL.]]</f>
        <v>45953</v>
      </c>
      <c r="AW1363" s="6">
        <f>DATA[[#This Row],[FECHA DE EMISION]]</f>
        <v>0</v>
      </c>
      <c r="AX1363" s="6">
        <f>DATA[[#This Row],[F1]]</f>
        <v>0</v>
      </c>
      <c r="AY1363" s="20">
        <f>IF(AV1363-DATA[[#This Row],[fecha_fs]]&lt;0,0,AV1363-DATA[[#This Row],[fecha_fs]])</f>
        <v>1</v>
      </c>
      <c r="AZ1363" s="20">
        <f t="shared" si="335"/>
        <v>0</v>
      </c>
      <c r="BA1363" s="53">
        <f t="shared" si="336"/>
        <v>0</v>
      </c>
      <c r="BB1363" s="360">
        <f>IFERROR(SUM(DATA[[#This Row],[fs_val_ttf]:[fact_pago_ttf]]),0)</f>
        <v>1</v>
      </c>
      <c r="BC1363" s="378" t="s">
        <v>270</v>
      </c>
      <c r="BD1363" s="185" t="s">
        <v>270</v>
      </c>
      <c r="BE1363" s="185" t="s">
        <v>270</v>
      </c>
      <c r="BF1363" s="185" t="s">
        <v>270</v>
      </c>
      <c r="BG1363" s="20">
        <f>IFERROR(IF(BC1363-DATA[[#This Row],[fecha_fs]]&lt;0,0,BC1363-DATA[[#This Row],[fecha_fs]]),0)</f>
        <v>0</v>
      </c>
      <c r="BH1363" s="20">
        <f t="shared" si="346"/>
        <v>0</v>
      </c>
      <c r="BI1363" s="20">
        <f t="shared" si="347"/>
        <v>0</v>
      </c>
      <c r="BJ1363" s="53">
        <f t="shared" si="348"/>
        <v>0</v>
      </c>
      <c r="BK1363" s="376">
        <f>IFERROR(SUM(DATA[[#This Row],[fs_fd_ttd]:[fend_fenf_ttd]]),0)</f>
        <v>0</v>
      </c>
      <c r="BL1363" s="20" t="str">
        <f>IF(DATA[[#This Row],[fecha_fs]]&gt;0,TEXT(DATA[[#This Row],[fecha_fs]],"YYYY"),0)</f>
        <v>2025</v>
      </c>
      <c r="BM1363" s="236" t="b">
        <v>0</v>
      </c>
      <c r="BN1363" s="278">
        <f>COUNTIF(DATA[[#This Row],[tiempo_td]], "&lt;=15")</f>
        <v>1</v>
      </c>
      <c r="BO1363" s="365"/>
    </row>
    <row r="1364" spans="1:67" ht="30.6" customHeight="1" x14ac:dyDescent="0.25">
      <c r="A1364" s="4">
        <v>20100211115</v>
      </c>
      <c r="B1364" s="5" t="s">
        <v>41</v>
      </c>
      <c r="C1364" s="52" t="s">
        <v>18</v>
      </c>
      <c r="D1364" s="4" t="s">
        <v>120</v>
      </c>
      <c r="E1364" s="5" t="s">
        <v>3</v>
      </c>
      <c r="F1364" s="24">
        <v>45952</v>
      </c>
      <c r="G1364" s="7" t="s">
        <v>113</v>
      </c>
      <c r="H1364" s="25">
        <f t="shared" si="334"/>
        <v>1</v>
      </c>
      <c r="I1364" s="331">
        <v>5148</v>
      </c>
      <c r="J1364" s="8" t="s">
        <v>115</v>
      </c>
      <c r="K1364" s="9" t="s">
        <v>121</v>
      </c>
      <c r="L1364" s="10" t="s">
        <v>117</v>
      </c>
      <c r="M1364" s="11">
        <v>90</v>
      </c>
      <c r="N1364" s="12" t="s">
        <v>167</v>
      </c>
      <c r="O1364" s="6">
        <v>45957</v>
      </c>
      <c r="P1364" s="115">
        <v>3742</v>
      </c>
      <c r="Q1364" s="14" t="s">
        <v>85</v>
      </c>
      <c r="R1364" s="74"/>
      <c r="S1364" s="401">
        <f>(DATA[[#This Row],[cantidad_fs]]*4.17)</f>
        <v>375.3</v>
      </c>
      <c r="T1364" s="321">
        <f>DATA[[#This Row],[C. DF]]+DATA[[#This Row],[C.OPE.]]</f>
        <v>375.3</v>
      </c>
      <c r="U1364" s="15">
        <f>DATA[[#This Row],[SUB TOTAL]]*0.18</f>
        <v>67.554000000000002</v>
      </c>
      <c r="V1364" s="15">
        <f>IFERROR(ROUND(DATA[[#This Row],[SUB TOTAL]]+DATA[[#This Row],[IGV]],2),0)</f>
        <v>442.85</v>
      </c>
      <c r="W1364" s="339" t="str">
        <f>IF(DATA[[#This Row],[VALORIZACIÓN ]]="-","NO CORRESPONDE",IF(OR(A1364=20558226979,A1364=10470707866,A1364=20111157058,A1364=20100226902),"NO CORRESPONDE",IF(J1364="Emitida",IF(P1364&gt;0,"EMITIDA","PENDIENTE"),"NO CORRESPONDE")))</f>
        <v>EMITIDA</v>
      </c>
      <c r="X1364" s="29"/>
      <c r="Y1364" s="17" t="s">
        <v>118</v>
      </c>
      <c r="Z1364" s="30">
        <v>45958</v>
      </c>
      <c r="AA1364" s="10" t="s">
        <v>150</v>
      </c>
      <c r="AB1364" s="19">
        <v>309</v>
      </c>
      <c r="AC1364" s="20">
        <v>30</v>
      </c>
      <c r="AD1364" s="18">
        <f>DATA[[#This Row],[FECHA DE EMISION]]+DATA[[#This Row],[CONDICION DE PAGO]]</f>
        <v>45988</v>
      </c>
      <c r="AE1364" s="23">
        <f>IF(DATA[[#This Row],[MONEDA]]="USD",VLOOKUP(DATA[[#This Row],[COMBINADA]],#REF!,11,0),1)</f>
        <v>1</v>
      </c>
      <c r="AF1364" s="129" t="str">
        <f>IF(DATA[[#This Row],[SERIE2]]="-","NO CORRESPONDE",IF(W1364="NO CORRESPONDE","NO CORRESPONDE",IF(Z1364&gt;0,"FACTURADO","PENDIENTE")))</f>
        <v>FACTURADO</v>
      </c>
      <c r="AG1364" s="133">
        <f>IFERROR(VLOOKUP(DATA[[#This Row],[COMBINADA]],#REF!,6,0),0)</f>
        <v>0</v>
      </c>
      <c r="AH1364" s="125">
        <f>IFERROR(VLOOKUP(DATA[[#This Row],[COMBINADA]],#REF!,9,0),0)/COUNTIFS(DATA[COMBINADA],DATA[[#This Row],[COMBINADA]])</f>
        <v>0</v>
      </c>
      <c r="AI1364" s="136">
        <f>IFERROR(VLOOKUP(DATA[[#This Row],[COMBINADA]],#REF!,6,0),0)</f>
        <v>0</v>
      </c>
      <c r="AJ1364" s="132">
        <f>IFERROR(VLOOKUP(DATA[[#This Row],[COMBINADA]],#REF!,9,0),0)/COUNTIFS(DATA[COMBINADA],DATA[[#This Row],[COMBINADA]])</f>
        <v>0</v>
      </c>
      <c r="AK1364" s="407">
        <f>IFERROR(VLOOKUP(DATA[[#This Row],[COMBINADA]],#REF!,6,0),0)</f>
        <v>0</v>
      </c>
      <c r="AL1364" s="125">
        <f>IFERROR(VLOOKUP(DATA[[#This Row],[COMBINADA]],#REF!,9,0),0)/COUNTIFS(DATA[COMBINADA],DATA[[#This Row],[COMBINADA]])</f>
        <v>0</v>
      </c>
      <c r="AM1364" s="27">
        <f>IFERROR(VLOOKUP(DATA[[#This Row],[COMBINADA]],#REF!,6,0),0)</f>
        <v>0</v>
      </c>
      <c r="AN1364" s="125">
        <f>IFERROR(VLOOKUP(DATA[[#This Row],[COMBINADA]],#REF!,9,0),0)/COUNTIFS(DATA[COMBINADA],DATA[[#This Row],[COMBINADA]])</f>
        <v>0</v>
      </c>
      <c r="AO1364" s="27">
        <f>IFERROR(VLOOKUP(DATA[[#This Row],[COMBINADA]],#REF!,6,0),0)</f>
        <v>0</v>
      </c>
      <c r="AP1364" s="132">
        <f>IFERROR(VLOOKUP(DATA[[#This Row],[COMBINADA]],#REF!,9,0),0)/COUNTIFS(DATA[COMBINADA],DATA[[#This Row],[COMBINADA]])</f>
        <v>0</v>
      </c>
      <c r="AQ136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364" s="26" t="str">
        <f>IFERROR(IF(DATA[[#This Row],[estado_fact]]="FACTURADO",VLOOKUP(DATA[[#This Row],[SERIE2]]&amp;"-"&amp;DATA[[#This Row],[NUMERO]],#REF!,34,0),"NO CORRESPONDE"),"NO CORRESPONDE")</f>
        <v>NO CORRESPONDE</v>
      </c>
      <c r="AS1364" s="22" t="str">
        <f>IF(DATA[[#This Row],[fecha_fs]]&gt;0,TEXT(DATA[[#This Row],[fecha_fs]],"Mmmm"),0)</f>
        <v>Octubre</v>
      </c>
      <c r="AT1364" s="22" t="str">
        <f>DATA[[#This Row],[SERIE2]]&amp;"-"&amp;DATA[[#This Row],[NUMERO]]</f>
        <v>FF01-309</v>
      </c>
      <c r="AU1364" s="28">
        <f>DATA[[#This Row],[TOTAL]]*DATA[[#This Row],[T.C.]]</f>
        <v>442.85</v>
      </c>
      <c r="AV1364" s="6">
        <f>DATA[[#This Row],[FECHA DE VAL.]]</f>
        <v>45957</v>
      </c>
      <c r="AW1364" s="6">
        <f>DATA[[#This Row],[FECHA DE EMISION]]</f>
        <v>45958</v>
      </c>
      <c r="AX1364" s="6">
        <f>DATA[[#This Row],[F1]]</f>
        <v>0</v>
      </c>
      <c r="AY1364" s="20">
        <f>IF(AV1364-DATA[[#This Row],[fecha_fs]]&lt;0,0,AV1364-DATA[[#This Row],[fecha_fs]])</f>
        <v>5</v>
      </c>
      <c r="AZ1364" s="20">
        <f t="shared" si="335"/>
        <v>1</v>
      </c>
      <c r="BA1364" s="53">
        <f t="shared" si="336"/>
        <v>0</v>
      </c>
      <c r="BB1364" s="360">
        <f>IFERROR(SUM(DATA[[#This Row],[fs_val_ttf]:[fact_pago_ttf]]),0)</f>
        <v>6</v>
      </c>
      <c r="BC1364" s="378" t="s">
        <v>270</v>
      </c>
      <c r="BD1364" s="185" t="s">
        <v>270</v>
      </c>
      <c r="BE1364" s="185" t="s">
        <v>270</v>
      </c>
      <c r="BF1364" s="185" t="s">
        <v>270</v>
      </c>
      <c r="BG1364" s="20">
        <f>IFERROR(IF(BC1364-DATA[[#This Row],[fecha_fs]]&lt;0,0,BC1364-DATA[[#This Row],[fecha_fs]]),0)</f>
        <v>0</v>
      </c>
      <c r="BH1364" s="20">
        <f t="shared" si="346"/>
        <v>0</v>
      </c>
      <c r="BI1364" s="20">
        <f t="shared" si="347"/>
        <v>0</v>
      </c>
      <c r="BJ1364" s="53">
        <f t="shared" si="348"/>
        <v>0</v>
      </c>
      <c r="BK1364" s="376">
        <f>IFERROR(SUM(DATA[[#This Row],[fs_fd_ttd]:[fend_fenf_ttd]]),0)</f>
        <v>0</v>
      </c>
      <c r="BL1364" s="20" t="str">
        <f>IF(DATA[[#This Row],[fecha_fs]]&gt;0,TEXT(DATA[[#This Row],[fecha_fs]],"YYYY"),0)</f>
        <v>2025</v>
      </c>
      <c r="BM1364" s="236" t="b">
        <v>0</v>
      </c>
      <c r="BN1364" s="278">
        <f>COUNTIF(DATA[[#This Row],[tiempo_td]], "&lt;=15")</f>
        <v>1</v>
      </c>
      <c r="BO1364" s="365"/>
    </row>
    <row r="1365" spans="1:67" ht="30.6" customHeight="1" x14ac:dyDescent="0.25">
      <c r="A1365" s="4">
        <v>20100226902</v>
      </c>
      <c r="B1365" s="5" t="s">
        <v>24</v>
      </c>
      <c r="C1365" s="52" t="s">
        <v>18</v>
      </c>
      <c r="D1365" s="4" t="s">
        <v>120</v>
      </c>
      <c r="E1365" s="5" t="s">
        <v>3</v>
      </c>
      <c r="F1365" s="24">
        <v>45952</v>
      </c>
      <c r="G1365" s="7" t="s">
        <v>113</v>
      </c>
      <c r="H1365" s="25">
        <f t="shared" si="334"/>
        <v>1</v>
      </c>
      <c r="I1365" s="331">
        <v>5149</v>
      </c>
      <c r="J1365" s="8" t="s">
        <v>115</v>
      </c>
      <c r="K1365" s="9" t="s">
        <v>121</v>
      </c>
      <c r="L1365" s="10" t="s">
        <v>117</v>
      </c>
      <c r="M1365" s="11">
        <v>430</v>
      </c>
      <c r="N1365" s="12" t="s">
        <v>204</v>
      </c>
      <c r="O1365" s="359"/>
      <c r="P1365" s="371" t="s">
        <v>114</v>
      </c>
      <c r="Q1365" s="372"/>
      <c r="R1365" s="373"/>
      <c r="S1365" s="373"/>
      <c r="T1365" s="373">
        <v>0</v>
      </c>
      <c r="U1365" s="373">
        <v>0</v>
      </c>
      <c r="V1365" s="373">
        <v>0</v>
      </c>
      <c r="W1365" s="339" t="s">
        <v>128</v>
      </c>
      <c r="X1365" s="374"/>
      <c r="Y1365" s="17" t="s">
        <v>128</v>
      </c>
      <c r="Z1365" s="340"/>
      <c r="AA1365" s="361"/>
      <c r="AB1365" s="342"/>
      <c r="AC1365" s="343"/>
      <c r="AD1365" s="344">
        <v>0</v>
      </c>
      <c r="AE1365" s="23">
        <f>IF(DATA[[#This Row],[MONEDA]]="USD",VLOOKUP(DATA[[#This Row],[COMBINADA]],#REF!,11,0),1)</f>
        <v>1</v>
      </c>
      <c r="AF1365" s="129" t="str">
        <f>IF(DATA[[#This Row],[SERIE2]]="-","NO CORRESPONDE",IF(W1365="NO CORRESPONDE","NO CORRESPONDE",IF(Z1365&gt;0,"FACTURADO","PENDIENTE")))</f>
        <v>NO CORRESPONDE</v>
      </c>
      <c r="AG1365" s="310">
        <f>IFERROR(VLOOKUP(DATA[[#This Row],[COMBINADA]],#REF!,6,0),0)</f>
        <v>0</v>
      </c>
      <c r="AH1365" s="311">
        <f>IFERROR(VLOOKUP(DATA[[#This Row],[COMBINADA]],#REF!,9,0),0)/COUNTIFS(DATA[COMBINADA],DATA[[#This Row],[COMBINADA]])</f>
        <v>0</v>
      </c>
      <c r="AI1365" s="310">
        <f>IFERROR(VLOOKUP(DATA[[#This Row],[COMBINADA]],#REF!,6,0),0)</f>
        <v>0</v>
      </c>
      <c r="AJ1365" s="311">
        <f>IFERROR(VLOOKUP(DATA[[#This Row],[COMBINADA]],#REF!,9,0),0)/COUNTIFS(DATA[COMBINADA],DATA[[#This Row],[COMBINADA]])</f>
        <v>0</v>
      </c>
      <c r="AK1365" s="413">
        <f>IFERROR(VLOOKUP(DATA[[#This Row],[COMBINADA]],#REF!,6,0),0)</f>
        <v>0</v>
      </c>
      <c r="AL1365" s="311">
        <f>IFERROR(VLOOKUP(DATA[[#This Row],[COMBINADA]],#REF!,9,0),0)/COUNTIFS(DATA[COMBINADA],DATA[[#This Row],[COMBINADA]])</f>
        <v>0</v>
      </c>
      <c r="AM1365" s="312">
        <f>IFERROR(VLOOKUP(DATA[[#This Row],[COMBINADA]],#REF!,6,0),0)</f>
        <v>0</v>
      </c>
      <c r="AN1365" s="311">
        <f>IFERROR(VLOOKUP(DATA[[#This Row],[COMBINADA]],#REF!,9,0),0)/COUNTIFS(DATA[COMBINADA],DATA[[#This Row],[COMBINADA]])</f>
        <v>0</v>
      </c>
      <c r="AO1365" s="313">
        <f>IFERROR(VLOOKUP(DATA[[#This Row],[COMBINADA]],#REF!,6,0),0)</f>
        <v>0</v>
      </c>
      <c r="AP1365" s="311">
        <f>IFERROR(VLOOKUP(DATA[[#This Row],[COMBINADA]],#REF!,9,0),0)/COUNTIFS(DATA[COMBINADA],DATA[[#This Row],[COMBINADA]])</f>
        <v>0</v>
      </c>
      <c r="AQ1365" s="314">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65" s="315" t="str">
        <f>IFERROR(IF(DATA[[#This Row],[estado_fact]]="FACTURADO",VLOOKUP(DATA[[#This Row],[SERIE2]]&amp;"-"&amp;DATA[[#This Row],[NUMERO]],#REF!,34,0),"NO CORRESPONDE"),"NO CORRESPONDE")</f>
        <v>NO CORRESPONDE</v>
      </c>
      <c r="AS1365" s="22" t="str">
        <f>IF(DATA[[#This Row],[fecha_fs]]&gt;0,TEXT(DATA[[#This Row],[fecha_fs]],"Mmmm"),0)</f>
        <v>Octubre</v>
      </c>
      <c r="AT1365" s="22" t="str">
        <f>DATA[[#This Row],[SERIE2]]&amp;"-"&amp;DATA[[#This Row],[NUMERO]]</f>
        <v>-</v>
      </c>
      <c r="AU1365" s="28">
        <f>DATA[[#This Row],[TOTAL]]*DATA[[#This Row],[T.C.]]</f>
        <v>0</v>
      </c>
      <c r="AV1365" s="6">
        <f>DATA[[#This Row],[FECHA DE VAL.]]</f>
        <v>0</v>
      </c>
      <c r="AW1365" s="6">
        <f>DATA[[#This Row],[FECHA DE EMISION]]</f>
        <v>0</v>
      </c>
      <c r="AX1365" s="6">
        <f>DATA[[#This Row],[F1]]</f>
        <v>0</v>
      </c>
      <c r="AY1365" s="20">
        <f>IF(AV1365-DATA[[#This Row],[fecha_fs]]&lt;0,0,AV1365-DATA[[#This Row],[fecha_fs]])</f>
        <v>0</v>
      </c>
      <c r="AZ1365" s="20">
        <f t="shared" si="335"/>
        <v>0</v>
      </c>
      <c r="BA1365" s="53">
        <f t="shared" si="336"/>
        <v>0</v>
      </c>
      <c r="BB1365" s="360">
        <f>IFERROR(SUM(DATA[[#This Row],[fs_val_ttf]:[fact_pago_ttf]]),0)</f>
        <v>0</v>
      </c>
      <c r="BC1365" s="378" t="s">
        <v>270</v>
      </c>
      <c r="BD1365" s="185" t="s">
        <v>270</v>
      </c>
      <c r="BE1365" s="185" t="s">
        <v>270</v>
      </c>
      <c r="BF1365" s="185" t="s">
        <v>270</v>
      </c>
      <c r="BG1365" s="20">
        <f>IFERROR(IF(BC1365-DATA[[#This Row],[fecha_fs]]&lt;0,0,BC1365-DATA[[#This Row],[fecha_fs]]),0)</f>
        <v>0</v>
      </c>
      <c r="BH1365" s="20">
        <f t="shared" si="346"/>
        <v>0</v>
      </c>
      <c r="BI1365" s="20">
        <f t="shared" si="347"/>
        <v>0</v>
      </c>
      <c r="BJ1365" s="53">
        <f t="shared" si="348"/>
        <v>0</v>
      </c>
      <c r="BK1365" s="376">
        <f>IFERROR(SUM(DATA[[#This Row],[fs_fd_ttd]:[fend_fenf_ttd]]),0)</f>
        <v>0</v>
      </c>
      <c r="BL1365" s="20" t="str">
        <f>IF(DATA[[#This Row],[fecha_fs]]&gt;0,TEXT(DATA[[#This Row],[fecha_fs]],"YYYY"),0)</f>
        <v>2025</v>
      </c>
      <c r="BM1365" s="236" t="b">
        <v>0</v>
      </c>
      <c r="BN1365" s="278">
        <f>COUNTIF(DATA[[#This Row],[tiempo_td]], "&lt;=15")</f>
        <v>1</v>
      </c>
      <c r="BO1365" s="365"/>
    </row>
    <row r="1366" spans="1:67" ht="30.6" customHeight="1" x14ac:dyDescent="0.25">
      <c r="A1366" s="4">
        <v>20558226979</v>
      </c>
      <c r="B1366" s="5" t="s">
        <v>45</v>
      </c>
      <c r="C1366" s="52" t="s">
        <v>18</v>
      </c>
      <c r="D1366" s="4" t="s">
        <v>120</v>
      </c>
      <c r="E1366" s="5" t="s">
        <v>3</v>
      </c>
      <c r="F1366" s="24">
        <v>45952</v>
      </c>
      <c r="G1366" s="7" t="s">
        <v>113</v>
      </c>
      <c r="H1366" s="25">
        <f t="shared" si="334"/>
        <v>1</v>
      </c>
      <c r="I1366" s="67">
        <v>5150</v>
      </c>
      <c r="J1366" s="8" t="s">
        <v>115</v>
      </c>
      <c r="K1366" s="9" t="s">
        <v>121</v>
      </c>
      <c r="L1366" s="10" t="s">
        <v>117</v>
      </c>
      <c r="M1366" s="111">
        <v>4200</v>
      </c>
      <c r="N1366" s="12" t="s">
        <v>122</v>
      </c>
      <c r="O1366" s="359"/>
      <c r="P1366" s="371" t="s">
        <v>114</v>
      </c>
      <c r="Q1366" s="372"/>
      <c r="R1366" s="373"/>
      <c r="S1366" s="373"/>
      <c r="T1366" s="373">
        <f>DATA[[#This Row],[C. DF]]+DATA[[#This Row],[C.OPE.]]</f>
        <v>0</v>
      </c>
      <c r="U1366" s="373">
        <f>DATA[[#This Row],[SUB TOTAL]]*0.18</f>
        <v>0</v>
      </c>
      <c r="V1366" s="373">
        <f>IFERROR(ROUND(DATA[[#This Row],[SUB TOTAL]]+DATA[[#This Row],[IGV]],2),0)</f>
        <v>0</v>
      </c>
      <c r="W1366" s="16" t="str">
        <f>IF(DATA[[#This Row],[VALORIZACIÓN ]]="-","NO CORRESPONDE",IF(OR(A1366=20558226979,A1366=10470707866,A1366=20111157058,A1366=20100226902),"NO CORRESPONDE",IF(J1366="Emitida",IF(P1366&gt;0,"EMITIDA","PENDIENTE"),"NO CORRESPONDE")))</f>
        <v>NO CORRESPONDE</v>
      </c>
      <c r="X1366" s="46"/>
      <c r="Y1366" s="17" t="s">
        <v>128</v>
      </c>
      <c r="Z1366" s="48"/>
      <c r="AA1366" s="49"/>
      <c r="AB1366" s="50"/>
      <c r="AC1366" s="51"/>
      <c r="AD1366" s="59">
        <f>DATA[[#This Row],[FECHA DE EMISION]]+DATA[[#This Row],[CONDICION DE PAGO]]</f>
        <v>0</v>
      </c>
      <c r="AE1366" s="23">
        <f>IF(DATA[[#This Row],[MONEDA]]="USD",VLOOKUP(DATA[[#This Row],[COMBINADA]],#REF!,11,0),1)</f>
        <v>1</v>
      </c>
      <c r="AF1366" s="129" t="str">
        <f>IF(DATA[[#This Row],[SERIE2]]="-","NO CORRESPONDE",IF(W1366="NO CORRESPONDE","NO CORRESPONDE",IF(Z1366&gt;0,"FACTURADO","PENDIENTE")))</f>
        <v>NO CORRESPONDE</v>
      </c>
      <c r="AG1366" s="133">
        <f>IFERROR(VLOOKUP(DATA[[#This Row],[COMBINADA]],#REF!,6,0),0)</f>
        <v>0</v>
      </c>
      <c r="AH1366" s="125">
        <f>IFERROR(VLOOKUP(DATA[[#This Row],[COMBINADA]],#REF!,9,0),0)/COUNTIFS(DATA[COMBINADA],DATA[[#This Row],[COMBINADA]])</f>
        <v>0</v>
      </c>
      <c r="AI1366" s="140">
        <f>IFERROR(VLOOKUP(DATA[[#This Row],[COMBINADA]],#REF!,6,0),0)</f>
        <v>0</v>
      </c>
      <c r="AJ1366" s="126">
        <f>IFERROR(VLOOKUP(DATA[[#This Row],[COMBINADA]],#REF!,9,0),0)/COUNTIFS(DATA[COMBINADA],DATA[[#This Row],[COMBINADA]])</f>
        <v>0</v>
      </c>
      <c r="AK1366" s="61">
        <f>IFERROR(VLOOKUP(DATA[[#This Row],[COMBINADA]],#REF!,6,0),0)</f>
        <v>0</v>
      </c>
      <c r="AL1366" s="126">
        <f>IFERROR(VLOOKUP(DATA[[#This Row],[COMBINADA]],#REF!,9,0),0)/COUNTIFS(DATA[COMBINADA],DATA[[#This Row],[COMBINADA]])</f>
        <v>0</v>
      </c>
      <c r="AM1366" s="61">
        <f>IFERROR(VLOOKUP(DATA[[#This Row],[COMBINADA]],#REF!,6,0),0)</f>
        <v>0</v>
      </c>
      <c r="AN1366" s="62">
        <f>IFERROR(VLOOKUP(DATA[[#This Row],[COMBINADA]],#REF!,9,0),0)/COUNTIFS(DATA[COMBINADA],DATA[[#This Row],[COMBINADA]])</f>
        <v>0</v>
      </c>
      <c r="AO1366" s="61">
        <f>IFERROR(VLOOKUP(DATA[[#This Row],[COMBINADA]],#REF!,6,0),0)</f>
        <v>0</v>
      </c>
      <c r="AP1366" s="62">
        <f>IFERROR(VLOOKUP(DATA[[#This Row],[COMBINADA]],#REF!,9,0),0)/COUNTIFS(DATA[COMBINADA],DATA[[#This Row],[COMBINADA]])</f>
        <v>0</v>
      </c>
      <c r="AQ1366"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66" s="22" t="str">
        <f>IFERROR(IF(DATA[[#This Row],[estado_fact]]="FACTURADO",VLOOKUP(DATA[[#This Row],[SERIE2]]&amp;"-"&amp;DATA[[#This Row],[NUMERO]],#REF!,34,0),"NO CORRESPONDE"),"NO CORRESPONDE")</f>
        <v>NO CORRESPONDE</v>
      </c>
      <c r="AS1366" s="198" t="str">
        <f>IF(DATA[[#This Row],[fecha_fs]]&gt;0,TEXT(DATA[[#This Row],[fecha_fs]],"Mmmm"),0)</f>
        <v>Octubre</v>
      </c>
      <c r="AT1366" s="199" t="str">
        <f>DATA[[#This Row],[SERIE2]]&amp;"-"&amp;DATA[[#This Row],[NUMERO]]</f>
        <v>-</v>
      </c>
      <c r="AU1366" s="198">
        <f>DATA[[#This Row],[TOTAL]]*DATA[[#This Row],[T.C.]]</f>
        <v>0</v>
      </c>
      <c r="AV1366" s="40">
        <f>DATA[[#This Row],[FECHA DE VAL.]]</f>
        <v>0</v>
      </c>
      <c r="AW1366" s="40">
        <f>DATA[[#This Row],[FECHA DE EMISION]]</f>
        <v>0</v>
      </c>
      <c r="AX1366" s="40">
        <f>DATA[[#This Row],[F1]]</f>
        <v>0</v>
      </c>
      <c r="AY1366" s="49">
        <f>IF(AV1366-DATA[[#This Row],[fecha_fs]]&lt;0,0,AV1366-DATA[[#This Row],[fecha_fs]])</f>
        <v>0</v>
      </c>
      <c r="AZ1366" s="49">
        <f t="shared" si="335"/>
        <v>0</v>
      </c>
      <c r="BA1366" s="49">
        <f t="shared" si="336"/>
        <v>0</v>
      </c>
      <c r="BB1366" s="360">
        <f>IFERROR(SUM(DATA[[#This Row],[fs_val_ttf]:[fact_pago_ttf]]),0)</f>
        <v>0</v>
      </c>
      <c r="BC1366" s="378" t="s">
        <v>270</v>
      </c>
      <c r="BD1366" s="185" t="s">
        <v>270</v>
      </c>
      <c r="BE1366" s="185" t="s">
        <v>270</v>
      </c>
      <c r="BF1366" s="185" t="s">
        <v>270</v>
      </c>
      <c r="BG1366" s="20">
        <f>IFERROR(IF(BC1366-DATA[[#This Row],[fecha_fs]]&lt;0,0,BC1366-DATA[[#This Row],[fecha_fs]]),0)</f>
        <v>0</v>
      </c>
      <c r="BH1366" s="20">
        <f t="shared" si="346"/>
        <v>0</v>
      </c>
      <c r="BI1366" s="20">
        <f t="shared" si="347"/>
        <v>0</v>
      </c>
      <c r="BJ1366" s="53">
        <f t="shared" si="348"/>
        <v>0</v>
      </c>
      <c r="BK1366" s="376">
        <f>IFERROR(SUM(DATA[[#This Row],[fs_fd_ttd]:[fend_fenf_ttd]]),0)</f>
        <v>0</v>
      </c>
      <c r="BL1366" s="20" t="str">
        <f>IF(DATA[[#This Row],[fecha_fs]]&gt;0,TEXT(DATA[[#This Row],[fecha_fs]],"YYYY"),0)</f>
        <v>2025</v>
      </c>
      <c r="BM1366" s="236" t="b">
        <v>0</v>
      </c>
      <c r="BN1366" s="278">
        <f>COUNTIF(DATA[[#This Row],[tiempo_td]], "&lt;=15")</f>
        <v>1</v>
      </c>
      <c r="BO1366" s="365"/>
    </row>
    <row r="1367" spans="1:67" ht="30.6" customHeight="1" x14ac:dyDescent="0.25">
      <c r="A1367" s="4">
        <v>20141637941</v>
      </c>
      <c r="B1367" s="5" t="s">
        <v>79</v>
      </c>
      <c r="C1367" s="52" t="s">
        <v>18</v>
      </c>
      <c r="D1367" s="4" t="s">
        <v>120</v>
      </c>
      <c r="E1367" s="5" t="s">
        <v>3</v>
      </c>
      <c r="F1367" s="24">
        <v>45952</v>
      </c>
      <c r="G1367" s="7" t="s">
        <v>113</v>
      </c>
      <c r="H1367" s="25">
        <f t="shared" si="334"/>
        <v>1</v>
      </c>
      <c r="I1367" s="331">
        <v>5151</v>
      </c>
      <c r="J1367" s="8" t="s">
        <v>115</v>
      </c>
      <c r="K1367" s="9" t="s">
        <v>121</v>
      </c>
      <c r="L1367" s="10" t="s">
        <v>117</v>
      </c>
      <c r="M1367" s="11">
        <v>860</v>
      </c>
      <c r="N1367" s="12" t="s">
        <v>249</v>
      </c>
      <c r="O1367" s="6">
        <v>45954</v>
      </c>
      <c r="P1367" s="110">
        <v>3738</v>
      </c>
      <c r="Q1367" s="14" t="s">
        <v>85</v>
      </c>
      <c r="R1367" s="401">
        <v>80</v>
      </c>
      <c r="S1367" s="401">
        <v>832</v>
      </c>
      <c r="T1367" s="321">
        <f>DATA[[#This Row],[C. DF]]+DATA[[#This Row],[C.OPE.]]</f>
        <v>912</v>
      </c>
      <c r="U1367" s="15">
        <f>DATA[[#This Row],[SUB TOTAL]]*0.18</f>
        <v>164.16</v>
      </c>
      <c r="V1367" s="15">
        <f>IFERROR(ROUND(DATA[[#This Row],[SUB TOTAL]]+DATA[[#This Row],[IGV]],2),0)</f>
        <v>1076.1600000000001</v>
      </c>
      <c r="W1367" s="339" t="str">
        <f>IF(DATA[[#This Row],[VALORIZACIÓN ]]="-","NO CORRESPONDE",IF(OR(A1367=20558226979,A1367=10470707866,A1367=20111157058,A1367=20100226902),"NO CORRESPONDE",IF(J1367="Emitida",IF(P1367&gt;0,"EMITIDA","PENDIENTE"),"NO CORRESPONDE")))</f>
        <v>EMITIDA</v>
      </c>
      <c r="X1367" s="29"/>
      <c r="Y1367" s="17" t="s">
        <v>118</v>
      </c>
      <c r="Z1367" s="30">
        <v>45964</v>
      </c>
      <c r="AA1367" s="10" t="s">
        <v>150</v>
      </c>
      <c r="AB1367" s="19">
        <v>319</v>
      </c>
      <c r="AC1367" s="20">
        <v>30</v>
      </c>
      <c r="AD1367" s="18">
        <f>DATA[[#This Row],[FECHA DE EMISION]]+DATA[[#This Row],[CONDICION DE PAGO]]</f>
        <v>45994</v>
      </c>
      <c r="AE1367" s="23">
        <f>IF(DATA[[#This Row],[MONEDA]]="USD",VLOOKUP(DATA[[#This Row],[COMBINADA]],#REF!,11,0),1)</f>
        <v>1</v>
      </c>
      <c r="AF1367" s="129" t="str">
        <f>IF(DATA[[#This Row],[SERIE2]]="-","NO CORRESPONDE",IF(W1367="NO CORRESPONDE","NO CORRESPONDE",IF(Z1367&gt;0,"FACTURADO","PENDIENTE")))</f>
        <v>FACTURADO</v>
      </c>
      <c r="AG1367" s="133">
        <f>IFERROR(VLOOKUP(DATA[[#This Row],[COMBINADA]],#REF!,6,0),0)</f>
        <v>0</v>
      </c>
      <c r="AH1367" s="125">
        <f>IFERROR(VLOOKUP(DATA[[#This Row],[COMBINADA]],#REF!,9,0),0)/COUNTIFS(DATA[COMBINADA],DATA[[#This Row],[COMBINADA]])</f>
        <v>0</v>
      </c>
      <c r="AI1367" s="136">
        <f>IFERROR(VLOOKUP(DATA[[#This Row],[COMBINADA]],#REF!,6,0),0)</f>
        <v>0</v>
      </c>
      <c r="AJ1367" s="132">
        <f>IFERROR(VLOOKUP(DATA[[#This Row],[COMBINADA]],#REF!,9,0),0)/COUNTIFS(DATA[COMBINADA],DATA[[#This Row],[COMBINADA]])</f>
        <v>0</v>
      </c>
      <c r="AK1367" s="407">
        <f>IFERROR(VLOOKUP(DATA[[#This Row],[COMBINADA]],#REF!,6,0),0)</f>
        <v>0</v>
      </c>
      <c r="AL1367" s="125">
        <f>IFERROR(VLOOKUP(DATA[[#This Row],[COMBINADA]],#REF!,9,0),0)/COUNTIFS(DATA[COMBINADA],DATA[[#This Row],[COMBINADA]])</f>
        <v>0</v>
      </c>
      <c r="AM1367" s="27">
        <f>IFERROR(VLOOKUP(DATA[[#This Row],[COMBINADA]],#REF!,6,0),0)</f>
        <v>0</v>
      </c>
      <c r="AN1367" s="125">
        <f>IFERROR(VLOOKUP(DATA[[#This Row],[COMBINADA]],#REF!,9,0),0)/COUNTIFS(DATA[COMBINADA],DATA[[#This Row],[COMBINADA]])</f>
        <v>0</v>
      </c>
      <c r="AO1367" s="27">
        <f>IFERROR(VLOOKUP(DATA[[#This Row],[COMBINADA]],#REF!,6,0),0)</f>
        <v>0</v>
      </c>
      <c r="AP1367" s="132">
        <f>IFERROR(VLOOKUP(DATA[[#This Row],[COMBINADA]],#REF!,9,0),0)/COUNTIFS(DATA[COMBINADA],DATA[[#This Row],[COMBINADA]])</f>
        <v>0</v>
      </c>
      <c r="AQ136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1076.8675000000001</v>
      </c>
      <c r="AR1367" s="26" t="str">
        <f>IFERROR(IF(DATA[[#This Row],[estado_fact]]="FACTURADO",VLOOKUP(DATA[[#This Row],[SERIE2]]&amp;"-"&amp;DATA[[#This Row],[NUMERO]],#REF!,34,0),"NO CORRESPONDE"),"NO CORRESPONDE")</f>
        <v>NO CORRESPONDE</v>
      </c>
      <c r="AS1367" s="22" t="str">
        <f>IF(DATA[[#This Row],[fecha_fs]]&gt;0,TEXT(DATA[[#This Row],[fecha_fs]],"Mmmm"),0)</f>
        <v>Octubre</v>
      </c>
      <c r="AT1367" s="22" t="str">
        <f>DATA[[#This Row],[SERIE2]]&amp;"-"&amp;DATA[[#This Row],[NUMERO]]</f>
        <v>FF01-319</v>
      </c>
      <c r="AU1367" s="28">
        <f>DATA[[#This Row],[TOTAL]]*DATA[[#This Row],[T.C.]]</f>
        <v>1076.1600000000001</v>
      </c>
      <c r="AV1367" s="6">
        <f>DATA[[#This Row],[FECHA DE VAL.]]</f>
        <v>45954</v>
      </c>
      <c r="AW1367" s="6">
        <f>DATA[[#This Row],[FECHA DE EMISION]]</f>
        <v>45964</v>
      </c>
      <c r="AX1367" s="6">
        <f>DATA[[#This Row],[F1]]</f>
        <v>0</v>
      </c>
      <c r="AY1367" s="20">
        <f>IF(AV1367-DATA[[#This Row],[fecha_fs]]&lt;0,0,AV1367-DATA[[#This Row],[fecha_fs]])</f>
        <v>2</v>
      </c>
      <c r="AZ1367" s="20">
        <f t="shared" si="335"/>
        <v>10</v>
      </c>
      <c r="BA1367" s="53">
        <f t="shared" si="336"/>
        <v>0</v>
      </c>
      <c r="BB1367" s="360">
        <f>IFERROR(SUM(DATA[[#This Row],[fs_val_ttf]:[fact_pago_ttf]]),0)</f>
        <v>12</v>
      </c>
      <c r="BC1367" s="378">
        <v>45952</v>
      </c>
      <c r="BD1367" s="377">
        <v>45960</v>
      </c>
      <c r="BE1367" s="185">
        <v>45964</v>
      </c>
      <c r="BF1367" s="377">
        <v>45967</v>
      </c>
      <c r="BG1367" s="20">
        <f>IFERROR(IF(BC1367-DATA[[#This Row],[fecha_fs]]&lt;0,0,BC1367-DATA[[#This Row],[fecha_fs]]),0)</f>
        <v>0</v>
      </c>
      <c r="BH1367" s="20">
        <f t="shared" si="346"/>
        <v>8</v>
      </c>
      <c r="BI1367" s="20">
        <f t="shared" si="347"/>
        <v>4</v>
      </c>
      <c r="BJ1367" s="53">
        <f t="shared" si="348"/>
        <v>3</v>
      </c>
      <c r="BK1367" s="376">
        <f>IFERROR(SUM(DATA[[#This Row],[fs_fd_ttd]:[fend_fenf_ttd]]),0)</f>
        <v>15</v>
      </c>
      <c r="BL1367" s="20" t="str">
        <f>IF(DATA[[#This Row],[fecha_fs]]&gt;0,TEXT(DATA[[#This Row],[fecha_fs]],"YYYY"),0)</f>
        <v>2025</v>
      </c>
      <c r="BM1367" s="236" t="b">
        <v>1</v>
      </c>
      <c r="BN1367" s="278">
        <f>COUNTIF(DATA[[#This Row],[tiempo_td]], "&lt;=15")</f>
        <v>1</v>
      </c>
      <c r="BO1367" s="365"/>
    </row>
    <row r="1368" spans="1:67" ht="30.6" customHeight="1" x14ac:dyDescent="0.25">
      <c r="A1368" s="4">
        <v>20100192064</v>
      </c>
      <c r="B1368" s="5" t="s">
        <v>60</v>
      </c>
      <c r="C1368" s="52" t="s">
        <v>43</v>
      </c>
      <c r="D1368" s="4" t="s">
        <v>120</v>
      </c>
      <c r="E1368" s="5" t="s">
        <v>3</v>
      </c>
      <c r="F1368" s="24">
        <v>45952</v>
      </c>
      <c r="G1368" s="7" t="s">
        <v>113</v>
      </c>
      <c r="H1368" s="25">
        <f t="shared" si="334"/>
        <v>1</v>
      </c>
      <c r="I1368" s="331">
        <v>5152</v>
      </c>
      <c r="J1368" s="8" t="s">
        <v>115</v>
      </c>
      <c r="K1368" s="9" t="s">
        <v>121</v>
      </c>
      <c r="L1368" s="10" t="s">
        <v>117</v>
      </c>
      <c r="M1368" s="11">
        <v>510</v>
      </c>
      <c r="N1368" s="12" t="s">
        <v>122</v>
      </c>
      <c r="O1368" s="6">
        <v>45959</v>
      </c>
      <c r="P1368" s="366">
        <v>3758</v>
      </c>
      <c r="Q1368" s="402" t="s">
        <v>123</v>
      </c>
      <c r="R1368" s="401">
        <f>(DATA[[#This Row],[cantidad_fs]]/1000)*(47+174.34)</f>
        <v>112.88340000000001</v>
      </c>
      <c r="S1368" s="401">
        <v>137</v>
      </c>
      <c r="T1368" s="321">
        <f>DATA[[#This Row],[C. DF]]+DATA[[#This Row],[C.OPE.]]</f>
        <v>249.88339999999999</v>
      </c>
      <c r="U1368" s="15">
        <f>DATA[[#This Row],[SUB TOTAL]]*0.18</f>
        <v>44.979011999999997</v>
      </c>
      <c r="V1368" s="15">
        <f>IFERROR(ROUND(DATA[[#This Row],[SUB TOTAL]]+DATA[[#This Row],[IGV]],2),0)</f>
        <v>294.86</v>
      </c>
      <c r="W1368" s="339" t="str">
        <f>IF(DATA[[#This Row],[VALORIZACIÓN ]]="-","NO CORRESPONDE",IF(OR(A1368=20558226979,A1368=10470707866,A1368=20111157058,A1368=20100226902),"NO CORRESPONDE",IF(J1368="Emitida",IF(P1368&gt;0,"EMITIDA","PENDIENTE"),"NO CORRESPONDE")))</f>
        <v>EMITIDA</v>
      </c>
      <c r="X1368" s="29" t="s">
        <v>375</v>
      </c>
      <c r="Y1368" s="17" t="s">
        <v>118</v>
      </c>
      <c r="Z1368" s="30">
        <v>45961</v>
      </c>
      <c r="AA1368" s="10" t="s">
        <v>150</v>
      </c>
      <c r="AB1368" s="19">
        <v>318</v>
      </c>
      <c r="AC1368" s="20">
        <v>30</v>
      </c>
      <c r="AD1368" s="18">
        <f>DATA[[#This Row],[FECHA DE EMISION]]+DATA[[#This Row],[CONDICION DE PAGO]]</f>
        <v>45991</v>
      </c>
      <c r="AE1368" s="23" t="e">
        <f>IF(DATA[[#This Row],[MONEDA]]="USD",VLOOKUP(DATA[[#This Row],[COMBINADA]],#REF!,11,0),1)</f>
        <v>#REF!</v>
      </c>
      <c r="AF1368" s="129" t="str">
        <f>IF(DATA[[#This Row],[SERIE2]]="-","NO CORRESPONDE",IF(W1368="NO CORRESPONDE","NO CORRESPONDE",IF(Z1368&gt;0,"FACTURADO","PENDIENTE")))</f>
        <v>FACTURADO</v>
      </c>
      <c r="AG1368" s="133">
        <f>IFERROR(VLOOKUP(DATA[[#This Row],[COMBINADA]],#REF!,6,0),0)</f>
        <v>0</v>
      </c>
      <c r="AH1368" s="125">
        <f>IFERROR(VLOOKUP(DATA[[#This Row],[COMBINADA]],#REF!,9,0),0)/COUNTIFS(DATA[COMBINADA],DATA[[#This Row],[COMBINADA]])</f>
        <v>0</v>
      </c>
      <c r="AI1368" s="136">
        <f>IFERROR(VLOOKUP(DATA[[#This Row],[COMBINADA]],#REF!,6,0),0)</f>
        <v>0</v>
      </c>
      <c r="AJ1368" s="132">
        <f>IFERROR(VLOOKUP(DATA[[#This Row],[COMBINADA]],#REF!,9,0),0)/COUNTIFS(DATA[COMBINADA],DATA[[#This Row],[COMBINADA]])</f>
        <v>0</v>
      </c>
      <c r="AK1368" s="407">
        <f>IFERROR(VLOOKUP(DATA[[#This Row],[COMBINADA]],#REF!,6,0),0)</f>
        <v>0</v>
      </c>
      <c r="AL1368" s="125">
        <f>IFERROR(VLOOKUP(DATA[[#This Row],[COMBINADA]],#REF!,9,0),0)/COUNTIFS(DATA[COMBINADA],DATA[[#This Row],[COMBINADA]])</f>
        <v>0</v>
      </c>
      <c r="AM1368" s="27">
        <f>IFERROR(VLOOKUP(DATA[[#This Row],[COMBINADA]],#REF!,6,0),0)</f>
        <v>0</v>
      </c>
      <c r="AN1368" s="125">
        <f>IFERROR(VLOOKUP(DATA[[#This Row],[COMBINADA]],#REF!,9,0),0)/COUNTIFS(DATA[COMBINADA],DATA[[#This Row],[COMBINADA]])</f>
        <v>0</v>
      </c>
      <c r="AO1368" s="27">
        <f>IFERROR(VLOOKUP(DATA[[#This Row],[COMBINADA]],#REF!,6,0),0)</f>
        <v>0</v>
      </c>
      <c r="AP1368" s="132">
        <f>IFERROR(VLOOKUP(DATA[[#This Row],[COMBINADA]],#REF!,9,0),0)/COUNTIFS(DATA[COMBINADA],DATA[[#This Row],[COMBINADA]])</f>
        <v>0</v>
      </c>
      <c r="AQ136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492.32615384615383</v>
      </c>
      <c r="AR1368" s="26" t="str">
        <f>IFERROR(IF(DATA[[#This Row],[estado_fact]]="FACTURADO",VLOOKUP(DATA[[#This Row],[SERIE2]]&amp;"-"&amp;DATA[[#This Row],[NUMERO]],#REF!,34,0),"NO CORRESPONDE"),"NO CORRESPONDE")</f>
        <v>NO CORRESPONDE</v>
      </c>
      <c r="AS1368" s="22" t="str">
        <f>IF(DATA[[#This Row],[fecha_fs]]&gt;0,TEXT(DATA[[#This Row],[fecha_fs]],"Mmmm"),0)</f>
        <v>Octubre</v>
      </c>
      <c r="AT1368" s="22" t="str">
        <f>DATA[[#This Row],[SERIE2]]&amp;"-"&amp;DATA[[#This Row],[NUMERO]]</f>
        <v>FF01-318</v>
      </c>
      <c r="AU1368" s="28" t="e">
        <f>DATA[[#This Row],[TOTAL]]*DATA[[#This Row],[T.C.]]</f>
        <v>#REF!</v>
      </c>
      <c r="AV1368" s="6">
        <f>DATA[[#This Row],[FECHA DE VAL.]]</f>
        <v>45959</v>
      </c>
      <c r="AW1368" s="6">
        <f>DATA[[#This Row],[FECHA DE EMISION]]</f>
        <v>45961</v>
      </c>
      <c r="AX1368" s="6">
        <f>DATA[[#This Row],[F1]]</f>
        <v>0</v>
      </c>
      <c r="AY1368" s="20">
        <f>IF(AV1368-DATA[[#This Row],[fecha_fs]]&lt;0,0,AV1368-DATA[[#This Row],[fecha_fs]])</f>
        <v>7</v>
      </c>
      <c r="AZ1368" s="20">
        <f t="shared" si="335"/>
        <v>2</v>
      </c>
      <c r="BA1368" s="53">
        <f t="shared" si="336"/>
        <v>0</v>
      </c>
      <c r="BB1368" s="360">
        <f>IFERROR(SUM(DATA[[#This Row],[fs_val_ttf]:[fact_pago_ttf]]),0)</f>
        <v>9</v>
      </c>
      <c r="BC1368" s="378" t="s">
        <v>270</v>
      </c>
      <c r="BD1368" s="185" t="s">
        <v>270</v>
      </c>
      <c r="BE1368" s="185" t="s">
        <v>270</v>
      </c>
      <c r="BF1368" s="185" t="s">
        <v>270</v>
      </c>
      <c r="BG1368" s="20">
        <f>IFERROR(IF(BC1368-DATA[[#This Row],[fecha_fs]]&lt;0,0,BC1368-DATA[[#This Row],[fecha_fs]]),0)</f>
        <v>0</v>
      </c>
      <c r="BH1368" s="20">
        <f t="shared" si="346"/>
        <v>0</v>
      </c>
      <c r="BI1368" s="20">
        <f t="shared" si="347"/>
        <v>0</v>
      </c>
      <c r="BJ1368" s="53">
        <f t="shared" si="348"/>
        <v>0</v>
      </c>
      <c r="BK1368" s="376">
        <f>IFERROR(SUM(DATA[[#This Row],[fs_fd_ttd]:[fend_fenf_ttd]]),0)</f>
        <v>0</v>
      </c>
      <c r="BL1368" s="20" t="str">
        <f>IF(DATA[[#This Row],[fecha_fs]]&gt;0,TEXT(DATA[[#This Row],[fecha_fs]],"YYYY"),0)</f>
        <v>2025</v>
      </c>
      <c r="BM1368" s="236" t="b">
        <v>0</v>
      </c>
      <c r="BN1368" s="278">
        <f>COUNTIF(DATA[[#This Row],[tiempo_td]], "&lt;=15")</f>
        <v>1</v>
      </c>
      <c r="BO1368" s="365"/>
    </row>
    <row r="1369" spans="1:67" ht="30.6" customHeight="1" x14ac:dyDescent="0.25">
      <c r="A1369" s="4">
        <v>20100192064</v>
      </c>
      <c r="B1369" s="5" t="s">
        <v>60</v>
      </c>
      <c r="C1369" s="52" t="s">
        <v>43</v>
      </c>
      <c r="D1369" s="4" t="s">
        <v>112</v>
      </c>
      <c r="E1369" s="5" t="s">
        <v>1</v>
      </c>
      <c r="F1369" s="24">
        <v>45952</v>
      </c>
      <c r="G1369" s="7" t="s">
        <v>113</v>
      </c>
      <c r="H1369" s="25">
        <f t="shared" si="334"/>
        <v>1</v>
      </c>
      <c r="I1369" s="331">
        <v>5153</v>
      </c>
      <c r="J1369" s="8" t="s">
        <v>115</v>
      </c>
      <c r="K1369" s="9" t="s">
        <v>116</v>
      </c>
      <c r="L1369" s="10" t="s">
        <v>117</v>
      </c>
      <c r="M1369" s="11">
        <v>1600</v>
      </c>
      <c r="N1369" s="12" t="s">
        <v>122</v>
      </c>
      <c r="O1369" s="403">
        <v>45959</v>
      </c>
      <c r="P1369" s="404">
        <v>3759</v>
      </c>
      <c r="Q1369" s="402" t="s">
        <v>123</v>
      </c>
      <c r="R1369" s="15">
        <f>(DATA[[#This Row],[cantidad_fs]]/1000)*(143+175.34)</f>
        <v>509.34400000000005</v>
      </c>
      <c r="S1369" s="15">
        <v>137</v>
      </c>
      <c r="T1369" s="321">
        <f>DATA[[#This Row],[C. DF]]+DATA[[#This Row],[C.OPE.]]</f>
        <v>646.34400000000005</v>
      </c>
      <c r="U1369" s="15">
        <f>DATA[[#This Row],[SUB TOTAL]]*0.18</f>
        <v>116.34192</v>
      </c>
      <c r="V1369" s="15">
        <f>IFERROR(ROUND(DATA[[#This Row],[SUB TOTAL]]+DATA[[#This Row],[IGV]],2),0)</f>
        <v>762.69</v>
      </c>
      <c r="W1369" s="339" t="str">
        <f>IF(DATA[[#This Row],[VALORIZACIÓN ]]="-","NO CORRESPONDE",IF(OR(A1369=20558226979,A1369=10470707866,A1369=20111157058,A1369=20100226902),"NO CORRESPONDE",IF(J1369="Emitida",IF(P1369&gt;0,"EMITIDA","PENDIENTE"),"NO CORRESPONDE")))</f>
        <v>EMITIDA</v>
      </c>
      <c r="X1369" s="29" t="s">
        <v>375</v>
      </c>
      <c r="Y1369" s="17" t="s">
        <v>118</v>
      </c>
      <c r="Z1369" s="30">
        <v>45961</v>
      </c>
      <c r="AA1369" s="10" t="s">
        <v>150</v>
      </c>
      <c r="AB1369" s="19">
        <v>318</v>
      </c>
      <c r="AC1369" s="20">
        <v>30</v>
      </c>
      <c r="AD1369" s="18">
        <f>DATA[[#This Row],[FECHA DE EMISION]]+DATA[[#This Row],[CONDICION DE PAGO]]</f>
        <v>45991</v>
      </c>
      <c r="AE1369" s="23" t="e">
        <f>IF(DATA[[#This Row],[MONEDA]]="USD",VLOOKUP(DATA[[#This Row],[COMBINADA]],#REF!,11,0),1)</f>
        <v>#REF!</v>
      </c>
      <c r="AF1369" s="129" t="str">
        <f>IF(DATA[[#This Row],[SERIE2]]="-","NO CORRESPONDE",IF(W1369="NO CORRESPONDE","NO CORRESPONDE",IF(Z1369&gt;0,"FACTURADO","PENDIENTE")))</f>
        <v>FACTURADO</v>
      </c>
      <c r="AG1369" s="133">
        <f>IFERROR(VLOOKUP(DATA[[#This Row],[COMBINADA]],#REF!,6,0),0)</f>
        <v>0</v>
      </c>
      <c r="AH1369" s="125">
        <f>IFERROR(VLOOKUP(DATA[[#This Row],[COMBINADA]],#REF!,9,0),0)/COUNTIFS(DATA[COMBINADA],DATA[[#This Row],[COMBINADA]])</f>
        <v>0</v>
      </c>
      <c r="AI1369" s="136">
        <f>IFERROR(VLOOKUP(DATA[[#This Row],[COMBINADA]],#REF!,6,0),0)</f>
        <v>0</v>
      </c>
      <c r="AJ1369" s="132">
        <f>IFERROR(VLOOKUP(DATA[[#This Row],[COMBINADA]],#REF!,9,0),0)/COUNTIFS(DATA[COMBINADA],DATA[[#This Row],[COMBINADA]])</f>
        <v>0</v>
      </c>
      <c r="AK1369" s="407">
        <f>IFERROR(VLOOKUP(DATA[[#This Row],[COMBINADA]],#REF!,6,0),0)</f>
        <v>0</v>
      </c>
      <c r="AL1369" s="125">
        <f>IFERROR(VLOOKUP(DATA[[#This Row],[COMBINADA]],#REF!,9,0),0)/COUNTIFS(DATA[COMBINADA],DATA[[#This Row],[COMBINADA]])</f>
        <v>0</v>
      </c>
      <c r="AM1369" s="27">
        <f>IFERROR(VLOOKUP(DATA[[#This Row],[COMBINADA]],#REF!,6,0),0)</f>
        <v>0</v>
      </c>
      <c r="AN1369" s="125">
        <f>IFERROR(VLOOKUP(DATA[[#This Row],[COMBINADA]],#REF!,9,0),0)/COUNTIFS(DATA[COMBINADA],DATA[[#This Row],[COMBINADA]])</f>
        <v>0</v>
      </c>
      <c r="AO1369" s="27">
        <f>IFERROR(VLOOKUP(DATA[[#This Row],[COMBINADA]],#REF!,6,0),0)</f>
        <v>0</v>
      </c>
      <c r="AP1369" s="132">
        <f>IFERROR(VLOOKUP(DATA[[#This Row],[COMBINADA]],#REF!,9,0),0)/COUNTIFS(DATA[COMBINADA],DATA[[#This Row],[COMBINADA]])</f>
        <v>0</v>
      </c>
      <c r="AQ136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492.32615384615383</v>
      </c>
      <c r="AR1369" s="26" t="str">
        <f>IFERROR(IF(DATA[[#This Row],[estado_fact]]="FACTURADO",VLOOKUP(DATA[[#This Row],[SERIE2]]&amp;"-"&amp;DATA[[#This Row],[NUMERO]],#REF!,34,0),"NO CORRESPONDE"),"NO CORRESPONDE")</f>
        <v>NO CORRESPONDE</v>
      </c>
      <c r="AS1369" s="22" t="str">
        <f>IF(DATA[[#This Row],[fecha_fs]]&gt;0,TEXT(DATA[[#This Row],[fecha_fs]],"Mmmm"),0)</f>
        <v>Octubre</v>
      </c>
      <c r="AT1369" s="22" t="str">
        <f>DATA[[#This Row],[SERIE2]]&amp;"-"&amp;DATA[[#This Row],[NUMERO]]</f>
        <v>FF01-318</v>
      </c>
      <c r="AU1369" s="28" t="e">
        <f>DATA[[#This Row],[TOTAL]]*DATA[[#This Row],[T.C.]]</f>
        <v>#REF!</v>
      </c>
      <c r="AV1369" s="6">
        <f>DATA[[#This Row],[FECHA DE VAL.]]</f>
        <v>45959</v>
      </c>
      <c r="AW1369" s="6">
        <f>DATA[[#This Row],[FECHA DE EMISION]]</f>
        <v>45961</v>
      </c>
      <c r="AX1369" s="6">
        <f>DATA[[#This Row],[F1]]</f>
        <v>0</v>
      </c>
      <c r="AY1369" s="20">
        <f>IF(AV1369-DATA[[#This Row],[fecha_fs]]&lt;0,0,AV1369-DATA[[#This Row],[fecha_fs]])</f>
        <v>7</v>
      </c>
      <c r="AZ1369" s="20">
        <f t="shared" si="335"/>
        <v>2</v>
      </c>
      <c r="BA1369" s="53">
        <f t="shared" si="336"/>
        <v>0</v>
      </c>
      <c r="BB1369" s="360">
        <f>IFERROR(SUM(DATA[[#This Row],[fs_val_ttf]:[fact_pago_ttf]]),0)</f>
        <v>9</v>
      </c>
      <c r="BC1369" s="378" t="s">
        <v>270</v>
      </c>
      <c r="BD1369" s="185" t="s">
        <v>270</v>
      </c>
      <c r="BE1369" s="185" t="s">
        <v>270</v>
      </c>
      <c r="BF1369" s="185" t="s">
        <v>270</v>
      </c>
      <c r="BG1369" s="20">
        <f>IFERROR(IF(BC1369-DATA[[#This Row],[fecha_fs]]&lt;0,0,BC1369-DATA[[#This Row],[fecha_fs]]),0)</f>
        <v>0</v>
      </c>
      <c r="BH1369" s="20">
        <f t="shared" si="346"/>
        <v>0</v>
      </c>
      <c r="BI1369" s="20">
        <f t="shared" si="347"/>
        <v>0</v>
      </c>
      <c r="BJ1369" s="53">
        <f t="shared" si="348"/>
        <v>0</v>
      </c>
      <c r="BK1369" s="376">
        <f>IFERROR(SUM(DATA[[#This Row],[fs_fd_ttd]:[fend_fenf_ttd]]),0)</f>
        <v>0</v>
      </c>
      <c r="BL1369" s="20" t="str">
        <f>IF(DATA[[#This Row],[fecha_fs]]&gt;0,TEXT(DATA[[#This Row],[fecha_fs]],"YYYY"),0)</f>
        <v>2025</v>
      </c>
      <c r="BM1369" s="236" t="b">
        <v>0</v>
      </c>
      <c r="BN1369" s="278">
        <f>COUNTIF(DATA[[#This Row],[tiempo_td]], "&lt;=15")</f>
        <v>1</v>
      </c>
      <c r="BO1369" s="365"/>
    </row>
    <row r="1370" spans="1:67" ht="30.6" customHeight="1" x14ac:dyDescent="0.25">
      <c r="A1370" s="4">
        <v>20100055237</v>
      </c>
      <c r="B1370" s="5" t="s">
        <v>21</v>
      </c>
      <c r="C1370" s="52" t="s">
        <v>138</v>
      </c>
      <c r="D1370" s="4" t="s">
        <v>139</v>
      </c>
      <c r="E1370" s="5" t="s">
        <v>23</v>
      </c>
      <c r="F1370" s="24">
        <v>45953</v>
      </c>
      <c r="G1370" s="7" t="s">
        <v>113</v>
      </c>
      <c r="H1370" s="25">
        <f t="shared" si="334"/>
        <v>1</v>
      </c>
      <c r="I1370" s="331">
        <v>5154</v>
      </c>
      <c r="J1370" s="8" t="s">
        <v>115</v>
      </c>
      <c r="K1370" s="9" t="s">
        <v>121</v>
      </c>
      <c r="L1370" s="10" t="s">
        <v>117</v>
      </c>
      <c r="M1370" s="11">
        <v>50</v>
      </c>
      <c r="N1370" s="12" t="s">
        <v>249</v>
      </c>
      <c r="O1370" s="6">
        <v>45961</v>
      </c>
      <c r="P1370" s="54">
        <v>3772</v>
      </c>
      <c r="Q1370" s="14" t="s">
        <v>85</v>
      </c>
      <c r="R1370" s="401"/>
      <c r="S1370" s="401">
        <v>297.92</v>
      </c>
      <c r="T1370" s="321">
        <f>DATA[[#This Row],[C. DF]]+DATA[[#This Row],[C.OPE.]]</f>
        <v>297.92</v>
      </c>
      <c r="U1370" s="15">
        <f>DATA[[#This Row],[SUB TOTAL]]*0.18</f>
        <v>53.625599999999999</v>
      </c>
      <c r="V1370" s="15">
        <f>IFERROR(ROUND(DATA[[#This Row],[SUB TOTAL]]+DATA[[#This Row],[IGV]],2),0)</f>
        <v>351.55</v>
      </c>
      <c r="W1370" s="339" t="str">
        <f>IF(DATA[[#This Row],[VALORIZACIÓN ]]="-","NO CORRESPONDE",IF(OR(A1370=20558226979,A1370=10470707866,A1370=20111157058,A1370=20100226902),"NO CORRESPONDE",IF(J1370="Emitida",IF(P1370&gt;0,"EMITIDA","PENDIENTE"),"NO CORRESPONDE")))</f>
        <v>EMITIDA</v>
      </c>
      <c r="X1370" s="29"/>
      <c r="Y1370" s="17" t="s">
        <v>232</v>
      </c>
      <c r="Z1370" s="30"/>
      <c r="AA1370" s="10"/>
      <c r="AB1370" s="19"/>
      <c r="AC1370" s="20"/>
      <c r="AD1370" s="18">
        <f>DATA[[#This Row],[FECHA DE EMISION]]+DATA[[#This Row],[CONDICION DE PAGO]]</f>
        <v>0</v>
      </c>
      <c r="AE1370" s="23">
        <f>IF(DATA[[#This Row],[MONEDA]]="USD",VLOOKUP(DATA[[#This Row],[COMBINADA]],#REF!,11,0),1)</f>
        <v>1</v>
      </c>
      <c r="AF1370" s="129" t="str">
        <f>IF(DATA[[#This Row],[SERIE2]]="-","NO CORRESPONDE",IF(W1370="NO CORRESPONDE","NO CORRESPONDE",IF(Z1370&gt;0,"FACTURADO","PENDIENTE")))</f>
        <v>PENDIENTE</v>
      </c>
      <c r="AG1370" s="133">
        <f>IFERROR(VLOOKUP(DATA[[#This Row],[COMBINADA]],#REF!,6,0),0)</f>
        <v>0</v>
      </c>
      <c r="AH1370" s="125">
        <f>IFERROR(VLOOKUP(DATA[[#This Row],[COMBINADA]],#REF!,9,0),0)/COUNTIFS(DATA[COMBINADA],DATA[[#This Row],[COMBINADA]])</f>
        <v>0</v>
      </c>
      <c r="AI1370" s="136">
        <f>IFERROR(VLOOKUP(DATA[[#This Row],[COMBINADA]],#REF!,6,0),0)</f>
        <v>0</v>
      </c>
      <c r="AJ1370" s="132">
        <f>IFERROR(VLOOKUP(DATA[[#This Row],[COMBINADA]],#REF!,9,0),0)/COUNTIFS(DATA[COMBINADA],DATA[[#This Row],[COMBINADA]])</f>
        <v>0</v>
      </c>
      <c r="AK1370" s="407">
        <f>IFERROR(VLOOKUP(DATA[[#This Row],[COMBINADA]],#REF!,6,0),0)</f>
        <v>0</v>
      </c>
      <c r="AL1370" s="125">
        <f>IFERROR(VLOOKUP(DATA[[#This Row],[COMBINADA]],#REF!,9,0),0)/COUNTIFS(DATA[COMBINADA],DATA[[#This Row],[COMBINADA]])</f>
        <v>0</v>
      </c>
      <c r="AM1370" s="27">
        <f>IFERROR(VLOOKUP(DATA[[#This Row],[COMBINADA]],#REF!,6,0),0)</f>
        <v>0</v>
      </c>
      <c r="AN1370" s="125">
        <f>IFERROR(VLOOKUP(DATA[[#This Row],[COMBINADA]],#REF!,9,0),0)/COUNTIFS(DATA[COMBINADA],DATA[[#This Row],[COMBINADA]])</f>
        <v>0</v>
      </c>
      <c r="AO1370" s="27">
        <f>IFERROR(VLOOKUP(DATA[[#This Row],[COMBINADA]],#REF!,6,0),0)</f>
        <v>0</v>
      </c>
      <c r="AP1370" s="132">
        <f>IFERROR(VLOOKUP(DATA[[#This Row],[COMBINADA]],#REF!,9,0),0)/COUNTIFS(DATA[COMBINADA],DATA[[#This Row],[COMBINADA]])</f>
        <v>0</v>
      </c>
      <c r="AQ137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70" s="26" t="str">
        <f>IFERROR(IF(DATA[[#This Row],[estado_fact]]="FACTURADO",VLOOKUP(DATA[[#This Row],[SERIE2]]&amp;"-"&amp;DATA[[#This Row],[NUMERO]],#REF!,34,0),"NO CORRESPONDE"),"NO CORRESPONDE")</f>
        <v>NO CORRESPONDE</v>
      </c>
      <c r="AS1370" s="22" t="str">
        <f>IF(DATA[[#This Row],[fecha_fs]]&gt;0,TEXT(DATA[[#This Row],[fecha_fs]],"Mmmm"),0)</f>
        <v>Octubre</v>
      </c>
      <c r="AT1370" s="22" t="str">
        <f>DATA[[#This Row],[SERIE2]]&amp;"-"&amp;DATA[[#This Row],[NUMERO]]</f>
        <v>-</v>
      </c>
      <c r="AU1370" s="28">
        <f>DATA[[#This Row],[TOTAL]]*DATA[[#This Row],[T.C.]]</f>
        <v>351.55</v>
      </c>
      <c r="AV1370" s="6">
        <f>DATA[[#This Row],[FECHA DE VAL.]]</f>
        <v>45961</v>
      </c>
      <c r="AW1370" s="6">
        <f>DATA[[#This Row],[FECHA DE EMISION]]</f>
        <v>0</v>
      </c>
      <c r="AX1370" s="6">
        <f>DATA[[#This Row],[F1]]</f>
        <v>0</v>
      </c>
      <c r="AY1370" s="20">
        <f>IF(AV1370-DATA[[#This Row],[fecha_fs]]&lt;0,0,AV1370-DATA[[#This Row],[fecha_fs]])</f>
        <v>8</v>
      </c>
      <c r="AZ1370" s="20">
        <f t="shared" si="335"/>
        <v>0</v>
      </c>
      <c r="BA1370" s="53">
        <f t="shared" si="336"/>
        <v>0</v>
      </c>
      <c r="BB1370" s="360">
        <f>IFERROR(SUM(DATA[[#This Row],[fs_val_ttf]:[fact_pago_ttf]]),0)</f>
        <v>8</v>
      </c>
      <c r="BC1370" s="378" t="s">
        <v>270</v>
      </c>
      <c r="BD1370" s="185" t="s">
        <v>270</v>
      </c>
      <c r="BE1370" s="185" t="s">
        <v>270</v>
      </c>
      <c r="BF1370" s="185" t="s">
        <v>270</v>
      </c>
      <c r="BG1370" s="20">
        <f>IFERROR(IF(BC1370-DATA[[#This Row],[fecha_fs]]&lt;0,0,BC1370-DATA[[#This Row],[fecha_fs]]),0)</f>
        <v>0</v>
      </c>
      <c r="BH1370" s="20">
        <f t="shared" si="346"/>
        <v>0</v>
      </c>
      <c r="BI1370" s="20">
        <f t="shared" si="347"/>
        <v>0</v>
      </c>
      <c r="BJ1370" s="53">
        <f t="shared" si="348"/>
        <v>0</v>
      </c>
      <c r="BK1370" s="376">
        <f>IFERROR(SUM(DATA[[#This Row],[fs_fd_ttd]:[fend_fenf_ttd]]),0)</f>
        <v>0</v>
      </c>
      <c r="BL1370" s="20" t="str">
        <f>IF(DATA[[#This Row],[fecha_fs]]&gt;0,TEXT(DATA[[#This Row],[fecha_fs]],"YYYY"),0)</f>
        <v>2025</v>
      </c>
      <c r="BM1370" s="236" t="b">
        <v>0</v>
      </c>
      <c r="BN1370" s="278">
        <f>COUNTIF(DATA[[#This Row],[tiempo_td]], "&lt;=15")</f>
        <v>1</v>
      </c>
      <c r="BO1370" s="365"/>
    </row>
    <row r="1371" spans="1:67" ht="30.6" customHeight="1" x14ac:dyDescent="0.25">
      <c r="A1371" s="4"/>
      <c r="B1371" s="5" t="s">
        <v>0</v>
      </c>
      <c r="C1371" s="52"/>
      <c r="D1371" s="4"/>
      <c r="E1371" s="5" t="s">
        <v>0</v>
      </c>
      <c r="F1371" s="24">
        <v>45953</v>
      </c>
      <c r="G1371" s="7" t="s">
        <v>113</v>
      </c>
      <c r="H1371" s="25">
        <f t="shared" si="334"/>
        <v>1</v>
      </c>
      <c r="I1371" s="67">
        <v>5155</v>
      </c>
      <c r="J1371" s="8" t="s">
        <v>151</v>
      </c>
      <c r="K1371" s="9"/>
      <c r="L1371" s="10"/>
      <c r="M1371" s="111"/>
      <c r="N1371" s="112"/>
      <c r="O1371" s="6"/>
      <c r="P1371" s="13"/>
      <c r="Q1371" s="14"/>
      <c r="R1371" s="56"/>
      <c r="S1371" s="56"/>
      <c r="T1371" s="56">
        <f>DATA[[#This Row],[C. DF]]+DATA[[#This Row],[C.OPE.]]</f>
        <v>0</v>
      </c>
      <c r="U1371" s="56">
        <f>DATA[[#This Row],[SUB TOTAL]]*0.18</f>
        <v>0</v>
      </c>
      <c r="V1371" s="56">
        <f>IFERROR(ROUND(DATA[[#This Row],[SUB TOTAL]]+DATA[[#This Row],[IGV]],2),0)</f>
        <v>0</v>
      </c>
      <c r="W1371" s="73" t="str">
        <f>IF(DATA[[#This Row],[VALORIZACIÓN ]]="-","NO CORRESPONDE",IF(OR(A1371=20558226979,A1371=10470707866,A1371=20111157058,A1371=20100226902),"NO CORRESPONDE",IF(J1371="Emitida",IF(P1371&gt;0,"EMITIDA","PENDIENTE"),"NO CORRESPONDE")))</f>
        <v>NO CORRESPONDE</v>
      </c>
      <c r="X1371" s="46"/>
      <c r="Y1371" s="17" t="s">
        <v>128</v>
      </c>
      <c r="Z1371" s="48"/>
      <c r="AA1371" s="49"/>
      <c r="AB1371" s="50"/>
      <c r="AC1371" s="51"/>
      <c r="AD1371" s="59">
        <f>DATA[[#This Row],[FECHA DE EMISION]]+DATA[[#This Row],[CONDICION DE PAGO]]</f>
        <v>0</v>
      </c>
      <c r="AE1371" s="23">
        <f>IF(DATA[[#This Row],[MONEDA]]="USD",VLOOKUP(DATA[[#This Row],[COMBINADA]],#REF!,11,0),1)</f>
        <v>1</v>
      </c>
      <c r="AF1371" s="129" t="str">
        <f>IF(DATA[[#This Row],[SERIE2]]="-","NO CORRESPONDE",IF(W1371="NO CORRESPONDE","NO CORRESPONDE",IF(Z1371&gt;0,"FACTURADO","PENDIENTE")))</f>
        <v>NO CORRESPONDE</v>
      </c>
      <c r="AG1371" s="133">
        <f>IFERROR(VLOOKUP(DATA[[#This Row],[COMBINADA]],#REF!,6,0),0)</f>
        <v>0</v>
      </c>
      <c r="AH1371" s="125">
        <f>IFERROR(VLOOKUP(DATA[[#This Row],[COMBINADA]],#REF!,9,0),0)/COUNTIFS(DATA[COMBINADA],DATA[[#This Row],[COMBINADA]])</f>
        <v>0</v>
      </c>
      <c r="AI1371" s="140">
        <f>IFERROR(VLOOKUP(DATA[[#This Row],[COMBINADA]],#REF!,6,0),0)</f>
        <v>0</v>
      </c>
      <c r="AJ1371" s="126">
        <f>IFERROR(VLOOKUP(DATA[[#This Row],[COMBINADA]],#REF!,9,0),0)/COUNTIFS(DATA[COMBINADA],DATA[[#This Row],[COMBINADA]])</f>
        <v>0</v>
      </c>
      <c r="AK1371" s="61">
        <f>IFERROR(VLOOKUP(DATA[[#This Row],[COMBINADA]],#REF!,6,0),0)</f>
        <v>0</v>
      </c>
      <c r="AL1371" s="126">
        <f>IFERROR(VLOOKUP(DATA[[#This Row],[COMBINADA]],#REF!,9,0),0)/COUNTIFS(DATA[COMBINADA],DATA[[#This Row],[COMBINADA]])</f>
        <v>0</v>
      </c>
      <c r="AM1371" s="61">
        <f>IFERROR(VLOOKUP(DATA[[#This Row],[COMBINADA]],#REF!,6,0),0)</f>
        <v>0</v>
      </c>
      <c r="AN1371" s="62">
        <f>IFERROR(VLOOKUP(DATA[[#This Row],[COMBINADA]],#REF!,9,0),0)/COUNTIFS(DATA[COMBINADA],DATA[[#This Row],[COMBINADA]])</f>
        <v>0</v>
      </c>
      <c r="AO1371" s="61">
        <f>IFERROR(VLOOKUP(DATA[[#This Row],[COMBINADA]],#REF!,6,0),0)</f>
        <v>0</v>
      </c>
      <c r="AP1371" s="62">
        <f>IFERROR(VLOOKUP(DATA[[#This Row],[COMBINADA]],#REF!,9,0),0)/COUNTIFS(DATA[COMBINADA],DATA[[#This Row],[COMBINADA]])</f>
        <v>0</v>
      </c>
      <c r="AQ1371"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71" s="22" t="str">
        <f>IFERROR(IF(DATA[[#This Row],[estado_fact]]="FACTURADO",VLOOKUP(DATA[[#This Row],[SERIE2]]&amp;"-"&amp;DATA[[#This Row],[NUMERO]],#REF!,34,0),"NO CORRESPONDE"),"NO CORRESPONDE")</f>
        <v>NO CORRESPONDE</v>
      </c>
      <c r="AS1371" s="198" t="str">
        <f>IF(DATA[[#This Row],[fecha_fs]]&gt;0,TEXT(DATA[[#This Row],[fecha_fs]],"Mmmm"),0)</f>
        <v>Octubre</v>
      </c>
      <c r="AT1371" s="199" t="str">
        <f>DATA[[#This Row],[SERIE2]]&amp;"-"&amp;DATA[[#This Row],[NUMERO]]</f>
        <v>-</v>
      </c>
      <c r="AU1371" s="198">
        <f>DATA[[#This Row],[TOTAL]]*DATA[[#This Row],[T.C.]]</f>
        <v>0</v>
      </c>
      <c r="AV1371" s="40">
        <f>DATA[[#This Row],[FECHA DE VAL.]]</f>
        <v>0</v>
      </c>
      <c r="AW1371" s="40">
        <f>DATA[[#This Row],[FECHA DE EMISION]]</f>
        <v>0</v>
      </c>
      <c r="AX1371" s="40">
        <f>DATA[[#This Row],[F1]]</f>
        <v>0</v>
      </c>
      <c r="AY1371" s="49">
        <f>IF(AV1371-DATA[[#This Row],[fecha_fs]]&lt;0,0,AV1371-DATA[[#This Row],[fecha_fs]])</f>
        <v>0</v>
      </c>
      <c r="AZ1371" s="49">
        <f t="shared" si="335"/>
        <v>0</v>
      </c>
      <c r="BA1371" s="49">
        <f t="shared" si="336"/>
        <v>0</v>
      </c>
      <c r="BB1371" s="360">
        <f>IFERROR(SUM(DATA[[#This Row],[fs_val_ttf]:[fact_pago_ttf]]),0)</f>
        <v>0</v>
      </c>
      <c r="BC1371" s="47"/>
      <c r="BD1371" s="47"/>
      <c r="BE1371" s="47"/>
      <c r="BF1371" s="47"/>
      <c r="BG1371" s="49">
        <f>IFERROR(IF(BC1371-DATA[[#This Row],[fecha_fs]]&lt;0,0,BC1371-DATA[[#This Row],[fecha_fs]]),0)</f>
        <v>0</v>
      </c>
      <c r="BH1371" s="49">
        <f t="shared" si="346"/>
        <v>0</v>
      </c>
      <c r="BI1371" s="49">
        <f t="shared" si="347"/>
        <v>0</v>
      </c>
      <c r="BJ1371" s="49">
        <f t="shared" si="348"/>
        <v>0</v>
      </c>
      <c r="BK1371" s="376">
        <f>IFERROR(SUM(DATA[[#This Row],[fs_fd_ttd]:[fend_fenf_ttd]]),0)</f>
        <v>0</v>
      </c>
      <c r="BL1371" s="20" t="str">
        <f>IF(DATA[[#This Row],[fecha_fs]]&gt;0,TEXT(DATA[[#This Row],[fecha_fs]],"YYYY"),0)</f>
        <v>2025</v>
      </c>
      <c r="BM1371" s="236" t="b">
        <v>0</v>
      </c>
      <c r="BN1371" s="278"/>
      <c r="BO1371" s="365"/>
    </row>
    <row r="1372" spans="1:67" ht="30.6" customHeight="1" x14ac:dyDescent="0.25">
      <c r="A1372" s="4">
        <v>20505675836</v>
      </c>
      <c r="B1372" s="5" t="s">
        <v>42</v>
      </c>
      <c r="C1372" s="52" t="s">
        <v>43</v>
      </c>
      <c r="D1372" s="4" t="s">
        <v>152</v>
      </c>
      <c r="E1372" s="5" t="s">
        <v>10</v>
      </c>
      <c r="F1372" s="24">
        <v>45953</v>
      </c>
      <c r="G1372" s="7" t="s">
        <v>113</v>
      </c>
      <c r="H1372" s="25">
        <f t="shared" ref="H1372:H1397" si="349">IF(G1372="","",IF(G1372="LIM",2,1))</f>
        <v>1</v>
      </c>
      <c r="I1372" s="331">
        <v>5156</v>
      </c>
      <c r="J1372" s="8" t="s">
        <v>115</v>
      </c>
      <c r="K1372" s="9" t="s">
        <v>153</v>
      </c>
      <c r="L1372" s="10" t="s">
        <v>117</v>
      </c>
      <c r="M1372" s="11">
        <v>250</v>
      </c>
      <c r="N1372" s="12" t="s">
        <v>249</v>
      </c>
      <c r="O1372" s="6">
        <v>45959</v>
      </c>
      <c r="P1372" s="404">
        <v>3753</v>
      </c>
      <c r="Q1372" s="14" t="s">
        <v>85</v>
      </c>
      <c r="R1372" s="74"/>
      <c r="S1372" s="321">
        <v>499</v>
      </c>
      <c r="T1372" s="321">
        <f>DATA[[#This Row],[C. DF]]+DATA[[#This Row],[C.OPE.]]</f>
        <v>499</v>
      </c>
      <c r="U1372" s="15">
        <f>DATA[[#This Row],[SUB TOTAL]]*0.18</f>
        <v>89.82</v>
      </c>
      <c r="V1372" s="15">
        <f>IFERROR(ROUND(DATA[[#This Row],[SUB TOTAL]]+DATA[[#This Row],[IGV]],2),0)</f>
        <v>588.82000000000005</v>
      </c>
      <c r="W1372" s="339" t="str">
        <f>IF(DATA[[#This Row],[VALORIZACIÓN ]]="-","NO CORRESPONDE",IF(OR(A1372=20558226979,A1372=10470707866,A1372=20111157058,A1372=20100226902),"NO CORRESPONDE",IF(J1372="Emitida",IF(P1372&gt;0,"EMITIDA","PENDIENTE"),"NO CORRESPONDE")))</f>
        <v>EMITIDA</v>
      </c>
      <c r="X1372" s="29"/>
      <c r="Y1372" s="17" t="s">
        <v>118</v>
      </c>
      <c r="Z1372" s="30">
        <v>45968</v>
      </c>
      <c r="AA1372" s="10" t="s">
        <v>150</v>
      </c>
      <c r="AB1372" s="19">
        <v>345</v>
      </c>
      <c r="AC1372" s="20">
        <v>30</v>
      </c>
      <c r="AD1372" s="18">
        <f>DATA[[#This Row],[FECHA DE EMISION]]+DATA[[#This Row],[CONDICION DE PAGO]]</f>
        <v>45998</v>
      </c>
      <c r="AE1372" s="23">
        <f>IF(DATA[[#This Row],[MONEDA]]="USD",VLOOKUP(DATA[[#This Row],[COMBINADA]],#REF!,11,0),1)</f>
        <v>1</v>
      </c>
      <c r="AF1372" s="129" t="str">
        <f>IF(DATA[[#This Row],[SERIE2]]="-","NO CORRESPONDE",IF(W1372="NO CORRESPONDE","NO CORRESPONDE",IF(Z1372&gt;0,"FACTURADO","PENDIENTE")))</f>
        <v>FACTURADO</v>
      </c>
      <c r="AG1372" s="133">
        <f>IFERROR(VLOOKUP(DATA[[#This Row],[COMBINADA]],#REF!,6,0),0)</f>
        <v>0</v>
      </c>
      <c r="AH1372" s="125">
        <f>IFERROR(VLOOKUP(DATA[[#This Row],[COMBINADA]],#REF!,9,0),0)/COUNTIFS(DATA[COMBINADA],DATA[[#This Row],[COMBINADA]])</f>
        <v>0</v>
      </c>
      <c r="AI1372" s="136">
        <f>IFERROR(VLOOKUP(DATA[[#This Row],[COMBINADA]],#REF!,6,0),0)</f>
        <v>0</v>
      </c>
      <c r="AJ1372" s="132">
        <f>IFERROR(VLOOKUP(DATA[[#This Row],[COMBINADA]],#REF!,9,0),0)/COUNTIFS(DATA[COMBINADA],DATA[[#This Row],[COMBINADA]])</f>
        <v>0</v>
      </c>
      <c r="AK1372" s="131">
        <f>IFERROR(VLOOKUP(DATA[[#This Row],[COMBINADA]],#REF!,6,0),0)</f>
        <v>0</v>
      </c>
      <c r="AL1372" s="125">
        <f>IFERROR(VLOOKUP(DATA[[#This Row],[COMBINADA]],#REF!,9,0),0)/COUNTIFS(DATA[COMBINADA],DATA[[#This Row],[COMBINADA]])</f>
        <v>0</v>
      </c>
      <c r="AM1372" s="27">
        <f>IFERROR(VLOOKUP(DATA[[#This Row],[COMBINADA]],#REF!,6,0),0)</f>
        <v>0</v>
      </c>
      <c r="AN1372" s="125">
        <f>IFERROR(VLOOKUP(DATA[[#This Row],[COMBINADA]],#REF!,9,0),0)/COUNTIFS(DATA[COMBINADA],DATA[[#This Row],[COMBINADA]])</f>
        <v>0</v>
      </c>
      <c r="AO1372" s="27">
        <f>IFERROR(VLOOKUP(DATA[[#This Row],[COMBINADA]],#REF!,6,0),0)</f>
        <v>0</v>
      </c>
      <c r="AP1372" s="132">
        <f>IFERROR(VLOOKUP(DATA[[#This Row],[COMBINADA]],#REF!,9,0),0)/COUNTIFS(DATA[COMBINADA],DATA[[#This Row],[COMBINADA]])</f>
        <v>0</v>
      </c>
      <c r="AQ137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588.82000000000005</v>
      </c>
      <c r="AR1372" s="26" t="str">
        <f>IFERROR(IF(DATA[[#This Row],[estado_fact]]="FACTURADO",VLOOKUP(DATA[[#This Row],[SERIE2]]&amp;"-"&amp;DATA[[#This Row],[NUMERO]],#REF!,34,0),"NO CORRESPONDE"),"NO CORRESPONDE")</f>
        <v>NO CORRESPONDE</v>
      </c>
      <c r="AS1372" s="22" t="str">
        <f>IF(DATA[[#This Row],[fecha_fs]]&gt;0,TEXT(DATA[[#This Row],[fecha_fs]],"Mmmm"),0)</f>
        <v>Octubre</v>
      </c>
      <c r="AT1372" s="22" t="str">
        <f>DATA[[#This Row],[SERIE2]]&amp;"-"&amp;DATA[[#This Row],[NUMERO]]</f>
        <v>FF01-345</v>
      </c>
      <c r="AU1372" s="28">
        <f>DATA[[#This Row],[TOTAL]]*DATA[[#This Row],[T.C.]]</f>
        <v>588.82000000000005</v>
      </c>
      <c r="AV1372" s="6">
        <f>DATA[[#This Row],[FECHA DE VAL.]]</f>
        <v>45959</v>
      </c>
      <c r="AW1372" s="6">
        <f>DATA[[#This Row],[FECHA DE EMISION]]</f>
        <v>45968</v>
      </c>
      <c r="AX1372" s="6">
        <f>DATA[[#This Row],[F1]]</f>
        <v>0</v>
      </c>
      <c r="AY1372" s="20">
        <f>IF(AV1372-DATA[[#This Row],[fecha_fs]]&lt;0,0,AV1372-DATA[[#This Row],[fecha_fs]])</f>
        <v>6</v>
      </c>
      <c r="AZ1372" s="20">
        <f t="shared" ref="AZ1372:AZ1396" si="350">IF(AW1372-AV1372&lt;0,0,AW1372-AV1372)</f>
        <v>9</v>
      </c>
      <c r="BA1372" s="53">
        <f t="shared" ref="BA1372:BA1396" si="351">IF(AX1372-AW1372&lt;0,0,AX1372-AW1372)</f>
        <v>0</v>
      </c>
      <c r="BB1372" s="360">
        <f>IFERROR(SUM(DATA[[#This Row],[fs_val_ttf]:[fact_pago_ttf]]),0)</f>
        <v>15</v>
      </c>
      <c r="BC1372" s="378" t="s">
        <v>270</v>
      </c>
      <c r="BD1372" s="185" t="s">
        <v>270</v>
      </c>
      <c r="BE1372" s="185" t="s">
        <v>270</v>
      </c>
      <c r="BF1372" s="185" t="s">
        <v>270</v>
      </c>
      <c r="BG1372" s="20">
        <f>IFERROR(IF(BC1372-DATA[[#This Row],[fecha_fs]]&lt;0,0,BC1372-DATA[[#This Row],[fecha_fs]]),0)</f>
        <v>0</v>
      </c>
      <c r="BH1372" s="20">
        <f t="shared" si="346"/>
        <v>0</v>
      </c>
      <c r="BI1372" s="20">
        <f t="shared" si="347"/>
        <v>0</v>
      </c>
      <c r="BJ1372" s="53">
        <f t="shared" si="348"/>
        <v>0</v>
      </c>
      <c r="BK1372" s="376">
        <f>IFERROR(SUM(DATA[[#This Row],[fs_fd_ttd]:[fend_fenf_ttd]]),0)</f>
        <v>0</v>
      </c>
      <c r="BL1372" s="20" t="str">
        <f>IF(DATA[[#This Row],[fecha_fs]]&gt;0,TEXT(DATA[[#This Row],[fecha_fs]],"YYYY"),0)</f>
        <v>2025</v>
      </c>
      <c r="BM1372" s="236" t="b">
        <v>0</v>
      </c>
      <c r="BN1372" s="278">
        <f>COUNTIF(DATA[[#This Row],[tiempo_td]], "&lt;=15")</f>
        <v>1</v>
      </c>
      <c r="BO1372" s="365"/>
    </row>
    <row r="1373" spans="1:67" ht="30.6" customHeight="1" x14ac:dyDescent="0.25">
      <c r="A1373" s="4"/>
      <c r="B1373" s="5" t="s">
        <v>0</v>
      </c>
      <c r="C1373" s="52"/>
      <c r="D1373" s="4"/>
      <c r="E1373" s="5" t="s">
        <v>0</v>
      </c>
      <c r="F1373" s="24">
        <v>45953</v>
      </c>
      <c r="G1373" s="7" t="s">
        <v>113</v>
      </c>
      <c r="H1373" s="25">
        <f t="shared" si="349"/>
        <v>1</v>
      </c>
      <c r="I1373" s="67">
        <v>5157</v>
      </c>
      <c r="J1373" s="8" t="s">
        <v>151</v>
      </c>
      <c r="K1373" s="9"/>
      <c r="L1373" s="10"/>
      <c r="M1373" s="111"/>
      <c r="N1373" s="112"/>
      <c r="O1373" s="6"/>
      <c r="P1373" s="13"/>
      <c r="Q1373" s="14"/>
      <c r="R1373" s="56"/>
      <c r="S1373" s="56"/>
      <c r="T1373" s="56">
        <f>DATA[[#This Row],[C. DF]]+DATA[[#This Row],[C.OPE.]]</f>
        <v>0</v>
      </c>
      <c r="U1373" s="56">
        <f>DATA[[#This Row],[SUB TOTAL]]*0.18</f>
        <v>0</v>
      </c>
      <c r="V1373" s="56">
        <f>IFERROR(ROUND(DATA[[#This Row],[SUB TOTAL]]+DATA[[#This Row],[IGV]],2),0)</f>
        <v>0</v>
      </c>
      <c r="W1373" s="73" t="str">
        <f>IF(DATA[[#This Row],[VALORIZACIÓN ]]="-","NO CORRESPONDE",IF(OR(A1373=20558226979,A1373=10470707866,A1373=20111157058,A1373=20100226902),"NO CORRESPONDE",IF(J1373="Emitida",IF(P1373&gt;0,"EMITIDA","PENDIENTE"),"NO CORRESPONDE")))</f>
        <v>NO CORRESPONDE</v>
      </c>
      <c r="X1373" s="46"/>
      <c r="Y1373" s="17" t="s">
        <v>128</v>
      </c>
      <c r="Z1373" s="48"/>
      <c r="AA1373" s="49"/>
      <c r="AB1373" s="50"/>
      <c r="AC1373" s="51"/>
      <c r="AD1373" s="59">
        <f>DATA[[#This Row],[FECHA DE EMISION]]+DATA[[#This Row],[CONDICION DE PAGO]]</f>
        <v>0</v>
      </c>
      <c r="AE1373" s="23">
        <f>IF(DATA[[#This Row],[MONEDA]]="USD",VLOOKUP(DATA[[#This Row],[COMBINADA]],#REF!,11,0),1)</f>
        <v>1</v>
      </c>
      <c r="AF1373" s="129" t="str">
        <f>IF(DATA[[#This Row],[SERIE2]]="-","NO CORRESPONDE",IF(W1373="NO CORRESPONDE","NO CORRESPONDE",IF(Z1373&gt;0,"FACTURADO","PENDIENTE")))</f>
        <v>NO CORRESPONDE</v>
      </c>
      <c r="AG1373" s="133">
        <f>IFERROR(VLOOKUP(DATA[[#This Row],[COMBINADA]],#REF!,6,0),0)</f>
        <v>0</v>
      </c>
      <c r="AH1373" s="125">
        <f>IFERROR(VLOOKUP(DATA[[#This Row],[COMBINADA]],#REF!,9,0),0)/COUNTIFS(DATA[COMBINADA],DATA[[#This Row],[COMBINADA]])</f>
        <v>0</v>
      </c>
      <c r="AI1373" s="140">
        <f>IFERROR(VLOOKUP(DATA[[#This Row],[COMBINADA]],#REF!,6,0),0)</f>
        <v>0</v>
      </c>
      <c r="AJ1373" s="126">
        <f>IFERROR(VLOOKUP(DATA[[#This Row],[COMBINADA]],#REF!,9,0),0)/COUNTIFS(DATA[COMBINADA],DATA[[#This Row],[COMBINADA]])</f>
        <v>0</v>
      </c>
      <c r="AK1373" s="61">
        <f>IFERROR(VLOOKUP(DATA[[#This Row],[COMBINADA]],#REF!,6,0),0)</f>
        <v>0</v>
      </c>
      <c r="AL1373" s="126">
        <f>IFERROR(VLOOKUP(DATA[[#This Row],[COMBINADA]],#REF!,9,0),0)/COUNTIFS(DATA[COMBINADA],DATA[[#This Row],[COMBINADA]])</f>
        <v>0</v>
      </c>
      <c r="AM1373" s="61">
        <f>IFERROR(VLOOKUP(DATA[[#This Row],[COMBINADA]],#REF!,6,0),0)</f>
        <v>0</v>
      </c>
      <c r="AN1373" s="62">
        <f>IFERROR(VLOOKUP(DATA[[#This Row],[COMBINADA]],#REF!,9,0),0)/COUNTIFS(DATA[COMBINADA],DATA[[#This Row],[COMBINADA]])</f>
        <v>0</v>
      </c>
      <c r="AO1373" s="61">
        <f>IFERROR(VLOOKUP(DATA[[#This Row],[COMBINADA]],#REF!,6,0),0)</f>
        <v>0</v>
      </c>
      <c r="AP1373" s="62">
        <f>IFERROR(VLOOKUP(DATA[[#This Row],[COMBINADA]],#REF!,9,0),0)/COUNTIFS(DATA[COMBINADA],DATA[[#This Row],[COMBINADA]])</f>
        <v>0</v>
      </c>
      <c r="AQ1373"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73" s="22" t="str">
        <f>IFERROR(IF(DATA[[#This Row],[estado_fact]]="FACTURADO",VLOOKUP(DATA[[#This Row],[SERIE2]]&amp;"-"&amp;DATA[[#This Row],[NUMERO]],#REF!,34,0),"NO CORRESPONDE"),"NO CORRESPONDE")</f>
        <v>NO CORRESPONDE</v>
      </c>
      <c r="AS1373" s="198" t="str">
        <f>IF(DATA[[#This Row],[fecha_fs]]&gt;0,TEXT(DATA[[#This Row],[fecha_fs]],"Mmmm"),0)</f>
        <v>Octubre</v>
      </c>
      <c r="AT1373" s="199" t="str">
        <f>DATA[[#This Row],[SERIE2]]&amp;"-"&amp;DATA[[#This Row],[NUMERO]]</f>
        <v>-</v>
      </c>
      <c r="AU1373" s="198">
        <f>DATA[[#This Row],[TOTAL]]*DATA[[#This Row],[T.C.]]</f>
        <v>0</v>
      </c>
      <c r="AV1373" s="40">
        <f>DATA[[#This Row],[FECHA DE VAL.]]</f>
        <v>0</v>
      </c>
      <c r="AW1373" s="40">
        <f>DATA[[#This Row],[FECHA DE EMISION]]</f>
        <v>0</v>
      </c>
      <c r="AX1373" s="40">
        <f>DATA[[#This Row],[F1]]</f>
        <v>0</v>
      </c>
      <c r="AY1373" s="49">
        <f>IF(AV1373-DATA[[#This Row],[fecha_fs]]&lt;0,0,AV1373-DATA[[#This Row],[fecha_fs]])</f>
        <v>0</v>
      </c>
      <c r="AZ1373" s="49">
        <f t="shared" si="350"/>
        <v>0</v>
      </c>
      <c r="BA1373" s="49">
        <f t="shared" si="351"/>
        <v>0</v>
      </c>
      <c r="BB1373" s="360">
        <f>IFERROR(SUM(DATA[[#This Row],[fs_val_ttf]:[fact_pago_ttf]]),0)</f>
        <v>0</v>
      </c>
      <c r="BC1373" s="47"/>
      <c r="BD1373" s="47"/>
      <c r="BE1373" s="47"/>
      <c r="BF1373" s="47"/>
      <c r="BG1373" s="49">
        <f>IFERROR(IF(BC1373-DATA[[#This Row],[fecha_fs]]&lt;0,0,BC1373-DATA[[#This Row],[fecha_fs]]),0)</f>
        <v>0</v>
      </c>
      <c r="BH1373" s="49">
        <f t="shared" si="346"/>
        <v>0</v>
      </c>
      <c r="BI1373" s="49">
        <f t="shared" si="347"/>
        <v>0</v>
      </c>
      <c r="BJ1373" s="49">
        <f t="shared" si="348"/>
        <v>0</v>
      </c>
      <c r="BK1373" s="376">
        <f>IFERROR(SUM(DATA[[#This Row],[fs_fd_ttd]:[fend_fenf_ttd]]),0)</f>
        <v>0</v>
      </c>
      <c r="BL1373" s="20" t="str">
        <f>IF(DATA[[#This Row],[fecha_fs]]&gt;0,TEXT(DATA[[#This Row],[fecha_fs]],"YYYY"),0)</f>
        <v>2025</v>
      </c>
      <c r="BM1373" s="236" t="b">
        <v>0</v>
      </c>
      <c r="BN1373" s="278"/>
      <c r="BO1373" s="365"/>
    </row>
    <row r="1374" spans="1:67" ht="30.6" customHeight="1" x14ac:dyDescent="0.25">
      <c r="A1374" s="4">
        <v>20505675836</v>
      </c>
      <c r="B1374" s="5" t="s">
        <v>42</v>
      </c>
      <c r="C1374" s="52" t="s">
        <v>43</v>
      </c>
      <c r="D1374" s="4" t="s">
        <v>112</v>
      </c>
      <c r="E1374" s="5" t="s">
        <v>1</v>
      </c>
      <c r="F1374" s="24">
        <v>45953</v>
      </c>
      <c r="G1374" s="7" t="s">
        <v>113</v>
      </c>
      <c r="H1374" s="25">
        <f t="shared" si="349"/>
        <v>1</v>
      </c>
      <c r="I1374" s="331">
        <v>5158</v>
      </c>
      <c r="J1374" s="8" t="s">
        <v>115</v>
      </c>
      <c r="K1374" s="9" t="s">
        <v>116</v>
      </c>
      <c r="L1374" s="10" t="s">
        <v>117</v>
      </c>
      <c r="M1374" s="11">
        <v>5220</v>
      </c>
      <c r="N1374" s="12" t="s">
        <v>337</v>
      </c>
      <c r="O1374" s="6">
        <v>45959</v>
      </c>
      <c r="P1374" s="404">
        <v>3751</v>
      </c>
      <c r="Q1374" s="14" t="s">
        <v>85</v>
      </c>
      <c r="R1374" s="401">
        <f>(DATA[[#This Row],[cantidad_fs]]-600)*0.97</f>
        <v>4481.3999999999996</v>
      </c>
      <c r="S1374" s="401">
        <v>1427.2</v>
      </c>
      <c r="T1374" s="321">
        <f>DATA[[#This Row],[C. DF]]+DATA[[#This Row],[C.OPE.]]</f>
        <v>5908.5999999999995</v>
      </c>
      <c r="U1374" s="15">
        <f>DATA[[#This Row],[SUB TOTAL]]*0.18</f>
        <v>1063.5479999999998</v>
      </c>
      <c r="V1374" s="15">
        <f>IFERROR(ROUND(DATA[[#This Row],[SUB TOTAL]]+DATA[[#This Row],[IGV]],2),0)</f>
        <v>6972.15</v>
      </c>
      <c r="W1374" s="339" t="str">
        <f>IF(DATA[[#This Row],[VALORIZACIÓN ]]="-","NO CORRESPONDE",IF(OR(A1374=20558226979,A1374=10470707866,A1374=20111157058,A1374=20100226902),"NO CORRESPONDE",IF(J1374="Emitida",IF(P1374&gt;0,"EMITIDA","PENDIENTE"),"NO CORRESPONDE")))</f>
        <v>EMITIDA</v>
      </c>
      <c r="X1374" s="29"/>
      <c r="Y1374" s="17" t="s">
        <v>118</v>
      </c>
      <c r="Z1374" s="30">
        <v>45968</v>
      </c>
      <c r="AA1374" s="10" t="s">
        <v>150</v>
      </c>
      <c r="AB1374" s="19">
        <v>343</v>
      </c>
      <c r="AC1374" s="20">
        <v>30</v>
      </c>
      <c r="AD1374" s="18">
        <f>DATA[[#This Row],[FECHA DE EMISION]]+DATA[[#This Row],[CONDICION DE PAGO]]</f>
        <v>45998</v>
      </c>
      <c r="AE1374" s="23">
        <f>IF(DATA[[#This Row],[MONEDA]]="USD",VLOOKUP(DATA[[#This Row],[COMBINADA]],#REF!,11,0),1)</f>
        <v>1</v>
      </c>
      <c r="AF1374" s="129" t="str">
        <f>IF(DATA[[#This Row],[SERIE2]]="-","NO CORRESPONDE",IF(W1374="NO CORRESPONDE","NO CORRESPONDE",IF(Z1374&gt;0,"FACTURADO","PENDIENTE")))</f>
        <v>FACTURADO</v>
      </c>
      <c r="AG1374" s="133">
        <f>IFERROR(VLOOKUP(DATA[[#This Row],[COMBINADA]],#REF!,6,0),0)</f>
        <v>0</v>
      </c>
      <c r="AH1374" s="125">
        <f>IFERROR(VLOOKUP(DATA[[#This Row],[COMBINADA]],#REF!,9,0),0)/COUNTIFS(DATA[COMBINADA],DATA[[#This Row],[COMBINADA]])</f>
        <v>0</v>
      </c>
      <c r="AI1374" s="136">
        <f>IFERROR(VLOOKUP(DATA[[#This Row],[COMBINADA]],#REF!,6,0),0)</f>
        <v>0</v>
      </c>
      <c r="AJ1374" s="132">
        <f>IFERROR(VLOOKUP(DATA[[#This Row],[COMBINADA]],#REF!,9,0),0)/COUNTIFS(DATA[COMBINADA],DATA[[#This Row],[COMBINADA]])</f>
        <v>0</v>
      </c>
      <c r="AK1374" s="131">
        <f>IFERROR(VLOOKUP(DATA[[#This Row],[COMBINADA]],#REF!,6,0),0)</f>
        <v>0</v>
      </c>
      <c r="AL1374" s="125">
        <f>IFERROR(VLOOKUP(DATA[[#This Row],[COMBINADA]],#REF!,9,0),0)/COUNTIFS(DATA[COMBINADA],DATA[[#This Row],[COMBINADA]])</f>
        <v>0</v>
      </c>
      <c r="AM1374" s="27">
        <f>IFERROR(VLOOKUP(DATA[[#This Row],[COMBINADA]],#REF!,6,0),0)</f>
        <v>0</v>
      </c>
      <c r="AN1374" s="125">
        <f>IFERROR(VLOOKUP(DATA[[#This Row],[COMBINADA]],#REF!,9,0),0)/COUNTIFS(DATA[COMBINADA],DATA[[#This Row],[COMBINADA]])</f>
        <v>0</v>
      </c>
      <c r="AO1374" s="27">
        <f>IFERROR(VLOOKUP(DATA[[#This Row],[COMBINADA]],#REF!,6,0),0)</f>
        <v>0</v>
      </c>
      <c r="AP1374" s="132">
        <f>IFERROR(VLOOKUP(DATA[[#This Row],[COMBINADA]],#REF!,9,0),0)/COUNTIFS(DATA[COMBINADA],DATA[[#This Row],[COMBINADA]])</f>
        <v>0</v>
      </c>
      <c r="AQ137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4249.6959999999999</v>
      </c>
      <c r="AR1374" s="26" t="str">
        <f>IFERROR(IF(DATA[[#This Row],[estado_fact]]="FACTURADO",VLOOKUP(DATA[[#This Row],[SERIE2]]&amp;"-"&amp;DATA[[#This Row],[NUMERO]],#REF!,34,0),"NO CORRESPONDE"),"NO CORRESPONDE")</f>
        <v>NO CORRESPONDE</v>
      </c>
      <c r="AS1374" s="22" t="str">
        <f>IF(DATA[[#This Row],[fecha_fs]]&gt;0,TEXT(DATA[[#This Row],[fecha_fs]],"Mmmm"),0)</f>
        <v>Octubre</v>
      </c>
      <c r="AT1374" s="22" t="str">
        <f>DATA[[#This Row],[SERIE2]]&amp;"-"&amp;DATA[[#This Row],[NUMERO]]</f>
        <v>FF01-343</v>
      </c>
      <c r="AU1374" s="28">
        <f>DATA[[#This Row],[TOTAL]]*DATA[[#This Row],[T.C.]]</f>
        <v>6972.15</v>
      </c>
      <c r="AV1374" s="6">
        <f>DATA[[#This Row],[FECHA DE VAL.]]</f>
        <v>45959</v>
      </c>
      <c r="AW1374" s="6">
        <f>DATA[[#This Row],[FECHA DE EMISION]]</f>
        <v>45968</v>
      </c>
      <c r="AX1374" s="6">
        <f>DATA[[#This Row],[F1]]</f>
        <v>0</v>
      </c>
      <c r="AY1374" s="20">
        <f>IF(AV1374-DATA[[#This Row],[fecha_fs]]&lt;0,0,AV1374-DATA[[#This Row],[fecha_fs]])</f>
        <v>6</v>
      </c>
      <c r="AZ1374" s="20">
        <f t="shared" si="350"/>
        <v>9</v>
      </c>
      <c r="BA1374" s="53">
        <f t="shared" si="351"/>
        <v>0</v>
      </c>
      <c r="BB1374" s="360">
        <f>IFERROR(SUM(DATA[[#This Row],[fs_val_ttf]:[fact_pago_ttf]]),0)</f>
        <v>15</v>
      </c>
      <c r="BC1374" s="378" t="s">
        <v>270</v>
      </c>
      <c r="BD1374" s="185" t="s">
        <v>270</v>
      </c>
      <c r="BE1374" s="185" t="s">
        <v>270</v>
      </c>
      <c r="BF1374" s="185" t="s">
        <v>270</v>
      </c>
      <c r="BG1374" s="20">
        <f>IFERROR(IF(BC1374-DATA[[#This Row],[fecha_fs]]&lt;0,0,BC1374-DATA[[#This Row],[fecha_fs]]),0)</f>
        <v>0</v>
      </c>
      <c r="BH1374" s="20">
        <f t="shared" si="346"/>
        <v>0</v>
      </c>
      <c r="BI1374" s="20">
        <f t="shared" si="347"/>
        <v>0</v>
      </c>
      <c r="BJ1374" s="53">
        <f t="shared" si="348"/>
        <v>0</v>
      </c>
      <c r="BK1374" s="376">
        <f>IFERROR(SUM(DATA[[#This Row],[fs_fd_ttd]:[fend_fenf_ttd]]),0)</f>
        <v>0</v>
      </c>
      <c r="BL1374" s="20" t="str">
        <f>IF(DATA[[#This Row],[fecha_fs]]&gt;0,TEXT(DATA[[#This Row],[fecha_fs]],"YYYY"),0)</f>
        <v>2025</v>
      </c>
      <c r="BM1374" s="236" t="b">
        <v>0</v>
      </c>
      <c r="BN1374" s="278">
        <f>COUNTIF(DATA[[#This Row],[tiempo_td]], "&lt;=15")</f>
        <v>1</v>
      </c>
      <c r="BO1374" s="365"/>
    </row>
    <row r="1375" spans="1:67" ht="30.6" customHeight="1" x14ac:dyDescent="0.25">
      <c r="A1375" s="4">
        <v>20100192064</v>
      </c>
      <c r="B1375" s="5" t="s">
        <v>60</v>
      </c>
      <c r="C1375" s="52" t="s">
        <v>64</v>
      </c>
      <c r="D1375" s="4" t="s">
        <v>112</v>
      </c>
      <c r="E1375" s="5" t="s">
        <v>1</v>
      </c>
      <c r="F1375" s="24">
        <v>45953</v>
      </c>
      <c r="G1375" s="7" t="s">
        <v>113</v>
      </c>
      <c r="H1375" s="25">
        <f t="shared" si="349"/>
        <v>1</v>
      </c>
      <c r="I1375" s="331">
        <v>5159</v>
      </c>
      <c r="J1375" s="8" t="s">
        <v>115</v>
      </c>
      <c r="K1375" s="9" t="s">
        <v>116</v>
      </c>
      <c r="L1375" s="10" t="s">
        <v>117</v>
      </c>
      <c r="M1375" s="11">
        <v>7340</v>
      </c>
      <c r="N1375" s="12" t="s">
        <v>135</v>
      </c>
      <c r="O1375" s="6">
        <v>45954</v>
      </c>
      <c r="P1375" s="13">
        <v>3739</v>
      </c>
      <c r="Q1375" s="14" t="s">
        <v>85</v>
      </c>
      <c r="R1375" s="15">
        <f>DATA[[#This Row],[cantidad_fs]]*0.57</f>
        <v>4183.7999999999993</v>
      </c>
      <c r="S1375" s="15">
        <v>8999.2999999999993</v>
      </c>
      <c r="T1375" s="321">
        <f>DATA[[#This Row],[C. DF]]+DATA[[#This Row],[C.OPE.]]</f>
        <v>13183.099999999999</v>
      </c>
      <c r="U1375" s="15">
        <f>DATA[[#This Row],[SUB TOTAL]]*0.18</f>
        <v>2372.9579999999996</v>
      </c>
      <c r="V1375" s="15">
        <f>IFERROR(ROUND(DATA[[#This Row],[SUB TOTAL]]+DATA[[#This Row],[IGV]],2),0)</f>
        <v>15556.06</v>
      </c>
      <c r="W1375" s="339" t="str">
        <f>IF(DATA[[#This Row],[VALORIZACIÓN ]]="-","NO CORRESPONDE",IF(OR(A1375=20558226979,A1375=10470707866,A1375=20111157058,A1375=20100226902),"NO CORRESPONDE",IF(J1375="Emitida",IF(P1375&gt;0,"EMITIDA","PENDIENTE"),"NO CORRESPONDE")))</f>
        <v>EMITIDA</v>
      </c>
      <c r="X1375" s="29"/>
      <c r="Y1375" s="17" t="s">
        <v>118</v>
      </c>
      <c r="Z1375" s="30">
        <v>45961</v>
      </c>
      <c r="AA1375" s="10" t="s">
        <v>150</v>
      </c>
      <c r="AB1375" s="19">
        <v>317</v>
      </c>
      <c r="AC1375" s="20">
        <v>30</v>
      </c>
      <c r="AD1375" s="18">
        <f>DATA[[#This Row],[FECHA DE EMISION]]+DATA[[#This Row],[CONDICION DE PAGO]]</f>
        <v>45991</v>
      </c>
      <c r="AE1375" s="23">
        <f>IF(DATA[[#This Row],[MONEDA]]="USD",VLOOKUP(DATA[[#This Row],[COMBINADA]],#REF!,11,0),1)</f>
        <v>1</v>
      </c>
      <c r="AF1375" s="129" t="str">
        <f>IF(DATA[[#This Row],[SERIE2]]="-","NO CORRESPONDE",IF(W1375="NO CORRESPONDE","NO CORRESPONDE",IF(Z1375&gt;0,"FACTURADO","PENDIENTE")))</f>
        <v>FACTURADO</v>
      </c>
      <c r="AG1375" s="133">
        <f>IFERROR(VLOOKUP(DATA[[#This Row],[COMBINADA]],#REF!,6,0),0)</f>
        <v>0</v>
      </c>
      <c r="AH1375" s="125">
        <f>IFERROR(VLOOKUP(DATA[[#This Row],[COMBINADA]],#REF!,9,0),0)/COUNTIFS(DATA[COMBINADA],DATA[[#This Row],[COMBINADA]])</f>
        <v>0</v>
      </c>
      <c r="AI1375" s="136">
        <f>IFERROR(VLOOKUP(DATA[[#This Row],[COMBINADA]],#REF!,6,0),0)</f>
        <v>0</v>
      </c>
      <c r="AJ1375" s="132">
        <f>IFERROR(VLOOKUP(DATA[[#This Row],[COMBINADA]],#REF!,9,0),0)/COUNTIFS(DATA[COMBINADA],DATA[[#This Row],[COMBINADA]])</f>
        <v>0</v>
      </c>
      <c r="AK1375" s="131">
        <f>IFERROR(VLOOKUP(DATA[[#This Row],[COMBINADA]],#REF!,6,0),0)</f>
        <v>0</v>
      </c>
      <c r="AL1375" s="125">
        <f>IFERROR(VLOOKUP(DATA[[#This Row],[COMBINADA]],#REF!,9,0),0)/COUNTIFS(DATA[COMBINADA],DATA[[#This Row],[COMBINADA]])</f>
        <v>0</v>
      </c>
      <c r="AM1375" s="27">
        <f>IFERROR(VLOOKUP(DATA[[#This Row],[COMBINADA]],#REF!,6,0),0)</f>
        <v>0</v>
      </c>
      <c r="AN1375" s="125">
        <f>IFERROR(VLOOKUP(DATA[[#This Row],[COMBINADA]],#REF!,9,0),0)/COUNTIFS(DATA[COMBINADA],DATA[[#This Row],[COMBINADA]])</f>
        <v>0</v>
      </c>
      <c r="AO1375" s="27">
        <f>IFERROR(VLOOKUP(DATA[[#This Row],[COMBINADA]],#REF!,6,0),0)</f>
        <v>0</v>
      </c>
      <c r="AP1375" s="132">
        <f>IFERROR(VLOOKUP(DATA[[#This Row],[COMBINADA]],#REF!,9,0),0)/COUNTIFS(DATA[COMBINADA],DATA[[#This Row],[COMBINADA]])</f>
        <v>0</v>
      </c>
      <c r="AQ137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15556.06</v>
      </c>
      <c r="AR1375" s="26" t="str">
        <f>IFERROR(IF(DATA[[#This Row],[estado_fact]]="FACTURADO",VLOOKUP(DATA[[#This Row],[SERIE2]]&amp;"-"&amp;DATA[[#This Row],[NUMERO]],#REF!,34,0),"NO CORRESPONDE"),"NO CORRESPONDE")</f>
        <v>NO CORRESPONDE</v>
      </c>
      <c r="AS1375" s="22" t="str">
        <f>IF(DATA[[#This Row],[fecha_fs]]&gt;0,TEXT(DATA[[#This Row],[fecha_fs]],"Mmmm"),0)</f>
        <v>Octubre</v>
      </c>
      <c r="AT1375" s="22" t="str">
        <f>DATA[[#This Row],[SERIE2]]&amp;"-"&amp;DATA[[#This Row],[NUMERO]]</f>
        <v>FF01-317</v>
      </c>
      <c r="AU1375" s="28">
        <f>DATA[[#This Row],[TOTAL]]*DATA[[#This Row],[T.C.]]</f>
        <v>15556.06</v>
      </c>
      <c r="AV1375" s="6">
        <f>DATA[[#This Row],[FECHA DE VAL.]]</f>
        <v>45954</v>
      </c>
      <c r="AW1375" s="6">
        <f>DATA[[#This Row],[FECHA DE EMISION]]</f>
        <v>45961</v>
      </c>
      <c r="AX1375" s="6">
        <f>DATA[[#This Row],[F1]]</f>
        <v>0</v>
      </c>
      <c r="AY1375" s="20">
        <f>IF(AV1375-DATA[[#This Row],[fecha_fs]]&lt;0,0,AV1375-DATA[[#This Row],[fecha_fs]])</f>
        <v>1</v>
      </c>
      <c r="AZ1375" s="20">
        <f t="shared" si="350"/>
        <v>7</v>
      </c>
      <c r="BA1375" s="53">
        <f t="shared" si="351"/>
        <v>0</v>
      </c>
      <c r="BB1375" s="360">
        <f>IFERROR(SUM(DATA[[#This Row],[fs_val_ttf]:[fact_pago_ttf]]),0)</f>
        <v>8</v>
      </c>
      <c r="BC1375" s="378" t="s">
        <v>270</v>
      </c>
      <c r="BD1375" s="185" t="s">
        <v>270</v>
      </c>
      <c r="BE1375" s="185" t="s">
        <v>270</v>
      </c>
      <c r="BF1375" s="185" t="s">
        <v>270</v>
      </c>
      <c r="BG1375" s="20">
        <f>IFERROR(IF(BC1375-DATA[[#This Row],[fecha_fs]]&lt;0,0,BC1375-DATA[[#This Row],[fecha_fs]]),0)</f>
        <v>0</v>
      </c>
      <c r="BH1375" s="20">
        <f t="shared" si="346"/>
        <v>0</v>
      </c>
      <c r="BI1375" s="20">
        <f t="shared" si="347"/>
        <v>0</v>
      </c>
      <c r="BJ1375" s="53">
        <f t="shared" si="348"/>
        <v>0</v>
      </c>
      <c r="BK1375" s="376">
        <f>IFERROR(SUM(DATA[[#This Row],[fs_fd_ttd]:[fend_fenf_ttd]]),0)</f>
        <v>0</v>
      </c>
      <c r="BL1375" s="20" t="str">
        <f>IF(DATA[[#This Row],[fecha_fs]]&gt;0,TEXT(DATA[[#This Row],[fecha_fs]],"YYYY"),0)</f>
        <v>2025</v>
      </c>
      <c r="BM1375" s="236" t="b">
        <v>0</v>
      </c>
      <c r="BN1375" s="278">
        <f>COUNTIF(DATA[[#This Row],[tiempo_td]], "&lt;=15")</f>
        <v>1</v>
      </c>
      <c r="BO1375" s="365"/>
    </row>
    <row r="1376" spans="1:67" ht="30.6" customHeight="1" x14ac:dyDescent="0.25">
      <c r="A1376" s="4">
        <v>20100192064</v>
      </c>
      <c r="B1376" s="5" t="s">
        <v>60</v>
      </c>
      <c r="C1376" s="52" t="s">
        <v>64</v>
      </c>
      <c r="D1376" s="4" t="s">
        <v>112</v>
      </c>
      <c r="E1376" s="5" t="s">
        <v>1</v>
      </c>
      <c r="F1376" s="24">
        <v>45954</v>
      </c>
      <c r="G1376" s="7" t="s">
        <v>113</v>
      </c>
      <c r="H1376" s="25">
        <f t="shared" si="349"/>
        <v>1</v>
      </c>
      <c r="I1376" s="331">
        <v>5160</v>
      </c>
      <c r="J1376" s="8" t="s">
        <v>115</v>
      </c>
      <c r="K1376" s="9" t="s">
        <v>136</v>
      </c>
      <c r="L1376" s="10" t="s">
        <v>137</v>
      </c>
      <c r="M1376" s="11">
        <v>36</v>
      </c>
      <c r="N1376" s="12" t="s">
        <v>135</v>
      </c>
      <c r="O1376" s="6">
        <v>45957</v>
      </c>
      <c r="P1376" s="71">
        <v>3762</v>
      </c>
      <c r="Q1376" s="14" t="s">
        <v>123</v>
      </c>
      <c r="R1376" s="56">
        <f>DATA[[#This Row],[cantidad_fs]]*23.7</f>
        <v>853.19999999999993</v>
      </c>
      <c r="S1376" s="74"/>
      <c r="T1376" s="321">
        <f>DATA[[#This Row],[C. DF]]+DATA[[#This Row],[C.OPE.]]</f>
        <v>853.19999999999993</v>
      </c>
      <c r="U1376" s="15">
        <f>DATA[[#This Row],[SUB TOTAL]]*0.18</f>
        <v>153.57599999999999</v>
      </c>
      <c r="V1376" s="15">
        <f>IFERROR(ROUND(DATA[[#This Row],[SUB TOTAL]]+DATA[[#This Row],[IGV]],2),0)</f>
        <v>1006.78</v>
      </c>
      <c r="W1376" s="339" t="str">
        <f>IF(DATA[[#This Row],[VALORIZACIÓN ]]="-","NO CORRESPONDE",IF(OR(A1376=20558226979,A1376=10470707866,A1376=20111157058,A1376=20100226902),"NO CORRESPONDE",IF(J1376="Emitida",IF(P1376&gt;0,"EMITIDA","PENDIENTE"),"NO CORRESPONDE")))</f>
        <v>EMITIDA</v>
      </c>
      <c r="X1376" s="29" t="s">
        <v>375</v>
      </c>
      <c r="Y1376" s="17" t="s">
        <v>118</v>
      </c>
      <c r="Z1376" s="30">
        <v>45961</v>
      </c>
      <c r="AA1376" s="10" t="s">
        <v>150</v>
      </c>
      <c r="AB1376" s="19">
        <v>318</v>
      </c>
      <c r="AC1376" s="20">
        <v>30</v>
      </c>
      <c r="AD1376" s="18">
        <f>DATA[[#This Row],[FECHA DE EMISION]]+DATA[[#This Row],[CONDICION DE PAGO]]</f>
        <v>45991</v>
      </c>
      <c r="AE1376" s="23" t="e">
        <f>IF(DATA[[#This Row],[MONEDA]]="USD",VLOOKUP(DATA[[#This Row],[COMBINADA]],#REF!,11,0),1)</f>
        <v>#REF!</v>
      </c>
      <c r="AF1376" s="129" t="str">
        <f>IF(DATA[[#This Row],[SERIE2]]="-","NO CORRESPONDE",IF(W1376="NO CORRESPONDE","NO CORRESPONDE",IF(Z1376&gt;0,"FACTURADO","PENDIENTE")))</f>
        <v>FACTURADO</v>
      </c>
      <c r="AG1376" s="133">
        <f>IFERROR(VLOOKUP(DATA[[#This Row],[COMBINADA]],#REF!,6,0),0)</f>
        <v>0</v>
      </c>
      <c r="AH1376" s="125">
        <f>IFERROR(VLOOKUP(DATA[[#This Row],[COMBINADA]],#REF!,9,0),0)/COUNTIFS(DATA[COMBINADA],DATA[[#This Row],[COMBINADA]])</f>
        <v>0</v>
      </c>
      <c r="AI1376" s="136">
        <f>IFERROR(VLOOKUP(DATA[[#This Row],[COMBINADA]],#REF!,6,0),0)</f>
        <v>0</v>
      </c>
      <c r="AJ1376" s="132">
        <f>IFERROR(VLOOKUP(DATA[[#This Row],[COMBINADA]],#REF!,9,0),0)/COUNTIFS(DATA[COMBINADA],DATA[[#This Row],[COMBINADA]])</f>
        <v>0</v>
      </c>
      <c r="AK1376" s="131">
        <f>IFERROR(VLOOKUP(DATA[[#This Row],[COMBINADA]],#REF!,6,0),0)</f>
        <v>0</v>
      </c>
      <c r="AL1376" s="125">
        <f>IFERROR(VLOOKUP(DATA[[#This Row],[COMBINADA]],#REF!,9,0),0)/COUNTIFS(DATA[COMBINADA],DATA[[#This Row],[COMBINADA]])</f>
        <v>0</v>
      </c>
      <c r="AM1376" s="27">
        <f>IFERROR(VLOOKUP(DATA[[#This Row],[COMBINADA]],#REF!,6,0),0)</f>
        <v>0</v>
      </c>
      <c r="AN1376" s="125">
        <f>IFERROR(VLOOKUP(DATA[[#This Row],[COMBINADA]],#REF!,9,0),0)/COUNTIFS(DATA[COMBINADA],DATA[[#This Row],[COMBINADA]])</f>
        <v>0</v>
      </c>
      <c r="AO1376" s="27">
        <f>IFERROR(VLOOKUP(DATA[[#This Row],[COMBINADA]],#REF!,6,0),0)</f>
        <v>0</v>
      </c>
      <c r="AP1376" s="132">
        <f>IFERROR(VLOOKUP(DATA[[#This Row],[COMBINADA]],#REF!,9,0),0)/COUNTIFS(DATA[COMBINADA],DATA[[#This Row],[COMBINADA]])</f>
        <v>0</v>
      </c>
      <c r="AQ137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492.32615384615383</v>
      </c>
      <c r="AR1376" s="26" t="str">
        <f>IFERROR(IF(DATA[[#This Row],[estado_fact]]="FACTURADO",VLOOKUP(DATA[[#This Row],[SERIE2]]&amp;"-"&amp;DATA[[#This Row],[NUMERO]],#REF!,34,0),"NO CORRESPONDE"),"NO CORRESPONDE")</f>
        <v>NO CORRESPONDE</v>
      </c>
      <c r="AS1376" s="22" t="str">
        <f>IF(DATA[[#This Row],[fecha_fs]]&gt;0,TEXT(DATA[[#This Row],[fecha_fs]],"Mmmm"),0)</f>
        <v>Octubre</v>
      </c>
      <c r="AT1376" s="22" t="str">
        <f>DATA[[#This Row],[SERIE2]]&amp;"-"&amp;DATA[[#This Row],[NUMERO]]</f>
        <v>FF01-318</v>
      </c>
      <c r="AU1376" s="28" t="e">
        <f>DATA[[#This Row],[TOTAL]]*DATA[[#This Row],[T.C.]]</f>
        <v>#REF!</v>
      </c>
      <c r="AV1376" s="6">
        <f>DATA[[#This Row],[FECHA DE VAL.]]</f>
        <v>45957</v>
      </c>
      <c r="AW1376" s="6">
        <f>DATA[[#This Row],[FECHA DE EMISION]]</f>
        <v>45961</v>
      </c>
      <c r="AX1376" s="6">
        <f>DATA[[#This Row],[F1]]</f>
        <v>0</v>
      </c>
      <c r="AY1376" s="20">
        <f>IF(AV1376-DATA[[#This Row],[fecha_fs]]&lt;0,0,AV1376-DATA[[#This Row],[fecha_fs]])</f>
        <v>3</v>
      </c>
      <c r="AZ1376" s="20">
        <f t="shared" si="350"/>
        <v>4</v>
      </c>
      <c r="BA1376" s="53">
        <f t="shared" si="351"/>
        <v>0</v>
      </c>
      <c r="BB1376" s="360">
        <f>IFERROR(SUM(DATA[[#This Row],[fs_val_ttf]:[fact_pago_ttf]]),0)</f>
        <v>7</v>
      </c>
      <c r="BC1376" s="378">
        <v>45957</v>
      </c>
      <c r="BD1376" s="185">
        <v>45968</v>
      </c>
      <c r="BE1376" s="185" t="s">
        <v>270</v>
      </c>
      <c r="BF1376" s="185" t="s">
        <v>270</v>
      </c>
      <c r="BG1376" s="20">
        <f>IFERROR(IF(BC1376-DATA[[#This Row],[fecha_fs]]&lt;0,0,BC1376-DATA[[#This Row],[fecha_fs]]),0)</f>
        <v>3</v>
      </c>
      <c r="BH1376" s="20">
        <f t="shared" si="346"/>
        <v>11</v>
      </c>
      <c r="BI1376" s="20">
        <f t="shared" si="347"/>
        <v>0</v>
      </c>
      <c r="BJ1376" s="53">
        <f t="shared" si="348"/>
        <v>0</v>
      </c>
      <c r="BK1376" s="376">
        <f>IFERROR(SUM(DATA[[#This Row],[fs_fd_ttd]:[fend_fenf_ttd]]),0)</f>
        <v>14</v>
      </c>
      <c r="BL1376" s="20" t="str">
        <f>IF(DATA[[#This Row],[fecha_fs]]&gt;0,TEXT(DATA[[#This Row],[fecha_fs]],"YYYY"),0)</f>
        <v>2025</v>
      </c>
      <c r="BM1376" s="236" t="b">
        <v>0</v>
      </c>
      <c r="BN1376" s="278">
        <f>COUNTIF(DATA[[#This Row],[tiempo_td]], "&lt;=15")</f>
        <v>1</v>
      </c>
      <c r="BO1376" s="365"/>
    </row>
    <row r="1377" spans="1:67" ht="30.6" customHeight="1" x14ac:dyDescent="0.25">
      <c r="A1377" s="4">
        <v>20141637941</v>
      </c>
      <c r="B1377" s="5" t="s">
        <v>79</v>
      </c>
      <c r="C1377" s="52" t="s">
        <v>18</v>
      </c>
      <c r="D1377" s="4" t="s">
        <v>120</v>
      </c>
      <c r="E1377" s="5" t="s">
        <v>3</v>
      </c>
      <c r="F1377" s="24">
        <v>45954</v>
      </c>
      <c r="G1377" s="7" t="s">
        <v>113</v>
      </c>
      <c r="H1377" s="25">
        <f t="shared" si="349"/>
        <v>1</v>
      </c>
      <c r="I1377" s="331">
        <v>5161</v>
      </c>
      <c r="J1377" s="8" t="s">
        <v>115</v>
      </c>
      <c r="K1377" s="9" t="s">
        <v>121</v>
      </c>
      <c r="L1377" s="10" t="s">
        <v>117</v>
      </c>
      <c r="M1377" s="11">
        <v>1030</v>
      </c>
      <c r="N1377" s="12" t="s">
        <v>249</v>
      </c>
      <c r="O1377" s="6">
        <v>45954</v>
      </c>
      <c r="P1377" s="110">
        <v>3738</v>
      </c>
      <c r="Q1377" s="14" t="s">
        <v>85</v>
      </c>
      <c r="R1377" s="321">
        <f>80+((DATA[[#This Row],[cantidad_fs]]-1000)*0.08)</f>
        <v>82.4</v>
      </c>
      <c r="S1377" s="321">
        <v>832</v>
      </c>
      <c r="T1377" s="321">
        <f>DATA[[#This Row],[C. DF]]+DATA[[#This Row],[C.OPE.]]</f>
        <v>914.4</v>
      </c>
      <c r="U1377" s="15">
        <f>DATA[[#This Row],[SUB TOTAL]]*0.18</f>
        <v>164.59199999999998</v>
      </c>
      <c r="V1377" s="15">
        <f>IFERROR(ROUND(DATA[[#This Row],[SUB TOTAL]]+DATA[[#This Row],[IGV]],2),0)</f>
        <v>1078.99</v>
      </c>
      <c r="W1377" s="339" t="str">
        <f>IF(DATA[[#This Row],[VALORIZACIÓN ]]="-","NO CORRESPONDE",IF(OR(A1377=20558226979,A1377=10470707866,A1377=20111157058,A1377=20100226902),"NO CORRESPONDE",IF(J1377="Emitida",IF(P1377&gt;0,"EMITIDA","PENDIENTE"),"NO CORRESPONDE")))</f>
        <v>EMITIDA</v>
      </c>
      <c r="X1377" s="29"/>
      <c r="Y1377" s="17" t="s">
        <v>118</v>
      </c>
      <c r="Z1377" s="30">
        <v>45964</v>
      </c>
      <c r="AA1377" s="10" t="s">
        <v>150</v>
      </c>
      <c r="AB1377" s="19">
        <v>319</v>
      </c>
      <c r="AC1377" s="20">
        <v>30</v>
      </c>
      <c r="AD1377" s="18">
        <f>DATA[[#This Row],[FECHA DE EMISION]]+DATA[[#This Row],[CONDICION DE PAGO]]</f>
        <v>45994</v>
      </c>
      <c r="AE1377" s="23">
        <f>IF(DATA[[#This Row],[MONEDA]]="USD",VLOOKUP(DATA[[#This Row],[COMBINADA]],#REF!,11,0),1)</f>
        <v>1</v>
      </c>
      <c r="AF1377" s="129" t="str">
        <f>IF(DATA[[#This Row],[SERIE2]]="-","NO CORRESPONDE",IF(W1377="NO CORRESPONDE","NO CORRESPONDE",IF(Z1377&gt;0,"FACTURADO","PENDIENTE")))</f>
        <v>FACTURADO</v>
      </c>
      <c r="AG1377" s="133">
        <f>IFERROR(VLOOKUP(DATA[[#This Row],[COMBINADA]],#REF!,6,0),0)</f>
        <v>0</v>
      </c>
      <c r="AH1377" s="125">
        <f>IFERROR(VLOOKUP(DATA[[#This Row],[COMBINADA]],#REF!,9,0),0)/COUNTIFS(DATA[COMBINADA],DATA[[#This Row],[COMBINADA]])</f>
        <v>0</v>
      </c>
      <c r="AI1377" s="136">
        <f>IFERROR(VLOOKUP(DATA[[#This Row],[COMBINADA]],#REF!,6,0),0)</f>
        <v>0</v>
      </c>
      <c r="AJ1377" s="132">
        <f>IFERROR(VLOOKUP(DATA[[#This Row],[COMBINADA]],#REF!,9,0),0)/COUNTIFS(DATA[COMBINADA],DATA[[#This Row],[COMBINADA]])</f>
        <v>0</v>
      </c>
      <c r="AK1377" s="131">
        <f>IFERROR(VLOOKUP(DATA[[#This Row],[COMBINADA]],#REF!,6,0),0)</f>
        <v>0</v>
      </c>
      <c r="AL1377" s="125">
        <f>IFERROR(VLOOKUP(DATA[[#This Row],[COMBINADA]],#REF!,9,0),0)/COUNTIFS(DATA[COMBINADA],DATA[[#This Row],[COMBINADA]])</f>
        <v>0</v>
      </c>
      <c r="AM1377" s="27">
        <f>IFERROR(VLOOKUP(DATA[[#This Row],[COMBINADA]],#REF!,6,0),0)</f>
        <v>0</v>
      </c>
      <c r="AN1377" s="125">
        <f>IFERROR(VLOOKUP(DATA[[#This Row],[COMBINADA]],#REF!,9,0),0)/COUNTIFS(DATA[COMBINADA],DATA[[#This Row],[COMBINADA]])</f>
        <v>0</v>
      </c>
      <c r="AO1377" s="27">
        <f>IFERROR(VLOOKUP(DATA[[#This Row],[COMBINADA]],#REF!,6,0),0)</f>
        <v>0</v>
      </c>
      <c r="AP1377" s="132">
        <f>IFERROR(VLOOKUP(DATA[[#This Row],[COMBINADA]],#REF!,9,0),0)/COUNTIFS(DATA[COMBINADA],DATA[[#This Row],[COMBINADA]])</f>
        <v>0</v>
      </c>
      <c r="AQ137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1076.8675000000001</v>
      </c>
      <c r="AR1377" s="26" t="str">
        <f>IFERROR(IF(DATA[[#This Row],[estado_fact]]="FACTURADO",VLOOKUP(DATA[[#This Row],[SERIE2]]&amp;"-"&amp;DATA[[#This Row],[NUMERO]],#REF!,34,0),"NO CORRESPONDE"),"NO CORRESPONDE")</f>
        <v>NO CORRESPONDE</v>
      </c>
      <c r="AS1377" s="22" t="str">
        <f>IF(DATA[[#This Row],[fecha_fs]]&gt;0,TEXT(DATA[[#This Row],[fecha_fs]],"Mmmm"),0)</f>
        <v>Octubre</v>
      </c>
      <c r="AT1377" s="22" t="str">
        <f>DATA[[#This Row],[SERIE2]]&amp;"-"&amp;DATA[[#This Row],[NUMERO]]</f>
        <v>FF01-319</v>
      </c>
      <c r="AU1377" s="28">
        <f>DATA[[#This Row],[TOTAL]]*DATA[[#This Row],[T.C.]]</f>
        <v>1078.99</v>
      </c>
      <c r="AV1377" s="6">
        <f>DATA[[#This Row],[FECHA DE VAL.]]</f>
        <v>45954</v>
      </c>
      <c r="AW1377" s="6">
        <f>DATA[[#This Row],[FECHA DE EMISION]]</f>
        <v>45964</v>
      </c>
      <c r="AX1377" s="6">
        <f>DATA[[#This Row],[F1]]</f>
        <v>0</v>
      </c>
      <c r="AY1377" s="20">
        <f>IF(AV1377-DATA[[#This Row],[fecha_fs]]&lt;0,0,AV1377-DATA[[#This Row],[fecha_fs]])</f>
        <v>0</v>
      </c>
      <c r="AZ1377" s="20">
        <f t="shared" si="350"/>
        <v>10</v>
      </c>
      <c r="BA1377" s="53">
        <f t="shared" si="351"/>
        <v>0</v>
      </c>
      <c r="BB1377" s="360">
        <f>IFERROR(SUM(DATA[[#This Row],[fs_val_ttf]:[fact_pago_ttf]]),0)</f>
        <v>10</v>
      </c>
      <c r="BC1377" s="378">
        <v>45954</v>
      </c>
      <c r="BD1377" s="377">
        <v>45967</v>
      </c>
      <c r="BE1377" s="185">
        <v>45967</v>
      </c>
      <c r="BF1377" s="377">
        <v>45967</v>
      </c>
      <c r="BG1377" s="20">
        <f>IFERROR(IF(BC1377-DATA[[#This Row],[fecha_fs]]&lt;0,0,BC1377-DATA[[#This Row],[fecha_fs]]),0)</f>
        <v>0</v>
      </c>
      <c r="BH1377" s="20">
        <f t="shared" si="346"/>
        <v>13</v>
      </c>
      <c r="BI1377" s="20">
        <f t="shared" si="347"/>
        <v>0</v>
      </c>
      <c r="BJ1377" s="53">
        <f t="shared" si="348"/>
        <v>0</v>
      </c>
      <c r="BK1377" s="376">
        <f>IFERROR(SUM(DATA[[#This Row],[fs_fd_ttd]:[fend_fenf_ttd]]),0)</f>
        <v>13</v>
      </c>
      <c r="BL1377" s="20" t="str">
        <f>IF(DATA[[#This Row],[fecha_fs]]&gt;0,TEXT(DATA[[#This Row],[fecha_fs]],"YYYY"),0)</f>
        <v>2025</v>
      </c>
      <c r="BM1377" s="236" t="b">
        <v>1</v>
      </c>
      <c r="BN1377" s="278">
        <f>COUNTIF(DATA[[#This Row],[tiempo_td]], "&lt;=15")</f>
        <v>1</v>
      </c>
      <c r="BO1377" s="365"/>
    </row>
    <row r="1378" spans="1:67" ht="30.6" customHeight="1" x14ac:dyDescent="0.25">
      <c r="A1378" s="4">
        <v>20100226902</v>
      </c>
      <c r="B1378" s="5" t="s">
        <v>24</v>
      </c>
      <c r="C1378" s="52" t="s">
        <v>18</v>
      </c>
      <c r="D1378" s="4" t="s">
        <v>120</v>
      </c>
      <c r="E1378" s="5" t="s">
        <v>3</v>
      </c>
      <c r="F1378" s="24">
        <v>45954</v>
      </c>
      <c r="G1378" s="7" t="s">
        <v>113</v>
      </c>
      <c r="H1378" s="25">
        <f t="shared" si="349"/>
        <v>1</v>
      </c>
      <c r="I1378" s="331">
        <v>5162</v>
      </c>
      <c r="J1378" s="8" t="s">
        <v>115</v>
      </c>
      <c r="K1378" s="9" t="s">
        <v>121</v>
      </c>
      <c r="L1378" s="10" t="s">
        <v>117</v>
      </c>
      <c r="M1378" s="11">
        <v>570</v>
      </c>
      <c r="N1378" s="12" t="s">
        <v>204</v>
      </c>
      <c r="O1378" s="359"/>
      <c r="P1378" s="371" t="s">
        <v>114</v>
      </c>
      <c r="Q1378" s="372"/>
      <c r="R1378" s="373"/>
      <c r="S1378" s="373"/>
      <c r="T1378" s="373">
        <v>0</v>
      </c>
      <c r="U1378" s="373">
        <v>0</v>
      </c>
      <c r="V1378" s="373">
        <v>0</v>
      </c>
      <c r="W1378" s="339" t="s">
        <v>128</v>
      </c>
      <c r="X1378" s="374"/>
      <c r="Y1378" s="17" t="s">
        <v>128</v>
      </c>
      <c r="Z1378" s="340"/>
      <c r="AA1378" s="361"/>
      <c r="AB1378" s="342"/>
      <c r="AC1378" s="343"/>
      <c r="AD1378" s="344">
        <v>0</v>
      </c>
      <c r="AE1378" s="23">
        <f>IF(DATA[[#This Row],[MONEDA]]="USD",VLOOKUP(DATA[[#This Row],[COMBINADA]],#REF!,11,0),1)</f>
        <v>1</v>
      </c>
      <c r="AF1378" s="129" t="str">
        <f>IF(DATA[[#This Row],[SERIE2]]="-","NO CORRESPONDE",IF(W1378="NO CORRESPONDE","NO CORRESPONDE",IF(Z1378&gt;0,"FACTURADO","PENDIENTE")))</f>
        <v>NO CORRESPONDE</v>
      </c>
      <c r="AG1378" s="310">
        <f>IFERROR(VLOOKUP(DATA[[#This Row],[COMBINADA]],#REF!,6,0),0)</f>
        <v>0</v>
      </c>
      <c r="AH1378" s="311">
        <f>IFERROR(VLOOKUP(DATA[[#This Row],[COMBINADA]],#REF!,9,0),0)/COUNTIFS(DATA[COMBINADA],DATA[[#This Row],[COMBINADA]])</f>
        <v>0</v>
      </c>
      <c r="AI1378" s="310">
        <f>IFERROR(VLOOKUP(DATA[[#This Row],[COMBINADA]],#REF!,6,0),0)</f>
        <v>0</v>
      </c>
      <c r="AJ1378" s="311">
        <f>IFERROR(VLOOKUP(DATA[[#This Row],[COMBINADA]],#REF!,9,0),0)/COUNTIFS(DATA[COMBINADA],DATA[[#This Row],[COMBINADA]])</f>
        <v>0</v>
      </c>
      <c r="AK1378" s="413">
        <f>IFERROR(VLOOKUP(DATA[[#This Row],[COMBINADA]],#REF!,6,0),0)</f>
        <v>0</v>
      </c>
      <c r="AL1378" s="311">
        <f>IFERROR(VLOOKUP(DATA[[#This Row],[COMBINADA]],#REF!,9,0),0)/COUNTIFS(DATA[COMBINADA],DATA[[#This Row],[COMBINADA]])</f>
        <v>0</v>
      </c>
      <c r="AM1378" s="312">
        <f>IFERROR(VLOOKUP(DATA[[#This Row],[COMBINADA]],#REF!,6,0),0)</f>
        <v>0</v>
      </c>
      <c r="AN1378" s="311">
        <f>IFERROR(VLOOKUP(DATA[[#This Row],[COMBINADA]],#REF!,9,0),0)/COUNTIFS(DATA[COMBINADA],DATA[[#This Row],[COMBINADA]])</f>
        <v>0</v>
      </c>
      <c r="AO1378" s="313">
        <f>IFERROR(VLOOKUP(DATA[[#This Row],[COMBINADA]],#REF!,6,0),0)</f>
        <v>0</v>
      </c>
      <c r="AP1378" s="311">
        <f>IFERROR(VLOOKUP(DATA[[#This Row],[COMBINADA]],#REF!,9,0),0)/COUNTIFS(DATA[COMBINADA],DATA[[#This Row],[COMBINADA]])</f>
        <v>0</v>
      </c>
      <c r="AQ1378" s="314">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78" s="315" t="str">
        <f>IFERROR(IF(DATA[[#This Row],[estado_fact]]="FACTURADO",VLOOKUP(DATA[[#This Row],[SERIE2]]&amp;"-"&amp;DATA[[#This Row],[NUMERO]],#REF!,34,0),"NO CORRESPONDE"),"NO CORRESPONDE")</f>
        <v>NO CORRESPONDE</v>
      </c>
      <c r="AS1378" s="22" t="str">
        <f>IF(DATA[[#This Row],[fecha_fs]]&gt;0,TEXT(DATA[[#This Row],[fecha_fs]],"Mmmm"),0)</f>
        <v>Octubre</v>
      </c>
      <c r="AT1378" s="22" t="str">
        <f>DATA[[#This Row],[SERIE2]]&amp;"-"&amp;DATA[[#This Row],[NUMERO]]</f>
        <v>-</v>
      </c>
      <c r="AU1378" s="28">
        <f>DATA[[#This Row],[TOTAL]]*DATA[[#This Row],[T.C.]]</f>
        <v>0</v>
      </c>
      <c r="AV1378" s="6">
        <f>DATA[[#This Row],[FECHA DE VAL.]]</f>
        <v>0</v>
      </c>
      <c r="AW1378" s="6">
        <f>DATA[[#This Row],[FECHA DE EMISION]]</f>
        <v>0</v>
      </c>
      <c r="AX1378" s="6">
        <f>DATA[[#This Row],[F1]]</f>
        <v>0</v>
      </c>
      <c r="AY1378" s="20">
        <f>IF(AV1378-DATA[[#This Row],[fecha_fs]]&lt;0,0,AV1378-DATA[[#This Row],[fecha_fs]])</f>
        <v>0</v>
      </c>
      <c r="AZ1378" s="20">
        <f t="shared" si="350"/>
        <v>0</v>
      </c>
      <c r="BA1378" s="53">
        <f t="shared" si="351"/>
        <v>0</v>
      </c>
      <c r="BB1378" s="360">
        <f>IFERROR(SUM(DATA[[#This Row],[fs_val_ttf]:[fact_pago_ttf]]),0)</f>
        <v>0</v>
      </c>
      <c r="BC1378" s="378" t="s">
        <v>270</v>
      </c>
      <c r="BD1378" s="185" t="s">
        <v>270</v>
      </c>
      <c r="BE1378" s="185" t="s">
        <v>270</v>
      </c>
      <c r="BF1378" s="185" t="s">
        <v>270</v>
      </c>
      <c r="BG1378" s="20">
        <f>IFERROR(IF(BC1378-DATA[[#This Row],[fecha_fs]]&lt;0,0,BC1378-DATA[[#This Row],[fecha_fs]]),0)</f>
        <v>0</v>
      </c>
      <c r="BH1378" s="20">
        <f t="shared" si="346"/>
        <v>0</v>
      </c>
      <c r="BI1378" s="20">
        <f t="shared" si="347"/>
        <v>0</v>
      </c>
      <c r="BJ1378" s="53">
        <f t="shared" si="348"/>
        <v>0</v>
      </c>
      <c r="BK1378" s="376">
        <f>IFERROR(SUM(DATA[[#This Row],[fs_fd_ttd]:[fend_fenf_ttd]]),0)</f>
        <v>0</v>
      </c>
      <c r="BL1378" s="20" t="str">
        <f>IF(DATA[[#This Row],[fecha_fs]]&gt;0,TEXT(DATA[[#This Row],[fecha_fs]],"YYYY"),0)</f>
        <v>2025</v>
      </c>
      <c r="BM1378" s="236" t="b">
        <v>0</v>
      </c>
      <c r="BN1378" s="278">
        <f>COUNTIF(DATA[[#This Row],[tiempo_td]], "&lt;=15")</f>
        <v>1</v>
      </c>
      <c r="BO1378" s="365"/>
    </row>
    <row r="1379" spans="1:67" ht="30.6" customHeight="1" x14ac:dyDescent="0.25">
      <c r="A1379" s="4">
        <v>20100211115</v>
      </c>
      <c r="B1379" s="5" t="s">
        <v>41</v>
      </c>
      <c r="C1379" s="52" t="s">
        <v>18</v>
      </c>
      <c r="D1379" s="4" t="s">
        <v>112</v>
      </c>
      <c r="E1379" s="5" t="s">
        <v>1</v>
      </c>
      <c r="F1379" s="24">
        <v>45954</v>
      </c>
      <c r="G1379" s="7" t="s">
        <v>113</v>
      </c>
      <c r="H1379" s="25">
        <f t="shared" si="349"/>
        <v>1</v>
      </c>
      <c r="I1379" s="331">
        <v>5163</v>
      </c>
      <c r="J1379" s="8" t="s">
        <v>115</v>
      </c>
      <c r="K1379" s="9" t="s">
        <v>116</v>
      </c>
      <c r="L1379" s="10" t="s">
        <v>117</v>
      </c>
      <c r="M1379" s="11">
        <v>44</v>
      </c>
      <c r="N1379" s="12" t="s">
        <v>167</v>
      </c>
      <c r="O1379" s="6">
        <v>45957</v>
      </c>
      <c r="P1379" s="115">
        <v>3744</v>
      </c>
      <c r="Q1379" s="14" t="s">
        <v>85</v>
      </c>
      <c r="R1379" s="74"/>
      <c r="S1379" s="401">
        <f>(DATA[[#This Row],[cantidad_fs]]*4.57)</f>
        <v>201.08</v>
      </c>
      <c r="T1379" s="321">
        <f>DATA[[#This Row],[C. DF]]+DATA[[#This Row],[C.OPE.]]</f>
        <v>201.08</v>
      </c>
      <c r="U1379" s="15">
        <f>DATA[[#This Row],[SUB TOTAL]]*0.18</f>
        <v>36.194400000000002</v>
      </c>
      <c r="V1379" s="15">
        <f>IFERROR(ROUND(DATA[[#This Row],[SUB TOTAL]]+DATA[[#This Row],[IGV]],2),0)</f>
        <v>237.27</v>
      </c>
      <c r="W1379" s="339" t="str">
        <f>IF(DATA[[#This Row],[VALORIZACIÓN ]]="-","NO CORRESPONDE",IF(OR(A1379=20558226979,A1379=10470707866,A1379=20111157058,A1379=20100226902),"NO CORRESPONDE",IF(J1379="Emitida",IF(P1379&gt;0,"EMITIDA","PENDIENTE"),"NO CORRESPONDE")))</f>
        <v>EMITIDA</v>
      </c>
      <c r="X1379" s="29"/>
      <c r="Y1379" s="17" t="s">
        <v>118</v>
      </c>
      <c r="Z1379" s="30">
        <v>45958</v>
      </c>
      <c r="AA1379" s="10" t="s">
        <v>150</v>
      </c>
      <c r="AB1379" s="19">
        <v>311</v>
      </c>
      <c r="AC1379" s="20">
        <v>30</v>
      </c>
      <c r="AD1379" s="18">
        <f>DATA[[#This Row],[FECHA DE EMISION]]+DATA[[#This Row],[CONDICION DE PAGO]]</f>
        <v>45988</v>
      </c>
      <c r="AE1379" s="23">
        <f>IF(DATA[[#This Row],[MONEDA]]="USD",VLOOKUP(DATA[[#This Row],[COMBINADA]],#REF!,11,0),1)</f>
        <v>1</v>
      </c>
      <c r="AF1379" s="129" t="str">
        <f>IF(DATA[[#This Row],[SERIE2]]="-","NO CORRESPONDE",IF(W1379="NO CORRESPONDE","NO CORRESPONDE",IF(Z1379&gt;0,"FACTURADO","PENDIENTE")))</f>
        <v>FACTURADO</v>
      </c>
      <c r="AG1379" s="133">
        <f>IFERROR(VLOOKUP(DATA[[#This Row],[COMBINADA]],#REF!,6,0),0)</f>
        <v>0</v>
      </c>
      <c r="AH1379" s="125">
        <f>IFERROR(VLOOKUP(DATA[[#This Row],[COMBINADA]],#REF!,9,0),0)/COUNTIFS(DATA[COMBINADA],DATA[[#This Row],[COMBINADA]])</f>
        <v>0</v>
      </c>
      <c r="AI1379" s="136">
        <f>IFERROR(VLOOKUP(DATA[[#This Row],[COMBINADA]],#REF!,6,0),0)</f>
        <v>0</v>
      </c>
      <c r="AJ1379" s="132">
        <f>IFERROR(VLOOKUP(DATA[[#This Row],[COMBINADA]],#REF!,9,0),0)/COUNTIFS(DATA[COMBINADA],DATA[[#This Row],[COMBINADA]])</f>
        <v>0</v>
      </c>
      <c r="AK1379" s="131">
        <f>IFERROR(VLOOKUP(DATA[[#This Row],[COMBINADA]],#REF!,6,0),0)</f>
        <v>0</v>
      </c>
      <c r="AL1379" s="125">
        <f>IFERROR(VLOOKUP(DATA[[#This Row],[COMBINADA]],#REF!,9,0),0)/COUNTIFS(DATA[COMBINADA],DATA[[#This Row],[COMBINADA]])</f>
        <v>0</v>
      </c>
      <c r="AM1379" s="27">
        <f>IFERROR(VLOOKUP(DATA[[#This Row],[COMBINADA]],#REF!,6,0),0)</f>
        <v>0</v>
      </c>
      <c r="AN1379" s="125">
        <f>IFERROR(VLOOKUP(DATA[[#This Row],[COMBINADA]],#REF!,9,0),0)/COUNTIFS(DATA[COMBINADA],DATA[[#This Row],[COMBINADA]])</f>
        <v>0</v>
      </c>
      <c r="AO1379" s="27">
        <f>IFERROR(VLOOKUP(DATA[[#This Row],[COMBINADA]],#REF!,6,0),0)</f>
        <v>0</v>
      </c>
      <c r="AP1379" s="132">
        <f>IFERROR(VLOOKUP(DATA[[#This Row],[COMBINADA]],#REF!,9,0),0)/COUNTIFS(DATA[COMBINADA],DATA[[#This Row],[COMBINADA]])</f>
        <v>0</v>
      </c>
      <c r="AQ137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145.6</v>
      </c>
      <c r="AR1379" s="26" t="str">
        <f>IFERROR(IF(DATA[[#This Row],[estado_fact]]="FACTURADO",VLOOKUP(DATA[[#This Row],[SERIE2]]&amp;"-"&amp;DATA[[#This Row],[NUMERO]],#REF!,34,0),"NO CORRESPONDE"),"NO CORRESPONDE")</f>
        <v>NO CORRESPONDE</v>
      </c>
      <c r="AS1379" s="22" t="str">
        <f>IF(DATA[[#This Row],[fecha_fs]]&gt;0,TEXT(DATA[[#This Row],[fecha_fs]],"Mmmm"),0)</f>
        <v>Octubre</v>
      </c>
      <c r="AT1379" s="22" t="str">
        <f>DATA[[#This Row],[SERIE2]]&amp;"-"&amp;DATA[[#This Row],[NUMERO]]</f>
        <v>FF01-311</v>
      </c>
      <c r="AU1379" s="28">
        <f>DATA[[#This Row],[TOTAL]]*DATA[[#This Row],[T.C.]]</f>
        <v>237.27</v>
      </c>
      <c r="AV1379" s="6">
        <f>DATA[[#This Row],[FECHA DE VAL.]]</f>
        <v>45957</v>
      </c>
      <c r="AW1379" s="6">
        <f>DATA[[#This Row],[FECHA DE EMISION]]</f>
        <v>45958</v>
      </c>
      <c r="AX1379" s="6">
        <f>DATA[[#This Row],[F1]]</f>
        <v>0</v>
      </c>
      <c r="AY1379" s="20">
        <f>IF(AV1379-DATA[[#This Row],[fecha_fs]]&lt;0,0,AV1379-DATA[[#This Row],[fecha_fs]])</f>
        <v>3</v>
      </c>
      <c r="AZ1379" s="20">
        <f t="shared" si="350"/>
        <v>1</v>
      </c>
      <c r="BA1379" s="53">
        <f t="shared" si="351"/>
        <v>0</v>
      </c>
      <c r="BB1379" s="360">
        <f>IFERROR(SUM(DATA[[#This Row],[fs_val_ttf]:[fact_pago_ttf]]),0)</f>
        <v>4</v>
      </c>
      <c r="BC1379" s="378" t="s">
        <v>270</v>
      </c>
      <c r="BD1379" s="185" t="s">
        <v>270</v>
      </c>
      <c r="BE1379" s="185" t="s">
        <v>270</v>
      </c>
      <c r="BF1379" s="185" t="s">
        <v>270</v>
      </c>
      <c r="BG1379" s="20">
        <f>IFERROR(IF(BC1379-DATA[[#This Row],[fecha_fs]]&lt;0,0,BC1379-DATA[[#This Row],[fecha_fs]]),0)</f>
        <v>0</v>
      </c>
      <c r="BH1379" s="20">
        <f t="shared" si="346"/>
        <v>0</v>
      </c>
      <c r="BI1379" s="20">
        <f t="shared" si="347"/>
        <v>0</v>
      </c>
      <c r="BJ1379" s="53">
        <f t="shared" si="348"/>
        <v>0</v>
      </c>
      <c r="BK1379" s="376">
        <f>IFERROR(SUM(DATA[[#This Row],[fs_fd_ttd]:[fend_fenf_ttd]]),0)</f>
        <v>0</v>
      </c>
      <c r="BL1379" s="20" t="str">
        <f>IF(DATA[[#This Row],[fecha_fs]]&gt;0,TEXT(DATA[[#This Row],[fecha_fs]],"YYYY"),0)</f>
        <v>2025</v>
      </c>
      <c r="BM1379" s="236" t="b">
        <v>0</v>
      </c>
      <c r="BN1379" s="278">
        <f>COUNTIF(DATA[[#This Row],[tiempo_td]], "&lt;=15")</f>
        <v>1</v>
      </c>
      <c r="BO1379" s="365"/>
    </row>
    <row r="1380" spans="1:67" ht="30.6" customHeight="1" x14ac:dyDescent="0.25">
      <c r="A1380" s="4">
        <v>20100211115</v>
      </c>
      <c r="B1380" s="5" t="s">
        <v>41</v>
      </c>
      <c r="C1380" s="52" t="s">
        <v>18</v>
      </c>
      <c r="D1380" s="4" t="s">
        <v>120</v>
      </c>
      <c r="E1380" s="5" t="s">
        <v>3</v>
      </c>
      <c r="F1380" s="24">
        <v>45954</v>
      </c>
      <c r="G1380" s="7" t="s">
        <v>113</v>
      </c>
      <c r="H1380" s="25">
        <f t="shared" si="349"/>
        <v>1</v>
      </c>
      <c r="I1380" s="331">
        <v>5164</v>
      </c>
      <c r="J1380" s="8" t="s">
        <v>115</v>
      </c>
      <c r="K1380" s="9" t="s">
        <v>121</v>
      </c>
      <c r="L1380" s="10" t="s">
        <v>117</v>
      </c>
      <c r="M1380" s="11">
        <v>90</v>
      </c>
      <c r="N1380" s="12" t="s">
        <v>167</v>
      </c>
      <c r="O1380" s="6">
        <v>45957</v>
      </c>
      <c r="P1380" s="115">
        <v>3742</v>
      </c>
      <c r="Q1380" s="14" t="s">
        <v>85</v>
      </c>
      <c r="R1380" s="74"/>
      <c r="S1380" s="401">
        <f>(DATA[[#This Row],[cantidad_fs]]*4.17)</f>
        <v>375.3</v>
      </c>
      <c r="T1380" s="321">
        <f>DATA[[#This Row],[C. DF]]+DATA[[#This Row],[C.OPE.]]</f>
        <v>375.3</v>
      </c>
      <c r="U1380" s="15">
        <f>DATA[[#This Row],[SUB TOTAL]]*0.18</f>
        <v>67.554000000000002</v>
      </c>
      <c r="V1380" s="15">
        <f>IFERROR(ROUND(DATA[[#This Row],[SUB TOTAL]]+DATA[[#This Row],[IGV]],2),0)</f>
        <v>442.85</v>
      </c>
      <c r="W1380" s="339" t="str">
        <f>IF(DATA[[#This Row],[VALORIZACIÓN ]]="-","NO CORRESPONDE",IF(OR(A1380=20558226979,A1380=10470707866,A1380=20111157058,A1380=20100226902),"NO CORRESPONDE",IF(J1380="Emitida",IF(P1380&gt;0,"EMITIDA","PENDIENTE"),"NO CORRESPONDE")))</f>
        <v>EMITIDA</v>
      </c>
      <c r="X1380" s="29"/>
      <c r="Y1380" s="17" t="s">
        <v>118</v>
      </c>
      <c r="Z1380" s="30">
        <v>45958</v>
      </c>
      <c r="AA1380" s="10" t="s">
        <v>150</v>
      </c>
      <c r="AB1380" s="19">
        <v>309</v>
      </c>
      <c r="AC1380" s="20">
        <v>30</v>
      </c>
      <c r="AD1380" s="18">
        <f>DATA[[#This Row],[FECHA DE EMISION]]+DATA[[#This Row],[CONDICION DE PAGO]]</f>
        <v>45988</v>
      </c>
      <c r="AE1380" s="23">
        <f>IF(DATA[[#This Row],[MONEDA]]="USD",VLOOKUP(DATA[[#This Row],[COMBINADA]],#REF!,11,0),1)</f>
        <v>1</v>
      </c>
      <c r="AF1380" s="129" t="str">
        <f>IF(DATA[[#This Row],[SERIE2]]="-","NO CORRESPONDE",IF(W1380="NO CORRESPONDE","NO CORRESPONDE",IF(Z1380&gt;0,"FACTURADO","PENDIENTE")))</f>
        <v>FACTURADO</v>
      </c>
      <c r="AG1380" s="133">
        <f>IFERROR(VLOOKUP(DATA[[#This Row],[COMBINADA]],#REF!,6,0),0)</f>
        <v>0</v>
      </c>
      <c r="AH1380" s="125">
        <f>IFERROR(VLOOKUP(DATA[[#This Row],[COMBINADA]],#REF!,9,0),0)/COUNTIFS(DATA[COMBINADA],DATA[[#This Row],[COMBINADA]])</f>
        <v>0</v>
      </c>
      <c r="AI1380" s="136">
        <f>IFERROR(VLOOKUP(DATA[[#This Row],[COMBINADA]],#REF!,6,0),0)</f>
        <v>0</v>
      </c>
      <c r="AJ1380" s="132">
        <f>IFERROR(VLOOKUP(DATA[[#This Row],[COMBINADA]],#REF!,9,0),0)/COUNTIFS(DATA[COMBINADA],DATA[[#This Row],[COMBINADA]])</f>
        <v>0</v>
      </c>
      <c r="AK1380" s="131">
        <f>IFERROR(VLOOKUP(DATA[[#This Row],[COMBINADA]],#REF!,6,0),0)</f>
        <v>0</v>
      </c>
      <c r="AL1380" s="125">
        <f>IFERROR(VLOOKUP(DATA[[#This Row],[COMBINADA]],#REF!,9,0),0)/COUNTIFS(DATA[COMBINADA],DATA[[#This Row],[COMBINADA]])</f>
        <v>0</v>
      </c>
      <c r="AM1380" s="27">
        <f>IFERROR(VLOOKUP(DATA[[#This Row],[COMBINADA]],#REF!,6,0),0)</f>
        <v>0</v>
      </c>
      <c r="AN1380" s="125">
        <f>IFERROR(VLOOKUP(DATA[[#This Row],[COMBINADA]],#REF!,9,0),0)/COUNTIFS(DATA[COMBINADA],DATA[[#This Row],[COMBINADA]])</f>
        <v>0</v>
      </c>
      <c r="AO1380" s="27">
        <f>IFERROR(VLOOKUP(DATA[[#This Row],[COMBINADA]],#REF!,6,0),0)</f>
        <v>0</v>
      </c>
      <c r="AP1380" s="132">
        <f>IFERROR(VLOOKUP(DATA[[#This Row],[COMBINADA]],#REF!,9,0),0)/COUNTIFS(DATA[COMBINADA],DATA[[#This Row],[COMBINADA]])</f>
        <v>0</v>
      </c>
      <c r="AQ138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380" s="26" t="str">
        <f>IFERROR(IF(DATA[[#This Row],[estado_fact]]="FACTURADO",VLOOKUP(DATA[[#This Row],[SERIE2]]&amp;"-"&amp;DATA[[#This Row],[NUMERO]],#REF!,34,0),"NO CORRESPONDE"),"NO CORRESPONDE")</f>
        <v>NO CORRESPONDE</v>
      </c>
      <c r="AS1380" s="22" t="str">
        <f>IF(DATA[[#This Row],[fecha_fs]]&gt;0,TEXT(DATA[[#This Row],[fecha_fs]],"Mmmm"),0)</f>
        <v>Octubre</v>
      </c>
      <c r="AT1380" s="22" t="str">
        <f>DATA[[#This Row],[SERIE2]]&amp;"-"&amp;DATA[[#This Row],[NUMERO]]</f>
        <v>FF01-309</v>
      </c>
      <c r="AU1380" s="28">
        <f>DATA[[#This Row],[TOTAL]]*DATA[[#This Row],[T.C.]]</f>
        <v>442.85</v>
      </c>
      <c r="AV1380" s="6">
        <f>DATA[[#This Row],[FECHA DE VAL.]]</f>
        <v>45957</v>
      </c>
      <c r="AW1380" s="6">
        <f>DATA[[#This Row],[FECHA DE EMISION]]</f>
        <v>45958</v>
      </c>
      <c r="AX1380" s="6">
        <f>DATA[[#This Row],[F1]]</f>
        <v>0</v>
      </c>
      <c r="AY1380" s="20">
        <f>IF(AV1380-DATA[[#This Row],[fecha_fs]]&lt;0,0,AV1380-DATA[[#This Row],[fecha_fs]])</f>
        <v>3</v>
      </c>
      <c r="AZ1380" s="20">
        <f t="shared" si="350"/>
        <v>1</v>
      </c>
      <c r="BA1380" s="53">
        <f t="shared" si="351"/>
        <v>0</v>
      </c>
      <c r="BB1380" s="360">
        <f>IFERROR(SUM(DATA[[#This Row],[fs_val_ttf]:[fact_pago_ttf]]),0)</f>
        <v>4</v>
      </c>
      <c r="BC1380" s="378" t="s">
        <v>270</v>
      </c>
      <c r="BD1380" s="185" t="s">
        <v>270</v>
      </c>
      <c r="BE1380" s="185" t="s">
        <v>270</v>
      </c>
      <c r="BF1380" s="185" t="s">
        <v>270</v>
      </c>
      <c r="BG1380" s="20">
        <f>IFERROR(IF(BC1380-DATA[[#This Row],[fecha_fs]]&lt;0,0,BC1380-DATA[[#This Row],[fecha_fs]]),0)</f>
        <v>0</v>
      </c>
      <c r="BH1380" s="20">
        <f t="shared" si="346"/>
        <v>0</v>
      </c>
      <c r="BI1380" s="20">
        <f t="shared" si="347"/>
        <v>0</v>
      </c>
      <c r="BJ1380" s="53">
        <f t="shared" si="348"/>
        <v>0</v>
      </c>
      <c r="BK1380" s="376">
        <f>IFERROR(SUM(DATA[[#This Row],[fs_fd_ttd]:[fend_fenf_ttd]]),0)</f>
        <v>0</v>
      </c>
      <c r="BL1380" s="20" t="str">
        <f>IF(DATA[[#This Row],[fecha_fs]]&gt;0,TEXT(DATA[[#This Row],[fecha_fs]],"YYYY"),0)</f>
        <v>2025</v>
      </c>
      <c r="BM1380" s="236" t="b">
        <v>0</v>
      </c>
      <c r="BN1380" s="278">
        <f>COUNTIF(DATA[[#This Row],[tiempo_td]], "&lt;=15")</f>
        <v>1</v>
      </c>
      <c r="BO1380" s="365"/>
    </row>
    <row r="1381" spans="1:67" ht="30.6" customHeight="1" x14ac:dyDescent="0.25">
      <c r="A1381" s="4">
        <v>20505675836</v>
      </c>
      <c r="B1381" s="5" t="s">
        <v>42</v>
      </c>
      <c r="C1381" s="52" t="s">
        <v>43</v>
      </c>
      <c r="D1381" s="4" t="s">
        <v>120</v>
      </c>
      <c r="E1381" s="5" t="s">
        <v>3</v>
      </c>
      <c r="F1381" s="24">
        <v>45953</v>
      </c>
      <c r="G1381" s="7" t="s">
        <v>113</v>
      </c>
      <c r="H1381" s="25">
        <f t="shared" si="349"/>
        <v>1</v>
      </c>
      <c r="I1381" s="331">
        <v>5165</v>
      </c>
      <c r="J1381" s="8" t="s">
        <v>115</v>
      </c>
      <c r="K1381" s="9" t="s">
        <v>121</v>
      </c>
      <c r="L1381" s="10" t="s">
        <v>117</v>
      </c>
      <c r="M1381" s="11">
        <v>390</v>
      </c>
      <c r="N1381" s="12" t="s">
        <v>249</v>
      </c>
      <c r="O1381" s="6">
        <v>45959</v>
      </c>
      <c r="P1381" s="404">
        <v>3750</v>
      </c>
      <c r="Q1381" s="14" t="s">
        <v>85</v>
      </c>
      <c r="R1381" s="15">
        <f>(DATA[[#This Row],[cantidad_fs]]-150)*0.67</f>
        <v>160.80000000000001</v>
      </c>
      <c r="S1381" s="15">
        <v>817.68</v>
      </c>
      <c r="T1381" s="321">
        <f>DATA[[#This Row],[C. DF]]+DATA[[#This Row],[C.OPE.]]</f>
        <v>978.48</v>
      </c>
      <c r="U1381" s="15">
        <f>DATA[[#This Row],[SUB TOTAL]]*0.18</f>
        <v>176.12639999999999</v>
      </c>
      <c r="V1381" s="15">
        <f>IFERROR(ROUND(DATA[[#This Row],[SUB TOTAL]]+DATA[[#This Row],[IGV]],2),0)</f>
        <v>1154.6099999999999</v>
      </c>
      <c r="W1381" s="339" t="str">
        <f>IF(DATA[[#This Row],[VALORIZACIÓN ]]="-","NO CORRESPONDE",IF(OR(A1381=20558226979,A1381=10470707866,A1381=20111157058,A1381=20100226902),"NO CORRESPONDE",IF(J1381="Emitida",IF(P1381&gt;0,"EMITIDA","PENDIENTE"),"NO CORRESPONDE")))</f>
        <v>EMITIDA</v>
      </c>
      <c r="X1381" s="29"/>
      <c r="Y1381" s="17" t="s">
        <v>118</v>
      </c>
      <c r="Z1381" s="30">
        <v>45968</v>
      </c>
      <c r="AA1381" s="10" t="s">
        <v>150</v>
      </c>
      <c r="AB1381" s="19">
        <v>343</v>
      </c>
      <c r="AC1381" s="20">
        <v>30</v>
      </c>
      <c r="AD1381" s="18">
        <f>DATA[[#This Row],[FECHA DE EMISION]]+DATA[[#This Row],[CONDICION DE PAGO]]</f>
        <v>45998</v>
      </c>
      <c r="AE1381" s="23">
        <f>IF(DATA[[#This Row],[MONEDA]]="USD",VLOOKUP(DATA[[#This Row],[COMBINADA]],#REF!,11,0),1)</f>
        <v>1</v>
      </c>
      <c r="AF1381" s="129" t="str">
        <f>IF(DATA[[#This Row],[SERIE2]]="-","NO CORRESPONDE",IF(W1381="NO CORRESPONDE","NO CORRESPONDE",IF(Z1381&gt;0,"FACTURADO","PENDIENTE")))</f>
        <v>FACTURADO</v>
      </c>
      <c r="AG1381" s="133">
        <f>IFERROR(VLOOKUP(DATA[[#This Row],[COMBINADA]],#REF!,6,0),0)</f>
        <v>0</v>
      </c>
      <c r="AH1381" s="125">
        <f>IFERROR(VLOOKUP(DATA[[#This Row],[COMBINADA]],#REF!,9,0),0)/COUNTIFS(DATA[COMBINADA],DATA[[#This Row],[COMBINADA]])</f>
        <v>0</v>
      </c>
      <c r="AI1381" s="136">
        <f>IFERROR(VLOOKUP(DATA[[#This Row],[COMBINADA]],#REF!,6,0),0)</f>
        <v>0</v>
      </c>
      <c r="AJ1381" s="132">
        <f>IFERROR(VLOOKUP(DATA[[#This Row],[COMBINADA]],#REF!,9,0),0)/COUNTIFS(DATA[COMBINADA],DATA[[#This Row],[COMBINADA]])</f>
        <v>0</v>
      </c>
      <c r="AK1381" s="131">
        <f>IFERROR(VLOOKUP(DATA[[#This Row],[COMBINADA]],#REF!,6,0),0)</f>
        <v>0</v>
      </c>
      <c r="AL1381" s="125">
        <f>IFERROR(VLOOKUP(DATA[[#This Row],[COMBINADA]],#REF!,9,0),0)/COUNTIFS(DATA[COMBINADA],DATA[[#This Row],[COMBINADA]])</f>
        <v>0</v>
      </c>
      <c r="AM1381" s="27">
        <f>IFERROR(VLOOKUP(DATA[[#This Row],[COMBINADA]],#REF!,6,0),0)</f>
        <v>0</v>
      </c>
      <c r="AN1381" s="125">
        <f>IFERROR(VLOOKUP(DATA[[#This Row],[COMBINADA]],#REF!,9,0),0)/COUNTIFS(DATA[COMBINADA],DATA[[#This Row],[COMBINADA]])</f>
        <v>0</v>
      </c>
      <c r="AO1381" s="27">
        <f>IFERROR(VLOOKUP(DATA[[#This Row],[COMBINADA]],#REF!,6,0),0)</f>
        <v>0</v>
      </c>
      <c r="AP1381" s="132">
        <f>IFERROR(VLOOKUP(DATA[[#This Row],[COMBINADA]],#REF!,9,0),0)/COUNTIFS(DATA[COMBINADA],DATA[[#This Row],[COMBINADA]])</f>
        <v>0</v>
      </c>
      <c r="AQ138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4249.6959999999999</v>
      </c>
      <c r="AR1381" s="26" t="str">
        <f>IFERROR(IF(DATA[[#This Row],[estado_fact]]="FACTURADO",VLOOKUP(DATA[[#This Row],[SERIE2]]&amp;"-"&amp;DATA[[#This Row],[NUMERO]],#REF!,34,0),"NO CORRESPONDE"),"NO CORRESPONDE")</f>
        <v>NO CORRESPONDE</v>
      </c>
      <c r="AS1381" s="22" t="str">
        <f>IF(DATA[[#This Row],[fecha_fs]]&gt;0,TEXT(DATA[[#This Row],[fecha_fs]],"Mmmm"),0)</f>
        <v>Octubre</v>
      </c>
      <c r="AT1381" s="22" t="str">
        <f>DATA[[#This Row],[SERIE2]]&amp;"-"&amp;DATA[[#This Row],[NUMERO]]</f>
        <v>FF01-343</v>
      </c>
      <c r="AU1381" s="28">
        <f>DATA[[#This Row],[TOTAL]]*DATA[[#This Row],[T.C.]]</f>
        <v>1154.6099999999999</v>
      </c>
      <c r="AV1381" s="6">
        <f>DATA[[#This Row],[FECHA DE VAL.]]</f>
        <v>45959</v>
      </c>
      <c r="AW1381" s="6">
        <f>DATA[[#This Row],[FECHA DE EMISION]]</f>
        <v>45968</v>
      </c>
      <c r="AX1381" s="6">
        <f>DATA[[#This Row],[F1]]</f>
        <v>0</v>
      </c>
      <c r="AY1381" s="20">
        <f>IF(AV1381-DATA[[#This Row],[fecha_fs]]&lt;0,0,AV1381-DATA[[#This Row],[fecha_fs]])</f>
        <v>6</v>
      </c>
      <c r="AZ1381" s="20">
        <f t="shared" si="350"/>
        <v>9</v>
      </c>
      <c r="BA1381" s="53">
        <f t="shared" si="351"/>
        <v>0</v>
      </c>
      <c r="BB1381" s="360">
        <f>IFERROR(SUM(DATA[[#This Row],[fs_val_ttf]:[fact_pago_ttf]]),0)</f>
        <v>15</v>
      </c>
      <c r="BC1381" s="378" t="s">
        <v>270</v>
      </c>
      <c r="BD1381" s="185" t="s">
        <v>270</v>
      </c>
      <c r="BE1381" s="185" t="s">
        <v>270</v>
      </c>
      <c r="BF1381" s="185" t="s">
        <v>270</v>
      </c>
      <c r="BG1381" s="20">
        <f>IFERROR(IF(BC1381-DATA[[#This Row],[fecha_fs]]&lt;0,0,BC1381-DATA[[#This Row],[fecha_fs]]),0)</f>
        <v>0</v>
      </c>
      <c r="BH1381" s="20">
        <f t="shared" si="346"/>
        <v>0</v>
      </c>
      <c r="BI1381" s="20">
        <f t="shared" si="347"/>
        <v>0</v>
      </c>
      <c r="BJ1381" s="53">
        <f t="shared" si="348"/>
        <v>0</v>
      </c>
      <c r="BK1381" s="376">
        <f>IFERROR(SUM(DATA[[#This Row],[fs_fd_ttd]:[fend_fenf_ttd]]),0)</f>
        <v>0</v>
      </c>
      <c r="BL1381" s="20" t="str">
        <f>IF(DATA[[#This Row],[fecha_fs]]&gt;0,TEXT(DATA[[#This Row],[fecha_fs]],"YYYY"),0)</f>
        <v>2025</v>
      </c>
      <c r="BM1381" s="236" t="b">
        <v>0</v>
      </c>
      <c r="BN1381" s="278">
        <f>COUNTIF(DATA[[#This Row],[tiempo_td]], "&lt;=15")</f>
        <v>1</v>
      </c>
      <c r="BO1381" s="365"/>
    </row>
    <row r="1382" spans="1:67" ht="30.6" customHeight="1" x14ac:dyDescent="0.25">
      <c r="A1382" s="4">
        <v>20419158462</v>
      </c>
      <c r="B1382" s="5" t="s">
        <v>2</v>
      </c>
      <c r="C1382" s="52" t="s">
        <v>4</v>
      </c>
      <c r="D1382" s="4" t="s">
        <v>120</v>
      </c>
      <c r="E1382" s="5" t="s">
        <v>3</v>
      </c>
      <c r="F1382" s="24">
        <v>45954</v>
      </c>
      <c r="G1382" s="7" t="s">
        <v>113</v>
      </c>
      <c r="H1382" s="25">
        <f t="shared" si="349"/>
        <v>1</v>
      </c>
      <c r="I1382" s="331">
        <v>5166</v>
      </c>
      <c r="J1382" s="8" t="s">
        <v>115</v>
      </c>
      <c r="K1382" s="9" t="s">
        <v>156</v>
      </c>
      <c r="L1382" s="10" t="s">
        <v>117</v>
      </c>
      <c r="M1382" s="11">
        <v>650</v>
      </c>
      <c r="N1382" s="12" t="s">
        <v>249</v>
      </c>
      <c r="O1382" s="6">
        <v>45957</v>
      </c>
      <c r="P1382" s="13">
        <v>3741</v>
      </c>
      <c r="Q1382" s="14" t="s">
        <v>85</v>
      </c>
      <c r="R1382" s="74"/>
      <c r="S1382" s="15">
        <f>1429.7/2</f>
        <v>714.85</v>
      </c>
      <c r="T1382" s="321">
        <f>DATA[[#This Row],[C. DF]]+DATA[[#This Row],[C.OPE.]]</f>
        <v>714.85</v>
      </c>
      <c r="U1382" s="15">
        <f>DATA[[#This Row],[SUB TOTAL]]*0.18</f>
        <v>128.673</v>
      </c>
      <c r="V1382" s="15">
        <f>IFERROR(ROUND(DATA[[#This Row],[SUB TOTAL]]+DATA[[#This Row],[IGV]],2),0)</f>
        <v>843.52</v>
      </c>
      <c r="W1382" s="339" t="str">
        <f>IF(DATA[[#This Row],[VALORIZACIÓN ]]="-","NO CORRESPONDE",IF(OR(A1382=20558226979,A1382=10470707866,A1382=20111157058,A1382=20100226902),"NO CORRESPONDE",IF(J1382="Emitida",IF(P1382&gt;0,"EMITIDA","PENDIENTE"),"NO CORRESPONDE")))</f>
        <v>EMITIDA</v>
      </c>
      <c r="X1382" s="29"/>
      <c r="Y1382" s="17" t="s">
        <v>232</v>
      </c>
      <c r="Z1382" s="30"/>
      <c r="AA1382" s="10"/>
      <c r="AB1382" s="19"/>
      <c r="AC1382" s="20"/>
      <c r="AD1382" s="18">
        <f>DATA[[#This Row],[FECHA DE EMISION]]+DATA[[#This Row],[CONDICION DE PAGO]]</f>
        <v>0</v>
      </c>
      <c r="AE1382" s="23">
        <f>IF(DATA[[#This Row],[MONEDA]]="USD",VLOOKUP(DATA[[#This Row],[COMBINADA]],#REF!,11,0),1)</f>
        <v>1</v>
      </c>
      <c r="AF1382" s="129" t="str">
        <f>IF(DATA[[#This Row],[SERIE2]]="-","NO CORRESPONDE",IF(W1382="NO CORRESPONDE","NO CORRESPONDE",IF(Z1382&gt;0,"FACTURADO","PENDIENTE")))</f>
        <v>PENDIENTE</v>
      </c>
      <c r="AG1382" s="133">
        <f>IFERROR(VLOOKUP(DATA[[#This Row],[COMBINADA]],#REF!,6,0),0)</f>
        <v>0</v>
      </c>
      <c r="AH1382" s="125">
        <f>IFERROR(VLOOKUP(DATA[[#This Row],[COMBINADA]],#REF!,9,0),0)/COUNTIFS(DATA[COMBINADA],DATA[[#This Row],[COMBINADA]])</f>
        <v>0</v>
      </c>
      <c r="AI1382" s="136">
        <f>IFERROR(VLOOKUP(DATA[[#This Row],[COMBINADA]],#REF!,6,0),0)</f>
        <v>0</v>
      </c>
      <c r="AJ1382" s="132">
        <f>IFERROR(VLOOKUP(DATA[[#This Row],[COMBINADA]],#REF!,9,0),0)/COUNTIFS(DATA[COMBINADA],DATA[[#This Row],[COMBINADA]])</f>
        <v>0</v>
      </c>
      <c r="AK1382" s="131">
        <f>IFERROR(VLOOKUP(DATA[[#This Row],[COMBINADA]],#REF!,6,0),0)</f>
        <v>0</v>
      </c>
      <c r="AL1382" s="125">
        <f>IFERROR(VLOOKUP(DATA[[#This Row],[COMBINADA]],#REF!,9,0),0)/COUNTIFS(DATA[COMBINADA],DATA[[#This Row],[COMBINADA]])</f>
        <v>0</v>
      </c>
      <c r="AM1382" s="27">
        <f>IFERROR(VLOOKUP(DATA[[#This Row],[COMBINADA]],#REF!,6,0),0)</f>
        <v>0</v>
      </c>
      <c r="AN1382" s="125">
        <f>IFERROR(VLOOKUP(DATA[[#This Row],[COMBINADA]],#REF!,9,0),0)/COUNTIFS(DATA[COMBINADA],DATA[[#This Row],[COMBINADA]])</f>
        <v>0</v>
      </c>
      <c r="AO1382" s="27">
        <f>IFERROR(VLOOKUP(DATA[[#This Row],[COMBINADA]],#REF!,6,0),0)</f>
        <v>0</v>
      </c>
      <c r="AP1382" s="132">
        <f>IFERROR(VLOOKUP(DATA[[#This Row],[COMBINADA]],#REF!,9,0),0)/COUNTIFS(DATA[COMBINADA],DATA[[#This Row],[COMBINADA]])</f>
        <v>0</v>
      </c>
      <c r="AQ138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82" s="26" t="str">
        <f>IFERROR(IF(DATA[[#This Row],[estado_fact]]="FACTURADO",VLOOKUP(DATA[[#This Row],[SERIE2]]&amp;"-"&amp;DATA[[#This Row],[NUMERO]],#REF!,34,0),"NO CORRESPONDE"),"NO CORRESPONDE")</f>
        <v>NO CORRESPONDE</v>
      </c>
      <c r="AS1382" s="22" t="str">
        <f>IF(DATA[[#This Row],[fecha_fs]]&gt;0,TEXT(DATA[[#This Row],[fecha_fs]],"Mmmm"),0)</f>
        <v>Octubre</v>
      </c>
      <c r="AT1382" s="22" t="str">
        <f>DATA[[#This Row],[SERIE2]]&amp;"-"&amp;DATA[[#This Row],[NUMERO]]</f>
        <v>-</v>
      </c>
      <c r="AU1382" s="28">
        <f>DATA[[#This Row],[TOTAL]]*DATA[[#This Row],[T.C.]]</f>
        <v>843.52</v>
      </c>
      <c r="AV1382" s="6">
        <f>DATA[[#This Row],[FECHA DE VAL.]]</f>
        <v>45957</v>
      </c>
      <c r="AW1382" s="6">
        <f>DATA[[#This Row],[FECHA DE EMISION]]</f>
        <v>0</v>
      </c>
      <c r="AX1382" s="6">
        <f>DATA[[#This Row],[F1]]</f>
        <v>0</v>
      </c>
      <c r="AY1382" s="20">
        <f>IF(AV1382-DATA[[#This Row],[fecha_fs]]&lt;0,0,AV1382-DATA[[#This Row],[fecha_fs]])</f>
        <v>3</v>
      </c>
      <c r="AZ1382" s="20">
        <f t="shared" si="350"/>
        <v>0</v>
      </c>
      <c r="BA1382" s="53">
        <f t="shared" si="351"/>
        <v>0</v>
      </c>
      <c r="BB1382" s="360">
        <f>IFERROR(SUM(DATA[[#This Row],[fs_val_ttf]:[fact_pago_ttf]]),0)</f>
        <v>3</v>
      </c>
      <c r="BC1382" s="378" t="s">
        <v>270</v>
      </c>
      <c r="BD1382" s="185" t="s">
        <v>270</v>
      </c>
      <c r="BE1382" s="185" t="s">
        <v>270</v>
      </c>
      <c r="BF1382" s="185" t="s">
        <v>270</v>
      </c>
      <c r="BG1382" s="20">
        <f>IFERROR(IF(BC1382-DATA[[#This Row],[fecha_fs]]&lt;0,0,BC1382-DATA[[#This Row],[fecha_fs]]),0)</f>
        <v>0</v>
      </c>
      <c r="BH1382" s="20">
        <f t="shared" si="346"/>
        <v>0</v>
      </c>
      <c r="BI1382" s="20">
        <f t="shared" si="347"/>
        <v>0</v>
      </c>
      <c r="BJ1382" s="53">
        <f t="shared" si="348"/>
        <v>0</v>
      </c>
      <c r="BK1382" s="376">
        <f>IFERROR(SUM(DATA[[#This Row],[fs_fd_ttd]:[fend_fenf_ttd]]),0)</f>
        <v>0</v>
      </c>
      <c r="BL1382" s="20" t="str">
        <f>IF(DATA[[#This Row],[fecha_fs]]&gt;0,TEXT(DATA[[#This Row],[fecha_fs]],"YYYY"),0)</f>
        <v>2025</v>
      </c>
      <c r="BM1382" s="236" t="b">
        <v>0</v>
      </c>
      <c r="BN1382" s="278">
        <f>COUNTIF(DATA[[#This Row],[tiempo_td]], "&lt;=15")</f>
        <v>1</v>
      </c>
      <c r="BO1382" s="365"/>
    </row>
    <row r="1383" spans="1:67" ht="30.6" customHeight="1" x14ac:dyDescent="0.25">
      <c r="A1383" s="4">
        <v>20419158462</v>
      </c>
      <c r="B1383" s="5" t="s">
        <v>2</v>
      </c>
      <c r="C1383" s="52" t="s">
        <v>5</v>
      </c>
      <c r="D1383" s="4" t="s">
        <v>120</v>
      </c>
      <c r="E1383" s="5" t="s">
        <v>3</v>
      </c>
      <c r="F1383" s="24">
        <v>45954</v>
      </c>
      <c r="G1383" s="7" t="s">
        <v>113</v>
      </c>
      <c r="H1383" s="25">
        <f t="shared" si="349"/>
        <v>1</v>
      </c>
      <c r="I1383" s="331">
        <v>5167</v>
      </c>
      <c r="J1383" s="8" t="s">
        <v>115</v>
      </c>
      <c r="K1383" s="9" t="s">
        <v>156</v>
      </c>
      <c r="L1383" s="10" t="s">
        <v>117</v>
      </c>
      <c r="M1383" s="11">
        <v>420</v>
      </c>
      <c r="N1383" s="12" t="s">
        <v>249</v>
      </c>
      <c r="O1383" s="6">
        <v>45957</v>
      </c>
      <c r="P1383" s="13">
        <v>3741</v>
      </c>
      <c r="Q1383" s="14" t="s">
        <v>85</v>
      </c>
      <c r="R1383" s="74"/>
      <c r="S1383" s="15">
        <f>1429.7/2</f>
        <v>714.85</v>
      </c>
      <c r="T1383" s="321">
        <f>DATA[[#This Row],[C. DF]]+DATA[[#This Row],[C.OPE.]]</f>
        <v>714.85</v>
      </c>
      <c r="U1383" s="15">
        <f>DATA[[#This Row],[SUB TOTAL]]*0.18</f>
        <v>128.673</v>
      </c>
      <c r="V1383" s="15">
        <f>IFERROR(ROUND(DATA[[#This Row],[SUB TOTAL]]+DATA[[#This Row],[IGV]],2),0)</f>
        <v>843.52</v>
      </c>
      <c r="W1383" s="339" t="str">
        <f>IF(DATA[[#This Row],[VALORIZACIÓN ]]="-","NO CORRESPONDE",IF(OR(A1383=20558226979,A1383=10470707866,A1383=20111157058,A1383=20100226902),"NO CORRESPONDE",IF(J1383="Emitida",IF(P1383&gt;0,"EMITIDA","PENDIENTE"),"NO CORRESPONDE")))</f>
        <v>EMITIDA</v>
      </c>
      <c r="X1383" s="29"/>
      <c r="Y1383" s="17" t="s">
        <v>232</v>
      </c>
      <c r="Z1383" s="30"/>
      <c r="AA1383" s="10"/>
      <c r="AB1383" s="19"/>
      <c r="AC1383" s="20"/>
      <c r="AD1383" s="18">
        <f>DATA[[#This Row],[FECHA DE EMISION]]+DATA[[#This Row],[CONDICION DE PAGO]]</f>
        <v>0</v>
      </c>
      <c r="AE1383" s="23">
        <f>IF(DATA[[#This Row],[MONEDA]]="USD",VLOOKUP(DATA[[#This Row],[COMBINADA]],#REF!,11,0),1)</f>
        <v>1</v>
      </c>
      <c r="AF1383" s="129" t="str">
        <f>IF(DATA[[#This Row],[SERIE2]]="-","NO CORRESPONDE",IF(W1383="NO CORRESPONDE","NO CORRESPONDE",IF(Z1383&gt;0,"FACTURADO","PENDIENTE")))</f>
        <v>PENDIENTE</v>
      </c>
      <c r="AG1383" s="133">
        <f>IFERROR(VLOOKUP(DATA[[#This Row],[COMBINADA]],#REF!,6,0),0)</f>
        <v>0</v>
      </c>
      <c r="AH1383" s="125">
        <f>IFERROR(VLOOKUP(DATA[[#This Row],[COMBINADA]],#REF!,9,0),0)/COUNTIFS(DATA[COMBINADA],DATA[[#This Row],[COMBINADA]])</f>
        <v>0</v>
      </c>
      <c r="AI1383" s="136">
        <f>IFERROR(VLOOKUP(DATA[[#This Row],[COMBINADA]],#REF!,6,0),0)</f>
        <v>0</v>
      </c>
      <c r="AJ1383" s="132">
        <f>IFERROR(VLOOKUP(DATA[[#This Row],[COMBINADA]],#REF!,9,0),0)/COUNTIFS(DATA[COMBINADA],DATA[[#This Row],[COMBINADA]])</f>
        <v>0</v>
      </c>
      <c r="AK1383" s="131">
        <f>IFERROR(VLOOKUP(DATA[[#This Row],[COMBINADA]],#REF!,6,0),0)</f>
        <v>0</v>
      </c>
      <c r="AL1383" s="125">
        <f>IFERROR(VLOOKUP(DATA[[#This Row],[COMBINADA]],#REF!,9,0),0)/COUNTIFS(DATA[COMBINADA],DATA[[#This Row],[COMBINADA]])</f>
        <v>0</v>
      </c>
      <c r="AM1383" s="27">
        <f>IFERROR(VLOOKUP(DATA[[#This Row],[COMBINADA]],#REF!,6,0),0)</f>
        <v>0</v>
      </c>
      <c r="AN1383" s="125">
        <f>IFERROR(VLOOKUP(DATA[[#This Row],[COMBINADA]],#REF!,9,0),0)/COUNTIFS(DATA[COMBINADA],DATA[[#This Row],[COMBINADA]])</f>
        <v>0</v>
      </c>
      <c r="AO1383" s="27">
        <f>IFERROR(VLOOKUP(DATA[[#This Row],[COMBINADA]],#REF!,6,0),0)</f>
        <v>0</v>
      </c>
      <c r="AP1383" s="132">
        <f>IFERROR(VLOOKUP(DATA[[#This Row],[COMBINADA]],#REF!,9,0),0)/COUNTIFS(DATA[COMBINADA],DATA[[#This Row],[COMBINADA]])</f>
        <v>0</v>
      </c>
      <c r="AQ138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83" s="26" t="str">
        <f>IFERROR(IF(DATA[[#This Row],[estado_fact]]="FACTURADO",VLOOKUP(DATA[[#This Row],[SERIE2]]&amp;"-"&amp;DATA[[#This Row],[NUMERO]],#REF!,34,0),"NO CORRESPONDE"),"NO CORRESPONDE")</f>
        <v>NO CORRESPONDE</v>
      </c>
      <c r="AS1383" s="22" t="str">
        <f>IF(DATA[[#This Row],[fecha_fs]]&gt;0,TEXT(DATA[[#This Row],[fecha_fs]],"Mmmm"),0)</f>
        <v>Octubre</v>
      </c>
      <c r="AT1383" s="22" t="str">
        <f>DATA[[#This Row],[SERIE2]]&amp;"-"&amp;DATA[[#This Row],[NUMERO]]</f>
        <v>-</v>
      </c>
      <c r="AU1383" s="28">
        <f>DATA[[#This Row],[TOTAL]]*DATA[[#This Row],[T.C.]]</f>
        <v>843.52</v>
      </c>
      <c r="AV1383" s="6">
        <f>DATA[[#This Row],[FECHA DE VAL.]]</f>
        <v>45957</v>
      </c>
      <c r="AW1383" s="6">
        <f>DATA[[#This Row],[FECHA DE EMISION]]</f>
        <v>0</v>
      </c>
      <c r="AX1383" s="6">
        <f>DATA[[#This Row],[F1]]</f>
        <v>0</v>
      </c>
      <c r="AY1383" s="20">
        <f>IF(AV1383-DATA[[#This Row],[fecha_fs]]&lt;0,0,AV1383-DATA[[#This Row],[fecha_fs]])</f>
        <v>3</v>
      </c>
      <c r="AZ1383" s="20">
        <f t="shared" si="350"/>
        <v>0</v>
      </c>
      <c r="BA1383" s="53">
        <f t="shared" si="351"/>
        <v>0</v>
      </c>
      <c r="BB1383" s="360">
        <f>IFERROR(SUM(DATA[[#This Row],[fs_val_ttf]:[fact_pago_ttf]]),0)</f>
        <v>3</v>
      </c>
      <c r="BC1383" s="378" t="s">
        <v>270</v>
      </c>
      <c r="BD1383" s="185" t="s">
        <v>270</v>
      </c>
      <c r="BE1383" s="185" t="s">
        <v>270</v>
      </c>
      <c r="BF1383" s="185" t="s">
        <v>270</v>
      </c>
      <c r="BG1383" s="20">
        <f>IFERROR(IF(BC1383-DATA[[#This Row],[fecha_fs]]&lt;0,0,BC1383-DATA[[#This Row],[fecha_fs]]),0)</f>
        <v>0</v>
      </c>
      <c r="BH1383" s="20">
        <f t="shared" si="346"/>
        <v>0</v>
      </c>
      <c r="BI1383" s="20">
        <f t="shared" si="347"/>
        <v>0</v>
      </c>
      <c r="BJ1383" s="53">
        <f t="shared" si="348"/>
        <v>0</v>
      </c>
      <c r="BK1383" s="376">
        <f>IFERROR(SUM(DATA[[#This Row],[fs_fd_ttd]:[fend_fenf_ttd]]),0)</f>
        <v>0</v>
      </c>
      <c r="BL1383" s="20" t="str">
        <f>IF(DATA[[#This Row],[fecha_fs]]&gt;0,TEXT(DATA[[#This Row],[fecha_fs]],"YYYY"),0)</f>
        <v>2025</v>
      </c>
      <c r="BM1383" s="236" t="b">
        <v>0</v>
      </c>
      <c r="BN1383" s="278">
        <f>COUNTIF(DATA[[#This Row],[tiempo_td]], "&lt;=15")</f>
        <v>1</v>
      </c>
      <c r="BO1383" s="365"/>
    </row>
    <row r="1384" spans="1:67" ht="30.6" customHeight="1" x14ac:dyDescent="0.25">
      <c r="A1384" s="4">
        <v>20505675836</v>
      </c>
      <c r="B1384" s="5" t="s">
        <v>42</v>
      </c>
      <c r="C1384" s="52" t="s">
        <v>43</v>
      </c>
      <c r="D1384" s="4" t="s">
        <v>112</v>
      </c>
      <c r="E1384" s="5" t="s">
        <v>1</v>
      </c>
      <c r="F1384" s="24">
        <v>45953</v>
      </c>
      <c r="G1384" s="7" t="s">
        <v>113</v>
      </c>
      <c r="H1384" s="25">
        <f t="shared" si="349"/>
        <v>1</v>
      </c>
      <c r="I1384" s="331">
        <v>5168</v>
      </c>
      <c r="J1384" s="8" t="s">
        <v>115</v>
      </c>
      <c r="K1384" s="9" t="s">
        <v>116</v>
      </c>
      <c r="L1384" s="10" t="s">
        <v>117</v>
      </c>
      <c r="M1384" s="11">
        <v>5050</v>
      </c>
      <c r="N1384" s="12" t="s">
        <v>337</v>
      </c>
      <c r="O1384" s="6">
        <v>45959</v>
      </c>
      <c r="P1384" s="404">
        <v>3751</v>
      </c>
      <c r="Q1384" s="14" t="s">
        <v>85</v>
      </c>
      <c r="R1384" s="401">
        <f>(DATA[[#This Row],[cantidad_fs]]-600)*0.97</f>
        <v>4316.5</v>
      </c>
      <c r="S1384" s="401">
        <v>1427.2</v>
      </c>
      <c r="T1384" s="321">
        <f>DATA[[#This Row],[C. DF]]+DATA[[#This Row],[C.OPE.]]</f>
        <v>5743.7</v>
      </c>
      <c r="U1384" s="15">
        <f>DATA[[#This Row],[SUB TOTAL]]*0.18</f>
        <v>1033.866</v>
      </c>
      <c r="V1384" s="15">
        <f>IFERROR(ROUND(DATA[[#This Row],[SUB TOTAL]]+DATA[[#This Row],[IGV]],2),0)</f>
        <v>6777.57</v>
      </c>
      <c r="W1384" s="339" t="str">
        <f>IF(DATA[[#This Row],[VALORIZACIÓN ]]="-","NO CORRESPONDE",IF(OR(A1384=20558226979,A1384=10470707866,A1384=20111157058,A1384=20100226902),"NO CORRESPONDE",IF(J1384="Emitida",IF(P1384&gt;0,"EMITIDA","PENDIENTE"),"NO CORRESPONDE")))</f>
        <v>EMITIDA</v>
      </c>
      <c r="X1384" s="29"/>
      <c r="Y1384" s="17" t="s">
        <v>118</v>
      </c>
      <c r="Z1384" s="30">
        <v>45968</v>
      </c>
      <c r="AA1384" s="10" t="s">
        <v>150</v>
      </c>
      <c r="AB1384" s="19">
        <v>343</v>
      </c>
      <c r="AC1384" s="20">
        <v>30</v>
      </c>
      <c r="AD1384" s="18">
        <f>DATA[[#This Row],[FECHA DE EMISION]]+DATA[[#This Row],[CONDICION DE PAGO]]</f>
        <v>45998</v>
      </c>
      <c r="AE1384" s="23">
        <f>IF(DATA[[#This Row],[MONEDA]]="USD",VLOOKUP(DATA[[#This Row],[COMBINADA]],#REF!,11,0),1)</f>
        <v>1</v>
      </c>
      <c r="AF1384" s="129" t="str">
        <f>IF(DATA[[#This Row],[SERIE2]]="-","NO CORRESPONDE",IF(W1384="NO CORRESPONDE","NO CORRESPONDE",IF(Z1384&gt;0,"FACTURADO","PENDIENTE")))</f>
        <v>FACTURADO</v>
      </c>
      <c r="AG1384" s="133">
        <f>IFERROR(VLOOKUP(DATA[[#This Row],[COMBINADA]],#REF!,6,0),0)</f>
        <v>0</v>
      </c>
      <c r="AH1384" s="125">
        <f>IFERROR(VLOOKUP(DATA[[#This Row],[COMBINADA]],#REF!,9,0),0)/COUNTIFS(DATA[COMBINADA],DATA[[#This Row],[COMBINADA]])</f>
        <v>0</v>
      </c>
      <c r="AI1384" s="136">
        <f>IFERROR(VLOOKUP(DATA[[#This Row],[COMBINADA]],#REF!,6,0),0)</f>
        <v>0</v>
      </c>
      <c r="AJ1384" s="132">
        <f>IFERROR(VLOOKUP(DATA[[#This Row],[COMBINADA]],#REF!,9,0),0)/COUNTIFS(DATA[COMBINADA],DATA[[#This Row],[COMBINADA]])</f>
        <v>0</v>
      </c>
      <c r="AK1384" s="131">
        <f>IFERROR(VLOOKUP(DATA[[#This Row],[COMBINADA]],#REF!,6,0),0)</f>
        <v>0</v>
      </c>
      <c r="AL1384" s="125">
        <f>IFERROR(VLOOKUP(DATA[[#This Row],[COMBINADA]],#REF!,9,0),0)/COUNTIFS(DATA[COMBINADA],DATA[[#This Row],[COMBINADA]])</f>
        <v>0</v>
      </c>
      <c r="AM1384" s="27">
        <f>IFERROR(VLOOKUP(DATA[[#This Row],[COMBINADA]],#REF!,6,0),0)</f>
        <v>0</v>
      </c>
      <c r="AN1384" s="125">
        <f>IFERROR(VLOOKUP(DATA[[#This Row],[COMBINADA]],#REF!,9,0),0)/COUNTIFS(DATA[COMBINADA],DATA[[#This Row],[COMBINADA]])</f>
        <v>0</v>
      </c>
      <c r="AO1384" s="27">
        <f>IFERROR(VLOOKUP(DATA[[#This Row],[COMBINADA]],#REF!,6,0),0)</f>
        <v>0</v>
      </c>
      <c r="AP1384" s="132">
        <f>IFERROR(VLOOKUP(DATA[[#This Row],[COMBINADA]],#REF!,9,0),0)/COUNTIFS(DATA[COMBINADA],DATA[[#This Row],[COMBINADA]])</f>
        <v>0</v>
      </c>
      <c r="AQ138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4249.6959999999999</v>
      </c>
      <c r="AR1384" s="26" t="str">
        <f>IFERROR(IF(DATA[[#This Row],[estado_fact]]="FACTURADO",VLOOKUP(DATA[[#This Row],[SERIE2]]&amp;"-"&amp;DATA[[#This Row],[NUMERO]],#REF!,34,0),"NO CORRESPONDE"),"NO CORRESPONDE")</f>
        <v>NO CORRESPONDE</v>
      </c>
      <c r="AS1384" s="22" t="str">
        <f>IF(DATA[[#This Row],[fecha_fs]]&gt;0,TEXT(DATA[[#This Row],[fecha_fs]],"Mmmm"),0)</f>
        <v>Octubre</v>
      </c>
      <c r="AT1384" s="22" t="str">
        <f>DATA[[#This Row],[SERIE2]]&amp;"-"&amp;DATA[[#This Row],[NUMERO]]</f>
        <v>FF01-343</v>
      </c>
      <c r="AU1384" s="28">
        <f>DATA[[#This Row],[TOTAL]]*DATA[[#This Row],[T.C.]]</f>
        <v>6777.57</v>
      </c>
      <c r="AV1384" s="6">
        <f>DATA[[#This Row],[FECHA DE VAL.]]</f>
        <v>45959</v>
      </c>
      <c r="AW1384" s="6">
        <f>DATA[[#This Row],[FECHA DE EMISION]]</f>
        <v>45968</v>
      </c>
      <c r="AX1384" s="6">
        <f>DATA[[#This Row],[F1]]</f>
        <v>0</v>
      </c>
      <c r="AY1384" s="20">
        <f>IF(AV1384-DATA[[#This Row],[fecha_fs]]&lt;0,0,AV1384-DATA[[#This Row],[fecha_fs]])</f>
        <v>6</v>
      </c>
      <c r="AZ1384" s="20">
        <f t="shared" si="350"/>
        <v>9</v>
      </c>
      <c r="BA1384" s="53">
        <f t="shared" si="351"/>
        <v>0</v>
      </c>
      <c r="BB1384" s="360">
        <f>IFERROR(SUM(DATA[[#This Row],[fs_val_ttf]:[fact_pago_ttf]]),0)</f>
        <v>15</v>
      </c>
      <c r="BC1384" s="378" t="s">
        <v>270</v>
      </c>
      <c r="BD1384" s="185" t="s">
        <v>270</v>
      </c>
      <c r="BE1384" s="185" t="s">
        <v>270</v>
      </c>
      <c r="BF1384" s="185" t="s">
        <v>270</v>
      </c>
      <c r="BG1384" s="20">
        <f>IFERROR(IF(BC1384-DATA[[#This Row],[fecha_fs]]&lt;0,0,BC1384-DATA[[#This Row],[fecha_fs]]),0)</f>
        <v>0</v>
      </c>
      <c r="BH1384" s="20">
        <f t="shared" si="346"/>
        <v>0</v>
      </c>
      <c r="BI1384" s="20">
        <f t="shared" si="347"/>
        <v>0</v>
      </c>
      <c r="BJ1384" s="53">
        <f t="shared" si="348"/>
        <v>0</v>
      </c>
      <c r="BK1384" s="376">
        <f>IFERROR(SUM(DATA[[#This Row],[fs_fd_ttd]:[fend_fenf_ttd]]),0)</f>
        <v>0</v>
      </c>
      <c r="BL1384" s="20" t="str">
        <f>IF(DATA[[#This Row],[fecha_fs]]&gt;0,TEXT(DATA[[#This Row],[fecha_fs]],"YYYY"),0)</f>
        <v>2025</v>
      </c>
      <c r="BM1384" s="236" t="b">
        <v>0</v>
      </c>
      <c r="BN1384" s="278">
        <f>COUNTIF(DATA[[#This Row],[tiempo_td]], "&lt;=15")</f>
        <v>1</v>
      </c>
      <c r="BO1384" s="365"/>
    </row>
    <row r="1385" spans="1:67" ht="30.6" customHeight="1" x14ac:dyDescent="0.25">
      <c r="A1385" s="4">
        <v>20565347099</v>
      </c>
      <c r="B1385" s="5" t="s">
        <v>46</v>
      </c>
      <c r="C1385" s="52" t="s">
        <v>18</v>
      </c>
      <c r="D1385" s="4" t="s">
        <v>120</v>
      </c>
      <c r="E1385" s="5" t="s">
        <v>3</v>
      </c>
      <c r="F1385" s="24">
        <v>45954</v>
      </c>
      <c r="G1385" s="7" t="s">
        <v>113</v>
      </c>
      <c r="H1385" s="25">
        <f t="shared" si="349"/>
        <v>1</v>
      </c>
      <c r="I1385" s="331">
        <v>5169</v>
      </c>
      <c r="J1385" s="8" t="s">
        <v>115</v>
      </c>
      <c r="K1385" s="9" t="s">
        <v>121</v>
      </c>
      <c r="L1385" s="10" t="s">
        <v>117</v>
      </c>
      <c r="M1385" s="11">
        <v>185</v>
      </c>
      <c r="N1385" s="12" t="s">
        <v>167</v>
      </c>
      <c r="O1385" s="6">
        <v>45957</v>
      </c>
      <c r="P1385" s="415">
        <v>3745</v>
      </c>
      <c r="Q1385" s="14" t="s">
        <v>85</v>
      </c>
      <c r="R1385" s="401"/>
      <c r="S1385" s="401">
        <f>10*120.95</f>
        <v>1209.5</v>
      </c>
      <c r="T1385" s="321">
        <f>DATA[[#This Row],[C. DF]]+DATA[[#This Row],[C.OPE.]]</f>
        <v>1209.5</v>
      </c>
      <c r="U1385" s="15">
        <f>DATA[[#This Row],[SUB TOTAL]]*0.18</f>
        <v>217.70999999999998</v>
      </c>
      <c r="V1385" s="15">
        <f>IFERROR(ROUND(DATA[[#This Row],[SUB TOTAL]]+DATA[[#This Row],[IGV]],2),0)</f>
        <v>1427.21</v>
      </c>
      <c r="W1385" s="339" t="str">
        <f>IF(DATA[[#This Row],[VALORIZACIÓN ]]="-","NO CORRESPONDE",IF(OR(A1385=20558226979,A1385=10470707866,A1385=20111157058,A1385=20100226902),"NO CORRESPONDE",IF(J1385="Emitida",IF(P1385&gt;0,"EMITIDA","PENDIENTE"),"NO CORRESPONDE")))</f>
        <v>EMITIDA</v>
      </c>
      <c r="X1385" s="29"/>
      <c r="Y1385" s="17" t="s">
        <v>118</v>
      </c>
      <c r="Z1385" s="30">
        <v>45966</v>
      </c>
      <c r="AA1385" s="10" t="s">
        <v>150</v>
      </c>
      <c r="AB1385" s="19">
        <v>337</v>
      </c>
      <c r="AC1385" s="20">
        <v>15</v>
      </c>
      <c r="AD1385" s="18">
        <f>DATA[[#This Row],[FECHA DE EMISION]]+DATA[[#This Row],[CONDICION DE PAGO]]</f>
        <v>45981</v>
      </c>
      <c r="AE1385" s="23">
        <f>IF(DATA[[#This Row],[MONEDA]]="USD",VLOOKUP(DATA[[#This Row],[COMBINADA]],#REF!,11,0),1)</f>
        <v>1</v>
      </c>
      <c r="AF1385" s="129" t="str">
        <f>IF(DATA[[#This Row],[SERIE2]]="-","NO CORRESPONDE",IF(W1385="NO CORRESPONDE","NO CORRESPONDE",IF(Z1385&gt;0,"FACTURADO","PENDIENTE")))</f>
        <v>FACTURADO</v>
      </c>
      <c r="AG1385" s="133">
        <f>IFERROR(VLOOKUP(DATA[[#This Row],[COMBINADA]],#REF!,6,0),0)</f>
        <v>0</v>
      </c>
      <c r="AH1385" s="125">
        <f>IFERROR(VLOOKUP(DATA[[#This Row],[COMBINADA]],#REF!,9,0),0)/COUNTIFS(DATA[COMBINADA],DATA[[#This Row],[COMBINADA]])</f>
        <v>0</v>
      </c>
      <c r="AI1385" s="136">
        <f>IFERROR(VLOOKUP(DATA[[#This Row],[COMBINADA]],#REF!,6,0),0)</f>
        <v>0</v>
      </c>
      <c r="AJ1385" s="132">
        <f>IFERROR(VLOOKUP(DATA[[#This Row],[COMBINADA]],#REF!,9,0),0)/COUNTIFS(DATA[COMBINADA],DATA[[#This Row],[COMBINADA]])</f>
        <v>0</v>
      </c>
      <c r="AK1385" s="131">
        <f>IFERROR(VLOOKUP(DATA[[#This Row],[COMBINADA]],#REF!,6,0),0)</f>
        <v>0</v>
      </c>
      <c r="AL1385" s="125">
        <f>IFERROR(VLOOKUP(DATA[[#This Row],[COMBINADA]],#REF!,9,0),0)/COUNTIFS(DATA[COMBINADA],DATA[[#This Row],[COMBINADA]])</f>
        <v>0</v>
      </c>
      <c r="AM1385" s="27">
        <f>IFERROR(VLOOKUP(DATA[[#This Row],[COMBINADA]],#REF!,6,0),0)</f>
        <v>0</v>
      </c>
      <c r="AN1385" s="125">
        <f>IFERROR(VLOOKUP(DATA[[#This Row],[COMBINADA]],#REF!,9,0),0)/COUNTIFS(DATA[COMBINADA],DATA[[#This Row],[COMBINADA]])</f>
        <v>0</v>
      </c>
      <c r="AO1385" s="27">
        <f>IFERROR(VLOOKUP(DATA[[#This Row],[COMBINADA]],#REF!,6,0),0)</f>
        <v>0</v>
      </c>
      <c r="AP1385" s="132">
        <f>IFERROR(VLOOKUP(DATA[[#This Row],[COMBINADA]],#REF!,9,0),0)/COUNTIFS(DATA[COMBINADA],DATA[[#This Row],[COMBINADA]])</f>
        <v>0</v>
      </c>
      <c r="AQ138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1427.21</v>
      </c>
      <c r="AR1385" s="26" t="str">
        <f>IFERROR(IF(DATA[[#This Row],[estado_fact]]="FACTURADO",VLOOKUP(DATA[[#This Row],[SERIE2]]&amp;"-"&amp;DATA[[#This Row],[NUMERO]],#REF!,34,0),"NO CORRESPONDE"),"NO CORRESPONDE")</f>
        <v>NO CORRESPONDE</v>
      </c>
      <c r="AS1385" s="22" t="str">
        <f>IF(DATA[[#This Row],[fecha_fs]]&gt;0,TEXT(DATA[[#This Row],[fecha_fs]],"Mmmm"),0)</f>
        <v>Octubre</v>
      </c>
      <c r="AT1385" s="22" t="str">
        <f>DATA[[#This Row],[SERIE2]]&amp;"-"&amp;DATA[[#This Row],[NUMERO]]</f>
        <v>FF01-337</v>
      </c>
      <c r="AU1385" s="28">
        <f>DATA[[#This Row],[TOTAL]]*DATA[[#This Row],[T.C.]]</f>
        <v>1427.21</v>
      </c>
      <c r="AV1385" s="6">
        <f>DATA[[#This Row],[FECHA DE VAL.]]</f>
        <v>45957</v>
      </c>
      <c r="AW1385" s="6">
        <f>DATA[[#This Row],[FECHA DE EMISION]]</f>
        <v>45966</v>
      </c>
      <c r="AX1385" s="6">
        <f>DATA[[#This Row],[F1]]</f>
        <v>0</v>
      </c>
      <c r="AY1385" s="20">
        <f>IF(AV1385-DATA[[#This Row],[fecha_fs]]&lt;0,0,AV1385-DATA[[#This Row],[fecha_fs]])</f>
        <v>3</v>
      </c>
      <c r="AZ1385" s="20">
        <f t="shared" si="350"/>
        <v>9</v>
      </c>
      <c r="BA1385" s="53">
        <f t="shared" si="351"/>
        <v>0</v>
      </c>
      <c r="BB1385" s="360">
        <f>IFERROR(SUM(DATA[[#This Row],[fs_val_ttf]:[fact_pago_ttf]]),0)</f>
        <v>12</v>
      </c>
      <c r="BC1385" s="378" t="s">
        <v>270</v>
      </c>
      <c r="BD1385" s="185" t="s">
        <v>270</v>
      </c>
      <c r="BE1385" s="185" t="s">
        <v>270</v>
      </c>
      <c r="BF1385" s="185" t="s">
        <v>270</v>
      </c>
      <c r="BG1385" s="20">
        <f>IFERROR(IF(BC1385-DATA[[#This Row],[fecha_fs]]&lt;0,0,BC1385-DATA[[#This Row],[fecha_fs]]),0)</f>
        <v>0</v>
      </c>
      <c r="BH1385" s="20">
        <f t="shared" si="346"/>
        <v>0</v>
      </c>
      <c r="BI1385" s="20">
        <f t="shared" si="347"/>
        <v>0</v>
      </c>
      <c r="BJ1385" s="53">
        <f t="shared" si="348"/>
        <v>0</v>
      </c>
      <c r="BK1385" s="376">
        <f>IFERROR(SUM(DATA[[#This Row],[fs_fd_ttd]:[fend_fenf_ttd]]),0)</f>
        <v>0</v>
      </c>
      <c r="BL1385" s="20" t="str">
        <f>IF(DATA[[#This Row],[fecha_fs]]&gt;0,TEXT(DATA[[#This Row],[fecha_fs]],"YYYY"),0)</f>
        <v>2025</v>
      </c>
      <c r="BM1385" s="236" t="b">
        <v>0</v>
      </c>
      <c r="BN1385" s="278">
        <f>COUNTIF(DATA[[#This Row],[tiempo_td]], "&lt;=15")</f>
        <v>1</v>
      </c>
      <c r="BO1385" s="365"/>
    </row>
    <row r="1386" spans="1:67" ht="30.6" customHeight="1" x14ac:dyDescent="0.25">
      <c r="A1386" s="4">
        <v>20505675836</v>
      </c>
      <c r="B1386" s="5" t="s">
        <v>42</v>
      </c>
      <c r="C1386" s="52" t="s">
        <v>43</v>
      </c>
      <c r="D1386" s="4" t="s">
        <v>112</v>
      </c>
      <c r="E1386" s="5" t="s">
        <v>1</v>
      </c>
      <c r="F1386" s="24">
        <v>45953</v>
      </c>
      <c r="G1386" s="7" t="s">
        <v>113</v>
      </c>
      <c r="H1386" s="25">
        <f t="shared" si="349"/>
        <v>1</v>
      </c>
      <c r="I1386" s="331">
        <v>5170</v>
      </c>
      <c r="J1386" s="8" t="s">
        <v>115</v>
      </c>
      <c r="K1386" s="9" t="s">
        <v>116</v>
      </c>
      <c r="L1386" s="10" t="s">
        <v>117</v>
      </c>
      <c r="M1386" s="11">
        <v>2220</v>
      </c>
      <c r="N1386" s="12" t="s">
        <v>122</v>
      </c>
      <c r="O1386" s="6">
        <v>45959</v>
      </c>
      <c r="P1386" s="404">
        <v>3751</v>
      </c>
      <c r="Q1386" s="14" t="s">
        <v>85</v>
      </c>
      <c r="R1386" s="401">
        <f>(DATA[[#This Row],[cantidad_fs]]-600)*0.97</f>
        <v>1571.3999999999999</v>
      </c>
      <c r="S1386" s="401">
        <v>1427.2</v>
      </c>
      <c r="T1386" s="321">
        <f>DATA[[#This Row],[C. DF]]+DATA[[#This Row],[C.OPE.]]</f>
        <v>2998.6</v>
      </c>
      <c r="U1386" s="15">
        <f>DATA[[#This Row],[SUB TOTAL]]*0.18</f>
        <v>539.74799999999993</v>
      </c>
      <c r="V1386" s="15">
        <f>IFERROR(ROUND(DATA[[#This Row],[SUB TOTAL]]+DATA[[#This Row],[IGV]],2),0)</f>
        <v>3538.35</v>
      </c>
      <c r="W1386" s="339" t="str">
        <f>IF(DATA[[#This Row],[VALORIZACIÓN ]]="-","NO CORRESPONDE",IF(OR(A1386=20558226979,A1386=10470707866,A1386=20111157058,A1386=20100226902),"NO CORRESPONDE",IF(J1386="Emitida",IF(P1386&gt;0,"EMITIDA","PENDIENTE"),"NO CORRESPONDE")))</f>
        <v>EMITIDA</v>
      </c>
      <c r="X1386" s="29"/>
      <c r="Y1386" s="17" t="s">
        <v>118</v>
      </c>
      <c r="Z1386" s="30">
        <v>45968</v>
      </c>
      <c r="AA1386" s="10" t="s">
        <v>150</v>
      </c>
      <c r="AB1386" s="19">
        <v>343</v>
      </c>
      <c r="AC1386" s="20">
        <v>30</v>
      </c>
      <c r="AD1386" s="18">
        <f>DATA[[#This Row],[FECHA DE EMISION]]+DATA[[#This Row],[CONDICION DE PAGO]]</f>
        <v>45998</v>
      </c>
      <c r="AE1386" s="23">
        <f>IF(DATA[[#This Row],[MONEDA]]="USD",VLOOKUP(DATA[[#This Row],[COMBINADA]],#REF!,11,0),1)</f>
        <v>1</v>
      </c>
      <c r="AF1386" s="129" t="str">
        <f>IF(DATA[[#This Row],[SERIE2]]="-","NO CORRESPONDE",IF(W1386="NO CORRESPONDE","NO CORRESPONDE",IF(Z1386&gt;0,"FACTURADO","PENDIENTE")))</f>
        <v>FACTURADO</v>
      </c>
      <c r="AG1386" s="133">
        <f>IFERROR(VLOOKUP(DATA[[#This Row],[COMBINADA]],#REF!,6,0),0)</f>
        <v>0</v>
      </c>
      <c r="AH1386" s="125">
        <f>IFERROR(VLOOKUP(DATA[[#This Row],[COMBINADA]],#REF!,9,0),0)/COUNTIFS(DATA[COMBINADA],DATA[[#This Row],[COMBINADA]])</f>
        <v>0</v>
      </c>
      <c r="AI1386" s="136">
        <f>IFERROR(VLOOKUP(DATA[[#This Row],[COMBINADA]],#REF!,6,0),0)</f>
        <v>0</v>
      </c>
      <c r="AJ1386" s="132">
        <f>IFERROR(VLOOKUP(DATA[[#This Row],[COMBINADA]],#REF!,9,0),0)/COUNTIFS(DATA[COMBINADA],DATA[[#This Row],[COMBINADA]])</f>
        <v>0</v>
      </c>
      <c r="AK1386" s="131">
        <f>IFERROR(VLOOKUP(DATA[[#This Row],[COMBINADA]],#REF!,6,0),0)</f>
        <v>0</v>
      </c>
      <c r="AL1386" s="125">
        <f>IFERROR(VLOOKUP(DATA[[#This Row],[COMBINADA]],#REF!,9,0),0)/COUNTIFS(DATA[COMBINADA],DATA[[#This Row],[COMBINADA]])</f>
        <v>0</v>
      </c>
      <c r="AM1386" s="27">
        <f>IFERROR(VLOOKUP(DATA[[#This Row],[COMBINADA]],#REF!,6,0),0)</f>
        <v>0</v>
      </c>
      <c r="AN1386" s="125">
        <f>IFERROR(VLOOKUP(DATA[[#This Row],[COMBINADA]],#REF!,9,0),0)/COUNTIFS(DATA[COMBINADA],DATA[[#This Row],[COMBINADA]])</f>
        <v>0</v>
      </c>
      <c r="AO1386" s="27">
        <f>IFERROR(VLOOKUP(DATA[[#This Row],[COMBINADA]],#REF!,6,0),0)</f>
        <v>0</v>
      </c>
      <c r="AP1386" s="132">
        <f>IFERROR(VLOOKUP(DATA[[#This Row],[COMBINADA]],#REF!,9,0),0)/COUNTIFS(DATA[COMBINADA],DATA[[#This Row],[COMBINADA]])</f>
        <v>0</v>
      </c>
      <c r="AQ138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4249.6959999999999</v>
      </c>
      <c r="AR1386" s="26" t="str">
        <f>IFERROR(IF(DATA[[#This Row],[estado_fact]]="FACTURADO",VLOOKUP(DATA[[#This Row],[SERIE2]]&amp;"-"&amp;DATA[[#This Row],[NUMERO]],#REF!,34,0),"NO CORRESPONDE"),"NO CORRESPONDE")</f>
        <v>NO CORRESPONDE</v>
      </c>
      <c r="AS1386" s="22" t="str">
        <f>IF(DATA[[#This Row],[fecha_fs]]&gt;0,TEXT(DATA[[#This Row],[fecha_fs]],"Mmmm"),0)</f>
        <v>Octubre</v>
      </c>
      <c r="AT1386" s="22" t="str">
        <f>DATA[[#This Row],[SERIE2]]&amp;"-"&amp;DATA[[#This Row],[NUMERO]]</f>
        <v>FF01-343</v>
      </c>
      <c r="AU1386" s="28">
        <f>DATA[[#This Row],[TOTAL]]*DATA[[#This Row],[T.C.]]</f>
        <v>3538.35</v>
      </c>
      <c r="AV1386" s="6">
        <f>DATA[[#This Row],[FECHA DE VAL.]]</f>
        <v>45959</v>
      </c>
      <c r="AW1386" s="6">
        <f>DATA[[#This Row],[FECHA DE EMISION]]</f>
        <v>45968</v>
      </c>
      <c r="AX1386" s="6">
        <f>DATA[[#This Row],[F1]]</f>
        <v>0</v>
      </c>
      <c r="AY1386" s="20">
        <f>IF(AV1386-DATA[[#This Row],[fecha_fs]]&lt;0,0,AV1386-DATA[[#This Row],[fecha_fs]])</f>
        <v>6</v>
      </c>
      <c r="AZ1386" s="20">
        <f t="shared" si="350"/>
        <v>9</v>
      </c>
      <c r="BA1386" s="53">
        <f t="shared" si="351"/>
        <v>0</v>
      </c>
      <c r="BB1386" s="360">
        <f>IFERROR(SUM(DATA[[#This Row],[fs_val_ttf]:[fact_pago_ttf]]),0)</f>
        <v>15</v>
      </c>
      <c r="BC1386" s="378" t="s">
        <v>270</v>
      </c>
      <c r="BD1386" s="185" t="s">
        <v>270</v>
      </c>
      <c r="BE1386" s="185" t="s">
        <v>270</v>
      </c>
      <c r="BF1386" s="185" t="s">
        <v>270</v>
      </c>
      <c r="BG1386" s="20">
        <f>IFERROR(IF(BC1386-DATA[[#This Row],[fecha_fs]]&lt;0,0,BC1386-DATA[[#This Row],[fecha_fs]]),0)</f>
        <v>0</v>
      </c>
      <c r="BH1386" s="20">
        <f t="shared" si="346"/>
        <v>0</v>
      </c>
      <c r="BI1386" s="20">
        <f t="shared" si="347"/>
        <v>0</v>
      </c>
      <c r="BJ1386" s="53">
        <f t="shared" si="348"/>
        <v>0</v>
      </c>
      <c r="BK1386" s="376">
        <f>IFERROR(SUM(DATA[[#This Row],[fs_fd_ttd]:[fend_fenf_ttd]]),0)</f>
        <v>0</v>
      </c>
      <c r="BL1386" s="20" t="str">
        <f>IF(DATA[[#This Row],[fecha_fs]]&gt;0,TEXT(DATA[[#This Row],[fecha_fs]],"YYYY"),0)</f>
        <v>2025</v>
      </c>
      <c r="BM1386" s="236" t="b">
        <v>0</v>
      </c>
      <c r="BN1386" s="278">
        <f>COUNTIF(DATA[[#This Row],[tiempo_td]], "&lt;=15")</f>
        <v>1</v>
      </c>
      <c r="BO1386" s="365"/>
    </row>
    <row r="1387" spans="1:67" ht="30.6" customHeight="1" x14ac:dyDescent="0.25">
      <c r="A1387" s="4">
        <v>20100192064</v>
      </c>
      <c r="B1387" s="5" t="s">
        <v>60</v>
      </c>
      <c r="C1387" s="52" t="s">
        <v>65</v>
      </c>
      <c r="D1387" s="4" t="s">
        <v>120</v>
      </c>
      <c r="E1387" s="5" t="s">
        <v>3</v>
      </c>
      <c r="F1387" s="24">
        <v>45953</v>
      </c>
      <c r="G1387" s="7" t="s">
        <v>142</v>
      </c>
      <c r="H1387" s="25">
        <f>IF(G1387="","",IF(G1387="LIM",2,1))</f>
        <v>2</v>
      </c>
      <c r="I1387" s="67">
        <v>1155</v>
      </c>
      <c r="J1387" s="8" t="s">
        <v>115</v>
      </c>
      <c r="K1387" s="9" t="s">
        <v>121</v>
      </c>
      <c r="L1387" s="10" t="s">
        <v>117</v>
      </c>
      <c r="M1387" s="11">
        <v>410</v>
      </c>
      <c r="N1387" s="12" t="s">
        <v>180</v>
      </c>
      <c r="O1387" s="6">
        <v>45959</v>
      </c>
      <c r="P1387" s="71">
        <v>3763</v>
      </c>
      <c r="Q1387" s="14" t="s">
        <v>123</v>
      </c>
      <c r="R1387" s="206">
        <f>(DATA[[#This Row],[cantidad_fs]]/1000)*(37+81.01)</f>
        <v>48.384099999999997</v>
      </c>
      <c r="S1387" s="15">
        <v>103.6</v>
      </c>
      <c r="T1387" s="15">
        <f>DATA[[#This Row],[C. DF]]+DATA[[#This Row],[C.OPE.]]</f>
        <v>151.98409999999998</v>
      </c>
      <c r="U1387" s="15">
        <f>DATA[[#This Row],[SUB TOTAL]]*0.18</f>
        <v>27.357137999999996</v>
      </c>
      <c r="V1387" s="15">
        <f>IFERROR(ROUND(DATA[[#This Row],[SUB TOTAL]]+DATA[[#This Row],[IGV]],2),0)</f>
        <v>179.34</v>
      </c>
      <c r="W1387" s="16" t="str">
        <f>IF(DATA[[#This Row],[VALORIZACIÓN ]]="-","NO CORRESPONDE",IF(OR(A1387=20558226979,A1387=10470707866,A1387=20111157058,A1387=20100226902),"NO CORRESPONDE",IF(J1387="Emitida",IF(P1387&gt;0,"EMITIDA","PENDIENTE"),"NO CORRESPONDE")))</f>
        <v>EMITIDA</v>
      </c>
      <c r="X1387" s="29" t="s">
        <v>374</v>
      </c>
      <c r="Y1387" s="17" t="s">
        <v>118</v>
      </c>
      <c r="Z1387" s="30">
        <v>45961</v>
      </c>
      <c r="AA1387" s="10" t="s">
        <v>150</v>
      </c>
      <c r="AB1387" s="19">
        <v>315</v>
      </c>
      <c r="AC1387" s="20">
        <v>30</v>
      </c>
      <c r="AD1387" s="18">
        <f>DATA[[#This Row],[FECHA DE EMISION]]+DATA[[#This Row],[CONDICION DE PAGO]]</f>
        <v>45991</v>
      </c>
      <c r="AE1387" s="23" t="e">
        <f>IF(DATA[[#This Row],[MONEDA]]="USD",VLOOKUP(DATA[[#This Row],[COMBINADA]],#REF!,11,0),1)</f>
        <v>#REF!</v>
      </c>
      <c r="AF1387" s="129" t="str">
        <f>IF(DATA[[#This Row],[SERIE2]]="-","NO CORRESPONDE",IF(W1387="NO CORRESPONDE","NO CORRESPONDE",IF(Z1387&gt;0,"FACTURADO","PENDIENTE")))</f>
        <v>FACTURADO</v>
      </c>
      <c r="AG1387" s="27">
        <f>IFERROR(VLOOKUP(DATA[[#This Row],[COMBINADA]],#REF!,6,0),0)</f>
        <v>0</v>
      </c>
      <c r="AH1387" s="130">
        <f>IFERROR(VLOOKUP(DATA[[#This Row],[COMBINADA]],#REF!,9,0),0)/COUNTIFS(DATA[COMBINADA],DATA[[#This Row],[COMBINADA]])</f>
        <v>0</v>
      </c>
      <c r="AI1387" s="131">
        <f>IFERROR(VLOOKUP(DATA[[#This Row],[COMBINADA]],#REF!,6,0),0)</f>
        <v>0</v>
      </c>
      <c r="AJ1387" s="132">
        <f>IFERROR(VLOOKUP(DATA[[#This Row],[COMBINADA]],#REF!,9,0),0)/COUNTIFS(DATA[COMBINADA],DATA[[#This Row],[COMBINADA]])</f>
        <v>0</v>
      </c>
      <c r="AK1387" s="131">
        <f>IFERROR(VLOOKUP(DATA[[#This Row],[COMBINADA]],#REF!,6,0),0)</f>
        <v>0</v>
      </c>
      <c r="AL1387" s="125">
        <f>IFERROR(VLOOKUP(DATA[[#This Row],[COMBINADA]],#REF!,9,0),0)/COUNTIFS(DATA[COMBINADA],DATA[[#This Row],[COMBINADA]])</f>
        <v>0</v>
      </c>
      <c r="AM1387" s="27">
        <f>IFERROR(VLOOKUP(DATA[[#This Row],[COMBINADA]],#REF!,6,0),0)</f>
        <v>0</v>
      </c>
      <c r="AN1387" s="125">
        <f>IFERROR(VLOOKUP(DATA[[#This Row],[COMBINADA]],#REF!,9,0),0)/COUNTIFS(DATA[COMBINADA],DATA[[#This Row],[COMBINADA]])</f>
        <v>0</v>
      </c>
      <c r="AO1387" s="27">
        <f>IFERROR(VLOOKUP(DATA[[#This Row],[COMBINADA]],#REF!,6,0),0)</f>
        <v>0</v>
      </c>
      <c r="AP1387" s="132">
        <f>IFERROR(VLOOKUP(DATA[[#This Row],[COMBINADA]],#REF!,9,0),0)/COUNTIFS(DATA[COMBINADA],DATA[[#This Row],[COMBINADA]])</f>
        <v>0</v>
      </c>
      <c r="AQ138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425.40500000000003</v>
      </c>
      <c r="AR1387" s="26" t="str">
        <f>IFERROR(IF(DATA[[#This Row],[estado_fact]]="FACTURADO",VLOOKUP(DATA[[#This Row],[SERIE2]]&amp;"-"&amp;DATA[[#This Row],[NUMERO]],#REF!,34,0),"NO CORRESPONDE"),"NO CORRESPONDE")</f>
        <v>NO CORRESPONDE</v>
      </c>
      <c r="AS1387" s="22" t="str">
        <f>IF(DATA[[#This Row],[fecha_fs]]&gt;0,TEXT(DATA[[#This Row],[fecha_fs]],"Mmmm"),0)</f>
        <v>Octubre</v>
      </c>
      <c r="AT1387" s="22" t="str">
        <f>DATA[[#This Row],[SERIE2]]&amp;"-"&amp;DATA[[#This Row],[NUMERO]]</f>
        <v>FF01-315</v>
      </c>
      <c r="AU1387" s="28" t="e">
        <f>DATA[[#This Row],[TOTAL]]*DATA[[#This Row],[T.C.]]</f>
        <v>#REF!</v>
      </c>
      <c r="AV1387" s="6">
        <f>DATA[[#This Row],[FECHA DE VAL.]]</f>
        <v>45959</v>
      </c>
      <c r="AW1387" s="6">
        <f>DATA[[#This Row],[FECHA DE EMISION]]</f>
        <v>45961</v>
      </c>
      <c r="AX1387" s="6">
        <f>DATA[[#This Row],[F1]]</f>
        <v>0</v>
      </c>
      <c r="AY1387" s="20">
        <f>IF(AV1387-DATA[[#This Row],[fecha_fs]]&lt;0,0,AV1387-DATA[[#This Row],[fecha_fs]])</f>
        <v>6</v>
      </c>
      <c r="AZ1387" s="20">
        <f>IF(AW1387-AV1387&lt;0,0,AW1387-AV1387)</f>
        <v>2</v>
      </c>
      <c r="BA1387" s="53">
        <f>IF(AX1387-AW1387&lt;0,0,AX1387-AW1387)</f>
        <v>0</v>
      </c>
      <c r="BB1387" s="360">
        <f>IFERROR(SUM(DATA[[#This Row],[fs_val_ttf]:[fact_pago_ttf]]),0)</f>
        <v>8</v>
      </c>
      <c r="BC1387" s="378" t="s">
        <v>270</v>
      </c>
      <c r="BD1387" s="185" t="s">
        <v>270</v>
      </c>
      <c r="BE1387" s="185" t="s">
        <v>270</v>
      </c>
      <c r="BF1387" s="185" t="s">
        <v>270</v>
      </c>
      <c r="BG1387" s="20">
        <f>IFERROR(IF(BC1387-DATA[[#This Row],[fecha_fs]]&lt;0,0,BC1387-DATA[[#This Row],[fecha_fs]]),0)</f>
        <v>0</v>
      </c>
      <c r="BH1387" s="20">
        <f t="shared" si="346"/>
        <v>0</v>
      </c>
      <c r="BI1387" s="20">
        <f t="shared" si="347"/>
        <v>0</v>
      </c>
      <c r="BJ1387" s="53">
        <f t="shared" si="348"/>
        <v>0</v>
      </c>
      <c r="BK1387" s="376">
        <f>IFERROR(SUM(DATA[[#This Row],[fs_fd_ttd]:[fend_fenf_ttd]]),0)</f>
        <v>0</v>
      </c>
      <c r="BL1387" s="20" t="str">
        <f>IF(DATA[[#This Row],[fecha_fs]]&gt;0,TEXT(DATA[[#This Row],[fecha_fs]],"YYYY"),0)</f>
        <v>2025</v>
      </c>
      <c r="BM1387" s="236" t="b">
        <v>0</v>
      </c>
      <c r="BN1387" s="278">
        <f>COUNTIF(DATA[[#This Row],[tiempo_td]], "&lt;=15")</f>
        <v>1</v>
      </c>
      <c r="BO1387" s="365"/>
    </row>
    <row r="1388" spans="1:67" ht="30.6" customHeight="1" x14ac:dyDescent="0.25">
      <c r="A1388" s="4">
        <v>20100211115</v>
      </c>
      <c r="B1388" s="5" t="s">
        <v>41</v>
      </c>
      <c r="C1388" s="52" t="s">
        <v>18</v>
      </c>
      <c r="D1388" s="4" t="s">
        <v>120</v>
      </c>
      <c r="E1388" s="5" t="s">
        <v>3</v>
      </c>
      <c r="F1388" s="24">
        <v>45957</v>
      </c>
      <c r="G1388" s="7" t="s">
        <v>113</v>
      </c>
      <c r="H1388" s="25">
        <f t="shared" si="349"/>
        <v>1</v>
      </c>
      <c r="I1388" s="331">
        <v>5171</v>
      </c>
      <c r="J1388" s="8" t="s">
        <v>115</v>
      </c>
      <c r="K1388" s="9" t="s">
        <v>121</v>
      </c>
      <c r="L1388" s="10" t="s">
        <v>117</v>
      </c>
      <c r="M1388" s="11">
        <v>90</v>
      </c>
      <c r="N1388" s="12" t="s">
        <v>132</v>
      </c>
      <c r="O1388" s="6">
        <v>45957</v>
      </c>
      <c r="P1388" s="115">
        <v>3742</v>
      </c>
      <c r="Q1388" s="14" t="s">
        <v>85</v>
      </c>
      <c r="R1388" s="74"/>
      <c r="S1388" s="401">
        <f>(DATA[[#This Row],[cantidad_fs]]*4.17)</f>
        <v>375.3</v>
      </c>
      <c r="T1388" s="321">
        <f>DATA[[#This Row],[C. DF]]+DATA[[#This Row],[C.OPE.]]</f>
        <v>375.3</v>
      </c>
      <c r="U1388" s="15">
        <f>DATA[[#This Row],[SUB TOTAL]]*0.18</f>
        <v>67.554000000000002</v>
      </c>
      <c r="V1388" s="15">
        <f>IFERROR(ROUND(DATA[[#This Row],[SUB TOTAL]]+DATA[[#This Row],[IGV]],2),0)</f>
        <v>442.85</v>
      </c>
      <c r="W1388" s="339" t="str">
        <f>IF(DATA[[#This Row],[VALORIZACIÓN ]]="-","NO CORRESPONDE",IF(OR(A1388=20558226979,A1388=10470707866,A1388=20111157058,A1388=20100226902),"NO CORRESPONDE",IF(J1388="Emitida",IF(P1388&gt;0,"EMITIDA","PENDIENTE"),"NO CORRESPONDE")))</f>
        <v>EMITIDA</v>
      </c>
      <c r="X1388" s="29"/>
      <c r="Y1388" s="17" t="s">
        <v>118</v>
      </c>
      <c r="Z1388" s="30">
        <v>45958</v>
      </c>
      <c r="AA1388" s="10" t="s">
        <v>150</v>
      </c>
      <c r="AB1388" s="19">
        <v>309</v>
      </c>
      <c r="AC1388" s="20">
        <v>30</v>
      </c>
      <c r="AD1388" s="18">
        <f>DATA[[#This Row],[FECHA DE EMISION]]+DATA[[#This Row],[CONDICION DE PAGO]]</f>
        <v>45988</v>
      </c>
      <c r="AE1388" s="23">
        <f>IF(DATA[[#This Row],[MONEDA]]="USD",VLOOKUP(DATA[[#This Row],[COMBINADA]],#REF!,11,0),1)</f>
        <v>1</v>
      </c>
      <c r="AF1388" s="129" t="str">
        <f>IF(DATA[[#This Row],[SERIE2]]="-","NO CORRESPONDE",IF(W1388="NO CORRESPONDE","NO CORRESPONDE",IF(Z1388&gt;0,"FACTURADO","PENDIENTE")))</f>
        <v>FACTURADO</v>
      </c>
      <c r="AG1388" s="133">
        <f>IFERROR(VLOOKUP(DATA[[#This Row],[COMBINADA]],#REF!,6,0),0)</f>
        <v>0</v>
      </c>
      <c r="AH1388" s="125">
        <f>IFERROR(VLOOKUP(DATA[[#This Row],[COMBINADA]],#REF!,9,0),0)/COUNTIFS(DATA[COMBINADA],DATA[[#This Row],[COMBINADA]])</f>
        <v>0</v>
      </c>
      <c r="AI1388" s="136">
        <f>IFERROR(VLOOKUP(DATA[[#This Row],[COMBINADA]],#REF!,6,0),0)</f>
        <v>0</v>
      </c>
      <c r="AJ1388" s="132">
        <f>IFERROR(VLOOKUP(DATA[[#This Row],[COMBINADA]],#REF!,9,0),0)/COUNTIFS(DATA[COMBINADA],DATA[[#This Row],[COMBINADA]])</f>
        <v>0</v>
      </c>
      <c r="AK1388" s="131">
        <f>IFERROR(VLOOKUP(DATA[[#This Row],[COMBINADA]],#REF!,6,0),0)</f>
        <v>0</v>
      </c>
      <c r="AL1388" s="125">
        <f>IFERROR(VLOOKUP(DATA[[#This Row],[COMBINADA]],#REF!,9,0),0)/COUNTIFS(DATA[COMBINADA],DATA[[#This Row],[COMBINADA]])</f>
        <v>0</v>
      </c>
      <c r="AM1388" s="27">
        <f>IFERROR(VLOOKUP(DATA[[#This Row],[COMBINADA]],#REF!,6,0),0)</f>
        <v>0</v>
      </c>
      <c r="AN1388" s="125">
        <f>IFERROR(VLOOKUP(DATA[[#This Row],[COMBINADA]],#REF!,9,0),0)/COUNTIFS(DATA[COMBINADA],DATA[[#This Row],[COMBINADA]])</f>
        <v>0</v>
      </c>
      <c r="AO1388" s="27">
        <f>IFERROR(VLOOKUP(DATA[[#This Row],[COMBINADA]],#REF!,6,0),0)</f>
        <v>0</v>
      </c>
      <c r="AP1388" s="132">
        <f>IFERROR(VLOOKUP(DATA[[#This Row],[COMBINADA]],#REF!,9,0),0)/COUNTIFS(DATA[COMBINADA],DATA[[#This Row],[COMBINADA]])</f>
        <v>0</v>
      </c>
      <c r="AQ138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442.85000000000008</v>
      </c>
      <c r="AR1388" s="26" t="str">
        <f>IFERROR(IF(DATA[[#This Row],[estado_fact]]="FACTURADO",VLOOKUP(DATA[[#This Row],[SERIE2]]&amp;"-"&amp;DATA[[#This Row],[NUMERO]],#REF!,34,0),"NO CORRESPONDE"),"NO CORRESPONDE")</f>
        <v>NO CORRESPONDE</v>
      </c>
      <c r="AS1388" s="22" t="str">
        <f>IF(DATA[[#This Row],[fecha_fs]]&gt;0,TEXT(DATA[[#This Row],[fecha_fs]],"Mmmm"),0)</f>
        <v>Octubre</v>
      </c>
      <c r="AT1388" s="22" t="str">
        <f>DATA[[#This Row],[SERIE2]]&amp;"-"&amp;DATA[[#This Row],[NUMERO]]</f>
        <v>FF01-309</v>
      </c>
      <c r="AU1388" s="28">
        <f>DATA[[#This Row],[TOTAL]]*DATA[[#This Row],[T.C.]]</f>
        <v>442.85</v>
      </c>
      <c r="AV1388" s="6">
        <f>DATA[[#This Row],[FECHA DE VAL.]]</f>
        <v>45957</v>
      </c>
      <c r="AW1388" s="6">
        <f>DATA[[#This Row],[FECHA DE EMISION]]</f>
        <v>45958</v>
      </c>
      <c r="AX1388" s="6">
        <f>DATA[[#This Row],[F1]]</f>
        <v>0</v>
      </c>
      <c r="AY1388" s="20">
        <f>IF(AV1388-DATA[[#This Row],[fecha_fs]]&lt;0,0,AV1388-DATA[[#This Row],[fecha_fs]])</f>
        <v>0</v>
      </c>
      <c r="AZ1388" s="20">
        <f t="shared" si="350"/>
        <v>1</v>
      </c>
      <c r="BA1388" s="53">
        <f t="shared" si="351"/>
        <v>0</v>
      </c>
      <c r="BB1388" s="360">
        <f>IFERROR(SUM(DATA[[#This Row],[fs_val_ttf]:[fact_pago_ttf]]),0)</f>
        <v>1</v>
      </c>
      <c r="BC1388" s="378" t="s">
        <v>270</v>
      </c>
      <c r="BD1388" s="185" t="s">
        <v>270</v>
      </c>
      <c r="BE1388" s="185" t="s">
        <v>270</v>
      </c>
      <c r="BF1388" s="185" t="s">
        <v>270</v>
      </c>
      <c r="BG1388" s="20">
        <f>IFERROR(IF(BC1388-DATA[[#This Row],[fecha_fs]]&lt;0,0,BC1388-DATA[[#This Row],[fecha_fs]]),0)</f>
        <v>0</v>
      </c>
      <c r="BH1388" s="20">
        <f t="shared" si="346"/>
        <v>0</v>
      </c>
      <c r="BI1388" s="20">
        <f t="shared" si="347"/>
        <v>0</v>
      </c>
      <c r="BJ1388" s="53">
        <f t="shared" si="348"/>
        <v>0</v>
      </c>
      <c r="BK1388" s="376">
        <f>IFERROR(SUM(DATA[[#This Row],[fs_fd_ttd]:[fend_fenf_ttd]]),0)</f>
        <v>0</v>
      </c>
      <c r="BL1388" s="20" t="str">
        <f>IF(DATA[[#This Row],[fecha_fs]]&gt;0,TEXT(DATA[[#This Row],[fecha_fs]],"YYYY"),0)</f>
        <v>2025</v>
      </c>
      <c r="BM1388" s="236" t="b">
        <v>0</v>
      </c>
      <c r="BN1388" s="278">
        <f>COUNTIF(DATA[[#This Row],[tiempo_td]], "&lt;=15")</f>
        <v>1</v>
      </c>
      <c r="BO1388" s="365"/>
    </row>
    <row r="1389" spans="1:67" ht="30.6" customHeight="1" x14ac:dyDescent="0.25">
      <c r="A1389" s="4">
        <v>20141637941</v>
      </c>
      <c r="B1389" s="5" t="s">
        <v>79</v>
      </c>
      <c r="C1389" s="52" t="s">
        <v>18</v>
      </c>
      <c r="D1389" s="4" t="s">
        <v>120</v>
      </c>
      <c r="E1389" s="5" t="s">
        <v>3</v>
      </c>
      <c r="F1389" s="24">
        <v>45957</v>
      </c>
      <c r="G1389" s="7" t="s">
        <v>113</v>
      </c>
      <c r="H1389" s="25">
        <f t="shared" si="349"/>
        <v>1</v>
      </c>
      <c r="I1389" s="331">
        <v>5172</v>
      </c>
      <c r="J1389" s="8" t="s">
        <v>115</v>
      </c>
      <c r="K1389" s="9" t="s">
        <v>121</v>
      </c>
      <c r="L1389" s="10" t="s">
        <v>117</v>
      </c>
      <c r="M1389" s="11">
        <v>930</v>
      </c>
      <c r="N1389" s="12" t="s">
        <v>249</v>
      </c>
      <c r="O1389" s="6">
        <v>45961</v>
      </c>
      <c r="P1389" s="110">
        <v>3774</v>
      </c>
      <c r="Q1389" s="14" t="s">
        <v>85</v>
      </c>
      <c r="R1389" s="401">
        <v>80</v>
      </c>
      <c r="S1389" s="401">
        <v>832</v>
      </c>
      <c r="T1389" s="321">
        <f>DATA[[#This Row],[C. DF]]+DATA[[#This Row],[C.OPE.]]</f>
        <v>912</v>
      </c>
      <c r="U1389" s="15">
        <f>DATA[[#This Row],[SUB TOTAL]]*0.18</f>
        <v>164.16</v>
      </c>
      <c r="V1389" s="15">
        <f>IFERROR(ROUND(DATA[[#This Row],[SUB TOTAL]]+DATA[[#This Row],[IGV]],2),0)</f>
        <v>1076.1600000000001</v>
      </c>
      <c r="W1389" s="339" t="str">
        <f>IF(DATA[[#This Row],[VALORIZACIÓN ]]="-","NO CORRESPONDE",IF(OR(A1389=20558226979,A1389=10470707866,A1389=20111157058,A1389=20100226902),"NO CORRESPONDE",IF(J1389="Emitida",IF(P1389&gt;0,"EMITIDA","PENDIENTE"),"NO CORRESPONDE")))</f>
        <v>EMITIDA</v>
      </c>
      <c r="X1389" s="29"/>
      <c r="Y1389" s="17" t="s">
        <v>118</v>
      </c>
      <c r="Z1389" s="30">
        <v>45965</v>
      </c>
      <c r="AA1389" s="10" t="s">
        <v>150</v>
      </c>
      <c r="AB1389" s="19">
        <v>334</v>
      </c>
      <c r="AC1389" s="20">
        <v>30</v>
      </c>
      <c r="AD1389" s="18">
        <f>DATA[[#This Row],[FECHA DE EMISION]]+DATA[[#This Row],[CONDICION DE PAGO]]</f>
        <v>45995</v>
      </c>
      <c r="AE1389" s="23">
        <f>IF(DATA[[#This Row],[MONEDA]]="USD",VLOOKUP(DATA[[#This Row],[COMBINADA]],#REF!,11,0),1)</f>
        <v>1</v>
      </c>
      <c r="AF1389" s="129" t="str">
        <f>IF(DATA[[#This Row],[SERIE2]]="-","NO CORRESPONDE",IF(W1389="NO CORRESPONDE","NO CORRESPONDE",IF(Z1389&gt;0,"FACTURADO","PENDIENTE")))</f>
        <v>FACTURADO</v>
      </c>
      <c r="AG1389" s="133">
        <f>IFERROR(VLOOKUP(DATA[[#This Row],[COMBINADA]],#REF!,6,0),0)</f>
        <v>0</v>
      </c>
      <c r="AH1389" s="125">
        <f>IFERROR(VLOOKUP(DATA[[#This Row],[COMBINADA]],#REF!,9,0),0)/COUNTIFS(DATA[COMBINADA],DATA[[#This Row],[COMBINADA]])</f>
        <v>0</v>
      </c>
      <c r="AI1389" s="136">
        <f>IFERROR(VLOOKUP(DATA[[#This Row],[COMBINADA]],#REF!,6,0),0)</f>
        <v>0</v>
      </c>
      <c r="AJ1389" s="132">
        <f>IFERROR(VLOOKUP(DATA[[#This Row],[COMBINADA]],#REF!,9,0),0)/COUNTIFS(DATA[COMBINADA],DATA[[#This Row],[COMBINADA]])</f>
        <v>0</v>
      </c>
      <c r="AK1389" s="131">
        <f>IFERROR(VLOOKUP(DATA[[#This Row],[COMBINADA]],#REF!,6,0),0)</f>
        <v>0</v>
      </c>
      <c r="AL1389" s="125">
        <f>IFERROR(VLOOKUP(DATA[[#This Row],[COMBINADA]],#REF!,9,0),0)/COUNTIFS(DATA[COMBINADA],DATA[[#This Row],[COMBINADA]])</f>
        <v>0</v>
      </c>
      <c r="AM1389" s="27">
        <f>IFERROR(VLOOKUP(DATA[[#This Row],[COMBINADA]],#REF!,6,0),0)</f>
        <v>0</v>
      </c>
      <c r="AN1389" s="125">
        <f>IFERROR(VLOOKUP(DATA[[#This Row],[COMBINADA]],#REF!,9,0),0)/COUNTIFS(DATA[COMBINADA],DATA[[#This Row],[COMBINADA]])</f>
        <v>0</v>
      </c>
      <c r="AO1389" s="27">
        <f>IFERROR(VLOOKUP(DATA[[#This Row],[COMBINADA]],#REF!,6,0),0)</f>
        <v>0</v>
      </c>
      <c r="AP1389" s="132">
        <f>IFERROR(VLOOKUP(DATA[[#This Row],[COMBINADA]],#REF!,9,0),0)/COUNTIFS(DATA[COMBINADA],DATA[[#This Row],[COMBINADA]])</f>
        <v>0</v>
      </c>
      <c r="AQ138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1080.5666666666666</v>
      </c>
      <c r="AR1389" s="26" t="str">
        <f>IFERROR(IF(DATA[[#This Row],[estado_fact]]="FACTURADO",VLOOKUP(DATA[[#This Row],[SERIE2]]&amp;"-"&amp;DATA[[#This Row],[NUMERO]],#REF!,34,0),"NO CORRESPONDE"),"NO CORRESPONDE")</f>
        <v>NO CORRESPONDE</v>
      </c>
      <c r="AS1389" s="22" t="str">
        <f>IF(DATA[[#This Row],[fecha_fs]]&gt;0,TEXT(DATA[[#This Row],[fecha_fs]],"Mmmm"),0)</f>
        <v>Octubre</v>
      </c>
      <c r="AT1389" s="22" t="str">
        <f>DATA[[#This Row],[SERIE2]]&amp;"-"&amp;DATA[[#This Row],[NUMERO]]</f>
        <v>FF01-334</v>
      </c>
      <c r="AU1389" s="28">
        <f>DATA[[#This Row],[TOTAL]]*DATA[[#This Row],[T.C.]]</f>
        <v>1076.1600000000001</v>
      </c>
      <c r="AV1389" s="6">
        <f>DATA[[#This Row],[FECHA DE VAL.]]</f>
        <v>45961</v>
      </c>
      <c r="AW1389" s="6">
        <f>DATA[[#This Row],[FECHA DE EMISION]]</f>
        <v>45965</v>
      </c>
      <c r="AX1389" s="6">
        <f>DATA[[#This Row],[F1]]</f>
        <v>0</v>
      </c>
      <c r="AY1389" s="20">
        <f>IF(AV1389-DATA[[#This Row],[fecha_fs]]&lt;0,0,AV1389-DATA[[#This Row],[fecha_fs]])</f>
        <v>4</v>
      </c>
      <c r="AZ1389" s="20">
        <f t="shared" si="350"/>
        <v>4</v>
      </c>
      <c r="BA1389" s="53">
        <f t="shared" si="351"/>
        <v>0</v>
      </c>
      <c r="BB1389" s="360">
        <f>IFERROR(SUM(DATA[[#This Row],[fs_val_ttf]:[fact_pago_ttf]]),0)</f>
        <v>8</v>
      </c>
      <c r="BC1389" s="378">
        <v>45957</v>
      </c>
      <c r="BD1389" s="377">
        <v>45964</v>
      </c>
      <c r="BE1389" s="185">
        <v>45964</v>
      </c>
      <c r="BF1389" s="377">
        <v>45967</v>
      </c>
      <c r="BG1389" s="20">
        <f>IFERROR(IF(BC1389-DATA[[#This Row],[fecha_fs]]&lt;0,0,BC1389-DATA[[#This Row],[fecha_fs]]),0)</f>
        <v>0</v>
      </c>
      <c r="BH1389" s="20">
        <f t="shared" si="346"/>
        <v>7</v>
      </c>
      <c r="BI1389" s="20">
        <f t="shared" si="347"/>
        <v>0</v>
      </c>
      <c r="BJ1389" s="53">
        <f t="shared" si="348"/>
        <v>3</v>
      </c>
      <c r="BK1389" s="376">
        <f>IFERROR(SUM(DATA[[#This Row],[fs_fd_ttd]:[fend_fenf_ttd]]),0)</f>
        <v>10</v>
      </c>
      <c r="BL1389" s="20" t="str">
        <f>IF(DATA[[#This Row],[fecha_fs]]&gt;0,TEXT(DATA[[#This Row],[fecha_fs]],"YYYY"),0)</f>
        <v>2025</v>
      </c>
      <c r="BM1389" s="236" t="b">
        <v>1</v>
      </c>
      <c r="BN1389" s="278">
        <f>COUNTIF(DATA[[#This Row],[tiempo_td]], "&lt;=15")</f>
        <v>1</v>
      </c>
      <c r="BO1389" s="365"/>
    </row>
    <row r="1390" spans="1:67" ht="30.6" customHeight="1" x14ac:dyDescent="0.25">
      <c r="A1390" s="4">
        <v>20523573226</v>
      </c>
      <c r="B1390" s="5" t="s">
        <v>31</v>
      </c>
      <c r="C1390" s="52" t="s">
        <v>20</v>
      </c>
      <c r="D1390" s="4" t="s">
        <v>120</v>
      </c>
      <c r="E1390" s="5" t="s">
        <v>3</v>
      </c>
      <c r="F1390" s="24">
        <v>45957</v>
      </c>
      <c r="G1390" s="7" t="s">
        <v>113</v>
      </c>
      <c r="H1390" s="25">
        <f t="shared" si="349"/>
        <v>1</v>
      </c>
      <c r="I1390" s="331">
        <v>5173</v>
      </c>
      <c r="J1390" s="8" t="s">
        <v>115</v>
      </c>
      <c r="K1390" s="9" t="s">
        <v>121</v>
      </c>
      <c r="L1390" s="10" t="s">
        <v>117</v>
      </c>
      <c r="M1390" s="11">
        <v>150</v>
      </c>
      <c r="N1390" s="12" t="s">
        <v>249</v>
      </c>
      <c r="O1390" s="6">
        <v>45959</v>
      </c>
      <c r="P1390" s="13">
        <v>3746</v>
      </c>
      <c r="Q1390" s="14" t="s">
        <v>85</v>
      </c>
      <c r="R1390" s="321">
        <v>256</v>
      </c>
      <c r="S1390" s="321">
        <v>552.04</v>
      </c>
      <c r="T1390" s="321">
        <f>DATA[[#This Row],[C. DF]]+DATA[[#This Row],[C.OPE.]]</f>
        <v>808.04</v>
      </c>
      <c r="U1390" s="15">
        <f>DATA[[#This Row],[SUB TOTAL]]*0.18</f>
        <v>145.44719999999998</v>
      </c>
      <c r="V1390" s="15">
        <f>IFERROR(ROUND(DATA[[#This Row],[SUB TOTAL]]+DATA[[#This Row],[IGV]],2),0)</f>
        <v>953.49</v>
      </c>
      <c r="W1390" s="339" t="str">
        <f>IF(DATA[[#This Row],[VALORIZACIÓN ]]="-","NO CORRESPONDE",IF(OR(A1390=20558226979,A1390=10470707866,A1390=20111157058,A1390=20100226902),"NO CORRESPONDE",IF(J1390="Emitida",IF(P1390&gt;0,"EMITIDA","PENDIENTE"),"NO CORRESPONDE")))</f>
        <v>EMITIDA</v>
      </c>
      <c r="X1390" s="29"/>
      <c r="Y1390" s="17" t="s">
        <v>232</v>
      </c>
      <c r="Z1390" s="30"/>
      <c r="AA1390" s="10"/>
      <c r="AB1390" s="19"/>
      <c r="AC1390" s="20"/>
      <c r="AD1390" s="18">
        <f>DATA[[#This Row],[FECHA DE EMISION]]+DATA[[#This Row],[CONDICION DE PAGO]]</f>
        <v>0</v>
      </c>
      <c r="AE1390" s="23">
        <f>IF(DATA[[#This Row],[MONEDA]]="USD",VLOOKUP(DATA[[#This Row],[COMBINADA]],#REF!,11,0),1)</f>
        <v>1</v>
      </c>
      <c r="AF1390" s="129" t="str">
        <f>IF(DATA[[#This Row],[SERIE2]]="-","NO CORRESPONDE",IF(W1390="NO CORRESPONDE","NO CORRESPONDE",IF(Z1390&gt;0,"FACTURADO","PENDIENTE")))</f>
        <v>PENDIENTE</v>
      </c>
      <c r="AG1390" s="133">
        <f>IFERROR(VLOOKUP(DATA[[#This Row],[COMBINADA]],#REF!,6,0),0)</f>
        <v>0</v>
      </c>
      <c r="AH1390" s="125">
        <f>IFERROR(VLOOKUP(DATA[[#This Row],[COMBINADA]],#REF!,9,0),0)/COUNTIFS(DATA[COMBINADA],DATA[[#This Row],[COMBINADA]])</f>
        <v>0</v>
      </c>
      <c r="AI1390" s="136">
        <f>IFERROR(VLOOKUP(DATA[[#This Row],[COMBINADA]],#REF!,6,0),0)</f>
        <v>0</v>
      </c>
      <c r="AJ1390" s="132">
        <f>IFERROR(VLOOKUP(DATA[[#This Row],[COMBINADA]],#REF!,9,0),0)/COUNTIFS(DATA[COMBINADA],DATA[[#This Row],[COMBINADA]])</f>
        <v>0</v>
      </c>
      <c r="AK1390" s="131">
        <f>IFERROR(VLOOKUP(DATA[[#This Row],[COMBINADA]],#REF!,6,0),0)</f>
        <v>0</v>
      </c>
      <c r="AL1390" s="125">
        <f>IFERROR(VLOOKUP(DATA[[#This Row],[COMBINADA]],#REF!,9,0),0)/COUNTIFS(DATA[COMBINADA],DATA[[#This Row],[COMBINADA]])</f>
        <v>0</v>
      </c>
      <c r="AM1390" s="27">
        <f>IFERROR(VLOOKUP(DATA[[#This Row],[COMBINADA]],#REF!,6,0),0)</f>
        <v>0</v>
      </c>
      <c r="AN1390" s="125">
        <f>IFERROR(VLOOKUP(DATA[[#This Row],[COMBINADA]],#REF!,9,0),0)/COUNTIFS(DATA[COMBINADA],DATA[[#This Row],[COMBINADA]])</f>
        <v>0</v>
      </c>
      <c r="AO1390" s="27">
        <f>IFERROR(VLOOKUP(DATA[[#This Row],[COMBINADA]],#REF!,6,0),0)</f>
        <v>0</v>
      </c>
      <c r="AP1390" s="132">
        <f>IFERROR(VLOOKUP(DATA[[#This Row],[COMBINADA]],#REF!,9,0),0)/COUNTIFS(DATA[COMBINADA],DATA[[#This Row],[COMBINADA]])</f>
        <v>0</v>
      </c>
      <c r="AQ139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90" s="26" t="str">
        <f>IFERROR(IF(DATA[[#This Row],[estado_fact]]="FACTURADO",VLOOKUP(DATA[[#This Row],[SERIE2]]&amp;"-"&amp;DATA[[#This Row],[NUMERO]],#REF!,34,0),"NO CORRESPONDE"),"NO CORRESPONDE")</f>
        <v>NO CORRESPONDE</v>
      </c>
      <c r="AS1390" s="22" t="str">
        <f>IF(DATA[[#This Row],[fecha_fs]]&gt;0,TEXT(DATA[[#This Row],[fecha_fs]],"Mmmm"),0)</f>
        <v>Octubre</v>
      </c>
      <c r="AT1390" s="22" t="str">
        <f>DATA[[#This Row],[SERIE2]]&amp;"-"&amp;DATA[[#This Row],[NUMERO]]</f>
        <v>-</v>
      </c>
      <c r="AU1390" s="28">
        <f>DATA[[#This Row],[TOTAL]]*DATA[[#This Row],[T.C.]]</f>
        <v>953.49</v>
      </c>
      <c r="AV1390" s="6">
        <f>DATA[[#This Row],[FECHA DE VAL.]]</f>
        <v>45959</v>
      </c>
      <c r="AW1390" s="6">
        <f>DATA[[#This Row],[FECHA DE EMISION]]</f>
        <v>0</v>
      </c>
      <c r="AX1390" s="6">
        <f>DATA[[#This Row],[F1]]</f>
        <v>0</v>
      </c>
      <c r="AY1390" s="20">
        <f>IF(AV1390-DATA[[#This Row],[fecha_fs]]&lt;0,0,AV1390-DATA[[#This Row],[fecha_fs]])</f>
        <v>2</v>
      </c>
      <c r="AZ1390" s="20">
        <f t="shared" si="350"/>
        <v>0</v>
      </c>
      <c r="BA1390" s="53">
        <f t="shared" si="351"/>
        <v>0</v>
      </c>
      <c r="BB1390" s="360">
        <f>IFERROR(SUM(DATA[[#This Row],[fs_val_ttf]:[fact_pago_ttf]]),0)</f>
        <v>2</v>
      </c>
      <c r="BC1390" s="378" t="s">
        <v>270</v>
      </c>
      <c r="BD1390" s="185" t="s">
        <v>270</v>
      </c>
      <c r="BE1390" s="185" t="s">
        <v>270</v>
      </c>
      <c r="BF1390" s="185" t="s">
        <v>270</v>
      </c>
      <c r="BG1390" s="20">
        <f>IFERROR(IF(BC1390-DATA[[#This Row],[fecha_fs]]&lt;0,0,BC1390-DATA[[#This Row],[fecha_fs]]),0)</f>
        <v>0</v>
      </c>
      <c r="BH1390" s="20">
        <f t="shared" si="346"/>
        <v>0</v>
      </c>
      <c r="BI1390" s="20">
        <f t="shared" si="347"/>
        <v>0</v>
      </c>
      <c r="BJ1390" s="53">
        <f t="shared" si="348"/>
        <v>0</v>
      </c>
      <c r="BK1390" s="376">
        <f>IFERROR(SUM(DATA[[#This Row],[fs_fd_ttd]:[fend_fenf_ttd]]),0)</f>
        <v>0</v>
      </c>
      <c r="BL1390" s="20" t="str">
        <f>IF(DATA[[#This Row],[fecha_fs]]&gt;0,TEXT(DATA[[#This Row],[fecha_fs]],"YYYY"),0)</f>
        <v>2025</v>
      </c>
      <c r="BM1390" s="236" t="b">
        <v>0</v>
      </c>
      <c r="BN1390" s="278">
        <f>COUNTIF(DATA[[#This Row],[tiempo_td]], "&lt;=15")</f>
        <v>1</v>
      </c>
      <c r="BO1390" s="365"/>
    </row>
    <row r="1391" spans="1:67" ht="30.6" customHeight="1" x14ac:dyDescent="0.25">
      <c r="A1391" s="4">
        <v>20610105620</v>
      </c>
      <c r="B1391" s="5" t="s">
        <v>311</v>
      </c>
      <c r="C1391" s="52" t="s">
        <v>312</v>
      </c>
      <c r="D1391" s="4" t="s">
        <v>120</v>
      </c>
      <c r="E1391" s="5" t="s">
        <v>3</v>
      </c>
      <c r="F1391" s="24">
        <v>45957</v>
      </c>
      <c r="G1391" s="7" t="s">
        <v>113</v>
      </c>
      <c r="H1391" s="25">
        <f t="shared" si="349"/>
        <v>1</v>
      </c>
      <c r="I1391" s="331">
        <v>5174</v>
      </c>
      <c r="J1391" s="8" t="s">
        <v>115</v>
      </c>
      <c r="K1391" s="9" t="s">
        <v>121</v>
      </c>
      <c r="L1391" s="10" t="s">
        <v>117</v>
      </c>
      <c r="M1391" s="11">
        <v>530</v>
      </c>
      <c r="N1391" s="12" t="s">
        <v>337</v>
      </c>
      <c r="O1391" s="6">
        <v>45959</v>
      </c>
      <c r="P1391" s="370">
        <v>3770</v>
      </c>
      <c r="Q1391" s="14" t="s">
        <v>85</v>
      </c>
      <c r="R1391" s="56">
        <f>80</f>
        <v>80</v>
      </c>
      <c r="S1391" s="56">
        <v>2650</v>
      </c>
      <c r="T1391" s="321">
        <f>DATA[[#This Row],[C. DF]]+DATA[[#This Row],[C.OPE.]]</f>
        <v>2730</v>
      </c>
      <c r="U1391" s="15">
        <f>DATA[[#This Row],[SUB TOTAL]]*0.18</f>
        <v>491.4</v>
      </c>
      <c r="V1391" s="15">
        <f>IFERROR(ROUND(DATA[[#This Row],[SUB TOTAL]]+DATA[[#This Row],[IGV]],2),0)</f>
        <v>3221.4</v>
      </c>
      <c r="W1391" s="339" t="str">
        <f>IF(DATA[[#This Row],[VALORIZACIÓN ]]="-","NO CORRESPONDE",IF(OR(A1391=20558226979,A1391=10470707866,A1391=20111157058,A1391=20100226902),"NO CORRESPONDE",IF(J1391="Emitida",IF(P1391&gt;0,"EMITIDA","PENDIENTE"),"NO CORRESPONDE")))</f>
        <v>EMITIDA</v>
      </c>
      <c r="X1391" s="29"/>
      <c r="Y1391" s="17" t="s">
        <v>232</v>
      </c>
      <c r="Z1391" s="30"/>
      <c r="AA1391" s="10"/>
      <c r="AB1391" s="19"/>
      <c r="AC1391" s="20"/>
      <c r="AD1391" s="18">
        <f>DATA[[#This Row],[FECHA DE EMISION]]+DATA[[#This Row],[CONDICION DE PAGO]]</f>
        <v>0</v>
      </c>
      <c r="AE1391" s="23">
        <f>IF(DATA[[#This Row],[MONEDA]]="USD",VLOOKUP(DATA[[#This Row],[COMBINADA]],#REF!,11,0),1)</f>
        <v>1</v>
      </c>
      <c r="AF1391" s="129" t="str">
        <f>IF(DATA[[#This Row],[SERIE2]]="-","NO CORRESPONDE",IF(W1391="NO CORRESPONDE","NO CORRESPONDE",IF(Z1391&gt;0,"FACTURADO","PENDIENTE")))</f>
        <v>PENDIENTE</v>
      </c>
      <c r="AG1391" s="133">
        <f>IFERROR(VLOOKUP(DATA[[#This Row],[COMBINADA]],#REF!,6,0),0)</f>
        <v>0</v>
      </c>
      <c r="AH1391" s="125">
        <f>IFERROR(VLOOKUP(DATA[[#This Row],[COMBINADA]],#REF!,9,0),0)/COUNTIFS(DATA[COMBINADA],DATA[[#This Row],[COMBINADA]])</f>
        <v>0</v>
      </c>
      <c r="AI1391" s="136">
        <f>IFERROR(VLOOKUP(DATA[[#This Row],[COMBINADA]],#REF!,6,0),0)</f>
        <v>0</v>
      </c>
      <c r="AJ1391" s="132">
        <f>IFERROR(VLOOKUP(DATA[[#This Row],[COMBINADA]],#REF!,9,0),0)/COUNTIFS(DATA[COMBINADA],DATA[[#This Row],[COMBINADA]])</f>
        <v>0</v>
      </c>
      <c r="AK1391" s="131">
        <f>IFERROR(VLOOKUP(DATA[[#This Row],[COMBINADA]],#REF!,6,0),0)</f>
        <v>0</v>
      </c>
      <c r="AL1391" s="125">
        <f>IFERROR(VLOOKUP(DATA[[#This Row],[COMBINADA]],#REF!,9,0),0)/COUNTIFS(DATA[COMBINADA],DATA[[#This Row],[COMBINADA]])</f>
        <v>0</v>
      </c>
      <c r="AM1391" s="27">
        <f>IFERROR(VLOOKUP(DATA[[#This Row],[COMBINADA]],#REF!,6,0),0)</f>
        <v>0</v>
      </c>
      <c r="AN1391" s="125">
        <f>IFERROR(VLOOKUP(DATA[[#This Row],[COMBINADA]],#REF!,9,0),0)/COUNTIFS(DATA[COMBINADA],DATA[[#This Row],[COMBINADA]])</f>
        <v>0</v>
      </c>
      <c r="AO1391" s="27">
        <f>IFERROR(VLOOKUP(DATA[[#This Row],[COMBINADA]],#REF!,6,0),0)</f>
        <v>0</v>
      </c>
      <c r="AP1391" s="132">
        <f>IFERROR(VLOOKUP(DATA[[#This Row],[COMBINADA]],#REF!,9,0),0)/COUNTIFS(DATA[COMBINADA],DATA[[#This Row],[COMBINADA]])</f>
        <v>0</v>
      </c>
      <c r="AQ139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91" s="26" t="str">
        <f>IFERROR(IF(DATA[[#This Row],[estado_fact]]="FACTURADO",VLOOKUP(DATA[[#This Row],[SERIE2]]&amp;"-"&amp;DATA[[#This Row],[NUMERO]],#REF!,34,0),"NO CORRESPONDE"),"NO CORRESPONDE")</f>
        <v>NO CORRESPONDE</v>
      </c>
      <c r="AS1391" s="22" t="str">
        <f>IF(DATA[[#This Row],[fecha_fs]]&gt;0,TEXT(DATA[[#This Row],[fecha_fs]],"Mmmm"),0)</f>
        <v>Octubre</v>
      </c>
      <c r="AT1391" s="22" t="str">
        <f>DATA[[#This Row],[SERIE2]]&amp;"-"&amp;DATA[[#This Row],[NUMERO]]</f>
        <v>-</v>
      </c>
      <c r="AU1391" s="28">
        <f>DATA[[#This Row],[TOTAL]]*DATA[[#This Row],[T.C.]]</f>
        <v>3221.4</v>
      </c>
      <c r="AV1391" s="6">
        <f>DATA[[#This Row],[FECHA DE VAL.]]</f>
        <v>45959</v>
      </c>
      <c r="AW1391" s="6">
        <f>DATA[[#This Row],[FECHA DE EMISION]]</f>
        <v>0</v>
      </c>
      <c r="AX1391" s="6">
        <f>DATA[[#This Row],[F1]]</f>
        <v>0</v>
      </c>
      <c r="AY1391" s="20">
        <f>IF(AV1391-DATA[[#This Row],[fecha_fs]]&lt;0,0,AV1391-DATA[[#This Row],[fecha_fs]])</f>
        <v>2</v>
      </c>
      <c r="AZ1391" s="20">
        <f t="shared" si="350"/>
        <v>0</v>
      </c>
      <c r="BA1391" s="53">
        <f t="shared" si="351"/>
        <v>0</v>
      </c>
      <c r="BB1391" s="360">
        <f>IFERROR(SUM(DATA[[#This Row],[fs_val_ttf]:[fact_pago_ttf]]),0)</f>
        <v>2</v>
      </c>
      <c r="BC1391" s="378" t="s">
        <v>270</v>
      </c>
      <c r="BD1391" s="185" t="s">
        <v>270</v>
      </c>
      <c r="BE1391" s="185" t="s">
        <v>270</v>
      </c>
      <c r="BF1391" s="185" t="s">
        <v>270</v>
      </c>
      <c r="BG1391" s="20">
        <f>IFERROR(IF(BC1391-DATA[[#This Row],[fecha_fs]]&lt;0,0,BC1391-DATA[[#This Row],[fecha_fs]]),0)</f>
        <v>0</v>
      </c>
      <c r="BH1391" s="20">
        <f t="shared" si="346"/>
        <v>0</v>
      </c>
      <c r="BI1391" s="20">
        <f t="shared" si="347"/>
        <v>0</v>
      </c>
      <c r="BJ1391" s="53">
        <f t="shared" si="348"/>
        <v>0</v>
      </c>
      <c r="BK1391" s="376">
        <f>IFERROR(SUM(DATA[[#This Row],[fs_fd_ttd]:[fend_fenf_ttd]]),0)</f>
        <v>0</v>
      </c>
      <c r="BL1391" s="20" t="str">
        <f>IF(DATA[[#This Row],[fecha_fs]]&gt;0,TEXT(DATA[[#This Row],[fecha_fs]],"YYYY"),0)</f>
        <v>2025</v>
      </c>
      <c r="BM1391" s="236" t="b">
        <v>0</v>
      </c>
      <c r="BN1391" s="278">
        <f>COUNTIF(DATA[[#This Row],[tiempo_td]], "&lt;=15")</f>
        <v>1</v>
      </c>
      <c r="BO1391" s="365"/>
    </row>
    <row r="1392" spans="1:67" ht="30.6" customHeight="1" x14ac:dyDescent="0.25">
      <c r="A1392" s="4">
        <v>20100192064</v>
      </c>
      <c r="B1392" s="5" t="s">
        <v>60</v>
      </c>
      <c r="C1392" s="52" t="s">
        <v>65</v>
      </c>
      <c r="D1392" s="4" t="s">
        <v>112</v>
      </c>
      <c r="E1392" s="5" t="s">
        <v>1</v>
      </c>
      <c r="F1392" s="24">
        <v>45958</v>
      </c>
      <c r="G1392" s="7" t="s">
        <v>142</v>
      </c>
      <c r="H1392" s="25">
        <f>IF(G1392="","",IF(G1392="LIM",2,1))</f>
        <v>2</v>
      </c>
      <c r="I1392" s="67">
        <v>1156</v>
      </c>
      <c r="J1392" s="8" t="s">
        <v>115</v>
      </c>
      <c r="K1392" s="9" t="s">
        <v>116</v>
      </c>
      <c r="L1392" s="10" t="s">
        <v>117</v>
      </c>
      <c r="M1392" s="11">
        <v>2330</v>
      </c>
      <c r="N1392" s="12" t="s">
        <v>180</v>
      </c>
      <c r="O1392" s="6">
        <v>45959</v>
      </c>
      <c r="P1392" s="71">
        <v>3764</v>
      </c>
      <c r="Q1392" s="14" t="s">
        <v>123</v>
      </c>
      <c r="R1392" s="321">
        <f>(DATA[[#This Row],[cantidad_fs]]/1000)*(147+81.01)</f>
        <v>531.26329999999996</v>
      </c>
      <c r="S1392" s="321">
        <v>103.6</v>
      </c>
      <c r="T1392" s="15">
        <f>DATA[[#This Row],[C. DF]]+DATA[[#This Row],[C.OPE.]]</f>
        <v>634.86329999999998</v>
      </c>
      <c r="U1392" s="15">
        <f>DATA[[#This Row],[SUB TOTAL]]*0.18</f>
        <v>114.27539399999999</v>
      </c>
      <c r="V1392" s="15">
        <f>IFERROR(ROUND(DATA[[#This Row],[SUB TOTAL]]+DATA[[#This Row],[IGV]],2),0)</f>
        <v>749.14</v>
      </c>
      <c r="W1392" s="16" t="str">
        <f>IF(DATA[[#This Row],[VALORIZACIÓN ]]="-","NO CORRESPONDE",IF(OR(A1392=20558226979,A1392=10470707866,A1392=20111157058,A1392=20100226902),"NO CORRESPONDE",IF(J1392="Emitida",IF(P1392&gt;0,"EMITIDA","PENDIENTE"),"NO CORRESPONDE")))</f>
        <v>EMITIDA</v>
      </c>
      <c r="X1392" s="29" t="s">
        <v>374</v>
      </c>
      <c r="Y1392" s="17" t="s">
        <v>118</v>
      </c>
      <c r="Z1392" s="30">
        <v>45961</v>
      </c>
      <c r="AA1392" s="10" t="s">
        <v>150</v>
      </c>
      <c r="AB1392" s="19">
        <v>315</v>
      </c>
      <c r="AC1392" s="20">
        <v>30</v>
      </c>
      <c r="AD1392" s="18">
        <f>DATA[[#This Row],[FECHA DE EMISION]]+DATA[[#This Row],[CONDICION DE PAGO]]</f>
        <v>45991</v>
      </c>
      <c r="AE1392" s="23" t="e">
        <f>IF(DATA[[#This Row],[MONEDA]]="USD",VLOOKUP(DATA[[#This Row],[COMBINADA]],#REF!,11,0),1)</f>
        <v>#REF!</v>
      </c>
      <c r="AF1392" s="129" t="str">
        <f>IF(DATA[[#This Row],[SERIE2]]="-","NO CORRESPONDE",IF(W1392="NO CORRESPONDE","NO CORRESPONDE",IF(Z1392&gt;0,"FACTURADO","PENDIENTE")))</f>
        <v>FACTURADO</v>
      </c>
      <c r="AG1392" s="27">
        <f>IFERROR(VLOOKUP(DATA[[#This Row],[COMBINADA]],#REF!,6,0),0)</f>
        <v>0</v>
      </c>
      <c r="AH1392" s="130">
        <f>IFERROR(VLOOKUP(DATA[[#This Row],[COMBINADA]],#REF!,9,0),0)/COUNTIFS(DATA[COMBINADA],DATA[[#This Row],[COMBINADA]])</f>
        <v>0</v>
      </c>
      <c r="AI1392" s="131">
        <f>IFERROR(VLOOKUP(DATA[[#This Row],[COMBINADA]],#REF!,6,0),0)</f>
        <v>0</v>
      </c>
      <c r="AJ1392" s="132">
        <f>IFERROR(VLOOKUP(DATA[[#This Row],[COMBINADA]],#REF!,9,0),0)/COUNTIFS(DATA[COMBINADA],DATA[[#This Row],[COMBINADA]])</f>
        <v>0</v>
      </c>
      <c r="AK1392" s="131">
        <f>IFERROR(VLOOKUP(DATA[[#This Row],[COMBINADA]],#REF!,6,0),0)</f>
        <v>0</v>
      </c>
      <c r="AL1392" s="125">
        <f>IFERROR(VLOOKUP(DATA[[#This Row],[COMBINADA]],#REF!,9,0),0)/COUNTIFS(DATA[COMBINADA],DATA[[#This Row],[COMBINADA]])</f>
        <v>0</v>
      </c>
      <c r="AM1392" s="27">
        <f>IFERROR(VLOOKUP(DATA[[#This Row],[COMBINADA]],#REF!,6,0),0)</f>
        <v>0</v>
      </c>
      <c r="AN1392" s="125">
        <f>IFERROR(VLOOKUP(DATA[[#This Row],[COMBINADA]],#REF!,9,0),0)/COUNTIFS(DATA[COMBINADA],DATA[[#This Row],[COMBINADA]])</f>
        <v>0</v>
      </c>
      <c r="AO1392" s="27">
        <f>IFERROR(VLOOKUP(DATA[[#This Row],[COMBINADA]],#REF!,6,0),0)</f>
        <v>0</v>
      </c>
      <c r="AP1392" s="132">
        <f>IFERROR(VLOOKUP(DATA[[#This Row],[COMBINADA]],#REF!,9,0),0)/COUNTIFS(DATA[COMBINADA],DATA[[#This Row],[COMBINADA]])</f>
        <v>0</v>
      </c>
      <c r="AQ139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425.40500000000003</v>
      </c>
      <c r="AR1392" s="26" t="str">
        <f>IFERROR(IF(DATA[[#This Row],[estado_fact]]="FACTURADO",VLOOKUP(DATA[[#This Row],[SERIE2]]&amp;"-"&amp;DATA[[#This Row],[NUMERO]],#REF!,34,0),"NO CORRESPONDE"),"NO CORRESPONDE")</f>
        <v>NO CORRESPONDE</v>
      </c>
      <c r="AS1392" s="22" t="str">
        <f>IF(DATA[[#This Row],[fecha_fs]]&gt;0,TEXT(DATA[[#This Row],[fecha_fs]],"Mmmm"),0)</f>
        <v>Octubre</v>
      </c>
      <c r="AT1392" s="22" t="str">
        <f>DATA[[#This Row],[SERIE2]]&amp;"-"&amp;DATA[[#This Row],[NUMERO]]</f>
        <v>FF01-315</v>
      </c>
      <c r="AU1392" s="28" t="e">
        <f>DATA[[#This Row],[TOTAL]]*DATA[[#This Row],[T.C.]]</f>
        <v>#REF!</v>
      </c>
      <c r="AV1392" s="6">
        <f>DATA[[#This Row],[FECHA DE VAL.]]</f>
        <v>45959</v>
      </c>
      <c r="AW1392" s="6">
        <f>DATA[[#This Row],[FECHA DE EMISION]]</f>
        <v>45961</v>
      </c>
      <c r="AX1392" s="6">
        <f>DATA[[#This Row],[F1]]</f>
        <v>0</v>
      </c>
      <c r="AY1392" s="20">
        <f>IF(AV1392-DATA[[#This Row],[fecha_fs]]&lt;0,0,AV1392-DATA[[#This Row],[fecha_fs]])</f>
        <v>1</v>
      </c>
      <c r="AZ1392" s="20">
        <f>IF(AW1392-AV1392&lt;0,0,AW1392-AV1392)</f>
        <v>2</v>
      </c>
      <c r="BA1392" s="53">
        <f>IF(AX1392-AW1392&lt;0,0,AX1392-AW1392)</f>
        <v>0</v>
      </c>
      <c r="BB1392" s="360">
        <f>IFERROR(SUM(DATA[[#This Row],[fs_val_ttf]:[fact_pago_ttf]]),0)</f>
        <v>3</v>
      </c>
      <c r="BC1392" s="378" t="s">
        <v>270</v>
      </c>
      <c r="BD1392" s="185" t="s">
        <v>270</v>
      </c>
      <c r="BE1392" s="185" t="s">
        <v>270</v>
      </c>
      <c r="BF1392" s="185" t="s">
        <v>270</v>
      </c>
      <c r="BG1392" s="20">
        <f>IFERROR(IF(BC1392-DATA[[#This Row],[fecha_fs]]&lt;0,0,BC1392-DATA[[#This Row],[fecha_fs]]),0)</f>
        <v>0</v>
      </c>
      <c r="BH1392" s="20">
        <f t="shared" si="346"/>
        <v>0</v>
      </c>
      <c r="BI1392" s="20">
        <f t="shared" si="347"/>
        <v>0</v>
      </c>
      <c r="BJ1392" s="53">
        <f t="shared" si="348"/>
        <v>0</v>
      </c>
      <c r="BK1392" s="376">
        <f>IFERROR(SUM(DATA[[#This Row],[fs_fd_ttd]:[fend_fenf_ttd]]),0)</f>
        <v>0</v>
      </c>
      <c r="BL1392" s="20" t="str">
        <f>IF(DATA[[#This Row],[fecha_fs]]&gt;0,TEXT(DATA[[#This Row],[fecha_fs]],"YYYY"),0)</f>
        <v>2025</v>
      </c>
      <c r="BM1392" s="236" t="b">
        <v>0</v>
      </c>
      <c r="BN1392" s="278">
        <f>COUNTIF(DATA[[#This Row],[tiempo_td]], "&lt;=15")</f>
        <v>1</v>
      </c>
      <c r="BO1392" s="365"/>
    </row>
    <row r="1393" spans="1:67" ht="30.6" customHeight="1" x14ac:dyDescent="0.25">
      <c r="A1393" s="4">
        <v>20159473148</v>
      </c>
      <c r="B1393" s="5" t="s">
        <v>280</v>
      </c>
      <c r="C1393" s="52" t="s">
        <v>20</v>
      </c>
      <c r="D1393" s="4" t="s">
        <v>120</v>
      </c>
      <c r="E1393" s="5" t="s">
        <v>3</v>
      </c>
      <c r="F1393" s="24">
        <v>45958</v>
      </c>
      <c r="G1393" s="7" t="s">
        <v>113</v>
      </c>
      <c r="H1393" s="25">
        <f t="shared" si="349"/>
        <v>1</v>
      </c>
      <c r="I1393" s="331">
        <v>5175</v>
      </c>
      <c r="J1393" s="8" t="s">
        <v>115</v>
      </c>
      <c r="K1393" s="9" t="s">
        <v>121</v>
      </c>
      <c r="L1393" s="10" t="s">
        <v>117</v>
      </c>
      <c r="M1393" s="11">
        <v>1300</v>
      </c>
      <c r="N1393" s="12" t="s">
        <v>249</v>
      </c>
      <c r="O1393" s="6">
        <v>45959</v>
      </c>
      <c r="P1393" s="83">
        <v>3749</v>
      </c>
      <c r="Q1393" s="14" t="s">
        <v>85</v>
      </c>
      <c r="R1393" s="15">
        <f>DATA[[#This Row],[cantidad_fs]]*0.08</f>
        <v>104</v>
      </c>
      <c r="S1393" s="15">
        <v>908.43</v>
      </c>
      <c r="T1393" s="321">
        <f>DATA[[#This Row],[C. DF]]+DATA[[#This Row],[C.OPE.]]</f>
        <v>1012.43</v>
      </c>
      <c r="U1393" s="15">
        <f>DATA[[#This Row],[SUB TOTAL]]*0.18</f>
        <v>182.23739999999998</v>
      </c>
      <c r="V1393" s="15">
        <f>IFERROR(ROUND(DATA[[#This Row],[SUB TOTAL]]+DATA[[#This Row],[IGV]],2),0)</f>
        <v>1194.67</v>
      </c>
      <c r="W1393" s="339" t="str">
        <f>IF(DATA[[#This Row],[VALORIZACIÓN ]]="-","NO CORRESPONDE",IF(OR(A1393=20558226979,A1393=10470707866,A1393=20111157058,A1393=20100226902),"NO CORRESPONDE",IF(J1393="Emitida",IF(P1393&gt;0,"EMITIDA","PENDIENTE"),"NO CORRESPONDE")))</f>
        <v>EMITIDA</v>
      </c>
      <c r="X1393" s="29" t="s">
        <v>377</v>
      </c>
      <c r="Y1393" s="17" t="s">
        <v>118</v>
      </c>
      <c r="Z1393" s="30">
        <v>45967</v>
      </c>
      <c r="AA1393" s="10" t="s">
        <v>150</v>
      </c>
      <c r="AB1393" s="19">
        <v>339</v>
      </c>
      <c r="AC1393" s="20">
        <v>60</v>
      </c>
      <c r="AD1393" s="18">
        <f>DATA[[#This Row],[FECHA DE EMISION]]+DATA[[#This Row],[CONDICION DE PAGO]]</f>
        <v>46027</v>
      </c>
      <c r="AE1393" s="23">
        <f>IF(DATA[[#This Row],[MONEDA]]="USD",VLOOKUP(DATA[[#This Row],[COMBINADA]],#REF!,11,0),1)</f>
        <v>1</v>
      </c>
      <c r="AF1393" s="129" t="str">
        <f>IF(DATA[[#This Row],[SERIE2]]="-","NO CORRESPONDE",IF(W1393="NO CORRESPONDE","NO CORRESPONDE",IF(Z1393&gt;0,"FACTURADO","PENDIENTE")))</f>
        <v>FACTURADO</v>
      </c>
      <c r="AG1393" s="133">
        <f>IFERROR(VLOOKUP(DATA[[#This Row],[COMBINADA]],#REF!,6,0),0)</f>
        <v>0</v>
      </c>
      <c r="AH1393" s="125">
        <f>IFERROR(VLOOKUP(DATA[[#This Row],[COMBINADA]],#REF!,9,0),0)/COUNTIFS(DATA[COMBINADA],DATA[[#This Row],[COMBINADA]])</f>
        <v>0</v>
      </c>
      <c r="AI1393" s="136">
        <f>IFERROR(VLOOKUP(DATA[[#This Row],[COMBINADA]],#REF!,6,0),0)</f>
        <v>0</v>
      </c>
      <c r="AJ1393" s="132">
        <f>IFERROR(VLOOKUP(DATA[[#This Row],[COMBINADA]],#REF!,9,0),0)/COUNTIFS(DATA[COMBINADA],DATA[[#This Row],[COMBINADA]])</f>
        <v>0</v>
      </c>
      <c r="AK1393" s="131">
        <f>IFERROR(VLOOKUP(DATA[[#This Row],[COMBINADA]],#REF!,6,0),0)</f>
        <v>0</v>
      </c>
      <c r="AL1393" s="125">
        <f>IFERROR(VLOOKUP(DATA[[#This Row],[COMBINADA]],#REF!,9,0),0)/COUNTIFS(DATA[COMBINADA],DATA[[#This Row],[COMBINADA]])</f>
        <v>0</v>
      </c>
      <c r="AM1393" s="27">
        <f>IFERROR(VLOOKUP(DATA[[#This Row],[COMBINADA]],#REF!,6,0),0)</f>
        <v>0</v>
      </c>
      <c r="AN1393" s="125">
        <f>IFERROR(VLOOKUP(DATA[[#This Row],[COMBINADA]],#REF!,9,0),0)/COUNTIFS(DATA[COMBINADA],DATA[[#This Row],[COMBINADA]])</f>
        <v>0</v>
      </c>
      <c r="AO1393" s="27">
        <f>IFERROR(VLOOKUP(DATA[[#This Row],[COMBINADA]],#REF!,6,0),0)</f>
        <v>0</v>
      </c>
      <c r="AP1393" s="132">
        <f>IFERROR(VLOOKUP(DATA[[#This Row],[COMBINADA]],#REF!,9,0),0)/COUNTIFS(DATA[COMBINADA],DATA[[#This Row],[COMBINADA]])</f>
        <v>0</v>
      </c>
      <c r="AQ139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1169.18</v>
      </c>
      <c r="AR1393" s="26" t="str">
        <f>IFERROR(IF(DATA[[#This Row],[estado_fact]]="FACTURADO",VLOOKUP(DATA[[#This Row],[SERIE2]]&amp;"-"&amp;DATA[[#This Row],[NUMERO]],#REF!,34,0),"NO CORRESPONDE"),"NO CORRESPONDE")</f>
        <v>NO CORRESPONDE</v>
      </c>
      <c r="AS1393" s="22" t="str">
        <f>IF(DATA[[#This Row],[fecha_fs]]&gt;0,TEXT(DATA[[#This Row],[fecha_fs]],"Mmmm"),0)</f>
        <v>Octubre</v>
      </c>
      <c r="AT1393" s="22" t="str">
        <f>DATA[[#This Row],[SERIE2]]&amp;"-"&amp;DATA[[#This Row],[NUMERO]]</f>
        <v>FF01-339</v>
      </c>
      <c r="AU1393" s="28">
        <f>DATA[[#This Row],[TOTAL]]*DATA[[#This Row],[T.C.]]</f>
        <v>1194.67</v>
      </c>
      <c r="AV1393" s="6">
        <f>DATA[[#This Row],[FECHA DE VAL.]]</f>
        <v>45959</v>
      </c>
      <c r="AW1393" s="6">
        <f>DATA[[#This Row],[FECHA DE EMISION]]</f>
        <v>45967</v>
      </c>
      <c r="AX1393" s="6">
        <f>DATA[[#This Row],[F1]]</f>
        <v>0</v>
      </c>
      <c r="AY1393" s="20">
        <f>IF(AV1393-DATA[[#This Row],[fecha_fs]]&lt;0,0,AV1393-DATA[[#This Row],[fecha_fs]])</f>
        <v>1</v>
      </c>
      <c r="AZ1393" s="20">
        <f t="shared" si="350"/>
        <v>8</v>
      </c>
      <c r="BA1393" s="53">
        <f t="shared" si="351"/>
        <v>0</v>
      </c>
      <c r="BB1393" s="360">
        <f>IFERROR(SUM(DATA[[#This Row],[fs_val_ttf]:[fact_pago_ttf]]),0)</f>
        <v>9</v>
      </c>
      <c r="BC1393" s="378" t="s">
        <v>270</v>
      </c>
      <c r="BD1393" s="185" t="s">
        <v>270</v>
      </c>
      <c r="BE1393" s="185" t="s">
        <v>270</v>
      </c>
      <c r="BF1393" s="185" t="s">
        <v>270</v>
      </c>
      <c r="BG1393" s="20">
        <f>IFERROR(IF(BC1393-DATA[[#This Row],[fecha_fs]]&lt;0,0,BC1393-DATA[[#This Row],[fecha_fs]]),0)</f>
        <v>0</v>
      </c>
      <c r="BH1393" s="20">
        <f t="shared" si="346"/>
        <v>0</v>
      </c>
      <c r="BI1393" s="20">
        <f t="shared" si="347"/>
        <v>0</v>
      </c>
      <c r="BJ1393" s="53">
        <f t="shared" si="348"/>
        <v>0</v>
      </c>
      <c r="BK1393" s="376">
        <f>IFERROR(SUM(DATA[[#This Row],[fs_fd_ttd]:[fend_fenf_ttd]]),0)</f>
        <v>0</v>
      </c>
      <c r="BL1393" s="20" t="str">
        <f>IF(DATA[[#This Row],[fecha_fs]]&gt;0,TEXT(DATA[[#This Row],[fecha_fs]],"YYYY"),0)</f>
        <v>2025</v>
      </c>
      <c r="BM1393" s="236" t="b">
        <v>0</v>
      </c>
      <c r="BN1393" s="278">
        <f>COUNTIF(DATA[[#This Row],[tiempo_td]], "&lt;=15")</f>
        <v>1</v>
      </c>
      <c r="BO1393" s="365"/>
    </row>
    <row r="1394" spans="1:67" ht="30.6" customHeight="1" x14ac:dyDescent="0.25">
      <c r="A1394" s="4"/>
      <c r="B1394" s="5" t="s">
        <v>0</v>
      </c>
      <c r="C1394" s="52"/>
      <c r="D1394" s="4"/>
      <c r="E1394" s="5" t="s">
        <v>0</v>
      </c>
      <c r="F1394" s="24">
        <v>45958</v>
      </c>
      <c r="G1394" s="7" t="s">
        <v>113</v>
      </c>
      <c r="H1394" s="25">
        <f t="shared" si="349"/>
        <v>1</v>
      </c>
      <c r="I1394" s="67">
        <v>5176</v>
      </c>
      <c r="J1394" s="8" t="s">
        <v>151</v>
      </c>
      <c r="K1394" s="9"/>
      <c r="L1394" s="10"/>
      <c r="M1394" s="111"/>
      <c r="N1394" s="112"/>
      <c r="O1394" s="6"/>
      <c r="P1394" s="13"/>
      <c r="Q1394" s="14"/>
      <c r="R1394" s="56"/>
      <c r="S1394" s="56"/>
      <c r="T1394" s="56">
        <f>DATA[[#This Row],[C. DF]]+DATA[[#This Row],[C.OPE.]]</f>
        <v>0</v>
      </c>
      <c r="U1394" s="56">
        <f>DATA[[#This Row],[SUB TOTAL]]*0.18</f>
        <v>0</v>
      </c>
      <c r="V1394" s="56">
        <f>IFERROR(ROUND(DATA[[#This Row],[SUB TOTAL]]+DATA[[#This Row],[IGV]],2),0)</f>
        <v>0</v>
      </c>
      <c r="W1394" s="73" t="str">
        <f>IF(DATA[[#This Row],[VALORIZACIÓN ]]="-","NO CORRESPONDE",IF(OR(A1394=20558226979,A1394=10470707866,A1394=20111157058,A1394=20100226902),"NO CORRESPONDE",IF(J1394="Emitida",IF(P1394&gt;0,"EMITIDA","PENDIENTE"),"NO CORRESPONDE")))</f>
        <v>NO CORRESPONDE</v>
      </c>
      <c r="X1394" s="46"/>
      <c r="Y1394" s="17" t="s">
        <v>128</v>
      </c>
      <c r="Z1394" s="48"/>
      <c r="AA1394" s="49"/>
      <c r="AB1394" s="50"/>
      <c r="AC1394" s="51"/>
      <c r="AD1394" s="59">
        <f>DATA[[#This Row],[FECHA DE EMISION]]+DATA[[#This Row],[CONDICION DE PAGO]]</f>
        <v>0</v>
      </c>
      <c r="AE1394" s="23">
        <f>IF(DATA[[#This Row],[MONEDA]]="USD",VLOOKUP(DATA[[#This Row],[COMBINADA]],#REF!,11,0),1)</f>
        <v>1</v>
      </c>
      <c r="AF1394" s="129" t="str">
        <f>IF(DATA[[#This Row],[SERIE2]]="-","NO CORRESPONDE",IF(W1394="NO CORRESPONDE","NO CORRESPONDE",IF(Z1394&gt;0,"FACTURADO","PENDIENTE")))</f>
        <v>NO CORRESPONDE</v>
      </c>
      <c r="AG1394" s="133">
        <f>IFERROR(VLOOKUP(DATA[[#This Row],[COMBINADA]],#REF!,6,0),0)</f>
        <v>0</v>
      </c>
      <c r="AH1394" s="125">
        <f>IFERROR(VLOOKUP(DATA[[#This Row],[COMBINADA]],#REF!,9,0),0)/COUNTIFS(DATA[COMBINADA],DATA[[#This Row],[COMBINADA]])</f>
        <v>0</v>
      </c>
      <c r="AI1394" s="140">
        <f>IFERROR(VLOOKUP(DATA[[#This Row],[COMBINADA]],#REF!,6,0),0)</f>
        <v>0</v>
      </c>
      <c r="AJ1394" s="126">
        <f>IFERROR(VLOOKUP(DATA[[#This Row],[COMBINADA]],#REF!,9,0),0)/COUNTIFS(DATA[COMBINADA],DATA[[#This Row],[COMBINADA]])</f>
        <v>0</v>
      </c>
      <c r="AK1394" s="61">
        <f>IFERROR(VLOOKUP(DATA[[#This Row],[COMBINADA]],#REF!,6,0),0)</f>
        <v>0</v>
      </c>
      <c r="AL1394" s="126">
        <f>IFERROR(VLOOKUP(DATA[[#This Row],[COMBINADA]],#REF!,9,0),0)/COUNTIFS(DATA[COMBINADA],DATA[[#This Row],[COMBINADA]])</f>
        <v>0</v>
      </c>
      <c r="AM1394" s="61">
        <f>IFERROR(VLOOKUP(DATA[[#This Row],[COMBINADA]],#REF!,6,0),0)</f>
        <v>0</v>
      </c>
      <c r="AN1394" s="62">
        <f>IFERROR(VLOOKUP(DATA[[#This Row],[COMBINADA]],#REF!,9,0),0)/COUNTIFS(DATA[COMBINADA],DATA[[#This Row],[COMBINADA]])</f>
        <v>0</v>
      </c>
      <c r="AO1394" s="61">
        <f>IFERROR(VLOOKUP(DATA[[#This Row],[COMBINADA]],#REF!,6,0),0)</f>
        <v>0</v>
      </c>
      <c r="AP1394" s="62">
        <f>IFERROR(VLOOKUP(DATA[[#This Row],[COMBINADA]],#REF!,9,0),0)/COUNTIFS(DATA[COMBINADA],DATA[[#This Row],[COMBINADA]])</f>
        <v>0</v>
      </c>
      <c r="AQ1394"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94" s="22" t="str">
        <f>IFERROR(IF(DATA[[#This Row],[estado_fact]]="FACTURADO",VLOOKUP(DATA[[#This Row],[SERIE2]]&amp;"-"&amp;DATA[[#This Row],[NUMERO]],#REF!,34,0),"NO CORRESPONDE"),"NO CORRESPONDE")</f>
        <v>NO CORRESPONDE</v>
      </c>
      <c r="AS1394" s="198" t="str">
        <f>IF(DATA[[#This Row],[fecha_fs]]&gt;0,TEXT(DATA[[#This Row],[fecha_fs]],"Mmmm"),0)</f>
        <v>Octubre</v>
      </c>
      <c r="AT1394" s="199" t="str">
        <f>DATA[[#This Row],[SERIE2]]&amp;"-"&amp;DATA[[#This Row],[NUMERO]]</f>
        <v>-</v>
      </c>
      <c r="AU1394" s="198">
        <f>DATA[[#This Row],[TOTAL]]*DATA[[#This Row],[T.C.]]</f>
        <v>0</v>
      </c>
      <c r="AV1394" s="40">
        <f>DATA[[#This Row],[FECHA DE VAL.]]</f>
        <v>0</v>
      </c>
      <c r="AW1394" s="40">
        <f>DATA[[#This Row],[FECHA DE EMISION]]</f>
        <v>0</v>
      </c>
      <c r="AX1394" s="40">
        <f>DATA[[#This Row],[F1]]</f>
        <v>0</v>
      </c>
      <c r="AY1394" s="49">
        <f>IF(AV1394-DATA[[#This Row],[fecha_fs]]&lt;0,0,AV1394-DATA[[#This Row],[fecha_fs]])</f>
        <v>0</v>
      </c>
      <c r="AZ1394" s="49">
        <f t="shared" si="350"/>
        <v>0</v>
      </c>
      <c r="BA1394" s="49">
        <f t="shared" si="351"/>
        <v>0</v>
      </c>
      <c r="BB1394" s="360">
        <f>IFERROR(SUM(DATA[[#This Row],[fs_val_ttf]:[fact_pago_ttf]]),0)</f>
        <v>0</v>
      </c>
      <c r="BC1394" s="47"/>
      <c r="BD1394" s="47"/>
      <c r="BE1394" s="47"/>
      <c r="BF1394" s="47"/>
      <c r="BG1394" s="49">
        <f>IFERROR(IF(BC1394-DATA[[#This Row],[fecha_fs]]&lt;0,0,BC1394-DATA[[#This Row],[fecha_fs]]),0)</f>
        <v>0</v>
      </c>
      <c r="BH1394" s="49">
        <f t="shared" si="346"/>
        <v>0</v>
      </c>
      <c r="BI1394" s="49">
        <f t="shared" si="347"/>
        <v>0</v>
      </c>
      <c r="BJ1394" s="49">
        <f t="shared" si="348"/>
        <v>0</v>
      </c>
      <c r="BK1394" s="376">
        <f>IFERROR(SUM(DATA[[#This Row],[fs_fd_ttd]:[fend_fenf_ttd]]),0)</f>
        <v>0</v>
      </c>
      <c r="BL1394" s="20" t="str">
        <f>IF(DATA[[#This Row],[fecha_fs]]&gt;0,TEXT(DATA[[#This Row],[fecha_fs]],"YYYY"),0)</f>
        <v>2025</v>
      </c>
      <c r="BM1394" s="236" t="b">
        <v>0</v>
      </c>
      <c r="BN1394" s="278"/>
      <c r="BO1394" s="365"/>
    </row>
    <row r="1395" spans="1:67" ht="30.6" customHeight="1" x14ac:dyDescent="0.25">
      <c r="A1395" s="4">
        <v>20610105620</v>
      </c>
      <c r="B1395" s="5" t="s">
        <v>311</v>
      </c>
      <c r="C1395" s="52" t="s">
        <v>312</v>
      </c>
      <c r="D1395" s="4" t="s">
        <v>112</v>
      </c>
      <c r="E1395" s="5" t="s">
        <v>1</v>
      </c>
      <c r="F1395" s="24">
        <v>45958</v>
      </c>
      <c r="G1395" s="7" t="s">
        <v>113</v>
      </c>
      <c r="H1395" s="25">
        <f t="shared" si="349"/>
        <v>1</v>
      </c>
      <c r="I1395" s="331">
        <v>5177</v>
      </c>
      <c r="J1395" s="8" t="s">
        <v>115</v>
      </c>
      <c r="K1395" s="9" t="s">
        <v>116</v>
      </c>
      <c r="L1395" s="10" t="s">
        <v>117</v>
      </c>
      <c r="M1395" s="11">
        <v>1770</v>
      </c>
      <c r="N1395" s="12" t="s">
        <v>337</v>
      </c>
      <c r="O1395" s="6">
        <v>45960</v>
      </c>
      <c r="P1395" s="370">
        <v>3771</v>
      </c>
      <c r="Q1395" s="14" t="s">
        <v>85</v>
      </c>
      <c r="R1395" s="401"/>
      <c r="S1395" s="401">
        <v>2860</v>
      </c>
      <c r="T1395" s="321">
        <f>DATA[[#This Row],[C. DF]]+DATA[[#This Row],[C.OPE.]]</f>
        <v>2860</v>
      </c>
      <c r="U1395" s="15">
        <f>DATA[[#This Row],[SUB TOTAL]]*0.18</f>
        <v>514.79999999999995</v>
      </c>
      <c r="V1395" s="15">
        <f>IFERROR(ROUND(DATA[[#This Row],[SUB TOTAL]]+DATA[[#This Row],[IGV]],2),0)</f>
        <v>3374.8</v>
      </c>
      <c r="W1395" s="339" t="str">
        <f>IF(DATA[[#This Row],[VALORIZACIÓN ]]="-","NO CORRESPONDE",IF(OR(A1395=20558226979,A1395=10470707866,A1395=20111157058,A1395=20100226902),"NO CORRESPONDE",IF(J1395="Emitida",IF(P1395&gt;0,"EMITIDA","PENDIENTE"),"NO CORRESPONDE")))</f>
        <v>EMITIDA</v>
      </c>
      <c r="X1395" s="29" t="s">
        <v>372</v>
      </c>
      <c r="Y1395" s="17" t="s">
        <v>232</v>
      </c>
      <c r="Z1395" s="30"/>
      <c r="AA1395" s="10"/>
      <c r="AB1395" s="19"/>
      <c r="AC1395" s="20"/>
      <c r="AD1395" s="18">
        <f>DATA[[#This Row],[FECHA DE EMISION]]+DATA[[#This Row],[CONDICION DE PAGO]]</f>
        <v>0</v>
      </c>
      <c r="AE1395" s="23">
        <f>IF(DATA[[#This Row],[MONEDA]]="USD",VLOOKUP(DATA[[#This Row],[COMBINADA]],#REF!,11,0),1)</f>
        <v>1</v>
      </c>
      <c r="AF1395" s="129" t="str">
        <f>IF(DATA[[#This Row],[SERIE2]]="-","NO CORRESPONDE",IF(W1395="NO CORRESPONDE","NO CORRESPONDE",IF(Z1395&gt;0,"FACTURADO","PENDIENTE")))</f>
        <v>PENDIENTE</v>
      </c>
      <c r="AG1395" s="133">
        <f>IFERROR(VLOOKUP(DATA[[#This Row],[COMBINADA]],#REF!,6,0),0)</f>
        <v>0</v>
      </c>
      <c r="AH1395" s="125">
        <f>IFERROR(VLOOKUP(DATA[[#This Row],[COMBINADA]],#REF!,9,0),0)/COUNTIFS(DATA[COMBINADA],DATA[[#This Row],[COMBINADA]])</f>
        <v>0</v>
      </c>
      <c r="AI1395" s="136">
        <f>IFERROR(VLOOKUP(DATA[[#This Row],[COMBINADA]],#REF!,6,0),0)</f>
        <v>0</v>
      </c>
      <c r="AJ1395" s="132">
        <f>IFERROR(VLOOKUP(DATA[[#This Row],[COMBINADA]],#REF!,9,0),0)/COUNTIFS(DATA[COMBINADA],DATA[[#This Row],[COMBINADA]])</f>
        <v>0</v>
      </c>
      <c r="AK1395" s="131">
        <f>IFERROR(VLOOKUP(DATA[[#This Row],[COMBINADA]],#REF!,6,0),0)</f>
        <v>0</v>
      </c>
      <c r="AL1395" s="125">
        <f>IFERROR(VLOOKUP(DATA[[#This Row],[COMBINADA]],#REF!,9,0),0)/COUNTIFS(DATA[COMBINADA],DATA[[#This Row],[COMBINADA]])</f>
        <v>0</v>
      </c>
      <c r="AM1395" s="27">
        <f>IFERROR(VLOOKUP(DATA[[#This Row],[COMBINADA]],#REF!,6,0),0)</f>
        <v>0</v>
      </c>
      <c r="AN1395" s="125">
        <f>IFERROR(VLOOKUP(DATA[[#This Row],[COMBINADA]],#REF!,9,0),0)/COUNTIFS(DATA[COMBINADA],DATA[[#This Row],[COMBINADA]])</f>
        <v>0</v>
      </c>
      <c r="AO1395" s="27">
        <f>IFERROR(VLOOKUP(DATA[[#This Row],[COMBINADA]],#REF!,6,0),0)</f>
        <v>0</v>
      </c>
      <c r="AP1395" s="132">
        <f>IFERROR(VLOOKUP(DATA[[#This Row],[COMBINADA]],#REF!,9,0),0)/COUNTIFS(DATA[COMBINADA],DATA[[#This Row],[COMBINADA]])</f>
        <v>0</v>
      </c>
      <c r="AQ139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95" s="26" t="str">
        <f>IFERROR(IF(DATA[[#This Row],[estado_fact]]="FACTURADO",VLOOKUP(DATA[[#This Row],[SERIE2]]&amp;"-"&amp;DATA[[#This Row],[NUMERO]],#REF!,34,0),"NO CORRESPONDE"),"NO CORRESPONDE")</f>
        <v>NO CORRESPONDE</v>
      </c>
      <c r="AS1395" s="22" t="str">
        <f>IF(DATA[[#This Row],[fecha_fs]]&gt;0,TEXT(DATA[[#This Row],[fecha_fs]],"Mmmm"),0)</f>
        <v>Octubre</v>
      </c>
      <c r="AT1395" s="22" t="str">
        <f>DATA[[#This Row],[SERIE2]]&amp;"-"&amp;DATA[[#This Row],[NUMERO]]</f>
        <v>-</v>
      </c>
      <c r="AU1395" s="28">
        <f>DATA[[#This Row],[TOTAL]]*DATA[[#This Row],[T.C.]]</f>
        <v>3374.8</v>
      </c>
      <c r="AV1395" s="6">
        <f>DATA[[#This Row],[FECHA DE VAL.]]</f>
        <v>45960</v>
      </c>
      <c r="AW1395" s="6">
        <f>DATA[[#This Row],[FECHA DE EMISION]]</f>
        <v>0</v>
      </c>
      <c r="AX1395" s="6">
        <f>DATA[[#This Row],[F1]]</f>
        <v>0</v>
      </c>
      <c r="AY1395" s="20">
        <f>IF(AV1395-DATA[[#This Row],[fecha_fs]]&lt;0,0,AV1395-DATA[[#This Row],[fecha_fs]])</f>
        <v>2</v>
      </c>
      <c r="AZ1395" s="20">
        <f t="shared" si="350"/>
        <v>0</v>
      </c>
      <c r="BA1395" s="53">
        <f t="shared" si="351"/>
        <v>0</v>
      </c>
      <c r="BB1395" s="360">
        <f>IFERROR(SUM(DATA[[#This Row],[fs_val_ttf]:[fact_pago_ttf]]),0)</f>
        <v>2</v>
      </c>
      <c r="BC1395" s="378" t="s">
        <v>270</v>
      </c>
      <c r="BD1395" s="185" t="s">
        <v>270</v>
      </c>
      <c r="BE1395" s="185" t="s">
        <v>270</v>
      </c>
      <c r="BF1395" s="185" t="s">
        <v>270</v>
      </c>
      <c r="BG1395" s="20">
        <f>IFERROR(IF(BC1395-DATA[[#This Row],[fecha_fs]]&lt;0,0,BC1395-DATA[[#This Row],[fecha_fs]]),0)</f>
        <v>0</v>
      </c>
      <c r="BH1395" s="20">
        <f t="shared" si="346"/>
        <v>0</v>
      </c>
      <c r="BI1395" s="20">
        <f t="shared" si="347"/>
        <v>0</v>
      </c>
      <c r="BJ1395" s="53">
        <f t="shared" si="348"/>
        <v>0</v>
      </c>
      <c r="BK1395" s="376">
        <f>IFERROR(SUM(DATA[[#This Row],[fs_fd_ttd]:[fend_fenf_ttd]]),0)</f>
        <v>0</v>
      </c>
      <c r="BL1395" s="20" t="str">
        <f>IF(DATA[[#This Row],[fecha_fs]]&gt;0,TEXT(DATA[[#This Row],[fecha_fs]],"YYYY"),0)</f>
        <v>2025</v>
      </c>
      <c r="BM1395" s="236" t="b">
        <v>0</v>
      </c>
      <c r="BN1395" s="278">
        <f>COUNTIF(DATA[[#This Row],[tiempo_td]], "&lt;=15")</f>
        <v>1</v>
      </c>
      <c r="BO1395" s="365"/>
    </row>
    <row r="1396" spans="1:67" ht="30.6" customHeight="1" x14ac:dyDescent="0.25">
      <c r="A1396" s="4">
        <v>20100226902</v>
      </c>
      <c r="B1396" s="5" t="s">
        <v>24</v>
      </c>
      <c r="C1396" s="52" t="s">
        <v>18</v>
      </c>
      <c r="D1396" s="4" t="s">
        <v>120</v>
      </c>
      <c r="E1396" s="5" t="s">
        <v>3</v>
      </c>
      <c r="F1396" s="24">
        <v>45958</v>
      </c>
      <c r="G1396" s="7" t="s">
        <v>113</v>
      </c>
      <c r="H1396" s="25">
        <f t="shared" si="349"/>
        <v>1</v>
      </c>
      <c r="I1396" s="331">
        <v>5178</v>
      </c>
      <c r="J1396" s="8" t="s">
        <v>115</v>
      </c>
      <c r="K1396" s="9" t="s">
        <v>121</v>
      </c>
      <c r="L1396" s="10" t="s">
        <v>117</v>
      </c>
      <c r="M1396" s="11">
        <v>26650</v>
      </c>
      <c r="N1396" s="12" t="s">
        <v>370</v>
      </c>
      <c r="O1396" s="6">
        <v>45959</v>
      </c>
      <c r="P1396" s="13">
        <v>3769</v>
      </c>
      <c r="Q1396" s="14" t="s">
        <v>85</v>
      </c>
      <c r="R1396" s="15">
        <f>DATA[[#This Row],[cantidad_fs]]*0.16</f>
        <v>4264</v>
      </c>
      <c r="S1396" s="15">
        <f>4392.96+(6*500)</f>
        <v>7392.96</v>
      </c>
      <c r="T1396" s="321">
        <f>DATA[[#This Row],[C. DF]]+DATA[[#This Row],[C.OPE.]]</f>
        <v>11656.96</v>
      </c>
      <c r="U1396" s="15">
        <f>DATA[[#This Row],[SUB TOTAL]]*0.18</f>
        <v>2098.2527999999998</v>
      </c>
      <c r="V1396" s="15">
        <f>IFERROR(ROUND(DATA[[#This Row],[SUB TOTAL]]+DATA[[#This Row],[IGV]],2),0)</f>
        <v>13755.21</v>
      </c>
      <c r="W1396" s="73" t="s">
        <v>371</v>
      </c>
      <c r="X1396" s="29"/>
      <c r="Y1396" s="17" t="s">
        <v>118</v>
      </c>
      <c r="Z1396" s="30">
        <v>45966</v>
      </c>
      <c r="AA1396" s="10" t="s">
        <v>150</v>
      </c>
      <c r="AB1396" s="19">
        <v>338</v>
      </c>
      <c r="AC1396" s="20">
        <v>30</v>
      </c>
      <c r="AD1396" s="18">
        <f>DATA[[#This Row],[FECHA DE EMISION]]+DATA[[#This Row],[CONDICION DE PAGO]]</f>
        <v>45996</v>
      </c>
      <c r="AE1396" s="23">
        <f>IF(DATA[[#This Row],[MONEDA]]="USD",VLOOKUP(DATA[[#This Row],[COMBINADA]],#REF!,11,0),1)</f>
        <v>1</v>
      </c>
      <c r="AF1396" s="129" t="str">
        <f>IF(DATA[[#This Row],[SERIE2]]="-","NO CORRESPONDE",IF(W1396="NO CORRESPONDE","NO CORRESPONDE",IF(Z1396&gt;0,"FACTURADO","PENDIENTE")))</f>
        <v>FACTURADO</v>
      </c>
      <c r="AG1396" s="133">
        <f>IFERROR(VLOOKUP(DATA[[#This Row],[COMBINADA]],#REF!,6,0),0)</f>
        <v>0</v>
      </c>
      <c r="AH1396" s="125">
        <f>IFERROR(VLOOKUP(DATA[[#This Row],[COMBINADA]],#REF!,9,0),0)/COUNTIFS(DATA[COMBINADA],DATA[[#This Row],[COMBINADA]])</f>
        <v>0</v>
      </c>
      <c r="AI1396" s="136">
        <f>IFERROR(VLOOKUP(DATA[[#This Row],[COMBINADA]],#REF!,6,0),0)</f>
        <v>0</v>
      </c>
      <c r="AJ1396" s="132">
        <f>IFERROR(VLOOKUP(DATA[[#This Row],[COMBINADA]],#REF!,9,0),0)/COUNTIFS(DATA[COMBINADA],DATA[[#This Row],[COMBINADA]])</f>
        <v>0</v>
      </c>
      <c r="AK1396" s="131">
        <f>IFERROR(VLOOKUP(DATA[[#This Row],[COMBINADA]],#REF!,6,0),0)</f>
        <v>0</v>
      </c>
      <c r="AL1396" s="125">
        <f>IFERROR(VLOOKUP(DATA[[#This Row],[COMBINADA]],#REF!,9,0),0)/COUNTIFS(DATA[COMBINADA],DATA[[#This Row],[COMBINADA]])</f>
        <v>0</v>
      </c>
      <c r="AM1396" s="27">
        <f>IFERROR(VLOOKUP(DATA[[#This Row],[COMBINADA]],#REF!,6,0),0)</f>
        <v>0</v>
      </c>
      <c r="AN1396" s="125">
        <f>IFERROR(VLOOKUP(DATA[[#This Row],[COMBINADA]],#REF!,9,0),0)/COUNTIFS(DATA[COMBINADA],DATA[[#This Row],[COMBINADA]])</f>
        <v>0</v>
      </c>
      <c r="AO1396" s="27">
        <f>IFERROR(VLOOKUP(DATA[[#This Row],[COMBINADA]],#REF!,6,0),0)</f>
        <v>0</v>
      </c>
      <c r="AP1396" s="132">
        <f>IFERROR(VLOOKUP(DATA[[#This Row],[COMBINADA]],#REF!,9,0),0)/COUNTIFS(DATA[COMBINADA],DATA[[#This Row],[COMBINADA]])</f>
        <v>0</v>
      </c>
      <c r="AQ139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13755.21</v>
      </c>
      <c r="AR1396" s="26" t="str">
        <f>IFERROR(IF(DATA[[#This Row],[estado_fact]]="FACTURADO",VLOOKUP(DATA[[#This Row],[SERIE2]]&amp;"-"&amp;DATA[[#This Row],[NUMERO]],#REF!,34,0),"NO CORRESPONDE"),"NO CORRESPONDE")</f>
        <v>NO CORRESPONDE</v>
      </c>
      <c r="AS1396" s="22" t="str">
        <f>IF(DATA[[#This Row],[fecha_fs]]&gt;0,TEXT(DATA[[#This Row],[fecha_fs]],"Mmmm"),0)</f>
        <v>Octubre</v>
      </c>
      <c r="AT1396" s="22" t="str">
        <f>DATA[[#This Row],[SERIE2]]&amp;"-"&amp;DATA[[#This Row],[NUMERO]]</f>
        <v>FF01-338</v>
      </c>
      <c r="AU1396" s="28">
        <f>DATA[[#This Row],[TOTAL]]*DATA[[#This Row],[T.C.]]</f>
        <v>13755.21</v>
      </c>
      <c r="AV1396" s="6">
        <f>DATA[[#This Row],[FECHA DE VAL.]]</f>
        <v>45959</v>
      </c>
      <c r="AW1396" s="6">
        <f>DATA[[#This Row],[FECHA DE EMISION]]</f>
        <v>45966</v>
      </c>
      <c r="AX1396" s="6">
        <f>DATA[[#This Row],[F1]]</f>
        <v>0</v>
      </c>
      <c r="AY1396" s="20">
        <f>IF(AV1396-DATA[[#This Row],[fecha_fs]]&lt;0,0,AV1396-DATA[[#This Row],[fecha_fs]])</f>
        <v>1</v>
      </c>
      <c r="AZ1396" s="20">
        <f t="shared" si="350"/>
        <v>7</v>
      </c>
      <c r="BA1396" s="53">
        <f t="shared" si="351"/>
        <v>0</v>
      </c>
      <c r="BB1396" s="360">
        <f>IFERROR(SUM(DATA[[#This Row],[fs_val_ttf]:[fact_pago_ttf]]),0)</f>
        <v>8</v>
      </c>
      <c r="BC1396" s="378" t="s">
        <v>270</v>
      </c>
      <c r="BD1396" s="185" t="s">
        <v>270</v>
      </c>
      <c r="BE1396" s="185" t="s">
        <v>270</v>
      </c>
      <c r="BF1396" s="185" t="s">
        <v>270</v>
      </c>
      <c r="BG1396" s="20">
        <f>IFERROR(IF(BC1396-DATA[[#This Row],[fecha_fs]]&lt;0,0,BC1396-DATA[[#This Row],[fecha_fs]]),0)</f>
        <v>0</v>
      </c>
      <c r="BH1396" s="20">
        <f t="shared" si="346"/>
        <v>0</v>
      </c>
      <c r="BI1396" s="20">
        <f t="shared" si="347"/>
        <v>0</v>
      </c>
      <c r="BJ1396" s="53">
        <f t="shared" si="348"/>
        <v>0</v>
      </c>
      <c r="BK1396" s="376">
        <f>IFERROR(SUM(DATA[[#This Row],[fs_fd_ttd]:[fend_fenf_ttd]]),0)</f>
        <v>0</v>
      </c>
      <c r="BL1396" s="20" t="str">
        <f>IF(DATA[[#This Row],[fecha_fs]]&gt;0,TEXT(DATA[[#This Row],[fecha_fs]],"YYYY"),0)</f>
        <v>2025</v>
      </c>
      <c r="BM1396" s="236" t="b">
        <v>0</v>
      </c>
      <c r="BN1396" s="278">
        <f>COUNTIF(DATA[[#This Row],[tiempo_td]], "&lt;=15")</f>
        <v>1</v>
      </c>
      <c r="BO1396" s="365"/>
    </row>
    <row r="1397" spans="1:67" ht="30.6" customHeight="1" x14ac:dyDescent="0.25">
      <c r="A1397" s="4">
        <v>20523573226</v>
      </c>
      <c r="B1397" s="5" t="s">
        <v>31</v>
      </c>
      <c r="C1397" s="52" t="s">
        <v>20</v>
      </c>
      <c r="D1397" s="4" t="s">
        <v>112</v>
      </c>
      <c r="E1397" s="5" t="s">
        <v>1</v>
      </c>
      <c r="F1397" s="24">
        <v>45958</v>
      </c>
      <c r="G1397" s="7" t="s">
        <v>113</v>
      </c>
      <c r="H1397" s="25">
        <f t="shared" si="349"/>
        <v>1</v>
      </c>
      <c r="I1397" s="331">
        <v>5179</v>
      </c>
      <c r="J1397" s="8" t="s">
        <v>115</v>
      </c>
      <c r="K1397" s="9" t="s">
        <v>116</v>
      </c>
      <c r="L1397" s="10" t="s">
        <v>117</v>
      </c>
      <c r="M1397" s="11">
        <v>1820</v>
      </c>
      <c r="N1397" s="12" t="s">
        <v>129</v>
      </c>
      <c r="O1397" s="6">
        <v>45959</v>
      </c>
      <c r="P1397" s="13">
        <v>3747</v>
      </c>
      <c r="Q1397" s="14" t="s">
        <v>85</v>
      </c>
      <c r="R1397" s="15">
        <f>DATA[[#This Row],[cantidad_fs]]*0.97</f>
        <v>1765.3999999999999</v>
      </c>
      <c r="S1397" s="15">
        <v>1190</v>
      </c>
      <c r="T1397" s="321">
        <f>DATA[[#This Row],[C. DF]]+DATA[[#This Row],[C.OPE.]]</f>
        <v>2955.3999999999996</v>
      </c>
      <c r="U1397" s="15">
        <f>DATA[[#This Row],[SUB TOTAL]]*0.18</f>
        <v>531.97199999999987</v>
      </c>
      <c r="V1397" s="15">
        <f>IFERROR(ROUND(DATA[[#This Row],[SUB TOTAL]]+DATA[[#This Row],[IGV]],2),0)</f>
        <v>3487.37</v>
      </c>
      <c r="W1397" s="339" t="str">
        <f>IF(DATA[[#This Row],[VALORIZACIÓN ]]="-","NO CORRESPONDE",IF(OR(A1397=20558226979,A1397=10470707866,A1397=20111157058,A1397=20100226902),"NO CORRESPONDE",IF(J1397="Emitida",IF(P1397&gt;0,"EMITIDA","PENDIENTE"),"NO CORRESPONDE")))</f>
        <v>EMITIDA</v>
      </c>
      <c r="X1397" s="29"/>
      <c r="Y1397" s="17" t="s">
        <v>232</v>
      </c>
      <c r="Z1397" s="30"/>
      <c r="AA1397" s="10"/>
      <c r="AB1397" s="19"/>
      <c r="AC1397" s="20"/>
      <c r="AD1397" s="18">
        <f>DATA[[#This Row],[FECHA DE EMISION]]+DATA[[#This Row],[CONDICION DE PAGO]]</f>
        <v>0</v>
      </c>
      <c r="AE1397" s="23">
        <f>IF(DATA[[#This Row],[MONEDA]]="USD",VLOOKUP(DATA[[#This Row],[COMBINADA]],#REF!,11,0),1)</f>
        <v>1</v>
      </c>
      <c r="AF1397" s="129" t="str">
        <f>IF(DATA[[#This Row],[SERIE2]]="-","NO CORRESPONDE",IF(W1397="NO CORRESPONDE","NO CORRESPONDE",IF(Z1397&gt;0,"FACTURADO","PENDIENTE")))</f>
        <v>PENDIENTE</v>
      </c>
      <c r="AG1397" s="133">
        <f>IFERROR(VLOOKUP(DATA[[#This Row],[COMBINADA]],#REF!,6,0),0)</f>
        <v>0</v>
      </c>
      <c r="AH1397" s="125">
        <f>IFERROR(VLOOKUP(DATA[[#This Row],[COMBINADA]],#REF!,9,0),0)/COUNTIFS(DATA[COMBINADA],DATA[[#This Row],[COMBINADA]])</f>
        <v>0</v>
      </c>
      <c r="AI1397" s="136">
        <f>IFERROR(VLOOKUP(DATA[[#This Row],[COMBINADA]],#REF!,6,0),0)</f>
        <v>0</v>
      </c>
      <c r="AJ1397" s="132">
        <f>IFERROR(VLOOKUP(DATA[[#This Row],[COMBINADA]],#REF!,9,0),0)/COUNTIFS(DATA[COMBINADA],DATA[[#This Row],[COMBINADA]])</f>
        <v>0</v>
      </c>
      <c r="AK1397" s="131">
        <f>IFERROR(VLOOKUP(DATA[[#This Row],[COMBINADA]],#REF!,6,0),0)</f>
        <v>0</v>
      </c>
      <c r="AL1397" s="125">
        <f>IFERROR(VLOOKUP(DATA[[#This Row],[COMBINADA]],#REF!,9,0),0)/COUNTIFS(DATA[COMBINADA],DATA[[#This Row],[COMBINADA]])</f>
        <v>0</v>
      </c>
      <c r="AM1397" s="27">
        <f>IFERROR(VLOOKUP(DATA[[#This Row],[COMBINADA]],#REF!,6,0),0)</f>
        <v>0</v>
      </c>
      <c r="AN1397" s="125">
        <f>IFERROR(VLOOKUP(DATA[[#This Row],[COMBINADA]],#REF!,9,0),0)/COUNTIFS(DATA[COMBINADA],DATA[[#This Row],[COMBINADA]])</f>
        <v>0</v>
      </c>
      <c r="AO1397" s="27">
        <f>IFERROR(VLOOKUP(DATA[[#This Row],[COMBINADA]],#REF!,6,0),0)</f>
        <v>0</v>
      </c>
      <c r="AP1397" s="132">
        <f>IFERROR(VLOOKUP(DATA[[#This Row],[COMBINADA]],#REF!,9,0),0)/COUNTIFS(DATA[COMBINADA],DATA[[#This Row],[COMBINADA]])</f>
        <v>0</v>
      </c>
      <c r="AQ139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97" s="26" t="str">
        <f>IFERROR(IF(DATA[[#This Row],[estado_fact]]="FACTURADO",VLOOKUP(DATA[[#This Row],[SERIE2]]&amp;"-"&amp;DATA[[#This Row],[NUMERO]],#REF!,34,0),"NO CORRESPONDE"),"NO CORRESPONDE")</f>
        <v>NO CORRESPONDE</v>
      </c>
      <c r="AS1397" s="22" t="str">
        <f>IF(DATA[[#This Row],[fecha_fs]]&gt;0,TEXT(DATA[[#This Row],[fecha_fs]],"Mmmm"),0)</f>
        <v>Octubre</v>
      </c>
      <c r="AT1397" s="22" t="str">
        <f>DATA[[#This Row],[SERIE2]]&amp;"-"&amp;DATA[[#This Row],[NUMERO]]</f>
        <v>-</v>
      </c>
      <c r="AU1397" s="28">
        <f>DATA[[#This Row],[TOTAL]]*DATA[[#This Row],[T.C.]]</f>
        <v>3487.37</v>
      </c>
      <c r="AV1397" s="6">
        <f>DATA[[#This Row],[FECHA DE VAL.]]</f>
        <v>45959</v>
      </c>
      <c r="AW1397" s="6">
        <f>DATA[[#This Row],[FECHA DE EMISION]]</f>
        <v>0</v>
      </c>
      <c r="AX1397" s="6">
        <f>DATA[[#This Row],[F1]]</f>
        <v>0</v>
      </c>
      <c r="AY1397" s="20">
        <f>IF(AV1397-DATA[[#This Row],[fecha_fs]]&lt;0,0,AV1397-DATA[[#This Row],[fecha_fs]])</f>
        <v>1</v>
      </c>
      <c r="AZ1397" s="20">
        <f t="shared" ref="AZ1397:AZ1427" si="352">IF(AW1397-AV1397&lt;0,0,AW1397-AV1397)</f>
        <v>0</v>
      </c>
      <c r="BA1397" s="53">
        <f t="shared" ref="BA1397:BA1427" si="353">IF(AX1397-AW1397&lt;0,0,AX1397-AW1397)</f>
        <v>0</v>
      </c>
      <c r="BB1397" s="360">
        <f>IFERROR(SUM(DATA[[#This Row],[fs_val_ttf]:[fact_pago_ttf]]),0)</f>
        <v>1</v>
      </c>
      <c r="BC1397" s="378" t="s">
        <v>270</v>
      </c>
      <c r="BD1397" s="185" t="s">
        <v>270</v>
      </c>
      <c r="BE1397" s="185" t="s">
        <v>270</v>
      </c>
      <c r="BF1397" s="185" t="s">
        <v>270</v>
      </c>
      <c r="BG1397" s="20">
        <f>IFERROR(IF(BC1397-DATA[[#This Row],[fecha_fs]]&lt;0,0,BC1397-DATA[[#This Row],[fecha_fs]]),0)</f>
        <v>0</v>
      </c>
      <c r="BH1397" s="20">
        <f t="shared" si="346"/>
        <v>0</v>
      </c>
      <c r="BI1397" s="20">
        <f t="shared" si="347"/>
        <v>0</v>
      </c>
      <c r="BJ1397" s="53">
        <f t="shared" si="348"/>
        <v>0</v>
      </c>
      <c r="BK1397" s="376">
        <f>IFERROR(SUM(DATA[[#This Row],[fs_fd_ttd]:[fend_fenf_ttd]]),0)</f>
        <v>0</v>
      </c>
      <c r="BL1397" s="20" t="str">
        <f>IF(DATA[[#This Row],[fecha_fs]]&gt;0,TEXT(DATA[[#This Row],[fecha_fs]],"YYYY"),0)</f>
        <v>2025</v>
      </c>
      <c r="BM1397" s="236" t="b">
        <v>0</v>
      </c>
      <c r="BN1397" s="278">
        <f>COUNTIF(DATA[[#This Row],[tiempo_td]], "&lt;=15")</f>
        <v>1</v>
      </c>
      <c r="BO1397" s="365"/>
    </row>
    <row r="1398" spans="1:67" ht="30.6" customHeight="1" x14ac:dyDescent="0.25">
      <c r="A1398" s="4">
        <v>20100192064</v>
      </c>
      <c r="B1398" s="5" t="s">
        <v>60</v>
      </c>
      <c r="C1398" s="52" t="s">
        <v>65</v>
      </c>
      <c r="D1398" s="4" t="s">
        <v>183</v>
      </c>
      <c r="E1398" s="5" t="s">
        <v>61</v>
      </c>
      <c r="F1398" s="24">
        <v>45959</v>
      </c>
      <c r="G1398" s="7" t="s">
        <v>142</v>
      </c>
      <c r="H1398" s="25">
        <f>IF(G1398="","",IF(G1398="LIM",2,1))</f>
        <v>2</v>
      </c>
      <c r="I1398" s="67">
        <v>1157</v>
      </c>
      <c r="J1398" s="8" t="s">
        <v>115</v>
      </c>
      <c r="K1398" s="9" t="s">
        <v>184</v>
      </c>
      <c r="L1398" s="10" t="s">
        <v>117</v>
      </c>
      <c r="M1398" s="11">
        <v>56560</v>
      </c>
      <c r="N1398" s="12" t="s">
        <v>114</v>
      </c>
      <c r="O1398" s="6">
        <v>45959</v>
      </c>
      <c r="P1398" s="71">
        <v>3765</v>
      </c>
      <c r="Q1398" s="338" t="s">
        <v>123</v>
      </c>
      <c r="R1398" s="75"/>
      <c r="S1398" s="321">
        <f>(DATA[[#This Row],[cantidad_fs]]/1000)*19</f>
        <v>1074.6400000000001</v>
      </c>
      <c r="T1398" s="321">
        <f>DATA[[#This Row],[C. DF]]+DATA[[#This Row],[C.OPE.]]</f>
        <v>1074.6400000000001</v>
      </c>
      <c r="U1398" s="15">
        <f>DATA[[#This Row],[SUB TOTAL]]*0.18</f>
        <v>193.43520000000001</v>
      </c>
      <c r="V1398" s="15">
        <f>IFERROR(ROUND(DATA[[#This Row],[SUB TOTAL]]+DATA[[#This Row],[IGV]],2),0)</f>
        <v>1268.08</v>
      </c>
      <c r="W1398" s="16" t="str">
        <f>IF(DATA[[#This Row],[VALORIZACIÓN ]]="-","NO CORRESPONDE",IF(OR(A1398=20558226979,A1398=10470707866,A1398=20111157058,A1398=20100226902),"NO CORRESPONDE",IF(J1398="Emitida",IF(P1398&gt;0,"EMITIDA","PENDIENTE"),"NO CORRESPONDE")))</f>
        <v>EMITIDA</v>
      </c>
      <c r="X1398" s="29" t="s">
        <v>374</v>
      </c>
      <c r="Y1398" s="17" t="s">
        <v>118</v>
      </c>
      <c r="Z1398" s="30">
        <v>45961</v>
      </c>
      <c r="AA1398" s="10" t="s">
        <v>150</v>
      </c>
      <c r="AB1398" s="19">
        <v>315</v>
      </c>
      <c r="AC1398" s="20">
        <v>30</v>
      </c>
      <c r="AD1398" s="18">
        <f>DATA[[#This Row],[FECHA DE EMISION]]+DATA[[#This Row],[CONDICION DE PAGO]]</f>
        <v>45991</v>
      </c>
      <c r="AE1398" s="23" t="e">
        <f>IF(DATA[[#This Row],[MONEDA]]="USD",VLOOKUP(DATA[[#This Row],[COMBINADA]],#REF!,11,0),1)</f>
        <v>#REF!</v>
      </c>
      <c r="AF1398" s="129" t="str">
        <f>IF(DATA[[#This Row],[SERIE2]]="-","NO CORRESPONDE",IF(W1398="NO CORRESPONDE","NO CORRESPONDE",IF(Z1398&gt;0,"FACTURADO","PENDIENTE")))</f>
        <v>FACTURADO</v>
      </c>
      <c r="AG1398" s="27">
        <f>IFERROR(VLOOKUP(DATA[[#This Row],[COMBINADA]],#REF!,6,0),0)</f>
        <v>0</v>
      </c>
      <c r="AH1398" s="130">
        <f>IFERROR(VLOOKUP(DATA[[#This Row],[COMBINADA]],#REF!,9,0),0)/COUNTIFS(DATA[COMBINADA],DATA[[#This Row],[COMBINADA]])</f>
        <v>0</v>
      </c>
      <c r="AI1398" s="131">
        <f>IFERROR(VLOOKUP(DATA[[#This Row],[COMBINADA]],#REF!,6,0),0)</f>
        <v>0</v>
      </c>
      <c r="AJ1398" s="132">
        <f>IFERROR(VLOOKUP(DATA[[#This Row],[COMBINADA]],#REF!,9,0),0)/COUNTIFS(DATA[COMBINADA],DATA[[#This Row],[COMBINADA]])</f>
        <v>0</v>
      </c>
      <c r="AK1398" s="131">
        <f>IFERROR(VLOOKUP(DATA[[#This Row],[COMBINADA]],#REF!,6,0),0)</f>
        <v>0</v>
      </c>
      <c r="AL1398" s="125">
        <f>IFERROR(VLOOKUP(DATA[[#This Row],[COMBINADA]],#REF!,9,0),0)/COUNTIFS(DATA[COMBINADA],DATA[[#This Row],[COMBINADA]])</f>
        <v>0</v>
      </c>
      <c r="AM1398" s="27">
        <f>IFERROR(VLOOKUP(DATA[[#This Row],[COMBINADA]],#REF!,6,0),0)</f>
        <v>0</v>
      </c>
      <c r="AN1398" s="125">
        <f>IFERROR(VLOOKUP(DATA[[#This Row],[COMBINADA]],#REF!,9,0),0)/COUNTIFS(DATA[COMBINADA],DATA[[#This Row],[COMBINADA]])</f>
        <v>0</v>
      </c>
      <c r="AO1398" s="27">
        <f>IFERROR(VLOOKUP(DATA[[#This Row],[COMBINADA]],#REF!,6,0),0)</f>
        <v>0</v>
      </c>
      <c r="AP1398" s="132">
        <f>IFERROR(VLOOKUP(DATA[[#This Row],[COMBINADA]],#REF!,9,0),0)/COUNTIFS(DATA[COMBINADA],DATA[[#This Row],[COMBINADA]])</f>
        <v>0</v>
      </c>
      <c r="AQ139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425.40500000000003</v>
      </c>
      <c r="AR1398" s="26" t="str">
        <f>IFERROR(IF(DATA[[#This Row],[estado_fact]]="FACTURADO",VLOOKUP(DATA[[#This Row],[SERIE2]]&amp;"-"&amp;DATA[[#This Row],[NUMERO]],#REF!,34,0),"NO CORRESPONDE"),"NO CORRESPONDE")</f>
        <v>NO CORRESPONDE</v>
      </c>
      <c r="AS1398" s="22" t="str">
        <f>IF(DATA[[#This Row],[fecha_fs]]&gt;0,TEXT(DATA[[#This Row],[fecha_fs]],"Mmmm"),0)</f>
        <v>Octubre</v>
      </c>
      <c r="AT1398" s="22" t="str">
        <f>DATA[[#This Row],[SERIE2]]&amp;"-"&amp;DATA[[#This Row],[NUMERO]]</f>
        <v>FF01-315</v>
      </c>
      <c r="AU1398" s="28" t="e">
        <f>DATA[[#This Row],[TOTAL]]*DATA[[#This Row],[T.C.]]</f>
        <v>#REF!</v>
      </c>
      <c r="AV1398" s="6">
        <f>DATA[[#This Row],[FECHA DE VAL.]]</f>
        <v>45959</v>
      </c>
      <c r="AW1398" s="6">
        <f>DATA[[#This Row],[FECHA DE EMISION]]</f>
        <v>45961</v>
      </c>
      <c r="AX1398" s="6">
        <f>DATA[[#This Row],[F1]]</f>
        <v>0</v>
      </c>
      <c r="AY1398" s="20">
        <f>IF(AV1398-DATA[[#This Row],[fecha_fs]]&lt;0,0,AV1398-DATA[[#This Row],[fecha_fs]])</f>
        <v>0</v>
      </c>
      <c r="AZ1398" s="20">
        <f>IF(AW1398-AV1398&lt;0,0,AW1398-AV1398)</f>
        <v>2</v>
      </c>
      <c r="BA1398" s="53">
        <f>IF(AX1398-AW1398&lt;0,0,AX1398-AW1398)</f>
        <v>0</v>
      </c>
      <c r="BB1398" s="360">
        <f>IFERROR(SUM(DATA[[#This Row],[fs_val_ttf]:[fact_pago_ttf]]),0)</f>
        <v>2</v>
      </c>
      <c r="BC1398" s="378" t="s">
        <v>270</v>
      </c>
      <c r="BD1398" s="185" t="s">
        <v>270</v>
      </c>
      <c r="BE1398" s="185" t="s">
        <v>270</v>
      </c>
      <c r="BF1398" s="185" t="s">
        <v>270</v>
      </c>
      <c r="BG1398" s="20">
        <f>IFERROR(IF(BC1398-DATA[[#This Row],[fecha_fs]]&lt;0,0,BC1398-DATA[[#This Row],[fecha_fs]]),0)</f>
        <v>0</v>
      </c>
      <c r="BH1398" s="20">
        <f t="shared" si="346"/>
        <v>0</v>
      </c>
      <c r="BI1398" s="20">
        <f t="shared" si="347"/>
        <v>0</v>
      </c>
      <c r="BJ1398" s="53">
        <f t="shared" si="348"/>
        <v>0</v>
      </c>
      <c r="BK1398" s="376">
        <f>IFERROR(SUM(DATA[[#This Row],[fs_fd_ttd]:[fend_fenf_ttd]]),0)</f>
        <v>0</v>
      </c>
      <c r="BL1398" s="20" t="str">
        <f>IF(DATA[[#This Row],[fecha_fs]]&gt;0,TEXT(DATA[[#This Row],[fecha_fs]],"YYYY"),0)</f>
        <v>2025</v>
      </c>
      <c r="BM1398" s="236" t="b">
        <v>0</v>
      </c>
      <c r="BN1398" s="278">
        <f>COUNTIF(DATA[[#This Row],[tiempo_td]], "&lt;=15")</f>
        <v>1</v>
      </c>
      <c r="BO1398" s="365"/>
    </row>
    <row r="1399" spans="1:67" ht="30" customHeight="1" x14ac:dyDescent="0.25">
      <c r="A1399" s="4">
        <v>20519212162</v>
      </c>
      <c r="B1399" s="5" t="s">
        <v>279</v>
      </c>
      <c r="C1399" s="52" t="s">
        <v>18</v>
      </c>
      <c r="D1399" s="4" t="s">
        <v>120</v>
      </c>
      <c r="E1399" s="5" t="s">
        <v>3</v>
      </c>
      <c r="F1399" s="24">
        <v>45959</v>
      </c>
      <c r="G1399" s="7" t="s">
        <v>113</v>
      </c>
      <c r="H1399" s="25">
        <f t="shared" ref="H1399:H1427" si="354">IF(G1399="","",IF(G1399="LIM",2,1))</f>
        <v>1</v>
      </c>
      <c r="I1399" s="331">
        <v>5180</v>
      </c>
      <c r="J1399" s="8" t="s">
        <v>115</v>
      </c>
      <c r="K1399" s="9" t="s">
        <v>121</v>
      </c>
      <c r="L1399" s="10" t="s">
        <v>117</v>
      </c>
      <c r="M1399" s="11">
        <v>200</v>
      </c>
      <c r="N1399" s="12" t="s">
        <v>135</v>
      </c>
      <c r="O1399" s="6">
        <v>45961</v>
      </c>
      <c r="P1399" s="416">
        <v>3773</v>
      </c>
      <c r="Q1399" s="14" t="s">
        <v>85</v>
      </c>
      <c r="R1399" s="321">
        <v>80</v>
      </c>
      <c r="S1399" s="321">
        <v>1250.7</v>
      </c>
      <c r="T1399" s="321">
        <f>DATA[[#This Row],[C. DF]]+DATA[[#This Row],[C.OPE.]]</f>
        <v>1330.7</v>
      </c>
      <c r="U1399" s="15">
        <f>DATA[[#This Row],[SUB TOTAL]]*0.18</f>
        <v>239.52600000000001</v>
      </c>
      <c r="V1399" s="15">
        <f>IFERROR(ROUND(DATA[[#This Row],[SUB TOTAL]]+DATA[[#This Row],[IGV]],2),0)</f>
        <v>1570.23</v>
      </c>
      <c r="W1399" s="339" t="str">
        <f>IF(DATA[[#This Row],[VALORIZACIÓN ]]="-","NO CORRESPONDE",IF(OR(A1399=20558226979,A1399=10470707866,A1399=20111157058,A1399=20100226902),"NO CORRESPONDE",IF(J1399="Emitida",IF(P1399&gt;0,"EMITIDA","PENDIENTE"),"NO CORRESPONDE")))</f>
        <v>EMITIDA</v>
      </c>
      <c r="X1399" s="29" t="s">
        <v>373</v>
      </c>
      <c r="Y1399" s="17" t="s">
        <v>232</v>
      </c>
      <c r="Z1399" s="30"/>
      <c r="AA1399" s="10"/>
      <c r="AB1399" s="19"/>
      <c r="AC1399" s="20"/>
      <c r="AD1399" s="18">
        <f>DATA[[#This Row],[FECHA DE EMISION]]+DATA[[#This Row],[CONDICION DE PAGO]]</f>
        <v>0</v>
      </c>
      <c r="AE1399" s="23">
        <f>IF(DATA[[#This Row],[MONEDA]]="USD",VLOOKUP(DATA[[#This Row],[COMBINADA]],#REF!,11,0),1)</f>
        <v>1</v>
      </c>
      <c r="AF1399" s="129" t="str">
        <f>IF(DATA[[#This Row],[SERIE2]]="-","NO CORRESPONDE",IF(W1399="NO CORRESPONDE","NO CORRESPONDE",IF(Z1399&gt;0,"FACTURADO","PENDIENTE")))</f>
        <v>PENDIENTE</v>
      </c>
      <c r="AG1399" s="133">
        <f>IFERROR(VLOOKUP(DATA[[#This Row],[COMBINADA]],#REF!,6,0),0)</f>
        <v>0</v>
      </c>
      <c r="AH1399" s="125">
        <f>IFERROR(VLOOKUP(DATA[[#This Row],[COMBINADA]],#REF!,9,0),0)/COUNTIFS(DATA[COMBINADA],DATA[[#This Row],[COMBINADA]])</f>
        <v>0</v>
      </c>
      <c r="AI1399" s="136">
        <f>IFERROR(VLOOKUP(DATA[[#This Row],[COMBINADA]],#REF!,6,0),0)</f>
        <v>0</v>
      </c>
      <c r="AJ1399" s="132">
        <f>IFERROR(VLOOKUP(DATA[[#This Row],[COMBINADA]],#REF!,9,0),0)/COUNTIFS(DATA[COMBINADA],DATA[[#This Row],[COMBINADA]])</f>
        <v>0</v>
      </c>
      <c r="AK1399" s="131">
        <f>IFERROR(VLOOKUP(DATA[[#This Row],[COMBINADA]],#REF!,6,0),0)</f>
        <v>0</v>
      </c>
      <c r="AL1399" s="125">
        <f>IFERROR(VLOOKUP(DATA[[#This Row],[COMBINADA]],#REF!,9,0),0)/COUNTIFS(DATA[COMBINADA],DATA[[#This Row],[COMBINADA]])</f>
        <v>0</v>
      </c>
      <c r="AM1399" s="27">
        <f>IFERROR(VLOOKUP(DATA[[#This Row],[COMBINADA]],#REF!,6,0),0)</f>
        <v>0</v>
      </c>
      <c r="AN1399" s="125">
        <f>IFERROR(VLOOKUP(DATA[[#This Row],[COMBINADA]],#REF!,9,0),0)/COUNTIFS(DATA[COMBINADA],DATA[[#This Row],[COMBINADA]])</f>
        <v>0</v>
      </c>
      <c r="AO1399" s="27">
        <f>IFERROR(VLOOKUP(DATA[[#This Row],[COMBINADA]],#REF!,6,0),0)</f>
        <v>0</v>
      </c>
      <c r="AP1399" s="132">
        <f>IFERROR(VLOOKUP(DATA[[#This Row],[COMBINADA]],#REF!,9,0),0)/COUNTIFS(DATA[COMBINADA],DATA[[#This Row],[COMBINADA]])</f>
        <v>0</v>
      </c>
      <c r="AQ139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399" s="26" t="str">
        <f>IFERROR(IF(DATA[[#This Row],[estado_fact]]="FACTURADO",VLOOKUP(DATA[[#This Row],[SERIE2]]&amp;"-"&amp;DATA[[#This Row],[NUMERO]],#REF!,34,0),"NO CORRESPONDE"),"NO CORRESPONDE")</f>
        <v>NO CORRESPONDE</v>
      </c>
      <c r="AS1399" s="22" t="str">
        <f>IF(DATA[[#This Row],[fecha_fs]]&gt;0,TEXT(DATA[[#This Row],[fecha_fs]],"Mmmm"),0)</f>
        <v>Octubre</v>
      </c>
      <c r="AT1399" s="22" t="str">
        <f>DATA[[#This Row],[SERIE2]]&amp;"-"&amp;DATA[[#This Row],[NUMERO]]</f>
        <v>-</v>
      </c>
      <c r="AU1399" s="28">
        <f>DATA[[#This Row],[TOTAL]]*DATA[[#This Row],[T.C.]]</f>
        <v>1570.23</v>
      </c>
      <c r="AV1399" s="6">
        <f>DATA[[#This Row],[FECHA DE VAL.]]</f>
        <v>45961</v>
      </c>
      <c r="AW1399" s="6">
        <f>DATA[[#This Row],[FECHA DE EMISION]]</f>
        <v>0</v>
      </c>
      <c r="AX1399" s="6">
        <f>DATA[[#This Row],[F1]]</f>
        <v>0</v>
      </c>
      <c r="AY1399" s="20">
        <f>IF(AV1399-DATA[[#This Row],[fecha_fs]]&lt;0,0,AV1399-DATA[[#This Row],[fecha_fs]])</f>
        <v>2</v>
      </c>
      <c r="AZ1399" s="20">
        <f t="shared" si="352"/>
        <v>0</v>
      </c>
      <c r="BA1399" s="53">
        <f t="shared" si="353"/>
        <v>0</v>
      </c>
      <c r="BB1399" s="360">
        <f>IFERROR(SUM(DATA[[#This Row],[fs_val_ttf]:[fact_pago_ttf]]),0)</f>
        <v>2</v>
      </c>
      <c r="BC1399" s="378" t="s">
        <v>270</v>
      </c>
      <c r="BD1399" s="185" t="s">
        <v>270</v>
      </c>
      <c r="BE1399" s="185" t="s">
        <v>270</v>
      </c>
      <c r="BF1399" s="185" t="s">
        <v>270</v>
      </c>
      <c r="BG1399" s="20">
        <f>IFERROR(IF(BC1399-DATA[[#This Row],[fecha_fs]]&lt;0,0,BC1399-DATA[[#This Row],[fecha_fs]]),0)</f>
        <v>0</v>
      </c>
      <c r="BH1399" s="20">
        <f t="shared" si="346"/>
        <v>0</v>
      </c>
      <c r="BI1399" s="20">
        <f t="shared" si="347"/>
        <v>0</v>
      </c>
      <c r="BJ1399" s="53">
        <f t="shared" si="348"/>
        <v>0</v>
      </c>
      <c r="BK1399" s="376">
        <f>IFERROR(SUM(DATA[[#This Row],[fs_fd_ttd]:[fend_fenf_ttd]]),0)</f>
        <v>0</v>
      </c>
      <c r="BL1399" s="20" t="str">
        <f>IF(DATA[[#This Row],[fecha_fs]]&gt;0,TEXT(DATA[[#This Row],[fecha_fs]],"YYYY"),0)</f>
        <v>2025</v>
      </c>
      <c r="BM1399" s="236" t="b">
        <v>0</v>
      </c>
      <c r="BN1399" s="278">
        <f>COUNTIF(DATA[[#This Row],[tiempo_td]], "&lt;=15")</f>
        <v>1</v>
      </c>
      <c r="BO1399" s="365"/>
    </row>
    <row r="1400" spans="1:67" ht="30.6" customHeight="1" x14ac:dyDescent="0.25">
      <c r="A1400" s="4">
        <v>20100211115</v>
      </c>
      <c r="B1400" s="5" t="s">
        <v>41</v>
      </c>
      <c r="C1400" s="52" t="s">
        <v>18</v>
      </c>
      <c r="D1400" s="4" t="s">
        <v>120</v>
      </c>
      <c r="E1400" s="5" t="s">
        <v>3</v>
      </c>
      <c r="F1400" s="24">
        <v>45959</v>
      </c>
      <c r="G1400" s="7" t="s">
        <v>113</v>
      </c>
      <c r="H1400" s="25">
        <f t="shared" si="354"/>
        <v>1</v>
      </c>
      <c r="I1400" s="331">
        <v>5181</v>
      </c>
      <c r="J1400" s="8" t="s">
        <v>115</v>
      </c>
      <c r="K1400" s="9" t="s">
        <v>121</v>
      </c>
      <c r="L1400" s="10" t="s">
        <v>117</v>
      </c>
      <c r="M1400" s="11">
        <v>90</v>
      </c>
      <c r="N1400" s="12" t="s">
        <v>167</v>
      </c>
      <c r="O1400" s="6">
        <v>45989</v>
      </c>
      <c r="P1400" s="115"/>
      <c r="Q1400" s="14" t="s">
        <v>85</v>
      </c>
      <c r="R1400" s="74"/>
      <c r="S1400" s="401">
        <f>(DATA[[#This Row],[cantidad_fs]]*4.17)</f>
        <v>375.3</v>
      </c>
      <c r="T1400" s="321">
        <f>DATA[[#This Row],[C. DF]]+DATA[[#This Row],[C.OPE.]]</f>
        <v>375.3</v>
      </c>
      <c r="U1400" s="15">
        <f>DATA[[#This Row],[SUB TOTAL]]*0.18</f>
        <v>67.554000000000002</v>
      </c>
      <c r="V1400" s="15">
        <f>IFERROR(ROUND(DATA[[#This Row],[SUB TOTAL]]+DATA[[#This Row],[IGV]],2),0)</f>
        <v>442.85</v>
      </c>
      <c r="W1400" s="339" t="str">
        <f>IF(DATA[[#This Row],[VALORIZACIÓN ]]="-","NO CORRESPONDE",IF(OR(A1400=20558226979,A1400=10470707866,A1400=20111157058,A1400=20100226902),"NO CORRESPONDE",IF(J1400="Emitida",IF(P1400&gt;0,"EMITIDA","PENDIENTE"),"NO CORRESPONDE")))</f>
        <v>PENDIENTE</v>
      </c>
      <c r="X1400" s="29"/>
      <c r="Y1400" s="17" t="s">
        <v>232</v>
      </c>
      <c r="Z1400" s="30"/>
      <c r="AA1400" s="10"/>
      <c r="AB1400" s="19"/>
      <c r="AC1400" s="20"/>
      <c r="AD1400" s="18">
        <f>DATA[[#This Row],[FECHA DE EMISION]]+DATA[[#This Row],[CONDICION DE PAGO]]</f>
        <v>0</v>
      </c>
      <c r="AE1400" s="23">
        <f>IF(DATA[[#This Row],[MONEDA]]="USD",VLOOKUP(DATA[[#This Row],[COMBINADA]],#REF!,11,0),1)</f>
        <v>1</v>
      </c>
      <c r="AF1400" s="129" t="str">
        <f>IF(DATA[[#This Row],[SERIE2]]="-","NO CORRESPONDE",IF(W1400="NO CORRESPONDE","NO CORRESPONDE",IF(Z1400&gt;0,"FACTURADO","PENDIENTE")))</f>
        <v>PENDIENTE</v>
      </c>
      <c r="AG1400" s="133">
        <f>IFERROR(VLOOKUP(DATA[[#This Row],[COMBINADA]],#REF!,6,0),0)</f>
        <v>0</v>
      </c>
      <c r="AH1400" s="125">
        <f>IFERROR(VLOOKUP(DATA[[#This Row],[COMBINADA]],#REF!,9,0),0)/COUNTIFS(DATA[COMBINADA],DATA[[#This Row],[COMBINADA]])</f>
        <v>0</v>
      </c>
      <c r="AI1400" s="136">
        <f>IFERROR(VLOOKUP(DATA[[#This Row],[COMBINADA]],#REF!,6,0),0)</f>
        <v>0</v>
      </c>
      <c r="AJ1400" s="132">
        <f>IFERROR(VLOOKUP(DATA[[#This Row],[COMBINADA]],#REF!,9,0),0)/COUNTIFS(DATA[COMBINADA],DATA[[#This Row],[COMBINADA]])</f>
        <v>0</v>
      </c>
      <c r="AK1400" s="131">
        <f>IFERROR(VLOOKUP(DATA[[#This Row],[COMBINADA]],#REF!,6,0),0)</f>
        <v>0</v>
      </c>
      <c r="AL1400" s="125">
        <f>IFERROR(VLOOKUP(DATA[[#This Row],[COMBINADA]],#REF!,9,0),0)/COUNTIFS(DATA[COMBINADA],DATA[[#This Row],[COMBINADA]])</f>
        <v>0</v>
      </c>
      <c r="AM1400" s="27">
        <f>IFERROR(VLOOKUP(DATA[[#This Row],[COMBINADA]],#REF!,6,0),0)</f>
        <v>0</v>
      </c>
      <c r="AN1400" s="125">
        <f>IFERROR(VLOOKUP(DATA[[#This Row],[COMBINADA]],#REF!,9,0),0)/COUNTIFS(DATA[COMBINADA],DATA[[#This Row],[COMBINADA]])</f>
        <v>0</v>
      </c>
      <c r="AO1400" s="27">
        <f>IFERROR(VLOOKUP(DATA[[#This Row],[COMBINADA]],#REF!,6,0),0)</f>
        <v>0</v>
      </c>
      <c r="AP1400" s="132">
        <f>IFERROR(VLOOKUP(DATA[[#This Row],[COMBINADA]],#REF!,9,0),0)/COUNTIFS(DATA[COMBINADA],DATA[[#This Row],[COMBINADA]])</f>
        <v>0</v>
      </c>
      <c r="AQ140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00" s="26" t="str">
        <f>IFERROR(IF(DATA[[#This Row],[estado_fact]]="FACTURADO",VLOOKUP(DATA[[#This Row],[SERIE2]]&amp;"-"&amp;DATA[[#This Row],[NUMERO]],#REF!,34,0),"NO CORRESPONDE"),"NO CORRESPONDE")</f>
        <v>NO CORRESPONDE</v>
      </c>
      <c r="AS1400" s="22" t="str">
        <f>IF(DATA[[#This Row],[fecha_fs]]&gt;0,TEXT(DATA[[#This Row],[fecha_fs]],"Mmmm"),0)</f>
        <v>Octubre</v>
      </c>
      <c r="AT1400" s="22" t="str">
        <f>DATA[[#This Row],[SERIE2]]&amp;"-"&amp;DATA[[#This Row],[NUMERO]]</f>
        <v>-</v>
      </c>
      <c r="AU1400" s="28">
        <f>DATA[[#This Row],[TOTAL]]*DATA[[#This Row],[T.C.]]</f>
        <v>442.85</v>
      </c>
      <c r="AV1400" s="6">
        <f>DATA[[#This Row],[FECHA DE VAL.]]</f>
        <v>45989</v>
      </c>
      <c r="AW1400" s="6">
        <f>DATA[[#This Row],[FECHA DE EMISION]]</f>
        <v>0</v>
      </c>
      <c r="AX1400" s="6">
        <f>DATA[[#This Row],[F1]]</f>
        <v>0</v>
      </c>
      <c r="AY1400" s="20">
        <f>IF(AV1400-DATA[[#This Row],[fecha_fs]]&lt;0,0,AV1400-DATA[[#This Row],[fecha_fs]])</f>
        <v>30</v>
      </c>
      <c r="AZ1400" s="20">
        <f t="shared" si="352"/>
        <v>0</v>
      </c>
      <c r="BA1400" s="53">
        <f t="shared" si="353"/>
        <v>0</v>
      </c>
      <c r="BB1400" s="360">
        <f>IFERROR(SUM(DATA[[#This Row],[fs_val_ttf]:[fact_pago_ttf]]),0)</f>
        <v>30</v>
      </c>
      <c r="BC1400" s="378" t="s">
        <v>270</v>
      </c>
      <c r="BD1400" s="185" t="s">
        <v>270</v>
      </c>
      <c r="BE1400" s="185" t="s">
        <v>270</v>
      </c>
      <c r="BF1400" s="185" t="s">
        <v>270</v>
      </c>
      <c r="BG1400" s="20">
        <f>IFERROR(IF(BC1400-DATA[[#This Row],[fecha_fs]]&lt;0,0,BC1400-DATA[[#This Row],[fecha_fs]]),0)</f>
        <v>0</v>
      </c>
      <c r="BH1400" s="20">
        <f t="shared" si="346"/>
        <v>0</v>
      </c>
      <c r="BI1400" s="20">
        <f t="shared" si="347"/>
        <v>0</v>
      </c>
      <c r="BJ1400" s="53">
        <f t="shared" si="348"/>
        <v>0</v>
      </c>
      <c r="BK1400" s="376">
        <f>IFERROR(SUM(DATA[[#This Row],[fs_fd_ttd]:[fend_fenf_ttd]]),0)</f>
        <v>0</v>
      </c>
      <c r="BL1400" s="20" t="str">
        <f>IF(DATA[[#This Row],[fecha_fs]]&gt;0,TEXT(DATA[[#This Row],[fecha_fs]],"YYYY"),0)</f>
        <v>2025</v>
      </c>
      <c r="BM1400" s="236" t="b">
        <v>0</v>
      </c>
      <c r="BN1400" s="278">
        <f>COUNTIF(DATA[[#This Row],[tiempo_td]], "&lt;=15")</f>
        <v>1</v>
      </c>
      <c r="BO1400" s="365"/>
    </row>
    <row r="1401" spans="1:67" ht="30.6" customHeight="1" x14ac:dyDescent="0.25">
      <c r="A1401" s="4">
        <v>20141637941</v>
      </c>
      <c r="B1401" s="5" t="s">
        <v>79</v>
      </c>
      <c r="C1401" s="52" t="s">
        <v>18</v>
      </c>
      <c r="D1401" s="4" t="s">
        <v>120</v>
      </c>
      <c r="E1401" s="5" t="s">
        <v>3</v>
      </c>
      <c r="F1401" s="24">
        <v>45959</v>
      </c>
      <c r="G1401" s="7" t="s">
        <v>113</v>
      </c>
      <c r="H1401" s="25">
        <f t="shared" si="354"/>
        <v>1</v>
      </c>
      <c r="I1401" s="331">
        <v>5182</v>
      </c>
      <c r="J1401" s="8" t="s">
        <v>115</v>
      </c>
      <c r="K1401" s="9" t="s">
        <v>121</v>
      </c>
      <c r="L1401" s="10" t="s">
        <v>117</v>
      </c>
      <c r="M1401" s="11">
        <v>1140</v>
      </c>
      <c r="N1401" s="12" t="s">
        <v>249</v>
      </c>
      <c r="O1401" s="6">
        <v>45961</v>
      </c>
      <c r="P1401" s="110">
        <v>3774</v>
      </c>
      <c r="Q1401" s="14" t="s">
        <v>85</v>
      </c>
      <c r="R1401" s="321">
        <f>80+((DATA[[#This Row],[cantidad_fs]]-1000)*0.08)</f>
        <v>91.2</v>
      </c>
      <c r="S1401" s="401">
        <v>832</v>
      </c>
      <c r="T1401" s="321">
        <f>DATA[[#This Row],[C. DF]]+DATA[[#This Row],[C.OPE.]]</f>
        <v>923.2</v>
      </c>
      <c r="U1401" s="15">
        <f>DATA[[#This Row],[SUB TOTAL]]*0.18</f>
        <v>166.17600000000002</v>
      </c>
      <c r="V1401" s="15">
        <f>IFERROR(ROUND(DATA[[#This Row],[SUB TOTAL]]+DATA[[#This Row],[IGV]],2),0)</f>
        <v>1089.3800000000001</v>
      </c>
      <c r="W1401" s="339" t="str">
        <f>IF(DATA[[#This Row],[VALORIZACIÓN ]]="-","NO CORRESPONDE",IF(OR(A1401=20558226979,A1401=10470707866,A1401=20111157058,A1401=20100226902),"NO CORRESPONDE",IF(J1401="Emitida",IF(P1401&gt;0,"EMITIDA","PENDIENTE"),"NO CORRESPONDE")))</f>
        <v>EMITIDA</v>
      </c>
      <c r="X1401" s="29"/>
      <c r="Y1401" s="17" t="s">
        <v>118</v>
      </c>
      <c r="Z1401" s="30">
        <v>45965</v>
      </c>
      <c r="AA1401" s="10" t="s">
        <v>150</v>
      </c>
      <c r="AB1401" s="19">
        <v>334</v>
      </c>
      <c r="AC1401" s="20">
        <v>30</v>
      </c>
      <c r="AD1401" s="18">
        <f>DATA[[#This Row],[FECHA DE EMISION]]+DATA[[#This Row],[CONDICION DE PAGO]]</f>
        <v>45995</v>
      </c>
      <c r="AE1401" s="23">
        <f>IF(DATA[[#This Row],[MONEDA]]="USD",VLOOKUP(DATA[[#This Row],[COMBINADA]],#REF!,11,0),1)</f>
        <v>1</v>
      </c>
      <c r="AF1401" s="129" t="str">
        <f>IF(DATA[[#This Row],[SERIE2]]="-","NO CORRESPONDE",IF(W1401="NO CORRESPONDE","NO CORRESPONDE",IF(Z1401&gt;0,"FACTURADO","PENDIENTE")))</f>
        <v>FACTURADO</v>
      </c>
      <c r="AG1401" s="133">
        <f>IFERROR(VLOOKUP(DATA[[#This Row],[COMBINADA]],#REF!,6,0),0)</f>
        <v>0</v>
      </c>
      <c r="AH1401" s="125">
        <f>IFERROR(VLOOKUP(DATA[[#This Row],[COMBINADA]],#REF!,9,0),0)/COUNTIFS(DATA[COMBINADA],DATA[[#This Row],[COMBINADA]])</f>
        <v>0</v>
      </c>
      <c r="AI1401" s="136">
        <f>IFERROR(VLOOKUP(DATA[[#This Row],[COMBINADA]],#REF!,6,0),0)</f>
        <v>0</v>
      </c>
      <c r="AJ1401" s="132">
        <f>IFERROR(VLOOKUP(DATA[[#This Row],[COMBINADA]],#REF!,9,0),0)/COUNTIFS(DATA[COMBINADA],DATA[[#This Row],[COMBINADA]])</f>
        <v>0</v>
      </c>
      <c r="AK1401" s="131">
        <f>IFERROR(VLOOKUP(DATA[[#This Row],[COMBINADA]],#REF!,6,0),0)</f>
        <v>0</v>
      </c>
      <c r="AL1401" s="125">
        <f>IFERROR(VLOOKUP(DATA[[#This Row],[COMBINADA]],#REF!,9,0),0)/COUNTIFS(DATA[COMBINADA],DATA[[#This Row],[COMBINADA]])</f>
        <v>0</v>
      </c>
      <c r="AM1401" s="27">
        <f>IFERROR(VLOOKUP(DATA[[#This Row],[COMBINADA]],#REF!,6,0),0)</f>
        <v>0</v>
      </c>
      <c r="AN1401" s="125">
        <f>IFERROR(VLOOKUP(DATA[[#This Row],[COMBINADA]],#REF!,9,0),0)/COUNTIFS(DATA[COMBINADA],DATA[[#This Row],[COMBINADA]])</f>
        <v>0</v>
      </c>
      <c r="AO1401" s="27">
        <f>IFERROR(VLOOKUP(DATA[[#This Row],[COMBINADA]],#REF!,6,0),0)</f>
        <v>0</v>
      </c>
      <c r="AP1401" s="132">
        <f>IFERROR(VLOOKUP(DATA[[#This Row],[COMBINADA]],#REF!,9,0),0)/COUNTIFS(DATA[COMBINADA],DATA[[#This Row],[COMBINADA]])</f>
        <v>0</v>
      </c>
      <c r="AQ140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1080.5666666666666</v>
      </c>
      <c r="AR1401" s="26" t="str">
        <f>IFERROR(IF(DATA[[#This Row],[estado_fact]]="FACTURADO",VLOOKUP(DATA[[#This Row],[SERIE2]]&amp;"-"&amp;DATA[[#This Row],[NUMERO]],#REF!,34,0),"NO CORRESPONDE"),"NO CORRESPONDE")</f>
        <v>NO CORRESPONDE</v>
      </c>
      <c r="AS1401" s="22" t="str">
        <f>IF(DATA[[#This Row],[fecha_fs]]&gt;0,TEXT(DATA[[#This Row],[fecha_fs]],"Mmmm"),0)</f>
        <v>Octubre</v>
      </c>
      <c r="AT1401" s="22" t="str">
        <f>DATA[[#This Row],[SERIE2]]&amp;"-"&amp;DATA[[#This Row],[NUMERO]]</f>
        <v>FF01-334</v>
      </c>
      <c r="AU1401" s="28">
        <f>DATA[[#This Row],[TOTAL]]*DATA[[#This Row],[T.C.]]</f>
        <v>1089.3800000000001</v>
      </c>
      <c r="AV1401" s="6">
        <f>DATA[[#This Row],[FECHA DE VAL.]]</f>
        <v>45961</v>
      </c>
      <c r="AW1401" s="6">
        <f>DATA[[#This Row],[FECHA DE EMISION]]</f>
        <v>45965</v>
      </c>
      <c r="AX1401" s="6">
        <f>DATA[[#This Row],[F1]]</f>
        <v>0</v>
      </c>
      <c r="AY1401" s="20">
        <f>IF(AV1401-DATA[[#This Row],[fecha_fs]]&lt;0,0,AV1401-DATA[[#This Row],[fecha_fs]])</f>
        <v>2</v>
      </c>
      <c r="AZ1401" s="20">
        <f t="shared" si="352"/>
        <v>4</v>
      </c>
      <c r="BA1401" s="53">
        <f t="shared" si="353"/>
        <v>0</v>
      </c>
      <c r="BB1401" s="360">
        <f>IFERROR(SUM(DATA[[#This Row],[fs_val_ttf]:[fact_pago_ttf]]),0)</f>
        <v>6</v>
      </c>
      <c r="BC1401" s="378">
        <v>45959</v>
      </c>
      <c r="BD1401" s="377">
        <v>45964</v>
      </c>
      <c r="BE1401" s="185">
        <v>45964</v>
      </c>
      <c r="BF1401" s="185">
        <v>45967</v>
      </c>
      <c r="BG1401" s="20">
        <f>IFERROR(IF(BC1401-DATA[[#This Row],[fecha_fs]]&lt;0,0,BC1401-DATA[[#This Row],[fecha_fs]]),0)</f>
        <v>0</v>
      </c>
      <c r="BH1401" s="20">
        <f t="shared" si="346"/>
        <v>5</v>
      </c>
      <c r="BI1401" s="20">
        <f t="shared" si="347"/>
        <v>0</v>
      </c>
      <c r="BJ1401" s="53">
        <f t="shared" si="348"/>
        <v>3</v>
      </c>
      <c r="BK1401" s="376">
        <f>IFERROR(SUM(DATA[[#This Row],[fs_fd_ttd]:[fend_fenf_ttd]]),0)</f>
        <v>8</v>
      </c>
      <c r="BL1401" s="20" t="str">
        <f>IF(DATA[[#This Row],[fecha_fs]]&gt;0,TEXT(DATA[[#This Row],[fecha_fs]],"YYYY"),0)</f>
        <v>2025</v>
      </c>
      <c r="BM1401" s="236" t="b">
        <v>1</v>
      </c>
      <c r="BN1401" s="278">
        <f>COUNTIF(DATA[[#This Row],[tiempo_td]], "&lt;=15")</f>
        <v>1</v>
      </c>
      <c r="BO1401" s="365"/>
    </row>
    <row r="1402" spans="1:67" ht="30.6" customHeight="1" x14ac:dyDescent="0.25">
      <c r="A1402" s="4">
        <v>20100192064</v>
      </c>
      <c r="B1402" s="5" t="s">
        <v>60</v>
      </c>
      <c r="C1402" s="52" t="s">
        <v>43</v>
      </c>
      <c r="D1402" s="4" t="s">
        <v>120</v>
      </c>
      <c r="E1402" s="5" t="s">
        <v>3</v>
      </c>
      <c r="F1402" s="24">
        <v>45959</v>
      </c>
      <c r="G1402" s="7" t="s">
        <v>113</v>
      </c>
      <c r="H1402" s="25">
        <f t="shared" si="354"/>
        <v>1</v>
      </c>
      <c r="I1402" s="331">
        <v>5183</v>
      </c>
      <c r="J1402" s="8" t="s">
        <v>115</v>
      </c>
      <c r="K1402" s="9" t="s">
        <v>121</v>
      </c>
      <c r="L1402" s="10" t="s">
        <v>117</v>
      </c>
      <c r="M1402" s="11">
        <v>670</v>
      </c>
      <c r="N1402" s="12" t="s">
        <v>249</v>
      </c>
      <c r="O1402" s="6">
        <v>45959</v>
      </c>
      <c r="P1402" s="366">
        <v>3758</v>
      </c>
      <c r="Q1402" s="402" t="s">
        <v>123</v>
      </c>
      <c r="R1402" s="401">
        <f>(DATA[[#This Row],[cantidad_fs]]/1000)*(47+174.34)</f>
        <v>148.29780000000002</v>
      </c>
      <c r="S1402" s="401">
        <v>137</v>
      </c>
      <c r="T1402" s="321">
        <f>DATA[[#This Row],[C. DF]]+DATA[[#This Row],[C.OPE.]]</f>
        <v>285.29780000000005</v>
      </c>
      <c r="U1402" s="15">
        <f>DATA[[#This Row],[SUB TOTAL]]*0.18</f>
        <v>51.353604000000004</v>
      </c>
      <c r="V1402" s="15">
        <f>IFERROR(ROUND(DATA[[#This Row],[SUB TOTAL]]+DATA[[#This Row],[IGV]],2),0)</f>
        <v>336.65</v>
      </c>
      <c r="W1402" s="339" t="str">
        <f>IF(DATA[[#This Row],[VALORIZACIÓN ]]="-","NO CORRESPONDE",IF(OR(A1402=20558226979,A1402=10470707866,A1402=20111157058,A1402=20100226902),"NO CORRESPONDE",IF(J1402="Emitida",IF(P1402&gt;0,"EMITIDA","PENDIENTE"),"NO CORRESPONDE")))</f>
        <v>EMITIDA</v>
      </c>
      <c r="X1402" s="29" t="s">
        <v>375</v>
      </c>
      <c r="Y1402" s="17" t="s">
        <v>118</v>
      </c>
      <c r="Z1402" s="30">
        <v>45961</v>
      </c>
      <c r="AA1402" s="10" t="s">
        <v>150</v>
      </c>
      <c r="AB1402" s="19">
        <v>318</v>
      </c>
      <c r="AC1402" s="20">
        <v>30</v>
      </c>
      <c r="AD1402" s="18">
        <f>DATA[[#This Row],[FECHA DE EMISION]]+DATA[[#This Row],[CONDICION DE PAGO]]</f>
        <v>45991</v>
      </c>
      <c r="AE1402" s="23" t="e">
        <f>IF(DATA[[#This Row],[MONEDA]]="USD",VLOOKUP(DATA[[#This Row],[COMBINADA]],#REF!,11,0),1)</f>
        <v>#REF!</v>
      </c>
      <c r="AF1402" s="129" t="str">
        <f>IF(DATA[[#This Row],[SERIE2]]="-","NO CORRESPONDE",IF(W1402="NO CORRESPONDE","NO CORRESPONDE",IF(Z1402&gt;0,"FACTURADO","PENDIENTE")))</f>
        <v>FACTURADO</v>
      </c>
      <c r="AG1402" s="133">
        <f>IFERROR(VLOOKUP(DATA[[#This Row],[COMBINADA]],#REF!,6,0),0)</f>
        <v>0</v>
      </c>
      <c r="AH1402" s="125">
        <f>IFERROR(VLOOKUP(DATA[[#This Row],[COMBINADA]],#REF!,9,0),0)/COUNTIFS(DATA[COMBINADA],DATA[[#This Row],[COMBINADA]])</f>
        <v>0</v>
      </c>
      <c r="AI1402" s="136">
        <f>IFERROR(VLOOKUP(DATA[[#This Row],[COMBINADA]],#REF!,6,0),0)</f>
        <v>0</v>
      </c>
      <c r="AJ1402" s="132">
        <f>IFERROR(VLOOKUP(DATA[[#This Row],[COMBINADA]],#REF!,9,0),0)/COUNTIFS(DATA[COMBINADA],DATA[[#This Row],[COMBINADA]])</f>
        <v>0</v>
      </c>
      <c r="AK1402" s="131">
        <f>IFERROR(VLOOKUP(DATA[[#This Row],[COMBINADA]],#REF!,6,0),0)</f>
        <v>0</v>
      </c>
      <c r="AL1402" s="125">
        <f>IFERROR(VLOOKUP(DATA[[#This Row],[COMBINADA]],#REF!,9,0),0)/COUNTIFS(DATA[COMBINADA],DATA[[#This Row],[COMBINADA]])</f>
        <v>0</v>
      </c>
      <c r="AM1402" s="27">
        <f>IFERROR(VLOOKUP(DATA[[#This Row],[COMBINADA]],#REF!,6,0),0)</f>
        <v>0</v>
      </c>
      <c r="AN1402" s="125">
        <f>IFERROR(VLOOKUP(DATA[[#This Row],[COMBINADA]],#REF!,9,0),0)/COUNTIFS(DATA[COMBINADA],DATA[[#This Row],[COMBINADA]])</f>
        <v>0</v>
      </c>
      <c r="AO1402" s="27">
        <f>IFERROR(VLOOKUP(DATA[[#This Row],[COMBINADA]],#REF!,6,0),0)</f>
        <v>0</v>
      </c>
      <c r="AP1402" s="132">
        <f>IFERROR(VLOOKUP(DATA[[#This Row],[COMBINADA]],#REF!,9,0),0)/COUNTIFS(DATA[COMBINADA],DATA[[#This Row],[COMBINADA]])</f>
        <v>0</v>
      </c>
      <c r="AQ140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492.32615384615383</v>
      </c>
      <c r="AR1402" s="26" t="str">
        <f>IFERROR(IF(DATA[[#This Row],[estado_fact]]="FACTURADO",VLOOKUP(DATA[[#This Row],[SERIE2]]&amp;"-"&amp;DATA[[#This Row],[NUMERO]],#REF!,34,0),"NO CORRESPONDE"),"NO CORRESPONDE")</f>
        <v>NO CORRESPONDE</v>
      </c>
      <c r="AS1402" s="22" t="str">
        <f>IF(DATA[[#This Row],[fecha_fs]]&gt;0,TEXT(DATA[[#This Row],[fecha_fs]],"Mmmm"),0)</f>
        <v>Octubre</v>
      </c>
      <c r="AT1402" s="22" t="str">
        <f>DATA[[#This Row],[SERIE2]]&amp;"-"&amp;DATA[[#This Row],[NUMERO]]</f>
        <v>FF01-318</v>
      </c>
      <c r="AU1402" s="28" t="e">
        <f>DATA[[#This Row],[TOTAL]]*DATA[[#This Row],[T.C.]]</f>
        <v>#REF!</v>
      </c>
      <c r="AV1402" s="6">
        <f>DATA[[#This Row],[FECHA DE VAL.]]</f>
        <v>45959</v>
      </c>
      <c r="AW1402" s="6">
        <f>DATA[[#This Row],[FECHA DE EMISION]]</f>
        <v>45961</v>
      </c>
      <c r="AX1402" s="6">
        <f>DATA[[#This Row],[F1]]</f>
        <v>0</v>
      </c>
      <c r="AY1402" s="20">
        <f>IF(AV1402-DATA[[#This Row],[fecha_fs]]&lt;0,0,AV1402-DATA[[#This Row],[fecha_fs]])</f>
        <v>0</v>
      </c>
      <c r="AZ1402" s="20">
        <f t="shared" si="352"/>
        <v>2</v>
      </c>
      <c r="BA1402" s="53">
        <f t="shared" si="353"/>
        <v>0</v>
      </c>
      <c r="BB1402" s="360">
        <f>IFERROR(SUM(DATA[[#This Row],[fs_val_ttf]:[fact_pago_ttf]]),0)</f>
        <v>2</v>
      </c>
      <c r="BC1402" s="378" t="s">
        <v>270</v>
      </c>
      <c r="BD1402" s="185" t="s">
        <v>270</v>
      </c>
      <c r="BE1402" s="185" t="s">
        <v>270</v>
      </c>
      <c r="BF1402" s="185" t="s">
        <v>270</v>
      </c>
      <c r="BG1402" s="20">
        <f>IFERROR(IF(BC1402-DATA[[#This Row],[fecha_fs]]&lt;0,0,BC1402-DATA[[#This Row],[fecha_fs]]),0)</f>
        <v>0</v>
      </c>
      <c r="BH1402" s="20">
        <f t="shared" si="346"/>
        <v>0</v>
      </c>
      <c r="BI1402" s="20">
        <f t="shared" si="347"/>
        <v>0</v>
      </c>
      <c r="BJ1402" s="53">
        <f t="shared" si="348"/>
        <v>0</v>
      </c>
      <c r="BK1402" s="376">
        <f>IFERROR(SUM(DATA[[#This Row],[fs_fd_ttd]:[fend_fenf_ttd]]),0)</f>
        <v>0</v>
      </c>
      <c r="BL1402" s="20" t="str">
        <f>IF(DATA[[#This Row],[fecha_fs]]&gt;0,TEXT(DATA[[#This Row],[fecha_fs]],"YYYY"),0)</f>
        <v>2025</v>
      </c>
      <c r="BM1402" s="236" t="b">
        <v>0</v>
      </c>
      <c r="BN1402" s="278">
        <f>COUNTIF(DATA[[#This Row],[tiempo_td]], "&lt;=15")</f>
        <v>1</v>
      </c>
      <c r="BO1402" s="365"/>
    </row>
    <row r="1403" spans="1:67" ht="30.6" customHeight="1" x14ac:dyDescent="0.25">
      <c r="A1403" s="4">
        <v>20100211115</v>
      </c>
      <c r="B1403" s="5" t="s">
        <v>41</v>
      </c>
      <c r="C1403" s="52" t="s">
        <v>18</v>
      </c>
      <c r="D1403" s="4" t="s">
        <v>120</v>
      </c>
      <c r="E1403" s="5" t="s">
        <v>3</v>
      </c>
      <c r="F1403" s="24">
        <v>45959</v>
      </c>
      <c r="G1403" s="7" t="s">
        <v>113</v>
      </c>
      <c r="H1403" s="25">
        <f t="shared" si="354"/>
        <v>1</v>
      </c>
      <c r="I1403" s="331">
        <v>5184</v>
      </c>
      <c r="J1403" s="8" t="s">
        <v>115</v>
      </c>
      <c r="K1403" s="9" t="s">
        <v>163</v>
      </c>
      <c r="L1403" s="10" t="s">
        <v>117</v>
      </c>
      <c r="M1403" s="11">
        <v>1225</v>
      </c>
      <c r="N1403" s="12" t="s">
        <v>167</v>
      </c>
      <c r="O1403" s="6">
        <v>45989</v>
      </c>
      <c r="P1403" s="115"/>
      <c r="Q1403" s="14" t="s">
        <v>85</v>
      </c>
      <c r="R1403" s="74"/>
      <c r="S1403" s="321">
        <f>DATA[[#This Row],[cantidad_fs]]*0.72</f>
        <v>882</v>
      </c>
      <c r="T1403" s="321">
        <f>DATA[[#This Row],[C. DF]]+DATA[[#This Row],[C.OPE.]]</f>
        <v>882</v>
      </c>
      <c r="U1403" s="15">
        <f>DATA[[#This Row],[SUB TOTAL]]*0.18</f>
        <v>158.76</v>
      </c>
      <c r="V1403" s="15">
        <f>IFERROR(ROUND(DATA[[#This Row],[SUB TOTAL]]+DATA[[#This Row],[IGV]],2),0)</f>
        <v>1040.76</v>
      </c>
      <c r="W1403" s="339" t="str">
        <f>IF(DATA[[#This Row],[VALORIZACIÓN ]]="-","NO CORRESPONDE",IF(OR(A1403=20558226979,A1403=10470707866,A1403=20111157058,A1403=20100226902),"NO CORRESPONDE",IF(J1403="Emitida",IF(P1403&gt;0,"EMITIDA","PENDIENTE"),"NO CORRESPONDE")))</f>
        <v>PENDIENTE</v>
      </c>
      <c r="X1403" s="29"/>
      <c r="Y1403" s="17" t="s">
        <v>232</v>
      </c>
      <c r="Z1403" s="30"/>
      <c r="AA1403" s="10"/>
      <c r="AB1403" s="19"/>
      <c r="AC1403" s="20"/>
      <c r="AD1403" s="18">
        <f>DATA[[#This Row],[FECHA DE EMISION]]+DATA[[#This Row],[CONDICION DE PAGO]]</f>
        <v>0</v>
      </c>
      <c r="AE1403" s="23">
        <f>IF(DATA[[#This Row],[MONEDA]]="USD",VLOOKUP(DATA[[#This Row],[COMBINADA]],#REF!,11,0),1)</f>
        <v>1</v>
      </c>
      <c r="AF1403" s="129" t="str">
        <f>IF(DATA[[#This Row],[SERIE2]]="-","NO CORRESPONDE",IF(W1403="NO CORRESPONDE","NO CORRESPONDE",IF(Z1403&gt;0,"FACTURADO","PENDIENTE")))</f>
        <v>PENDIENTE</v>
      </c>
      <c r="AG1403" s="133">
        <f>IFERROR(VLOOKUP(DATA[[#This Row],[COMBINADA]],#REF!,6,0),0)</f>
        <v>0</v>
      </c>
      <c r="AH1403" s="125">
        <f>IFERROR(VLOOKUP(DATA[[#This Row],[COMBINADA]],#REF!,9,0),0)/COUNTIFS(DATA[COMBINADA],DATA[[#This Row],[COMBINADA]])</f>
        <v>0</v>
      </c>
      <c r="AI1403" s="136">
        <f>IFERROR(VLOOKUP(DATA[[#This Row],[COMBINADA]],#REF!,6,0),0)</f>
        <v>0</v>
      </c>
      <c r="AJ1403" s="132">
        <f>IFERROR(VLOOKUP(DATA[[#This Row],[COMBINADA]],#REF!,9,0),0)/COUNTIFS(DATA[COMBINADA],DATA[[#This Row],[COMBINADA]])</f>
        <v>0</v>
      </c>
      <c r="AK1403" s="131">
        <f>IFERROR(VLOOKUP(DATA[[#This Row],[COMBINADA]],#REF!,6,0),0)</f>
        <v>0</v>
      </c>
      <c r="AL1403" s="125">
        <f>IFERROR(VLOOKUP(DATA[[#This Row],[COMBINADA]],#REF!,9,0),0)/COUNTIFS(DATA[COMBINADA],DATA[[#This Row],[COMBINADA]])</f>
        <v>0</v>
      </c>
      <c r="AM1403" s="27">
        <f>IFERROR(VLOOKUP(DATA[[#This Row],[COMBINADA]],#REF!,6,0),0)</f>
        <v>0</v>
      </c>
      <c r="AN1403" s="125">
        <f>IFERROR(VLOOKUP(DATA[[#This Row],[COMBINADA]],#REF!,9,0),0)/COUNTIFS(DATA[COMBINADA],DATA[[#This Row],[COMBINADA]])</f>
        <v>0</v>
      </c>
      <c r="AO1403" s="27">
        <f>IFERROR(VLOOKUP(DATA[[#This Row],[COMBINADA]],#REF!,6,0),0)</f>
        <v>0</v>
      </c>
      <c r="AP1403" s="132">
        <f>IFERROR(VLOOKUP(DATA[[#This Row],[COMBINADA]],#REF!,9,0),0)/COUNTIFS(DATA[COMBINADA],DATA[[#This Row],[COMBINADA]])</f>
        <v>0</v>
      </c>
      <c r="AQ140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03" s="26" t="str">
        <f>IFERROR(IF(DATA[[#This Row],[estado_fact]]="FACTURADO",VLOOKUP(DATA[[#This Row],[SERIE2]]&amp;"-"&amp;DATA[[#This Row],[NUMERO]],#REF!,34,0),"NO CORRESPONDE"),"NO CORRESPONDE")</f>
        <v>NO CORRESPONDE</v>
      </c>
      <c r="AS1403" s="22" t="str">
        <f>IF(DATA[[#This Row],[fecha_fs]]&gt;0,TEXT(DATA[[#This Row],[fecha_fs]],"Mmmm"),0)</f>
        <v>Octubre</v>
      </c>
      <c r="AT1403" s="22" t="str">
        <f>DATA[[#This Row],[SERIE2]]&amp;"-"&amp;DATA[[#This Row],[NUMERO]]</f>
        <v>-</v>
      </c>
      <c r="AU1403" s="28">
        <f>DATA[[#This Row],[TOTAL]]*DATA[[#This Row],[T.C.]]</f>
        <v>1040.76</v>
      </c>
      <c r="AV1403" s="6">
        <f>DATA[[#This Row],[FECHA DE VAL.]]</f>
        <v>45989</v>
      </c>
      <c r="AW1403" s="6">
        <f>DATA[[#This Row],[FECHA DE EMISION]]</f>
        <v>0</v>
      </c>
      <c r="AX1403" s="6">
        <f>DATA[[#This Row],[F1]]</f>
        <v>0</v>
      </c>
      <c r="AY1403" s="20">
        <f>IF(AV1403-DATA[[#This Row],[fecha_fs]]&lt;0,0,AV1403-DATA[[#This Row],[fecha_fs]])</f>
        <v>30</v>
      </c>
      <c r="AZ1403" s="20">
        <f t="shared" si="352"/>
        <v>0</v>
      </c>
      <c r="BA1403" s="53">
        <f t="shared" si="353"/>
        <v>0</v>
      </c>
      <c r="BB1403" s="360">
        <f>IFERROR(SUM(DATA[[#This Row],[fs_val_ttf]:[fact_pago_ttf]]),0)</f>
        <v>30</v>
      </c>
      <c r="BC1403" s="378" t="s">
        <v>270</v>
      </c>
      <c r="BD1403" s="185" t="s">
        <v>270</v>
      </c>
      <c r="BE1403" s="185" t="s">
        <v>270</v>
      </c>
      <c r="BF1403" s="185" t="s">
        <v>270</v>
      </c>
      <c r="BG1403" s="20">
        <f>IFERROR(IF(BC1403-DATA[[#This Row],[fecha_fs]]&lt;0,0,BC1403-DATA[[#This Row],[fecha_fs]]),0)</f>
        <v>0</v>
      </c>
      <c r="BH1403" s="20">
        <f t="shared" si="346"/>
        <v>0</v>
      </c>
      <c r="BI1403" s="20">
        <f t="shared" si="347"/>
        <v>0</v>
      </c>
      <c r="BJ1403" s="53">
        <f t="shared" si="348"/>
        <v>0</v>
      </c>
      <c r="BK1403" s="376">
        <f>IFERROR(SUM(DATA[[#This Row],[fs_fd_ttd]:[fend_fenf_ttd]]),0)</f>
        <v>0</v>
      </c>
      <c r="BL1403" s="20" t="str">
        <f>IF(DATA[[#This Row],[fecha_fs]]&gt;0,TEXT(DATA[[#This Row],[fecha_fs]],"YYYY"),0)</f>
        <v>2025</v>
      </c>
      <c r="BM1403" s="236" t="b">
        <v>0</v>
      </c>
      <c r="BN1403" s="278">
        <f>COUNTIF(DATA[[#This Row],[tiempo_td]], "&lt;=15")</f>
        <v>1</v>
      </c>
      <c r="BO1403" s="365"/>
    </row>
    <row r="1404" spans="1:67" ht="30.6" customHeight="1" x14ac:dyDescent="0.25">
      <c r="A1404" s="4">
        <v>20100211115</v>
      </c>
      <c r="B1404" s="5" t="s">
        <v>41</v>
      </c>
      <c r="C1404" s="52" t="s">
        <v>18</v>
      </c>
      <c r="D1404" s="4" t="s">
        <v>120</v>
      </c>
      <c r="E1404" s="5" t="s">
        <v>3</v>
      </c>
      <c r="F1404" s="24">
        <v>45961</v>
      </c>
      <c r="G1404" s="7" t="s">
        <v>113</v>
      </c>
      <c r="H1404" s="25">
        <f t="shared" si="354"/>
        <v>1</v>
      </c>
      <c r="I1404" s="331">
        <v>5185</v>
      </c>
      <c r="J1404" s="8" t="s">
        <v>115</v>
      </c>
      <c r="K1404" s="9" t="s">
        <v>121</v>
      </c>
      <c r="L1404" s="10" t="s">
        <v>117</v>
      </c>
      <c r="M1404" s="11">
        <v>90</v>
      </c>
      <c r="N1404" s="12" t="s">
        <v>165</v>
      </c>
      <c r="O1404" s="6">
        <v>45989</v>
      </c>
      <c r="P1404" s="115"/>
      <c r="Q1404" s="14" t="s">
        <v>85</v>
      </c>
      <c r="R1404" s="74"/>
      <c r="S1404" s="401">
        <f>(DATA[[#This Row],[cantidad_fs]]*4.17)</f>
        <v>375.3</v>
      </c>
      <c r="T1404" s="321">
        <f>DATA[[#This Row],[C. DF]]+DATA[[#This Row],[C.OPE.]]</f>
        <v>375.3</v>
      </c>
      <c r="U1404" s="15">
        <f>DATA[[#This Row],[SUB TOTAL]]*0.18</f>
        <v>67.554000000000002</v>
      </c>
      <c r="V1404" s="15">
        <f>IFERROR(ROUND(DATA[[#This Row],[SUB TOTAL]]+DATA[[#This Row],[IGV]],2),0)</f>
        <v>442.85</v>
      </c>
      <c r="W1404" s="339" t="str">
        <f>IF(DATA[[#This Row],[VALORIZACIÓN ]]="-","NO CORRESPONDE",IF(OR(A1404=20558226979,A1404=10470707866,A1404=20111157058,A1404=20100226902),"NO CORRESPONDE",IF(J1404="Emitida",IF(P1404&gt;0,"EMITIDA","PENDIENTE"),"NO CORRESPONDE")))</f>
        <v>PENDIENTE</v>
      </c>
      <c r="X1404" s="29"/>
      <c r="Y1404" s="17" t="s">
        <v>232</v>
      </c>
      <c r="Z1404" s="30"/>
      <c r="AA1404" s="10"/>
      <c r="AB1404" s="19"/>
      <c r="AC1404" s="20"/>
      <c r="AD1404" s="18">
        <f>DATA[[#This Row],[FECHA DE EMISION]]+DATA[[#This Row],[CONDICION DE PAGO]]</f>
        <v>0</v>
      </c>
      <c r="AE1404" s="23">
        <f>IF(DATA[[#This Row],[MONEDA]]="USD",VLOOKUP(DATA[[#This Row],[COMBINADA]],#REF!,11,0),1)</f>
        <v>1</v>
      </c>
      <c r="AF1404" s="129" t="str">
        <f>IF(DATA[[#This Row],[SERIE2]]="-","NO CORRESPONDE",IF(W1404="NO CORRESPONDE","NO CORRESPONDE",IF(Z1404&gt;0,"FACTURADO","PENDIENTE")))</f>
        <v>PENDIENTE</v>
      </c>
      <c r="AG1404" s="133">
        <f>IFERROR(VLOOKUP(DATA[[#This Row],[COMBINADA]],#REF!,6,0),0)</f>
        <v>0</v>
      </c>
      <c r="AH1404" s="125">
        <f>IFERROR(VLOOKUP(DATA[[#This Row],[COMBINADA]],#REF!,9,0),0)/COUNTIFS(DATA[COMBINADA],DATA[[#This Row],[COMBINADA]])</f>
        <v>0</v>
      </c>
      <c r="AI1404" s="136">
        <f>IFERROR(VLOOKUP(DATA[[#This Row],[COMBINADA]],#REF!,6,0),0)</f>
        <v>0</v>
      </c>
      <c r="AJ1404" s="132">
        <f>IFERROR(VLOOKUP(DATA[[#This Row],[COMBINADA]],#REF!,9,0),0)/COUNTIFS(DATA[COMBINADA],DATA[[#This Row],[COMBINADA]])</f>
        <v>0</v>
      </c>
      <c r="AK1404" s="131">
        <f>IFERROR(VLOOKUP(DATA[[#This Row],[COMBINADA]],#REF!,6,0),0)</f>
        <v>0</v>
      </c>
      <c r="AL1404" s="125">
        <f>IFERROR(VLOOKUP(DATA[[#This Row],[COMBINADA]],#REF!,9,0),0)/COUNTIFS(DATA[COMBINADA],DATA[[#This Row],[COMBINADA]])</f>
        <v>0</v>
      </c>
      <c r="AM1404" s="27">
        <f>IFERROR(VLOOKUP(DATA[[#This Row],[COMBINADA]],#REF!,6,0),0)</f>
        <v>0</v>
      </c>
      <c r="AN1404" s="125">
        <f>IFERROR(VLOOKUP(DATA[[#This Row],[COMBINADA]],#REF!,9,0),0)/COUNTIFS(DATA[COMBINADA],DATA[[#This Row],[COMBINADA]])</f>
        <v>0</v>
      </c>
      <c r="AO1404" s="27">
        <f>IFERROR(VLOOKUP(DATA[[#This Row],[COMBINADA]],#REF!,6,0),0)</f>
        <v>0</v>
      </c>
      <c r="AP1404" s="132">
        <f>IFERROR(VLOOKUP(DATA[[#This Row],[COMBINADA]],#REF!,9,0),0)/COUNTIFS(DATA[COMBINADA],DATA[[#This Row],[COMBINADA]])</f>
        <v>0</v>
      </c>
      <c r="AQ140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04" s="26" t="str">
        <f>IFERROR(IF(DATA[[#This Row],[estado_fact]]="FACTURADO",VLOOKUP(DATA[[#This Row],[SERIE2]]&amp;"-"&amp;DATA[[#This Row],[NUMERO]],#REF!,34,0),"NO CORRESPONDE"),"NO CORRESPONDE")</f>
        <v>NO CORRESPONDE</v>
      </c>
      <c r="AS1404" s="22" t="str">
        <f>IF(DATA[[#This Row],[fecha_fs]]&gt;0,TEXT(DATA[[#This Row],[fecha_fs]],"Mmmm"),0)</f>
        <v>Octubre</v>
      </c>
      <c r="AT1404" s="22" t="str">
        <f>DATA[[#This Row],[SERIE2]]&amp;"-"&amp;DATA[[#This Row],[NUMERO]]</f>
        <v>-</v>
      </c>
      <c r="AU1404" s="28">
        <f>DATA[[#This Row],[TOTAL]]*DATA[[#This Row],[T.C.]]</f>
        <v>442.85</v>
      </c>
      <c r="AV1404" s="6">
        <f>DATA[[#This Row],[FECHA DE VAL.]]</f>
        <v>45989</v>
      </c>
      <c r="AW1404" s="6">
        <f>DATA[[#This Row],[FECHA DE EMISION]]</f>
        <v>0</v>
      </c>
      <c r="AX1404" s="6">
        <f>DATA[[#This Row],[F1]]</f>
        <v>0</v>
      </c>
      <c r="AY1404" s="20">
        <f>IF(AV1404-DATA[[#This Row],[fecha_fs]]&lt;0,0,AV1404-DATA[[#This Row],[fecha_fs]])</f>
        <v>28</v>
      </c>
      <c r="AZ1404" s="20">
        <f t="shared" si="352"/>
        <v>0</v>
      </c>
      <c r="BA1404" s="53">
        <f t="shared" si="353"/>
        <v>0</v>
      </c>
      <c r="BB1404" s="360">
        <f>IFERROR(SUM(DATA[[#This Row],[fs_val_ttf]:[fact_pago_ttf]]),0)</f>
        <v>28</v>
      </c>
      <c r="BC1404" s="378" t="s">
        <v>270</v>
      </c>
      <c r="BD1404" s="185" t="s">
        <v>270</v>
      </c>
      <c r="BE1404" s="185" t="s">
        <v>270</v>
      </c>
      <c r="BF1404" s="185" t="s">
        <v>270</v>
      </c>
      <c r="BG1404" s="20">
        <f>IFERROR(IF(BC1404-DATA[[#This Row],[fecha_fs]]&lt;0,0,BC1404-DATA[[#This Row],[fecha_fs]]),0)</f>
        <v>0</v>
      </c>
      <c r="BH1404" s="20">
        <f t="shared" si="346"/>
        <v>0</v>
      </c>
      <c r="BI1404" s="20">
        <f t="shared" si="347"/>
        <v>0</v>
      </c>
      <c r="BJ1404" s="53">
        <f t="shared" si="348"/>
        <v>0</v>
      </c>
      <c r="BK1404" s="376">
        <f>IFERROR(SUM(DATA[[#This Row],[fs_fd_ttd]:[fend_fenf_ttd]]),0)</f>
        <v>0</v>
      </c>
      <c r="BL1404" s="20" t="str">
        <f>IF(DATA[[#This Row],[fecha_fs]]&gt;0,TEXT(DATA[[#This Row],[fecha_fs]],"YYYY"),0)</f>
        <v>2025</v>
      </c>
      <c r="BM1404" s="236" t="b">
        <v>0</v>
      </c>
      <c r="BN1404" s="278">
        <f>COUNTIF(DATA[[#This Row],[tiempo_td]], "&lt;=15")</f>
        <v>1</v>
      </c>
      <c r="BO1404" s="365"/>
    </row>
    <row r="1405" spans="1:67" ht="30.6" customHeight="1" x14ac:dyDescent="0.25">
      <c r="A1405" s="4">
        <v>20100192064</v>
      </c>
      <c r="B1405" s="5" t="s">
        <v>60</v>
      </c>
      <c r="C1405" s="52" t="s">
        <v>43</v>
      </c>
      <c r="D1405" s="4" t="s">
        <v>189</v>
      </c>
      <c r="E1405" s="5" t="s">
        <v>62</v>
      </c>
      <c r="F1405" s="24">
        <v>45959</v>
      </c>
      <c r="G1405" s="7" t="s">
        <v>113</v>
      </c>
      <c r="H1405" s="25">
        <f t="shared" si="354"/>
        <v>1</v>
      </c>
      <c r="I1405" s="331">
        <v>5186</v>
      </c>
      <c r="J1405" s="8" t="s">
        <v>115</v>
      </c>
      <c r="K1405" s="9" t="s">
        <v>190</v>
      </c>
      <c r="L1405" s="10" t="s">
        <v>117</v>
      </c>
      <c r="M1405" s="11">
        <v>7600</v>
      </c>
      <c r="N1405" s="12" t="s">
        <v>114</v>
      </c>
      <c r="O1405" s="6">
        <v>45959</v>
      </c>
      <c r="P1405" s="71">
        <v>3761</v>
      </c>
      <c r="Q1405" s="14" t="s">
        <v>123</v>
      </c>
      <c r="R1405" s="74"/>
      <c r="S1405" s="321"/>
      <c r="T1405" s="321">
        <f>DATA[[#This Row],[C. DF]]+DATA[[#This Row],[C.OPE.]]</f>
        <v>0</v>
      </c>
      <c r="U1405" s="15">
        <f>DATA[[#This Row],[SUB TOTAL]]*0.18</f>
        <v>0</v>
      </c>
      <c r="V1405" s="15">
        <f>IFERROR(ROUND(DATA[[#This Row],[SUB TOTAL]]+DATA[[#This Row],[IGV]],2),0)</f>
        <v>0</v>
      </c>
      <c r="W1405" s="339" t="str">
        <f>IF(DATA[[#This Row],[VALORIZACIÓN ]]="-","NO CORRESPONDE",IF(OR(A1405=20558226979,A1405=10470707866,A1405=20111157058,A1405=20100226902),"NO CORRESPONDE",IF(J1405="Emitida",IF(P1405&gt;0,"EMITIDA","PENDIENTE"),"NO CORRESPONDE")))</f>
        <v>EMITIDA</v>
      </c>
      <c r="X1405" s="29"/>
      <c r="Y1405" s="17" t="s">
        <v>118</v>
      </c>
      <c r="Z1405" s="30"/>
      <c r="AA1405" s="10"/>
      <c r="AB1405" s="19"/>
      <c r="AC1405" s="20"/>
      <c r="AD1405" s="18">
        <f>DATA[[#This Row],[FECHA DE EMISION]]+DATA[[#This Row],[CONDICION DE PAGO]]</f>
        <v>0</v>
      </c>
      <c r="AE1405" s="23" t="e">
        <f>IF(DATA[[#This Row],[MONEDA]]="USD",VLOOKUP(DATA[[#This Row],[COMBINADA]],#REF!,11,0),1)</f>
        <v>#REF!</v>
      </c>
      <c r="AF1405" s="129" t="s">
        <v>376</v>
      </c>
      <c r="AG1405" s="133">
        <f>IFERROR(VLOOKUP(DATA[[#This Row],[COMBINADA]],#REF!,6,0),0)</f>
        <v>0</v>
      </c>
      <c r="AH1405" s="125">
        <f>IFERROR(VLOOKUP(DATA[[#This Row],[COMBINADA]],#REF!,9,0),0)/COUNTIFS(DATA[COMBINADA],DATA[[#This Row],[COMBINADA]])</f>
        <v>0</v>
      </c>
      <c r="AI1405" s="136">
        <f>IFERROR(VLOOKUP(DATA[[#This Row],[COMBINADA]],#REF!,6,0),0)</f>
        <v>0</v>
      </c>
      <c r="AJ1405" s="132">
        <f>IFERROR(VLOOKUP(DATA[[#This Row],[COMBINADA]],#REF!,9,0),0)/COUNTIFS(DATA[COMBINADA],DATA[[#This Row],[COMBINADA]])</f>
        <v>0</v>
      </c>
      <c r="AK1405" s="131">
        <f>IFERROR(VLOOKUP(DATA[[#This Row],[COMBINADA]],#REF!,6,0),0)</f>
        <v>0</v>
      </c>
      <c r="AL1405" s="125">
        <f>IFERROR(VLOOKUP(DATA[[#This Row],[COMBINADA]],#REF!,9,0),0)/COUNTIFS(DATA[COMBINADA],DATA[[#This Row],[COMBINADA]])</f>
        <v>0</v>
      </c>
      <c r="AM1405" s="27">
        <f>IFERROR(VLOOKUP(DATA[[#This Row],[COMBINADA]],#REF!,6,0),0)</f>
        <v>0</v>
      </c>
      <c r="AN1405" s="125">
        <f>IFERROR(VLOOKUP(DATA[[#This Row],[COMBINADA]],#REF!,9,0),0)/COUNTIFS(DATA[COMBINADA],DATA[[#This Row],[COMBINADA]])</f>
        <v>0</v>
      </c>
      <c r="AO1405" s="27">
        <f>IFERROR(VLOOKUP(DATA[[#This Row],[COMBINADA]],#REF!,6,0),0)</f>
        <v>0</v>
      </c>
      <c r="AP1405" s="132">
        <f>IFERROR(VLOOKUP(DATA[[#This Row],[COMBINADA]],#REF!,9,0),0)/COUNTIFS(DATA[COMBINADA],DATA[[#This Row],[COMBINADA]])</f>
        <v>0</v>
      </c>
      <c r="AQ140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05" s="26" t="str">
        <f>IFERROR(IF(DATA[[#This Row],[estado_fact]]="FACTURADO",VLOOKUP(DATA[[#This Row],[SERIE2]]&amp;"-"&amp;DATA[[#This Row],[NUMERO]],#REF!,34,0),"NO CORRESPONDE"),"NO CORRESPONDE")</f>
        <v>NO CORRESPONDE</v>
      </c>
      <c r="AS1405" s="22" t="str">
        <f>IF(DATA[[#This Row],[fecha_fs]]&gt;0,TEXT(DATA[[#This Row],[fecha_fs]],"Mmmm"),0)</f>
        <v>Octubre</v>
      </c>
      <c r="AT1405" s="22" t="str">
        <f>DATA[[#This Row],[SERIE2]]&amp;"-"&amp;DATA[[#This Row],[NUMERO]]</f>
        <v>-</v>
      </c>
      <c r="AU1405" s="28" t="e">
        <f>DATA[[#This Row],[TOTAL]]*DATA[[#This Row],[T.C.]]</f>
        <v>#REF!</v>
      </c>
      <c r="AV1405" s="6">
        <f>DATA[[#This Row],[FECHA DE VAL.]]</f>
        <v>45959</v>
      </c>
      <c r="AW1405" s="6">
        <f>DATA[[#This Row],[FECHA DE EMISION]]</f>
        <v>0</v>
      </c>
      <c r="AX1405" s="6">
        <f>DATA[[#This Row],[F1]]</f>
        <v>0</v>
      </c>
      <c r="AY1405" s="20">
        <f>IF(AV1405-DATA[[#This Row],[fecha_fs]]&lt;0,0,AV1405-DATA[[#This Row],[fecha_fs]])</f>
        <v>0</v>
      </c>
      <c r="AZ1405" s="20">
        <f t="shared" si="352"/>
        <v>0</v>
      </c>
      <c r="BA1405" s="53">
        <f t="shared" si="353"/>
        <v>0</v>
      </c>
      <c r="BB1405" s="360">
        <f>IFERROR(SUM(DATA[[#This Row],[fs_val_ttf]:[fact_pago_ttf]]),0)</f>
        <v>0</v>
      </c>
      <c r="BC1405" s="378" t="s">
        <v>270</v>
      </c>
      <c r="BD1405" s="185" t="s">
        <v>270</v>
      </c>
      <c r="BE1405" s="185" t="s">
        <v>270</v>
      </c>
      <c r="BF1405" s="185" t="s">
        <v>270</v>
      </c>
      <c r="BG1405" s="20">
        <f>IFERROR(IF(BC1405-DATA[[#This Row],[fecha_fs]]&lt;0,0,BC1405-DATA[[#This Row],[fecha_fs]]),0)</f>
        <v>0</v>
      </c>
      <c r="BH1405" s="20">
        <f t="shared" si="346"/>
        <v>0</v>
      </c>
      <c r="BI1405" s="20">
        <f t="shared" si="347"/>
        <v>0</v>
      </c>
      <c r="BJ1405" s="53">
        <f t="shared" si="348"/>
        <v>0</v>
      </c>
      <c r="BK1405" s="376">
        <f>IFERROR(SUM(DATA[[#This Row],[fs_fd_ttd]:[fend_fenf_ttd]]),0)</f>
        <v>0</v>
      </c>
      <c r="BL1405" s="20" t="str">
        <f>IF(DATA[[#This Row],[fecha_fs]]&gt;0,TEXT(DATA[[#This Row],[fecha_fs]],"YYYY"),0)</f>
        <v>2025</v>
      </c>
      <c r="BM1405" s="236" t="b">
        <v>0</v>
      </c>
      <c r="BN1405" s="278">
        <f>COUNTIF(DATA[[#This Row],[tiempo_td]], "&lt;=15")</f>
        <v>1</v>
      </c>
      <c r="BO1405" s="365"/>
    </row>
    <row r="1406" spans="1:67" ht="30.6" customHeight="1" x14ac:dyDescent="0.25">
      <c r="A1406" s="4">
        <v>20100192064</v>
      </c>
      <c r="B1406" s="5" t="s">
        <v>60</v>
      </c>
      <c r="C1406" s="52" t="s">
        <v>43</v>
      </c>
      <c r="D1406" s="4" t="s">
        <v>183</v>
      </c>
      <c r="E1406" s="5" t="s">
        <v>61</v>
      </c>
      <c r="F1406" s="24">
        <v>45959</v>
      </c>
      <c r="G1406" s="7" t="s">
        <v>113</v>
      </c>
      <c r="H1406" s="25">
        <f t="shared" si="354"/>
        <v>1</v>
      </c>
      <c r="I1406" s="331">
        <v>5187</v>
      </c>
      <c r="J1406" s="8" t="s">
        <v>115</v>
      </c>
      <c r="K1406" s="9" t="s">
        <v>184</v>
      </c>
      <c r="L1406" s="10" t="s">
        <v>117</v>
      </c>
      <c r="M1406" s="11">
        <v>23400</v>
      </c>
      <c r="N1406" s="12" t="s">
        <v>114</v>
      </c>
      <c r="O1406" s="6">
        <v>45959</v>
      </c>
      <c r="P1406" s="71">
        <v>3760</v>
      </c>
      <c r="Q1406" s="14" t="s">
        <v>123</v>
      </c>
      <c r="R1406" s="74"/>
      <c r="S1406" s="321">
        <f>(DATA[[#This Row],[cantidad_fs]]/1000)*22</f>
        <v>514.79999999999995</v>
      </c>
      <c r="T1406" s="321">
        <f>DATA[[#This Row],[C. DF]]+DATA[[#This Row],[C.OPE.]]</f>
        <v>514.79999999999995</v>
      </c>
      <c r="U1406" s="15">
        <f>DATA[[#This Row],[SUB TOTAL]]*0.18</f>
        <v>92.663999999999987</v>
      </c>
      <c r="V1406" s="15">
        <f>IFERROR(ROUND(DATA[[#This Row],[SUB TOTAL]]+DATA[[#This Row],[IGV]],2),0)</f>
        <v>607.46</v>
      </c>
      <c r="W1406" s="339" t="str">
        <f>IF(DATA[[#This Row],[VALORIZACIÓN ]]="-","NO CORRESPONDE",IF(OR(A1406=20558226979,A1406=10470707866,A1406=20111157058,A1406=20100226902),"NO CORRESPONDE",IF(J1406="Emitida",IF(P1406&gt;0,"EMITIDA","PENDIENTE"),"NO CORRESPONDE")))</f>
        <v>EMITIDA</v>
      </c>
      <c r="X1406" s="29" t="s">
        <v>375</v>
      </c>
      <c r="Y1406" s="17" t="s">
        <v>118</v>
      </c>
      <c r="Z1406" s="30">
        <v>45961</v>
      </c>
      <c r="AA1406" s="10" t="s">
        <v>150</v>
      </c>
      <c r="AB1406" s="19">
        <v>318</v>
      </c>
      <c r="AC1406" s="20">
        <v>30</v>
      </c>
      <c r="AD1406" s="18">
        <f>DATA[[#This Row],[FECHA DE EMISION]]+DATA[[#This Row],[CONDICION DE PAGO]]</f>
        <v>45991</v>
      </c>
      <c r="AE1406" s="23" t="e">
        <f>IF(DATA[[#This Row],[MONEDA]]="USD",VLOOKUP(DATA[[#This Row],[COMBINADA]],#REF!,11,0),1)</f>
        <v>#REF!</v>
      </c>
      <c r="AF1406" s="129" t="str">
        <f>IF(DATA[[#This Row],[SERIE2]]="-","NO CORRESPONDE",IF(W1406="NO CORRESPONDE","NO CORRESPONDE",IF(Z1406&gt;0,"FACTURADO","PENDIENTE")))</f>
        <v>FACTURADO</v>
      </c>
      <c r="AG1406" s="133">
        <f>IFERROR(VLOOKUP(DATA[[#This Row],[COMBINADA]],#REF!,6,0),0)</f>
        <v>0</v>
      </c>
      <c r="AH1406" s="125">
        <f>IFERROR(VLOOKUP(DATA[[#This Row],[COMBINADA]],#REF!,9,0),0)/COUNTIFS(DATA[COMBINADA],DATA[[#This Row],[COMBINADA]])</f>
        <v>0</v>
      </c>
      <c r="AI1406" s="136">
        <f>IFERROR(VLOOKUP(DATA[[#This Row],[COMBINADA]],#REF!,6,0),0)</f>
        <v>0</v>
      </c>
      <c r="AJ1406" s="132">
        <f>IFERROR(VLOOKUP(DATA[[#This Row],[COMBINADA]],#REF!,9,0),0)/COUNTIFS(DATA[COMBINADA],DATA[[#This Row],[COMBINADA]])</f>
        <v>0</v>
      </c>
      <c r="AK1406" s="131">
        <f>IFERROR(VLOOKUP(DATA[[#This Row],[COMBINADA]],#REF!,6,0),0)</f>
        <v>0</v>
      </c>
      <c r="AL1406" s="125">
        <f>IFERROR(VLOOKUP(DATA[[#This Row],[COMBINADA]],#REF!,9,0),0)/COUNTIFS(DATA[COMBINADA],DATA[[#This Row],[COMBINADA]])</f>
        <v>0</v>
      </c>
      <c r="AM1406" s="27">
        <f>IFERROR(VLOOKUP(DATA[[#This Row],[COMBINADA]],#REF!,6,0),0)</f>
        <v>0</v>
      </c>
      <c r="AN1406" s="125">
        <f>IFERROR(VLOOKUP(DATA[[#This Row],[COMBINADA]],#REF!,9,0),0)/COUNTIFS(DATA[COMBINADA],DATA[[#This Row],[COMBINADA]])</f>
        <v>0</v>
      </c>
      <c r="AO1406" s="27">
        <f>IFERROR(VLOOKUP(DATA[[#This Row],[COMBINADA]],#REF!,6,0),0)</f>
        <v>0</v>
      </c>
      <c r="AP1406" s="132">
        <f>IFERROR(VLOOKUP(DATA[[#This Row],[COMBINADA]],#REF!,9,0),0)/COUNTIFS(DATA[COMBINADA],DATA[[#This Row],[COMBINADA]])</f>
        <v>0</v>
      </c>
      <c r="AQ140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492.32615384615383</v>
      </c>
      <c r="AR1406" s="26" t="str">
        <f>IFERROR(IF(DATA[[#This Row],[estado_fact]]="FACTURADO",VLOOKUP(DATA[[#This Row],[SERIE2]]&amp;"-"&amp;DATA[[#This Row],[NUMERO]],#REF!,34,0),"NO CORRESPONDE"),"NO CORRESPONDE")</f>
        <v>NO CORRESPONDE</v>
      </c>
      <c r="AS1406" s="22" t="str">
        <f>IF(DATA[[#This Row],[fecha_fs]]&gt;0,TEXT(DATA[[#This Row],[fecha_fs]],"Mmmm"),0)</f>
        <v>Octubre</v>
      </c>
      <c r="AT1406" s="22" t="str">
        <f>DATA[[#This Row],[SERIE2]]&amp;"-"&amp;DATA[[#This Row],[NUMERO]]</f>
        <v>FF01-318</v>
      </c>
      <c r="AU1406" s="28" t="e">
        <f>DATA[[#This Row],[TOTAL]]*DATA[[#This Row],[T.C.]]</f>
        <v>#REF!</v>
      </c>
      <c r="AV1406" s="6">
        <f>DATA[[#This Row],[FECHA DE VAL.]]</f>
        <v>45959</v>
      </c>
      <c r="AW1406" s="6">
        <f>DATA[[#This Row],[FECHA DE EMISION]]</f>
        <v>45961</v>
      </c>
      <c r="AX1406" s="6">
        <f>DATA[[#This Row],[F1]]</f>
        <v>0</v>
      </c>
      <c r="AY1406" s="20">
        <f>IF(AV1406-DATA[[#This Row],[fecha_fs]]&lt;0,0,AV1406-DATA[[#This Row],[fecha_fs]])</f>
        <v>0</v>
      </c>
      <c r="AZ1406" s="20">
        <f t="shared" si="352"/>
        <v>2</v>
      </c>
      <c r="BA1406" s="53">
        <f t="shared" si="353"/>
        <v>0</v>
      </c>
      <c r="BB1406" s="360">
        <f>IFERROR(SUM(DATA[[#This Row],[fs_val_ttf]:[fact_pago_ttf]]),0)</f>
        <v>2</v>
      </c>
      <c r="BC1406" s="378" t="s">
        <v>270</v>
      </c>
      <c r="BD1406" s="185" t="s">
        <v>270</v>
      </c>
      <c r="BE1406" s="185" t="s">
        <v>270</v>
      </c>
      <c r="BF1406" s="185" t="s">
        <v>270</v>
      </c>
      <c r="BG1406" s="20">
        <f>IFERROR(IF(BC1406-DATA[[#This Row],[fecha_fs]]&lt;0,0,BC1406-DATA[[#This Row],[fecha_fs]]),0)</f>
        <v>0</v>
      </c>
      <c r="BH1406" s="20">
        <f t="shared" si="346"/>
        <v>0</v>
      </c>
      <c r="BI1406" s="20">
        <f t="shared" si="347"/>
        <v>0</v>
      </c>
      <c r="BJ1406" s="53">
        <f t="shared" si="348"/>
        <v>0</v>
      </c>
      <c r="BK1406" s="376">
        <f>IFERROR(SUM(DATA[[#This Row],[fs_fd_ttd]:[fend_fenf_ttd]]),0)</f>
        <v>0</v>
      </c>
      <c r="BL1406" s="20" t="str">
        <f>IF(DATA[[#This Row],[fecha_fs]]&gt;0,TEXT(DATA[[#This Row],[fecha_fs]],"YYYY"),0)</f>
        <v>2025</v>
      </c>
      <c r="BM1406" s="236" t="b">
        <v>0</v>
      </c>
      <c r="BN1406" s="278">
        <f>COUNTIF(DATA[[#This Row],[tiempo_td]], "&lt;=15")</f>
        <v>1</v>
      </c>
      <c r="BO1406" s="365"/>
    </row>
    <row r="1407" spans="1:67" ht="30.6" customHeight="1" x14ac:dyDescent="0.25">
      <c r="A1407" s="4">
        <v>20100211115</v>
      </c>
      <c r="B1407" s="5" t="s">
        <v>41</v>
      </c>
      <c r="C1407" s="52" t="s">
        <v>18</v>
      </c>
      <c r="D1407" s="4" t="s">
        <v>112</v>
      </c>
      <c r="E1407" s="5" t="s">
        <v>1</v>
      </c>
      <c r="F1407" s="24">
        <v>45961</v>
      </c>
      <c r="G1407" s="7" t="s">
        <v>113</v>
      </c>
      <c r="H1407" s="25">
        <f t="shared" si="354"/>
        <v>1</v>
      </c>
      <c r="I1407" s="331">
        <v>5188</v>
      </c>
      <c r="J1407" s="8" t="s">
        <v>115</v>
      </c>
      <c r="K1407" s="9" t="s">
        <v>116</v>
      </c>
      <c r="L1407" s="10" t="s">
        <v>117</v>
      </c>
      <c r="M1407" s="11">
        <v>10</v>
      </c>
      <c r="N1407" s="12" t="s">
        <v>165</v>
      </c>
      <c r="O1407" s="6">
        <v>45989</v>
      </c>
      <c r="P1407" s="115"/>
      <c r="Q1407" s="14" t="s">
        <v>85</v>
      </c>
      <c r="R1407" s="74"/>
      <c r="S1407" s="401">
        <f>(DATA[[#This Row],[cantidad_fs]]*4.57)</f>
        <v>45.7</v>
      </c>
      <c r="T1407" s="321">
        <f>DATA[[#This Row],[C. DF]]+DATA[[#This Row],[C.OPE.]]</f>
        <v>45.7</v>
      </c>
      <c r="U1407" s="15">
        <f>DATA[[#This Row],[SUB TOTAL]]*0.18</f>
        <v>8.2260000000000009</v>
      </c>
      <c r="V1407" s="15">
        <f>IFERROR(ROUND(DATA[[#This Row],[SUB TOTAL]]+DATA[[#This Row],[IGV]],2),0)</f>
        <v>53.93</v>
      </c>
      <c r="W1407" s="339" t="str">
        <f>IF(DATA[[#This Row],[VALORIZACIÓN ]]="-","NO CORRESPONDE",IF(OR(A1407=20558226979,A1407=10470707866,A1407=20111157058,A1407=20100226902),"NO CORRESPONDE",IF(J1407="Emitida",IF(P1407&gt;0,"EMITIDA","PENDIENTE"),"NO CORRESPONDE")))</f>
        <v>PENDIENTE</v>
      </c>
      <c r="X1407" s="29"/>
      <c r="Y1407" s="17" t="s">
        <v>232</v>
      </c>
      <c r="Z1407" s="30"/>
      <c r="AA1407" s="10"/>
      <c r="AB1407" s="19"/>
      <c r="AC1407" s="20"/>
      <c r="AD1407" s="18">
        <f>DATA[[#This Row],[FECHA DE EMISION]]+DATA[[#This Row],[CONDICION DE PAGO]]</f>
        <v>0</v>
      </c>
      <c r="AE1407" s="23">
        <f>IF(DATA[[#This Row],[MONEDA]]="USD",VLOOKUP(DATA[[#This Row],[COMBINADA]],#REF!,11,0),1)</f>
        <v>1</v>
      </c>
      <c r="AF1407" s="129" t="str">
        <f>IF(DATA[[#This Row],[SERIE2]]="-","NO CORRESPONDE",IF(W1407="NO CORRESPONDE","NO CORRESPONDE",IF(Z1407&gt;0,"FACTURADO","PENDIENTE")))</f>
        <v>PENDIENTE</v>
      </c>
      <c r="AG1407" s="133">
        <f>IFERROR(VLOOKUP(DATA[[#This Row],[COMBINADA]],#REF!,6,0),0)</f>
        <v>0</v>
      </c>
      <c r="AH1407" s="125">
        <f>IFERROR(VLOOKUP(DATA[[#This Row],[COMBINADA]],#REF!,9,0),0)/COUNTIFS(DATA[COMBINADA],DATA[[#This Row],[COMBINADA]])</f>
        <v>0</v>
      </c>
      <c r="AI1407" s="136">
        <f>IFERROR(VLOOKUP(DATA[[#This Row],[COMBINADA]],#REF!,6,0),0)</f>
        <v>0</v>
      </c>
      <c r="AJ1407" s="132">
        <f>IFERROR(VLOOKUP(DATA[[#This Row],[COMBINADA]],#REF!,9,0),0)/COUNTIFS(DATA[COMBINADA],DATA[[#This Row],[COMBINADA]])</f>
        <v>0</v>
      </c>
      <c r="AK1407" s="131">
        <f>IFERROR(VLOOKUP(DATA[[#This Row],[COMBINADA]],#REF!,6,0),0)</f>
        <v>0</v>
      </c>
      <c r="AL1407" s="125">
        <f>IFERROR(VLOOKUP(DATA[[#This Row],[COMBINADA]],#REF!,9,0),0)/COUNTIFS(DATA[COMBINADA],DATA[[#This Row],[COMBINADA]])</f>
        <v>0</v>
      </c>
      <c r="AM1407" s="27">
        <f>IFERROR(VLOOKUP(DATA[[#This Row],[COMBINADA]],#REF!,6,0),0)</f>
        <v>0</v>
      </c>
      <c r="AN1407" s="125">
        <f>IFERROR(VLOOKUP(DATA[[#This Row],[COMBINADA]],#REF!,9,0),0)/COUNTIFS(DATA[COMBINADA],DATA[[#This Row],[COMBINADA]])</f>
        <v>0</v>
      </c>
      <c r="AO1407" s="27">
        <f>IFERROR(VLOOKUP(DATA[[#This Row],[COMBINADA]],#REF!,6,0),0)</f>
        <v>0</v>
      </c>
      <c r="AP1407" s="132">
        <f>IFERROR(VLOOKUP(DATA[[#This Row],[COMBINADA]],#REF!,9,0),0)/COUNTIFS(DATA[COMBINADA],DATA[[#This Row],[COMBINADA]])</f>
        <v>0</v>
      </c>
      <c r="AQ140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07" s="26" t="str">
        <f>IFERROR(IF(DATA[[#This Row],[estado_fact]]="FACTURADO",VLOOKUP(DATA[[#This Row],[SERIE2]]&amp;"-"&amp;DATA[[#This Row],[NUMERO]],#REF!,34,0),"NO CORRESPONDE"),"NO CORRESPONDE")</f>
        <v>NO CORRESPONDE</v>
      </c>
      <c r="AS1407" s="22" t="str">
        <f>IF(DATA[[#This Row],[fecha_fs]]&gt;0,TEXT(DATA[[#This Row],[fecha_fs]],"Mmmm"),0)</f>
        <v>Octubre</v>
      </c>
      <c r="AT1407" s="22" t="str">
        <f>DATA[[#This Row],[SERIE2]]&amp;"-"&amp;DATA[[#This Row],[NUMERO]]</f>
        <v>-</v>
      </c>
      <c r="AU1407" s="28">
        <f>DATA[[#This Row],[TOTAL]]*DATA[[#This Row],[T.C.]]</f>
        <v>53.93</v>
      </c>
      <c r="AV1407" s="6">
        <f>DATA[[#This Row],[FECHA DE VAL.]]</f>
        <v>45989</v>
      </c>
      <c r="AW1407" s="6">
        <f>DATA[[#This Row],[FECHA DE EMISION]]</f>
        <v>0</v>
      </c>
      <c r="AX1407" s="6">
        <f>DATA[[#This Row],[F1]]</f>
        <v>0</v>
      </c>
      <c r="AY1407" s="20">
        <f>IF(AV1407-DATA[[#This Row],[fecha_fs]]&lt;0,0,AV1407-DATA[[#This Row],[fecha_fs]])</f>
        <v>28</v>
      </c>
      <c r="AZ1407" s="20">
        <f t="shared" si="352"/>
        <v>0</v>
      </c>
      <c r="BA1407" s="53">
        <f t="shared" si="353"/>
        <v>0</v>
      </c>
      <c r="BB1407" s="360">
        <f>IFERROR(SUM(DATA[[#This Row],[fs_val_ttf]:[fact_pago_ttf]]),0)</f>
        <v>28</v>
      </c>
      <c r="BC1407" s="378" t="s">
        <v>270</v>
      </c>
      <c r="BD1407" s="185" t="s">
        <v>270</v>
      </c>
      <c r="BE1407" s="185" t="s">
        <v>270</v>
      </c>
      <c r="BF1407" s="185" t="s">
        <v>270</v>
      </c>
      <c r="BG1407" s="20">
        <f>IFERROR(IF(BC1407-DATA[[#This Row],[fecha_fs]]&lt;0,0,BC1407-DATA[[#This Row],[fecha_fs]]),0)</f>
        <v>0</v>
      </c>
      <c r="BH1407" s="20">
        <f t="shared" si="346"/>
        <v>0</v>
      </c>
      <c r="BI1407" s="20">
        <f t="shared" si="347"/>
        <v>0</v>
      </c>
      <c r="BJ1407" s="53">
        <f t="shared" si="348"/>
        <v>0</v>
      </c>
      <c r="BK1407" s="376">
        <f>IFERROR(SUM(DATA[[#This Row],[fs_fd_ttd]:[fend_fenf_ttd]]),0)</f>
        <v>0</v>
      </c>
      <c r="BL1407" s="20" t="str">
        <f>IF(DATA[[#This Row],[fecha_fs]]&gt;0,TEXT(DATA[[#This Row],[fecha_fs]],"YYYY"),0)</f>
        <v>2025</v>
      </c>
      <c r="BM1407" s="236" t="b">
        <v>0</v>
      </c>
      <c r="BN1407" s="278">
        <f>COUNTIF(DATA[[#This Row],[tiempo_td]], "&lt;=15")</f>
        <v>1</v>
      </c>
      <c r="BO1407" s="365"/>
    </row>
    <row r="1408" spans="1:67" ht="30.6" customHeight="1" x14ac:dyDescent="0.25">
      <c r="A1408" s="4">
        <v>20120788389</v>
      </c>
      <c r="B1408" s="5" t="s">
        <v>283</v>
      </c>
      <c r="C1408" s="52" t="s">
        <v>18</v>
      </c>
      <c r="D1408" s="4" t="s">
        <v>120</v>
      </c>
      <c r="E1408" s="5" t="s">
        <v>3</v>
      </c>
      <c r="F1408" s="24">
        <v>45961</v>
      </c>
      <c r="G1408" s="7" t="s">
        <v>113</v>
      </c>
      <c r="H1408" s="25">
        <f t="shared" si="354"/>
        <v>1</v>
      </c>
      <c r="I1408" s="331">
        <v>5189</v>
      </c>
      <c r="J1408" s="8" t="s">
        <v>115</v>
      </c>
      <c r="K1408" s="9" t="s">
        <v>121</v>
      </c>
      <c r="L1408" s="10" t="s">
        <v>117</v>
      </c>
      <c r="M1408" s="11">
        <v>730</v>
      </c>
      <c r="N1408" s="12" t="s">
        <v>249</v>
      </c>
      <c r="O1408" s="6">
        <v>45961</v>
      </c>
      <c r="P1408" s="319">
        <v>3775</v>
      </c>
      <c r="Q1408" s="14" t="s">
        <v>85</v>
      </c>
      <c r="R1408" s="401"/>
      <c r="S1408" s="15">
        <v>670.43</v>
      </c>
      <c r="T1408" s="321">
        <f>DATA[[#This Row],[C. DF]]+DATA[[#This Row],[C.OPE.]]</f>
        <v>670.43</v>
      </c>
      <c r="U1408" s="15">
        <f>DATA[[#This Row],[SUB TOTAL]]*0.18</f>
        <v>120.67739999999999</v>
      </c>
      <c r="V1408" s="15">
        <f>IFERROR(ROUND(DATA[[#This Row],[SUB TOTAL]]+DATA[[#This Row],[IGV]],2),0)</f>
        <v>791.11</v>
      </c>
      <c r="W1408" s="339" t="str">
        <f>IF(DATA[[#This Row],[VALORIZACIÓN ]]="-","NO CORRESPONDE",IF(OR(A1408=20558226979,A1408=10470707866,A1408=20111157058,A1408=20100226902),"NO CORRESPONDE",IF(J1408="Emitida",IF(P1408&gt;0,"EMITIDA","PENDIENTE"),"NO CORRESPONDE")))</f>
        <v>EMITIDA</v>
      </c>
      <c r="X1408" s="29"/>
      <c r="Y1408" s="17" t="s">
        <v>118</v>
      </c>
      <c r="Z1408" s="30">
        <v>45968</v>
      </c>
      <c r="AA1408" s="10" t="s">
        <v>150</v>
      </c>
      <c r="AB1408" s="19">
        <v>348</v>
      </c>
      <c r="AC1408" s="20">
        <v>15</v>
      </c>
      <c r="AD1408" s="18">
        <f>DATA[[#This Row],[FECHA DE EMISION]]+DATA[[#This Row],[CONDICION DE PAGO]]</f>
        <v>45983</v>
      </c>
      <c r="AE1408" s="23">
        <f>IF(DATA[[#This Row],[MONEDA]]="USD",VLOOKUP(DATA[[#This Row],[COMBINADA]],#REF!,11,0),1)</f>
        <v>1</v>
      </c>
      <c r="AF1408" s="129" t="str">
        <f>IF(DATA[[#This Row],[SERIE2]]="-","NO CORRESPONDE",IF(W1408="NO CORRESPONDE","NO CORRESPONDE",IF(Z1408&gt;0,"FACTURADO","PENDIENTE")))</f>
        <v>FACTURADO</v>
      </c>
      <c r="AG1408" s="133">
        <f>IFERROR(VLOOKUP(DATA[[#This Row],[COMBINADA]],#REF!,6,0),0)</f>
        <v>0</v>
      </c>
      <c r="AH1408" s="125">
        <f>IFERROR(VLOOKUP(DATA[[#This Row],[COMBINADA]],#REF!,9,0),0)/COUNTIFS(DATA[COMBINADA],DATA[[#This Row],[COMBINADA]])</f>
        <v>0</v>
      </c>
      <c r="AI1408" s="136">
        <f>IFERROR(VLOOKUP(DATA[[#This Row],[COMBINADA]],#REF!,6,0),0)</f>
        <v>0</v>
      </c>
      <c r="AJ1408" s="132">
        <f>IFERROR(VLOOKUP(DATA[[#This Row],[COMBINADA]],#REF!,9,0),0)/COUNTIFS(DATA[COMBINADA],DATA[[#This Row],[COMBINADA]])</f>
        <v>0</v>
      </c>
      <c r="AK1408" s="131">
        <f>IFERROR(VLOOKUP(DATA[[#This Row],[COMBINADA]],#REF!,6,0),0)</f>
        <v>0</v>
      </c>
      <c r="AL1408" s="125">
        <f>IFERROR(VLOOKUP(DATA[[#This Row],[COMBINADA]],#REF!,9,0),0)/COUNTIFS(DATA[COMBINADA],DATA[[#This Row],[COMBINADA]])</f>
        <v>0</v>
      </c>
      <c r="AM1408" s="27">
        <f>IFERROR(VLOOKUP(DATA[[#This Row],[COMBINADA]],#REF!,6,0),0)</f>
        <v>0</v>
      </c>
      <c r="AN1408" s="125">
        <f>IFERROR(VLOOKUP(DATA[[#This Row],[COMBINADA]],#REF!,9,0),0)/COUNTIFS(DATA[COMBINADA],DATA[[#This Row],[COMBINADA]])</f>
        <v>0</v>
      </c>
      <c r="AO1408" s="27">
        <f>IFERROR(VLOOKUP(DATA[[#This Row],[COMBINADA]],#REF!,6,0),0)</f>
        <v>0</v>
      </c>
      <c r="AP1408" s="132">
        <f>IFERROR(VLOOKUP(DATA[[#This Row],[COMBINADA]],#REF!,9,0),0)/COUNTIFS(DATA[COMBINADA],DATA[[#This Row],[COMBINADA]])</f>
        <v>0</v>
      </c>
      <c r="AQ140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791.11</v>
      </c>
      <c r="AR1408" s="26" t="str">
        <f>IFERROR(IF(DATA[[#This Row],[estado_fact]]="FACTURADO",VLOOKUP(DATA[[#This Row],[SERIE2]]&amp;"-"&amp;DATA[[#This Row],[NUMERO]],#REF!,34,0),"NO CORRESPONDE"),"NO CORRESPONDE")</f>
        <v>NO CORRESPONDE</v>
      </c>
      <c r="AS1408" s="22" t="str">
        <f>IF(DATA[[#This Row],[fecha_fs]]&gt;0,TEXT(DATA[[#This Row],[fecha_fs]],"Mmmm"),0)</f>
        <v>Octubre</v>
      </c>
      <c r="AT1408" s="22" t="str">
        <f>DATA[[#This Row],[SERIE2]]&amp;"-"&amp;DATA[[#This Row],[NUMERO]]</f>
        <v>FF01-348</v>
      </c>
      <c r="AU1408" s="28">
        <f>DATA[[#This Row],[TOTAL]]*DATA[[#This Row],[T.C.]]</f>
        <v>791.11</v>
      </c>
      <c r="AV1408" s="6">
        <f>DATA[[#This Row],[FECHA DE VAL.]]</f>
        <v>45961</v>
      </c>
      <c r="AW1408" s="6">
        <f>DATA[[#This Row],[FECHA DE EMISION]]</f>
        <v>45968</v>
      </c>
      <c r="AX1408" s="6">
        <f>DATA[[#This Row],[F1]]</f>
        <v>0</v>
      </c>
      <c r="AY1408" s="20">
        <f>IF(AV1408-DATA[[#This Row],[fecha_fs]]&lt;0,0,AV1408-DATA[[#This Row],[fecha_fs]])</f>
        <v>0</v>
      </c>
      <c r="AZ1408" s="20">
        <f t="shared" si="352"/>
        <v>7</v>
      </c>
      <c r="BA1408" s="53">
        <f t="shared" si="353"/>
        <v>0</v>
      </c>
      <c r="BB1408" s="360">
        <f>IFERROR(SUM(DATA[[#This Row],[fs_val_ttf]:[fact_pago_ttf]]),0)</f>
        <v>7</v>
      </c>
      <c r="BC1408" s="378" t="s">
        <v>270</v>
      </c>
      <c r="BD1408" s="185" t="s">
        <v>270</v>
      </c>
      <c r="BE1408" s="185" t="s">
        <v>270</v>
      </c>
      <c r="BF1408" s="185" t="s">
        <v>270</v>
      </c>
      <c r="BG1408" s="20">
        <f>IFERROR(IF(BC1408-DATA[[#This Row],[fecha_fs]]&lt;0,0,BC1408-DATA[[#This Row],[fecha_fs]]),0)</f>
        <v>0</v>
      </c>
      <c r="BH1408" s="20">
        <f t="shared" si="346"/>
        <v>0</v>
      </c>
      <c r="BI1408" s="20">
        <f t="shared" si="347"/>
        <v>0</v>
      </c>
      <c r="BJ1408" s="53">
        <f t="shared" si="348"/>
        <v>0</v>
      </c>
      <c r="BK1408" s="376">
        <f>IFERROR(SUM(DATA[[#This Row],[fs_fd_ttd]:[fend_fenf_ttd]]),0)</f>
        <v>0</v>
      </c>
      <c r="BL1408" s="20" t="str">
        <f>IF(DATA[[#This Row],[fecha_fs]]&gt;0,TEXT(DATA[[#This Row],[fecha_fs]],"YYYY"),0)</f>
        <v>2025</v>
      </c>
      <c r="BM1408" s="236" t="b">
        <v>0</v>
      </c>
      <c r="BN1408" s="278">
        <f>COUNTIF(DATA[[#This Row],[tiempo_td]], "&lt;=15")</f>
        <v>1</v>
      </c>
      <c r="BO1408" s="365"/>
    </row>
    <row r="1409" spans="1:67" ht="30.6" customHeight="1" x14ac:dyDescent="0.25">
      <c r="A1409" s="4">
        <v>20100055237</v>
      </c>
      <c r="B1409" s="5" t="s">
        <v>21</v>
      </c>
      <c r="C1409" s="52" t="s">
        <v>138</v>
      </c>
      <c r="D1409" s="4" t="s">
        <v>139</v>
      </c>
      <c r="E1409" s="5" t="s">
        <v>23</v>
      </c>
      <c r="F1409" s="24">
        <v>45961</v>
      </c>
      <c r="G1409" s="7" t="s">
        <v>113</v>
      </c>
      <c r="H1409" s="25">
        <f t="shared" si="354"/>
        <v>1</v>
      </c>
      <c r="I1409" s="331">
        <v>5190</v>
      </c>
      <c r="J1409" s="8" t="s">
        <v>115</v>
      </c>
      <c r="K1409" s="9" t="s">
        <v>121</v>
      </c>
      <c r="L1409" s="10" t="s">
        <v>117</v>
      </c>
      <c r="M1409" s="11">
        <v>140</v>
      </c>
      <c r="N1409" s="12" t="s">
        <v>167</v>
      </c>
      <c r="O1409" s="6">
        <v>45961</v>
      </c>
      <c r="P1409" s="54">
        <v>3772</v>
      </c>
      <c r="Q1409" s="14" t="s">
        <v>85</v>
      </c>
      <c r="R1409" s="74"/>
      <c r="S1409" s="401">
        <v>297.92</v>
      </c>
      <c r="T1409" s="321">
        <f>DATA[[#This Row],[C. DF]]+DATA[[#This Row],[C.OPE.]]</f>
        <v>297.92</v>
      </c>
      <c r="U1409" s="15">
        <f>DATA[[#This Row],[SUB TOTAL]]*0.18</f>
        <v>53.625599999999999</v>
      </c>
      <c r="V1409" s="15">
        <f>IFERROR(ROUND(DATA[[#This Row],[SUB TOTAL]]+DATA[[#This Row],[IGV]],2),0)</f>
        <v>351.55</v>
      </c>
      <c r="W1409" s="339" t="str">
        <f>IF(DATA[[#This Row],[VALORIZACIÓN ]]="-","NO CORRESPONDE",IF(OR(A1409=20558226979,A1409=10470707866,A1409=20111157058,A1409=20100226902),"NO CORRESPONDE",IF(J1409="Emitida",IF(P1409&gt;0,"EMITIDA","PENDIENTE"),"NO CORRESPONDE")))</f>
        <v>EMITIDA</v>
      </c>
      <c r="X1409" s="29"/>
      <c r="Y1409" s="17" t="s">
        <v>232</v>
      </c>
      <c r="Z1409" s="30"/>
      <c r="AA1409" s="10"/>
      <c r="AB1409" s="19"/>
      <c r="AC1409" s="20"/>
      <c r="AD1409" s="18">
        <f>DATA[[#This Row],[FECHA DE EMISION]]+DATA[[#This Row],[CONDICION DE PAGO]]</f>
        <v>0</v>
      </c>
      <c r="AE1409" s="23">
        <f>IF(DATA[[#This Row],[MONEDA]]="USD",VLOOKUP(DATA[[#This Row],[COMBINADA]],#REF!,11,0),1)</f>
        <v>1</v>
      </c>
      <c r="AF1409" s="129" t="str">
        <f>IF(DATA[[#This Row],[SERIE2]]="-","NO CORRESPONDE",IF(W1409="NO CORRESPONDE","NO CORRESPONDE",IF(Z1409&gt;0,"FACTURADO","PENDIENTE")))</f>
        <v>PENDIENTE</v>
      </c>
      <c r="AG1409" s="133">
        <f>IFERROR(VLOOKUP(DATA[[#This Row],[COMBINADA]],#REF!,6,0),0)</f>
        <v>0</v>
      </c>
      <c r="AH1409" s="125">
        <f>IFERROR(VLOOKUP(DATA[[#This Row],[COMBINADA]],#REF!,9,0),0)/COUNTIFS(DATA[COMBINADA],DATA[[#This Row],[COMBINADA]])</f>
        <v>0</v>
      </c>
      <c r="AI1409" s="136">
        <f>IFERROR(VLOOKUP(DATA[[#This Row],[COMBINADA]],#REF!,6,0),0)</f>
        <v>0</v>
      </c>
      <c r="AJ1409" s="132">
        <f>IFERROR(VLOOKUP(DATA[[#This Row],[COMBINADA]],#REF!,9,0),0)/COUNTIFS(DATA[COMBINADA],DATA[[#This Row],[COMBINADA]])</f>
        <v>0</v>
      </c>
      <c r="AK1409" s="131">
        <f>IFERROR(VLOOKUP(DATA[[#This Row],[COMBINADA]],#REF!,6,0),0)</f>
        <v>0</v>
      </c>
      <c r="AL1409" s="125">
        <f>IFERROR(VLOOKUP(DATA[[#This Row],[COMBINADA]],#REF!,9,0),0)/COUNTIFS(DATA[COMBINADA],DATA[[#This Row],[COMBINADA]])</f>
        <v>0</v>
      </c>
      <c r="AM1409" s="27">
        <f>IFERROR(VLOOKUP(DATA[[#This Row],[COMBINADA]],#REF!,6,0),0)</f>
        <v>0</v>
      </c>
      <c r="AN1409" s="125">
        <f>IFERROR(VLOOKUP(DATA[[#This Row],[COMBINADA]],#REF!,9,0),0)/COUNTIFS(DATA[COMBINADA],DATA[[#This Row],[COMBINADA]])</f>
        <v>0</v>
      </c>
      <c r="AO1409" s="27">
        <f>IFERROR(VLOOKUP(DATA[[#This Row],[COMBINADA]],#REF!,6,0),0)</f>
        <v>0</v>
      </c>
      <c r="AP1409" s="132">
        <f>IFERROR(VLOOKUP(DATA[[#This Row],[COMBINADA]],#REF!,9,0),0)/COUNTIFS(DATA[COMBINADA],DATA[[#This Row],[COMBINADA]])</f>
        <v>0</v>
      </c>
      <c r="AQ140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09" s="26" t="str">
        <f>IFERROR(IF(DATA[[#This Row],[estado_fact]]="FACTURADO",VLOOKUP(DATA[[#This Row],[SERIE2]]&amp;"-"&amp;DATA[[#This Row],[NUMERO]],#REF!,34,0),"NO CORRESPONDE"),"NO CORRESPONDE")</f>
        <v>NO CORRESPONDE</v>
      </c>
      <c r="AS1409" s="22" t="str">
        <f>IF(DATA[[#This Row],[fecha_fs]]&gt;0,TEXT(DATA[[#This Row],[fecha_fs]],"Mmmm"),0)</f>
        <v>Octubre</v>
      </c>
      <c r="AT1409" s="22" t="str">
        <f>DATA[[#This Row],[SERIE2]]&amp;"-"&amp;DATA[[#This Row],[NUMERO]]</f>
        <v>-</v>
      </c>
      <c r="AU1409" s="28">
        <f>DATA[[#This Row],[TOTAL]]*DATA[[#This Row],[T.C.]]</f>
        <v>351.55</v>
      </c>
      <c r="AV1409" s="6">
        <f>DATA[[#This Row],[FECHA DE VAL.]]</f>
        <v>45961</v>
      </c>
      <c r="AW1409" s="6">
        <f>DATA[[#This Row],[FECHA DE EMISION]]</f>
        <v>0</v>
      </c>
      <c r="AX1409" s="6">
        <f>DATA[[#This Row],[F1]]</f>
        <v>0</v>
      </c>
      <c r="AY1409" s="20">
        <f>IF(AV1409-DATA[[#This Row],[fecha_fs]]&lt;0,0,AV1409-DATA[[#This Row],[fecha_fs]])</f>
        <v>0</v>
      </c>
      <c r="AZ1409" s="20">
        <f t="shared" si="352"/>
        <v>0</v>
      </c>
      <c r="BA1409" s="53">
        <f t="shared" si="353"/>
        <v>0</v>
      </c>
      <c r="BB1409" s="360">
        <f>IFERROR(SUM(DATA[[#This Row],[fs_val_ttf]:[fact_pago_ttf]]),0)</f>
        <v>0</v>
      </c>
      <c r="BC1409" s="378" t="s">
        <v>270</v>
      </c>
      <c r="BD1409" s="185" t="s">
        <v>270</v>
      </c>
      <c r="BE1409" s="185" t="s">
        <v>270</v>
      </c>
      <c r="BF1409" s="185" t="s">
        <v>270</v>
      </c>
      <c r="BG1409" s="20">
        <f>IFERROR(IF(BC1409-DATA[[#This Row],[fecha_fs]]&lt;0,0,BC1409-DATA[[#This Row],[fecha_fs]]),0)</f>
        <v>0</v>
      </c>
      <c r="BH1409" s="20">
        <f t="shared" si="346"/>
        <v>0</v>
      </c>
      <c r="BI1409" s="20">
        <f t="shared" si="347"/>
        <v>0</v>
      </c>
      <c r="BJ1409" s="53">
        <f t="shared" si="348"/>
        <v>0</v>
      </c>
      <c r="BK1409" s="376">
        <f>IFERROR(SUM(DATA[[#This Row],[fs_fd_ttd]:[fend_fenf_ttd]]),0)</f>
        <v>0</v>
      </c>
      <c r="BL1409" s="20" t="str">
        <f>IF(DATA[[#This Row],[fecha_fs]]&gt;0,TEXT(DATA[[#This Row],[fecha_fs]],"YYYY"),0)</f>
        <v>2025</v>
      </c>
      <c r="BM1409" s="236" t="b">
        <v>0</v>
      </c>
      <c r="BN1409" s="278">
        <f>COUNTIF(DATA[[#This Row],[tiempo_td]], "&lt;=15")</f>
        <v>1</v>
      </c>
      <c r="BO1409" s="365"/>
    </row>
    <row r="1410" spans="1:67" ht="30.6" customHeight="1" x14ac:dyDescent="0.25">
      <c r="A1410" s="4">
        <v>20141637941</v>
      </c>
      <c r="B1410" s="5" t="s">
        <v>79</v>
      </c>
      <c r="C1410" s="52" t="s">
        <v>18</v>
      </c>
      <c r="D1410" s="4" t="s">
        <v>120</v>
      </c>
      <c r="E1410" s="5" t="s">
        <v>3</v>
      </c>
      <c r="F1410" s="24">
        <v>45964</v>
      </c>
      <c r="G1410" s="7" t="s">
        <v>113</v>
      </c>
      <c r="H1410" s="25">
        <f t="shared" si="354"/>
        <v>1</v>
      </c>
      <c r="I1410" s="331">
        <v>5191</v>
      </c>
      <c r="J1410" s="8" t="s">
        <v>115</v>
      </c>
      <c r="K1410" s="9" t="s">
        <v>121</v>
      </c>
      <c r="L1410" s="10" t="s">
        <v>117</v>
      </c>
      <c r="M1410" s="11">
        <v>930</v>
      </c>
      <c r="N1410" s="12" t="s">
        <v>249</v>
      </c>
      <c r="O1410" s="6">
        <v>45971</v>
      </c>
      <c r="P1410" s="110">
        <v>3779</v>
      </c>
      <c r="Q1410" s="14" t="s">
        <v>85</v>
      </c>
      <c r="R1410" s="401">
        <v>80</v>
      </c>
      <c r="S1410" s="401">
        <v>832</v>
      </c>
      <c r="T1410" s="321">
        <f>DATA[[#This Row],[C. DF]]+DATA[[#This Row],[C.OPE.]]</f>
        <v>912</v>
      </c>
      <c r="U1410" s="15">
        <f>DATA[[#This Row],[SUB TOTAL]]*0.18</f>
        <v>164.16</v>
      </c>
      <c r="V1410" s="15">
        <f>IFERROR(ROUND(DATA[[#This Row],[SUB TOTAL]]+DATA[[#This Row],[IGV]],2),0)</f>
        <v>1076.1600000000001</v>
      </c>
      <c r="W1410" s="339" t="str">
        <f>IF(DATA[[#This Row],[VALORIZACIÓN ]]="-","NO CORRESPONDE",IF(OR(A1410=20558226979,A1410=10470707866,A1410=20111157058,A1410=20100226902),"NO CORRESPONDE",IF(J1410="Emitida",IF(P1410&gt;0,"EMITIDA","PENDIENTE"),"NO CORRESPONDE")))</f>
        <v>EMITIDA</v>
      </c>
      <c r="X1410" s="29"/>
      <c r="Y1410" s="17" t="s">
        <v>118</v>
      </c>
      <c r="Z1410" s="30">
        <v>45971</v>
      </c>
      <c r="AA1410" s="10" t="s">
        <v>150</v>
      </c>
      <c r="AB1410" s="19">
        <v>352</v>
      </c>
      <c r="AC1410" s="20">
        <v>30</v>
      </c>
      <c r="AD1410" s="18">
        <f>DATA[[#This Row],[FECHA DE EMISION]]+DATA[[#This Row],[CONDICION DE PAGO]]</f>
        <v>46001</v>
      </c>
      <c r="AE1410" s="23">
        <f>IF(DATA[[#This Row],[MONEDA]]="USD",VLOOKUP(DATA[[#This Row],[COMBINADA]],#REF!,11,0),1)</f>
        <v>1</v>
      </c>
      <c r="AF1410" s="129" t="str">
        <f>IF(DATA[[#This Row],[SERIE2]]="-","NO CORRESPONDE",IF(W1410="NO CORRESPONDE","NO CORRESPONDE",IF(Z1410&gt;0,"FACTURADO","PENDIENTE")))</f>
        <v>FACTURADO</v>
      </c>
      <c r="AG1410" s="133">
        <f>IFERROR(VLOOKUP(DATA[[#This Row],[COMBINADA]],#REF!,6,0),0)</f>
        <v>0</v>
      </c>
      <c r="AH1410" s="125">
        <f>IFERROR(VLOOKUP(DATA[[#This Row],[COMBINADA]],#REF!,9,0),0)/COUNTIFS(DATA[COMBINADA],DATA[[#This Row],[COMBINADA]])</f>
        <v>0</v>
      </c>
      <c r="AI1410" s="136">
        <f>IFERROR(VLOOKUP(DATA[[#This Row],[COMBINADA]],#REF!,6,0),0)</f>
        <v>0</v>
      </c>
      <c r="AJ1410" s="132">
        <f>IFERROR(VLOOKUP(DATA[[#This Row],[COMBINADA]],#REF!,9,0),0)/COUNTIFS(DATA[COMBINADA],DATA[[#This Row],[COMBINADA]])</f>
        <v>0</v>
      </c>
      <c r="AK1410" s="131">
        <f>IFERROR(VLOOKUP(DATA[[#This Row],[COMBINADA]],#REF!,6,0),0)</f>
        <v>0</v>
      </c>
      <c r="AL1410" s="125">
        <f>IFERROR(VLOOKUP(DATA[[#This Row],[COMBINADA]],#REF!,9,0),0)/COUNTIFS(DATA[COMBINADA],DATA[[#This Row],[COMBINADA]])</f>
        <v>0</v>
      </c>
      <c r="AM1410" s="27">
        <f>IFERROR(VLOOKUP(DATA[[#This Row],[COMBINADA]],#REF!,6,0),0)</f>
        <v>0</v>
      </c>
      <c r="AN1410" s="125">
        <f>IFERROR(VLOOKUP(DATA[[#This Row],[COMBINADA]],#REF!,9,0),0)/COUNTIFS(DATA[COMBINADA],DATA[[#This Row],[COMBINADA]])</f>
        <v>0</v>
      </c>
      <c r="AO1410" s="27">
        <f>IFERROR(VLOOKUP(DATA[[#This Row],[COMBINADA]],#REF!,6,0),0)</f>
        <v>0</v>
      </c>
      <c r="AP1410" s="132">
        <f>IFERROR(VLOOKUP(DATA[[#This Row],[COMBINADA]],#REF!,9,0),0)/COUNTIFS(DATA[COMBINADA],DATA[[#This Row],[COMBINADA]])</f>
        <v>0</v>
      </c>
      <c r="AQ141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1101.6475</v>
      </c>
      <c r="AR1410" s="26" t="str">
        <f>IFERROR(IF(DATA[[#This Row],[estado_fact]]="FACTURADO",VLOOKUP(DATA[[#This Row],[SERIE2]]&amp;"-"&amp;DATA[[#This Row],[NUMERO]],#REF!,34,0),"NO CORRESPONDE"),"NO CORRESPONDE")</f>
        <v>NO CORRESPONDE</v>
      </c>
      <c r="AS1410" s="22" t="str">
        <f>IF(DATA[[#This Row],[fecha_fs]]&gt;0,TEXT(DATA[[#This Row],[fecha_fs]],"Mmmm"),0)</f>
        <v>Noviembre</v>
      </c>
      <c r="AT1410" s="22" t="str">
        <f>DATA[[#This Row],[SERIE2]]&amp;"-"&amp;DATA[[#This Row],[NUMERO]]</f>
        <v>FF01-352</v>
      </c>
      <c r="AU1410" s="28">
        <f>DATA[[#This Row],[TOTAL]]*DATA[[#This Row],[T.C.]]</f>
        <v>1076.1600000000001</v>
      </c>
      <c r="AV1410" s="6">
        <f>DATA[[#This Row],[FECHA DE VAL.]]</f>
        <v>45971</v>
      </c>
      <c r="AW1410" s="6">
        <f>DATA[[#This Row],[FECHA DE EMISION]]</f>
        <v>45971</v>
      </c>
      <c r="AX1410" s="6">
        <f>DATA[[#This Row],[F1]]</f>
        <v>0</v>
      </c>
      <c r="AY1410" s="20">
        <f>IF(AV1410-DATA[[#This Row],[fecha_fs]]&lt;0,0,AV1410-DATA[[#This Row],[fecha_fs]])</f>
        <v>7</v>
      </c>
      <c r="AZ1410" s="20">
        <f t="shared" si="352"/>
        <v>0</v>
      </c>
      <c r="BA1410" s="53">
        <f t="shared" si="353"/>
        <v>0</v>
      </c>
      <c r="BB1410" s="360">
        <f>IFERROR(SUM(DATA[[#This Row],[fs_val_ttf]:[fact_pago_ttf]]),0)</f>
        <v>7</v>
      </c>
      <c r="BC1410" s="378">
        <v>45964</v>
      </c>
      <c r="BD1410" s="185">
        <v>45972</v>
      </c>
      <c r="BE1410" s="185" t="s">
        <v>270</v>
      </c>
      <c r="BF1410" s="185" t="s">
        <v>270</v>
      </c>
      <c r="BG1410" s="20">
        <f>IFERROR(IF(BC1410-DATA[[#This Row],[fecha_fs]]&lt;0,0,BC1410-DATA[[#This Row],[fecha_fs]]),0)</f>
        <v>0</v>
      </c>
      <c r="BH1410" s="20">
        <f t="shared" si="346"/>
        <v>8</v>
      </c>
      <c r="BI1410" s="20">
        <f t="shared" si="347"/>
        <v>0</v>
      </c>
      <c r="BJ1410" s="53">
        <f t="shared" si="348"/>
        <v>0</v>
      </c>
      <c r="BK1410" s="376">
        <f>IFERROR(SUM(DATA[[#This Row],[fs_fd_ttd]:[fend_fenf_ttd]]),0)</f>
        <v>8</v>
      </c>
      <c r="BL1410" s="20" t="str">
        <f>IF(DATA[[#This Row],[fecha_fs]]&gt;0,TEXT(DATA[[#This Row],[fecha_fs]],"YYYY"),0)</f>
        <v>2025</v>
      </c>
      <c r="BM1410" s="236" t="b">
        <v>0</v>
      </c>
      <c r="BN1410" s="278">
        <f>COUNTIF(DATA[[#This Row],[tiempo_td]], "&lt;=15")</f>
        <v>1</v>
      </c>
      <c r="BO1410" s="365"/>
    </row>
    <row r="1411" spans="1:67" ht="30.6" customHeight="1" x14ac:dyDescent="0.25">
      <c r="A1411" s="4">
        <v>20100226902</v>
      </c>
      <c r="B1411" s="5" t="s">
        <v>24</v>
      </c>
      <c r="C1411" s="52" t="s">
        <v>18</v>
      </c>
      <c r="D1411" s="4" t="s">
        <v>120</v>
      </c>
      <c r="E1411" s="5" t="s">
        <v>3</v>
      </c>
      <c r="F1411" s="24">
        <v>45964</v>
      </c>
      <c r="G1411" s="7" t="s">
        <v>113</v>
      </c>
      <c r="H1411" s="25">
        <f t="shared" si="354"/>
        <v>1</v>
      </c>
      <c r="I1411" s="331">
        <v>5192</v>
      </c>
      <c r="J1411" s="8" t="s">
        <v>115</v>
      </c>
      <c r="K1411" s="9" t="s">
        <v>121</v>
      </c>
      <c r="L1411" s="10" t="s">
        <v>117</v>
      </c>
      <c r="M1411" s="11">
        <v>430</v>
      </c>
      <c r="N1411" s="12" t="s">
        <v>204</v>
      </c>
      <c r="O1411" s="359"/>
      <c r="P1411" s="371" t="s">
        <v>114</v>
      </c>
      <c r="Q1411" s="372"/>
      <c r="R1411" s="373"/>
      <c r="S1411" s="373"/>
      <c r="T1411" s="373">
        <v>0</v>
      </c>
      <c r="U1411" s="373">
        <v>0</v>
      </c>
      <c r="V1411" s="373">
        <v>0</v>
      </c>
      <c r="W1411" s="339" t="s">
        <v>128</v>
      </c>
      <c r="X1411" s="29"/>
      <c r="Y1411" s="17" t="s">
        <v>128</v>
      </c>
      <c r="Z1411" s="30"/>
      <c r="AA1411" s="10"/>
      <c r="AB1411" s="19"/>
      <c r="AC1411" s="20"/>
      <c r="AD1411" s="18">
        <f>DATA[[#This Row],[FECHA DE EMISION]]+DATA[[#This Row],[CONDICION DE PAGO]]</f>
        <v>0</v>
      </c>
      <c r="AE1411" s="23">
        <f>IF(DATA[[#This Row],[MONEDA]]="USD",VLOOKUP(DATA[[#This Row],[COMBINADA]],#REF!,11,0),1)</f>
        <v>1</v>
      </c>
      <c r="AF1411" s="129" t="str">
        <f>IF(DATA[[#This Row],[SERIE2]]="-","NO CORRESPONDE",IF(W1411="NO CORRESPONDE","NO CORRESPONDE",IF(Z1411&gt;0,"FACTURADO","PENDIENTE")))</f>
        <v>NO CORRESPONDE</v>
      </c>
      <c r="AG1411" s="133">
        <f>IFERROR(VLOOKUP(DATA[[#This Row],[COMBINADA]],#REF!,6,0),0)</f>
        <v>0</v>
      </c>
      <c r="AH1411" s="125">
        <f>IFERROR(VLOOKUP(DATA[[#This Row],[COMBINADA]],#REF!,9,0),0)/COUNTIFS(DATA[COMBINADA],DATA[[#This Row],[COMBINADA]])</f>
        <v>0</v>
      </c>
      <c r="AI1411" s="136">
        <f>IFERROR(VLOOKUP(DATA[[#This Row],[COMBINADA]],#REF!,6,0),0)</f>
        <v>0</v>
      </c>
      <c r="AJ1411" s="132">
        <f>IFERROR(VLOOKUP(DATA[[#This Row],[COMBINADA]],#REF!,9,0),0)/COUNTIFS(DATA[COMBINADA],DATA[[#This Row],[COMBINADA]])</f>
        <v>0</v>
      </c>
      <c r="AK1411" s="131">
        <f>IFERROR(VLOOKUP(DATA[[#This Row],[COMBINADA]],#REF!,6,0),0)</f>
        <v>0</v>
      </c>
      <c r="AL1411" s="125">
        <f>IFERROR(VLOOKUP(DATA[[#This Row],[COMBINADA]],#REF!,9,0),0)/COUNTIFS(DATA[COMBINADA],DATA[[#This Row],[COMBINADA]])</f>
        <v>0</v>
      </c>
      <c r="AM1411" s="27">
        <f>IFERROR(VLOOKUP(DATA[[#This Row],[COMBINADA]],#REF!,6,0),0)</f>
        <v>0</v>
      </c>
      <c r="AN1411" s="125">
        <f>IFERROR(VLOOKUP(DATA[[#This Row],[COMBINADA]],#REF!,9,0),0)/COUNTIFS(DATA[COMBINADA],DATA[[#This Row],[COMBINADA]])</f>
        <v>0</v>
      </c>
      <c r="AO1411" s="27">
        <f>IFERROR(VLOOKUP(DATA[[#This Row],[COMBINADA]],#REF!,6,0),0)</f>
        <v>0</v>
      </c>
      <c r="AP1411" s="132">
        <f>IFERROR(VLOOKUP(DATA[[#This Row],[COMBINADA]],#REF!,9,0),0)/COUNTIFS(DATA[COMBINADA],DATA[[#This Row],[COMBINADA]])</f>
        <v>0</v>
      </c>
      <c r="AQ141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11" s="26" t="str">
        <f>IFERROR(IF(DATA[[#This Row],[estado_fact]]="FACTURADO",VLOOKUP(DATA[[#This Row],[SERIE2]]&amp;"-"&amp;DATA[[#This Row],[NUMERO]],#REF!,34,0),"NO CORRESPONDE"),"NO CORRESPONDE")</f>
        <v>NO CORRESPONDE</v>
      </c>
      <c r="AS1411" s="22" t="str">
        <f>IF(DATA[[#This Row],[fecha_fs]]&gt;0,TEXT(DATA[[#This Row],[fecha_fs]],"Mmmm"),0)</f>
        <v>Noviembre</v>
      </c>
      <c r="AT1411" s="22" t="str">
        <f>DATA[[#This Row],[SERIE2]]&amp;"-"&amp;DATA[[#This Row],[NUMERO]]</f>
        <v>-</v>
      </c>
      <c r="AU1411" s="28">
        <f>DATA[[#This Row],[TOTAL]]*DATA[[#This Row],[T.C.]]</f>
        <v>0</v>
      </c>
      <c r="AV1411" s="6">
        <f>DATA[[#This Row],[FECHA DE VAL.]]</f>
        <v>0</v>
      </c>
      <c r="AW1411" s="6">
        <f>DATA[[#This Row],[FECHA DE EMISION]]</f>
        <v>0</v>
      </c>
      <c r="AX1411" s="6">
        <f>DATA[[#This Row],[F1]]</f>
        <v>0</v>
      </c>
      <c r="AY1411" s="20">
        <f>IF(AV1411-DATA[[#This Row],[fecha_fs]]&lt;0,0,AV1411-DATA[[#This Row],[fecha_fs]])</f>
        <v>0</v>
      </c>
      <c r="AZ1411" s="20">
        <f t="shared" si="352"/>
        <v>0</v>
      </c>
      <c r="BA1411" s="53">
        <f t="shared" si="353"/>
        <v>0</v>
      </c>
      <c r="BB1411" s="360">
        <f>IFERROR(SUM(DATA[[#This Row],[fs_val_ttf]:[fact_pago_ttf]]),0)</f>
        <v>0</v>
      </c>
      <c r="BC1411" s="378">
        <v>45951</v>
      </c>
      <c r="BD1411" s="377">
        <v>45967</v>
      </c>
      <c r="BE1411" s="185">
        <v>45967</v>
      </c>
      <c r="BF1411" s="185" t="s">
        <v>270</v>
      </c>
      <c r="BG1411" s="20">
        <f>IFERROR(IF(BC1411-DATA[[#This Row],[fecha_fs]]&lt;0,0,BC1411-DATA[[#This Row],[fecha_fs]]),0)</f>
        <v>0</v>
      </c>
      <c r="BH1411" s="20">
        <f t="shared" si="346"/>
        <v>16</v>
      </c>
      <c r="BI1411" s="20">
        <f t="shared" si="347"/>
        <v>0</v>
      </c>
      <c r="BJ1411" s="53">
        <f t="shared" si="348"/>
        <v>0</v>
      </c>
      <c r="BK1411" s="376">
        <f>IFERROR(SUM(DATA[[#This Row],[fs_fd_ttd]:[fend_fenf_ttd]]),0)</f>
        <v>16</v>
      </c>
      <c r="BL1411" s="20" t="str">
        <f>IF(DATA[[#This Row],[fecha_fs]]&gt;0,TEXT(DATA[[#This Row],[fecha_fs]],"YYYY"),0)</f>
        <v>2025</v>
      </c>
      <c r="BM1411" s="236" t="b">
        <v>0</v>
      </c>
      <c r="BN1411" s="278">
        <f>COUNTIF(DATA[[#This Row],[tiempo_td]], "&lt;=15")</f>
        <v>0</v>
      </c>
      <c r="BO1411" s="365"/>
    </row>
    <row r="1412" spans="1:67" ht="30.6" customHeight="1" x14ac:dyDescent="0.25">
      <c r="A1412" s="4">
        <v>20141637941</v>
      </c>
      <c r="B1412" s="5" t="s">
        <v>79</v>
      </c>
      <c r="C1412" s="52" t="s">
        <v>18</v>
      </c>
      <c r="D1412" s="4" t="s">
        <v>120</v>
      </c>
      <c r="E1412" s="5" t="s">
        <v>3</v>
      </c>
      <c r="F1412" s="24">
        <v>45961</v>
      </c>
      <c r="G1412" s="7" t="s">
        <v>113</v>
      </c>
      <c r="H1412" s="25">
        <f t="shared" si="354"/>
        <v>1</v>
      </c>
      <c r="I1412" s="331">
        <v>5193</v>
      </c>
      <c r="J1412" s="8" t="s">
        <v>115</v>
      </c>
      <c r="K1412" s="9" t="s">
        <v>121</v>
      </c>
      <c r="L1412" s="10" t="s">
        <v>117</v>
      </c>
      <c r="M1412" s="11">
        <v>800</v>
      </c>
      <c r="N1412" s="12" t="s">
        <v>249</v>
      </c>
      <c r="O1412" s="6">
        <v>45961</v>
      </c>
      <c r="P1412" s="110">
        <v>3774</v>
      </c>
      <c r="Q1412" s="14" t="s">
        <v>85</v>
      </c>
      <c r="R1412" s="401">
        <v>80</v>
      </c>
      <c r="S1412" s="401">
        <v>832</v>
      </c>
      <c r="T1412" s="321">
        <f>DATA[[#This Row],[C. DF]]+DATA[[#This Row],[C.OPE.]]</f>
        <v>912</v>
      </c>
      <c r="U1412" s="15">
        <f>DATA[[#This Row],[SUB TOTAL]]*0.18</f>
        <v>164.16</v>
      </c>
      <c r="V1412" s="15">
        <f>IFERROR(ROUND(DATA[[#This Row],[SUB TOTAL]]+DATA[[#This Row],[IGV]],2),0)</f>
        <v>1076.1600000000001</v>
      </c>
      <c r="W1412" s="339" t="str">
        <f>IF(DATA[[#This Row],[VALORIZACIÓN ]]="-","NO CORRESPONDE",IF(OR(A1412=20558226979,A1412=10470707866,A1412=20111157058,A1412=20100226902),"NO CORRESPONDE",IF(J1412="Emitida",IF(P1412&gt;0,"EMITIDA","PENDIENTE"),"NO CORRESPONDE")))</f>
        <v>EMITIDA</v>
      </c>
      <c r="X1412" s="29"/>
      <c r="Y1412" s="17" t="s">
        <v>118</v>
      </c>
      <c r="Z1412" s="30">
        <v>45965</v>
      </c>
      <c r="AA1412" s="10" t="s">
        <v>150</v>
      </c>
      <c r="AB1412" s="19">
        <v>334</v>
      </c>
      <c r="AC1412" s="20">
        <v>30</v>
      </c>
      <c r="AD1412" s="18">
        <f>DATA[[#This Row],[FECHA DE EMISION]]+DATA[[#This Row],[CONDICION DE PAGO]]</f>
        <v>45995</v>
      </c>
      <c r="AE1412" s="23">
        <f>IF(DATA[[#This Row],[MONEDA]]="USD",VLOOKUP(DATA[[#This Row],[COMBINADA]],#REF!,11,0),1)</f>
        <v>1</v>
      </c>
      <c r="AF1412" s="129" t="str">
        <f>IF(DATA[[#This Row],[SERIE2]]="-","NO CORRESPONDE",IF(W1412="NO CORRESPONDE","NO CORRESPONDE",IF(Z1412&gt;0,"FACTURADO","PENDIENTE")))</f>
        <v>FACTURADO</v>
      </c>
      <c r="AG1412" s="133">
        <f>IFERROR(VLOOKUP(DATA[[#This Row],[COMBINADA]],#REF!,6,0),0)</f>
        <v>0</v>
      </c>
      <c r="AH1412" s="125">
        <f>IFERROR(VLOOKUP(DATA[[#This Row],[COMBINADA]],#REF!,9,0),0)/COUNTIFS(DATA[COMBINADA],DATA[[#This Row],[COMBINADA]])</f>
        <v>0</v>
      </c>
      <c r="AI1412" s="136">
        <f>IFERROR(VLOOKUP(DATA[[#This Row],[COMBINADA]],#REF!,6,0),0)</f>
        <v>0</v>
      </c>
      <c r="AJ1412" s="132">
        <f>IFERROR(VLOOKUP(DATA[[#This Row],[COMBINADA]],#REF!,9,0),0)/COUNTIFS(DATA[COMBINADA],DATA[[#This Row],[COMBINADA]])</f>
        <v>0</v>
      </c>
      <c r="AK1412" s="131">
        <f>IFERROR(VLOOKUP(DATA[[#This Row],[COMBINADA]],#REF!,6,0),0)</f>
        <v>0</v>
      </c>
      <c r="AL1412" s="125">
        <f>IFERROR(VLOOKUP(DATA[[#This Row],[COMBINADA]],#REF!,9,0),0)/COUNTIFS(DATA[COMBINADA],DATA[[#This Row],[COMBINADA]])</f>
        <v>0</v>
      </c>
      <c r="AM1412" s="27">
        <f>IFERROR(VLOOKUP(DATA[[#This Row],[COMBINADA]],#REF!,6,0),0)</f>
        <v>0</v>
      </c>
      <c r="AN1412" s="125">
        <f>IFERROR(VLOOKUP(DATA[[#This Row],[COMBINADA]],#REF!,9,0),0)/COUNTIFS(DATA[COMBINADA],DATA[[#This Row],[COMBINADA]])</f>
        <v>0</v>
      </c>
      <c r="AO1412" s="27">
        <f>IFERROR(VLOOKUP(DATA[[#This Row],[COMBINADA]],#REF!,6,0),0)</f>
        <v>0</v>
      </c>
      <c r="AP1412" s="132">
        <f>IFERROR(VLOOKUP(DATA[[#This Row],[COMBINADA]],#REF!,9,0),0)/COUNTIFS(DATA[COMBINADA],DATA[[#This Row],[COMBINADA]])</f>
        <v>0</v>
      </c>
      <c r="AQ141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1080.5666666666666</v>
      </c>
      <c r="AR1412" s="26" t="str">
        <f>IFERROR(IF(DATA[[#This Row],[estado_fact]]="FACTURADO",VLOOKUP(DATA[[#This Row],[SERIE2]]&amp;"-"&amp;DATA[[#This Row],[NUMERO]],#REF!,34,0),"NO CORRESPONDE"),"NO CORRESPONDE")</f>
        <v>NO CORRESPONDE</v>
      </c>
      <c r="AS1412" s="22" t="str">
        <f>IF(DATA[[#This Row],[fecha_fs]]&gt;0,TEXT(DATA[[#This Row],[fecha_fs]],"Mmmm"),0)</f>
        <v>Octubre</v>
      </c>
      <c r="AT1412" s="22" t="str">
        <f>DATA[[#This Row],[SERIE2]]&amp;"-"&amp;DATA[[#This Row],[NUMERO]]</f>
        <v>FF01-334</v>
      </c>
      <c r="AU1412" s="28">
        <f>DATA[[#This Row],[TOTAL]]*DATA[[#This Row],[T.C.]]</f>
        <v>1076.1600000000001</v>
      </c>
      <c r="AV1412" s="6">
        <f>DATA[[#This Row],[FECHA DE VAL.]]</f>
        <v>45961</v>
      </c>
      <c r="AW1412" s="6">
        <f>DATA[[#This Row],[FECHA DE EMISION]]</f>
        <v>45965</v>
      </c>
      <c r="AX1412" s="6">
        <f>DATA[[#This Row],[F1]]</f>
        <v>0</v>
      </c>
      <c r="AY1412" s="20">
        <f>IF(AV1412-DATA[[#This Row],[fecha_fs]]&lt;0,0,AV1412-DATA[[#This Row],[fecha_fs]])</f>
        <v>0</v>
      </c>
      <c r="AZ1412" s="20">
        <f t="shared" si="352"/>
        <v>4</v>
      </c>
      <c r="BA1412" s="53">
        <f t="shared" si="353"/>
        <v>0</v>
      </c>
      <c r="BB1412" s="360">
        <f>IFERROR(SUM(DATA[[#This Row],[fs_val_ttf]:[fact_pago_ttf]]),0)</f>
        <v>4</v>
      </c>
      <c r="BC1412" s="378">
        <v>45961</v>
      </c>
      <c r="BD1412" s="185">
        <v>45967</v>
      </c>
      <c r="BE1412" s="185">
        <v>45967</v>
      </c>
      <c r="BF1412" s="185">
        <v>45967</v>
      </c>
      <c r="BG1412" s="20">
        <f>IFERROR(IF(BC1412-DATA[[#This Row],[fecha_fs]]&lt;0,0,BC1412-DATA[[#This Row],[fecha_fs]]),0)</f>
        <v>0</v>
      </c>
      <c r="BH1412" s="20">
        <f t="shared" si="346"/>
        <v>6</v>
      </c>
      <c r="BI1412" s="20">
        <f t="shared" si="347"/>
        <v>0</v>
      </c>
      <c r="BJ1412" s="53">
        <f t="shared" si="348"/>
        <v>0</v>
      </c>
      <c r="BK1412" s="376">
        <f>IFERROR(SUM(DATA[[#This Row],[fs_fd_ttd]:[fend_fenf_ttd]]),0)</f>
        <v>6</v>
      </c>
      <c r="BL1412" s="20" t="str">
        <f>IF(DATA[[#This Row],[fecha_fs]]&gt;0,TEXT(DATA[[#This Row],[fecha_fs]],"YYYY"),0)</f>
        <v>2025</v>
      </c>
      <c r="BM1412" s="236" t="b">
        <v>1</v>
      </c>
      <c r="BN1412" s="278">
        <f>COUNTIF(DATA[[#This Row],[tiempo_td]], "&lt;=15")</f>
        <v>1</v>
      </c>
      <c r="BO1412" s="365"/>
    </row>
    <row r="1413" spans="1:67" ht="30.6" customHeight="1" x14ac:dyDescent="0.25">
      <c r="A1413" s="4">
        <v>20602213871</v>
      </c>
      <c r="B1413" s="5" t="s">
        <v>378</v>
      </c>
      <c r="C1413" s="52" t="s">
        <v>65</v>
      </c>
      <c r="D1413" s="4" t="s">
        <v>290</v>
      </c>
      <c r="E1413" s="5" t="s">
        <v>294</v>
      </c>
      <c r="F1413" s="24">
        <v>45961</v>
      </c>
      <c r="G1413" s="7" t="s">
        <v>142</v>
      </c>
      <c r="H1413" s="25">
        <f t="shared" ref="H1413:H1414" si="355">IF(G1413="","",IF(G1413="LIM",2,1))</f>
        <v>2</v>
      </c>
      <c r="I1413" s="67">
        <v>1158</v>
      </c>
      <c r="J1413" s="8" t="s">
        <v>115</v>
      </c>
      <c r="K1413" s="9" t="s">
        <v>195</v>
      </c>
      <c r="L1413" s="10" t="s">
        <v>117</v>
      </c>
      <c r="M1413" s="11">
        <v>820</v>
      </c>
      <c r="N1413" s="12" t="s">
        <v>180</v>
      </c>
      <c r="O1413" s="6">
        <v>45961</v>
      </c>
      <c r="P1413" s="13">
        <v>3776</v>
      </c>
      <c r="Q1413" s="14" t="s">
        <v>85</v>
      </c>
      <c r="R1413" s="321">
        <v>350</v>
      </c>
      <c r="S1413" s="321">
        <v>1500</v>
      </c>
      <c r="T1413" s="321">
        <f>DATA[[#This Row],[C. DF]]+DATA[[#This Row],[C.OPE.]]</f>
        <v>1850</v>
      </c>
      <c r="U1413" s="15">
        <f>DATA[[#This Row],[SUB TOTAL]]*0.18</f>
        <v>333</v>
      </c>
      <c r="V1413" s="15">
        <f>IFERROR(ROUND(DATA[[#This Row],[SUB TOTAL]]+DATA[[#This Row],[IGV]],2),0)</f>
        <v>2183</v>
      </c>
      <c r="W1413" s="16" t="str">
        <f>IF(DATA[[#This Row],[VALORIZACIÓN ]]="-","NO CORRESPONDE",IF(OR(A1413=20558226979,A1413=10470707866,A1413=20111157058,A1413=20100226902),"NO CORRESPONDE",IF(J1413="Emitida",IF(P1413&gt;0,"EMITIDA","PENDIENTE"),"NO CORRESPONDE")))</f>
        <v>EMITIDA</v>
      </c>
      <c r="X1413" s="29"/>
      <c r="Y1413" s="17" t="s">
        <v>118</v>
      </c>
      <c r="Z1413" s="30">
        <v>45974</v>
      </c>
      <c r="AA1413" s="10" t="s">
        <v>150</v>
      </c>
      <c r="AB1413" s="19">
        <v>356</v>
      </c>
      <c r="AC1413" s="20">
        <v>5</v>
      </c>
      <c r="AD1413" s="18">
        <f>DATA[[#This Row],[FECHA DE EMISION]]+DATA[[#This Row],[CONDICION DE PAGO]]</f>
        <v>45979</v>
      </c>
      <c r="AE1413" s="23">
        <f>IF(DATA[[#This Row],[MONEDA]]="USD",VLOOKUP(DATA[[#This Row],[COMBINADA]],#REF!,11,0),1)</f>
        <v>1</v>
      </c>
      <c r="AF1413" s="129" t="str">
        <f>IF(DATA[[#This Row],[SERIE2]]="-","NO CORRESPONDE",IF(W1413="NO CORRESPONDE","NO CORRESPONDE",IF(Z1413&gt;0,"FACTURADO","PENDIENTE")))</f>
        <v>FACTURADO</v>
      </c>
      <c r="AG1413" s="27">
        <f>IFERROR(VLOOKUP(DATA[[#This Row],[COMBINADA]],#REF!,6,0),0)</f>
        <v>0</v>
      </c>
      <c r="AH1413" s="130">
        <f>IFERROR(VLOOKUP(DATA[[#This Row],[COMBINADA]],#REF!,9,0),0)/COUNTIFS(DATA[COMBINADA],DATA[[#This Row],[COMBINADA]])</f>
        <v>0</v>
      </c>
      <c r="AI1413" s="131">
        <f>IFERROR(VLOOKUP(DATA[[#This Row],[COMBINADA]],#REF!,6,0),0)</f>
        <v>0</v>
      </c>
      <c r="AJ1413" s="132">
        <f>IFERROR(VLOOKUP(DATA[[#This Row],[COMBINADA]],#REF!,9,0),0)/COUNTIFS(DATA[COMBINADA],DATA[[#This Row],[COMBINADA]])</f>
        <v>0</v>
      </c>
      <c r="AK1413" s="131">
        <f>IFERROR(VLOOKUP(DATA[[#This Row],[COMBINADA]],#REF!,6,0),0)</f>
        <v>0</v>
      </c>
      <c r="AL1413" s="125">
        <f>IFERROR(VLOOKUP(DATA[[#This Row],[COMBINADA]],#REF!,9,0),0)/COUNTIFS(DATA[COMBINADA],DATA[[#This Row],[COMBINADA]])</f>
        <v>0</v>
      </c>
      <c r="AM1413" s="27">
        <f>IFERROR(VLOOKUP(DATA[[#This Row],[COMBINADA]],#REF!,6,0),0)</f>
        <v>0</v>
      </c>
      <c r="AN1413" s="125">
        <f>IFERROR(VLOOKUP(DATA[[#This Row],[COMBINADA]],#REF!,9,0),0)/COUNTIFS(DATA[COMBINADA],DATA[[#This Row],[COMBINADA]])</f>
        <v>0</v>
      </c>
      <c r="AO1413" s="27">
        <f>IFERROR(VLOOKUP(DATA[[#This Row],[COMBINADA]],#REF!,6,0),0)</f>
        <v>0</v>
      </c>
      <c r="AP1413" s="132">
        <f>IFERROR(VLOOKUP(DATA[[#This Row],[COMBINADA]],#REF!,9,0),0)/COUNTIFS(DATA[COMBINADA],DATA[[#This Row],[COMBINADA]])</f>
        <v>0</v>
      </c>
      <c r="AQ141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2183</v>
      </c>
      <c r="AR1413" s="26" t="str">
        <f>IFERROR(IF(DATA[[#This Row],[estado_fact]]="FACTURADO",VLOOKUP(DATA[[#This Row],[SERIE2]]&amp;"-"&amp;DATA[[#This Row],[NUMERO]],#REF!,34,0),"NO CORRESPONDE"),"NO CORRESPONDE")</f>
        <v>NO CORRESPONDE</v>
      </c>
      <c r="AS1413" s="22" t="str">
        <f>IF(DATA[[#This Row],[fecha_fs]]&gt;0,TEXT(DATA[[#This Row],[fecha_fs]],"Mmmm"),0)</f>
        <v>Octubre</v>
      </c>
      <c r="AT1413" s="22" t="str">
        <f>DATA[[#This Row],[SERIE2]]&amp;"-"&amp;DATA[[#This Row],[NUMERO]]</f>
        <v>FF01-356</v>
      </c>
      <c r="AU1413" s="28">
        <f>DATA[[#This Row],[TOTAL]]*DATA[[#This Row],[T.C.]]</f>
        <v>2183</v>
      </c>
      <c r="AV1413" s="6">
        <f>DATA[[#This Row],[FECHA DE VAL.]]</f>
        <v>45961</v>
      </c>
      <c r="AW1413" s="6">
        <f>DATA[[#This Row],[FECHA DE EMISION]]</f>
        <v>45974</v>
      </c>
      <c r="AX1413" s="6">
        <f>DATA[[#This Row],[F1]]</f>
        <v>0</v>
      </c>
      <c r="AY1413" s="20">
        <f>IF(AV1413-DATA[[#This Row],[fecha_fs]]&lt;0,0,AV1413-DATA[[#This Row],[fecha_fs]])</f>
        <v>0</v>
      </c>
      <c r="AZ1413" s="20">
        <f t="shared" ref="AZ1413:AZ1414" si="356">IF(AW1413-AV1413&lt;0,0,AW1413-AV1413)</f>
        <v>13</v>
      </c>
      <c r="BA1413" s="53">
        <f t="shared" ref="BA1413:BA1414" si="357">IF(AX1413-AW1413&lt;0,0,AX1413-AW1413)</f>
        <v>0</v>
      </c>
      <c r="BB1413" s="360">
        <f>IFERROR(SUM(DATA[[#This Row],[fs_val_ttf]:[fact_pago_ttf]]),0)</f>
        <v>13</v>
      </c>
      <c r="BC1413" s="378" t="s">
        <v>270</v>
      </c>
      <c r="BD1413" s="185" t="s">
        <v>270</v>
      </c>
      <c r="BE1413" s="185" t="s">
        <v>270</v>
      </c>
      <c r="BF1413" s="185" t="s">
        <v>270</v>
      </c>
      <c r="BG1413" s="20">
        <f>IFERROR(IF(BC1413-DATA[[#This Row],[fecha_fs]]&lt;0,0,BC1413-DATA[[#This Row],[fecha_fs]]),0)</f>
        <v>0</v>
      </c>
      <c r="BH1413" s="20">
        <f t="shared" si="346"/>
        <v>0</v>
      </c>
      <c r="BI1413" s="20">
        <f t="shared" si="347"/>
        <v>0</v>
      </c>
      <c r="BJ1413" s="53">
        <f t="shared" si="348"/>
        <v>0</v>
      </c>
      <c r="BK1413" s="376">
        <f>IFERROR(SUM(DATA[[#This Row],[fs_fd_ttd]:[fend_fenf_ttd]]),0)</f>
        <v>0</v>
      </c>
      <c r="BL1413" s="20" t="str">
        <f>IF(DATA[[#This Row],[fecha_fs]]&gt;0,TEXT(DATA[[#This Row],[fecha_fs]],"YYYY"),0)</f>
        <v>2025</v>
      </c>
      <c r="BM1413" s="236" t="b">
        <v>0</v>
      </c>
      <c r="BN1413" s="278">
        <f>COUNTIF(DATA[[#This Row],[tiempo_td]], "&lt;=15")</f>
        <v>1</v>
      </c>
      <c r="BO1413" s="365"/>
    </row>
    <row r="1414" spans="1:67" ht="30.6" customHeight="1" x14ac:dyDescent="0.25">
      <c r="A1414" s="4">
        <v>20100192064</v>
      </c>
      <c r="B1414" s="5" t="s">
        <v>60</v>
      </c>
      <c r="C1414" s="52" t="s">
        <v>65</v>
      </c>
      <c r="D1414" s="4" t="s">
        <v>120</v>
      </c>
      <c r="E1414" s="5" t="s">
        <v>3</v>
      </c>
      <c r="F1414" s="24">
        <v>45961</v>
      </c>
      <c r="G1414" s="7" t="s">
        <v>142</v>
      </c>
      <c r="H1414" s="25">
        <f t="shared" si="355"/>
        <v>2</v>
      </c>
      <c r="I1414" s="67">
        <v>1159</v>
      </c>
      <c r="J1414" s="8" t="s">
        <v>115</v>
      </c>
      <c r="K1414" s="9" t="s">
        <v>121</v>
      </c>
      <c r="L1414" s="10" t="s">
        <v>117</v>
      </c>
      <c r="M1414" s="11">
        <v>630</v>
      </c>
      <c r="N1414" s="12" t="s">
        <v>180</v>
      </c>
      <c r="O1414" s="6">
        <v>45987</v>
      </c>
      <c r="P1414" s="71"/>
      <c r="Q1414" s="14" t="s">
        <v>123</v>
      </c>
      <c r="R1414" s="206">
        <f>(DATA[[#This Row],[cantidad_fs]]/1000)*(37+81.01)</f>
        <v>74.346299999999999</v>
      </c>
      <c r="S1414" s="15">
        <v>103.6</v>
      </c>
      <c r="T1414" s="321">
        <f>DATA[[#This Row],[C. DF]]+DATA[[#This Row],[C.OPE.]]</f>
        <v>177.94630000000001</v>
      </c>
      <c r="U1414" s="15">
        <f>DATA[[#This Row],[SUB TOTAL]]*0.18</f>
        <v>32.030334000000003</v>
      </c>
      <c r="V1414" s="15">
        <f>IFERROR(ROUND(DATA[[#This Row],[SUB TOTAL]]+DATA[[#This Row],[IGV]],2),0)</f>
        <v>209.98</v>
      </c>
      <c r="W1414" s="16" t="str">
        <f>IF(DATA[[#This Row],[VALORIZACIÓN ]]="-","NO CORRESPONDE",IF(OR(A1414=20558226979,A1414=10470707866,A1414=20111157058,A1414=20100226902),"NO CORRESPONDE",IF(J1414="Emitida",IF(P1414&gt;0,"EMITIDA","PENDIENTE"),"NO CORRESPONDE")))</f>
        <v>PENDIENTE</v>
      </c>
      <c r="X1414" s="29"/>
      <c r="Y1414" s="17" t="s">
        <v>232</v>
      </c>
      <c r="Z1414" s="30"/>
      <c r="AA1414" s="10"/>
      <c r="AB1414" s="19"/>
      <c r="AC1414" s="20"/>
      <c r="AD1414" s="18">
        <f>DATA[[#This Row],[FECHA DE EMISION]]+DATA[[#This Row],[CONDICION DE PAGO]]</f>
        <v>0</v>
      </c>
      <c r="AE1414" s="23" t="e">
        <f>IF(DATA[[#This Row],[MONEDA]]="USD",VLOOKUP(DATA[[#This Row],[COMBINADA]],#REF!,11,0),1)</f>
        <v>#REF!</v>
      </c>
      <c r="AF1414" s="129" t="str">
        <f>IF(DATA[[#This Row],[SERIE2]]="-","NO CORRESPONDE",IF(W1414="NO CORRESPONDE","NO CORRESPONDE",IF(Z1414&gt;0,"FACTURADO","PENDIENTE")))</f>
        <v>PENDIENTE</v>
      </c>
      <c r="AG1414" s="27">
        <f>IFERROR(VLOOKUP(DATA[[#This Row],[COMBINADA]],#REF!,6,0),0)</f>
        <v>0</v>
      </c>
      <c r="AH1414" s="130">
        <f>IFERROR(VLOOKUP(DATA[[#This Row],[COMBINADA]],#REF!,9,0),0)/COUNTIFS(DATA[COMBINADA],DATA[[#This Row],[COMBINADA]])</f>
        <v>0</v>
      </c>
      <c r="AI1414" s="131">
        <f>IFERROR(VLOOKUP(DATA[[#This Row],[COMBINADA]],#REF!,6,0),0)</f>
        <v>0</v>
      </c>
      <c r="AJ1414" s="132">
        <f>IFERROR(VLOOKUP(DATA[[#This Row],[COMBINADA]],#REF!,9,0),0)/COUNTIFS(DATA[COMBINADA],DATA[[#This Row],[COMBINADA]])</f>
        <v>0</v>
      </c>
      <c r="AK1414" s="131">
        <f>IFERROR(VLOOKUP(DATA[[#This Row],[COMBINADA]],#REF!,6,0),0)</f>
        <v>0</v>
      </c>
      <c r="AL1414" s="125">
        <f>IFERROR(VLOOKUP(DATA[[#This Row],[COMBINADA]],#REF!,9,0),0)/COUNTIFS(DATA[COMBINADA],DATA[[#This Row],[COMBINADA]])</f>
        <v>0</v>
      </c>
      <c r="AM1414" s="27">
        <f>IFERROR(VLOOKUP(DATA[[#This Row],[COMBINADA]],#REF!,6,0),0)</f>
        <v>0</v>
      </c>
      <c r="AN1414" s="125">
        <f>IFERROR(VLOOKUP(DATA[[#This Row],[COMBINADA]],#REF!,9,0),0)/COUNTIFS(DATA[COMBINADA],DATA[[#This Row],[COMBINADA]])</f>
        <v>0</v>
      </c>
      <c r="AO1414" s="27">
        <f>IFERROR(VLOOKUP(DATA[[#This Row],[COMBINADA]],#REF!,6,0),0)</f>
        <v>0</v>
      </c>
      <c r="AP1414" s="132">
        <f>IFERROR(VLOOKUP(DATA[[#This Row],[COMBINADA]],#REF!,9,0),0)/COUNTIFS(DATA[COMBINADA],DATA[[#This Row],[COMBINADA]])</f>
        <v>0</v>
      </c>
      <c r="AQ141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14" s="26" t="str">
        <f>IFERROR(IF(DATA[[#This Row],[estado_fact]]="FACTURADO",VLOOKUP(DATA[[#This Row],[SERIE2]]&amp;"-"&amp;DATA[[#This Row],[NUMERO]],#REF!,34,0),"NO CORRESPONDE"),"NO CORRESPONDE")</f>
        <v>NO CORRESPONDE</v>
      </c>
      <c r="AS1414" s="22" t="str">
        <f>IF(DATA[[#This Row],[fecha_fs]]&gt;0,TEXT(DATA[[#This Row],[fecha_fs]],"Mmmm"),0)</f>
        <v>Octubre</v>
      </c>
      <c r="AT1414" s="22" t="str">
        <f>DATA[[#This Row],[SERIE2]]&amp;"-"&amp;DATA[[#This Row],[NUMERO]]</f>
        <v>-</v>
      </c>
      <c r="AU1414" s="28" t="e">
        <f>DATA[[#This Row],[TOTAL]]*DATA[[#This Row],[T.C.]]</f>
        <v>#REF!</v>
      </c>
      <c r="AV1414" s="6">
        <f>DATA[[#This Row],[FECHA DE VAL.]]</f>
        <v>45987</v>
      </c>
      <c r="AW1414" s="6">
        <f>DATA[[#This Row],[FECHA DE EMISION]]</f>
        <v>0</v>
      </c>
      <c r="AX1414" s="6">
        <f>DATA[[#This Row],[F1]]</f>
        <v>0</v>
      </c>
      <c r="AY1414" s="20">
        <f>IF(AV1414-DATA[[#This Row],[fecha_fs]]&lt;0,0,AV1414-DATA[[#This Row],[fecha_fs]])</f>
        <v>26</v>
      </c>
      <c r="AZ1414" s="20">
        <f t="shared" si="356"/>
        <v>0</v>
      </c>
      <c r="BA1414" s="53">
        <f t="shared" si="357"/>
        <v>0</v>
      </c>
      <c r="BB1414" s="360">
        <f>IFERROR(SUM(DATA[[#This Row],[fs_val_ttf]:[fact_pago_ttf]]),0)</f>
        <v>26</v>
      </c>
      <c r="BC1414" s="378" t="s">
        <v>270</v>
      </c>
      <c r="BD1414" s="185" t="s">
        <v>270</v>
      </c>
      <c r="BE1414" s="185" t="s">
        <v>270</v>
      </c>
      <c r="BF1414" s="185" t="s">
        <v>270</v>
      </c>
      <c r="BG1414" s="20">
        <f>IFERROR(IF(BC1414-DATA[[#This Row],[fecha_fs]]&lt;0,0,BC1414-DATA[[#This Row],[fecha_fs]]),0)</f>
        <v>0</v>
      </c>
      <c r="BH1414" s="20">
        <f t="shared" si="346"/>
        <v>0</v>
      </c>
      <c r="BI1414" s="20">
        <f t="shared" si="347"/>
        <v>0</v>
      </c>
      <c r="BJ1414" s="53">
        <f t="shared" si="348"/>
        <v>0</v>
      </c>
      <c r="BK1414" s="376">
        <f>IFERROR(SUM(DATA[[#This Row],[fs_fd_ttd]:[fend_fenf_ttd]]),0)</f>
        <v>0</v>
      </c>
      <c r="BL1414" s="20" t="str">
        <f>IF(DATA[[#This Row],[fecha_fs]]&gt;0,TEXT(DATA[[#This Row],[fecha_fs]],"YYYY"),0)</f>
        <v>2025</v>
      </c>
      <c r="BM1414" s="236" t="b">
        <v>0</v>
      </c>
      <c r="BN1414" s="278">
        <f>COUNTIF(DATA[[#This Row],[tiempo_td]], "&lt;=15")</f>
        <v>1</v>
      </c>
      <c r="BO1414" s="365"/>
    </row>
    <row r="1415" spans="1:67" ht="30.6" customHeight="1" x14ac:dyDescent="0.25">
      <c r="A1415" s="4">
        <v>20100211115</v>
      </c>
      <c r="B1415" s="5" t="s">
        <v>41</v>
      </c>
      <c r="C1415" s="52" t="s">
        <v>18</v>
      </c>
      <c r="D1415" s="4" t="s">
        <v>120</v>
      </c>
      <c r="E1415" s="5" t="s">
        <v>3</v>
      </c>
      <c r="F1415" s="24">
        <v>45964</v>
      </c>
      <c r="G1415" s="7" t="s">
        <v>113</v>
      </c>
      <c r="H1415" s="25">
        <f t="shared" si="354"/>
        <v>1</v>
      </c>
      <c r="I1415" s="331">
        <v>5194</v>
      </c>
      <c r="J1415" s="8" t="s">
        <v>115</v>
      </c>
      <c r="K1415" s="9" t="s">
        <v>121</v>
      </c>
      <c r="L1415" s="10" t="s">
        <v>117</v>
      </c>
      <c r="M1415" s="12">
        <v>90</v>
      </c>
      <c r="N1415" s="12" t="s">
        <v>167</v>
      </c>
      <c r="O1415" s="6">
        <v>45989</v>
      </c>
      <c r="P1415" s="115"/>
      <c r="Q1415" s="14" t="s">
        <v>85</v>
      </c>
      <c r="R1415" s="74"/>
      <c r="S1415" s="401">
        <f>(DATA[[#This Row],[cantidad_fs]]*4.17)</f>
        <v>375.3</v>
      </c>
      <c r="T1415" s="321">
        <f>DATA[[#This Row],[C. DF]]+DATA[[#This Row],[C.OPE.]]</f>
        <v>375.3</v>
      </c>
      <c r="U1415" s="15">
        <f>DATA[[#This Row],[SUB TOTAL]]*0.18</f>
        <v>67.554000000000002</v>
      </c>
      <c r="V1415" s="15">
        <f>IFERROR(ROUND(DATA[[#This Row],[SUB TOTAL]]+DATA[[#This Row],[IGV]],2),0)</f>
        <v>442.85</v>
      </c>
      <c r="W1415" s="339" t="str">
        <f>IF(DATA[[#This Row],[VALORIZACIÓN ]]="-","NO CORRESPONDE",IF(OR(A1415=20558226979,A1415=10470707866,A1415=20111157058,A1415=20100226902),"NO CORRESPONDE",IF(J1415="Emitida",IF(P1415&gt;0,"EMITIDA","PENDIENTE"),"NO CORRESPONDE")))</f>
        <v>PENDIENTE</v>
      </c>
      <c r="X1415" s="29"/>
      <c r="Y1415" s="17" t="s">
        <v>232</v>
      </c>
      <c r="Z1415" s="30"/>
      <c r="AA1415" s="10"/>
      <c r="AB1415" s="19"/>
      <c r="AC1415" s="20"/>
      <c r="AD1415" s="18">
        <f>DATA[[#This Row],[FECHA DE EMISION]]+DATA[[#This Row],[CONDICION DE PAGO]]</f>
        <v>0</v>
      </c>
      <c r="AE1415" s="23">
        <f>IF(DATA[[#This Row],[MONEDA]]="USD",VLOOKUP(DATA[[#This Row],[COMBINADA]],#REF!,11,0),1)</f>
        <v>1</v>
      </c>
      <c r="AF1415" s="129" t="str">
        <f>IF(DATA[[#This Row],[SERIE2]]="-","NO CORRESPONDE",IF(W1415="NO CORRESPONDE","NO CORRESPONDE",IF(Z1415&gt;0,"FACTURADO","PENDIENTE")))</f>
        <v>PENDIENTE</v>
      </c>
      <c r="AG1415" s="133">
        <f>IFERROR(VLOOKUP(DATA[[#This Row],[COMBINADA]],#REF!,6,0),0)</f>
        <v>0</v>
      </c>
      <c r="AH1415" s="125">
        <f>IFERROR(VLOOKUP(DATA[[#This Row],[COMBINADA]],#REF!,9,0),0)/COUNTIFS(DATA[COMBINADA],DATA[[#This Row],[COMBINADA]])</f>
        <v>0</v>
      </c>
      <c r="AI1415" s="136">
        <f>IFERROR(VLOOKUP(DATA[[#This Row],[COMBINADA]],#REF!,6,0),0)</f>
        <v>0</v>
      </c>
      <c r="AJ1415" s="132">
        <f>IFERROR(VLOOKUP(DATA[[#This Row],[COMBINADA]],#REF!,9,0),0)/COUNTIFS(DATA[COMBINADA],DATA[[#This Row],[COMBINADA]])</f>
        <v>0</v>
      </c>
      <c r="AK1415" s="131">
        <f>IFERROR(VLOOKUP(DATA[[#This Row],[COMBINADA]],#REF!,6,0),0)</f>
        <v>0</v>
      </c>
      <c r="AL1415" s="125">
        <f>IFERROR(VLOOKUP(DATA[[#This Row],[COMBINADA]],#REF!,9,0),0)/COUNTIFS(DATA[COMBINADA],DATA[[#This Row],[COMBINADA]])</f>
        <v>0</v>
      </c>
      <c r="AM1415" s="27">
        <f>IFERROR(VLOOKUP(DATA[[#This Row],[COMBINADA]],#REF!,6,0),0)</f>
        <v>0</v>
      </c>
      <c r="AN1415" s="125">
        <f>IFERROR(VLOOKUP(DATA[[#This Row],[COMBINADA]],#REF!,9,0),0)/COUNTIFS(DATA[COMBINADA],DATA[[#This Row],[COMBINADA]])</f>
        <v>0</v>
      </c>
      <c r="AO1415" s="27">
        <f>IFERROR(VLOOKUP(DATA[[#This Row],[COMBINADA]],#REF!,6,0),0)</f>
        <v>0</v>
      </c>
      <c r="AP1415" s="132">
        <f>IFERROR(VLOOKUP(DATA[[#This Row],[COMBINADA]],#REF!,9,0),0)/COUNTIFS(DATA[COMBINADA],DATA[[#This Row],[COMBINADA]])</f>
        <v>0</v>
      </c>
      <c r="AQ141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15" s="26" t="str">
        <f>IFERROR(IF(DATA[[#This Row],[estado_fact]]="FACTURADO",VLOOKUP(DATA[[#This Row],[SERIE2]]&amp;"-"&amp;DATA[[#This Row],[NUMERO]],#REF!,34,0),"NO CORRESPONDE"),"NO CORRESPONDE")</f>
        <v>NO CORRESPONDE</v>
      </c>
      <c r="AS1415" s="22" t="str">
        <f>IF(DATA[[#This Row],[fecha_fs]]&gt;0,TEXT(DATA[[#This Row],[fecha_fs]],"Mmmm"),0)</f>
        <v>Noviembre</v>
      </c>
      <c r="AT1415" s="22" t="str">
        <f>DATA[[#This Row],[SERIE2]]&amp;"-"&amp;DATA[[#This Row],[NUMERO]]</f>
        <v>-</v>
      </c>
      <c r="AU1415" s="28">
        <f>DATA[[#This Row],[TOTAL]]*DATA[[#This Row],[T.C.]]</f>
        <v>442.85</v>
      </c>
      <c r="AV1415" s="6">
        <f>DATA[[#This Row],[FECHA DE VAL.]]</f>
        <v>45989</v>
      </c>
      <c r="AW1415" s="6">
        <f>DATA[[#This Row],[FECHA DE EMISION]]</f>
        <v>0</v>
      </c>
      <c r="AX1415" s="6">
        <f>DATA[[#This Row],[F1]]</f>
        <v>0</v>
      </c>
      <c r="AY1415" s="20">
        <f>IF(AV1415-DATA[[#This Row],[fecha_fs]]&lt;0,0,AV1415-DATA[[#This Row],[fecha_fs]])</f>
        <v>25</v>
      </c>
      <c r="AZ1415" s="20">
        <f t="shared" si="352"/>
        <v>0</v>
      </c>
      <c r="BA1415" s="53">
        <f t="shared" si="353"/>
        <v>0</v>
      </c>
      <c r="BB1415" s="360">
        <f>IFERROR(SUM(DATA[[#This Row],[fs_val_ttf]:[fact_pago_ttf]]),0)</f>
        <v>25</v>
      </c>
      <c r="BC1415" s="378" t="s">
        <v>270</v>
      </c>
      <c r="BD1415" s="185" t="s">
        <v>270</v>
      </c>
      <c r="BE1415" s="185" t="s">
        <v>270</v>
      </c>
      <c r="BF1415" s="185" t="s">
        <v>270</v>
      </c>
      <c r="BG1415" s="20">
        <f>IFERROR(IF(BC1415-DATA[[#This Row],[fecha_fs]]&lt;0,0,BC1415-DATA[[#This Row],[fecha_fs]]),0)</f>
        <v>0</v>
      </c>
      <c r="BH1415" s="20">
        <f t="shared" si="346"/>
        <v>0</v>
      </c>
      <c r="BI1415" s="20">
        <f t="shared" si="347"/>
        <v>0</v>
      </c>
      <c r="BJ1415" s="53">
        <f t="shared" si="348"/>
        <v>0</v>
      </c>
      <c r="BK1415" s="376">
        <f>IFERROR(SUM(DATA[[#This Row],[fs_fd_ttd]:[fend_fenf_ttd]]),0)</f>
        <v>0</v>
      </c>
      <c r="BL1415" s="20" t="str">
        <f>IF(DATA[[#This Row],[fecha_fs]]&gt;0,TEXT(DATA[[#This Row],[fecha_fs]],"YYYY"),0)</f>
        <v>2025</v>
      </c>
      <c r="BM1415" s="236" t="b">
        <v>0</v>
      </c>
      <c r="BN1415" s="278">
        <f>COUNTIF(DATA[[#This Row],[tiempo_td]], "&lt;=15")</f>
        <v>1</v>
      </c>
      <c r="BO1415" s="365"/>
    </row>
    <row r="1416" spans="1:67" ht="30.6" customHeight="1" x14ac:dyDescent="0.25">
      <c r="A1416" s="4">
        <v>20100192064</v>
      </c>
      <c r="B1416" s="5" t="s">
        <v>60</v>
      </c>
      <c r="C1416" s="52" t="s">
        <v>43</v>
      </c>
      <c r="D1416" s="4" t="s">
        <v>120</v>
      </c>
      <c r="E1416" s="5" t="s">
        <v>3</v>
      </c>
      <c r="F1416" s="24">
        <v>45964</v>
      </c>
      <c r="G1416" s="7" t="s">
        <v>113</v>
      </c>
      <c r="H1416" s="25">
        <f t="shared" si="354"/>
        <v>1</v>
      </c>
      <c r="I1416" s="331">
        <v>5195</v>
      </c>
      <c r="J1416" s="8" t="s">
        <v>115</v>
      </c>
      <c r="K1416" s="9" t="s">
        <v>121</v>
      </c>
      <c r="L1416" s="10" t="s">
        <v>117</v>
      </c>
      <c r="M1416" s="11">
        <v>580</v>
      </c>
      <c r="N1416" s="12" t="s">
        <v>249</v>
      </c>
      <c r="O1416" s="6">
        <v>45987</v>
      </c>
      <c r="P1416" s="71"/>
      <c r="Q1416" s="14" t="s">
        <v>123</v>
      </c>
      <c r="R1416" s="401">
        <f>(DATA[[#This Row],[cantidad_fs]]/1000)*(47+174.34)</f>
        <v>128.37719999999999</v>
      </c>
      <c r="S1416" s="401">
        <v>137</v>
      </c>
      <c r="T1416" s="321">
        <f>DATA[[#This Row],[C. DF]]+DATA[[#This Row],[C.OPE.]]</f>
        <v>265.37720000000002</v>
      </c>
      <c r="U1416" s="15">
        <f>DATA[[#This Row],[SUB TOTAL]]*0.18</f>
        <v>47.767896</v>
      </c>
      <c r="V1416" s="15">
        <f>IFERROR(ROUND(DATA[[#This Row],[SUB TOTAL]]+DATA[[#This Row],[IGV]],2),0)</f>
        <v>313.14999999999998</v>
      </c>
      <c r="W1416" s="339" t="str">
        <f>IF(DATA[[#This Row],[VALORIZACIÓN ]]="-","NO CORRESPONDE",IF(OR(A1416=20558226979,A1416=10470707866,A1416=20111157058,A1416=20100226902),"NO CORRESPONDE",IF(J1416="Emitida",IF(P1416&gt;0,"EMITIDA","PENDIENTE"),"NO CORRESPONDE")))</f>
        <v>PENDIENTE</v>
      </c>
      <c r="X1416" s="29"/>
      <c r="Y1416" s="17" t="s">
        <v>232</v>
      </c>
      <c r="Z1416" s="30"/>
      <c r="AA1416" s="10"/>
      <c r="AB1416" s="19"/>
      <c r="AC1416" s="20"/>
      <c r="AD1416" s="18">
        <f>DATA[[#This Row],[FECHA DE EMISION]]+DATA[[#This Row],[CONDICION DE PAGO]]</f>
        <v>0</v>
      </c>
      <c r="AE1416" s="23" t="e">
        <f>IF(DATA[[#This Row],[MONEDA]]="USD",VLOOKUP(DATA[[#This Row],[COMBINADA]],#REF!,11,0),1)</f>
        <v>#REF!</v>
      </c>
      <c r="AF1416" s="129" t="str">
        <f>IF(DATA[[#This Row],[SERIE2]]="-","NO CORRESPONDE",IF(W1416="NO CORRESPONDE","NO CORRESPONDE",IF(Z1416&gt;0,"FACTURADO","PENDIENTE")))</f>
        <v>PENDIENTE</v>
      </c>
      <c r="AG1416" s="133">
        <f>IFERROR(VLOOKUP(DATA[[#This Row],[COMBINADA]],#REF!,6,0),0)</f>
        <v>0</v>
      </c>
      <c r="AH1416" s="125">
        <f>IFERROR(VLOOKUP(DATA[[#This Row],[COMBINADA]],#REF!,9,0),0)/COUNTIFS(DATA[COMBINADA],DATA[[#This Row],[COMBINADA]])</f>
        <v>0</v>
      </c>
      <c r="AI1416" s="136">
        <f>IFERROR(VLOOKUP(DATA[[#This Row],[COMBINADA]],#REF!,6,0),0)</f>
        <v>0</v>
      </c>
      <c r="AJ1416" s="132">
        <f>IFERROR(VLOOKUP(DATA[[#This Row],[COMBINADA]],#REF!,9,0),0)/COUNTIFS(DATA[COMBINADA],DATA[[#This Row],[COMBINADA]])</f>
        <v>0</v>
      </c>
      <c r="AK1416" s="131">
        <f>IFERROR(VLOOKUP(DATA[[#This Row],[COMBINADA]],#REF!,6,0),0)</f>
        <v>0</v>
      </c>
      <c r="AL1416" s="125">
        <f>IFERROR(VLOOKUP(DATA[[#This Row],[COMBINADA]],#REF!,9,0),0)/COUNTIFS(DATA[COMBINADA],DATA[[#This Row],[COMBINADA]])</f>
        <v>0</v>
      </c>
      <c r="AM1416" s="27">
        <f>IFERROR(VLOOKUP(DATA[[#This Row],[COMBINADA]],#REF!,6,0),0)</f>
        <v>0</v>
      </c>
      <c r="AN1416" s="125">
        <f>IFERROR(VLOOKUP(DATA[[#This Row],[COMBINADA]],#REF!,9,0),0)/COUNTIFS(DATA[COMBINADA],DATA[[#This Row],[COMBINADA]])</f>
        <v>0</v>
      </c>
      <c r="AO1416" s="27">
        <f>IFERROR(VLOOKUP(DATA[[#This Row],[COMBINADA]],#REF!,6,0),0)</f>
        <v>0</v>
      </c>
      <c r="AP1416" s="132">
        <f>IFERROR(VLOOKUP(DATA[[#This Row],[COMBINADA]],#REF!,9,0),0)/COUNTIFS(DATA[COMBINADA],DATA[[#This Row],[COMBINADA]])</f>
        <v>0</v>
      </c>
      <c r="AQ141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16" s="26" t="str">
        <f>IFERROR(IF(DATA[[#This Row],[estado_fact]]="FACTURADO",VLOOKUP(DATA[[#This Row],[SERIE2]]&amp;"-"&amp;DATA[[#This Row],[NUMERO]],#REF!,34,0),"NO CORRESPONDE"),"NO CORRESPONDE")</f>
        <v>NO CORRESPONDE</v>
      </c>
      <c r="AS1416" s="22" t="str">
        <f>IF(DATA[[#This Row],[fecha_fs]]&gt;0,TEXT(DATA[[#This Row],[fecha_fs]],"Mmmm"),0)</f>
        <v>Noviembre</v>
      </c>
      <c r="AT1416" s="22" t="str">
        <f>DATA[[#This Row],[SERIE2]]&amp;"-"&amp;DATA[[#This Row],[NUMERO]]</f>
        <v>-</v>
      </c>
      <c r="AU1416" s="28" t="e">
        <f>DATA[[#This Row],[TOTAL]]*DATA[[#This Row],[T.C.]]</f>
        <v>#REF!</v>
      </c>
      <c r="AV1416" s="6">
        <f>DATA[[#This Row],[FECHA DE VAL.]]</f>
        <v>45987</v>
      </c>
      <c r="AW1416" s="6">
        <f>DATA[[#This Row],[FECHA DE EMISION]]</f>
        <v>0</v>
      </c>
      <c r="AX1416" s="6">
        <f>DATA[[#This Row],[F1]]</f>
        <v>0</v>
      </c>
      <c r="AY1416" s="20">
        <f>IF(AV1416-DATA[[#This Row],[fecha_fs]]&lt;0,0,AV1416-DATA[[#This Row],[fecha_fs]])</f>
        <v>23</v>
      </c>
      <c r="AZ1416" s="20">
        <f t="shared" si="352"/>
        <v>0</v>
      </c>
      <c r="BA1416" s="53">
        <f t="shared" si="353"/>
        <v>0</v>
      </c>
      <c r="BB1416" s="360">
        <f>IFERROR(SUM(DATA[[#This Row],[fs_val_ttf]:[fact_pago_ttf]]),0)</f>
        <v>23</v>
      </c>
      <c r="BC1416" s="378">
        <v>45964</v>
      </c>
      <c r="BD1416" s="185">
        <v>45972</v>
      </c>
      <c r="BE1416" s="185" t="s">
        <v>270</v>
      </c>
      <c r="BF1416" s="185" t="s">
        <v>270</v>
      </c>
      <c r="BG1416" s="20">
        <f>IFERROR(IF(BC1416-DATA[[#This Row],[fecha_fs]]&lt;0,0,BC1416-DATA[[#This Row],[fecha_fs]]),0)</f>
        <v>0</v>
      </c>
      <c r="BH1416" s="20">
        <f t="shared" si="346"/>
        <v>8</v>
      </c>
      <c r="BI1416" s="20">
        <f t="shared" si="347"/>
        <v>0</v>
      </c>
      <c r="BJ1416" s="53">
        <f t="shared" si="348"/>
        <v>0</v>
      </c>
      <c r="BK1416" s="376">
        <f>IFERROR(SUM(DATA[[#This Row],[fs_fd_ttd]:[fend_fenf_ttd]]),0)</f>
        <v>8</v>
      </c>
      <c r="BL1416" s="20" t="str">
        <f>IF(DATA[[#This Row],[fecha_fs]]&gt;0,TEXT(DATA[[#This Row],[fecha_fs]],"YYYY"),0)</f>
        <v>2025</v>
      </c>
      <c r="BM1416" s="236" t="b">
        <v>0</v>
      </c>
      <c r="BN1416" s="278">
        <f>COUNTIF(DATA[[#This Row],[tiempo_td]], "&lt;=15")</f>
        <v>1</v>
      </c>
      <c r="BO1416" s="365"/>
    </row>
    <row r="1417" spans="1:67" ht="30.6" customHeight="1" x14ac:dyDescent="0.25">
      <c r="A1417" s="4">
        <v>20100192064</v>
      </c>
      <c r="B1417" s="5" t="s">
        <v>60</v>
      </c>
      <c r="C1417" s="52" t="s">
        <v>43</v>
      </c>
      <c r="D1417" s="4" t="s">
        <v>112</v>
      </c>
      <c r="E1417" s="5" t="s">
        <v>1</v>
      </c>
      <c r="F1417" s="24">
        <v>45964</v>
      </c>
      <c r="G1417" s="7" t="s">
        <v>113</v>
      </c>
      <c r="H1417" s="25">
        <f t="shared" si="354"/>
        <v>1</v>
      </c>
      <c r="I1417" s="331">
        <v>5196</v>
      </c>
      <c r="J1417" s="8" t="s">
        <v>115</v>
      </c>
      <c r="K1417" s="9" t="s">
        <v>116</v>
      </c>
      <c r="L1417" s="10" t="s">
        <v>117</v>
      </c>
      <c r="M1417" s="11">
        <v>2460</v>
      </c>
      <c r="N1417" s="12" t="s">
        <v>129</v>
      </c>
      <c r="O1417" s="6">
        <v>45987</v>
      </c>
      <c r="P1417" s="71"/>
      <c r="Q1417" s="14" t="s">
        <v>123</v>
      </c>
      <c r="R1417" s="15">
        <f>(DATA[[#This Row],[cantidad_fs]]/1000)*(143+175.34)</f>
        <v>783.11640000000011</v>
      </c>
      <c r="S1417" s="15">
        <v>137</v>
      </c>
      <c r="T1417" s="321">
        <f>DATA[[#This Row],[C. DF]]+DATA[[#This Row],[C.OPE.]]</f>
        <v>920.11640000000011</v>
      </c>
      <c r="U1417" s="15">
        <f>DATA[[#This Row],[SUB TOTAL]]*0.18</f>
        <v>165.62095200000002</v>
      </c>
      <c r="V1417" s="15">
        <f>IFERROR(ROUND(DATA[[#This Row],[SUB TOTAL]]+DATA[[#This Row],[IGV]],2),0)</f>
        <v>1085.74</v>
      </c>
      <c r="W1417" s="339" t="str">
        <f>IF(DATA[[#This Row],[VALORIZACIÓN ]]="-","NO CORRESPONDE",IF(OR(A1417=20558226979,A1417=10470707866,A1417=20111157058,A1417=20100226902),"NO CORRESPONDE",IF(J1417="Emitida",IF(P1417&gt;0,"EMITIDA","PENDIENTE"),"NO CORRESPONDE")))</f>
        <v>PENDIENTE</v>
      </c>
      <c r="X1417" s="29"/>
      <c r="Y1417" s="17" t="s">
        <v>232</v>
      </c>
      <c r="Z1417" s="30"/>
      <c r="AA1417" s="10"/>
      <c r="AB1417" s="19"/>
      <c r="AC1417" s="20"/>
      <c r="AD1417" s="18">
        <f>DATA[[#This Row],[FECHA DE EMISION]]+DATA[[#This Row],[CONDICION DE PAGO]]</f>
        <v>0</v>
      </c>
      <c r="AE1417" s="23" t="e">
        <f>IF(DATA[[#This Row],[MONEDA]]="USD",VLOOKUP(DATA[[#This Row],[COMBINADA]],#REF!,11,0),1)</f>
        <v>#REF!</v>
      </c>
      <c r="AF1417" s="129" t="str">
        <f>IF(DATA[[#This Row],[SERIE2]]="-","NO CORRESPONDE",IF(W1417="NO CORRESPONDE","NO CORRESPONDE",IF(Z1417&gt;0,"FACTURADO","PENDIENTE")))</f>
        <v>PENDIENTE</v>
      </c>
      <c r="AG1417" s="133">
        <f>IFERROR(VLOOKUP(DATA[[#This Row],[COMBINADA]],#REF!,6,0),0)</f>
        <v>0</v>
      </c>
      <c r="AH1417" s="125">
        <f>IFERROR(VLOOKUP(DATA[[#This Row],[COMBINADA]],#REF!,9,0),0)/COUNTIFS(DATA[COMBINADA],DATA[[#This Row],[COMBINADA]])</f>
        <v>0</v>
      </c>
      <c r="AI1417" s="136">
        <f>IFERROR(VLOOKUP(DATA[[#This Row],[COMBINADA]],#REF!,6,0),0)</f>
        <v>0</v>
      </c>
      <c r="AJ1417" s="132">
        <f>IFERROR(VLOOKUP(DATA[[#This Row],[COMBINADA]],#REF!,9,0),0)/COUNTIFS(DATA[COMBINADA],DATA[[#This Row],[COMBINADA]])</f>
        <v>0</v>
      </c>
      <c r="AK1417" s="131">
        <f>IFERROR(VLOOKUP(DATA[[#This Row],[COMBINADA]],#REF!,6,0),0)</f>
        <v>0</v>
      </c>
      <c r="AL1417" s="125">
        <f>IFERROR(VLOOKUP(DATA[[#This Row],[COMBINADA]],#REF!,9,0),0)/COUNTIFS(DATA[COMBINADA],DATA[[#This Row],[COMBINADA]])</f>
        <v>0</v>
      </c>
      <c r="AM1417" s="27">
        <f>IFERROR(VLOOKUP(DATA[[#This Row],[COMBINADA]],#REF!,6,0),0)</f>
        <v>0</v>
      </c>
      <c r="AN1417" s="125">
        <f>IFERROR(VLOOKUP(DATA[[#This Row],[COMBINADA]],#REF!,9,0),0)/COUNTIFS(DATA[COMBINADA],DATA[[#This Row],[COMBINADA]])</f>
        <v>0</v>
      </c>
      <c r="AO1417" s="27">
        <f>IFERROR(VLOOKUP(DATA[[#This Row],[COMBINADA]],#REF!,6,0),0)</f>
        <v>0</v>
      </c>
      <c r="AP1417" s="132">
        <f>IFERROR(VLOOKUP(DATA[[#This Row],[COMBINADA]],#REF!,9,0),0)/COUNTIFS(DATA[COMBINADA],DATA[[#This Row],[COMBINADA]])</f>
        <v>0</v>
      </c>
      <c r="AQ141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17" s="26" t="str">
        <f>IFERROR(IF(DATA[[#This Row],[estado_fact]]="FACTURADO",VLOOKUP(DATA[[#This Row],[SERIE2]]&amp;"-"&amp;DATA[[#This Row],[NUMERO]],#REF!,34,0),"NO CORRESPONDE"),"NO CORRESPONDE")</f>
        <v>NO CORRESPONDE</v>
      </c>
      <c r="AS1417" s="22" t="str">
        <f>IF(DATA[[#This Row],[fecha_fs]]&gt;0,TEXT(DATA[[#This Row],[fecha_fs]],"Mmmm"),0)</f>
        <v>Noviembre</v>
      </c>
      <c r="AT1417" s="22" t="str">
        <f>DATA[[#This Row],[SERIE2]]&amp;"-"&amp;DATA[[#This Row],[NUMERO]]</f>
        <v>-</v>
      </c>
      <c r="AU1417" s="28" t="e">
        <f>DATA[[#This Row],[TOTAL]]*DATA[[#This Row],[T.C.]]</f>
        <v>#REF!</v>
      </c>
      <c r="AV1417" s="6">
        <f>DATA[[#This Row],[FECHA DE VAL.]]</f>
        <v>45987</v>
      </c>
      <c r="AW1417" s="6">
        <f>DATA[[#This Row],[FECHA DE EMISION]]</f>
        <v>0</v>
      </c>
      <c r="AX1417" s="6">
        <f>DATA[[#This Row],[F1]]</f>
        <v>0</v>
      </c>
      <c r="AY1417" s="20">
        <f>IF(AV1417-DATA[[#This Row],[fecha_fs]]&lt;0,0,AV1417-DATA[[#This Row],[fecha_fs]])</f>
        <v>23</v>
      </c>
      <c r="AZ1417" s="20">
        <f t="shared" si="352"/>
        <v>0</v>
      </c>
      <c r="BA1417" s="53">
        <f t="shared" si="353"/>
        <v>0</v>
      </c>
      <c r="BB1417" s="360">
        <f>IFERROR(SUM(DATA[[#This Row],[fs_val_ttf]:[fact_pago_ttf]]),0)</f>
        <v>23</v>
      </c>
      <c r="BC1417" s="378" t="s">
        <v>270</v>
      </c>
      <c r="BD1417" s="185" t="s">
        <v>270</v>
      </c>
      <c r="BE1417" s="185" t="s">
        <v>270</v>
      </c>
      <c r="BF1417" s="185" t="s">
        <v>270</v>
      </c>
      <c r="BG1417" s="20">
        <f>IFERROR(IF(BC1417-DATA[[#This Row],[fecha_fs]]&lt;0,0,BC1417-DATA[[#This Row],[fecha_fs]]),0)</f>
        <v>0</v>
      </c>
      <c r="BH1417" s="20">
        <f t="shared" si="346"/>
        <v>0</v>
      </c>
      <c r="BI1417" s="20">
        <f t="shared" si="347"/>
        <v>0</v>
      </c>
      <c r="BJ1417" s="53">
        <f t="shared" si="348"/>
        <v>0</v>
      </c>
      <c r="BK1417" s="376">
        <f>IFERROR(SUM(DATA[[#This Row],[fs_fd_ttd]:[fend_fenf_ttd]]),0)</f>
        <v>0</v>
      </c>
      <c r="BL1417" s="20" t="str">
        <f>IF(DATA[[#This Row],[fecha_fs]]&gt;0,TEXT(DATA[[#This Row],[fecha_fs]],"YYYY"),0)</f>
        <v>2025</v>
      </c>
      <c r="BM1417" s="236" t="b">
        <v>0</v>
      </c>
      <c r="BN1417" s="278">
        <f>COUNTIF(DATA[[#This Row],[tiempo_td]], "&lt;=15")</f>
        <v>1</v>
      </c>
      <c r="BO1417" s="365"/>
    </row>
    <row r="1418" spans="1:67" ht="30.6" customHeight="1" x14ac:dyDescent="0.25">
      <c r="A1418" s="4">
        <v>20100055237</v>
      </c>
      <c r="B1418" s="5" t="s">
        <v>21</v>
      </c>
      <c r="C1418" s="52" t="s">
        <v>138</v>
      </c>
      <c r="D1418" s="4" t="s">
        <v>139</v>
      </c>
      <c r="E1418" s="5" t="s">
        <v>23</v>
      </c>
      <c r="F1418" s="24">
        <v>45965</v>
      </c>
      <c r="G1418" s="7" t="s">
        <v>113</v>
      </c>
      <c r="H1418" s="25">
        <f t="shared" si="354"/>
        <v>1</v>
      </c>
      <c r="I1418" s="331">
        <v>5197</v>
      </c>
      <c r="J1418" s="8" t="s">
        <v>115</v>
      </c>
      <c r="K1418" s="9" t="s">
        <v>121</v>
      </c>
      <c r="L1418" s="10" t="s">
        <v>117</v>
      </c>
      <c r="M1418" s="11">
        <v>80</v>
      </c>
      <c r="N1418" s="12" t="s">
        <v>249</v>
      </c>
      <c r="O1418" s="6">
        <v>45989</v>
      </c>
      <c r="P1418" s="54"/>
      <c r="Q1418" s="14" t="s">
        <v>85</v>
      </c>
      <c r="R1418" s="74"/>
      <c r="S1418" s="401">
        <v>297.92</v>
      </c>
      <c r="T1418" s="321">
        <f>DATA[[#This Row],[C. DF]]+DATA[[#This Row],[C.OPE.]]</f>
        <v>297.92</v>
      </c>
      <c r="U1418" s="15">
        <f>DATA[[#This Row],[SUB TOTAL]]*0.18</f>
        <v>53.625599999999999</v>
      </c>
      <c r="V1418" s="15">
        <f>IFERROR(ROUND(DATA[[#This Row],[SUB TOTAL]]+DATA[[#This Row],[IGV]],2),0)</f>
        <v>351.55</v>
      </c>
      <c r="W1418" s="339" t="str">
        <f>IF(DATA[[#This Row],[VALORIZACIÓN ]]="-","NO CORRESPONDE",IF(OR(A1418=20558226979,A1418=10470707866,A1418=20111157058,A1418=20100226902),"NO CORRESPONDE",IF(J1418="Emitida",IF(P1418&gt;0,"EMITIDA","PENDIENTE"),"NO CORRESPONDE")))</f>
        <v>PENDIENTE</v>
      </c>
      <c r="X1418" s="29"/>
      <c r="Y1418" s="17" t="s">
        <v>232</v>
      </c>
      <c r="Z1418" s="30"/>
      <c r="AA1418" s="10"/>
      <c r="AB1418" s="19"/>
      <c r="AC1418" s="20"/>
      <c r="AD1418" s="18">
        <f>DATA[[#This Row],[FECHA DE EMISION]]+DATA[[#This Row],[CONDICION DE PAGO]]</f>
        <v>0</v>
      </c>
      <c r="AE1418" s="23">
        <f>IF(DATA[[#This Row],[MONEDA]]="USD",VLOOKUP(DATA[[#This Row],[COMBINADA]],#REF!,11,0),1)</f>
        <v>1</v>
      </c>
      <c r="AF1418" s="129" t="str">
        <f>IF(DATA[[#This Row],[SERIE2]]="-","NO CORRESPONDE",IF(W1418="NO CORRESPONDE","NO CORRESPONDE",IF(Z1418&gt;0,"FACTURADO","PENDIENTE")))</f>
        <v>PENDIENTE</v>
      </c>
      <c r="AG1418" s="133">
        <f>IFERROR(VLOOKUP(DATA[[#This Row],[COMBINADA]],#REF!,6,0),0)</f>
        <v>0</v>
      </c>
      <c r="AH1418" s="125">
        <f>IFERROR(VLOOKUP(DATA[[#This Row],[COMBINADA]],#REF!,9,0),0)/COUNTIFS(DATA[COMBINADA],DATA[[#This Row],[COMBINADA]])</f>
        <v>0</v>
      </c>
      <c r="AI1418" s="136">
        <f>IFERROR(VLOOKUP(DATA[[#This Row],[COMBINADA]],#REF!,6,0),0)</f>
        <v>0</v>
      </c>
      <c r="AJ1418" s="132">
        <f>IFERROR(VLOOKUP(DATA[[#This Row],[COMBINADA]],#REF!,9,0),0)/COUNTIFS(DATA[COMBINADA],DATA[[#This Row],[COMBINADA]])</f>
        <v>0</v>
      </c>
      <c r="AK1418" s="131">
        <f>IFERROR(VLOOKUP(DATA[[#This Row],[COMBINADA]],#REF!,6,0),0)</f>
        <v>0</v>
      </c>
      <c r="AL1418" s="125">
        <f>IFERROR(VLOOKUP(DATA[[#This Row],[COMBINADA]],#REF!,9,0),0)/COUNTIFS(DATA[COMBINADA],DATA[[#This Row],[COMBINADA]])</f>
        <v>0</v>
      </c>
      <c r="AM1418" s="27">
        <f>IFERROR(VLOOKUP(DATA[[#This Row],[COMBINADA]],#REF!,6,0),0)</f>
        <v>0</v>
      </c>
      <c r="AN1418" s="125">
        <f>IFERROR(VLOOKUP(DATA[[#This Row],[COMBINADA]],#REF!,9,0),0)/COUNTIFS(DATA[COMBINADA],DATA[[#This Row],[COMBINADA]])</f>
        <v>0</v>
      </c>
      <c r="AO1418" s="27">
        <f>IFERROR(VLOOKUP(DATA[[#This Row],[COMBINADA]],#REF!,6,0),0)</f>
        <v>0</v>
      </c>
      <c r="AP1418" s="132">
        <f>IFERROR(VLOOKUP(DATA[[#This Row],[COMBINADA]],#REF!,9,0),0)/COUNTIFS(DATA[COMBINADA],DATA[[#This Row],[COMBINADA]])</f>
        <v>0</v>
      </c>
      <c r="AQ141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18" s="26" t="str">
        <f>IFERROR(IF(DATA[[#This Row],[estado_fact]]="FACTURADO",VLOOKUP(DATA[[#This Row],[SERIE2]]&amp;"-"&amp;DATA[[#This Row],[NUMERO]],#REF!,34,0),"NO CORRESPONDE"),"NO CORRESPONDE")</f>
        <v>NO CORRESPONDE</v>
      </c>
      <c r="AS1418" s="22" t="str">
        <f>IF(DATA[[#This Row],[fecha_fs]]&gt;0,TEXT(DATA[[#This Row],[fecha_fs]],"Mmmm"),0)</f>
        <v>Noviembre</v>
      </c>
      <c r="AT1418" s="22" t="str">
        <f>DATA[[#This Row],[SERIE2]]&amp;"-"&amp;DATA[[#This Row],[NUMERO]]</f>
        <v>-</v>
      </c>
      <c r="AU1418" s="28">
        <f>DATA[[#This Row],[TOTAL]]*DATA[[#This Row],[T.C.]]</f>
        <v>351.55</v>
      </c>
      <c r="AV1418" s="6">
        <f>DATA[[#This Row],[FECHA DE VAL.]]</f>
        <v>45989</v>
      </c>
      <c r="AW1418" s="6">
        <f>DATA[[#This Row],[FECHA DE EMISION]]</f>
        <v>0</v>
      </c>
      <c r="AX1418" s="6">
        <f>DATA[[#This Row],[F1]]</f>
        <v>0</v>
      </c>
      <c r="AY1418" s="20">
        <f>IF(AV1418-DATA[[#This Row],[fecha_fs]]&lt;0,0,AV1418-DATA[[#This Row],[fecha_fs]])</f>
        <v>24</v>
      </c>
      <c r="AZ1418" s="20">
        <f t="shared" si="352"/>
        <v>0</v>
      </c>
      <c r="BA1418" s="53">
        <f t="shared" si="353"/>
        <v>0</v>
      </c>
      <c r="BB1418" s="360">
        <f>IFERROR(SUM(DATA[[#This Row],[fs_val_ttf]:[fact_pago_ttf]]),0)</f>
        <v>24</v>
      </c>
      <c r="BC1418" s="378" t="s">
        <v>270</v>
      </c>
      <c r="BD1418" s="185" t="s">
        <v>270</v>
      </c>
      <c r="BE1418" s="185" t="s">
        <v>270</v>
      </c>
      <c r="BF1418" s="185" t="s">
        <v>270</v>
      </c>
      <c r="BG1418" s="20">
        <f>IFERROR(IF(BC1418-DATA[[#This Row],[fecha_fs]]&lt;0,0,BC1418-DATA[[#This Row],[fecha_fs]]),0)</f>
        <v>0</v>
      </c>
      <c r="BH1418" s="20">
        <f t="shared" si="346"/>
        <v>0</v>
      </c>
      <c r="BI1418" s="20">
        <f t="shared" si="347"/>
        <v>0</v>
      </c>
      <c r="BJ1418" s="53">
        <f t="shared" si="348"/>
        <v>0</v>
      </c>
      <c r="BK1418" s="376">
        <f>IFERROR(SUM(DATA[[#This Row],[fs_fd_ttd]:[fend_fenf_ttd]]),0)</f>
        <v>0</v>
      </c>
      <c r="BL1418" s="20" t="str">
        <f>IF(DATA[[#This Row],[fecha_fs]]&gt;0,TEXT(DATA[[#This Row],[fecha_fs]],"YYYY"),0)</f>
        <v>2025</v>
      </c>
      <c r="BM1418" s="236" t="b">
        <v>0</v>
      </c>
      <c r="BN1418" s="278">
        <f>COUNTIF(DATA[[#This Row],[tiempo_td]], "&lt;=15")</f>
        <v>1</v>
      </c>
      <c r="BO1418" s="365"/>
    </row>
    <row r="1419" spans="1:67" ht="30.6" customHeight="1" x14ac:dyDescent="0.25">
      <c r="A1419" s="4">
        <v>20454186002</v>
      </c>
      <c r="B1419" s="5" t="s">
        <v>25</v>
      </c>
      <c r="C1419" s="52" t="s">
        <v>18</v>
      </c>
      <c r="D1419" s="4" t="s">
        <v>120</v>
      </c>
      <c r="E1419" s="5" t="s">
        <v>3</v>
      </c>
      <c r="F1419" s="24">
        <v>45965</v>
      </c>
      <c r="G1419" s="7" t="s">
        <v>113</v>
      </c>
      <c r="H1419" s="25">
        <f t="shared" si="354"/>
        <v>1</v>
      </c>
      <c r="I1419" s="331">
        <v>5198</v>
      </c>
      <c r="J1419" s="8" t="s">
        <v>115</v>
      </c>
      <c r="K1419" s="9" t="s">
        <v>121</v>
      </c>
      <c r="L1419" s="10" t="s">
        <v>117</v>
      </c>
      <c r="M1419" s="11">
        <v>3460</v>
      </c>
      <c r="N1419" s="12" t="s">
        <v>135</v>
      </c>
      <c r="O1419" s="6">
        <v>45966</v>
      </c>
      <c r="P1419" s="13">
        <v>3777</v>
      </c>
      <c r="Q1419" s="14" t="s">
        <v>85</v>
      </c>
      <c r="R1419" s="321">
        <f>1485.02+((DATA[[#This Row],[cantidad_fs]]-3000)*0.49)</f>
        <v>1710.42</v>
      </c>
      <c r="S1419" s="74"/>
      <c r="T1419" s="321">
        <f>DATA[[#This Row],[C. DF]]+DATA[[#This Row],[C.OPE.]]</f>
        <v>1710.42</v>
      </c>
      <c r="U1419" s="15">
        <f>DATA[[#This Row],[SUB TOTAL]]*0.18</f>
        <v>307.87560000000002</v>
      </c>
      <c r="V1419" s="15">
        <f>IFERROR(ROUND(DATA[[#This Row],[SUB TOTAL]]+DATA[[#This Row],[IGV]],2),0)</f>
        <v>2018.3</v>
      </c>
      <c r="W1419" s="339" t="str">
        <f>IF(DATA[[#This Row],[VALORIZACIÓN ]]="-","NO CORRESPONDE",IF(OR(A1419=20558226979,A1419=10470707866,A1419=20111157058,A1419=20100226902),"NO CORRESPONDE",IF(J1419="Emitida",IF(P1419&gt;0,"EMITIDA","PENDIENTE"),"NO CORRESPONDE")))</f>
        <v>EMITIDA</v>
      </c>
      <c r="X1419" s="29"/>
      <c r="Y1419" s="17" t="s">
        <v>118</v>
      </c>
      <c r="Z1419" s="30">
        <v>45973</v>
      </c>
      <c r="AA1419" s="10" t="s">
        <v>150</v>
      </c>
      <c r="AB1419" s="19">
        <v>354</v>
      </c>
      <c r="AC1419" s="20">
        <v>7</v>
      </c>
      <c r="AD1419" s="18">
        <f>DATA[[#This Row],[FECHA DE EMISION]]+DATA[[#This Row],[CONDICION DE PAGO]]</f>
        <v>45980</v>
      </c>
      <c r="AE1419" s="23">
        <f>IF(DATA[[#This Row],[MONEDA]]="USD",VLOOKUP(DATA[[#This Row],[COMBINADA]],#REF!,11,0),1)</f>
        <v>1</v>
      </c>
      <c r="AF1419" s="129" t="str">
        <f>IF(DATA[[#This Row],[SERIE2]]="-","NO CORRESPONDE",IF(W1419="NO CORRESPONDE","NO CORRESPONDE",IF(Z1419&gt;0,"FACTURADO","PENDIENTE")))</f>
        <v>FACTURADO</v>
      </c>
      <c r="AG1419" s="133">
        <f>IFERROR(VLOOKUP(DATA[[#This Row],[COMBINADA]],#REF!,6,0),0)</f>
        <v>0</v>
      </c>
      <c r="AH1419" s="125">
        <f>IFERROR(VLOOKUP(DATA[[#This Row],[COMBINADA]],#REF!,9,0),0)/COUNTIFS(DATA[COMBINADA],DATA[[#This Row],[COMBINADA]])</f>
        <v>0</v>
      </c>
      <c r="AI1419" s="136">
        <f>IFERROR(VLOOKUP(DATA[[#This Row],[COMBINADA]],#REF!,6,0),0)</f>
        <v>0</v>
      </c>
      <c r="AJ1419" s="132">
        <f>IFERROR(VLOOKUP(DATA[[#This Row],[COMBINADA]],#REF!,9,0),0)/COUNTIFS(DATA[COMBINADA],DATA[[#This Row],[COMBINADA]])</f>
        <v>0</v>
      </c>
      <c r="AK1419" s="131">
        <f>IFERROR(VLOOKUP(DATA[[#This Row],[COMBINADA]],#REF!,6,0),0)</f>
        <v>0</v>
      </c>
      <c r="AL1419" s="125">
        <f>IFERROR(VLOOKUP(DATA[[#This Row],[COMBINADA]],#REF!,9,0),0)/COUNTIFS(DATA[COMBINADA],DATA[[#This Row],[COMBINADA]])</f>
        <v>0</v>
      </c>
      <c r="AM1419" s="27">
        <f>IFERROR(VLOOKUP(DATA[[#This Row],[COMBINADA]],#REF!,6,0),0)</f>
        <v>0</v>
      </c>
      <c r="AN1419" s="125">
        <f>IFERROR(VLOOKUP(DATA[[#This Row],[COMBINADA]],#REF!,9,0),0)/COUNTIFS(DATA[COMBINADA],DATA[[#This Row],[COMBINADA]])</f>
        <v>0</v>
      </c>
      <c r="AO1419" s="27">
        <f>IFERROR(VLOOKUP(DATA[[#This Row],[COMBINADA]],#REF!,6,0),0)</f>
        <v>0</v>
      </c>
      <c r="AP1419" s="132">
        <f>IFERROR(VLOOKUP(DATA[[#This Row],[COMBINADA]],#REF!,9,0),0)/COUNTIFS(DATA[COMBINADA],DATA[[#This Row],[COMBINADA]])</f>
        <v>0</v>
      </c>
      <c r="AQ141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2018.3</v>
      </c>
      <c r="AR1419" s="26" t="str">
        <f>IFERROR(IF(DATA[[#This Row],[estado_fact]]="FACTURADO",VLOOKUP(DATA[[#This Row],[SERIE2]]&amp;"-"&amp;DATA[[#This Row],[NUMERO]],#REF!,34,0),"NO CORRESPONDE"),"NO CORRESPONDE")</f>
        <v>NO CORRESPONDE</v>
      </c>
      <c r="AS1419" s="22" t="str">
        <f>IF(DATA[[#This Row],[fecha_fs]]&gt;0,TEXT(DATA[[#This Row],[fecha_fs]],"Mmmm"),0)</f>
        <v>Noviembre</v>
      </c>
      <c r="AT1419" s="22" t="str">
        <f>DATA[[#This Row],[SERIE2]]&amp;"-"&amp;DATA[[#This Row],[NUMERO]]</f>
        <v>FF01-354</v>
      </c>
      <c r="AU1419" s="28">
        <f>DATA[[#This Row],[TOTAL]]*DATA[[#This Row],[T.C.]]</f>
        <v>2018.3</v>
      </c>
      <c r="AV1419" s="6">
        <f>DATA[[#This Row],[FECHA DE VAL.]]</f>
        <v>45966</v>
      </c>
      <c r="AW1419" s="6">
        <f>DATA[[#This Row],[FECHA DE EMISION]]</f>
        <v>45973</v>
      </c>
      <c r="AX1419" s="6">
        <f>DATA[[#This Row],[F1]]</f>
        <v>0</v>
      </c>
      <c r="AY1419" s="20">
        <f>IF(AV1419-DATA[[#This Row],[fecha_fs]]&lt;0,0,AV1419-DATA[[#This Row],[fecha_fs]])</f>
        <v>1</v>
      </c>
      <c r="AZ1419" s="20">
        <f t="shared" si="352"/>
        <v>7</v>
      </c>
      <c r="BA1419" s="53">
        <f t="shared" si="353"/>
        <v>0</v>
      </c>
      <c r="BB1419" s="360">
        <f>IFERROR(SUM(DATA[[#This Row],[fs_val_ttf]:[fact_pago_ttf]]),0)</f>
        <v>8</v>
      </c>
      <c r="BC1419" s="378">
        <v>45966</v>
      </c>
      <c r="BD1419" s="185">
        <v>45972</v>
      </c>
      <c r="BE1419" s="185" t="s">
        <v>270</v>
      </c>
      <c r="BF1419" s="185" t="s">
        <v>270</v>
      </c>
      <c r="BG1419" s="20">
        <f>IFERROR(IF(BC1419-DATA[[#This Row],[fecha_fs]]&lt;0,0,BC1419-DATA[[#This Row],[fecha_fs]]),0)</f>
        <v>1</v>
      </c>
      <c r="BH1419" s="20">
        <f t="shared" si="346"/>
        <v>6</v>
      </c>
      <c r="BI1419" s="20">
        <f t="shared" si="347"/>
        <v>0</v>
      </c>
      <c r="BJ1419" s="53">
        <f t="shared" si="348"/>
        <v>0</v>
      </c>
      <c r="BK1419" s="376">
        <f>IFERROR(SUM(DATA[[#This Row],[fs_fd_ttd]:[fend_fenf_ttd]]),0)</f>
        <v>7</v>
      </c>
      <c r="BL1419" s="20" t="str">
        <f>IF(DATA[[#This Row],[fecha_fs]]&gt;0,TEXT(DATA[[#This Row],[fecha_fs]],"YYYY"),0)</f>
        <v>2025</v>
      </c>
      <c r="BM1419" s="236" t="b">
        <v>0</v>
      </c>
      <c r="BN1419" s="278">
        <f>COUNTIF(DATA[[#This Row],[tiempo_td]], "&lt;=15")</f>
        <v>1</v>
      </c>
      <c r="BO1419" s="365"/>
    </row>
    <row r="1420" spans="1:67" ht="30.6" customHeight="1" x14ac:dyDescent="0.25">
      <c r="A1420" s="4">
        <v>20505675836</v>
      </c>
      <c r="B1420" s="5" t="s">
        <v>42</v>
      </c>
      <c r="C1420" s="52" t="s">
        <v>20</v>
      </c>
      <c r="D1420" s="4" t="s">
        <v>112</v>
      </c>
      <c r="E1420" s="5" t="s">
        <v>1</v>
      </c>
      <c r="F1420" s="24">
        <v>45965</v>
      </c>
      <c r="G1420" s="7" t="s">
        <v>113</v>
      </c>
      <c r="H1420" s="25">
        <f t="shared" si="354"/>
        <v>1</v>
      </c>
      <c r="I1420" s="331">
        <v>5199</v>
      </c>
      <c r="J1420" s="8" t="s">
        <v>115</v>
      </c>
      <c r="K1420" s="9" t="s">
        <v>116</v>
      </c>
      <c r="L1420" s="10" t="s">
        <v>117</v>
      </c>
      <c r="M1420" s="11">
        <v>180</v>
      </c>
      <c r="N1420" s="12" t="s">
        <v>129</v>
      </c>
      <c r="O1420" s="6">
        <v>45987</v>
      </c>
      <c r="P1420" s="71"/>
      <c r="Q1420" s="14" t="s">
        <v>85</v>
      </c>
      <c r="R1420" s="74"/>
      <c r="S1420" s="56">
        <v>1988.35</v>
      </c>
      <c r="T1420" s="321">
        <f>DATA[[#This Row],[C. DF]]+DATA[[#This Row],[C.OPE.]]</f>
        <v>1988.35</v>
      </c>
      <c r="U1420" s="15">
        <f>DATA[[#This Row],[SUB TOTAL]]*0.18</f>
        <v>357.90299999999996</v>
      </c>
      <c r="V1420" s="15">
        <f>IFERROR(ROUND(DATA[[#This Row],[SUB TOTAL]]+DATA[[#This Row],[IGV]],2),0)</f>
        <v>2346.25</v>
      </c>
      <c r="W1420" s="339" t="str">
        <f>IF(DATA[[#This Row],[VALORIZACIÓN ]]="-","NO CORRESPONDE",IF(OR(A1420=20558226979,A1420=10470707866,A1420=20111157058,A1420=20100226902),"NO CORRESPONDE",IF(J1420="Emitida",IF(P1420&gt;0,"EMITIDA","PENDIENTE"),"NO CORRESPONDE")))</f>
        <v>PENDIENTE</v>
      </c>
      <c r="X1420" s="29"/>
      <c r="Y1420" s="17" t="s">
        <v>232</v>
      </c>
      <c r="Z1420" s="30"/>
      <c r="AA1420" s="10"/>
      <c r="AB1420" s="19"/>
      <c r="AC1420" s="20"/>
      <c r="AD1420" s="18">
        <f>DATA[[#This Row],[FECHA DE EMISION]]+DATA[[#This Row],[CONDICION DE PAGO]]</f>
        <v>0</v>
      </c>
      <c r="AE1420" s="23">
        <f>IF(DATA[[#This Row],[MONEDA]]="USD",VLOOKUP(DATA[[#This Row],[COMBINADA]],#REF!,11,0),1)</f>
        <v>1</v>
      </c>
      <c r="AF1420" s="129" t="str">
        <f>IF(DATA[[#This Row],[SERIE2]]="-","NO CORRESPONDE",IF(W1420="NO CORRESPONDE","NO CORRESPONDE",IF(Z1420&gt;0,"FACTURADO","PENDIENTE")))</f>
        <v>PENDIENTE</v>
      </c>
      <c r="AG1420" s="133">
        <f>IFERROR(VLOOKUP(DATA[[#This Row],[COMBINADA]],#REF!,6,0),0)</f>
        <v>0</v>
      </c>
      <c r="AH1420" s="125">
        <f>IFERROR(VLOOKUP(DATA[[#This Row],[COMBINADA]],#REF!,9,0),0)/COUNTIFS(DATA[COMBINADA],DATA[[#This Row],[COMBINADA]])</f>
        <v>0</v>
      </c>
      <c r="AI1420" s="136">
        <f>IFERROR(VLOOKUP(DATA[[#This Row],[COMBINADA]],#REF!,6,0),0)</f>
        <v>0</v>
      </c>
      <c r="AJ1420" s="132">
        <f>IFERROR(VLOOKUP(DATA[[#This Row],[COMBINADA]],#REF!,9,0),0)/COUNTIFS(DATA[COMBINADA],DATA[[#This Row],[COMBINADA]])</f>
        <v>0</v>
      </c>
      <c r="AK1420" s="131">
        <f>IFERROR(VLOOKUP(DATA[[#This Row],[COMBINADA]],#REF!,6,0),0)</f>
        <v>0</v>
      </c>
      <c r="AL1420" s="125">
        <f>IFERROR(VLOOKUP(DATA[[#This Row],[COMBINADA]],#REF!,9,0),0)/COUNTIFS(DATA[COMBINADA],DATA[[#This Row],[COMBINADA]])</f>
        <v>0</v>
      </c>
      <c r="AM1420" s="27">
        <f>IFERROR(VLOOKUP(DATA[[#This Row],[COMBINADA]],#REF!,6,0),0)</f>
        <v>0</v>
      </c>
      <c r="AN1420" s="125">
        <f>IFERROR(VLOOKUP(DATA[[#This Row],[COMBINADA]],#REF!,9,0),0)/COUNTIFS(DATA[COMBINADA],DATA[[#This Row],[COMBINADA]])</f>
        <v>0</v>
      </c>
      <c r="AO1420" s="27">
        <f>IFERROR(VLOOKUP(DATA[[#This Row],[COMBINADA]],#REF!,6,0),0)</f>
        <v>0</v>
      </c>
      <c r="AP1420" s="132">
        <f>IFERROR(VLOOKUP(DATA[[#This Row],[COMBINADA]],#REF!,9,0),0)/COUNTIFS(DATA[COMBINADA],DATA[[#This Row],[COMBINADA]])</f>
        <v>0</v>
      </c>
      <c r="AQ142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20" s="26" t="str">
        <f>IFERROR(IF(DATA[[#This Row],[estado_fact]]="FACTURADO",VLOOKUP(DATA[[#This Row],[SERIE2]]&amp;"-"&amp;DATA[[#This Row],[NUMERO]],#REF!,34,0),"NO CORRESPONDE"),"NO CORRESPONDE")</f>
        <v>NO CORRESPONDE</v>
      </c>
      <c r="AS1420" s="22" t="str">
        <f>IF(DATA[[#This Row],[fecha_fs]]&gt;0,TEXT(DATA[[#This Row],[fecha_fs]],"Mmmm"),0)</f>
        <v>Noviembre</v>
      </c>
      <c r="AT1420" s="22" t="str">
        <f>DATA[[#This Row],[SERIE2]]&amp;"-"&amp;DATA[[#This Row],[NUMERO]]</f>
        <v>-</v>
      </c>
      <c r="AU1420" s="28">
        <f>DATA[[#This Row],[TOTAL]]*DATA[[#This Row],[T.C.]]</f>
        <v>2346.25</v>
      </c>
      <c r="AV1420" s="6">
        <f>DATA[[#This Row],[FECHA DE VAL.]]</f>
        <v>45987</v>
      </c>
      <c r="AW1420" s="6">
        <f>DATA[[#This Row],[FECHA DE EMISION]]</f>
        <v>0</v>
      </c>
      <c r="AX1420" s="6">
        <f>DATA[[#This Row],[F1]]</f>
        <v>0</v>
      </c>
      <c r="AY1420" s="20">
        <f>IF(AV1420-DATA[[#This Row],[fecha_fs]]&lt;0,0,AV1420-DATA[[#This Row],[fecha_fs]])</f>
        <v>22</v>
      </c>
      <c r="AZ1420" s="20">
        <f t="shared" si="352"/>
        <v>0</v>
      </c>
      <c r="BA1420" s="53">
        <f t="shared" si="353"/>
        <v>0</v>
      </c>
      <c r="BB1420" s="360">
        <f>IFERROR(SUM(DATA[[#This Row],[fs_val_ttf]:[fact_pago_ttf]]),0)</f>
        <v>22</v>
      </c>
      <c r="BC1420" s="378" t="s">
        <v>270</v>
      </c>
      <c r="BD1420" s="185" t="s">
        <v>270</v>
      </c>
      <c r="BE1420" s="185" t="s">
        <v>270</v>
      </c>
      <c r="BF1420" s="185" t="s">
        <v>270</v>
      </c>
      <c r="BG1420" s="20">
        <f>IFERROR(IF(BC1420-DATA[[#This Row],[fecha_fs]]&lt;0,0,BC1420-DATA[[#This Row],[fecha_fs]]),0)</f>
        <v>0</v>
      </c>
      <c r="BH1420" s="20">
        <f t="shared" si="346"/>
        <v>0</v>
      </c>
      <c r="BI1420" s="20">
        <f t="shared" si="347"/>
        <v>0</v>
      </c>
      <c r="BJ1420" s="53">
        <f t="shared" si="348"/>
        <v>0</v>
      </c>
      <c r="BK1420" s="376">
        <f>IFERROR(SUM(DATA[[#This Row],[fs_fd_ttd]:[fend_fenf_ttd]]),0)</f>
        <v>0</v>
      </c>
      <c r="BL1420" s="20" t="str">
        <f>IF(DATA[[#This Row],[fecha_fs]]&gt;0,TEXT(DATA[[#This Row],[fecha_fs]],"YYYY"),0)</f>
        <v>2025</v>
      </c>
      <c r="BM1420" s="236" t="b">
        <v>0</v>
      </c>
      <c r="BN1420" s="278">
        <f>COUNTIF(DATA[[#This Row],[tiempo_td]], "&lt;=15")</f>
        <v>1</v>
      </c>
      <c r="BO1420" s="365"/>
    </row>
    <row r="1421" spans="1:67" ht="30.6" customHeight="1" x14ac:dyDescent="0.25">
      <c r="A1421" s="4">
        <v>20100192064</v>
      </c>
      <c r="B1421" s="5" t="s">
        <v>60</v>
      </c>
      <c r="C1421" s="52" t="s">
        <v>63</v>
      </c>
      <c r="D1421" s="4" t="s">
        <v>120</v>
      </c>
      <c r="E1421" s="5" t="s">
        <v>3</v>
      </c>
      <c r="F1421" s="24">
        <v>45965</v>
      </c>
      <c r="G1421" s="7" t="s">
        <v>142</v>
      </c>
      <c r="H1421" s="25">
        <f t="shared" ref="H1421:H1422" si="358">IF(G1421="","",IF(G1421="LIM",2,1))</f>
        <v>2</v>
      </c>
      <c r="I1421" s="67">
        <v>1160</v>
      </c>
      <c r="J1421" s="8" t="s">
        <v>115</v>
      </c>
      <c r="K1421" s="9" t="s">
        <v>121</v>
      </c>
      <c r="L1421" s="10" t="s">
        <v>117</v>
      </c>
      <c r="M1421" s="11">
        <v>135</v>
      </c>
      <c r="N1421" s="12" t="s">
        <v>180</v>
      </c>
      <c r="O1421" s="6">
        <v>45987</v>
      </c>
      <c r="P1421" s="71"/>
      <c r="Q1421" s="14" t="s">
        <v>123</v>
      </c>
      <c r="R1421" s="15">
        <f>(DATA[[#This Row],[cantidad_fs]]/1000)*(37+82.74)</f>
        <v>16.164899999999999</v>
      </c>
      <c r="S1421" s="15">
        <v>148.53</v>
      </c>
      <c r="T1421" s="321">
        <f>DATA[[#This Row],[C. DF]]+DATA[[#This Row],[C.OPE.]]</f>
        <v>164.69489999999999</v>
      </c>
      <c r="U1421" s="15">
        <f>DATA[[#This Row],[SUB TOTAL]]*0.18</f>
        <v>29.645081999999999</v>
      </c>
      <c r="V1421" s="15">
        <f>IFERROR(ROUND(DATA[[#This Row],[SUB TOTAL]]+DATA[[#This Row],[IGV]],2),0)</f>
        <v>194.34</v>
      </c>
      <c r="W1421" s="16" t="str">
        <f>IF(DATA[[#This Row],[VALORIZACIÓN ]]="-","NO CORRESPONDE",IF(OR(A1421=20558226979,A1421=10470707866,A1421=20111157058,A1421=20100226902),"NO CORRESPONDE",IF(J1421="Emitida",IF(P1421&gt;0,"EMITIDA","PENDIENTE"),"NO CORRESPONDE")))</f>
        <v>PENDIENTE</v>
      </c>
      <c r="X1421" s="29"/>
      <c r="Y1421" s="17" t="s">
        <v>232</v>
      </c>
      <c r="Z1421" s="30"/>
      <c r="AA1421" s="10"/>
      <c r="AB1421" s="19"/>
      <c r="AC1421" s="20"/>
      <c r="AD1421" s="18">
        <f>DATA[[#This Row],[FECHA DE EMISION]]+DATA[[#This Row],[CONDICION DE PAGO]]</f>
        <v>0</v>
      </c>
      <c r="AE1421" s="23" t="e">
        <f>IF(DATA[[#This Row],[MONEDA]]="USD",VLOOKUP(DATA[[#This Row],[COMBINADA]],#REF!,11,0),1)</f>
        <v>#REF!</v>
      </c>
      <c r="AF1421" s="129" t="str">
        <f>IF(DATA[[#This Row],[SERIE2]]="-","NO CORRESPONDE",IF(W1421="NO CORRESPONDE","NO CORRESPONDE",IF(Z1421&gt;0,"FACTURADO","PENDIENTE")))</f>
        <v>PENDIENTE</v>
      </c>
      <c r="AG1421" s="27">
        <f>IFERROR(VLOOKUP(DATA[[#This Row],[COMBINADA]],#REF!,6,0),0)</f>
        <v>0</v>
      </c>
      <c r="AH1421" s="130">
        <f>IFERROR(VLOOKUP(DATA[[#This Row],[COMBINADA]],#REF!,9,0),0)/COUNTIFS(DATA[COMBINADA],DATA[[#This Row],[COMBINADA]])</f>
        <v>0</v>
      </c>
      <c r="AI1421" s="131">
        <f>IFERROR(VLOOKUP(DATA[[#This Row],[COMBINADA]],#REF!,6,0),0)</f>
        <v>0</v>
      </c>
      <c r="AJ1421" s="132">
        <f>IFERROR(VLOOKUP(DATA[[#This Row],[COMBINADA]],#REF!,9,0),0)/COUNTIFS(DATA[COMBINADA],DATA[[#This Row],[COMBINADA]])</f>
        <v>0</v>
      </c>
      <c r="AK1421" s="131">
        <f>IFERROR(VLOOKUP(DATA[[#This Row],[COMBINADA]],#REF!,6,0),0)</f>
        <v>0</v>
      </c>
      <c r="AL1421" s="125">
        <f>IFERROR(VLOOKUP(DATA[[#This Row],[COMBINADA]],#REF!,9,0),0)/COUNTIFS(DATA[COMBINADA],DATA[[#This Row],[COMBINADA]])</f>
        <v>0</v>
      </c>
      <c r="AM1421" s="27">
        <f>IFERROR(VLOOKUP(DATA[[#This Row],[COMBINADA]],#REF!,6,0),0)</f>
        <v>0</v>
      </c>
      <c r="AN1421" s="125">
        <f>IFERROR(VLOOKUP(DATA[[#This Row],[COMBINADA]],#REF!,9,0),0)/COUNTIFS(DATA[COMBINADA],DATA[[#This Row],[COMBINADA]])</f>
        <v>0</v>
      </c>
      <c r="AO1421" s="27">
        <f>IFERROR(VLOOKUP(DATA[[#This Row],[COMBINADA]],#REF!,6,0),0)</f>
        <v>0</v>
      </c>
      <c r="AP1421" s="132">
        <f>IFERROR(VLOOKUP(DATA[[#This Row],[COMBINADA]],#REF!,9,0),0)/COUNTIFS(DATA[COMBINADA],DATA[[#This Row],[COMBINADA]])</f>
        <v>0</v>
      </c>
      <c r="AQ142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21" s="26" t="str">
        <f>IFERROR(IF(DATA[[#This Row],[estado_fact]]="FACTURADO",VLOOKUP(DATA[[#This Row],[SERIE2]]&amp;"-"&amp;DATA[[#This Row],[NUMERO]],#REF!,34,0),"NO CORRESPONDE"),"NO CORRESPONDE")</f>
        <v>NO CORRESPONDE</v>
      </c>
      <c r="AS1421" s="22" t="str">
        <f>IF(DATA[[#This Row],[fecha_fs]]&gt;0,TEXT(DATA[[#This Row],[fecha_fs]],"Mmmm"),0)</f>
        <v>Noviembre</v>
      </c>
      <c r="AT1421" s="22" t="str">
        <f>DATA[[#This Row],[SERIE2]]&amp;"-"&amp;DATA[[#This Row],[NUMERO]]</f>
        <v>-</v>
      </c>
      <c r="AU1421" s="28" t="e">
        <f>DATA[[#This Row],[TOTAL]]*DATA[[#This Row],[T.C.]]</f>
        <v>#REF!</v>
      </c>
      <c r="AV1421" s="6">
        <f>DATA[[#This Row],[FECHA DE VAL.]]</f>
        <v>45987</v>
      </c>
      <c r="AW1421" s="6">
        <f>DATA[[#This Row],[FECHA DE EMISION]]</f>
        <v>0</v>
      </c>
      <c r="AX1421" s="6">
        <f>DATA[[#This Row],[F1]]</f>
        <v>0</v>
      </c>
      <c r="AY1421" s="20">
        <f>IF(AV1421-DATA[[#This Row],[fecha_fs]]&lt;0,0,AV1421-DATA[[#This Row],[fecha_fs]])</f>
        <v>22</v>
      </c>
      <c r="AZ1421" s="20">
        <f t="shared" ref="AZ1421:AZ1422" si="359">IF(AW1421-AV1421&lt;0,0,AW1421-AV1421)</f>
        <v>0</v>
      </c>
      <c r="BA1421" s="53">
        <f t="shared" ref="BA1421:BA1422" si="360">IF(AX1421-AW1421&lt;0,0,AX1421-AW1421)</f>
        <v>0</v>
      </c>
      <c r="BB1421" s="360">
        <f>IFERROR(SUM(DATA[[#This Row],[fs_val_ttf]:[fact_pago_ttf]]),0)</f>
        <v>22</v>
      </c>
      <c r="BC1421" s="378" t="s">
        <v>270</v>
      </c>
      <c r="BD1421" s="185" t="s">
        <v>270</v>
      </c>
      <c r="BE1421" s="185" t="s">
        <v>270</v>
      </c>
      <c r="BF1421" s="185" t="s">
        <v>270</v>
      </c>
      <c r="BG1421" s="20">
        <f>IFERROR(IF(BC1421-DATA[[#This Row],[fecha_fs]]&lt;0,0,BC1421-DATA[[#This Row],[fecha_fs]]),0)</f>
        <v>0</v>
      </c>
      <c r="BH1421" s="20">
        <f t="shared" si="346"/>
        <v>0</v>
      </c>
      <c r="BI1421" s="20">
        <f t="shared" si="347"/>
        <v>0</v>
      </c>
      <c r="BJ1421" s="53">
        <f t="shared" si="348"/>
        <v>0</v>
      </c>
      <c r="BK1421" s="376">
        <f>IFERROR(SUM(DATA[[#This Row],[fs_fd_ttd]:[fend_fenf_ttd]]),0)</f>
        <v>0</v>
      </c>
      <c r="BL1421" s="20" t="str">
        <f>IF(DATA[[#This Row],[fecha_fs]]&gt;0,TEXT(DATA[[#This Row],[fecha_fs]],"YYYY"),0)</f>
        <v>2025</v>
      </c>
      <c r="BM1421" s="236" t="b">
        <v>0</v>
      </c>
      <c r="BN1421" s="278">
        <f>COUNTIF(DATA[[#This Row],[tiempo_td]], "&lt;=15")</f>
        <v>1</v>
      </c>
      <c r="BO1421" s="365"/>
    </row>
    <row r="1422" spans="1:67" ht="30.6" customHeight="1" x14ac:dyDescent="0.25">
      <c r="A1422" s="4">
        <v>20100192064</v>
      </c>
      <c r="B1422" s="5" t="s">
        <v>60</v>
      </c>
      <c r="C1422" s="52" t="s">
        <v>63</v>
      </c>
      <c r="D1422" s="4" t="s">
        <v>112</v>
      </c>
      <c r="E1422" s="5" t="s">
        <v>1</v>
      </c>
      <c r="F1422" s="24">
        <v>45965</v>
      </c>
      <c r="G1422" s="7" t="s">
        <v>142</v>
      </c>
      <c r="H1422" s="25">
        <f t="shared" si="358"/>
        <v>2</v>
      </c>
      <c r="I1422" s="67">
        <v>1161</v>
      </c>
      <c r="J1422" s="8" t="s">
        <v>115</v>
      </c>
      <c r="K1422" s="9" t="s">
        <v>116</v>
      </c>
      <c r="L1422" s="10" t="s">
        <v>117</v>
      </c>
      <c r="M1422" s="11">
        <v>20</v>
      </c>
      <c r="N1422" s="12" t="s">
        <v>180</v>
      </c>
      <c r="O1422" s="6">
        <v>45987</v>
      </c>
      <c r="P1422" s="71"/>
      <c r="Q1422" s="14" t="s">
        <v>123</v>
      </c>
      <c r="R1422" s="15">
        <f>(DATA[[#This Row],[cantidad_fs]]/1000)*(147+82.74)</f>
        <v>4.5948000000000002</v>
      </c>
      <c r="S1422" s="15">
        <v>148.53</v>
      </c>
      <c r="T1422" s="321">
        <f>DATA[[#This Row],[C. DF]]+DATA[[#This Row],[C.OPE.]]</f>
        <v>153.12479999999999</v>
      </c>
      <c r="U1422" s="15">
        <f>DATA[[#This Row],[SUB TOTAL]]*0.18</f>
        <v>27.562463999999999</v>
      </c>
      <c r="V1422" s="15">
        <f>IFERROR(ROUND(DATA[[#This Row],[SUB TOTAL]]+DATA[[#This Row],[IGV]],2),0)</f>
        <v>180.69</v>
      </c>
      <c r="W1422" s="16" t="str">
        <f>IF(DATA[[#This Row],[VALORIZACIÓN ]]="-","NO CORRESPONDE",IF(OR(A1422=20558226979,A1422=10470707866,A1422=20111157058,A1422=20100226902),"NO CORRESPONDE",IF(J1422="Emitida",IF(P1422&gt;0,"EMITIDA","PENDIENTE"),"NO CORRESPONDE")))</f>
        <v>PENDIENTE</v>
      </c>
      <c r="X1422" s="29"/>
      <c r="Y1422" s="17" t="s">
        <v>232</v>
      </c>
      <c r="Z1422" s="30"/>
      <c r="AA1422" s="10"/>
      <c r="AB1422" s="19"/>
      <c r="AC1422" s="20"/>
      <c r="AD1422" s="18">
        <f>DATA[[#This Row],[FECHA DE EMISION]]+DATA[[#This Row],[CONDICION DE PAGO]]</f>
        <v>0</v>
      </c>
      <c r="AE1422" s="23" t="e">
        <f>IF(DATA[[#This Row],[MONEDA]]="USD",VLOOKUP(DATA[[#This Row],[COMBINADA]],#REF!,11,0),1)</f>
        <v>#REF!</v>
      </c>
      <c r="AF1422" s="129" t="str">
        <f>IF(DATA[[#This Row],[SERIE2]]="-","NO CORRESPONDE",IF(W1422="NO CORRESPONDE","NO CORRESPONDE",IF(Z1422&gt;0,"FACTURADO","PENDIENTE")))</f>
        <v>PENDIENTE</v>
      </c>
      <c r="AG1422" s="27">
        <f>IFERROR(VLOOKUP(DATA[[#This Row],[COMBINADA]],#REF!,6,0),0)</f>
        <v>0</v>
      </c>
      <c r="AH1422" s="130">
        <f>IFERROR(VLOOKUP(DATA[[#This Row],[COMBINADA]],#REF!,9,0),0)/COUNTIFS(DATA[COMBINADA],DATA[[#This Row],[COMBINADA]])</f>
        <v>0</v>
      </c>
      <c r="AI1422" s="131">
        <f>IFERROR(VLOOKUP(DATA[[#This Row],[COMBINADA]],#REF!,6,0),0)</f>
        <v>0</v>
      </c>
      <c r="AJ1422" s="132">
        <f>IFERROR(VLOOKUP(DATA[[#This Row],[COMBINADA]],#REF!,9,0),0)/COUNTIFS(DATA[COMBINADA],DATA[[#This Row],[COMBINADA]])</f>
        <v>0</v>
      </c>
      <c r="AK1422" s="131">
        <f>IFERROR(VLOOKUP(DATA[[#This Row],[COMBINADA]],#REF!,6,0),0)</f>
        <v>0</v>
      </c>
      <c r="AL1422" s="125">
        <f>IFERROR(VLOOKUP(DATA[[#This Row],[COMBINADA]],#REF!,9,0),0)/COUNTIFS(DATA[COMBINADA],DATA[[#This Row],[COMBINADA]])</f>
        <v>0</v>
      </c>
      <c r="AM1422" s="27">
        <f>IFERROR(VLOOKUP(DATA[[#This Row],[COMBINADA]],#REF!,6,0),0)</f>
        <v>0</v>
      </c>
      <c r="AN1422" s="125">
        <f>IFERROR(VLOOKUP(DATA[[#This Row],[COMBINADA]],#REF!,9,0),0)/COUNTIFS(DATA[COMBINADA],DATA[[#This Row],[COMBINADA]])</f>
        <v>0</v>
      </c>
      <c r="AO1422" s="27">
        <f>IFERROR(VLOOKUP(DATA[[#This Row],[COMBINADA]],#REF!,6,0),0)</f>
        <v>0</v>
      </c>
      <c r="AP1422" s="132">
        <f>IFERROR(VLOOKUP(DATA[[#This Row],[COMBINADA]],#REF!,9,0),0)/COUNTIFS(DATA[COMBINADA],DATA[[#This Row],[COMBINADA]])</f>
        <v>0</v>
      </c>
      <c r="AQ142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22" s="26" t="str">
        <f>IFERROR(IF(DATA[[#This Row],[estado_fact]]="FACTURADO",VLOOKUP(DATA[[#This Row],[SERIE2]]&amp;"-"&amp;DATA[[#This Row],[NUMERO]],#REF!,34,0),"NO CORRESPONDE"),"NO CORRESPONDE")</f>
        <v>NO CORRESPONDE</v>
      </c>
      <c r="AS1422" s="22" t="str">
        <f>IF(DATA[[#This Row],[fecha_fs]]&gt;0,TEXT(DATA[[#This Row],[fecha_fs]],"Mmmm"),0)</f>
        <v>Noviembre</v>
      </c>
      <c r="AT1422" s="22" t="str">
        <f>DATA[[#This Row],[SERIE2]]&amp;"-"&amp;DATA[[#This Row],[NUMERO]]</f>
        <v>-</v>
      </c>
      <c r="AU1422" s="28" t="e">
        <f>DATA[[#This Row],[TOTAL]]*DATA[[#This Row],[T.C.]]</f>
        <v>#REF!</v>
      </c>
      <c r="AV1422" s="6">
        <f>DATA[[#This Row],[FECHA DE VAL.]]</f>
        <v>45987</v>
      </c>
      <c r="AW1422" s="6">
        <f>DATA[[#This Row],[FECHA DE EMISION]]</f>
        <v>0</v>
      </c>
      <c r="AX1422" s="6">
        <f>DATA[[#This Row],[F1]]</f>
        <v>0</v>
      </c>
      <c r="AY1422" s="20">
        <f>IF(AV1422-DATA[[#This Row],[fecha_fs]]&lt;0,0,AV1422-DATA[[#This Row],[fecha_fs]])</f>
        <v>22</v>
      </c>
      <c r="AZ1422" s="20">
        <f t="shared" si="359"/>
        <v>0</v>
      </c>
      <c r="BA1422" s="53">
        <f t="shared" si="360"/>
        <v>0</v>
      </c>
      <c r="BB1422" s="360">
        <f>IFERROR(SUM(DATA[[#This Row],[fs_val_ttf]:[fact_pago_ttf]]),0)</f>
        <v>22</v>
      </c>
      <c r="BC1422" s="378" t="s">
        <v>270</v>
      </c>
      <c r="BD1422" s="185" t="s">
        <v>270</v>
      </c>
      <c r="BE1422" s="185" t="s">
        <v>270</v>
      </c>
      <c r="BF1422" s="185" t="s">
        <v>270</v>
      </c>
      <c r="BG1422" s="20">
        <f>IFERROR(IF(BC1422-DATA[[#This Row],[fecha_fs]]&lt;0,0,BC1422-DATA[[#This Row],[fecha_fs]]),0)</f>
        <v>0</v>
      </c>
      <c r="BH1422" s="20">
        <f t="shared" ref="BH1422:BH1454" si="361">IFERROR(IF(BD1422-BC1422&lt;0,0,BD1422-BC1422),0)</f>
        <v>0</v>
      </c>
      <c r="BI1422" s="20">
        <f t="shared" ref="BI1422:BI1454" si="362">IFERROR(IF(BE1422-BD1422&lt;0,0,BE1422-BD1422),0)</f>
        <v>0</v>
      </c>
      <c r="BJ1422" s="53">
        <f t="shared" ref="BJ1422:BJ1454" si="363">IFERROR(IF(BF1422-BE1422&lt;0,0,BF1422-BE1422),0)</f>
        <v>0</v>
      </c>
      <c r="BK1422" s="376">
        <f>IFERROR(SUM(DATA[[#This Row],[fs_fd_ttd]:[fend_fenf_ttd]]),0)</f>
        <v>0</v>
      </c>
      <c r="BL1422" s="20" t="str">
        <f>IF(DATA[[#This Row],[fecha_fs]]&gt;0,TEXT(DATA[[#This Row],[fecha_fs]],"YYYY"),0)</f>
        <v>2025</v>
      </c>
      <c r="BM1422" s="236" t="b">
        <v>0</v>
      </c>
      <c r="BN1422" s="278">
        <f>COUNTIF(DATA[[#This Row],[tiempo_td]], "&lt;=15")</f>
        <v>1</v>
      </c>
      <c r="BO1422" s="365"/>
    </row>
    <row r="1423" spans="1:67" ht="30.6" customHeight="1" x14ac:dyDescent="0.25">
      <c r="A1423" s="4">
        <v>20141637941</v>
      </c>
      <c r="B1423" s="5" t="s">
        <v>79</v>
      </c>
      <c r="C1423" s="52" t="s">
        <v>18</v>
      </c>
      <c r="D1423" s="4" t="s">
        <v>120</v>
      </c>
      <c r="E1423" s="5" t="s">
        <v>3</v>
      </c>
      <c r="F1423" s="24">
        <v>45966</v>
      </c>
      <c r="G1423" s="7" t="s">
        <v>113</v>
      </c>
      <c r="H1423" s="25">
        <f t="shared" si="354"/>
        <v>1</v>
      </c>
      <c r="I1423" s="331">
        <v>5200</v>
      </c>
      <c r="J1423" s="8" t="s">
        <v>115</v>
      </c>
      <c r="K1423" s="9" t="s">
        <v>121</v>
      </c>
      <c r="L1423" s="10" t="s">
        <v>117</v>
      </c>
      <c r="M1423" s="11">
        <v>990</v>
      </c>
      <c r="N1423" s="12" t="s">
        <v>249</v>
      </c>
      <c r="O1423" s="6">
        <v>45971</v>
      </c>
      <c r="P1423" s="110">
        <v>3779</v>
      </c>
      <c r="Q1423" s="14" t="s">
        <v>85</v>
      </c>
      <c r="R1423" s="401">
        <v>80</v>
      </c>
      <c r="S1423" s="401">
        <v>832</v>
      </c>
      <c r="T1423" s="321">
        <f>DATA[[#This Row],[C. DF]]+DATA[[#This Row],[C.OPE.]]</f>
        <v>912</v>
      </c>
      <c r="U1423" s="15">
        <f>DATA[[#This Row],[SUB TOTAL]]*0.18</f>
        <v>164.16</v>
      </c>
      <c r="V1423" s="15">
        <f>IFERROR(ROUND(DATA[[#This Row],[SUB TOTAL]]+DATA[[#This Row],[IGV]],2),0)</f>
        <v>1076.1600000000001</v>
      </c>
      <c r="W1423" s="339" t="str">
        <f>IF(DATA[[#This Row],[VALORIZACIÓN ]]="-","NO CORRESPONDE",IF(OR(A1423=20558226979,A1423=10470707866,A1423=20111157058,A1423=20100226902),"NO CORRESPONDE",IF(J1423="Emitida",IF(P1423&gt;0,"EMITIDA","PENDIENTE"),"NO CORRESPONDE")))</f>
        <v>EMITIDA</v>
      </c>
      <c r="X1423" s="29"/>
      <c r="Y1423" s="17" t="s">
        <v>118</v>
      </c>
      <c r="Z1423" s="30">
        <v>45971</v>
      </c>
      <c r="AA1423" s="10" t="s">
        <v>150</v>
      </c>
      <c r="AB1423" s="19">
        <v>352</v>
      </c>
      <c r="AC1423" s="20">
        <v>30</v>
      </c>
      <c r="AD1423" s="18">
        <f>DATA[[#This Row],[FECHA DE EMISION]]+DATA[[#This Row],[CONDICION DE PAGO]]</f>
        <v>46001</v>
      </c>
      <c r="AE1423" s="23">
        <f>IF(DATA[[#This Row],[MONEDA]]="USD",VLOOKUP(DATA[[#This Row],[COMBINADA]],#REF!,11,0),1)</f>
        <v>1</v>
      </c>
      <c r="AF1423" s="129" t="str">
        <f>IF(DATA[[#This Row],[SERIE2]]="-","NO CORRESPONDE",IF(W1423="NO CORRESPONDE","NO CORRESPONDE",IF(Z1423&gt;0,"FACTURADO","PENDIENTE")))</f>
        <v>FACTURADO</v>
      </c>
      <c r="AG1423" s="133">
        <f>IFERROR(VLOOKUP(DATA[[#This Row],[COMBINADA]],#REF!,6,0),0)</f>
        <v>0</v>
      </c>
      <c r="AH1423" s="125">
        <f>IFERROR(VLOOKUP(DATA[[#This Row],[COMBINADA]],#REF!,9,0),0)/COUNTIFS(DATA[COMBINADA],DATA[[#This Row],[COMBINADA]])</f>
        <v>0</v>
      </c>
      <c r="AI1423" s="136">
        <f>IFERROR(VLOOKUP(DATA[[#This Row],[COMBINADA]],#REF!,6,0),0)</f>
        <v>0</v>
      </c>
      <c r="AJ1423" s="132">
        <f>IFERROR(VLOOKUP(DATA[[#This Row],[COMBINADA]],#REF!,9,0),0)/COUNTIFS(DATA[COMBINADA],DATA[[#This Row],[COMBINADA]])</f>
        <v>0</v>
      </c>
      <c r="AK1423" s="131">
        <f>IFERROR(VLOOKUP(DATA[[#This Row],[COMBINADA]],#REF!,6,0),0)</f>
        <v>0</v>
      </c>
      <c r="AL1423" s="125">
        <f>IFERROR(VLOOKUP(DATA[[#This Row],[COMBINADA]],#REF!,9,0),0)/COUNTIFS(DATA[COMBINADA],DATA[[#This Row],[COMBINADA]])</f>
        <v>0</v>
      </c>
      <c r="AM1423" s="27">
        <f>IFERROR(VLOOKUP(DATA[[#This Row],[COMBINADA]],#REF!,6,0),0)</f>
        <v>0</v>
      </c>
      <c r="AN1423" s="125">
        <f>IFERROR(VLOOKUP(DATA[[#This Row],[COMBINADA]],#REF!,9,0),0)/COUNTIFS(DATA[COMBINADA],DATA[[#This Row],[COMBINADA]])</f>
        <v>0</v>
      </c>
      <c r="AO1423" s="27">
        <f>IFERROR(VLOOKUP(DATA[[#This Row],[COMBINADA]],#REF!,6,0),0)</f>
        <v>0</v>
      </c>
      <c r="AP1423" s="132">
        <f>IFERROR(VLOOKUP(DATA[[#This Row],[COMBINADA]],#REF!,9,0),0)/COUNTIFS(DATA[COMBINADA],DATA[[#This Row],[COMBINADA]])</f>
        <v>0</v>
      </c>
      <c r="AQ142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1101.6475</v>
      </c>
      <c r="AR1423" s="26" t="str">
        <f>IFERROR(IF(DATA[[#This Row],[estado_fact]]="FACTURADO",VLOOKUP(DATA[[#This Row],[SERIE2]]&amp;"-"&amp;DATA[[#This Row],[NUMERO]],#REF!,34,0),"NO CORRESPONDE"),"NO CORRESPONDE")</f>
        <v>NO CORRESPONDE</v>
      </c>
      <c r="AS1423" s="22" t="str">
        <f>IF(DATA[[#This Row],[fecha_fs]]&gt;0,TEXT(DATA[[#This Row],[fecha_fs]],"Mmmm"),0)</f>
        <v>Noviembre</v>
      </c>
      <c r="AT1423" s="22" t="str">
        <f>DATA[[#This Row],[SERIE2]]&amp;"-"&amp;DATA[[#This Row],[NUMERO]]</f>
        <v>FF01-352</v>
      </c>
      <c r="AU1423" s="28">
        <f>DATA[[#This Row],[TOTAL]]*DATA[[#This Row],[T.C.]]</f>
        <v>1076.1600000000001</v>
      </c>
      <c r="AV1423" s="6">
        <f>DATA[[#This Row],[FECHA DE VAL.]]</f>
        <v>45971</v>
      </c>
      <c r="AW1423" s="6">
        <f>DATA[[#This Row],[FECHA DE EMISION]]</f>
        <v>45971</v>
      </c>
      <c r="AX1423" s="6">
        <f>DATA[[#This Row],[F1]]</f>
        <v>0</v>
      </c>
      <c r="AY1423" s="20">
        <f>IF(AV1423-DATA[[#This Row],[fecha_fs]]&lt;0,0,AV1423-DATA[[#This Row],[fecha_fs]])</f>
        <v>5</v>
      </c>
      <c r="AZ1423" s="20">
        <f t="shared" si="352"/>
        <v>0</v>
      </c>
      <c r="BA1423" s="53">
        <f t="shared" si="353"/>
        <v>0</v>
      </c>
      <c r="BB1423" s="360">
        <f>IFERROR(SUM(DATA[[#This Row],[fs_val_ttf]:[fact_pago_ttf]]),0)</f>
        <v>5</v>
      </c>
      <c r="BC1423" s="378">
        <v>45967</v>
      </c>
      <c r="BD1423" s="185">
        <v>45972</v>
      </c>
      <c r="BE1423" s="185" t="s">
        <v>270</v>
      </c>
      <c r="BF1423" s="185" t="s">
        <v>270</v>
      </c>
      <c r="BG1423" s="20">
        <f>IFERROR(IF(BC1423-DATA[[#This Row],[fecha_fs]]&lt;0,0,BC1423-DATA[[#This Row],[fecha_fs]]),0)</f>
        <v>1</v>
      </c>
      <c r="BH1423" s="20">
        <f t="shared" si="361"/>
        <v>5</v>
      </c>
      <c r="BI1423" s="20">
        <f t="shared" si="362"/>
        <v>0</v>
      </c>
      <c r="BJ1423" s="53">
        <f t="shared" si="363"/>
        <v>0</v>
      </c>
      <c r="BK1423" s="376">
        <f>IFERROR(SUM(DATA[[#This Row],[fs_fd_ttd]:[fend_fenf_ttd]]),0)</f>
        <v>6</v>
      </c>
      <c r="BL1423" s="20" t="str">
        <f>IF(DATA[[#This Row],[fecha_fs]]&gt;0,TEXT(DATA[[#This Row],[fecha_fs]],"YYYY"),0)</f>
        <v>2025</v>
      </c>
      <c r="BM1423" s="236" t="b">
        <v>0</v>
      </c>
      <c r="BN1423" s="278">
        <f>COUNTIF(DATA[[#This Row],[tiempo_td]], "&lt;=15")</f>
        <v>1</v>
      </c>
      <c r="BO1423" s="365"/>
    </row>
    <row r="1424" spans="1:67" ht="30.6" customHeight="1" x14ac:dyDescent="0.25">
      <c r="A1424" s="4">
        <v>20100226902</v>
      </c>
      <c r="B1424" s="5" t="s">
        <v>24</v>
      </c>
      <c r="C1424" s="52" t="s">
        <v>18</v>
      </c>
      <c r="D1424" s="4" t="s">
        <v>120</v>
      </c>
      <c r="E1424" s="5" t="s">
        <v>3</v>
      </c>
      <c r="F1424" s="24">
        <v>45966</v>
      </c>
      <c r="G1424" s="7" t="s">
        <v>113</v>
      </c>
      <c r="H1424" s="25">
        <f t="shared" si="354"/>
        <v>1</v>
      </c>
      <c r="I1424" s="331">
        <v>5201</v>
      </c>
      <c r="J1424" s="8" t="s">
        <v>115</v>
      </c>
      <c r="K1424" s="9" t="s">
        <v>121</v>
      </c>
      <c r="L1424" s="10" t="s">
        <v>117</v>
      </c>
      <c r="M1424" s="11">
        <v>590</v>
      </c>
      <c r="N1424" s="12" t="s">
        <v>204</v>
      </c>
      <c r="O1424" s="359"/>
      <c r="P1424" s="371" t="s">
        <v>114</v>
      </c>
      <c r="Q1424" s="372"/>
      <c r="R1424" s="373"/>
      <c r="S1424" s="373"/>
      <c r="T1424" s="373">
        <v>0</v>
      </c>
      <c r="U1424" s="373">
        <v>0</v>
      </c>
      <c r="V1424" s="373">
        <v>0</v>
      </c>
      <c r="W1424" s="339" t="s">
        <v>128</v>
      </c>
      <c r="X1424" s="29"/>
      <c r="Y1424" s="17" t="s">
        <v>128</v>
      </c>
      <c r="Z1424" s="30"/>
      <c r="AA1424" s="10"/>
      <c r="AB1424" s="19"/>
      <c r="AC1424" s="20"/>
      <c r="AD1424" s="18">
        <f>DATA[[#This Row],[FECHA DE EMISION]]+DATA[[#This Row],[CONDICION DE PAGO]]</f>
        <v>0</v>
      </c>
      <c r="AE1424" s="23">
        <f>IF(DATA[[#This Row],[MONEDA]]="USD",VLOOKUP(DATA[[#This Row],[COMBINADA]],#REF!,11,0),1)</f>
        <v>1</v>
      </c>
      <c r="AF1424" s="129" t="str">
        <f>IF(DATA[[#This Row],[SERIE2]]="-","NO CORRESPONDE",IF(W1424="NO CORRESPONDE","NO CORRESPONDE",IF(Z1424&gt;0,"FACTURADO","PENDIENTE")))</f>
        <v>NO CORRESPONDE</v>
      </c>
      <c r="AG1424" s="133">
        <f>IFERROR(VLOOKUP(DATA[[#This Row],[COMBINADA]],#REF!,6,0),0)</f>
        <v>0</v>
      </c>
      <c r="AH1424" s="125">
        <f>IFERROR(VLOOKUP(DATA[[#This Row],[COMBINADA]],#REF!,9,0),0)/COUNTIFS(DATA[COMBINADA],DATA[[#This Row],[COMBINADA]])</f>
        <v>0</v>
      </c>
      <c r="AI1424" s="136">
        <f>IFERROR(VLOOKUP(DATA[[#This Row],[COMBINADA]],#REF!,6,0),0)</f>
        <v>0</v>
      </c>
      <c r="AJ1424" s="132">
        <f>IFERROR(VLOOKUP(DATA[[#This Row],[COMBINADA]],#REF!,9,0),0)/COUNTIFS(DATA[COMBINADA],DATA[[#This Row],[COMBINADA]])</f>
        <v>0</v>
      </c>
      <c r="AK1424" s="131">
        <f>IFERROR(VLOOKUP(DATA[[#This Row],[COMBINADA]],#REF!,6,0),0)</f>
        <v>0</v>
      </c>
      <c r="AL1424" s="125">
        <f>IFERROR(VLOOKUP(DATA[[#This Row],[COMBINADA]],#REF!,9,0),0)/COUNTIFS(DATA[COMBINADA],DATA[[#This Row],[COMBINADA]])</f>
        <v>0</v>
      </c>
      <c r="AM1424" s="27">
        <f>IFERROR(VLOOKUP(DATA[[#This Row],[COMBINADA]],#REF!,6,0),0)</f>
        <v>0</v>
      </c>
      <c r="AN1424" s="125">
        <f>IFERROR(VLOOKUP(DATA[[#This Row],[COMBINADA]],#REF!,9,0),0)/COUNTIFS(DATA[COMBINADA],DATA[[#This Row],[COMBINADA]])</f>
        <v>0</v>
      </c>
      <c r="AO1424" s="27">
        <f>IFERROR(VLOOKUP(DATA[[#This Row],[COMBINADA]],#REF!,6,0),0)</f>
        <v>0</v>
      </c>
      <c r="AP1424" s="132">
        <f>IFERROR(VLOOKUP(DATA[[#This Row],[COMBINADA]],#REF!,9,0),0)/COUNTIFS(DATA[COMBINADA],DATA[[#This Row],[COMBINADA]])</f>
        <v>0</v>
      </c>
      <c r="AQ142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24" s="26" t="str">
        <f>IFERROR(IF(DATA[[#This Row],[estado_fact]]="FACTURADO",VLOOKUP(DATA[[#This Row],[SERIE2]]&amp;"-"&amp;DATA[[#This Row],[NUMERO]],#REF!,34,0),"NO CORRESPONDE"),"NO CORRESPONDE")</f>
        <v>NO CORRESPONDE</v>
      </c>
      <c r="AS1424" s="22" t="str">
        <f>IF(DATA[[#This Row],[fecha_fs]]&gt;0,TEXT(DATA[[#This Row],[fecha_fs]],"Mmmm"),0)</f>
        <v>Noviembre</v>
      </c>
      <c r="AT1424" s="22" t="str">
        <f>DATA[[#This Row],[SERIE2]]&amp;"-"&amp;DATA[[#This Row],[NUMERO]]</f>
        <v>-</v>
      </c>
      <c r="AU1424" s="28">
        <f>DATA[[#This Row],[TOTAL]]*DATA[[#This Row],[T.C.]]</f>
        <v>0</v>
      </c>
      <c r="AV1424" s="6">
        <f>DATA[[#This Row],[FECHA DE VAL.]]</f>
        <v>0</v>
      </c>
      <c r="AW1424" s="6">
        <f>DATA[[#This Row],[FECHA DE EMISION]]</f>
        <v>0</v>
      </c>
      <c r="AX1424" s="6">
        <f>DATA[[#This Row],[F1]]</f>
        <v>0</v>
      </c>
      <c r="AY1424" s="20">
        <f>IF(AV1424-DATA[[#This Row],[fecha_fs]]&lt;0,0,AV1424-DATA[[#This Row],[fecha_fs]])</f>
        <v>0</v>
      </c>
      <c r="AZ1424" s="20">
        <f t="shared" si="352"/>
        <v>0</v>
      </c>
      <c r="BA1424" s="53">
        <f t="shared" si="353"/>
        <v>0</v>
      </c>
      <c r="BB1424" s="360">
        <f>IFERROR(SUM(DATA[[#This Row],[fs_val_ttf]:[fact_pago_ttf]]),0)</f>
        <v>0</v>
      </c>
      <c r="BC1424" s="378" t="s">
        <v>270</v>
      </c>
      <c r="BD1424" s="185" t="s">
        <v>270</v>
      </c>
      <c r="BE1424" s="185" t="s">
        <v>270</v>
      </c>
      <c r="BF1424" s="185" t="s">
        <v>270</v>
      </c>
      <c r="BG1424" s="20">
        <f>IFERROR(IF(BC1424-DATA[[#This Row],[fecha_fs]]&lt;0,0,BC1424-DATA[[#This Row],[fecha_fs]]),0)</f>
        <v>0</v>
      </c>
      <c r="BH1424" s="20">
        <f t="shared" si="361"/>
        <v>0</v>
      </c>
      <c r="BI1424" s="20">
        <f t="shared" si="362"/>
        <v>0</v>
      </c>
      <c r="BJ1424" s="53">
        <f t="shared" si="363"/>
        <v>0</v>
      </c>
      <c r="BK1424" s="376">
        <f>IFERROR(SUM(DATA[[#This Row],[fs_fd_ttd]:[fend_fenf_ttd]]),0)</f>
        <v>0</v>
      </c>
      <c r="BL1424" s="20" t="str">
        <f>IF(DATA[[#This Row],[fecha_fs]]&gt;0,TEXT(DATA[[#This Row],[fecha_fs]],"YYYY"),0)</f>
        <v>2025</v>
      </c>
      <c r="BM1424" s="236" t="b">
        <v>0</v>
      </c>
      <c r="BN1424" s="278">
        <f>COUNTIF(DATA[[#This Row],[tiempo_td]], "&lt;=15")</f>
        <v>1</v>
      </c>
      <c r="BO1424" s="365"/>
    </row>
    <row r="1425" spans="1:67" ht="30.6" customHeight="1" x14ac:dyDescent="0.25">
      <c r="A1425" s="4">
        <v>20419158462</v>
      </c>
      <c r="B1425" s="5" t="s">
        <v>2</v>
      </c>
      <c r="C1425" s="52" t="s">
        <v>6</v>
      </c>
      <c r="D1425" s="4" t="s">
        <v>120</v>
      </c>
      <c r="E1425" s="5" t="s">
        <v>3</v>
      </c>
      <c r="F1425" s="24">
        <v>45966</v>
      </c>
      <c r="G1425" s="7" t="s">
        <v>113</v>
      </c>
      <c r="H1425" s="25">
        <f t="shared" si="354"/>
        <v>1</v>
      </c>
      <c r="I1425" s="331">
        <v>5202</v>
      </c>
      <c r="J1425" s="8" t="s">
        <v>115</v>
      </c>
      <c r="K1425" s="9" t="s">
        <v>156</v>
      </c>
      <c r="L1425" s="10" t="s">
        <v>117</v>
      </c>
      <c r="M1425" s="11">
        <v>350</v>
      </c>
      <c r="N1425" s="12" t="s">
        <v>337</v>
      </c>
      <c r="O1425" s="6">
        <v>45967</v>
      </c>
      <c r="P1425" s="13">
        <v>3778</v>
      </c>
      <c r="Q1425" s="14" t="s">
        <v>85</v>
      </c>
      <c r="R1425" s="74"/>
      <c r="S1425" s="15">
        <f>1429.7/2</f>
        <v>714.85</v>
      </c>
      <c r="T1425" s="321">
        <f>DATA[[#This Row],[C. DF]]+DATA[[#This Row],[C.OPE.]]</f>
        <v>714.85</v>
      </c>
      <c r="U1425" s="15">
        <f>DATA[[#This Row],[SUB TOTAL]]*0.18</f>
        <v>128.673</v>
      </c>
      <c r="V1425" s="15">
        <f>IFERROR(ROUND(DATA[[#This Row],[SUB TOTAL]]+DATA[[#This Row],[IGV]],2),0)</f>
        <v>843.52</v>
      </c>
      <c r="W1425" s="339" t="str">
        <f>IF(DATA[[#This Row],[VALORIZACIÓN ]]="-","NO CORRESPONDE",IF(OR(A1425=20558226979,A1425=10470707866,A1425=20111157058,A1425=20100226902),"NO CORRESPONDE",IF(J1425="Emitida",IF(P1425&gt;0,"EMITIDA","PENDIENTE"),"NO CORRESPONDE")))</f>
        <v>EMITIDA</v>
      </c>
      <c r="X1425" s="29"/>
      <c r="Y1425" s="17" t="s">
        <v>232</v>
      </c>
      <c r="Z1425" s="30"/>
      <c r="AA1425" s="10"/>
      <c r="AB1425" s="19"/>
      <c r="AC1425" s="20"/>
      <c r="AD1425" s="18">
        <f>DATA[[#This Row],[FECHA DE EMISION]]+DATA[[#This Row],[CONDICION DE PAGO]]</f>
        <v>0</v>
      </c>
      <c r="AE1425" s="23">
        <f>IF(DATA[[#This Row],[MONEDA]]="USD",VLOOKUP(DATA[[#This Row],[COMBINADA]],#REF!,11,0),1)</f>
        <v>1</v>
      </c>
      <c r="AF1425" s="129" t="str">
        <f>IF(DATA[[#This Row],[SERIE2]]="-","NO CORRESPONDE",IF(W1425="NO CORRESPONDE","NO CORRESPONDE",IF(Z1425&gt;0,"FACTURADO","PENDIENTE")))</f>
        <v>PENDIENTE</v>
      </c>
      <c r="AG1425" s="133">
        <f>IFERROR(VLOOKUP(DATA[[#This Row],[COMBINADA]],#REF!,6,0),0)</f>
        <v>0</v>
      </c>
      <c r="AH1425" s="125">
        <f>IFERROR(VLOOKUP(DATA[[#This Row],[COMBINADA]],#REF!,9,0),0)/COUNTIFS(DATA[COMBINADA],DATA[[#This Row],[COMBINADA]])</f>
        <v>0</v>
      </c>
      <c r="AI1425" s="136">
        <f>IFERROR(VLOOKUP(DATA[[#This Row],[COMBINADA]],#REF!,6,0),0)</f>
        <v>0</v>
      </c>
      <c r="AJ1425" s="132">
        <f>IFERROR(VLOOKUP(DATA[[#This Row],[COMBINADA]],#REF!,9,0),0)/COUNTIFS(DATA[COMBINADA],DATA[[#This Row],[COMBINADA]])</f>
        <v>0</v>
      </c>
      <c r="AK1425" s="131">
        <f>IFERROR(VLOOKUP(DATA[[#This Row],[COMBINADA]],#REF!,6,0),0)</f>
        <v>0</v>
      </c>
      <c r="AL1425" s="125">
        <f>IFERROR(VLOOKUP(DATA[[#This Row],[COMBINADA]],#REF!,9,0),0)/COUNTIFS(DATA[COMBINADA],DATA[[#This Row],[COMBINADA]])</f>
        <v>0</v>
      </c>
      <c r="AM1425" s="27">
        <f>IFERROR(VLOOKUP(DATA[[#This Row],[COMBINADA]],#REF!,6,0),0)</f>
        <v>0</v>
      </c>
      <c r="AN1425" s="125">
        <f>IFERROR(VLOOKUP(DATA[[#This Row],[COMBINADA]],#REF!,9,0),0)/COUNTIFS(DATA[COMBINADA],DATA[[#This Row],[COMBINADA]])</f>
        <v>0</v>
      </c>
      <c r="AO1425" s="27">
        <f>IFERROR(VLOOKUP(DATA[[#This Row],[COMBINADA]],#REF!,6,0),0)</f>
        <v>0</v>
      </c>
      <c r="AP1425" s="132">
        <f>IFERROR(VLOOKUP(DATA[[#This Row],[COMBINADA]],#REF!,9,0),0)/COUNTIFS(DATA[COMBINADA],DATA[[#This Row],[COMBINADA]])</f>
        <v>0</v>
      </c>
      <c r="AQ142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25" s="26" t="str">
        <f>IFERROR(IF(DATA[[#This Row],[estado_fact]]="FACTURADO",VLOOKUP(DATA[[#This Row],[SERIE2]]&amp;"-"&amp;DATA[[#This Row],[NUMERO]],#REF!,34,0),"NO CORRESPONDE"),"NO CORRESPONDE")</f>
        <v>NO CORRESPONDE</v>
      </c>
      <c r="AS1425" s="22" t="str">
        <f>IF(DATA[[#This Row],[fecha_fs]]&gt;0,TEXT(DATA[[#This Row],[fecha_fs]],"Mmmm"),0)</f>
        <v>Noviembre</v>
      </c>
      <c r="AT1425" s="22" t="str">
        <f>DATA[[#This Row],[SERIE2]]&amp;"-"&amp;DATA[[#This Row],[NUMERO]]</f>
        <v>-</v>
      </c>
      <c r="AU1425" s="28">
        <f>DATA[[#This Row],[TOTAL]]*DATA[[#This Row],[T.C.]]</f>
        <v>843.52</v>
      </c>
      <c r="AV1425" s="6">
        <f>DATA[[#This Row],[FECHA DE VAL.]]</f>
        <v>45967</v>
      </c>
      <c r="AW1425" s="6">
        <f>DATA[[#This Row],[FECHA DE EMISION]]</f>
        <v>0</v>
      </c>
      <c r="AX1425" s="6">
        <f>DATA[[#This Row],[F1]]</f>
        <v>0</v>
      </c>
      <c r="AY1425" s="20">
        <f>IF(AV1425-DATA[[#This Row],[fecha_fs]]&lt;0,0,AV1425-DATA[[#This Row],[fecha_fs]])</f>
        <v>1</v>
      </c>
      <c r="AZ1425" s="20">
        <f t="shared" si="352"/>
        <v>0</v>
      </c>
      <c r="BA1425" s="53">
        <f t="shared" si="353"/>
        <v>0</v>
      </c>
      <c r="BB1425" s="360">
        <f>IFERROR(SUM(DATA[[#This Row],[fs_val_ttf]:[fact_pago_ttf]]),0)</f>
        <v>1</v>
      </c>
      <c r="BC1425" s="378" t="s">
        <v>270</v>
      </c>
      <c r="BD1425" s="185" t="s">
        <v>270</v>
      </c>
      <c r="BE1425" s="185" t="s">
        <v>270</v>
      </c>
      <c r="BF1425" s="185" t="s">
        <v>270</v>
      </c>
      <c r="BG1425" s="20">
        <f>IFERROR(IF(BC1425-DATA[[#This Row],[fecha_fs]]&lt;0,0,BC1425-DATA[[#This Row],[fecha_fs]]),0)</f>
        <v>0</v>
      </c>
      <c r="BH1425" s="20">
        <f t="shared" si="361"/>
        <v>0</v>
      </c>
      <c r="BI1425" s="20">
        <f t="shared" si="362"/>
        <v>0</v>
      </c>
      <c r="BJ1425" s="53">
        <f t="shared" si="363"/>
        <v>0</v>
      </c>
      <c r="BK1425" s="376">
        <f>IFERROR(SUM(DATA[[#This Row],[fs_fd_ttd]:[fend_fenf_ttd]]),0)</f>
        <v>0</v>
      </c>
      <c r="BL1425" s="20" t="str">
        <f>IF(DATA[[#This Row],[fecha_fs]]&gt;0,TEXT(DATA[[#This Row],[fecha_fs]],"YYYY"),0)</f>
        <v>2025</v>
      </c>
      <c r="BM1425" s="236" t="b">
        <v>0</v>
      </c>
      <c r="BN1425" s="278">
        <f>COUNTIF(DATA[[#This Row],[tiempo_td]], "&lt;=15")</f>
        <v>1</v>
      </c>
      <c r="BO1425" s="365"/>
    </row>
    <row r="1426" spans="1:67" ht="29.25" customHeight="1" x14ac:dyDescent="0.25">
      <c r="A1426" s="4">
        <v>20419158462</v>
      </c>
      <c r="B1426" s="5" t="s">
        <v>2</v>
      </c>
      <c r="C1426" s="52" t="s">
        <v>155</v>
      </c>
      <c r="D1426" s="4" t="s">
        <v>120</v>
      </c>
      <c r="E1426" s="5" t="s">
        <v>3</v>
      </c>
      <c r="F1426" s="24">
        <v>45966</v>
      </c>
      <c r="G1426" s="7" t="s">
        <v>113</v>
      </c>
      <c r="H1426" s="25">
        <f t="shared" si="354"/>
        <v>1</v>
      </c>
      <c r="I1426" s="331">
        <v>5203</v>
      </c>
      <c r="J1426" s="8" t="s">
        <v>115</v>
      </c>
      <c r="K1426" s="9" t="s">
        <v>156</v>
      </c>
      <c r="L1426" s="10" t="s">
        <v>117</v>
      </c>
      <c r="M1426" s="11">
        <v>350</v>
      </c>
      <c r="N1426" s="12" t="s">
        <v>337</v>
      </c>
      <c r="O1426" s="6">
        <v>45967</v>
      </c>
      <c r="P1426" s="13">
        <v>3778</v>
      </c>
      <c r="Q1426" s="14" t="s">
        <v>85</v>
      </c>
      <c r="R1426" s="74"/>
      <c r="S1426" s="15">
        <f>1429.7/2</f>
        <v>714.85</v>
      </c>
      <c r="T1426" s="321">
        <f>DATA[[#This Row],[C. DF]]+DATA[[#This Row],[C.OPE.]]</f>
        <v>714.85</v>
      </c>
      <c r="U1426" s="15">
        <f>DATA[[#This Row],[SUB TOTAL]]*0.18</f>
        <v>128.673</v>
      </c>
      <c r="V1426" s="15">
        <f>IFERROR(ROUND(DATA[[#This Row],[SUB TOTAL]]+DATA[[#This Row],[IGV]],2),0)</f>
        <v>843.52</v>
      </c>
      <c r="W1426" s="339" t="str">
        <f>IF(DATA[[#This Row],[VALORIZACIÓN ]]="-","NO CORRESPONDE",IF(OR(A1426=20558226979,A1426=10470707866,A1426=20111157058,A1426=20100226902),"NO CORRESPONDE",IF(J1426="Emitida",IF(P1426&gt;0,"EMITIDA","PENDIENTE"),"NO CORRESPONDE")))</f>
        <v>EMITIDA</v>
      </c>
      <c r="X1426" s="29"/>
      <c r="Y1426" s="17" t="s">
        <v>232</v>
      </c>
      <c r="Z1426" s="30"/>
      <c r="AA1426" s="10"/>
      <c r="AB1426" s="19"/>
      <c r="AC1426" s="20"/>
      <c r="AD1426" s="18">
        <f>DATA[[#This Row],[FECHA DE EMISION]]+DATA[[#This Row],[CONDICION DE PAGO]]</f>
        <v>0</v>
      </c>
      <c r="AE1426" s="23">
        <f>IF(DATA[[#This Row],[MONEDA]]="USD",VLOOKUP(DATA[[#This Row],[COMBINADA]],#REF!,11,0),1)</f>
        <v>1</v>
      </c>
      <c r="AF1426" s="129" t="str">
        <f>IF(DATA[[#This Row],[SERIE2]]="-","NO CORRESPONDE",IF(W1426="NO CORRESPONDE","NO CORRESPONDE",IF(Z1426&gt;0,"FACTURADO","PENDIENTE")))</f>
        <v>PENDIENTE</v>
      </c>
      <c r="AG1426" s="133">
        <f>IFERROR(VLOOKUP(DATA[[#This Row],[COMBINADA]],#REF!,6,0),0)</f>
        <v>0</v>
      </c>
      <c r="AH1426" s="125">
        <f>IFERROR(VLOOKUP(DATA[[#This Row],[COMBINADA]],#REF!,9,0),0)/COUNTIFS(DATA[COMBINADA],DATA[[#This Row],[COMBINADA]])</f>
        <v>0</v>
      </c>
      <c r="AI1426" s="136">
        <f>IFERROR(VLOOKUP(DATA[[#This Row],[COMBINADA]],#REF!,6,0),0)</f>
        <v>0</v>
      </c>
      <c r="AJ1426" s="132">
        <f>IFERROR(VLOOKUP(DATA[[#This Row],[COMBINADA]],#REF!,9,0),0)/COUNTIFS(DATA[COMBINADA],DATA[[#This Row],[COMBINADA]])</f>
        <v>0</v>
      </c>
      <c r="AK1426" s="131">
        <f>IFERROR(VLOOKUP(DATA[[#This Row],[COMBINADA]],#REF!,6,0),0)</f>
        <v>0</v>
      </c>
      <c r="AL1426" s="125">
        <f>IFERROR(VLOOKUP(DATA[[#This Row],[COMBINADA]],#REF!,9,0),0)/COUNTIFS(DATA[COMBINADA],DATA[[#This Row],[COMBINADA]])</f>
        <v>0</v>
      </c>
      <c r="AM1426" s="27">
        <f>IFERROR(VLOOKUP(DATA[[#This Row],[COMBINADA]],#REF!,6,0),0)</f>
        <v>0</v>
      </c>
      <c r="AN1426" s="125">
        <f>IFERROR(VLOOKUP(DATA[[#This Row],[COMBINADA]],#REF!,9,0),0)/COUNTIFS(DATA[COMBINADA],DATA[[#This Row],[COMBINADA]])</f>
        <v>0</v>
      </c>
      <c r="AO1426" s="27">
        <f>IFERROR(VLOOKUP(DATA[[#This Row],[COMBINADA]],#REF!,6,0),0)</f>
        <v>0</v>
      </c>
      <c r="AP1426" s="132">
        <f>IFERROR(VLOOKUP(DATA[[#This Row],[COMBINADA]],#REF!,9,0),0)/COUNTIFS(DATA[COMBINADA],DATA[[#This Row],[COMBINADA]])</f>
        <v>0</v>
      </c>
      <c r="AQ142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26" s="26" t="str">
        <f>IFERROR(IF(DATA[[#This Row],[estado_fact]]="FACTURADO",VLOOKUP(DATA[[#This Row],[SERIE2]]&amp;"-"&amp;DATA[[#This Row],[NUMERO]],#REF!,34,0),"NO CORRESPONDE"),"NO CORRESPONDE")</f>
        <v>NO CORRESPONDE</v>
      </c>
      <c r="AS1426" s="22" t="str">
        <f>IF(DATA[[#This Row],[fecha_fs]]&gt;0,TEXT(DATA[[#This Row],[fecha_fs]],"Mmmm"),0)</f>
        <v>Noviembre</v>
      </c>
      <c r="AT1426" s="22" t="str">
        <f>DATA[[#This Row],[SERIE2]]&amp;"-"&amp;DATA[[#This Row],[NUMERO]]</f>
        <v>-</v>
      </c>
      <c r="AU1426" s="28">
        <f>DATA[[#This Row],[TOTAL]]*DATA[[#This Row],[T.C.]]</f>
        <v>843.52</v>
      </c>
      <c r="AV1426" s="6">
        <f>DATA[[#This Row],[FECHA DE VAL.]]</f>
        <v>45967</v>
      </c>
      <c r="AW1426" s="6">
        <f>DATA[[#This Row],[FECHA DE EMISION]]</f>
        <v>0</v>
      </c>
      <c r="AX1426" s="6">
        <f>DATA[[#This Row],[F1]]</f>
        <v>0</v>
      </c>
      <c r="AY1426" s="20">
        <f>IF(AV1426-DATA[[#This Row],[fecha_fs]]&lt;0,0,AV1426-DATA[[#This Row],[fecha_fs]])</f>
        <v>1</v>
      </c>
      <c r="AZ1426" s="20">
        <f t="shared" si="352"/>
        <v>0</v>
      </c>
      <c r="BA1426" s="53">
        <f t="shared" si="353"/>
        <v>0</v>
      </c>
      <c r="BB1426" s="360">
        <f>IFERROR(SUM(DATA[[#This Row],[fs_val_ttf]:[fact_pago_ttf]]),0)</f>
        <v>1</v>
      </c>
      <c r="BC1426" s="378" t="s">
        <v>270</v>
      </c>
      <c r="BD1426" s="185" t="s">
        <v>270</v>
      </c>
      <c r="BE1426" s="185" t="s">
        <v>270</v>
      </c>
      <c r="BF1426" s="185" t="s">
        <v>270</v>
      </c>
      <c r="BG1426" s="20">
        <f>IFERROR(IF(BC1426-DATA[[#This Row],[fecha_fs]]&lt;0,0,BC1426-DATA[[#This Row],[fecha_fs]]),0)</f>
        <v>0</v>
      </c>
      <c r="BH1426" s="20">
        <f t="shared" si="361"/>
        <v>0</v>
      </c>
      <c r="BI1426" s="20">
        <f t="shared" si="362"/>
        <v>0</v>
      </c>
      <c r="BJ1426" s="53">
        <f t="shared" si="363"/>
        <v>0</v>
      </c>
      <c r="BK1426" s="376">
        <f>IFERROR(SUM(DATA[[#This Row],[fs_fd_ttd]:[fend_fenf_ttd]]),0)</f>
        <v>0</v>
      </c>
      <c r="BL1426" s="20" t="str">
        <f>IF(DATA[[#This Row],[fecha_fs]]&gt;0,TEXT(DATA[[#This Row],[fecha_fs]],"YYYY"),0)</f>
        <v>2025</v>
      </c>
      <c r="BM1426" s="236" t="b">
        <v>0</v>
      </c>
      <c r="BN1426" s="278">
        <f>COUNTIF(DATA[[#This Row],[tiempo_td]], "&lt;=15")</f>
        <v>1</v>
      </c>
      <c r="BO1426" s="365"/>
    </row>
    <row r="1427" spans="1:67" ht="30.6" customHeight="1" x14ac:dyDescent="0.25">
      <c r="A1427" s="4">
        <v>20100211115</v>
      </c>
      <c r="B1427" s="5" t="s">
        <v>41</v>
      </c>
      <c r="C1427" s="52" t="s">
        <v>18</v>
      </c>
      <c r="D1427" s="4" t="s">
        <v>120</v>
      </c>
      <c r="E1427" s="5" t="s">
        <v>3</v>
      </c>
      <c r="F1427" s="24">
        <v>45966</v>
      </c>
      <c r="G1427" s="7" t="s">
        <v>113</v>
      </c>
      <c r="H1427" s="25">
        <f t="shared" si="354"/>
        <v>1</v>
      </c>
      <c r="I1427" s="331">
        <v>5204</v>
      </c>
      <c r="J1427" s="8" t="s">
        <v>115</v>
      </c>
      <c r="K1427" s="9" t="s">
        <v>121</v>
      </c>
      <c r="L1427" s="10" t="s">
        <v>117</v>
      </c>
      <c r="M1427" s="11">
        <v>90</v>
      </c>
      <c r="N1427" s="12" t="s">
        <v>167</v>
      </c>
      <c r="O1427" s="6">
        <v>45989</v>
      </c>
      <c r="P1427" s="115"/>
      <c r="Q1427" s="14" t="s">
        <v>85</v>
      </c>
      <c r="R1427" s="74"/>
      <c r="S1427" s="401">
        <f>(DATA[[#This Row],[cantidad_fs]]*4.17)</f>
        <v>375.3</v>
      </c>
      <c r="T1427" s="321">
        <f>DATA[[#This Row],[C. DF]]+DATA[[#This Row],[C.OPE.]]</f>
        <v>375.3</v>
      </c>
      <c r="U1427" s="15">
        <f>DATA[[#This Row],[SUB TOTAL]]*0.18</f>
        <v>67.554000000000002</v>
      </c>
      <c r="V1427" s="15">
        <f>IFERROR(ROUND(DATA[[#This Row],[SUB TOTAL]]+DATA[[#This Row],[IGV]],2),0)</f>
        <v>442.85</v>
      </c>
      <c r="W1427" s="339" t="str">
        <f>IF(DATA[[#This Row],[VALORIZACIÓN ]]="-","NO CORRESPONDE",IF(OR(A1427=20558226979,A1427=10470707866,A1427=20111157058,A1427=20100226902),"NO CORRESPONDE",IF(J1427="Emitida",IF(P1427&gt;0,"EMITIDA","PENDIENTE"),"NO CORRESPONDE")))</f>
        <v>PENDIENTE</v>
      </c>
      <c r="X1427" s="29"/>
      <c r="Y1427" s="17" t="s">
        <v>232</v>
      </c>
      <c r="Z1427" s="30"/>
      <c r="AA1427" s="10"/>
      <c r="AB1427" s="19"/>
      <c r="AC1427" s="20"/>
      <c r="AD1427" s="18">
        <f>DATA[[#This Row],[FECHA DE EMISION]]+DATA[[#This Row],[CONDICION DE PAGO]]</f>
        <v>0</v>
      </c>
      <c r="AE1427" s="23">
        <f>IF(DATA[[#This Row],[MONEDA]]="USD",VLOOKUP(DATA[[#This Row],[COMBINADA]],#REF!,11,0),1)</f>
        <v>1</v>
      </c>
      <c r="AF1427" s="129" t="str">
        <f>IF(DATA[[#This Row],[SERIE2]]="-","NO CORRESPONDE",IF(W1427="NO CORRESPONDE","NO CORRESPONDE",IF(Z1427&gt;0,"FACTURADO","PENDIENTE")))</f>
        <v>PENDIENTE</v>
      </c>
      <c r="AG1427" s="133">
        <f>IFERROR(VLOOKUP(DATA[[#This Row],[COMBINADA]],#REF!,6,0),0)</f>
        <v>0</v>
      </c>
      <c r="AH1427" s="125">
        <f>IFERROR(VLOOKUP(DATA[[#This Row],[COMBINADA]],#REF!,9,0),0)/COUNTIFS(DATA[COMBINADA],DATA[[#This Row],[COMBINADA]])</f>
        <v>0</v>
      </c>
      <c r="AI1427" s="136">
        <f>IFERROR(VLOOKUP(DATA[[#This Row],[COMBINADA]],#REF!,6,0),0)</f>
        <v>0</v>
      </c>
      <c r="AJ1427" s="132">
        <f>IFERROR(VLOOKUP(DATA[[#This Row],[COMBINADA]],#REF!,9,0),0)/COUNTIFS(DATA[COMBINADA],DATA[[#This Row],[COMBINADA]])</f>
        <v>0</v>
      </c>
      <c r="AK1427" s="131">
        <f>IFERROR(VLOOKUP(DATA[[#This Row],[COMBINADA]],#REF!,6,0),0)</f>
        <v>0</v>
      </c>
      <c r="AL1427" s="125">
        <f>IFERROR(VLOOKUP(DATA[[#This Row],[COMBINADA]],#REF!,9,0),0)/COUNTIFS(DATA[COMBINADA],DATA[[#This Row],[COMBINADA]])</f>
        <v>0</v>
      </c>
      <c r="AM1427" s="27">
        <f>IFERROR(VLOOKUP(DATA[[#This Row],[COMBINADA]],#REF!,6,0),0)</f>
        <v>0</v>
      </c>
      <c r="AN1427" s="125">
        <f>IFERROR(VLOOKUP(DATA[[#This Row],[COMBINADA]],#REF!,9,0),0)/COUNTIFS(DATA[COMBINADA],DATA[[#This Row],[COMBINADA]])</f>
        <v>0</v>
      </c>
      <c r="AO1427" s="27">
        <f>IFERROR(VLOOKUP(DATA[[#This Row],[COMBINADA]],#REF!,6,0),0)</f>
        <v>0</v>
      </c>
      <c r="AP1427" s="132">
        <f>IFERROR(VLOOKUP(DATA[[#This Row],[COMBINADA]],#REF!,9,0),0)/COUNTIFS(DATA[COMBINADA],DATA[[#This Row],[COMBINADA]])</f>
        <v>0</v>
      </c>
      <c r="AQ1427"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27" s="26" t="str">
        <f>IFERROR(IF(DATA[[#This Row],[estado_fact]]="FACTURADO",VLOOKUP(DATA[[#This Row],[SERIE2]]&amp;"-"&amp;DATA[[#This Row],[NUMERO]],#REF!,34,0),"NO CORRESPONDE"),"NO CORRESPONDE")</f>
        <v>NO CORRESPONDE</v>
      </c>
      <c r="AS1427" s="22" t="str">
        <f>IF(DATA[[#This Row],[fecha_fs]]&gt;0,TEXT(DATA[[#This Row],[fecha_fs]],"Mmmm"),0)</f>
        <v>Noviembre</v>
      </c>
      <c r="AT1427" s="22" t="str">
        <f>DATA[[#This Row],[SERIE2]]&amp;"-"&amp;DATA[[#This Row],[NUMERO]]</f>
        <v>-</v>
      </c>
      <c r="AU1427" s="28">
        <f>DATA[[#This Row],[TOTAL]]*DATA[[#This Row],[T.C.]]</f>
        <v>442.85</v>
      </c>
      <c r="AV1427" s="6">
        <f>DATA[[#This Row],[FECHA DE VAL.]]</f>
        <v>45989</v>
      </c>
      <c r="AW1427" s="6">
        <f>DATA[[#This Row],[FECHA DE EMISION]]</f>
        <v>0</v>
      </c>
      <c r="AX1427" s="6">
        <f>DATA[[#This Row],[F1]]</f>
        <v>0</v>
      </c>
      <c r="AY1427" s="20">
        <f>IF(AV1427-DATA[[#This Row],[fecha_fs]]&lt;0,0,AV1427-DATA[[#This Row],[fecha_fs]])</f>
        <v>23</v>
      </c>
      <c r="AZ1427" s="20">
        <f t="shared" si="352"/>
        <v>0</v>
      </c>
      <c r="BA1427" s="53">
        <f t="shared" si="353"/>
        <v>0</v>
      </c>
      <c r="BB1427" s="360">
        <f>IFERROR(SUM(DATA[[#This Row],[fs_val_ttf]:[fact_pago_ttf]]),0)</f>
        <v>23</v>
      </c>
      <c r="BC1427" s="378" t="s">
        <v>270</v>
      </c>
      <c r="BD1427" s="185" t="s">
        <v>270</v>
      </c>
      <c r="BE1427" s="185" t="s">
        <v>270</v>
      </c>
      <c r="BF1427" s="185" t="s">
        <v>270</v>
      </c>
      <c r="BG1427" s="20">
        <f>IFERROR(IF(BC1427-DATA[[#This Row],[fecha_fs]]&lt;0,0,BC1427-DATA[[#This Row],[fecha_fs]]),0)</f>
        <v>0</v>
      </c>
      <c r="BH1427" s="20">
        <f t="shared" si="361"/>
        <v>0</v>
      </c>
      <c r="BI1427" s="20">
        <f t="shared" si="362"/>
        <v>0</v>
      </c>
      <c r="BJ1427" s="53">
        <f t="shared" si="363"/>
        <v>0</v>
      </c>
      <c r="BK1427" s="376">
        <f>IFERROR(SUM(DATA[[#This Row],[fs_fd_ttd]:[fend_fenf_ttd]]),0)</f>
        <v>0</v>
      </c>
      <c r="BL1427" s="20" t="str">
        <f>IF(DATA[[#This Row],[fecha_fs]]&gt;0,TEXT(DATA[[#This Row],[fecha_fs]],"YYYY"),0)</f>
        <v>2025</v>
      </c>
      <c r="BM1427" s="236" t="b">
        <v>0</v>
      </c>
      <c r="BN1427" s="278">
        <f>COUNTIF(DATA[[#This Row],[tiempo_td]], "&lt;=15")</f>
        <v>1</v>
      </c>
      <c r="BO1427" s="365"/>
    </row>
    <row r="1428" spans="1:67" ht="30.6" customHeight="1" x14ac:dyDescent="0.25">
      <c r="A1428" s="4">
        <v>20505675836</v>
      </c>
      <c r="B1428" s="5" t="s">
        <v>42</v>
      </c>
      <c r="C1428" s="52" t="s">
        <v>43</v>
      </c>
      <c r="D1428" s="4" t="s">
        <v>120</v>
      </c>
      <c r="E1428" s="5" t="s">
        <v>3</v>
      </c>
      <c r="F1428" s="24">
        <v>45967</v>
      </c>
      <c r="G1428" s="7" t="s">
        <v>113</v>
      </c>
      <c r="H1428" s="25">
        <f t="shared" ref="H1428:H1441" si="364">IF(G1428="","",IF(G1428="LIM",2,1))</f>
        <v>1</v>
      </c>
      <c r="I1428" s="67">
        <v>5205</v>
      </c>
      <c r="J1428" s="8" t="s">
        <v>115</v>
      </c>
      <c r="K1428" s="9" t="s">
        <v>121</v>
      </c>
      <c r="L1428" s="10" t="s">
        <v>117</v>
      </c>
      <c r="M1428" s="11">
        <v>1100</v>
      </c>
      <c r="N1428" s="12" t="s">
        <v>249</v>
      </c>
      <c r="O1428" s="6">
        <v>45987</v>
      </c>
      <c r="P1428" s="71"/>
      <c r="Q1428" s="14" t="s">
        <v>85</v>
      </c>
      <c r="R1428" s="15">
        <f>(DATA[[#This Row],[cantidad_fs]]-150)*0.67</f>
        <v>636.5</v>
      </c>
      <c r="S1428" s="15">
        <v>817.68</v>
      </c>
      <c r="T1428" s="321">
        <f>DATA[[#This Row],[C. DF]]+DATA[[#This Row],[C.OPE.]]</f>
        <v>1454.1799999999998</v>
      </c>
      <c r="U1428" s="15">
        <f>DATA[[#This Row],[SUB TOTAL]]*0.18</f>
        <v>261.75239999999997</v>
      </c>
      <c r="V1428" s="15">
        <f>IFERROR(ROUND(DATA[[#This Row],[SUB TOTAL]]+DATA[[#This Row],[IGV]],2),0)</f>
        <v>1715.93</v>
      </c>
      <c r="W1428" s="339" t="str">
        <f>IF(DATA[[#This Row],[VALORIZACIÓN ]]="-","NO CORRESPONDE",IF(OR(A1428=20558226979,A1428=10470707866,A1428=20111157058,A1428=20100226902),"NO CORRESPONDE",IF(J1428="Emitida",IF(P1428&gt;0,"EMITIDA","PENDIENTE"),"NO CORRESPONDE")))</f>
        <v>PENDIENTE</v>
      </c>
      <c r="X1428" s="29"/>
      <c r="Y1428" s="17" t="s">
        <v>232</v>
      </c>
      <c r="Z1428" s="30"/>
      <c r="AA1428" s="10"/>
      <c r="AB1428" s="19"/>
      <c r="AC1428" s="20"/>
      <c r="AD1428" s="18">
        <f>DATA[[#This Row],[FECHA DE EMISION]]+DATA[[#This Row],[CONDICION DE PAGO]]</f>
        <v>0</v>
      </c>
      <c r="AE1428" s="23">
        <f>IF(DATA[[#This Row],[MONEDA]]="USD",VLOOKUP(DATA[[#This Row],[COMBINADA]],#REF!,11,0),1)</f>
        <v>1</v>
      </c>
      <c r="AF1428" s="129" t="str">
        <f>IF(DATA[[#This Row],[SERIE2]]="-","NO CORRESPONDE",IF(W1428="NO CORRESPONDE","NO CORRESPONDE",IF(Z1428&gt;0,"FACTURADO","PENDIENTE")))</f>
        <v>PENDIENTE</v>
      </c>
      <c r="AG1428" s="27">
        <f>IFERROR(VLOOKUP(DATA[[#This Row],[COMBINADA]],#REF!,6,0),0)</f>
        <v>0</v>
      </c>
      <c r="AH1428" s="130">
        <f>IFERROR(VLOOKUP(DATA[[#This Row],[COMBINADA]],#REF!,9,0),0)/COUNTIFS(DATA[COMBINADA],DATA[[#This Row],[COMBINADA]])</f>
        <v>0</v>
      </c>
      <c r="AI1428" s="131">
        <f>IFERROR(VLOOKUP(DATA[[#This Row],[COMBINADA]],#REF!,6,0),0)</f>
        <v>0</v>
      </c>
      <c r="AJ1428" s="132">
        <f>IFERROR(VLOOKUP(DATA[[#This Row],[COMBINADA]],#REF!,9,0),0)/COUNTIFS(DATA[COMBINADA],DATA[[#This Row],[COMBINADA]])</f>
        <v>0</v>
      </c>
      <c r="AK1428" s="131">
        <f>IFERROR(VLOOKUP(DATA[[#This Row],[COMBINADA]],#REF!,6,0),0)</f>
        <v>0</v>
      </c>
      <c r="AL1428" s="125">
        <f>IFERROR(VLOOKUP(DATA[[#This Row],[COMBINADA]],#REF!,9,0),0)/COUNTIFS(DATA[COMBINADA],DATA[[#This Row],[COMBINADA]])</f>
        <v>0</v>
      </c>
      <c r="AM1428" s="27">
        <f>IFERROR(VLOOKUP(DATA[[#This Row],[COMBINADA]],#REF!,6,0),0)</f>
        <v>0</v>
      </c>
      <c r="AN1428" s="125">
        <f>IFERROR(VLOOKUP(DATA[[#This Row],[COMBINADA]],#REF!,9,0),0)/COUNTIFS(DATA[COMBINADA],DATA[[#This Row],[COMBINADA]])</f>
        <v>0</v>
      </c>
      <c r="AO1428" s="27">
        <f>IFERROR(VLOOKUP(DATA[[#This Row],[COMBINADA]],#REF!,6,0),0)</f>
        <v>0</v>
      </c>
      <c r="AP1428" s="132">
        <f>IFERROR(VLOOKUP(DATA[[#This Row],[COMBINADA]],#REF!,9,0),0)/COUNTIFS(DATA[COMBINADA],DATA[[#This Row],[COMBINADA]])</f>
        <v>0</v>
      </c>
      <c r="AQ142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28" s="26" t="str">
        <f>IFERROR(IF(DATA[[#This Row],[estado_fact]]="FACTURADO",VLOOKUP(DATA[[#This Row],[SERIE2]]&amp;"-"&amp;DATA[[#This Row],[NUMERO]],#REF!,34,0),"NO CORRESPONDE"),"NO CORRESPONDE")</f>
        <v>NO CORRESPONDE</v>
      </c>
      <c r="AS1428" s="22" t="str">
        <f>IF(DATA[[#This Row],[fecha_fs]]&gt;0,TEXT(DATA[[#This Row],[fecha_fs]],"Mmmm"),0)</f>
        <v>Noviembre</v>
      </c>
      <c r="AT1428" s="22" t="str">
        <f>DATA[[#This Row],[SERIE2]]&amp;"-"&amp;DATA[[#This Row],[NUMERO]]</f>
        <v>-</v>
      </c>
      <c r="AU1428" s="28">
        <f>DATA[[#This Row],[TOTAL]]*DATA[[#This Row],[T.C.]]</f>
        <v>1715.93</v>
      </c>
      <c r="AV1428" s="6">
        <f>DATA[[#This Row],[FECHA DE VAL.]]</f>
        <v>45987</v>
      </c>
      <c r="AW1428" s="6">
        <f>DATA[[#This Row],[FECHA DE EMISION]]</f>
        <v>0</v>
      </c>
      <c r="AX1428" s="6">
        <f>DATA[[#This Row],[F1]]</f>
        <v>0</v>
      </c>
      <c r="AY1428" s="20">
        <f>IF(AV1428-DATA[[#This Row],[fecha_fs]]&lt;0,0,AV1428-DATA[[#This Row],[fecha_fs]])</f>
        <v>20</v>
      </c>
      <c r="AZ1428" s="20">
        <f t="shared" ref="AZ1428:AZ1441" si="365">IF(AW1428-AV1428&lt;0,0,AW1428-AV1428)</f>
        <v>0</v>
      </c>
      <c r="BA1428" s="53">
        <f t="shared" ref="BA1428:BA1441" si="366">IF(AX1428-AW1428&lt;0,0,AX1428-AW1428)</f>
        <v>0</v>
      </c>
      <c r="BB1428" s="360">
        <f>IFERROR(SUM(DATA[[#This Row],[fs_val_ttf]:[fact_pago_ttf]]),0)</f>
        <v>20</v>
      </c>
      <c r="BC1428" s="378" t="s">
        <v>270</v>
      </c>
      <c r="BD1428" s="185" t="s">
        <v>270</v>
      </c>
      <c r="BE1428" s="185" t="s">
        <v>270</v>
      </c>
      <c r="BF1428" s="185" t="s">
        <v>270</v>
      </c>
      <c r="BG1428" s="20">
        <f>IFERROR(IF(BC1428-DATA[[#This Row],[fecha_fs]]&lt;0,0,BC1428-DATA[[#This Row],[fecha_fs]]),0)</f>
        <v>0</v>
      </c>
      <c r="BH1428" s="20">
        <f t="shared" si="361"/>
        <v>0</v>
      </c>
      <c r="BI1428" s="20">
        <f t="shared" si="362"/>
        <v>0</v>
      </c>
      <c r="BJ1428" s="53">
        <f t="shared" si="363"/>
        <v>0</v>
      </c>
      <c r="BK1428" s="376">
        <f>IFERROR(SUM(DATA[[#This Row],[fs_fd_ttd]:[fend_fenf_ttd]]),0)</f>
        <v>0</v>
      </c>
      <c r="BL1428" s="20" t="str">
        <f>IF(DATA[[#This Row],[fecha_fs]]&gt;0,TEXT(DATA[[#This Row],[fecha_fs]],"YYYY"),0)</f>
        <v>2025</v>
      </c>
      <c r="BM1428" s="236" t="b">
        <v>0</v>
      </c>
      <c r="BN1428" s="278">
        <f>COUNTIF(DATA[[#This Row],[tiempo_td]], "&lt;=15")</f>
        <v>1</v>
      </c>
      <c r="BO1428" s="365"/>
    </row>
    <row r="1429" spans="1:67" ht="30.6" customHeight="1" x14ac:dyDescent="0.25">
      <c r="A1429" s="4">
        <v>20505675836</v>
      </c>
      <c r="B1429" s="5" t="s">
        <v>42</v>
      </c>
      <c r="C1429" s="52" t="s">
        <v>43</v>
      </c>
      <c r="D1429" s="4" t="s">
        <v>112</v>
      </c>
      <c r="E1429" s="5" t="s">
        <v>1</v>
      </c>
      <c r="F1429" s="24">
        <v>45967</v>
      </c>
      <c r="G1429" s="7" t="s">
        <v>113</v>
      </c>
      <c r="H1429" s="25">
        <f t="shared" si="364"/>
        <v>1</v>
      </c>
      <c r="I1429" s="67">
        <v>5206</v>
      </c>
      <c r="J1429" s="8" t="s">
        <v>115</v>
      </c>
      <c r="K1429" s="9" t="s">
        <v>116</v>
      </c>
      <c r="L1429" s="10" t="s">
        <v>117</v>
      </c>
      <c r="M1429" s="11">
        <v>1370</v>
      </c>
      <c r="N1429" s="12" t="s">
        <v>337</v>
      </c>
      <c r="O1429" s="6">
        <v>45987</v>
      </c>
      <c r="P1429" s="71"/>
      <c r="Q1429" s="14" t="s">
        <v>85</v>
      </c>
      <c r="R1429" s="401">
        <f>(DATA[[#This Row],[cantidad_fs]]-600)*0.97</f>
        <v>746.9</v>
      </c>
      <c r="S1429" s="401">
        <v>1427.2</v>
      </c>
      <c r="T1429" s="321">
        <f>DATA[[#This Row],[C. DF]]+DATA[[#This Row],[C.OPE.]]</f>
        <v>2174.1</v>
      </c>
      <c r="U1429" s="15">
        <f>DATA[[#This Row],[SUB TOTAL]]*0.18</f>
        <v>391.33799999999997</v>
      </c>
      <c r="V1429" s="15">
        <f>IFERROR(ROUND(DATA[[#This Row],[SUB TOTAL]]+DATA[[#This Row],[IGV]],2),0)</f>
        <v>2565.44</v>
      </c>
      <c r="W1429" s="339" t="str">
        <f>IF(DATA[[#This Row],[VALORIZACIÓN ]]="-","NO CORRESPONDE",IF(OR(A1429=20558226979,A1429=10470707866,A1429=20111157058,A1429=20100226902),"NO CORRESPONDE",IF(J1429="Emitida",IF(P1429&gt;0,"EMITIDA","PENDIENTE"),"NO CORRESPONDE")))</f>
        <v>PENDIENTE</v>
      </c>
      <c r="X1429" s="29"/>
      <c r="Y1429" s="17" t="s">
        <v>232</v>
      </c>
      <c r="Z1429" s="30"/>
      <c r="AA1429" s="10"/>
      <c r="AB1429" s="19"/>
      <c r="AC1429" s="20"/>
      <c r="AD1429" s="18">
        <f>DATA[[#This Row],[FECHA DE EMISION]]+DATA[[#This Row],[CONDICION DE PAGO]]</f>
        <v>0</v>
      </c>
      <c r="AE1429" s="23">
        <f>IF(DATA[[#This Row],[MONEDA]]="USD",VLOOKUP(DATA[[#This Row],[COMBINADA]],#REF!,11,0),1)</f>
        <v>1</v>
      </c>
      <c r="AF1429" s="129" t="str">
        <f>IF(DATA[[#This Row],[SERIE2]]="-","NO CORRESPONDE",IF(W1429="NO CORRESPONDE","NO CORRESPONDE",IF(Z1429&gt;0,"FACTURADO","PENDIENTE")))</f>
        <v>PENDIENTE</v>
      </c>
      <c r="AG1429" s="27">
        <f>IFERROR(VLOOKUP(DATA[[#This Row],[COMBINADA]],#REF!,6,0),0)</f>
        <v>0</v>
      </c>
      <c r="AH1429" s="130">
        <f>IFERROR(VLOOKUP(DATA[[#This Row],[COMBINADA]],#REF!,9,0),0)/COUNTIFS(DATA[COMBINADA],DATA[[#This Row],[COMBINADA]])</f>
        <v>0</v>
      </c>
      <c r="AI1429" s="131">
        <f>IFERROR(VLOOKUP(DATA[[#This Row],[COMBINADA]],#REF!,6,0),0)</f>
        <v>0</v>
      </c>
      <c r="AJ1429" s="132">
        <f>IFERROR(VLOOKUP(DATA[[#This Row],[COMBINADA]],#REF!,9,0),0)/COUNTIFS(DATA[COMBINADA],DATA[[#This Row],[COMBINADA]])</f>
        <v>0</v>
      </c>
      <c r="AK1429" s="131">
        <f>IFERROR(VLOOKUP(DATA[[#This Row],[COMBINADA]],#REF!,6,0),0)</f>
        <v>0</v>
      </c>
      <c r="AL1429" s="125">
        <f>IFERROR(VLOOKUP(DATA[[#This Row],[COMBINADA]],#REF!,9,0),0)/COUNTIFS(DATA[COMBINADA],DATA[[#This Row],[COMBINADA]])</f>
        <v>0</v>
      </c>
      <c r="AM1429" s="27">
        <f>IFERROR(VLOOKUP(DATA[[#This Row],[COMBINADA]],#REF!,6,0),0)</f>
        <v>0</v>
      </c>
      <c r="AN1429" s="125">
        <f>IFERROR(VLOOKUP(DATA[[#This Row],[COMBINADA]],#REF!,9,0),0)/COUNTIFS(DATA[COMBINADA],DATA[[#This Row],[COMBINADA]])</f>
        <v>0</v>
      </c>
      <c r="AO1429" s="27">
        <f>IFERROR(VLOOKUP(DATA[[#This Row],[COMBINADA]],#REF!,6,0),0)</f>
        <v>0</v>
      </c>
      <c r="AP1429" s="132">
        <f>IFERROR(VLOOKUP(DATA[[#This Row],[COMBINADA]],#REF!,9,0),0)/COUNTIFS(DATA[COMBINADA],DATA[[#This Row],[COMBINADA]])</f>
        <v>0</v>
      </c>
      <c r="AQ142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29" s="26" t="str">
        <f>IFERROR(IF(DATA[[#This Row],[estado_fact]]="FACTURADO",VLOOKUP(DATA[[#This Row],[SERIE2]]&amp;"-"&amp;DATA[[#This Row],[NUMERO]],#REF!,34,0),"NO CORRESPONDE"),"NO CORRESPONDE")</f>
        <v>NO CORRESPONDE</v>
      </c>
      <c r="AS1429" s="22" t="str">
        <f>IF(DATA[[#This Row],[fecha_fs]]&gt;0,TEXT(DATA[[#This Row],[fecha_fs]],"Mmmm"),0)</f>
        <v>Noviembre</v>
      </c>
      <c r="AT1429" s="22" t="str">
        <f>DATA[[#This Row],[SERIE2]]&amp;"-"&amp;DATA[[#This Row],[NUMERO]]</f>
        <v>-</v>
      </c>
      <c r="AU1429" s="28">
        <f>DATA[[#This Row],[TOTAL]]*DATA[[#This Row],[T.C.]]</f>
        <v>2565.44</v>
      </c>
      <c r="AV1429" s="6">
        <f>DATA[[#This Row],[FECHA DE VAL.]]</f>
        <v>45987</v>
      </c>
      <c r="AW1429" s="6">
        <f>DATA[[#This Row],[FECHA DE EMISION]]</f>
        <v>0</v>
      </c>
      <c r="AX1429" s="6">
        <f>DATA[[#This Row],[F1]]</f>
        <v>0</v>
      </c>
      <c r="AY1429" s="20">
        <f>IF(AV1429-DATA[[#This Row],[fecha_fs]]&lt;0,0,AV1429-DATA[[#This Row],[fecha_fs]])</f>
        <v>20</v>
      </c>
      <c r="AZ1429" s="20">
        <f t="shared" si="365"/>
        <v>0</v>
      </c>
      <c r="BA1429" s="53">
        <f t="shared" si="366"/>
        <v>0</v>
      </c>
      <c r="BB1429" s="360">
        <f>IFERROR(SUM(DATA[[#This Row],[fs_val_ttf]:[fact_pago_ttf]]),0)</f>
        <v>20</v>
      </c>
      <c r="BC1429" s="378" t="s">
        <v>270</v>
      </c>
      <c r="BD1429" s="185" t="s">
        <v>270</v>
      </c>
      <c r="BE1429" s="185" t="s">
        <v>270</v>
      </c>
      <c r="BF1429" s="185" t="s">
        <v>270</v>
      </c>
      <c r="BG1429" s="20">
        <f>IFERROR(IF(BC1429-DATA[[#This Row],[fecha_fs]]&lt;0,0,BC1429-DATA[[#This Row],[fecha_fs]]),0)</f>
        <v>0</v>
      </c>
      <c r="BH1429" s="20">
        <f t="shared" si="361"/>
        <v>0</v>
      </c>
      <c r="BI1429" s="20">
        <f t="shared" si="362"/>
        <v>0</v>
      </c>
      <c r="BJ1429" s="53">
        <f t="shared" si="363"/>
        <v>0</v>
      </c>
      <c r="BK1429" s="376">
        <f>IFERROR(SUM(DATA[[#This Row],[fs_fd_ttd]:[fend_fenf_ttd]]),0)</f>
        <v>0</v>
      </c>
      <c r="BL1429" s="20" t="str">
        <f>IF(DATA[[#This Row],[fecha_fs]]&gt;0,TEXT(DATA[[#This Row],[fecha_fs]],"YYYY"),0)</f>
        <v>2025</v>
      </c>
      <c r="BM1429" s="236" t="b">
        <v>0</v>
      </c>
      <c r="BN1429" s="278">
        <f>COUNTIF(DATA[[#This Row],[tiempo_td]], "&lt;=15")</f>
        <v>1</v>
      </c>
      <c r="BO1429" s="365"/>
    </row>
    <row r="1430" spans="1:67" ht="30.6" customHeight="1" x14ac:dyDescent="0.25">
      <c r="A1430" s="4">
        <v>20454186002</v>
      </c>
      <c r="B1430" s="5" t="s">
        <v>25</v>
      </c>
      <c r="C1430" s="52" t="s">
        <v>18</v>
      </c>
      <c r="D1430" s="4" t="s">
        <v>112</v>
      </c>
      <c r="E1430" s="5" t="s">
        <v>1</v>
      </c>
      <c r="F1430" s="24">
        <v>45966</v>
      </c>
      <c r="G1430" s="7" t="s">
        <v>113</v>
      </c>
      <c r="H1430" s="25">
        <f t="shared" si="364"/>
        <v>1</v>
      </c>
      <c r="I1430" s="67">
        <v>5207</v>
      </c>
      <c r="J1430" s="8" t="s">
        <v>115</v>
      </c>
      <c r="K1430" s="9" t="s">
        <v>116</v>
      </c>
      <c r="L1430" s="10" t="s">
        <v>117</v>
      </c>
      <c r="M1430" s="11">
        <v>130</v>
      </c>
      <c r="N1430" s="12" t="s">
        <v>249</v>
      </c>
      <c r="O1430" s="6"/>
      <c r="P1430" s="13" t="s">
        <v>114</v>
      </c>
      <c r="Q1430" s="14" t="s">
        <v>85</v>
      </c>
      <c r="R1430" s="74"/>
      <c r="S1430" s="74"/>
      <c r="T1430" s="321">
        <f>DATA[[#This Row],[C. DF]]+DATA[[#This Row],[C.OPE.]]</f>
        <v>0</v>
      </c>
      <c r="U1430" s="15">
        <f>DATA[[#This Row],[SUB TOTAL]]*0.18</f>
        <v>0</v>
      </c>
      <c r="V1430" s="15">
        <f>IFERROR(ROUND(DATA[[#This Row],[SUB TOTAL]]+DATA[[#This Row],[IGV]],2),0)</f>
        <v>0</v>
      </c>
      <c r="W1430" s="339" t="str">
        <f>IF(DATA[[#This Row],[VALORIZACIÓN ]]="-","NO CORRESPONDE",IF(OR(A1430=20558226979,A1430=10470707866,A1430=20111157058,A1430=20100226902),"NO CORRESPONDE",IF(J1430="Emitida",IF(P1430&gt;0,"EMITIDA","PENDIENTE"),"NO CORRESPONDE")))</f>
        <v>NO CORRESPONDE</v>
      </c>
      <c r="X1430" s="29" t="s">
        <v>382</v>
      </c>
      <c r="Y1430" s="17" t="s">
        <v>128</v>
      </c>
      <c r="Z1430" s="30"/>
      <c r="AA1430" s="10"/>
      <c r="AB1430" s="19"/>
      <c r="AC1430" s="20"/>
      <c r="AD1430" s="18">
        <f>DATA[[#This Row],[FECHA DE EMISION]]+DATA[[#This Row],[CONDICION DE PAGO]]</f>
        <v>0</v>
      </c>
      <c r="AE1430" s="23">
        <f>IF(DATA[[#This Row],[MONEDA]]="USD",VLOOKUP(DATA[[#This Row],[COMBINADA]],#REF!,11,0),1)</f>
        <v>1</v>
      </c>
      <c r="AF1430" s="129" t="str">
        <f>IF(DATA[[#This Row],[SERIE2]]="-","NO CORRESPONDE",IF(W1430="NO CORRESPONDE","NO CORRESPONDE",IF(Z1430&gt;0,"FACTURADO","PENDIENTE")))</f>
        <v>NO CORRESPONDE</v>
      </c>
      <c r="AG1430" s="27">
        <f>IFERROR(VLOOKUP(DATA[[#This Row],[COMBINADA]],#REF!,6,0),0)</f>
        <v>0</v>
      </c>
      <c r="AH1430" s="130">
        <f>IFERROR(VLOOKUP(DATA[[#This Row],[COMBINADA]],#REF!,9,0),0)/COUNTIFS(DATA[COMBINADA],DATA[[#This Row],[COMBINADA]])</f>
        <v>0</v>
      </c>
      <c r="AI1430" s="131">
        <f>IFERROR(VLOOKUP(DATA[[#This Row],[COMBINADA]],#REF!,6,0),0)</f>
        <v>0</v>
      </c>
      <c r="AJ1430" s="132">
        <f>IFERROR(VLOOKUP(DATA[[#This Row],[COMBINADA]],#REF!,9,0),0)/COUNTIFS(DATA[COMBINADA],DATA[[#This Row],[COMBINADA]])</f>
        <v>0</v>
      </c>
      <c r="AK1430" s="131">
        <f>IFERROR(VLOOKUP(DATA[[#This Row],[COMBINADA]],#REF!,6,0),0)</f>
        <v>0</v>
      </c>
      <c r="AL1430" s="125">
        <f>IFERROR(VLOOKUP(DATA[[#This Row],[COMBINADA]],#REF!,9,0),0)/COUNTIFS(DATA[COMBINADA],DATA[[#This Row],[COMBINADA]])</f>
        <v>0</v>
      </c>
      <c r="AM1430" s="27">
        <f>IFERROR(VLOOKUP(DATA[[#This Row],[COMBINADA]],#REF!,6,0),0)</f>
        <v>0</v>
      </c>
      <c r="AN1430" s="125">
        <f>IFERROR(VLOOKUP(DATA[[#This Row],[COMBINADA]],#REF!,9,0),0)/COUNTIFS(DATA[COMBINADA],DATA[[#This Row],[COMBINADA]])</f>
        <v>0</v>
      </c>
      <c r="AO1430" s="27">
        <f>IFERROR(VLOOKUP(DATA[[#This Row],[COMBINADA]],#REF!,6,0),0)</f>
        <v>0</v>
      </c>
      <c r="AP1430" s="132">
        <f>IFERROR(VLOOKUP(DATA[[#This Row],[COMBINADA]],#REF!,9,0),0)/COUNTIFS(DATA[COMBINADA],DATA[[#This Row],[COMBINADA]])</f>
        <v>0</v>
      </c>
      <c r="AQ143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30" s="26" t="str">
        <f>IFERROR(IF(DATA[[#This Row],[estado_fact]]="FACTURADO",VLOOKUP(DATA[[#This Row],[SERIE2]]&amp;"-"&amp;DATA[[#This Row],[NUMERO]],#REF!,34,0),"NO CORRESPONDE"),"NO CORRESPONDE")</f>
        <v>NO CORRESPONDE</v>
      </c>
      <c r="AS1430" s="22" t="str">
        <f>IF(DATA[[#This Row],[fecha_fs]]&gt;0,TEXT(DATA[[#This Row],[fecha_fs]],"Mmmm"),0)</f>
        <v>Noviembre</v>
      </c>
      <c r="AT1430" s="22" t="str">
        <f>DATA[[#This Row],[SERIE2]]&amp;"-"&amp;DATA[[#This Row],[NUMERO]]</f>
        <v>-</v>
      </c>
      <c r="AU1430" s="28">
        <f>DATA[[#This Row],[TOTAL]]*DATA[[#This Row],[T.C.]]</f>
        <v>0</v>
      </c>
      <c r="AV1430" s="6">
        <f>DATA[[#This Row],[FECHA DE VAL.]]</f>
        <v>0</v>
      </c>
      <c r="AW1430" s="6">
        <f>DATA[[#This Row],[FECHA DE EMISION]]</f>
        <v>0</v>
      </c>
      <c r="AX1430" s="6">
        <f>DATA[[#This Row],[F1]]</f>
        <v>0</v>
      </c>
      <c r="AY1430" s="20">
        <f>IF(AV1430-DATA[[#This Row],[fecha_fs]]&lt;0,0,AV1430-DATA[[#This Row],[fecha_fs]])</f>
        <v>0</v>
      </c>
      <c r="AZ1430" s="20">
        <f t="shared" si="365"/>
        <v>0</v>
      </c>
      <c r="BA1430" s="53">
        <f t="shared" si="366"/>
        <v>0</v>
      </c>
      <c r="BB1430" s="360">
        <f>IFERROR(SUM(DATA[[#This Row],[fs_val_ttf]:[fact_pago_ttf]]),0)</f>
        <v>0</v>
      </c>
      <c r="BC1430" s="378" t="s">
        <v>270</v>
      </c>
      <c r="BD1430" s="185" t="s">
        <v>270</v>
      </c>
      <c r="BE1430" s="185" t="s">
        <v>270</v>
      </c>
      <c r="BF1430" s="185" t="s">
        <v>270</v>
      </c>
      <c r="BG1430" s="20">
        <f>IFERROR(IF(BC1430-DATA[[#This Row],[fecha_fs]]&lt;0,0,BC1430-DATA[[#This Row],[fecha_fs]]),0)</f>
        <v>0</v>
      </c>
      <c r="BH1430" s="20">
        <f t="shared" si="361"/>
        <v>0</v>
      </c>
      <c r="BI1430" s="20">
        <f t="shared" si="362"/>
        <v>0</v>
      </c>
      <c r="BJ1430" s="53">
        <f t="shared" si="363"/>
        <v>0</v>
      </c>
      <c r="BK1430" s="376">
        <f>IFERROR(SUM(DATA[[#This Row],[fs_fd_ttd]:[fend_fenf_ttd]]),0)</f>
        <v>0</v>
      </c>
      <c r="BL1430" s="20" t="str">
        <f>IF(DATA[[#This Row],[fecha_fs]]&gt;0,TEXT(DATA[[#This Row],[fecha_fs]],"YYYY"),0)</f>
        <v>2025</v>
      </c>
      <c r="BM1430" s="236" t="b">
        <v>0</v>
      </c>
      <c r="BN1430" s="278">
        <f>COUNTIF(DATA[[#This Row],[tiempo_td]], "&lt;=15")</f>
        <v>1</v>
      </c>
      <c r="BO1430" s="365"/>
    </row>
    <row r="1431" spans="1:67" ht="30.6" customHeight="1" x14ac:dyDescent="0.25">
      <c r="A1431" s="4">
        <v>20100055237</v>
      </c>
      <c r="B1431" s="5" t="s">
        <v>21</v>
      </c>
      <c r="C1431" s="52" t="s">
        <v>138</v>
      </c>
      <c r="D1431" s="4" t="s">
        <v>139</v>
      </c>
      <c r="E1431" s="5" t="s">
        <v>23</v>
      </c>
      <c r="F1431" s="24">
        <v>45967</v>
      </c>
      <c r="G1431" s="7" t="s">
        <v>113</v>
      </c>
      <c r="H1431" s="25">
        <f t="shared" si="364"/>
        <v>1</v>
      </c>
      <c r="I1431" s="67">
        <v>5208</v>
      </c>
      <c r="J1431" s="8" t="s">
        <v>115</v>
      </c>
      <c r="K1431" s="9" t="s">
        <v>121</v>
      </c>
      <c r="L1431" s="10" t="s">
        <v>117</v>
      </c>
      <c r="M1431" s="11">
        <v>40</v>
      </c>
      <c r="N1431" s="12" t="s">
        <v>249</v>
      </c>
      <c r="O1431" s="6">
        <v>45989</v>
      </c>
      <c r="P1431" s="54"/>
      <c r="Q1431" s="14" t="s">
        <v>85</v>
      </c>
      <c r="R1431" s="74"/>
      <c r="S1431" s="401">
        <v>297.92</v>
      </c>
      <c r="T1431" s="321">
        <f>DATA[[#This Row],[C. DF]]+DATA[[#This Row],[C.OPE.]]</f>
        <v>297.92</v>
      </c>
      <c r="U1431" s="15">
        <f>DATA[[#This Row],[SUB TOTAL]]*0.18</f>
        <v>53.625599999999999</v>
      </c>
      <c r="V1431" s="15">
        <f>IFERROR(ROUND(DATA[[#This Row],[SUB TOTAL]]+DATA[[#This Row],[IGV]],2),0)</f>
        <v>351.55</v>
      </c>
      <c r="W1431" s="339" t="str">
        <f>IF(DATA[[#This Row],[VALORIZACIÓN ]]="-","NO CORRESPONDE",IF(OR(A1431=20558226979,A1431=10470707866,A1431=20111157058,A1431=20100226902),"NO CORRESPONDE",IF(J1431="Emitida",IF(P1431&gt;0,"EMITIDA","PENDIENTE"),"NO CORRESPONDE")))</f>
        <v>PENDIENTE</v>
      </c>
      <c r="X1431" s="29"/>
      <c r="Y1431" s="17" t="s">
        <v>232</v>
      </c>
      <c r="Z1431" s="30"/>
      <c r="AA1431" s="10"/>
      <c r="AB1431" s="19"/>
      <c r="AC1431" s="20"/>
      <c r="AD1431" s="18">
        <f>DATA[[#This Row],[FECHA DE EMISION]]+DATA[[#This Row],[CONDICION DE PAGO]]</f>
        <v>0</v>
      </c>
      <c r="AE1431" s="23">
        <f>IF(DATA[[#This Row],[MONEDA]]="USD",VLOOKUP(DATA[[#This Row],[COMBINADA]],#REF!,11,0),1)</f>
        <v>1</v>
      </c>
      <c r="AF1431" s="129" t="str">
        <f>IF(DATA[[#This Row],[SERIE2]]="-","NO CORRESPONDE",IF(W1431="NO CORRESPONDE","NO CORRESPONDE",IF(Z1431&gt;0,"FACTURADO","PENDIENTE")))</f>
        <v>PENDIENTE</v>
      </c>
      <c r="AG1431" s="27">
        <f>IFERROR(VLOOKUP(DATA[[#This Row],[COMBINADA]],#REF!,6,0),0)</f>
        <v>0</v>
      </c>
      <c r="AH1431" s="130">
        <f>IFERROR(VLOOKUP(DATA[[#This Row],[COMBINADA]],#REF!,9,0),0)/COUNTIFS(DATA[COMBINADA],DATA[[#This Row],[COMBINADA]])</f>
        <v>0</v>
      </c>
      <c r="AI1431" s="131">
        <f>IFERROR(VLOOKUP(DATA[[#This Row],[COMBINADA]],#REF!,6,0),0)</f>
        <v>0</v>
      </c>
      <c r="AJ1431" s="132">
        <f>IFERROR(VLOOKUP(DATA[[#This Row],[COMBINADA]],#REF!,9,0),0)/COUNTIFS(DATA[COMBINADA],DATA[[#This Row],[COMBINADA]])</f>
        <v>0</v>
      </c>
      <c r="AK1431" s="131">
        <f>IFERROR(VLOOKUP(DATA[[#This Row],[COMBINADA]],#REF!,6,0),0)</f>
        <v>0</v>
      </c>
      <c r="AL1431" s="125">
        <f>IFERROR(VLOOKUP(DATA[[#This Row],[COMBINADA]],#REF!,9,0),0)/COUNTIFS(DATA[COMBINADA],DATA[[#This Row],[COMBINADA]])</f>
        <v>0</v>
      </c>
      <c r="AM1431" s="27">
        <f>IFERROR(VLOOKUP(DATA[[#This Row],[COMBINADA]],#REF!,6,0),0)</f>
        <v>0</v>
      </c>
      <c r="AN1431" s="125">
        <f>IFERROR(VLOOKUP(DATA[[#This Row],[COMBINADA]],#REF!,9,0),0)/COUNTIFS(DATA[COMBINADA],DATA[[#This Row],[COMBINADA]])</f>
        <v>0</v>
      </c>
      <c r="AO1431" s="27">
        <f>IFERROR(VLOOKUP(DATA[[#This Row],[COMBINADA]],#REF!,6,0),0)</f>
        <v>0</v>
      </c>
      <c r="AP1431" s="132">
        <f>IFERROR(VLOOKUP(DATA[[#This Row],[COMBINADA]],#REF!,9,0),0)/COUNTIFS(DATA[COMBINADA],DATA[[#This Row],[COMBINADA]])</f>
        <v>0</v>
      </c>
      <c r="AQ143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31" s="26" t="str">
        <f>IFERROR(IF(DATA[[#This Row],[estado_fact]]="FACTURADO",VLOOKUP(DATA[[#This Row],[SERIE2]]&amp;"-"&amp;DATA[[#This Row],[NUMERO]],#REF!,34,0),"NO CORRESPONDE"),"NO CORRESPONDE")</f>
        <v>NO CORRESPONDE</v>
      </c>
      <c r="AS1431" s="22" t="str">
        <f>IF(DATA[[#This Row],[fecha_fs]]&gt;0,TEXT(DATA[[#This Row],[fecha_fs]],"Mmmm"),0)</f>
        <v>Noviembre</v>
      </c>
      <c r="AT1431" s="22" t="str">
        <f>DATA[[#This Row],[SERIE2]]&amp;"-"&amp;DATA[[#This Row],[NUMERO]]</f>
        <v>-</v>
      </c>
      <c r="AU1431" s="28">
        <f>DATA[[#This Row],[TOTAL]]*DATA[[#This Row],[T.C.]]</f>
        <v>351.55</v>
      </c>
      <c r="AV1431" s="6">
        <f>DATA[[#This Row],[FECHA DE VAL.]]</f>
        <v>45989</v>
      </c>
      <c r="AW1431" s="6">
        <f>DATA[[#This Row],[FECHA DE EMISION]]</f>
        <v>0</v>
      </c>
      <c r="AX1431" s="6">
        <f>DATA[[#This Row],[F1]]</f>
        <v>0</v>
      </c>
      <c r="AY1431" s="20">
        <f>IF(AV1431-DATA[[#This Row],[fecha_fs]]&lt;0,0,AV1431-DATA[[#This Row],[fecha_fs]])</f>
        <v>22</v>
      </c>
      <c r="AZ1431" s="20">
        <f t="shared" si="365"/>
        <v>0</v>
      </c>
      <c r="BA1431" s="53">
        <f t="shared" si="366"/>
        <v>0</v>
      </c>
      <c r="BB1431" s="360">
        <f>IFERROR(SUM(DATA[[#This Row],[fs_val_ttf]:[fact_pago_ttf]]),0)</f>
        <v>22</v>
      </c>
      <c r="BC1431" s="378" t="s">
        <v>270</v>
      </c>
      <c r="BD1431" s="185" t="s">
        <v>270</v>
      </c>
      <c r="BE1431" s="185" t="s">
        <v>270</v>
      </c>
      <c r="BF1431" s="185" t="s">
        <v>270</v>
      </c>
      <c r="BG1431" s="20">
        <f>IFERROR(IF(BC1431-DATA[[#This Row],[fecha_fs]]&lt;0,0,BC1431-DATA[[#This Row],[fecha_fs]]),0)</f>
        <v>0</v>
      </c>
      <c r="BH1431" s="20">
        <f t="shared" si="361"/>
        <v>0</v>
      </c>
      <c r="BI1431" s="20">
        <f t="shared" si="362"/>
        <v>0</v>
      </c>
      <c r="BJ1431" s="53">
        <f t="shared" si="363"/>
        <v>0</v>
      </c>
      <c r="BK1431" s="376">
        <f>IFERROR(SUM(DATA[[#This Row],[fs_fd_ttd]:[fend_fenf_ttd]]),0)</f>
        <v>0</v>
      </c>
      <c r="BL1431" s="20" t="str">
        <f>IF(DATA[[#This Row],[fecha_fs]]&gt;0,TEXT(DATA[[#This Row],[fecha_fs]],"YYYY"),0)</f>
        <v>2025</v>
      </c>
      <c r="BM1431" s="236" t="b">
        <v>0</v>
      </c>
      <c r="BN1431" s="278">
        <f>COUNTIF(DATA[[#This Row],[tiempo_td]], "&lt;=15")</f>
        <v>1</v>
      </c>
      <c r="BO1431" s="365"/>
    </row>
    <row r="1432" spans="1:67" ht="30.6" customHeight="1" x14ac:dyDescent="0.25">
      <c r="A1432" s="4">
        <v>20100192064</v>
      </c>
      <c r="B1432" s="5" t="s">
        <v>60</v>
      </c>
      <c r="C1432" s="52" t="s">
        <v>59</v>
      </c>
      <c r="D1432" s="4" t="s">
        <v>120</v>
      </c>
      <c r="E1432" s="5" t="s">
        <v>3</v>
      </c>
      <c r="F1432" s="24">
        <v>45967</v>
      </c>
      <c r="G1432" s="7" t="s">
        <v>113</v>
      </c>
      <c r="H1432" s="25">
        <f t="shared" si="364"/>
        <v>1</v>
      </c>
      <c r="I1432" s="67">
        <v>5209</v>
      </c>
      <c r="J1432" s="8" t="s">
        <v>115</v>
      </c>
      <c r="K1432" s="9" t="s">
        <v>121</v>
      </c>
      <c r="L1432" s="10" t="s">
        <v>117</v>
      </c>
      <c r="M1432" s="11">
        <v>520</v>
      </c>
      <c r="N1432" s="12" t="s">
        <v>249</v>
      </c>
      <c r="O1432" s="6">
        <v>45987</v>
      </c>
      <c r="P1432" s="71"/>
      <c r="Q1432" s="14" t="s">
        <v>123</v>
      </c>
      <c r="R1432" s="401">
        <f>(DATA[[#This Row],[cantidad_fs]]/1000)*(47+169.83)</f>
        <v>112.75160000000001</v>
      </c>
      <c r="S1432" s="401">
        <v>67</v>
      </c>
      <c r="T1432" s="321">
        <f>DATA[[#This Row],[C. DF]]+DATA[[#This Row],[C.OPE.]]</f>
        <v>179.7516</v>
      </c>
      <c r="U1432" s="15">
        <f>DATA[[#This Row],[SUB TOTAL]]*0.18</f>
        <v>32.355288000000002</v>
      </c>
      <c r="V1432" s="15">
        <f>IFERROR(ROUND(DATA[[#This Row],[SUB TOTAL]]+DATA[[#This Row],[IGV]],2),0)</f>
        <v>212.11</v>
      </c>
      <c r="W1432" s="339" t="str">
        <f>IF(DATA[[#This Row],[VALORIZACIÓN ]]="-","NO CORRESPONDE",IF(OR(A1432=20558226979,A1432=10470707866,A1432=20111157058,A1432=20100226902),"NO CORRESPONDE",IF(J1432="Emitida",IF(P1432&gt;0,"EMITIDA","PENDIENTE"),"NO CORRESPONDE")))</f>
        <v>PENDIENTE</v>
      </c>
      <c r="X1432" s="29"/>
      <c r="Y1432" s="17" t="s">
        <v>232</v>
      </c>
      <c r="Z1432" s="30"/>
      <c r="AA1432" s="10"/>
      <c r="AB1432" s="19"/>
      <c r="AC1432" s="20"/>
      <c r="AD1432" s="18">
        <f>DATA[[#This Row],[FECHA DE EMISION]]+DATA[[#This Row],[CONDICION DE PAGO]]</f>
        <v>0</v>
      </c>
      <c r="AE1432" s="23" t="e">
        <f>IF(DATA[[#This Row],[MONEDA]]="USD",VLOOKUP(DATA[[#This Row],[COMBINADA]],#REF!,11,0),1)</f>
        <v>#REF!</v>
      </c>
      <c r="AF1432" s="129" t="str">
        <f>IF(DATA[[#This Row],[SERIE2]]="-","NO CORRESPONDE",IF(W1432="NO CORRESPONDE","NO CORRESPONDE",IF(Z1432&gt;0,"FACTURADO","PENDIENTE")))</f>
        <v>PENDIENTE</v>
      </c>
      <c r="AG1432" s="27">
        <f>IFERROR(VLOOKUP(DATA[[#This Row],[COMBINADA]],#REF!,6,0),0)</f>
        <v>0</v>
      </c>
      <c r="AH1432" s="130">
        <f>IFERROR(VLOOKUP(DATA[[#This Row],[COMBINADA]],#REF!,9,0),0)/COUNTIFS(DATA[COMBINADA],DATA[[#This Row],[COMBINADA]])</f>
        <v>0</v>
      </c>
      <c r="AI1432" s="131">
        <f>IFERROR(VLOOKUP(DATA[[#This Row],[COMBINADA]],#REF!,6,0),0)</f>
        <v>0</v>
      </c>
      <c r="AJ1432" s="132">
        <f>IFERROR(VLOOKUP(DATA[[#This Row],[COMBINADA]],#REF!,9,0),0)/COUNTIFS(DATA[COMBINADA],DATA[[#This Row],[COMBINADA]])</f>
        <v>0</v>
      </c>
      <c r="AK1432" s="131">
        <f>IFERROR(VLOOKUP(DATA[[#This Row],[COMBINADA]],#REF!,6,0),0)</f>
        <v>0</v>
      </c>
      <c r="AL1432" s="125">
        <f>IFERROR(VLOOKUP(DATA[[#This Row],[COMBINADA]],#REF!,9,0),0)/COUNTIFS(DATA[COMBINADA],DATA[[#This Row],[COMBINADA]])</f>
        <v>0</v>
      </c>
      <c r="AM1432" s="27">
        <f>IFERROR(VLOOKUP(DATA[[#This Row],[COMBINADA]],#REF!,6,0),0)</f>
        <v>0</v>
      </c>
      <c r="AN1432" s="125">
        <f>IFERROR(VLOOKUP(DATA[[#This Row],[COMBINADA]],#REF!,9,0),0)/COUNTIFS(DATA[COMBINADA],DATA[[#This Row],[COMBINADA]])</f>
        <v>0</v>
      </c>
      <c r="AO1432" s="27">
        <f>IFERROR(VLOOKUP(DATA[[#This Row],[COMBINADA]],#REF!,6,0),0)</f>
        <v>0</v>
      </c>
      <c r="AP1432" s="132">
        <f>IFERROR(VLOOKUP(DATA[[#This Row],[COMBINADA]],#REF!,9,0),0)/COUNTIFS(DATA[COMBINADA],DATA[[#This Row],[COMBINADA]])</f>
        <v>0</v>
      </c>
      <c r="AQ143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32" s="26" t="str">
        <f>IFERROR(IF(DATA[[#This Row],[estado_fact]]="FACTURADO",VLOOKUP(DATA[[#This Row],[SERIE2]]&amp;"-"&amp;DATA[[#This Row],[NUMERO]],#REF!,34,0),"NO CORRESPONDE"),"NO CORRESPONDE")</f>
        <v>NO CORRESPONDE</v>
      </c>
      <c r="AS1432" s="22" t="str">
        <f>IF(DATA[[#This Row],[fecha_fs]]&gt;0,TEXT(DATA[[#This Row],[fecha_fs]],"Mmmm"),0)</f>
        <v>Noviembre</v>
      </c>
      <c r="AT1432" s="22" t="str">
        <f>DATA[[#This Row],[SERIE2]]&amp;"-"&amp;DATA[[#This Row],[NUMERO]]</f>
        <v>-</v>
      </c>
      <c r="AU1432" s="28" t="e">
        <f>DATA[[#This Row],[TOTAL]]*DATA[[#This Row],[T.C.]]</f>
        <v>#REF!</v>
      </c>
      <c r="AV1432" s="6">
        <f>DATA[[#This Row],[FECHA DE VAL.]]</f>
        <v>45987</v>
      </c>
      <c r="AW1432" s="6">
        <f>DATA[[#This Row],[FECHA DE EMISION]]</f>
        <v>0</v>
      </c>
      <c r="AX1432" s="6">
        <f>DATA[[#This Row],[F1]]</f>
        <v>0</v>
      </c>
      <c r="AY1432" s="20">
        <f>IF(AV1432-DATA[[#This Row],[fecha_fs]]&lt;0,0,AV1432-DATA[[#This Row],[fecha_fs]])</f>
        <v>20</v>
      </c>
      <c r="AZ1432" s="20">
        <f t="shared" si="365"/>
        <v>0</v>
      </c>
      <c r="BA1432" s="53">
        <f t="shared" si="366"/>
        <v>0</v>
      </c>
      <c r="BB1432" s="360">
        <f>IFERROR(SUM(DATA[[#This Row],[fs_val_ttf]:[fact_pago_ttf]]),0)</f>
        <v>20</v>
      </c>
      <c r="BC1432" s="378">
        <v>45967</v>
      </c>
      <c r="BD1432" s="185">
        <v>45972</v>
      </c>
      <c r="BE1432" s="185" t="s">
        <v>270</v>
      </c>
      <c r="BF1432" s="185" t="s">
        <v>270</v>
      </c>
      <c r="BG1432" s="20">
        <f>IFERROR(IF(BC1432-DATA[[#This Row],[fecha_fs]]&lt;0,0,BC1432-DATA[[#This Row],[fecha_fs]]),0)</f>
        <v>0</v>
      </c>
      <c r="BH1432" s="20">
        <f t="shared" si="361"/>
        <v>5</v>
      </c>
      <c r="BI1432" s="20">
        <f t="shared" si="362"/>
        <v>0</v>
      </c>
      <c r="BJ1432" s="53">
        <f t="shared" si="363"/>
        <v>0</v>
      </c>
      <c r="BK1432" s="376">
        <f>IFERROR(SUM(DATA[[#This Row],[fs_fd_ttd]:[fend_fenf_ttd]]),0)</f>
        <v>5</v>
      </c>
      <c r="BL1432" s="20" t="str">
        <f>IF(DATA[[#This Row],[fecha_fs]]&gt;0,TEXT(DATA[[#This Row],[fecha_fs]],"YYYY"),0)</f>
        <v>2025</v>
      </c>
      <c r="BM1432" s="236" t="b">
        <v>0</v>
      </c>
      <c r="BN1432" s="278">
        <f>COUNTIF(DATA[[#This Row],[tiempo_td]], "&lt;=15")</f>
        <v>1</v>
      </c>
      <c r="BO1432" s="365"/>
    </row>
    <row r="1433" spans="1:67" ht="30.6" customHeight="1" x14ac:dyDescent="0.25">
      <c r="A1433" s="4">
        <v>20100192064</v>
      </c>
      <c r="B1433" s="5" t="s">
        <v>60</v>
      </c>
      <c r="C1433" s="52" t="s">
        <v>65</v>
      </c>
      <c r="D1433" s="4" t="s">
        <v>120</v>
      </c>
      <c r="E1433" s="5" t="s">
        <v>3</v>
      </c>
      <c r="F1433" s="24">
        <v>45967</v>
      </c>
      <c r="G1433" s="7" t="s">
        <v>142</v>
      </c>
      <c r="H1433" s="25">
        <f>IF(G1433="","",IF(G1433="LIM",2,1))</f>
        <v>2</v>
      </c>
      <c r="I1433" s="67">
        <v>1162</v>
      </c>
      <c r="J1433" s="8" t="s">
        <v>115</v>
      </c>
      <c r="K1433" s="9" t="s">
        <v>121</v>
      </c>
      <c r="L1433" s="10" t="s">
        <v>117</v>
      </c>
      <c r="M1433" s="11">
        <v>320</v>
      </c>
      <c r="N1433" s="12" t="s">
        <v>180</v>
      </c>
      <c r="O1433" s="6">
        <v>45987</v>
      </c>
      <c r="P1433" s="71"/>
      <c r="Q1433" s="14" t="s">
        <v>123</v>
      </c>
      <c r="R1433" s="206">
        <f>(DATA[[#This Row],[cantidad_fs]]/1000)*(37+81.01)</f>
        <v>37.763200000000005</v>
      </c>
      <c r="S1433" s="15">
        <v>103.6</v>
      </c>
      <c r="T1433" s="321">
        <f>DATA[[#This Row],[C. DF]]+DATA[[#This Row],[C.OPE.]]</f>
        <v>141.36320000000001</v>
      </c>
      <c r="U1433" s="15">
        <f>DATA[[#This Row],[SUB TOTAL]]*0.18</f>
        <v>25.445376</v>
      </c>
      <c r="V1433" s="15">
        <f>IFERROR(ROUND(DATA[[#This Row],[SUB TOTAL]]+DATA[[#This Row],[IGV]],2),0)</f>
        <v>166.81</v>
      </c>
      <c r="W1433" s="16" t="str">
        <f>IF(DATA[[#This Row],[VALORIZACIÓN ]]="-","NO CORRESPONDE",IF(OR(A1433=20558226979,A1433=10470707866,A1433=20111157058,A1433=20100226902),"NO CORRESPONDE",IF(J1433="Emitida",IF(P1433&gt;0,"EMITIDA","PENDIENTE"),"NO CORRESPONDE")))</f>
        <v>PENDIENTE</v>
      </c>
      <c r="X1433" s="29"/>
      <c r="Y1433" s="17" t="s">
        <v>232</v>
      </c>
      <c r="Z1433" s="30"/>
      <c r="AA1433" s="10"/>
      <c r="AB1433" s="19"/>
      <c r="AC1433" s="20"/>
      <c r="AD1433" s="18">
        <f>DATA[[#This Row],[FECHA DE EMISION]]+DATA[[#This Row],[CONDICION DE PAGO]]</f>
        <v>0</v>
      </c>
      <c r="AE1433" s="23" t="e">
        <f>IF(DATA[[#This Row],[MONEDA]]="USD",VLOOKUP(DATA[[#This Row],[COMBINADA]],#REF!,11,0),1)</f>
        <v>#REF!</v>
      </c>
      <c r="AF1433" s="129" t="str">
        <f>IF(DATA[[#This Row],[SERIE2]]="-","NO CORRESPONDE",IF(W1433="NO CORRESPONDE","NO CORRESPONDE",IF(Z1433&gt;0,"FACTURADO","PENDIENTE")))</f>
        <v>PENDIENTE</v>
      </c>
      <c r="AG1433" s="27">
        <f>IFERROR(VLOOKUP(DATA[[#This Row],[COMBINADA]],#REF!,6,0),0)</f>
        <v>0</v>
      </c>
      <c r="AH1433" s="130">
        <f>IFERROR(VLOOKUP(DATA[[#This Row],[COMBINADA]],#REF!,9,0),0)/COUNTIFS(DATA[COMBINADA],DATA[[#This Row],[COMBINADA]])</f>
        <v>0</v>
      </c>
      <c r="AI1433" s="131">
        <f>IFERROR(VLOOKUP(DATA[[#This Row],[COMBINADA]],#REF!,6,0),0)</f>
        <v>0</v>
      </c>
      <c r="AJ1433" s="132">
        <f>IFERROR(VLOOKUP(DATA[[#This Row],[COMBINADA]],#REF!,9,0),0)/COUNTIFS(DATA[COMBINADA],DATA[[#This Row],[COMBINADA]])</f>
        <v>0</v>
      </c>
      <c r="AK1433" s="131">
        <f>IFERROR(VLOOKUP(DATA[[#This Row],[COMBINADA]],#REF!,6,0),0)</f>
        <v>0</v>
      </c>
      <c r="AL1433" s="125">
        <f>IFERROR(VLOOKUP(DATA[[#This Row],[COMBINADA]],#REF!,9,0),0)/COUNTIFS(DATA[COMBINADA],DATA[[#This Row],[COMBINADA]])</f>
        <v>0</v>
      </c>
      <c r="AM1433" s="27">
        <f>IFERROR(VLOOKUP(DATA[[#This Row],[COMBINADA]],#REF!,6,0),0)</f>
        <v>0</v>
      </c>
      <c r="AN1433" s="125">
        <f>IFERROR(VLOOKUP(DATA[[#This Row],[COMBINADA]],#REF!,9,0),0)/COUNTIFS(DATA[COMBINADA],DATA[[#This Row],[COMBINADA]])</f>
        <v>0</v>
      </c>
      <c r="AO1433" s="27">
        <f>IFERROR(VLOOKUP(DATA[[#This Row],[COMBINADA]],#REF!,6,0),0)</f>
        <v>0</v>
      </c>
      <c r="AP1433" s="132">
        <f>IFERROR(VLOOKUP(DATA[[#This Row],[COMBINADA]],#REF!,9,0),0)/COUNTIFS(DATA[COMBINADA],DATA[[#This Row],[COMBINADA]])</f>
        <v>0</v>
      </c>
      <c r="AQ143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33" s="26" t="str">
        <f>IFERROR(IF(DATA[[#This Row],[estado_fact]]="FACTURADO",VLOOKUP(DATA[[#This Row],[SERIE2]]&amp;"-"&amp;DATA[[#This Row],[NUMERO]],#REF!,34,0),"NO CORRESPONDE"),"NO CORRESPONDE")</f>
        <v>NO CORRESPONDE</v>
      </c>
      <c r="AS1433" s="22" t="str">
        <f>IF(DATA[[#This Row],[fecha_fs]]&gt;0,TEXT(DATA[[#This Row],[fecha_fs]],"Mmmm"),0)</f>
        <v>Noviembre</v>
      </c>
      <c r="AT1433" s="22" t="str">
        <f>DATA[[#This Row],[SERIE2]]&amp;"-"&amp;DATA[[#This Row],[NUMERO]]</f>
        <v>-</v>
      </c>
      <c r="AU1433" s="28" t="e">
        <f>DATA[[#This Row],[TOTAL]]*DATA[[#This Row],[T.C.]]</f>
        <v>#REF!</v>
      </c>
      <c r="AV1433" s="6">
        <f>DATA[[#This Row],[FECHA DE VAL.]]</f>
        <v>45987</v>
      </c>
      <c r="AW1433" s="6">
        <f>DATA[[#This Row],[FECHA DE EMISION]]</f>
        <v>0</v>
      </c>
      <c r="AX1433" s="6">
        <f>DATA[[#This Row],[F1]]</f>
        <v>0</v>
      </c>
      <c r="AY1433" s="20">
        <f>IF(AV1433-DATA[[#This Row],[fecha_fs]]&lt;0,0,AV1433-DATA[[#This Row],[fecha_fs]])</f>
        <v>20</v>
      </c>
      <c r="AZ1433" s="20">
        <f>IF(AW1433-AV1433&lt;0,0,AW1433-AV1433)</f>
        <v>0</v>
      </c>
      <c r="BA1433" s="53">
        <f>IF(AX1433-AW1433&lt;0,0,AX1433-AW1433)</f>
        <v>0</v>
      </c>
      <c r="BB1433" s="360">
        <f>IFERROR(SUM(DATA[[#This Row],[fs_val_ttf]:[fact_pago_ttf]]),0)</f>
        <v>20</v>
      </c>
      <c r="BC1433" s="378" t="s">
        <v>270</v>
      </c>
      <c r="BD1433" s="185" t="s">
        <v>270</v>
      </c>
      <c r="BE1433" s="185" t="s">
        <v>270</v>
      </c>
      <c r="BF1433" s="185" t="s">
        <v>270</v>
      </c>
      <c r="BG1433" s="20">
        <f>IFERROR(IF(BC1433-DATA[[#This Row],[fecha_fs]]&lt;0,0,BC1433-DATA[[#This Row],[fecha_fs]]),0)</f>
        <v>0</v>
      </c>
      <c r="BH1433" s="20">
        <f t="shared" si="361"/>
        <v>0</v>
      </c>
      <c r="BI1433" s="20">
        <f t="shared" si="362"/>
        <v>0</v>
      </c>
      <c r="BJ1433" s="53">
        <f t="shared" si="363"/>
        <v>0</v>
      </c>
      <c r="BK1433" s="376">
        <f>IFERROR(SUM(DATA[[#This Row],[fs_fd_ttd]:[fend_fenf_ttd]]),0)</f>
        <v>0</v>
      </c>
      <c r="BL1433" s="20" t="str">
        <f>IF(DATA[[#This Row],[fecha_fs]]&gt;0,TEXT(DATA[[#This Row],[fecha_fs]],"YYYY"),0)</f>
        <v>2025</v>
      </c>
      <c r="BM1433" s="236" t="b">
        <v>0</v>
      </c>
      <c r="BN1433" s="278">
        <f>COUNTIF(DATA[[#This Row],[tiempo_td]], "&lt;=15")</f>
        <v>1</v>
      </c>
      <c r="BO1433" s="365"/>
    </row>
    <row r="1434" spans="1:67" ht="30.6" customHeight="1" x14ac:dyDescent="0.25">
      <c r="A1434" s="4">
        <v>20100226902</v>
      </c>
      <c r="B1434" s="5" t="s">
        <v>24</v>
      </c>
      <c r="C1434" s="52" t="s">
        <v>18</v>
      </c>
      <c r="D1434" s="4" t="s">
        <v>120</v>
      </c>
      <c r="E1434" s="5" t="s">
        <v>3</v>
      </c>
      <c r="F1434" s="24">
        <v>45968</v>
      </c>
      <c r="G1434" s="7" t="s">
        <v>113</v>
      </c>
      <c r="H1434" s="25">
        <f t="shared" si="364"/>
        <v>1</v>
      </c>
      <c r="I1434" s="67">
        <v>5210</v>
      </c>
      <c r="J1434" s="8" t="s">
        <v>115</v>
      </c>
      <c r="K1434" s="9" t="s">
        <v>121</v>
      </c>
      <c r="L1434" s="10" t="s">
        <v>117</v>
      </c>
      <c r="M1434" s="11">
        <v>690</v>
      </c>
      <c r="N1434" s="12" t="s">
        <v>204</v>
      </c>
      <c r="O1434" s="359"/>
      <c r="P1434" s="371" t="s">
        <v>114</v>
      </c>
      <c r="Q1434" s="372"/>
      <c r="R1434" s="373"/>
      <c r="S1434" s="373"/>
      <c r="T1434" s="373">
        <v>0</v>
      </c>
      <c r="U1434" s="373">
        <v>0</v>
      </c>
      <c r="V1434" s="373">
        <v>0</v>
      </c>
      <c r="W1434" s="339" t="str">
        <f>IF(DATA[[#This Row],[VALORIZACIÓN ]]="-","NO CORRESPONDE",IF(OR(A1434=20558226979,A1434=10470707866,A1434=20111157058,A1434=20100226902),"NO CORRESPONDE",IF(J1434="Emitida",IF(P1434&gt;0,"EMITIDA","PENDIENTE"),"NO CORRESPONDE")))</f>
        <v>NO CORRESPONDE</v>
      </c>
      <c r="X1434" s="29"/>
      <c r="Y1434" s="17" t="s">
        <v>128</v>
      </c>
      <c r="Z1434" s="30"/>
      <c r="AA1434" s="10"/>
      <c r="AB1434" s="19"/>
      <c r="AC1434" s="20"/>
      <c r="AD1434" s="18">
        <f>DATA[[#This Row],[FECHA DE EMISION]]+DATA[[#This Row],[CONDICION DE PAGO]]</f>
        <v>0</v>
      </c>
      <c r="AE1434" s="23">
        <f>IF(DATA[[#This Row],[MONEDA]]="USD",VLOOKUP(DATA[[#This Row],[COMBINADA]],#REF!,11,0),1)</f>
        <v>1</v>
      </c>
      <c r="AF1434" s="129" t="str">
        <f>IF(DATA[[#This Row],[SERIE2]]="-","NO CORRESPONDE",IF(W1434="NO CORRESPONDE","NO CORRESPONDE",IF(Z1434&gt;0,"FACTURADO","PENDIENTE")))</f>
        <v>NO CORRESPONDE</v>
      </c>
      <c r="AG1434" s="27">
        <f>IFERROR(VLOOKUP(DATA[[#This Row],[COMBINADA]],#REF!,6,0),0)</f>
        <v>0</v>
      </c>
      <c r="AH1434" s="130">
        <f>IFERROR(VLOOKUP(DATA[[#This Row],[COMBINADA]],#REF!,9,0),0)/COUNTIFS(DATA[COMBINADA],DATA[[#This Row],[COMBINADA]])</f>
        <v>0</v>
      </c>
      <c r="AI1434" s="131">
        <f>IFERROR(VLOOKUP(DATA[[#This Row],[COMBINADA]],#REF!,6,0),0)</f>
        <v>0</v>
      </c>
      <c r="AJ1434" s="132">
        <f>IFERROR(VLOOKUP(DATA[[#This Row],[COMBINADA]],#REF!,9,0),0)/COUNTIFS(DATA[COMBINADA],DATA[[#This Row],[COMBINADA]])</f>
        <v>0</v>
      </c>
      <c r="AK1434" s="131">
        <f>IFERROR(VLOOKUP(DATA[[#This Row],[COMBINADA]],#REF!,6,0),0)</f>
        <v>0</v>
      </c>
      <c r="AL1434" s="125">
        <f>IFERROR(VLOOKUP(DATA[[#This Row],[COMBINADA]],#REF!,9,0),0)/COUNTIFS(DATA[COMBINADA],DATA[[#This Row],[COMBINADA]])</f>
        <v>0</v>
      </c>
      <c r="AM1434" s="27">
        <f>IFERROR(VLOOKUP(DATA[[#This Row],[COMBINADA]],#REF!,6,0),0)</f>
        <v>0</v>
      </c>
      <c r="AN1434" s="125">
        <f>IFERROR(VLOOKUP(DATA[[#This Row],[COMBINADA]],#REF!,9,0),0)/COUNTIFS(DATA[COMBINADA],DATA[[#This Row],[COMBINADA]])</f>
        <v>0</v>
      </c>
      <c r="AO1434" s="27">
        <f>IFERROR(VLOOKUP(DATA[[#This Row],[COMBINADA]],#REF!,6,0),0)</f>
        <v>0</v>
      </c>
      <c r="AP1434" s="132">
        <f>IFERROR(VLOOKUP(DATA[[#This Row],[COMBINADA]],#REF!,9,0),0)/COUNTIFS(DATA[COMBINADA],DATA[[#This Row],[COMBINADA]])</f>
        <v>0</v>
      </c>
      <c r="AQ143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34" s="26" t="str">
        <f>IFERROR(IF(DATA[[#This Row],[estado_fact]]="FACTURADO",VLOOKUP(DATA[[#This Row],[SERIE2]]&amp;"-"&amp;DATA[[#This Row],[NUMERO]],#REF!,34,0),"NO CORRESPONDE"),"NO CORRESPONDE")</f>
        <v>NO CORRESPONDE</v>
      </c>
      <c r="AS1434" s="22" t="str">
        <f>IF(DATA[[#This Row],[fecha_fs]]&gt;0,TEXT(DATA[[#This Row],[fecha_fs]],"Mmmm"),0)</f>
        <v>Noviembre</v>
      </c>
      <c r="AT1434" s="22" t="str">
        <f>DATA[[#This Row],[SERIE2]]&amp;"-"&amp;DATA[[#This Row],[NUMERO]]</f>
        <v>-</v>
      </c>
      <c r="AU1434" s="28">
        <f>DATA[[#This Row],[TOTAL]]*DATA[[#This Row],[T.C.]]</f>
        <v>0</v>
      </c>
      <c r="AV1434" s="6">
        <f>DATA[[#This Row],[FECHA DE VAL.]]</f>
        <v>0</v>
      </c>
      <c r="AW1434" s="6">
        <f>DATA[[#This Row],[FECHA DE EMISION]]</f>
        <v>0</v>
      </c>
      <c r="AX1434" s="6">
        <f>DATA[[#This Row],[F1]]</f>
        <v>0</v>
      </c>
      <c r="AY1434" s="20">
        <f>IF(AV1434-DATA[[#This Row],[fecha_fs]]&lt;0,0,AV1434-DATA[[#This Row],[fecha_fs]])</f>
        <v>0</v>
      </c>
      <c r="AZ1434" s="20">
        <f t="shared" si="365"/>
        <v>0</v>
      </c>
      <c r="BA1434" s="53">
        <f t="shared" si="366"/>
        <v>0</v>
      </c>
      <c r="BB1434" s="360">
        <f>IFERROR(SUM(DATA[[#This Row],[fs_val_ttf]:[fact_pago_ttf]]),0)</f>
        <v>0</v>
      </c>
      <c r="BC1434" s="378" t="s">
        <v>270</v>
      </c>
      <c r="BD1434" s="185" t="s">
        <v>270</v>
      </c>
      <c r="BE1434" s="185" t="s">
        <v>270</v>
      </c>
      <c r="BF1434" s="185" t="s">
        <v>270</v>
      </c>
      <c r="BG1434" s="20">
        <f>IFERROR(IF(BC1434-DATA[[#This Row],[fecha_fs]]&lt;0,0,BC1434-DATA[[#This Row],[fecha_fs]]),0)</f>
        <v>0</v>
      </c>
      <c r="BH1434" s="20">
        <f t="shared" si="361"/>
        <v>0</v>
      </c>
      <c r="BI1434" s="20">
        <f t="shared" si="362"/>
        <v>0</v>
      </c>
      <c r="BJ1434" s="53">
        <f t="shared" si="363"/>
        <v>0</v>
      </c>
      <c r="BK1434" s="376">
        <f>IFERROR(SUM(DATA[[#This Row],[fs_fd_ttd]:[fend_fenf_ttd]]),0)</f>
        <v>0</v>
      </c>
      <c r="BL1434" s="20" t="str">
        <f>IF(DATA[[#This Row],[fecha_fs]]&gt;0,TEXT(DATA[[#This Row],[fecha_fs]],"YYYY"),0)</f>
        <v>2025</v>
      </c>
      <c r="BM1434" s="236" t="b">
        <v>0</v>
      </c>
      <c r="BN1434" s="278">
        <f>COUNTIF(DATA[[#This Row],[tiempo_td]], "&lt;=15")</f>
        <v>1</v>
      </c>
      <c r="BO1434" s="365"/>
    </row>
    <row r="1435" spans="1:67" ht="30.6" customHeight="1" x14ac:dyDescent="0.25">
      <c r="A1435" s="4">
        <v>20141637941</v>
      </c>
      <c r="B1435" s="5" t="s">
        <v>79</v>
      </c>
      <c r="C1435" s="52" t="s">
        <v>18</v>
      </c>
      <c r="D1435" s="4" t="s">
        <v>120</v>
      </c>
      <c r="E1435" s="5" t="s">
        <v>3</v>
      </c>
      <c r="F1435" s="24">
        <v>45968</v>
      </c>
      <c r="G1435" s="7" t="s">
        <v>113</v>
      </c>
      <c r="H1435" s="25">
        <f t="shared" si="364"/>
        <v>1</v>
      </c>
      <c r="I1435" s="67">
        <v>5211</v>
      </c>
      <c r="J1435" s="8" t="s">
        <v>115</v>
      </c>
      <c r="K1435" s="9" t="s">
        <v>121</v>
      </c>
      <c r="L1435" s="10" t="s">
        <v>117</v>
      </c>
      <c r="M1435" s="11">
        <v>1020</v>
      </c>
      <c r="N1435" s="12" t="s">
        <v>249</v>
      </c>
      <c r="O1435" s="6">
        <v>45971</v>
      </c>
      <c r="P1435" s="110">
        <v>3779</v>
      </c>
      <c r="Q1435" s="14" t="s">
        <v>85</v>
      </c>
      <c r="R1435" s="321">
        <f>80+((DATA[[#This Row],[cantidad_fs]]-1000)*0.08)</f>
        <v>81.599999999999994</v>
      </c>
      <c r="S1435" s="401">
        <v>832</v>
      </c>
      <c r="T1435" s="321">
        <f>DATA[[#This Row],[C. DF]]+DATA[[#This Row],[C.OPE.]]</f>
        <v>913.6</v>
      </c>
      <c r="U1435" s="15">
        <f>DATA[[#This Row],[SUB TOTAL]]*0.18</f>
        <v>164.44800000000001</v>
      </c>
      <c r="V1435" s="15">
        <f>IFERROR(ROUND(DATA[[#This Row],[SUB TOTAL]]+DATA[[#This Row],[IGV]],2),0)</f>
        <v>1078.05</v>
      </c>
      <c r="W1435" s="339" t="str">
        <f>IF(DATA[[#This Row],[VALORIZACIÓN ]]="-","NO CORRESPONDE",IF(OR(A1435=20558226979,A1435=10470707866,A1435=20111157058,A1435=20100226902),"NO CORRESPONDE",IF(J1435="Emitida",IF(P1435&gt;0,"EMITIDA","PENDIENTE"),"NO CORRESPONDE")))</f>
        <v>EMITIDA</v>
      </c>
      <c r="X1435" s="29"/>
      <c r="Y1435" s="17" t="s">
        <v>118</v>
      </c>
      <c r="Z1435" s="30">
        <v>45971</v>
      </c>
      <c r="AA1435" s="10" t="s">
        <v>150</v>
      </c>
      <c r="AB1435" s="19">
        <v>352</v>
      </c>
      <c r="AC1435" s="20">
        <v>30</v>
      </c>
      <c r="AD1435" s="18">
        <f>DATA[[#This Row],[FECHA DE EMISION]]+DATA[[#This Row],[CONDICION DE PAGO]]</f>
        <v>46001</v>
      </c>
      <c r="AE1435" s="23">
        <f>IF(DATA[[#This Row],[MONEDA]]="USD",VLOOKUP(DATA[[#This Row],[COMBINADA]],#REF!,11,0),1)</f>
        <v>1</v>
      </c>
      <c r="AF1435" s="129" t="str">
        <f>IF(DATA[[#This Row],[SERIE2]]="-","NO CORRESPONDE",IF(W1435="NO CORRESPONDE","NO CORRESPONDE",IF(Z1435&gt;0,"FACTURADO","PENDIENTE")))</f>
        <v>FACTURADO</v>
      </c>
      <c r="AG1435" s="27">
        <f>IFERROR(VLOOKUP(DATA[[#This Row],[COMBINADA]],#REF!,6,0),0)</f>
        <v>0</v>
      </c>
      <c r="AH1435" s="130">
        <f>IFERROR(VLOOKUP(DATA[[#This Row],[COMBINADA]],#REF!,9,0),0)/COUNTIFS(DATA[COMBINADA],DATA[[#This Row],[COMBINADA]])</f>
        <v>0</v>
      </c>
      <c r="AI1435" s="131">
        <f>IFERROR(VLOOKUP(DATA[[#This Row],[COMBINADA]],#REF!,6,0),0)</f>
        <v>0</v>
      </c>
      <c r="AJ1435" s="132">
        <f>IFERROR(VLOOKUP(DATA[[#This Row],[COMBINADA]],#REF!,9,0),0)/COUNTIFS(DATA[COMBINADA],DATA[[#This Row],[COMBINADA]])</f>
        <v>0</v>
      </c>
      <c r="AK1435" s="131">
        <f>IFERROR(VLOOKUP(DATA[[#This Row],[COMBINADA]],#REF!,6,0),0)</f>
        <v>0</v>
      </c>
      <c r="AL1435" s="125">
        <f>IFERROR(VLOOKUP(DATA[[#This Row],[COMBINADA]],#REF!,9,0),0)/COUNTIFS(DATA[COMBINADA],DATA[[#This Row],[COMBINADA]])</f>
        <v>0</v>
      </c>
      <c r="AM1435" s="27">
        <f>IFERROR(VLOOKUP(DATA[[#This Row],[COMBINADA]],#REF!,6,0),0)</f>
        <v>0</v>
      </c>
      <c r="AN1435" s="125">
        <f>IFERROR(VLOOKUP(DATA[[#This Row],[COMBINADA]],#REF!,9,0),0)/COUNTIFS(DATA[COMBINADA],DATA[[#This Row],[COMBINADA]])</f>
        <v>0</v>
      </c>
      <c r="AO1435" s="27">
        <f>IFERROR(VLOOKUP(DATA[[#This Row],[COMBINADA]],#REF!,6,0),0)</f>
        <v>0</v>
      </c>
      <c r="AP1435" s="132">
        <f>IFERROR(VLOOKUP(DATA[[#This Row],[COMBINADA]],#REF!,9,0),0)/COUNTIFS(DATA[COMBINADA],DATA[[#This Row],[COMBINADA]])</f>
        <v>0</v>
      </c>
      <c r="AQ143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1101.6475</v>
      </c>
      <c r="AR1435" s="26" t="str">
        <f>IFERROR(IF(DATA[[#This Row],[estado_fact]]="FACTURADO",VLOOKUP(DATA[[#This Row],[SERIE2]]&amp;"-"&amp;DATA[[#This Row],[NUMERO]],#REF!,34,0),"NO CORRESPONDE"),"NO CORRESPONDE")</f>
        <v>NO CORRESPONDE</v>
      </c>
      <c r="AS1435" s="22" t="str">
        <f>IF(DATA[[#This Row],[fecha_fs]]&gt;0,TEXT(DATA[[#This Row],[fecha_fs]],"Mmmm"),0)</f>
        <v>Noviembre</v>
      </c>
      <c r="AT1435" s="22" t="str">
        <f>DATA[[#This Row],[SERIE2]]&amp;"-"&amp;DATA[[#This Row],[NUMERO]]</f>
        <v>FF01-352</v>
      </c>
      <c r="AU1435" s="28">
        <f>DATA[[#This Row],[TOTAL]]*DATA[[#This Row],[T.C.]]</f>
        <v>1078.05</v>
      </c>
      <c r="AV1435" s="6">
        <f>DATA[[#This Row],[FECHA DE VAL.]]</f>
        <v>45971</v>
      </c>
      <c r="AW1435" s="6">
        <f>DATA[[#This Row],[FECHA DE EMISION]]</f>
        <v>45971</v>
      </c>
      <c r="AX1435" s="6">
        <f>DATA[[#This Row],[F1]]</f>
        <v>0</v>
      </c>
      <c r="AY1435" s="20">
        <f>IF(AV1435-DATA[[#This Row],[fecha_fs]]&lt;0,0,AV1435-DATA[[#This Row],[fecha_fs]])</f>
        <v>3</v>
      </c>
      <c r="AZ1435" s="20">
        <f t="shared" si="365"/>
        <v>0</v>
      </c>
      <c r="BA1435" s="53">
        <f t="shared" si="366"/>
        <v>0</v>
      </c>
      <c r="BB1435" s="360">
        <f>IFERROR(SUM(DATA[[#This Row],[fs_val_ttf]:[fact_pago_ttf]]),0)</f>
        <v>3</v>
      </c>
      <c r="BC1435" s="378" t="s">
        <v>270</v>
      </c>
      <c r="BD1435" s="185" t="s">
        <v>270</v>
      </c>
      <c r="BE1435" s="185" t="s">
        <v>270</v>
      </c>
      <c r="BF1435" s="185" t="s">
        <v>270</v>
      </c>
      <c r="BG1435" s="20">
        <f>IFERROR(IF(BC1435-DATA[[#This Row],[fecha_fs]]&lt;0,0,BC1435-DATA[[#This Row],[fecha_fs]]),0)</f>
        <v>0</v>
      </c>
      <c r="BH1435" s="20">
        <f t="shared" si="361"/>
        <v>0</v>
      </c>
      <c r="BI1435" s="20">
        <f t="shared" si="362"/>
        <v>0</v>
      </c>
      <c r="BJ1435" s="53">
        <f t="shared" si="363"/>
        <v>0</v>
      </c>
      <c r="BK1435" s="376">
        <f>IFERROR(SUM(DATA[[#This Row],[fs_fd_ttd]:[fend_fenf_ttd]]),0)</f>
        <v>0</v>
      </c>
      <c r="BL1435" s="20" t="str">
        <f>IF(DATA[[#This Row],[fecha_fs]]&gt;0,TEXT(DATA[[#This Row],[fecha_fs]],"YYYY"),0)</f>
        <v>2025</v>
      </c>
      <c r="BM1435" s="236" t="b">
        <v>0</v>
      </c>
      <c r="BN1435" s="278">
        <f>COUNTIF(DATA[[#This Row],[tiempo_td]], "&lt;=15")</f>
        <v>1</v>
      </c>
      <c r="BO1435" s="365"/>
    </row>
    <row r="1436" spans="1:67" ht="30.6" customHeight="1" x14ac:dyDescent="0.25">
      <c r="A1436" s="4"/>
      <c r="B1436" s="5" t="s">
        <v>0</v>
      </c>
      <c r="C1436" s="52"/>
      <c r="D1436" s="4"/>
      <c r="E1436" s="5" t="s">
        <v>0</v>
      </c>
      <c r="F1436" s="24">
        <v>45967</v>
      </c>
      <c r="G1436" s="7" t="s">
        <v>113</v>
      </c>
      <c r="H1436" s="25">
        <f t="shared" si="364"/>
        <v>1</v>
      </c>
      <c r="I1436" s="67">
        <v>5212</v>
      </c>
      <c r="J1436" s="8" t="s">
        <v>151</v>
      </c>
      <c r="K1436" s="9"/>
      <c r="L1436" s="10"/>
      <c r="M1436" s="111"/>
      <c r="N1436" s="112"/>
      <c r="O1436" s="6"/>
      <c r="P1436" s="13"/>
      <c r="Q1436" s="14"/>
      <c r="R1436" s="56"/>
      <c r="S1436" s="56"/>
      <c r="T1436" s="56">
        <f>DATA[[#This Row],[C. DF]]+DATA[[#This Row],[C.OPE.]]</f>
        <v>0</v>
      </c>
      <c r="U1436" s="56">
        <f>DATA[[#This Row],[SUB TOTAL]]*0.18</f>
        <v>0</v>
      </c>
      <c r="V1436" s="56">
        <f>IFERROR(ROUND(DATA[[#This Row],[SUB TOTAL]]+DATA[[#This Row],[IGV]],2),0)</f>
        <v>0</v>
      </c>
      <c r="W1436" s="73" t="str">
        <f>IF(DATA[[#This Row],[VALORIZACIÓN ]]="-","NO CORRESPONDE",IF(OR(A1436=20558226979,A1436=10470707866,A1436=20111157058,A1436=20100226902),"NO CORRESPONDE",IF(J1436="Emitida",IF(P1436&gt;0,"EMITIDA","PENDIENTE"),"NO CORRESPONDE")))</f>
        <v>NO CORRESPONDE</v>
      </c>
      <c r="X1436" s="46"/>
      <c r="Y1436" s="17" t="s">
        <v>128</v>
      </c>
      <c r="Z1436" s="48"/>
      <c r="AA1436" s="49"/>
      <c r="AB1436" s="50"/>
      <c r="AC1436" s="51"/>
      <c r="AD1436" s="59">
        <f>DATA[[#This Row],[FECHA DE EMISION]]+DATA[[#This Row],[CONDICION DE PAGO]]</f>
        <v>0</v>
      </c>
      <c r="AE1436" s="23">
        <f>IF(DATA[[#This Row],[MONEDA]]="USD",VLOOKUP(DATA[[#This Row],[COMBINADA]],#REF!,11,0),1)</f>
        <v>1</v>
      </c>
      <c r="AF1436" s="129" t="str">
        <f>IF(DATA[[#This Row],[SERIE2]]="-","NO CORRESPONDE",IF(W1436="NO CORRESPONDE","NO CORRESPONDE",IF(Z1436&gt;0,"FACTURADO","PENDIENTE")))</f>
        <v>NO CORRESPONDE</v>
      </c>
      <c r="AG1436" s="133">
        <f>IFERROR(VLOOKUP(DATA[[#This Row],[COMBINADA]],#REF!,6,0),0)</f>
        <v>0</v>
      </c>
      <c r="AH1436" s="125">
        <f>IFERROR(VLOOKUP(DATA[[#This Row],[COMBINADA]],#REF!,9,0),0)/COUNTIFS(DATA[COMBINADA],DATA[[#This Row],[COMBINADA]])</f>
        <v>0</v>
      </c>
      <c r="AI1436" s="140">
        <f>IFERROR(VLOOKUP(DATA[[#This Row],[COMBINADA]],#REF!,6,0),0)</f>
        <v>0</v>
      </c>
      <c r="AJ1436" s="126">
        <f>IFERROR(VLOOKUP(DATA[[#This Row],[COMBINADA]],#REF!,9,0),0)/COUNTIFS(DATA[COMBINADA],DATA[[#This Row],[COMBINADA]])</f>
        <v>0</v>
      </c>
      <c r="AK1436" s="61">
        <f>IFERROR(VLOOKUP(DATA[[#This Row],[COMBINADA]],#REF!,6,0),0)</f>
        <v>0</v>
      </c>
      <c r="AL1436" s="126">
        <f>IFERROR(VLOOKUP(DATA[[#This Row],[COMBINADA]],#REF!,9,0),0)/COUNTIFS(DATA[COMBINADA],DATA[[#This Row],[COMBINADA]])</f>
        <v>0</v>
      </c>
      <c r="AM1436" s="61">
        <f>IFERROR(VLOOKUP(DATA[[#This Row],[COMBINADA]],#REF!,6,0),0)</f>
        <v>0</v>
      </c>
      <c r="AN1436" s="62">
        <f>IFERROR(VLOOKUP(DATA[[#This Row],[COMBINADA]],#REF!,9,0),0)/COUNTIFS(DATA[COMBINADA],DATA[[#This Row],[COMBINADA]])</f>
        <v>0</v>
      </c>
      <c r="AO1436" s="61">
        <f>IFERROR(VLOOKUP(DATA[[#This Row],[COMBINADA]],#REF!,6,0),0)</f>
        <v>0</v>
      </c>
      <c r="AP1436" s="62">
        <f>IFERROR(VLOOKUP(DATA[[#This Row],[COMBINADA]],#REF!,9,0),0)/COUNTIFS(DATA[COMBINADA],DATA[[#This Row],[COMBINADA]])</f>
        <v>0</v>
      </c>
      <c r="AQ1436"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36" s="22" t="str">
        <f>IFERROR(IF(DATA[[#This Row],[estado_fact]]="FACTURADO",VLOOKUP(DATA[[#This Row],[SERIE2]]&amp;"-"&amp;DATA[[#This Row],[NUMERO]],#REF!,34,0),"NO CORRESPONDE"),"NO CORRESPONDE")</f>
        <v>NO CORRESPONDE</v>
      </c>
      <c r="AS1436" s="198" t="str">
        <f>IF(DATA[[#This Row],[fecha_fs]]&gt;0,TEXT(DATA[[#This Row],[fecha_fs]],"Mmmm"),0)</f>
        <v>Noviembre</v>
      </c>
      <c r="AT1436" s="199" t="str">
        <f>DATA[[#This Row],[SERIE2]]&amp;"-"&amp;DATA[[#This Row],[NUMERO]]</f>
        <v>-</v>
      </c>
      <c r="AU1436" s="198">
        <f>DATA[[#This Row],[TOTAL]]*DATA[[#This Row],[T.C.]]</f>
        <v>0</v>
      </c>
      <c r="AV1436" s="40">
        <f>DATA[[#This Row],[FECHA DE VAL.]]</f>
        <v>0</v>
      </c>
      <c r="AW1436" s="40">
        <f>DATA[[#This Row],[FECHA DE EMISION]]</f>
        <v>0</v>
      </c>
      <c r="AX1436" s="40">
        <f>DATA[[#This Row],[F1]]</f>
        <v>0</v>
      </c>
      <c r="AY1436" s="49">
        <f>IF(AV1436-DATA[[#This Row],[fecha_fs]]&lt;0,0,AV1436-DATA[[#This Row],[fecha_fs]])</f>
        <v>0</v>
      </c>
      <c r="AZ1436" s="49">
        <f t="shared" si="365"/>
        <v>0</v>
      </c>
      <c r="BA1436" s="49">
        <f t="shared" si="366"/>
        <v>0</v>
      </c>
      <c r="BB1436" s="360">
        <f>IFERROR(SUM(DATA[[#This Row],[fs_val_ttf]:[fact_pago_ttf]]),0)</f>
        <v>0</v>
      </c>
      <c r="BC1436" s="47"/>
      <c r="BD1436" s="47"/>
      <c r="BE1436" s="47"/>
      <c r="BF1436" s="47"/>
      <c r="BG1436" s="49">
        <f>IFERROR(IF(BC1436-DATA[[#This Row],[fecha_fs]]&lt;0,0,BC1436-DATA[[#This Row],[fecha_fs]]),0)</f>
        <v>0</v>
      </c>
      <c r="BH1436" s="49">
        <f t="shared" si="361"/>
        <v>0</v>
      </c>
      <c r="BI1436" s="49">
        <f t="shared" si="362"/>
        <v>0</v>
      </c>
      <c r="BJ1436" s="49">
        <f t="shared" si="363"/>
        <v>0</v>
      </c>
      <c r="BK1436" s="376">
        <f>IFERROR(SUM(DATA[[#This Row],[fs_fd_ttd]:[fend_fenf_ttd]]),0)</f>
        <v>0</v>
      </c>
      <c r="BL1436" s="20" t="str">
        <f>IF(DATA[[#This Row],[fecha_fs]]&gt;0,TEXT(DATA[[#This Row],[fecha_fs]],"YYYY"),0)</f>
        <v>2025</v>
      </c>
      <c r="BM1436" s="236" t="b">
        <v>0</v>
      </c>
      <c r="BN1436" s="278"/>
      <c r="BO1436" s="365"/>
    </row>
    <row r="1437" spans="1:67" ht="30.6" customHeight="1" x14ac:dyDescent="0.25">
      <c r="A1437" s="4"/>
      <c r="B1437" s="5" t="s">
        <v>0</v>
      </c>
      <c r="C1437" s="52"/>
      <c r="D1437" s="4"/>
      <c r="E1437" s="5" t="s">
        <v>0</v>
      </c>
      <c r="F1437" s="24">
        <v>45968</v>
      </c>
      <c r="G1437" s="7" t="s">
        <v>113</v>
      </c>
      <c r="H1437" s="25">
        <f t="shared" si="364"/>
        <v>1</v>
      </c>
      <c r="I1437" s="67">
        <v>5213</v>
      </c>
      <c r="J1437" s="8" t="s">
        <v>173</v>
      </c>
      <c r="K1437" s="9"/>
      <c r="L1437" s="10"/>
      <c r="M1437" s="111"/>
      <c r="N1437" s="112"/>
      <c r="O1437" s="6"/>
      <c r="P1437" s="13"/>
      <c r="Q1437" s="14"/>
      <c r="R1437" s="56"/>
      <c r="S1437" s="56"/>
      <c r="T1437" s="56">
        <f>DATA[[#This Row],[C. DF]]+DATA[[#This Row],[C.OPE.]]</f>
        <v>0</v>
      </c>
      <c r="U1437" s="56">
        <f>DATA[[#This Row],[SUB TOTAL]]*0.18</f>
        <v>0</v>
      </c>
      <c r="V1437" s="56">
        <f>IFERROR(ROUND(DATA[[#This Row],[SUB TOTAL]]+DATA[[#This Row],[IGV]],2),0)</f>
        <v>0</v>
      </c>
      <c r="W1437" s="73" t="str">
        <f>IF(DATA[[#This Row],[VALORIZACIÓN ]]="-","NO CORRESPONDE",IF(OR(A1437=20558226979,A1437=10470707866,A1437=20111157058,A1437=20100226902),"NO CORRESPONDE",IF(J1437="Emitida",IF(P1437&gt;0,"EMITIDA","PENDIENTE"),"NO CORRESPONDE")))</f>
        <v>NO CORRESPONDE</v>
      </c>
      <c r="X1437" s="46"/>
      <c r="Y1437" s="17" t="s">
        <v>128</v>
      </c>
      <c r="Z1437" s="48"/>
      <c r="AA1437" s="49"/>
      <c r="AB1437" s="50"/>
      <c r="AC1437" s="51"/>
      <c r="AD1437" s="59">
        <f>DATA[[#This Row],[FECHA DE EMISION]]+DATA[[#This Row],[CONDICION DE PAGO]]</f>
        <v>0</v>
      </c>
      <c r="AE1437" s="23">
        <f>IF(DATA[[#This Row],[MONEDA]]="USD",VLOOKUP(DATA[[#This Row],[COMBINADA]],#REF!,11,0),1)</f>
        <v>1</v>
      </c>
      <c r="AF1437" s="129" t="str">
        <f>IF(DATA[[#This Row],[SERIE2]]="-","NO CORRESPONDE",IF(W1437="NO CORRESPONDE","NO CORRESPONDE",IF(Z1437&gt;0,"FACTURADO","PENDIENTE")))</f>
        <v>NO CORRESPONDE</v>
      </c>
      <c r="AG1437" s="133">
        <f>IFERROR(VLOOKUP(DATA[[#This Row],[COMBINADA]],#REF!,6,0),0)</f>
        <v>0</v>
      </c>
      <c r="AH1437" s="125">
        <f>IFERROR(VLOOKUP(DATA[[#This Row],[COMBINADA]],#REF!,9,0),0)/COUNTIFS(DATA[COMBINADA],DATA[[#This Row],[COMBINADA]])</f>
        <v>0</v>
      </c>
      <c r="AI1437" s="140">
        <f>IFERROR(VLOOKUP(DATA[[#This Row],[COMBINADA]],#REF!,6,0),0)</f>
        <v>0</v>
      </c>
      <c r="AJ1437" s="126">
        <f>IFERROR(VLOOKUP(DATA[[#This Row],[COMBINADA]],#REF!,9,0),0)/COUNTIFS(DATA[COMBINADA],DATA[[#This Row],[COMBINADA]])</f>
        <v>0</v>
      </c>
      <c r="AK1437" s="61">
        <f>IFERROR(VLOOKUP(DATA[[#This Row],[COMBINADA]],#REF!,6,0),0)</f>
        <v>0</v>
      </c>
      <c r="AL1437" s="126">
        <f>IFERROR(VLOOKUP(DATA[[#This Row],[COMBINADA]],#REF!,9,0),0)/COUNTIFS(DATA[COMBINADA],DATA[[#This Row],[COMBINADA]])</f>
        <v>0</v>
      </c>
      <c r="AM1437" s="61">
        <f>IFERROR(VLOOKUP(DATA[[#This Row],[COMBINADA]],#REF!,6,0),0)</f>
        <v>0</v>
      </c>
      <c r="AN1437" s="62">
        <f>IFERROR(VLOOKUP(DATA[[#This Row],[COMBINADA]],#REF!,9,0),0)/COUNTIFS(DATA[COMBINADA],DATA[[#This Row],[COMBINADA]])</f>
        <v>0</v>
      </c>
      <c r="AO1437" s="61">
        <f>IFERROR(VLOOKUP(DATA[[#This Row],[COMBINADA]],#REF!,6,0),0)</f>
        <v>0</v>
      </c>
      <c r="AP1437" s="62">
        <f>IFERROR(VLOOKUP(DATA[[#This Row],[COMBINADA]],#REF!,9,0),0)/COUNTIFS(DATA[COMBINADA],DATA[[#This Row],[COMBINADA]])</f>
        <v>0</v>
      </c>
      <c r="AQ1437"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37" s="22" t="str">
        <f>IFERROR(IF(DATA[[#This Row],[estado_fact]]="FACTURADO",VLOOKUP(DATA[[#This Row],[SERIE2]]&amp;"-"&amp;DATA[[#This Row],[NUMERO]],#REF!,34,0),"NO CORRESPONDE"),"NO CORRESPONDE")</f>
        <v>NO CORRESPONDE</v>
      </c>
      <c r="AS1437" s="198" t="str">
        <f>IF(DATA[[#This Row],[fecha_fs]]&gt;0,TEXT(DATA[[#This Row],[fecha_fs]],"Mmmm"),0)</f>
        <v>Noviembre</v>
      </c>
      <c r="AT1437" s="199" t="str">
        <f>DATA[[#This Row],[SERIE2]]&amp;"-"&amp;DATA[[#This Row],[NUMERO]]</f>
        <v>-</v>
      </c>
      <c r="AU1437" s="198">
        <f>DATA[[#This Row],[TOTAL]]*DATA[[#This Row],[T.C.]]</f>
        <v>0</v>
      </c>
      <c r="AV1437" s="40">
        <f>DATA[[#This Row],[FECHA DE VAL.]]</f>
        <v>0</v>
      </c>
      <c r="AW1437" s="40">
        <f>DATA[[#This Row],[FECHA DE EMISION]]</f>
        <v>0</v>
      </c>
      <c r="AX1437" s="40">
        <f>DATA[[#This Row],[F1]]</f>
        <v>0</v>
      </c>
      <c r="AY1437" s="49">
        <f>IF(AV1437-DATA[[#This Row],[fecha_fs]]&lt;0,0,AV1437-DATA[[#This Row],[fecha_fs]])</f>
        <v>0</v>
      </c>
      <c r="AZ1437" s="49">
        <f t="shared" si="365"/>
        <v>0</v>
      </c>
      <c r="BA1437" s="49">
        <f t="shared" si="366"/>
        <v>0</v>
      </c>
      <c r="BB1437" s="360">
        <f>IFERROR(SUM(DATA[[#This Row],[fs_val_ttf]:[fact_pago_ttf]]),0)</f>
        <v>0</v>
      </c>
      <c r="BC1437" s="47"/>
      <c r="BD1437" s="47"/>
      <c r="BE1437" s="47"/>
      <c r="BF1437" s="47"/>
      <c r="BG1437" s="49">
        <f>IFERROR(IF(BC1437-DATA[[#This Row],[fecha_fs]]&lt;0,0,BC1437-DATA[[#This Row],[fecha_fs]]),0)</f>
        <v>0</v>
      </c>
      <c r="BH1437" s="49">
        <f t="shared" si="361"/>
        <v>0</v>
      </c>
      <c r="BI1437" s="49">
        <f t="shared" si="362"/>
        <v>0</v>
      </c>
      <c r="BJ1437" s="49">
        <f t="shared" si="363"/>
        <v>0</v>
      </c>
      <c r="BK1437" s="376">
        <f>IFERROR(SUM(DATA[[#This Row],[fs_fd_ttd]:[fend_fenf_ttd]]),0)</f>
        <v>0</v>
      </c>
      <c r="BL1437" s="20" t="str">
        <f>IF(DATA[[#This Row],[fecha_fs]]&gt;0,TEXT(DATA[[#This Row],[fecha_fs]],"YYYY"),0)</f>
        <v>2025</v>
      </c>
      <c r="BM1437" s="236" t="b">
        <v>0</v>
      </c>
      <c r="BN1437" s="278"/>
      <c r="BO1437" s="365"/>
    </row>
    <row r="1438" spans="1:67" ht="30.6" customHeight="1" x14ac:dyDescent="0.25">
      <c r="A1438" s="4">
        <v>20100192064</v>
      </c>
      <c r="B1438" s="5" t="s">
        <v>60</v>
      </c>
      <c r="C1438" s="52" t="s">
        <v>43</v>
      </c>
      <c r="D1438" s="4" t="s">
        <v>120</v>
      </c>
      <c r="E1438" s="5" t="s">
        <v>3</v>
      </c>
      <c r="F1438" s="24">
        <v>45968</v>
      </c>
      <c r="G1438" s="7" t="s">
        <v>113</v>
      </c>
      <c r="H1438" s="25">
        <f t="shared" si="364"/>
        <v>1</v>
      </c>
      <c r="I1438" s="67">
        <v>5214</v>
      </c>
      <c r="J1438" s="8" t="s">
        <v>115</v>
      </c>
      <c r="K1438" s="9" t="s">
        <v>121</v>
      </c>
      <c r="L1438" s="10" t="s">
        <v>117</v>
      </c>
      <c r="M1438" s="11">
        <v>370</v>
      </c>
      <c r="N1438" s="12" t="s">
        <v>129</v>
      </c>
      <c r="O1438" s="6">
        <v>45987</v>
      </c>
      <c r="P1438" s="71"/>
      <c r="Q1438" s="14" t="s">
        <v>123</v>
      </c>
      <c r="R1438" s="401">
        <f>(DATA[[#This Row],[cantidad_fs]]/1000)*(47+174.34)</f>
        <v>81.895799999999994</v>
      </c>
      <c r="S1438" s="401">
        <v>137</v>
      </c>
      <c r="T1438" s="321">
        <f>DATA[[#This Row],[C. DF]]+DATA[[#This Row],[C.OPE.]]</f>
        <v>218.89580000000001</v>
      </c>
      <c r="U1438" s="15">
        <f>DATA[[#This Row],[SUB TOTAL]]*0.18</f>
        <v>39.401243999999998</v>
      </c>
      <c r="V1438" s="15">
        <f>IFERROR(ROUND(DATA[[#This Row],[SUB TOTAL]]+DATA[[#This Row],[IGV]],2),0)</f>
        <v>258.3</v>
      </c>
      <c r="W1438" s="339" t="str">
        <f>IF(DATA[[#This Row],[VALORIZACIÓN ]]="-","NO CORRESPONDE",IF(OR(A1438=20558226979,A1438=10470707866,A1438=20111157058,A1438=20100226902),"NO CORRESPONDE",IF(J1438="Emitida",IF(P1438&gt;0,"EMITIDA","PENDIENTE"),"NO CORRESPONDE")))</f>
        <v>PENDIENTE</v>
      </c>
      <c r="X1438" s="29"/>
      <c r="Y1438" s="17" t="s">
        <v>232</v>
      </c>
      <c r="Z1438" s="30"/>
      <c r="AA1438" s="10"/>
      <c r="AB1438" s="19"/>
      <c r="AC1438" s="20"/>
      <c r="AD1438" s="18">
        <f>DATA[[#This Row],[FECHA DE EMISION]]+DATA[[#This Row],[CONDICION DE PAGO]]</f>
        <v>0</v>
      </c>
      <c r="AE1438" s="23" t="e">
        <f>IF(DATA[[#This Row],[MONEDA]]="USD",VLOOKUP(DATA[[#This Row],[COMBINADA]],#REF!,11,0),1)</f>
        <v>#REF!</v>
      </c>
      <c r="AF1438" s="129" t="str">
        <f>IF(DATA[[#This Row],[SERIE2]]="-","NO CORRESPONDE",IF(W1438="NO CORRESPONDE","NO CORRESPONDE",IF(Z1438&gt;0,"FACTURADO","PENDIENTE")))</f>
        <v>PENDIENTE</v>
      </c>
      <c r="AG1438" s="27">
        <f>IFERROR(VLOOKUP(DATA[[#This Row],[COMBINADA]],#REF!,6,0),0)</f>
        <v>0</v>
      </c>
      <c r="AH1438" s="130">
        <f>IFERROR(VLOOKUP(DATA[[#This Row],[COMBINADA]],#REF!,9,0),0)/COUNTIFS(DATA[COMBINADA],DATA[[#This Row],[COMBINADA]])</f>
        <v>0</v>
      </c>
      <c r="AI1438" s="131">
        <f>IFERROR(VLOOKUP(DATA[[#This Row],[COMBINADA]],#REF!,6,0),0)</f>
        <v>0</v>
      </c>
      <c r="AJ1438" s="132">
        <f>IFERROR(VLOOKUP(DATA[[#This Row],[COMBINADA]],#REF!,9,0),0)/COUNTIFS(DATA[COMBINADA],DATA[[#This Row],[COMBINADA]])</f>
        <v>0</v>
      </c>
      <c r="AK1438" s="131">
        <f>IFERROR(VLOOKUP(DATA[[#This Row],[COMBINADA]],#REF!,6,0),0)</f>
        <v>0</v>
      </c>
      <c r="AL1438" s="125">
        <f>IFERROR(VLOOKUP(DATA[[#This Row],[COMBINADA]],#REF!,9,0),0)/COUNTIFS(DATA[COMBINADA],DATA[[#This Row],[COMBINADA]])</f>
        <v>0</v>
      </c>
      <c r="AM1438" s="27">
        <f>IFERROR(VLOOKUP(DATA[[#This Row],[COMBINADA]],#REF!,6,0),0)</f>
        <v>0</v>
      </c>
      <c r="AN1438" s="125">
        <f>IFERROR(VLOOKUP(DATA[[#This Row],[COMBINADA]],#REF!,9,0),0)/COUNTIFS(DATA[COMBINADA],DATA[[#This Row],[COMBINADA]])</f>
        <v>0</v>
      </c>
      <c r="AO1438" s="27">
        <f>IFERROR(VLOOKUP(DATA[[#This Row],[COMBINADA]],#REF!,6,0),0)</f>
        <v>0</v>
      </c>
      <c r="AP1438" s="132">
        <f>IFERROR(VLOOKUP(DATA[[#This Row],[COMBINADA]],#REF!,9,0),0)/COUNTIFS(DATA[COMBINADA],DATA[[#This Row],[COMBINADA]])</f>
        <v>0</v>
      </c>
      <c r="AQ143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38" s="26" t="str">
        <f>IFERROR(IF(DATA[[#This Row],[estado_fact]]="FACTURADO",VLOOKUP(DATA[[#This Row],[SERIE2]]&amp;"-"&amp;DATA[[#This Row],[NUMERO]],#REF!,34,0),"NO CORRESPONDE"),"NO CORRESPONDE")</f>
        <v>NO CORRESPONDE</v>
      </c>
      <c r="AS1438" s="22" t="str">
        <f>IF(DATA[[#This Row],[fecha_fs]]&gt;0,TEXT(DATA[[#This Row],[fecha_fs]],"Mmmm"),0)</f>
        <v>Noviembre</v>
      </c>
      <c r="AT1438" s="22" t="str">
        <f>DATA[[#This Row],[SERIE2]]&amp;"-"&amp;DATA[[#This Row],[NUMERO]]</f>
        <v>-</v>
      </c>
      <c r="AU1438" s="28" t="e">
        <f>DATA[[#This Row],[TOTAL]]*DATA[[#This Row],[T.C.]]</f>
        <v>#REF!</v>
      </c>
      <c r="AV1438" s="6">
        <f>DATA[[#This Row],[FECHA DE VAL.]]</f>
        <v>45987</v>
      </c>
      <c r="AW1438" s="6">
        <f>DATA[[#This Row],[FECHA DE EMISION]]</f>
        <v>0</v>
      </c>
      <c r="AX1438" s="6">
        <f>DATA[[#This Row],[F1]]</f>
        <v>0</v>
      </c>
      <c r="AY1438" s="20">
        <f>IF(AV1438-DATA[[#This Row],[fecha_fs]]&lt;0,0,AV1438-DATA[[#This Row],[fecha_fs]])</f>
        <v>19</v>
      </c>
      <c r="AZ1438" s="20">
        <f t="shared" si="365"/>
        <v>0</v>
      </c>
      <c r="BA1438" s="53">
        <f t="shared" si="366"/>
        <v>0</v>
      </c>
      <c r="BB1438" s="360">
        <f>IFERROR(SUM(DATA[[#This Row],[fs_val_ttf]:[fact_pago_ttf]]),0)</f>
        <v>19</v>
      </c>
      <c r="BC1438" s="378" t="s">
        <v>270</v>
      </c>
      <c r="BD1438" s="185" t="s">
        <v>270</v>
      </c>
      <c r="BE1438" s="185" t="s">
        <v>270</v>
      </c>
      <c r="BF1438" s="185" t="s">
        <v>270</v>
      </c>
      <c r="BG1438" s="20">
        <f>IFERROR(IF(BC1438-DATA[[#This Row],[fecha_fs]]&lt;0,0,BC1438-DATA[[#This Row],[fecha_fs]]),0)</f>
        <v>0</v>
      </c>
      <c r="BH1438" s="20">
        <f t="shared" si="361"/>
        <v>0</v>
      </c>
      <c r="BI1438" s="20">
        <f t="shared" si="362"/>
        <v>0</v>
      </c>
      <c r="BJ1438" s="53">
        <f t="shared" si="363"/>
        <v>0</v>
      </c>
      <c r="BK1438" s="376">
        <f>IFERROR(SUM(DATA[[#This Row],[fs_fd_ttd]:[fend_fenf_ttd]]),0)</f>
        <v>0</v>
      </c>
      <c r="BL1438" s="20" t="str">
        <f>IF(DATA[[#This Row],[fecha_fs]]&gt;0,TEXT(DATA[[#This Row],[fecha_fs]],"YYYY"),0)</f>
        <v>2025</v>
      </c>
      <c r="BM1438" s="236" t="b">
        <v>0</v>
      </c>
      <c r="BN1438" s="278">
        <f>COUNTIF(DATA[[#This Row],[tiempo_td]], "&lt;=15")</f>
        <v>1</v>
      </c>
      <c r="BO1438" s="365"/>
    </row>
    <row r="1439" spans="1:67" ht="30.6" customHeight="1" x14ac:dyDescent="0.25">
      <c r="A1439" s="4">
        <v>20100211115</v>
      </c>
      <c r="B1439" s="5" t="s">
        <v>41</v>
      </c>
      <c r="C1439" s="52" t="s">
        <v>18</v>
      </c>
      <c r="D1439" s="4" t="s">
        <v>112</v>
      </c>
      <c r="E1439" s="5" t="s">
        <v>1</v>
      </c>
      <c r="F1439" s="24">
        <v>45968</v>
      </c>
      <c r="G1439" s="7" t="s">
        <v>113</v>
      </c>
      <c r="H1439" s="25">
        <f t="shared" si="364"/>
        <v>1</v>
      </c>
      <c r="I1439" s="67">
        <v>5215</v>
      </c>
      <c r="J1439" s="8" t="s">
        <v>115</v>
      </c>
      <c r="K1439" s="9" t="s">
        <v>116</v>
      </c>
      <c r="L1439" s="10" t="s">
        <v>117</v>
      </c>
      <c r="M1439" s="11">
        <v>61</v>
      </c>
      <c r="N1439" s="12" t="s">
        <v>167</v>
      </c>
      <c r="O1439" s="6">
        <v>45989</v>
      </c>
      <c r="P1439" s="115"/>
      <c r="Q1439" s="14" t="s">
        <v>85</v>
      </c>
      <c r="R1439" s="74"/>
      <c r="S1439" s="401">
        <f>(DATA[[#This Row],[cantidad_fs]]*4.57)</f>
        <v>278.77000000000004</v>
      </c>
      <c r="T1439" s="321">
        <f>DATA[[#This Row],[C. DF]]+DATA[[#This Row],[C.OPE.]]</f>
        <v>278.77000000000004</v>
      </c>
      <c r="U1439" s="15">
        <f>DATA[[#This Row],[SUB TOTAL]]*0.18</f>
        <v>50.178600000000003</v>
      </c>
      <c r="V1439" s="15">
        <f>IFERROR(ROUND(DATA[[#This Row],[SUB TOTAL]]+DATA[[#This Row],[IGV]],2),0)</f>
        <v>328.95</v>
      </c>
      <c r="W1439" s="339" t="str">
        <f>IF(DATA[[#This Row],[VALORIZACIÓN ]]="-","NO CORRESPONDE",IF(OR(A1439=20558226979,A1439=10470707866,A1439=20111157058,A1439=20100226902),"NO CORRESPONDE",IF(J1439="Emitida",IF(P1439&gt;0,"EMITIDA","PENDIENTE"),"NO CORRESPONDE")))</f>
        <v>PENDIENTE</v>
      </c>
      <c r="X1439" s="29"/>
      <c r="Y1439" s="17" t="s">
        <v>232</v>
      </c>
      <c r="Z1439" s="30"/>
      <c r="AA1439" s="10"/>
      <c r="AB1439" s="19"/>
      <c r="AC1439" s="20"/>
      <c r="AD1439" s="18">
        <f>DATA[[#This Row],[FECHA DE EMISION]]+DATA[[#This Row],[CONDICION DE PAGO]]</f>
        <v>0</v>
      </c>
      <c r="AE1439" s="23">
        <f>IF(DATA[[#This Row],[MONEDA]]="USD",VLOOKUP(DATA[[#This Row],[COMBINADA]],#REF!,11,0),1)</f>
        <v>1</v>
      </c>
      <c r="AF1439" s="129" t="str">
        <f>IF(DATA[[#This Row],[SERIE2]]="-","NO CORRESPONDE",IF(W1439="NO CORRESPONDE","NO CORRESPONDE",IF(Z1439&gt;0,"FACTURADO","PENDIENTE")))</f>
        <v>PENDIENTE</v>
      </c>
      <c r="AG1439" s="27">
        <f>IFERROR(VLOOKUP(DATA[[#This Row],[COMBINADA]],#REF!,6,0),0)</f>
        <v>0</v>
      </c>
      <c r="AH1439" s="130">
        <f>IFERROR(VLOOKUP(DATA[[#This Row],[COMBINADA]],#REF!,9,0),0)/COUNTIFS(DATA[COMBINADA],DATA[[#This Row],[COMBINADA]])</f>
        <v>0</v>
      </c>
      <c r="AI1439" s="131">
        <f>IFERROR(VLOOKUP(DATA[[#This Row],[COMBINADA]],#REF!,6,0),0)</f>
        <v>0</v>
      </c>
      <c r="AJ1439" s="132">
        <f>IFERROR(VLOOKUP(DATA[[#This Row],[COMBINADA]],#REF!,9,0),0)/COUNTIFS(DATA[COMBINADA],DATA[[#This Row],[COMBINADA]])</f>
        <v>0</v>
      </c>
      <c r="AK1439" s="131">
        <f>IFERROR(VLOOKUP(DATA[[#This Row],[COMBINADA]],#REF!,6,0),0)</f>
        <v>0</v>
      </c>
      <c r="AL1439" s="125">
        <f>IFERROR(VLOOKUP(DATA[[#This Row],[COMBINADA]],#REF!,9,0),0)/COUNTIFS(DATA[COMBINADA],DATA[[#This Row],[COMBINADA]])</f>
        <v>0</v>
      </c>
      <c r="AM1439" s="27">
        <f>IFERROR(VLOOKUP(DATA[[#This Row],[COMBINADA]],#REF!,6,0),0)</f>
        <v>0</v>
      </c>
      <c r="AN1439" s="125">
        <f>IFERROR(VLOOKUP(DATA[[#This Row],[COMBINADA]],#REF!,9,0),0)/COUNTIFS(DATA[COMBINADA],DATA[[#This Row],[COMBINADA]])</f>
        <v>0</v>
      </c>
      <c r="AO1439" s="27">
        <f>IFERROR(VLOOKUP(DATA[[#This Row],[COMBINADA]],#REF!,6,0),0)</f>
        <v>0</v>
      </c>
      <c r="AP1439" s="132">
        <f>IFERROR(VLOOKUP(DATA[[#This Row],[COMBINADA]],#REF!,9,0),0)/COUNTIFS(DATA[COMBINADA],DATA[[#This Row],[COMBINADA]])</f>
        <v>0</v>
      </c>
      <c r="AQ143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39" s="26" t="str">
        <f>IFERROR(IF(DATA[[#This Row],[estado_fact]]="FACTURADO",VLOOKUP(DATA[[#This Row],[SERIE2]]&amp;"-"&amp;DATA[[#This Row],[NUMERO]],#REF!,34,0),"NO CORRESPONDE"),"NO CORRESPONDE")</f>
        <v>NO CORRESPONDE</v>
      </c>
      <c r="AS1439" s="22" t="str">
        <f>IF(DATA[[#This Row],[fecha_fs]]&gt;0,TEXT(DATA[[#This Row],[fecha_fs]],"Mmmm"),0)</f>
        <v>Noviembre</v>
      </c>
      <c r="AT1439" s="22" t="str">
        <f>DATA[[#This Row],[SERIE2]]&amp;"-"&amp;DATA[[#This Row],[NUMERO]]</f>
        <v>-</v>
      </c>
      <c r="AU1439" s="28">
        <f>DATA[[#This Row],[TOTAL]]*DATA[[#This Row],[T.C.]]</f>
        <v>328.95</v>
      </c>
      <c r="AV1439" s="6">
        <f>DATA[[#This Row],[FECHA DE VAL.]]</f>
        <v>45989</v>
      </c>
      <c r="AW1439" s="6">
        <f>DATA[[#This Row],[FECHA DE EMISION]]</f>
        <v>0</v>
      </c>
      <c r="AX1439" s="6">
        <f>DATA[[#This Row],[F1]]</f>
        <v>0</v>
      </c>
      <c r="AY1439" s="20">
        <f>IF(AV1439-DATA[[#This Row],[fecha_fs]]&lt;0,0,AV1439-DATA[[#This Row],[fecha_fs]])</f>
        <v>21</v>
      </c>
      <c r="AZ1439" s="20">
        <f t="shared" si="365"/>
        <v>0</v>
      </c>
      <c r="BA1439" s="53">
        <f t="shared" si="366"/>
        <v>0</v>
      </c>
      <c r="BB1439" s="360">
        <f>IFERROR(SUM(DATA[[#This Row],[fs_val_ttf]:[fact_pago_ttf]]),0)</f>
        <v>21</v>
      </c>
      <c r="BC1439" s="378" t="s">
        <v>270</v>
      </c>
      <c r="BD1439" s="185" t="s">
        <v>270</v>
      </c>
      <c r="BE1439" s="185" t="s">
        <v>270</v>
      </c>
      <c r="BF1439" s="185" t="s">
        <v>270</v>
      </c>
      <c r="BG1439" s="20">
        <f>IFERROR(IF(BC1439-DATA[[#This Row],[fecha_fs]]&lt;0,0,BC1439-DATA[[#This Row],[fecha_fs]]),0)</f>
        <v>0</v>
      </c>
      <c r="BH1439" s="20">
        <f t="shared" si="361"/>
        <v>0</v>
      </c>
      <c r="BI1439" s="20">
        <f t="shared" si="362"/>
        <v>0</v>
      </c>
      <c r="BJ1439" s="53">
        <f t="shared" si="363"/>
        <v>0</v>
      </c>
      <c r="BK1439" s="376">
        <f>IFERROR(SUM(DATA[[#This Row],[fs_fd_ttd]:[fend_fenf_ttd]]),0)</f>
        <v>0</v>
      </c>
      <c r="BL1439" s="20" t="str">
        <f>IF(DATA[[#This Row],[fecha_fs]]&gt;0,TEXT(DATA[[#This Row],[fecha_fs]],"YYYY"),0)</f>
        <v>2025</v>
      </c>
      <c r="BM1439" s="236" t="b">
        <v>0</v>
      </c>
      <c r="BN1439" s="278">
        <f>COUNTIF(DATA[[#This Row],[tiempo_td]], "&lt;=15")</f>
        <v>1</v>
      </c>
      <c r="BO1439" s="365"/>
    </row>
    <row r="1440" spans="1:67" ht="30.6" customHeight="1" x14ac:dyDescent="0.25">
      <c r="A1440" s="4">
        <v>20100199743</v>
      </c>
      <c r="B1440" s="5" t="s">
        <v>47</v>
      </c>
      <c r="C1440" s="52" t="s">
        <v>48</v>
      </c>
      <c r="D1440" s="4" t="s">
        <v>139</v>
      </c>
      <c r="E1440" s="5" t="s">
        <v>23</v>
      </c>
      <c r="F1440" s="24">
        <v>45971</v>
      </c>
      <c r="G1440" s="7" t="s">
        <v>113</v>
      </c>
      <c r="H1440" s="25">
        <f t="shared" si="364"/>
        <v>1</v>
      </c>
      <c r="I1440" s="67">
        <v>5216</v>
      </c>
      <c r="J1440" s="8" t="s">
        <v>115</v>
      </c>
      <c r="K1440" s="5" t="s">
        <v>383</v>
      </c>
      <c r="L1440" s="10" t="s">
        <v>117</v>
      </c>
      <c r="M1440" s="11">
        <v>4046.4</v>
      </c>
      <c r="N1440" s="12" t="s">
        <v>135</v>
      </c>
      <c r="O1440" s="6">
        <v>45972</v>
      </c>
      <c r="P1440" s="13">
        <v>3780</v>
      </c>
      <c r="Q1440" s="14" t="s">
        <v>85</v>
      </c>
      <c r="R1440" s="74"/>
      <c r="S1440" s="321">
        <f>6099/2</f>
        <v>3049.5</v>
      </c>
      <c r="T1440" s="321">
        <f>DATA[[#This Row],[C. DF]]+DATA[[#This Row],[C.OPE.]]</f>
        <v>3049.5</v>
      </c>
      <c r="U1440" s="15">
        <f>DATA[[#This Row],[SUB TOTAL]]*0.18</f>
        <v>548.91</v>
      </c>
      <c r="V1440" s="15">
        <f>IFERROR(ROUND(DATA[[#This Row],[SUB TOTAL]]+DATA[[#This Row],[IGV]],2),0)</f>
        <v>3598.41</v>
      </c>
      <c r="W1440" s="339" t="str">
        <f>IF(DATA[[#This Row],[VALORIZACIÓN ]]="-","NO CORRESPONDE",IF(OR(A1440=20558226979,A1440=10470707866,A1440=20111157058,A1440=20100226902),"NO CORRESPONDE",IF(J1440="Emitida",IF(P1440&gt;0,"EMITIDA","PENDIENTE"),"NO CORRESPONDE")))</f>
        <v>EMITIDA</v>
      </c>
      <c r="X1440" s="29"/>
      <c r="Y1440" s="17" t="s">
        <v>232</v>
      </c>
      <c r="Z1440" s="30"/>
      <c r="AA1440" s="10"/>
      <c r="AB1440" s="19"/>
      <c r="AC1440" s="20"/>
      <c r="AD1440" s="18">
        <f>DATA[[#This Row],[FECHA DE EMISION]]+DATA[[#This Row],[CONDICION DE PAGO]]</f>
        <v>0</v>
      </c>
      <c r="AE1440" s="23">
        <f>IF(DATA[[#This Row],[MONEDA]]="USD",VLOOKUP(DATA[[#This Row],[COMBINADA]],#REF!,11,0),1)</f>
        <v>1</v>
      </c>
      <c r="AF1440" s="129" t="str">
        <f>IF(DATA[[#This Row],[SERIE2]]="-","NO CORRESPONDE",IF(W1440="NO CORRESPONDE","NO CORRESPONDE",IF(Z1440&gt;0,"FACTURADO","PENDIENTE")))</f>
        <v>PENDIENTE</v>
      </c>
      <c r="AG1440" s="27">
        <f>IFERROR(VLOOKUP(DATA[[#This Row],[COMBINADA]],#REF!,6,0),0)</f>
        <v>0</v>
      </c>
      <c r="AH1440" s="130">
        <f>IFERROR(VLOOKUP(DATA[[#This Row],[COMBINADA]],#REF!,9,0),0)/COUNTIFS(DATA[COMBINADA],DATA[[#This Row],[COMBINADA]])</f>
        <v>0</v>
      </c>
      <c r="AI1440" s="131">
        <f>IFERROR(VLOOKUP(DATA[[#This Row],[COMBINADA]],#REF!,6,0),0)</f>
        <v>0</v>
      </c>
      <c r="AJ1440" s="132">
        <f>IFERROR(VLOOKUP(DATA[[#This Row],[COMBINADA]],#REF!,9,0),0)/COUNTIFS(DATA[COMBINADA],DATA[[#This Row],[COMBINADA]])</f>
        <v>0</v>
      </c>
      <c r="AK1440" s="131">
        <f>IFERROR(VLOOKUP(DATA[[#This Row],[COMBINADA]],#REF!,6,0),0)</f>
        <v>0</v>
      </c>
      <c r="AL1440" s="125">
        <f>IFERROR(VLOOKUP(DATA[[#This Row],[COMBINADA]],#REF!,9,0),0)/COUNTIFS(DATA[COMBINADA],DATA[[#This Row],[COMBINADA]])</f>
        <v>0</v>
      </c>
      <c r="AM1440" s="27">
        <f>IFERROR(VLOOKUP(DATA[[#This Row],[COMBINADA]],#REF!,6,0),0)</f>
        <v>0</v>
      </c>
      <c r="AN1440" s="125">
        <f>IFERROR(VLOOKUP(DATA[[#This Row],[COMBINADA]],#REF!,9,0),0)/COUNTIFS(DATA[COMBINADA],DATA[[#This Row],[COMBINADA]])</f>
        <v>0</v>
      </c>
      <c r="AO1440" s="27">
        <f>IFERROR(VLOOKUP(DATA[[#This Row],[COMBINADA]],#REF!,6,0),0)</f>
        <v>0</v>
      </c>
      <c r="AP1440" s="132">
        <f>IFERROR(VLOOKUP(DATA[[#This Row],[COMBINADA]],#REF!,9,0),0)/COUNTIFS(DATA[COMBINADA],DATA[[#This Row],[COMBINADA]])</f>
        <v>0</v>
      </c>
      <c r="AQ144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40" s="26" t="str">
        <f>IFERROR(IF(DATA[[#This Row],[estado_fact]]="FACTURADO",VLOOKUP(DATA[[#This Row],[SERIE2]]&amp;"-"&amp;DATA[[#This Row],[NUMERO]],#REF!,34,0),"NO CORRESPONDE"),"NO CORRESPONDE")</f>
        <v>NO CORRESPONDE</v>
      </c>
      <c r="AS1440" s="22" t="str">
        <f>IF(DATA[[#This Row],[fecha_fs]]&gt;0,TEXT(DATA[[#This Row],[fecha_fs]],"Mmmm"),0)</f>
        <v>Noviembre</v>
      </c>
      <c r="AT1440" s="22" t="str">
        <f>DATA[[#This Row],[SERIE2]]&amp;"-"&amp;DATA[[#This Row],[NUMERO]]</f>
        <v>-</v>
      </c>
      <c r="AU1440" s="28">
        <f>DATA[[#This Row],[TOTAL]]*DATA[[#This Row],[T.C.]]</f>
        <v>3598.41</v>
      </c>
      <c r="AV1440" s="6">
        <f>DATA[[#This Row],[FECHA DE VAL.]]</f>
        <v>45972</v>
      </c>
      <c r="AW1440" s="6">
        <f>DATA[[#This Row],[FECHA DE EMISION]]</f>
        <v>0</v>
      </c>
      <c r="AX1440" s="6">
        <f>DATA[[#This Row],[F1]]</f>
        <v>0</v>
      </c>
      <c r="AY1440" s="20">
        <f>IF(AV1440-DATA[[#This Row],[fecha_fs]]&lt;0,0,AV1440-DATA[[#This Row],[fecha_fs]])</f>
        <v>1</v>
      </c>
      <c r="AZ1440" s="20">
        <f t="shared" si="365"/>
        <v>0</v>
      </c>
      <c r="BA1440" s="53">
        <f t="shared" si="366"/>
        <v>0</v>
      </c>
      <c r="BB1440" s="360">
        <f>IFERROR(SUM(DATA[[#This Row],[fs_val_ttf]:[fact_pago_ttf]]),0)</f>
        <v>1</v>
      </c>
      <c r="BC1440" s="378" t="s">
        <v>270</v>
      </c>
      <c r="BD1440" s="185" t="s">
        <v>270</v>
      </c>
      <c r="BE1440" s="185" t="s">
        <v>270</v>
      </c>
      <c r="BF1440" s="185" t="s">
        <v>270</v>
      </c>
      <c r="BG1440" s="20">
        <f>IFERROR(IF(BC1440-DATA[[#This Row],[fecha_fs]]&lt;0,0,BC1440-DATA[[#This Row],[fecha_fs]]),0)</f>
        <v>0</v>
      </c>
      <c r="BH1440" s="20">
        <f t="shared" si="361"/>
        <v>0</v>
      </c>
      <c r="BI1440" s="20">
        <f t="shared" si="362"/>
        <v>0</v>
      </c>
      <c r="BJ1440" s="53">
        <f t="shared" si="363"/>
        <v>0</v>
      </c>
      <c r="BK1440" s="376">
        <f>IFERROR(SUM(DATA[[#This Row],[fs_fd_ttd]:[fend_fenf_ttd]]),0)</f>
        <v>0</v>
      </c>
      <c r="BL1440" s="20" t="str">
        <f>IF(DATA[[#This Row],[fecha_fs]]&gt;0,TEXT(DATA[[#This Row],[fecha_fs]],"YYYY"),0)</f>
        <v>2025</v>
      </c>
      <c r="BM1440" s="236" t="b">
        <v>0</v>
      </c>
      <c r="BN1440" s="278">
        <f>COUNTIF(DATA[[#This Row],[tiempo_td]], "&lt;=15")</f>
        <v>1</v>
      </c>
      <c r="BO1440" s="365"/>
    </row>
    <row r="1441" spans="1:67" ht="30.6" customHeight="1" x14ac:dyDescent="0.25">
      <c r="A1441" s="4">
        <v>20100211115</v>
      </c>
      <c r="B1441" s="5" t="s">
        <v>41</v>
      </c>
      <c r="C1441" s="52" t="s">
        <v>18</v>
      </c>
      <c r="D1441" s="4" t="s">
        <v>120</v>
      </c>
      <c r="E1441" s="5" t="s">
        <v>3</v>
      </c>
      <c r="F1441" s="24">
        <v>45968</v>
      </c>
      <c r="G1441" s="7" t="s">
        <v>113</v>
      </c>
      <c r="H1441" s="25">
        <f t="shared" si="364"/>
        <v>1</v>
      </c>
      <c r="I1441" s="67">
        <v>5217</v>
      </c>
      <c r="J1441" s="8" t="s">
        <v>115</v>
      </c>
      <c r="K1441" s="9" t="s">
        <v>121</v>
      </c>
      <c r="L1441" s="10" t="s">
        <v>117</v>
      </c>
      <c r="M1441" s="11">
        <v>90</v>
      </c>
      <c r="N1441" s="12" t="s">
        <v>167</v>
      </c>
      <c r="O1441" s="6">
        <v>45989</v>
      </c>
      <c r="P1441" s="115"/>
      <c r="Q1441" s="14" t="s">
        <v>85</v>
      </c>
      <c r="R1441" s="74"/>
      <c r="S1441" s="401">
        <f>(DATA[[#This Row],[cantidad_fs]]*4.17)</f>
        <v>375.3</v>
      </c>
      <c r="T1441" s="321">
        <f>DATA[[#This Row],[C. DF]]+DATA[[#This Row],[C.OPE.]]</f>
        <v>375.3</v>
      </c>
      <c r="U1441" s="15">
        <f>DATA[[#This Row],[SUB TOTAL]]*0.18</f>
        <v>67.554000000000002</v>
      </c>
      <c r="V1441" s="15">
        <f>IFERROR(ROUND(DATA[[#This Row],[SUB TOTAL]]+DATA[[#This Row],[IGV]],2),0)</f>
        <v>442.85</v>
      </c>
      <c r="W1441" s="339" t="str">
        <f>IF(DATA[[#This Row],[VALORIZACIÓN ]]="-","NO CORRESPONDE",IF(OR(A1441=20558226979,A1441=10470707866,A1441=20111157058,A1441=20100226902),"NO CORRESPONDE",IF(J1441="Emitida",IF(P1441&gt;0,"EMITIDA","PENDIENTE"),"NO CORRESPONDE")))</f>
        <v>PENDIENTE</v>
      </c>
      <c r="X1441" s="29"/>
      <c r="Y1441" s="17" t="s">
        <v>232</v>
      </c>
      <c r="Z1441" s="30"/>
      <c r="AA1441" s="10"/>
      <c r="AB1441" s="19"/>
      <c r="AC1441" s="20"/>
      <c r="AD1441" s="18">
        <f>DATA[[#This Row],[FECHA DE EMISION]]+DATA[[#This Row],[CONDICION DE PAGO]]</f>
        <v>0</v>
      </c>
      <c r="AE1441" s="23">
        <f>IF(DATA[[#This Row],[MONEDA]]="USD",VLOOKUP(DATA[[#This Row],[COMBINADA]],#REF!,11,0),1)</f>
        <v>1</v>
      </c>
      <c r="AF1441" s="129" t="str">
        <f>IF(DATA[[#This Row],[SERIE2]]="-","NO CORRESPONDE",IF(W1441="NO CORRESPONDE","NO CORRESPONDE",IF(Z1441&gt;0,"FACTURADO","PENDIENTE")))</f>
        <v>PENDIENTE</v>
      </c>
      <c r="AG1441" s="27">
        <f>IFERROR(VLOOKUP(DATA[[#This Row],[COMBINADA]],#REF!,6,0),0)</f>
        <v>0</v>
      </c>
      <c r="AH1441" s="130">
        <f>IFERROR(VLOOKUP(DATA[[#This Row],[COMBINADA]],#REF!,9,0),0)/COUNTIFS(DATA[COMBINADA],DATA[[#This Row],[COMBINADA]])</f>
        <v>0</v>
      </c>
      <c r="AI1441" s="131">
        <f>IFERROR(VLOOKUP(DATA[[#This Row],[COMBINADA]],#REF!,6,0),0)</f>
        <v>0</v>
      </c>
      <c r="AJ1441" s="132">
        <f>IFERROR(VLOOKUP(DATA[[#This Row],[COMBINADA]],#REF!,9,0),0)/COUNTIFS(DATA[COMBINADA],DATA[[#This Row],[COMBINADA]])</f>
        <v>0</v>
      </c>
      <c r="AK1441" s="131">
        <f>IFERROR(VLOOKUP(DATA[[#This Row],[COMBINADA]],#REF!,6,0),0)</f>
        <v>0</v>
      </c>
      <c r="AL1441" s="125">
        <f>IFERROR(VLOOKUP(DATA[[#This Row],[COMBINADA]],#REF!,9,0),0)/COUNTIFS(DATA[COMBINADA],DATA[[#This Row],[COMBINADA]])</f>
        <v>0</v>
      </c>
      <c r="AM1441" s="27">
        <f>IFERROR(VLOOKUP(DATA[[#This Row],[COMBINADA]],#REF!,6,0),0)</f>
        <v>0</v>
      </c>
      <c r="AN1441" s="125">
        <f>IFERROR(VLOOKUP(DATA[[#This Row],[COMBINADA]],#REF!,9,0),0)/COUNTIFS(DATA[COMBINADA],DATA[[#This Row],[COMBINADA]])</f>
        <v>0</v>
      </c>
      <c r="AO1441" s="27">
        <f>IFERROR(VLOOKUP(DATA[[#This Row],[COMBINADA]],#REF!,6,0),0)</f>
        <v>0</v>
      </c>
      <c r="AP1441" s="132">
        <f>IFERROR(VLOOKUP(DATA[[#This Row],[COMBINADA]],#REF!,9,0),0)/COUNTIFS(DATA[COMBINADA],DATA[[#This Row],[COMBINADA]])</f>
        <v>0</v>
      </c>
      <c r="AQ144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41" s="26" t="str">
        <f>IFERROR(IF(DATA[[#This Row],[estado_fact]]="FACTURADO",VLOOKUP(DATA[[#This Row],[SERIE2]]&amp;"-"&amp;DATA[[#This Row],[NUMERO]],#REF!,34,0),"NO CORRESPONDE"),"NO CORRESPONDE")</f>
        <v>NO CORRESPONDE</v>
      </c>
      <c r="AS1441" s="22" t="str">
        <f>IF(DATA[[#This Row],[fecha_fs]]&gt;0,TEXT(DATA[[#This Row],[fecha_fs]],"Mmmm"),0)</f>
        <v>Noviembre</v>
      </c>
      <c r="AT1441" s="22" t="str">
        <f>DATA[[#This Row],[SERIE2]]&amp;"-"&amp;DATA[[#This Row],[NUMERO]]</f>
        <v>-</v>
      </c>
      <c r="AU1441" s="28">
        <f>DATA[[#This Row],[TOTAL]]*DATA[[#This Row],[T.C.]]</f>
        <v>442.85</v>
      </c>
      <c r="AV1441" s="6">
        <f>DATA[[#This Row],[FECHA DE VAL.]]</f>
        <v>45989</v>
      </c>
      <c r="AW1441" s="6">
        <f>DATA[[#This Row],[FECHA DE EMISION]]</f>
        <v>0</v>
      </c>
      <c r="AX1441" s="6">
        <f>DATA[[#This Row],[F1]]</f>
        <v>0</v>
      </c>
      <c r="AY1441" s="20">
        <f>IF(AV1441-DATA[[#This Row],[fecha_fs]]&lt;0,0,AV1441-DATA[[#This Row],[fecha_fs]])</f>
        <v>21</v>
      </c>
      <c r="AZ1441" s="20">
        <f t="shared" si="365"/>
        <v>0</v>
      </c>
      <c r="BA1441" s="53">
        <f t="shared" si="366"/>
        <v>0</v>
      </c>
      <c r="BB1441" s="360">
        <f>IFERROR(SUM(DATA[[#This Row],[fs_val_ttf]:[fact_pago_ttf]]),0)</f>
        <v>21</v>
      </c>
      <c r="BC1441" s="378" t="s">
        <v>270</v>
      </c>
      <c r="BD1441" s="185" t="s">
        <v>270</v>
      </c>
      <c r="BE1441" s="185" t="s">
        <v>270</v>
      </c>
      <c r="BF1441" s="185" t="s">
        <v>270</v>
      </c>
      <c r="BG1441" s="20">
        <f>IFERROR(IF(BC1441-DATA[[#This Row],[fecha_fs]]&lt;0,0,BC1441-DATA[[#This Row],[fecha_fs]]),0)</f>
        <v>0</v>
      </c>
      <c r="BH1441" s="20">
        <f t="shared" si="361"/>
        <v>0</v>
      </c>
      <c r="BI1441" s="20">
        <f t="shared" si="362"/>
        <v>0</v>
      </c>
      <c r="BJ1441" s="53">
        <f t="shared" si="363"/>
        <v>0</v>
      </c>
      <c r="BK1441" s="376">
        <f>IFERROR(SUM(DATA[[#This Row],[fs_fd_ttd]:[fend_fenf_ttd]]),0)</f>
        <v>0</v>
      </c>
      <c r="BL1441" s="20" t="str">
        <f>IF(DATA[[#This Row],[fecha_fs]]&gt;0,TEXT(DATA[[#This Row],[fecha_fs]],"YYYY"),0)</f>
        <v>2025</v>
      </c>
      <c r="BM1441" s="236" t="b">
        <v>0</v>
      </c>
      <c r="BN1441" s="278">
        <f>COUNTIF(DATA[[#This Row],[tiempo_td]], "&lt;=15")</f>
        <v>1</v>
      </c>
      <c r="BO1441" s="365"/>
    </row>
    <row r="1442" spans="1:67" ht="30.6" customHeight="1" x14ac:dyDescent="0.25">
      <c r="A1442" s="4">
        <v>20100211115</v>
      </c>
      <c r="B1442" s="5" t="s">
        <v>41</v>
      </c>
      <c r="C1442" s="52" t="s">
        <v>18</v>
      </c>
      <c r="D1442" s="4" t="s">
        <v>120</v>
      </c>
      <c r="E1442" s="5" t="s">
        <v>3</v>
      </c>
      <c r="F1442" s="24">
        <v>45971</v>
      </c>
      <c r="G1442" s="7" t="s">
        <v>113</v>
      </c>
      <c r="H1442" s="25">
        <f t="shared" ref="H1442:H1454" si="367">IF(G1442="","",IF(G1442="LIM",2,1))</f>
        <v>1</v>
      </c>
      <c r="I1442" s="67">
        <v>5218</v>
      </c>
      <c r="J1442" s="8" t="s">
        <v>115</v>
      </c>
      <c r="K1442" s="9" t="s">
        <v>121</v>
      </c>
      <c r="L1442" s="10" t="s">
        <v>117</v>
      </c>
      <c r="M1442" s="11">
        <v>90</v>
      </c>
      <c r="N1442" s="12" t="s">
        <v>167</v>
      </c>
      <c r="O1442" s="6">
        <v>45989</v>
      </c>
      <c r="P1442" s="115"/>
      <c r="Q1442" s="14" t="s">
        <v>85</v>
      </c>
      <c r="R1442" s="74"/>
      <c r="S1442" s="401">
        <f>(DATA[[#This Row],[cantidad_fs]]*4.17)</f>
        <v>375.3</v>
      </c>
      <c r="T1442" s="321">
        <f>DATA[[#This Row],[C. DF]]+DATA[[#This Row],[C.OPE.]]</f>
        <v>375.3</v>
      </c>
      <c r="U1442" s="15">
        <f>DATA[[#This Row],[SUB TOTAL]]*0.18</f>
        <v>67.554000000000002</v>
      </c>
      <c r="V1442" s="15">
        <f>IFERROR(ROUND(DATA[[#This Row],[SUB TOTAL]]+DATA[[#This Row],[IGV]],2),0)</f>
        <v>442.85</v>
      </c>
      <c r="W1442" s="339" t="str">
        <f>IF(DATA[[#This Row],[VALORIZACIÓN ]]="-","NO CORRESPONDE",IF(OR(A1442=20558226979,A1442=10470707866,A1442=20111157058,A1442=20100226902),"NO CORRESPONDE",IF(J1442="Emitida",IF(P1442&gt;0,"EMITIDA","PENDIENTE"),"NO CORRESPONDE")))</f>
        <v>PENDIENTE</v>
      </c>
      <c r="X1442" s="29"/>
      <c r="Y1442" s="17" t="s">
        <v>232</v>
      </c>
      <c r="Z1442" s="30"/>
      <c r="AA1442" s="10"/>
      <c r="AB1442" s="19"/>
      <c r="AC1442" s="20"/>
      <c r="AD1442" s="18">
        <f>DATA[[#This Row],[FECHA DE EMISION]]+DATA[[#This Row],[CONDICION DE PAGO]]</f>
        <v>0</v>
      </c>
      <c r="AE1442" s="23">
        <f>IF(DATA[[#This Row],[MONEDA]]="USD",VLOOKUP(DATA[[#This Row],[COMBINADA]],#REF!,11,0),1)</f>
        <v>1</v>
      </c>
      <c r="AF1442" s="129" t="str">
        <f>IF(DATA[[#This Row],[SERIE2]]="-","NO CORRESPONDE",IF(W1442="NO CORRESPONDE","NO CORRESPONDE",IF(Z1442&gt;0,"FACTURADO","PENDIENTE")))</f>
        <v>PENDIENTE</v>
      </c>
      <c r="AG1442" s="27">
        <f>IFERROR(VLOOKUP(DATA[[#This Row],[COMBINADA]],#REF!,6,0),0)</f>
        <v>0</v>
      </c>
      <c r="AH1442" s="130">
        <f>IFERROR(VLOOKUP(DATA[[#This Row],[COMBINADA]],#REF!,9,0),0)/COUNTIFS(DATA[COMBINADA],DATA[[#This Row],[COMBINADA]])</f>
        <v>0</v>
      </c>
      <c r="AI1442" s="131">
        <f>IFERROR(VLOOKUP(DATA[[#This Row],[COMBINADA]],#REF!,6,0),0)</f>
        <v>0</v>
      </c>
      <c r="AJ1442" s="132">
        <f>IFERROR(VLOOKUP(DATA[[#This Row],[COMBINADA]],#REF!,9,0),0)/COUNTIFS(DATA[COMBINADA],DATA[[#This Row],[COMBINADA]])</f>
        <v>0</v>
      </c>
      <c r="AK1442" s="131">
        <f>IFERROR(VLOOKUP(DATA[[#This Row],[COMBINADA]],#REF!,6,0),0)</f>
        <v>0</v>
      </c>
      <c r="AL1442" s="125">
        <f>IFERROR(VLOOKUP(DATA[[#This Row],[COMBINADA]],#REF!,9,0),0)/COUNTIFS(DATA[COMBINADA],DATA[[#This Row],[COMBINADA]])</f>
        <v>0</v>
      </c>
      <c r="AM1442" s="27">
        <f>IFERROR(VLOOKUP(DATA[[#This Row],[COMBINADA]],#REF!,6,0),0)</f>
        <v>0</v>
      </c>
      <c r="AN1442" s="125">
        <f>IFERROR(VLOOKUP(DATA[[#This Row],[COMBINADA]],#REF!,9,0),0)/COUNTIFS(DATA[COMBINADA],DATA[[#This Row],[COMBINADA]])</f>
        <v>0</v>
      </c>
      <c r="AO1442" s="27">
        <f>IFERROR(VLOOKUP(DATA[[#This Row],[COMBINADA]],#REF!,6,0),0)</f>
        <v>0</v>
      </c>
      <c r="AP1442" s="132">
        <f>IFERROR(VLOOKUP(DATA[[#This Row],[COMBINADA]],#REF!,9,0),0)/COUNTIFS(DATA[COMBINADA],DATA[[#This Row],[COMBINADA]])</f>
        <v>0</v>
      </c>
      <c r="AQ144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42" s="26" t="str">
        <f>IFERROR(IF(DATA[[#This Row],[estado_fact]]="FACTURADO",VLOOKUP(DATA[[#This Row],[SERIE2]]&amp;"-"&amp;DATA[[#This Row],[NUMERO]],#REF!,34,0),"NO CORRESPONDE"),"NO CORRESPONDE")</f>
        <v>NO CORRESPONDE</v>
      </c>
      <c r="AS1442" s="22" t="str">
        <f>IF(DATA[[#This Row],[fecha_fs]]&gt;0,TEXT(DATA[[#This Row],[fecha_fs]],"Mmmm"),0)</f>
        <v>Noviembre</v>
      </c>
      <c r="AT1442" s="22" t="str">
        <f>DATA[[#This Row],[SERIE2]]&amp;"-"&amp;DATA[[#This Row],[NUMERO]]</f>
        <v>-</v>
      </c>
      <c r="AU1442" s="28">
        <f>DATA[[#This Row],[TOTAL]]*DATA[[#This Row],[T.C.]]</f>
        <v>442.85</v>
      </c>
      <c r="AV1442" s="6">
        <f>DATA[[#This Row],[FECHA DE VAL.]]</f>
        <v>45989</v>
      </c>
      <c r="AW1442" s="6">
        <f>DATA[[#This Row],[FECHA DE EMISION]]</f>
        <v>0</v>
      </c>
      <c r="AX1442" s="6">
        <f>DATA[[#This Row],[F1]]</f>
        <v>0</v>
      </c>
      <c r="AY1442" s="20">
        <f>IF(AV1442-DATA[[#This Row],[fecha_fs]]&lt;0,0,AV1442-DATA[[#This Row],[fecha_fs]])</f>
        <v>18</v>
      </c>
      <c r="AZ1442" s="20">
        <f t="shared" ref="AZ1442:AZ1448" si="368">IF(AW1442-AV1442&lt;0,0,AW1442-AV1442)</f>
        <v>0</v>
      </c>
      <c r="BA1442" s="53">
        <f t="shared" ref="BA1442:BA1448" si="369">IF(AX1442-AW1442&lt;0,0,AX1442-AW1442)</f>
        <v>0</v>
      </c>
      <c r="BB1442" s="360">
        <f>IFERROR(SUM(DATA[[#This Row],[fs_val_ttf]:[fact_pago_ttf]]),0)</f>
        <v>18</v>
      </c>
      <c r="BC1442" s="378" t="s">
        <v>270</v>
      </c>
      <c r="BD1442" s="185" t="s">
        <v>270</v>
      </c>
      <c r="BE1442" s="185" t="s">
        <v>270</v>
      </c>
      <c r="BF1442" s="185" t="s">
        <v>270</v>
      </c>
      <c r="BG1442" s="20">
        <f>IFERROR(IF(BC1442-DATA[[#This Row],[fecha_fs]]&lt;0,0,BC1442-DATA[[#This Row],[fecha_fs]]),0)</f>
        <v>0</v>
      </c>
      <c r="BH1442" s="20">
        <f t="shared" si="361"/>
        <v>0</v>
      </c>
      <c r="BI1442" s="20">
        <f t="shared" si="362"/>
        <v>0</v>
      </c>
      <c r="BJ1442" s="53">
        <f t="shared" si="363"/>
        <v>0</v>
      </c>
      <c r="BK1442" s="376">
        <f>IFERROR(SUM(DATA[[#This Row],[fs_fd_ttd]:[fend_fenf_ttd]]),0)</f>
        <v>0</v>
      </c>
      <c r="BL1442" s="20" t="str">
        <f>IF(DATA[[#This Row],[fecha_fs]]&gt;0,TEXT(DATA[[#This Row],[fecha_fs]],"YYYY"),0)</f>
        <v>2025</v>
      </c>
      <c r="BM1442" s="236" t="b">
        <v>0</v>
      </c>
      <c r="BN1442" s="278">
        <f>COUNTIF(DATA[[#This Row],[tiempo_td]], "&lt;=15")</f>
        <v>1</v>
      </c>
      <c r="BO1442" s="365"/>
    </row>
    <row r="1443" spans="1:67" ht="30.6" customHeight="1" x14ac:dyDescent="0.25">
      <c r="A1443" s="4"/>
      <c r="B1443" s="5"/>
      <c r="C1443" s="52"/>
      <c r="D1443" s="4"/>
      <c r="E1443" s="5"/>
      <c r="F1443" s="24">
        <v>45971</v>
      </c>
      <c r="G1443" s="7" t="s">
        <v>113</v>
      </c>
      <c r="H1443" s="25">
        <f t="shared" si="367"/>
        <v>1</v>
      </c>
      <c r="I1443" s="67">
        <v>5219</v>
      </c>
      <c r="J1443" s="8" t="s">
        <v>151</v>
      </c>
      <c r="K1443" s="9"/>
      <c r="L1443" s="10"/>
      <c r="M1443" s="111"/>
      <c r="N1443" s="112"/>
      <c r="O1443" s="6"/>
      <c r="P1443" s="13"/>
      <c r="Q1443" s="14"/>
      <c r="R1443" s="56"/>
      <c r="S1443" s="56"/>
      <c r="T1443" s="56">
        <f>DATA[[#This Row],[C. DF]]+DATA[[#This Row],[C.OPE.]]</f>
        <v>0</v>
      </c>
      <c r="U1443" s="56">
        <f>DATA[[#This Row],[SUB TOTAL]]*0.18</f>
        <v>0</v>
      </c>
      <c r="V1443" s="56">
        <f>IFERROR(ROUND(DATA[[#This Row],[SUB TOTAL]]+DATA[[#This Row],[IGV]],2),0)</f>
        <v>0</v>
      </c>
      <c r="W1443" s="73" t="str">
        <f>IF(DATA[[#This Row],[VALORIZACIÓN ]]="-","NO CORRESPONDE",IF(OR(A1443=20558226979,A1443=10470707866,A1443=20111157058,A1443=20100226902),"NO CORRESPONDE",IF(J1443="Emitida",IF(P1443&gt;0,"EMITIDA","PENDIENTE"),"NO CORRESPONDE")))</f>
        <v>NO CORRESPONDE</v>
      </c>
      <c r="X1443" s="46"/>
      <c r="Y1443" s="17" t="s">
        <v>128</v>
      </c>
      <c r="Z1443" s="48"/>
      <c r="AA1443" s="49"/>
      <c r="AB1443" s="50"/>
      <c r="AC1443" s="51"/>
      <c r="AD1443" s="59">
        <f>DATA[[#This Row],[FECHA DE EMISION]]+DATA[[#This Row],[CONDICION DE PAGO]]</f>
        <v>0</v>
      </c>
      <c r="AE1443" s="23">
        <f>IF(DATA[[#This Row],[MONEDA]]="USD",VLOOKUP(DATA[[#This Row],[COMBINADA]],#REF!,11,0),1)</f>
        <v>1</v>
      </c>
      <c r="AF1443" s="129" t="str">
        <f>IF(DATA[[#This Row],[SERIE2]]="-","NO CORRESPONDE",IF(W1443="NO CORRESPONDE","NO CORRESPONDE",IF(Z1443&gt;0,"FACTURADO","PENDIENTE")))</f>
        <v>NO CORRESPONDE</v>
      </c>
      <c r="AG1443" s="133">
        <f>IFERROR(VLOOKUP(DATA[[#This Row],[COMBINADA]],#REF!,6,0),0)</f>
        <v>0</v>
      </c>
      <c r="AH1443" s="125">
        <f>IFERROR(VLOOKUP(DATA[[#This Row],[COMBINADA]],#REF!,9,0),0)/COUNTIFS(DATA[COMBINADA],DATA[[#This Row],[COMBINADA]])</f>
        <v>0</v>
      </c>
      <c r="AI1443" s="140">
        <f>IFERROR(VLOOKUP(DATA[[#This Row],[COMBINADA]],#REF!,6,0),0)</f>
        <v>0</v>
      </c>
      <c r="AJ1443" s="126">
        <f>IFERROR(VLOOKUP(DATA[[#This Row],[COMBINADA]],#REF!,9,0),0)/COUNTIFS(DATA[COMBINADA],DATA[[#This Row],[COMBINADA]])</f>
        <v>0</v>
      </c>
      <c r="AK1443" s="61">
        <f>IFERROR(VLOOKUP(DATA[[#This Row],[COMBINADA]],#REF!,6,0),0)</f>
        <v>0</v>
      </c>
      <c r="AL1443" s="126">
        <f>IFERROR(VLOOKUP(DATA[[#This Row],[COMBINADA]],#REF!,9,0),0)/COUNTIFS(DATA[COMBINADA],DATA[[#This Row],[COMBINADA]])</f>
        <v>0</v>
      </c>
      <c r="AM1443" s="61">
        <f>IFERROR(VLOOKUP(DATA[[#This Row],[COMBINADA]],#REF!,6,0),0)</f>
        <v>0</v>
      </c>
      <c r="AN1443" s="62">
        <f>IFERROR(VLOOKUP(DATA[[#This Row],[COMBINADA]],#REF!,9,0),0)/COUNTIFS(DATA[COMBINADA],DATA[[#This Row],[COMBINADA]])</f>
        <v>0</v>
      </c>
      <c r="AO1443" s="61">
        <f>IFERROR(VLOOKUP(DATA[[#This Row],[COMBINADA]],#REF!,6,0),0)</f>
        <v>0</v>
      </c>
      <c r="AP1443" s="62">
        <f>IFERROR(VLOOKUP(DATA[[#This Row],[COMBINADA]],#REF!,9,0),0)/COUNTIFS(DATA[COMBINADA],DATA[[#This Row],[COMBINADA]])</f>
        <v>0</v>
      </c>
      <c r="AQ1443"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43" s="22" t="str">
        <f>IFERROR(IF(DATA[[#This Row],[estado_fact]]="FACTURADO",VLOOKUP(DATA[[#This Row],[SERIE2]]&amp;"-"&amp;DATA[[#This Row],[NUMERO]],#REF!,34,0),"NO CORRESPONDE"),"NO CORRESPONDE")</f>
        <v>NO CORRESPONDE</v>
      </c>
      <c r="AS1443" s="198" t="str">
        <f>IF(DATA[[#This Row],[fecha_fs]]&gt;0,TEXT(DATA[[#This Row],[fecha_fs]],"Mmmm"),0)</f>
        <v>Noviembre</v>
      </c>
      <c r="AT1443" s="199" t="str">
        <f>DATA[[#This Row],[SERIE2]]&amp;"-"&amp;DATA[[#This Row],[NUMERO]]</f>
        <v>-</v>
      </c>
      <c r="AU1443" s="198">
        <f>DATA[[#This Row],[TOTAL]]*DATA[[#This Row],[T.C.]]</f>
        <v>0</v>
      </c>
      <c r="AV1443" s="40">
        <f>DATA[[#This Row],[FECHA DE VAL.]]</f>
        <v>0</v>
      </c>
      <c r="AW1443" s="40">
        <f>DATA[[#This Row],[FECHA DE EMISION]]</f>
        <v>0</v>
      </c>
      <c r="AX1443" s="40">
        <f>DATA[[#This Row],[F1]]</f>
        <v>0</v>
      </c>
      <c r="AY1443" s="49">
        <f>IF(AV1443-DATA[[#This Row],[fecha_fs]]&lt;0,0,AV1443-DATA[[#This Row],[fecha_fs]])</f>
        <v>0</v>
      </c>
      <c r="AZ1443" s="49">
        <f t="shared" si="368"/>
        <v>0</v>
      </c>
      <c r="BA1443" s="49">
        <f t="shared" si="369"/>
        <v>0</v>
      </c>
      <c r="BB1443" s="360">
        <f>IFERROR(SUM(DATA[[#This Row],[fs_val_ttf]:[fact_pago_ttf]]),0)</f>
        <v>0</v>
      </c>
      <c r="BC1443" s="47"/>
      <c r="BD1443" s="47"/>
      <c r="BE1443" s="47"/>
      <c r="BF1443" s="47"/>
      <c r="BG1443" s="49">
        <f>IFERROR(IF(BC1443-DATA[[#This Row],[fecha_fs]]&lt;0,0,BC1443-DATA[[#This Row],[fecha_fs]]),0)</f>
        <v>0</v>
      </c>
      <c r="BH1443" s="49">
        <f t="shared" si="361"/>
        <v>0</v>
      </c>
      <c r="BI1443" s="49">
        <f t="shared" si="362"/>
        <v>0</v>
      </c>
      <c r="BJ1443" s="49">
        <f t="shared" si="363"/>
        <v>0</v>
      </c>
      <c r="BK1443" s="376">
        <f>IFERROR(SUM(DATA[[#This Row],[fs_fd_ttd]:[fend_fenf_ttd]]),0)</f>
        <v>0</v>
      </c>
      <c r="BL1443" s="20" t="str">
        <f>IF(DATA[[#This Row],[fecha_fs]]&gt;0,TEXT(DATA[[#This Row],[fecha_fs]],"YYYY"),0)</f>
        <v>2025</v>
      </c>
      <c r="BM1443" s="236" t="b">
        <v>0</v>
      </c>
      <c r="BN1443" s="278"/>
      <c r="BO1443" s="365"/>
    </row>
    <row r="1444" spans="1:67" ht="30.6" customHeight="1" x14ac:dyDescent="0.25">
      <c r="A1444" s="4">
        <v>20141637941</v>
      </c>
      <c r="B1444" s="5" t="s">
        <v>79</v>
      </c>
      <c r="C1444" s="52" t="s">
        <v>18</v>
      </c>
      <c r="D1444" s="4" t="s">
        <v>120</v>
      </c>
      <c r="E1444" s="5" t="s">
        <v>3</v>
      </c>
      <c r="F1444" s="24">
        <v>45971</v>
      </c>
      <c r="G1444" s="7" t="s">
        <v>113</v>
      </c>
      <c r="H1444" s="25">
        <f t="shared" si="367"/>
        <v>1</v>
      </c>
      <c r="I1444" s="67">
        <v>5220</v>
      </c>
      <c r="J1444" s="8" t="s">
        <v>115</v>
      </c>
      <c r="K1444" s="9" t="s">
        <v>121</v>
      </c>
      <c r="L1444" s="10" t="s">
        <v>117</v>
      </c>
      <c r="M1444" s="11">
        <v>2060</v>
      </c>
      <c r="N1444" s="12" t="s">
        <v>337</v>
      </c>
      <c r="O1444" s="6">
        <v>45971</v>
      </c>
      <c r="P1444" s="110">
        <v>3779</v>
      </c>
      <c r="Q1444" s="14" t="s">
        <v>85</v>
      </c>
      <c r="R1444" s="321">
        <f>80+((DATA[[#This Row],[cantidad_fs]]-1000)*0.08)</f>
        <v>164.8</v>
      </c>
      <c r="S1444" s="401">
        <v>832</v>
      </c>
      <c r="T1444" s="321">
        <f>DATA[[#This Row],[C. DF]]+DATA[[#This Row],[C.OPE.]]</f>
        <v>996.8</v>
      </c>
      <c r="U1444" s="15">
        <f>DATA[[#This Row],[SUB TOTAL]]*0.18</f>
        <v>179.42399999999998</v>
      </c>
      <c r="V1444" s="15">
        <f>IFERROR(ROUND(DATA[[#This Row],[SUB TOTAL]]+DATA[[#This Row],[IGV]],2),0)</f>
        <v>1176.22</v>
      </c>
      <c r="W1444" s="339" t="str">
        <f>IF(DATA[[#This Row],[VALORIZACIÓN ]]="-","NO CORRESPONDE",IF(OR(A1444=20558226979,A1444=10470707866,A1444=20111157058,A1444=20100226902),"NO CORRESPONDE",IF(J1444="Emitida",IF(P1444&gt;0,"EMITIDA","PENDIENTE"),"NO CORRESPONDE")))</f>
        <v>EMITIDA</v>
      </c>
      <c r="X1444" s="29"/>
      <c r="Y1444" s="17" t="s">
        <v>118</v>
      </c>
      <c r="Z1444" s="30">
        <v>45971</v>
      </c>
      <c r="AA1444" s="10" t="s">
        <v>150</v>
      </c>
      <c r="AB1444" s="19">
        <v>352</v>
      </c>
      <c r="AC1444" s="20">
        <v>30</v>
      </c>
      <c r="AD1444" s="18">
        <f>DATA[[#This Row],[FECHA DE EMISION]]+DATA[[#This Row],[CONDICION DE PAGO]]</f>
        <v>46001</v>
      </c>
      <c r="AE1444" s="23">
        <f>IF(DATA[[#This Row],[MONEDA]]="USD",VLOOKUP(DATA[[#This Row],[COMBINADA]],#REF!,11,0),1)</f>
        <v>1</v>
      </c>
      <c r="AF1444" s="129" t="str">
        <f>IF(DATA[[#This Row],[SERIE2]]="-","NO CORRESPONDE",IF(W1444="NO CORRESPONDE","NO CORRESPONDE",IF(Z1444&gt;0,"FACTURADO","PENDIENTE")))</f>
        <v>FACTURADO</v>
      </c>
      <c r="AG1444" s="27">
        <f>IFERROR(VLOOKUP(DATA[[#This Row],[COMBINADA]],#REF!,6,0),0)</f>
        <v>0</v>
      </c>
      <c r="AH1444" s="130">
        <f>IFERROR(VLOOKUP(DATA[[#This Row],[COMBINADA]],#REF!,9,0),0)/COUNTIFS(DATA[COMBINADA],DATA[[#This Row],[COMBINADA]])</f>
        <v>0</v>
      </c>
      <c r="AI1444" s="131">
        <f>IFERROR(VLOOKUP(DATA[[#This Row],[COMBINADA]],#REF!,6,0),0)</f>
        <v>0</v>
      </c>
      <c r="AJ1444" s="132">
        <f>IFERROR(VLOOKUP(DATA[[#This Row],[COMBINADA]],#REF!,9,0),0)/COUNTIFS(DATA[COMBINADA],DATA[[#This Row],[COMBINADA]])</f>
        <v>0</v>
      </c>
      <c r="AK1444" s="131">
        <f>IFERROR(VLOOKUP(DATA[[#This Row],[COMBINADA]],#REF!,6,0),0)</f>
        <v>0</v>
      </c>
      <c r="AL1444" s="125">
        <f>IFERROR(VLOOKUP(DATA[[#This Row],[COMBINADA]],#REF!,9,0),0)/COUNTIFS(DATA[COMBINADA],DATA[[#This Row],[COMBINADA]])</f>
        <v>0</v>
      </c>
      <c r="AM1444" s="27">
        <f>IFERROR(VLOOKUP(DATA[[#This Row],[COMBINADA]],#REF!,6,0),0)</f>
        <v>0</v>
      </c>
      <c r="AN1444" s="125">
        <f>IFERROR(VLOOKUP(DATA[[#This Row],[COMBINADA]],#REF!,9,0),0)/COUNTIFS(DATA[COMBINADA],DATA[[#This Row],[COMBINADA]])</f>
        <v>0</v>
      </c>
      <c r="AO1444" s="27">
        <f>IFERROR(VLOOKUP(DATA[[#This Row],[COMBINADA]],#REF!,6,0),0)</f>
        <v>0</v>
      </c>
      <c r="AP1444" s="132">
        <f>IFERROR(VLOOKUP(DATA[[#This Row],[COMBINADA]],#REF!,9,0),0)/COUNTIFS(DATA[COMBINADA],DATA[[#This Row],[COMBINADA]])</f>
        <v>0</v>
      </c>
      <c r="AQ144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1101.6475</v>
      </c>
      <c r="AR1444" s="26" t="str">
        <f>IFERROR(IF(DATA[[#This Row],[estado_fact]]="FACTURADO",VLOOKUP(DATA[[#This Row],[SERIE2]]&amp;"-"&amp;DATA[[#This Row],[NUMERO]],#REF!,34,0),"NO CORRESPONDE"),"NO CORRESPONDE")</f>
        <v>NO CORRESPONDE</v>
      </c>
      <c r="AS1444" s="22" t="str">
        <f>IF(DATA[[#This Row],[fecha_fs]]&gt;0,TEXT(DATA[[#This Row],[fecha_fs]],"Mmmm"),0)</f>
        <v>Noviembre</v>
      </c>
      <c r="AT1444" s="22" t="str">
        <f>DATA[[#This Row],[SERIE2]]&amp;"-"&amp;DATA[[#This Row],[NUMERO]]</f>
        <v>FF01-352</v>
      </c>
      <c r="AU1444" s="28">
        <f>DATA[[#This Row],[TOTAL]]*DATA[[#This Row],[T.C.]]</f>
        <v>1176.22</v>
      </c>
      <c r="AV1444" s="6">
        <f>DATA[[#This Row],[FECHA DE VAL.]]</f>
        <v>45971</v>
      </c>
      <c r="AW1444" s="6">
        <f>DATA[[#This Row],[FECHA DE EMISION]]</f>
        <v>45971</v>
      </c>
      <c r="AX1444" s="6">
        <f>DATA[[#This Row],[F1]]</f>
        <v>0</v>
      </c>
      <c r="AY1444" s="20">
        <f>IF(AV1444-DATA[[#This Row],[fecha_fs]]&lt;0,0,AV1444-DATA[[#This Row],[fecha_fs]])</f>
        <v>0</v>
      </c>
      <c r="AZ1444" s="20">
        <f t="shared" si="368"/>
        <v>0</v>
      </c>
      <c r="BA1444" s="53">
        <f t="shared" si="369"/>
        <v>0</v>
      </c>
      <c r="BB1444" s="360">
        <f>IFERROR(SUM(DATA[[#This Row],[fs_val_ttf]:[fact_pago_ttf]]),0)</f>
        <v>0</v>
      </c>
      <c r="BC1444" s="378" t="s">
        <v>270</v>
      </c>
      <c r="BD1444" s="185" t="s">
        <v>270</v>
      </c>
      <c r="BE1444" s="185" t="s">
        <v>270</v>
      </c>
      <c r="BF1444" s="185" t="s">
        <v>270</v>
      </c>
      <c r="BG1444" s="20">
        <f>IFERROR(IF(BC1444-DATA[[#This Row],[fecha_fs]]&lt;0,0,BC1444-DATA[[#This Row],[fecha_fs]]),0)</f>
        <v>0</v>
      </c>
      <c r="BH1444" s="20">
        <f t="shared" si="361"/>
        <v>0</v>
      </c>
      <c r="BI1444" s="20">
        <f t="shared" si="362"/>
        <v>0</v>
      </c>
      <c r="BJ1444" s="53">
        <f t="shared" si="363"/>
        <v>0</v>
      </c>
      <c r="BK1444" s="376">
        <f>IFERROR(SUM(DATA[[#This Row],[fs_fd_ttd]:[fend_fenf_ttd]]),0)</f>
        <v>0</v>
      </c>
      <c r="BL1444" s="20" t="str">
        <f>IF(DATA[[#This Row],[fecha_fs]]&gt;0,TEXT(DATA[[#This Row],[fecha_fs]],"YYYY"),0)</f>
        <v>2025</v>
      </c>
      <c r="BM1444" s="236" t="b">
        <v>0</v>
      </c>
      <c r="BN1444" s="278">
        <f>COUNTIF(DATA[[#This Row],[tiempo_td]], "&lt;=15")</f>
        <v>1</v>
      </c>
      <c r="BO1444" s="365"/>
    </row>
    <row r="1445" spans="1:67" ht="30.6" customHeight="1" x14ac:dyDescent="0.25">
      <c r="A1445" s="4">
        <v>20100055237</v>
      </c>
      <c r="B1445" s="5" t="s">
        <v>21</v>
      </c>
      <c r="C1445" s="52" t="s">
        <v>138</v>
      </c>
      <c r="D1445" s="4" t="s">
        <v>139</v>
      </c>
      <c r="E1445" s="5" t="s">
        <v>23</v>
      </c>
      <c r="F1445" s="24">
        <v>45972</v>
      </c>
      <c r="G1445" s="7" t="s">
        <v>113</v>
      </c>
      <c r="H1445" s="25">
        <f t="shared" si="367"/>
        <v>1</v>
      </c>
      <c r="I1445" s="67">
        <v>5221</v>
      </c>
      <c r="J1445" s="8" t="s">
        <v>115</v>
      </c>
      <c r="K1445" s="9" t="s">
        <v>121</v>
      </c>
      <c r="L1445" s="10" t="s">
        <v>117</v>
      </c>
      <c r="M1445" s="11">
        <v>140</v>
      </c>
      <c r="N1445" s="12" t="s">
        <v>167</v>
      </c>
      <c r="O1445" s="6">
        <v>45989</v>
      </c>
      <c r="P1445" s="54"/>
      <c r="Q1445" s="14" t="s">
        <v>85</v>
      </c>
      <c r="R1445" s="74"/>
      <c r="S1445" s="401">
        <v>297.92</v>
      </c>
      <c r="T1445" s="321">
        <f>DATA[[#This Row],[C. DF]]+DATA[[#This Row],[C.OPE.]]</f>
        <v>297.92</v>
      </c>
      <c r="U1445" s="15">
        <f>DATA[[#This Row],[SUB TOTAL]]*0.18</f>
        <v>53.625599999999999</v>
      </c>
      <c r="V1445" s="15">
        <f>IFERROR(ROUND(DATA[[#This Row],[SUB TOTAL]]+DATA[[#This Row],[IGV]],2),0)</f>
        <v>351.55</v>
      </c>
      <c r="W1445" s="339" t="str">
        <f>IF(DATA[[#This Row],[VALORIZACIÓN ]]="-","NO CORRESPONDE",IF(OR(A1445=20558226979,A1445=10470707866,A1445=20111157058,A1445=20100226902),"NO CORRESPONDE",IF(J1445="Emitida",IF(P1445&gt;0,"EMITIDA","PENDIENTE"),"NO CORRESPONDE")))</f>
        <v>PENDIENTE</v>
      </c>
      <c r="X1445" s="29"/>
      <c r="Y1445" s="17" t="s">
        <v>232</v>
      </c>
      <c r="Z1445" s="30"/>
      <c r="AA1445" s="10"/>
      <c r="AB1445" s="19"/>
      <c r="AC1445" s="20"/>
      <c r="AD1445" s="18">
        <f>DATA[[#This Row],[FECHA DE EMISION]]+DATA[[#This Row],[CONDICION DE PAGO]]</f>
        <v>0</v>
      </c>
      <c r="AE1445" s="23">
        <f>IF(DATA[[#This Row],[MONEDA]]="USD",VLOOKUP(DATA[[#This Row],[COMBINADA]],#REF!,11,0),1)</f>
        <v>1</v>
      </c>
      <c r="AF1445" s="129" t="str">
        <f>IF(DATA[[#This Row],[SERIE2]]="-","NO CORRESPONDE",IF(W1445="NO CORRESPONDE","NO CORRESPONDE",IF(Z1445&gt;0,"FACTURADO","PENDIENTE")))</f>
        <v>PENDIENTE</v>
      </c>
      <c r="AG1445" s="27">
        <f>IFERROR(VLOOKUP(DATA[[#This Row],[COMBINADA]],#REF!,6,0),0)</f>
        <v>0</v>
      </c>
      <c r="AH1445" s="130">
        <f>IFERROR(VLOOKUP(DATA[[#This Row],[COMBINADA]],#REF!,9,0),0)/COUNTIFS(DATA[COMBINADA],DATA[[#This Row],[COMBINADA]])</f>
        <v>0</v>
      </c>
      <c r="AI1445" s="131">
        <f>IFERROR(VLOOKUP(DATA[[#This Row],[COMBINADA]],#REF!,6,0),0)</f>
        <v>0</v>
      </c>
      <c r="AJ1445" s="132">
        <f>IFERROR(VLOOKUP(DATA[[#This Row],[COMBINADA]],#REF!,9,0),0)/COUNTIFS(DATA[COMBINADA],DATA[[#This Row],[COMBINADA]])</f>
        <v>0</v>
      </c>
      <c r="AK1445" s="131">
        <f>IFERROR(VLOOKUP(DATA[[#This Row],[COMBINADA]],#REF!,6,0),0)</f>
        <v>0</v>
      </c>
      <c r="AL1445" s="125">
        <f>IFERROR(VLOOKUP(DATA[[#This Row],[COMBINADA]],#REF!,9,0),0)/COUNTIFS(DATA[COMBINADA],DATA[[#This Row],[COMBINADA]])</f>
        <v>0</v>
      </c>
      <c r="AM1445" s="27">
        <f>IFERROR(VLOOKUP(DATA[[#This Row],[COMBINADA]],#REF!,6,0),0)</f>
        <v>0</v>
      </c>
      <c r="AN1445" s="125">
        <f>IFERROR(VLOOKUP(DATA[[#This Row],[COMBINADA]],#REF!,9,0),0)/COUNTIFS(DATA[COMBINADA],DATA[[#This Row],[COMBINADA]])</f>
        <v>0</v>
      </c>
      <c r="AO1445" s="27">
        <f>IFERROR(VLOOKUP(DATA[[#This Row],[COMBINADA]],#REF!,6,0),0)</f>
        <v>0</v>
      </c>
      <c r="AP1445" s="132">
        <f>IFERROR(VLOOKUP(DATA[[#This Row],[COMBINADA]],#REF!,9,0),0)/COUNTIFS(DATA[COMBINADA],DATA[[#This Row],[COMBINADA]])</f>
        <v>0</v>
      </c>
      <c r="AQ1445"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45" s="26" t="str">
        <f>IFERROR(IF(DATA[[#This Row],[estado_fact]]="FACTURADO",VLOOKUP(DATA[[#This Row],[SERIE2]]&amp;"-"&amp;DATA[[#This Row],[NUMERO]],#REF!,34,0),"NO CORRESPONDE"),"NO CORRESPONDE")</f>
        <v>NO CORRESPONDE</v>
      </c>
      <c r="AS1445" s="22" t="str">
        <f>IF(DATA[[#This Row],[fecha_fs]]&gt;0,TEXT(DATA[[#This Row],[fecha_fs]],"Mmmm"),0)</f>
        <v>Noviembre</v>
      </c>
      <c r="AT1445" s="22" t="str">
        <f>DATA[[#This Row],[SERIE2]]&amp;"-"&amp;DATA[[#This Row],[NUMERO]]</f>
        <v>-</v>
      </c>
      <c r="AU1445" s="28">
        <f>DATA[[#This Row],[TOTAL]]*DATA[[#This Row],[T.C.]]</f>
        <v>351.55</v>
      </c>
      <c r="AV1445" s="6">
        <f>DATA[[#This Row],[FECHA DE VAL.]]</f>
        <v>45989</v>
      </c>
      <c r="AW1445" s="6">
        <f>DATA[[#This Row],[FECHA DE EMISION]]</f>
        <v>0</v>
      </c>
      <c r="AX1445" s="6">
        <f>DATA[[#This Row],[F1]]</f>
        <v>0</v>
      </c>
      <c r="AY1445" s="20">
        <f>IF(AV1445-DATA[[#This Row],[fecha_fs]]&lt;0,0,AV1445-DATA[[#This Row],[fecha_fs]])</f>
        <v>17</v>
      </c>
      <c r="AZ1445" s="20">
        <f t="shared" si="368"/>
        <v>0</v>
      </c>
      <c r="BA1445" s="53">
        <f t="shared" si="369"/>
        <v>0</v>
      </c>
      <c r="BB1445" s="360">
        <f>IFERROR(SUM(DATA[[#This Row],[fs_val_ttf]:[fact_pago_ttf]]),0)</f>
        <v>17</v>
      </c>
      <c r="BC1445" s="378" t="s">
        <v>270</v>
      </c>
      <c r="BD1445" s="185" t="s">
        <v>270</v>
      </c>
      <c r="BE1445" s="185" t="s">
        <v>270</v>
      </c>
      <c r="BF1445" s="185" t="s">
        <v>270</v>
      </c>
      <c r="BG1445" s="20">
        <f>IFERROR(IF(BC1445-DATA[[#This Row],[fecha_fs]]&lt;0,0,BC1445-DATA[[#This Row],[fecha_fs]]),0)</f>
        <v>0</v>
      </c>
      <c r="BH1445" s="20">
        <f t="shared" si="361"/>
        <v>0</v>
      </c>
      <c r="BI1445" s="20">
        <f t="shared" si="362"/>
        <v>0</v>
      </c>
      <c r="BJ1445" s="53">
        <f t="shared" si="363"/>
        <v>0</v>
      </c>
      <c r="BK1445" s="376">
        <f>IFERROR(SUM(DATA[[#This Row],[fs_fd_ttd]:[fend_fenf_ttd]]),0)</f>
        <v>0</v>
      </c>
      <c r="BL1445" s="20" t="str">
        <f>IF(DATA[[#This Row],[fecha_fs]]&gt;0,TEXT(DATA[[#This Row],[fecha_fs]],"YYYY"),0)</f>
        <v>2025</v>
      </c>
      <c r="BM1445" s="236" t="b">
        <v>0</v>
      </c>
      <c r="BN1445" s="278">
        <f>COUNTIF(DATA[[#This Row],[tiempo_td]], "&lt;=15")</f>
        <v>1</v>
      </c>
      <c r="BO1445" s="365"/>
    </row>
    <row r="1446" spans="1:67" ht="30.6" customHeight="1" x14ac:dyDescent="0.25">
      <c r="A1446" s="4">
        <v>20100199743</v>
      </c>
      <c r="B1446" s="5" t="s">
        <v>47</v>
      </c>
      <c r="C1446" s="52" t="s">
        <v>380</v>
      </c>
      <c r="D1446" s="4" t="s">
        <v>139</v>
      </c>
      <c r="E1446" s="5" t="s">
        <v>23</v>
      </c>
      <c r="F1446" s="24">
        <v>45971</v>
      </c>
      <c r="G1446" s="7" t="s">
        <v>113</v>
      </c>
      <c r="H1446" s="25">
        <f t="shared" si="367"/>
        <v>1</v>
      </c>
      <c r="I1446" s="67">
        <v>5222</v>
      </c>
      <c r="J1446" s="8" t="s">
        <v>115</v>
      </c>
      <c r="K1446" s="5" t="s">
        <v>381</v>
      </c>
      <c r="L1446" s="10" t="s">
        <v>117</v>
      </c>
      <c r="M1446" s="11">
        <v>3814</v>
      </c>
      <c r="N1446" s="12" t="s">
        <v>135</v>
      </c>
      <c r="O1446" s="6">
        <v>45972</v>
      </c>
      <c r="P1446" s="13">
        <v>3780</v>
      </c>
      <c r="Q1446" s="14" t="s">
        <v>85</v>
      </c>
      <c r="R1446" s="74"/>
      <c r="S1446" s="321">
        <f>6099/2</f>
        <v>3049.5</v>
      </c>
      <c r="T1446" s="321">
        <f>DATA[[#This Row],[C. DF]]+DATA[[#This Row],[C.OPE.]]</f>
        <v>3049.5</v>
      </c>
      <c r="U1446" s="15">
        <f>DATA[[#This Row],[SUB TOTAL]]*0.18</f>
        <v>548.91</v>
      </c>
      <c r="V1446" s="15">
        <f>IFERROR(ROUND(DATA[[#This Row],[SUB TOTAL]]+DATA[[#This Row],[IGV]],2),0)</f>
        <v>3598.41</v>
      </c>
      <c r="W1446" s="339" t="str">
        <f>IF(DATA[[#This Row],[VALORIZACIÓN ]]="-","NO CORRESPONDE",IF(OR(A1446=20558226979,A1446=10470707866,A1446=20111157058,A1446=20100226902),"NO CORRESPONDE",IF(J1446="Emitida",IF(P1446&gt;0,"EMITIDA","PENDIENTE"),"NO CORRESPONDE")))</f>
        <v>EMITIDA</v>
      </c>
      <c r="X1446" s="29"/>
      <c r="Y1446" s="17" t="s">
        <v>232</v>
      </c>
      <c r="Z1446" s="30"/>
      <c r="AA1446" s="10"/>
      <c r="AB1446" s="19"/>
      <c r="AC1446" s="20"/>
      <c r="AD1446" s="18">
        <f>DATA[[#This Row],[FECHA DE EMISION]]+DATA[[#This Row],[CONDICION DE PAGO]]</f>
        <v>0</v>
      </c>
      <c r="AE1446" s="23">
        <f>IF(DATA[[#This Row],[MONEDA]]="USD",VLOOKUP(DATA[[#This Row],[COMBINADA]],#REF!,11,0),1)</f>
        <v>1</v>
      </c>
      <c r="AF1446" s="129" t="str">
        <f>IF(DATA[[#This Row],[SERIE2]]="-","NO CORRESPONDE",IF(W1446="NO CORRESPONDE","NO CORRESPONDE",IF(Z1446&gt;0,"FACTURADO","PENDIENTE")))</f>
        <v>PENDIENTE</v>
      </c>
      <c r="AG1446" s="27">
        <f>IFERROR(VLOOKUP(DATA[[#This Row],[COMBINADA]],#REF!,6,0),0)</f>
        <v>0</v>
      </c>
      <c r="AH1446" s="130">
        <f>IFERROR(VLOOKUP(DATA[[#This Row],[COMBINADA]],#REF!,9,0),0)/COUNTIFS(DATA[COMBINADA],DATA[[#This Row],[COMBINADA]])</f>
        <v>0</v>
      </c>
      <c r="AI1446" s="131">
        <f>IFERROR(VLOOKUP(DATA[[#This Row],[COMBINADA]],#REF!,6,0),0)</f>
        <v>0</v>
      </c>
      <c r="AJ1446" s="132">
        <f>IFERROR(VLOOKUP(DATA[[#This Row],[COMBINADA]],#REF!,9,0),0)/COUNTIFS(DATA[COMBINADA],DATA[[#This Row],[COMBINADA]])</f>
        <v>0</v>
      </c>
      <c r="AK1446" s="131">
        <f>IFERROR(VLOOKUP(DATA[[#This Row],[COMBINADA]],#REF!,6,0),0)</f>
        <v>0</v>
      </c>
      <c r="AL1446" s="125">
        <f>IFERROR(VLOOKUP(DATA[[#This Row],[COMBINADA]],#REF!,9,0),0)/COUNTIFS(DATA[COMBINADA],DATA[[#This Row],[COMBINADA]])</f>
        <v>0</v>
      </c>
      <c r="AM1446" s="27">
        <f>IFERROR(VLOOKUP(DATA[[#This Row],[COMBINADA]],#REF!,6,0),0)</f>
        <v>0</v>
      </c>
      <c r="AN1446" s="125">
        <f>IFERROR(VLOOKUP(DATA[[#This Row],[COMBINADA]],#REF!,9,0),0)/COUNTIFS(DATA[COMBINADA],DATA[[#This Row],[COMBINADA]])</f>
        <v>0</v>
      </c>
      <c r="AO1446" s="27">
        <f>IFERROR(VLOOKUP(DATA[[#This Row],[COMBINADA]],#REF!,6,0),0)</f>
        <v>0</v>
      </c>
      <c r="AP1446" s="132">
        <f>IFERROR(VLOOKUP(DATA[[#This Row],[COMBINADA]],#REF!,9,0),0)/COUNTIFS(DATA[COMBINADA],DATA[[#This Row],[COMBINADA]])</f>
        <v>0</v>
      </c>
      <c r="AQ1446"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46" s="26" t="str">
        <f>IFERROR(IF(DATA[[#This Row],[estado_fact]]="FACTURADO",VLOOKUP(DATA[[#This Row],[SERIE2]]&amp;"-"&amp;DATA[[#This Row],[NUMERO]],#REF!,34,0),"NO CORRESPONDE"),"NO CORRESPONDE")</f>
        <v>NO CORRESPONDE</v>
      </c>
      <c r="AS1446" s="22" t="str">
        <f>IF(DATA[[#This Row],[fecha_fs]]&gt;0,TEXT(DATA[[#This Row],[fecha_fs]],"Mmmm"),0)</f>
        <v>Noviembre</v>
      </c>
      <c r="AT1446" s="22" t="str">
        <f>DATA[[#This Row],[SERIE2]]&amp;"-"&amp;DATA[[#This Row],[NUMERO]]</f>
        <v>-</v>
      </c>
      <c r="AU1446" s="28">
        <f>DATA[[#This Row],[TOTAL]]*DATA[[#This Row],[T.C.]]</f>
        <v>3598.41</v>
      </c>
      <c r="AV1446" s="6">
        <f>DATA[[#This Row],[FECHA DE VAL.]]</f>
        <v>45972</v>
      </c>
      <c r="AW1446" s="6">
        <f>DATA[[#This Row],[FECHA DE EMISION]]</f>
        <v>0</v>
      </c>
      <c r="AX1446" s="6">
        <f>DATA[[#This Row],[F1]]</f>
        <v>0</v>
      </c>
      <c r="AY1446" s="20">
        <f>IF(AV1446-DATA[[#This Row],[fecha_fs]]&lt;0,0,AV1446-DATA[[#This Row],[fecha_fs]])</f>
        <v>1</v>
      </c>
      <c r="AZ1446" s="20">
        <f t="shared" si="368"/>
        <v>0</v>
      </c>
      <c r="BA1446" s="53">
        <f t="shared" si="369"/>
        <v>0</v>
      </c>
      <c r="BB1446" s="360">
        <f>IFERROR(SUM(DATA[[#This Row],[fs_val_ttf]:[fact_pago_ttf]]),0)</f>
        <v>1</v>
      </c>
      <c r="BC1446" s="378" t="s">
        <v>270</v>
      </c>
      <c r="BD1446" s="185" t="s">
        <v>270</v>
      </c>
      <c r="BE1446" s="185" t="s">
        <v>270</v>
      </c>
      <c r="BF1446" s="185" t="s">
        <v>270</v>
      </c>
      <c r="BG1446" s="20">
        <f>IFERROR(IF(BC1446-DATA[[#This Row],[fecha_fs]]&lt;0,0,BC1446-DATA[[#This Row],[fecha_fs]]),0)</f>
        <v>0</v>
      </c>
      <c r="BH1446" s="20">
        <f t="shared" si="361"/>
        <v>0</v>
      </c>
      <c r="BI1446" s="20">
        <f t="shared" si="362"/>
        <v>0</v>
      </c>
      <c r="BJ1446" s="53">
        <f t="shared" si="363"/>
        <v>0</v>
      </c>
      <c r="BK1446" s="376">
        <f>IFERROR(SUM(DATA[[#This Row],[fs_fd_ttd]:[fend_fenf_ttd]]),0)</f>
        <v>0</v>
      </c>
      <c r="BL1446" s="20" t="str">
        <f>IF(DATA[[#This Row],[fecha_fs]]&gt;0,TEXT(DATA[[#This Row],[fecha_fs]],"YYYY"),0)</f>
        <v>2025</v>
      </c>
      <c r="BM1446" s="236" t="b">
        <v>0</v>
      </c>
      <c r="BN1446" s="278">
        <f>COUNTIF(DATA[[#This Row],[tiempo_td]], "&lt;=15")</f>
        <v>1</v>
      </c>
      <c r="BO1446" s="365"/>
    </row>
    <row r="1447" spans="1:67" ht="30.6" customHeight="1" x14ac:dyDescent="0.25">
      <c r="A1447" s="4"/>
      <c r="B1447" s="5" t="s">
        <v>0</v>
      </c>
      <c r="C1447" s="52"/>
      <c r="D1447" s="4"/>
      <c r="E1447" s="5" t="s">
        <v>0</v>
      </c>
      <c r="F1447" s="24">
        <v>45973</v>
      </c>
      <c r="G1447" s="7" t="s">
        <v>113</v>
      </c>
      <c r="H1447" s="25">
        <f t="shared" si="367"/>
        <v>1</v>
      </c>
      <c r="I1447" s="67">
        <v>5223</v>
      </c>
      <c r="J1447" s="8" t="s">
        <v>173</v>
      </c>
      <c r="K1447" s="9"/>
      <c r="L1447" s="10"/>
      <c r="M1447" s="111"/>
      <c r="N1447" s="112"/>
      <c r="O1447" s="6"/>
      <c r="P1447" s="13"/>
      <c r="Q1447" s="14"/>
      <c r="R1447" s="56"/>
      <c r="S1447" s="56"/>
      <c r="T1447" s="56">
        <f>DATA[[#This Row],[C. DF]]+DATA[[#This Row],[C.OPE.]]</f>
        <v>0</v>
      </c>
      <c r="U1447" s="56">
        <f>DATA[[#This Row],[SUB TOTAL]]*0.18</f>
        <v>0</v>
      </c>
      <c r="V1447" s="56">
        <f>IFERROR(ROUND(DATA[[#This Row],[SUB TOTAL]]+DATA[[#This Row],[IGV]],2),0)</f>
        <v>0</v>
      </c>
      <c r="W1447" s="73" t="str">
        <f>IF(DATA[[#This Row],[VALORIZACIÓN ]]="-","NO CORRESPONDE",IF(OR(A1447=20558226979,A1447=10470707866,A1447=20111157058,A1447=20100226902),"NO CORRESPONDE",IF(J1447="Emitida",IF(P1447&gt;0,"EMITIDA","PENDIENTE"),"NO CORRESPONDE")))</f>
        <v>NO CORRESPONDE</v>
      </c>
      <c r="X1447" s="46"/>
      <c r="Y1447" s="17" t="s">
        <v>128</v>
      </c>
      <c r="Z1447" s="48"/>
      <c r="AA1447" s="49"/>
      <c r="AB1447" s="50"/>
      <c r="AC1447" s="51"/>
      <c r="AD1447" s="59">
        <f>DATA[[#This Row],[FECHA DE EMISION]]+DATA[[#This Row],[CONDICION DE PAGO]]</f>
        <v>0</v>
      </c>
      <c r="AE1447" s="23">
        <f>IF(DATA[[#This Row],[MONEDA]]="USD",VLOOKUP(DATA[[#This Row],[COMBINADA]],#REF!,11,0),1)</f>
        <v>1</v>
      </c>
      <c r="AF1447" s="129" t="str">
        <f>IF(DATA[[#This Row],[SERIE2]]="-","NO CORRESPONDE",IF(W1447="NO CORRESPONDE","NO CORRESPONDE",IF(Z1447&gt;0,"FACTURADO","PENDIENTE")))</f>
        <v>NO CORRESPONDE</v>
      </c>
      <c r="AG1447" s="133">
        <f>IFERROR(VLOOKUP(DATA[[#This Row],[COMBINADA]],#REF!,6,0),0)</f>
        <v>0</v>
      </c>
      <c r="AH1447" s="125">
        <f>IFERROR(VLOOKUP(DATA[[#This Row],[COMBINADA]],#REF!,9,0),0)/COUNTIFS(DATA[COMBINADA],DATA[[#This Row],[COMBINADA]])</f>
        <v>0</v>
      </c>
      <c r="AI1447" s="140">
        <f>IFERROR(VLOOKUP(DATA[[#This Row],[COMBINADA]],#REF!,6,0),0)</f>
        <v>0</v>
      </c>
      <c r="AJ1447" s="126">
        <f>IFERROR(VLOOKUP(DATA[[#This Row],[COMBINADA]],#REF!,9,0),0)/COUNTIFS(DATA[COMBINADA],DATA[[#This Row],[COMBINADA]])</f>
        <v>0</v>
      </c>
      <c r="AK1447" s="61">
        <f>IFERROR(VLOOKUP(DATA[[#This Row],[COMBINADA]],#REF!,6,0),0)</f>
        <v>0</v>
      </c>
      <c r="AL1447" s="126">
        <f>IFERROR(VLOOKUP(DATA[[#This Row],[COMBINADA]],#REF!,9,0),0)/COUNTIFS(DATA[COMBINADA],DATA[[#This Row],[COMBINADA]])</f>
        <v>0</v>
      </c>
      <c r="AM1447" s="61">
        <f>IFERROR(VLOOKUP(DATA[[#This Row],[COMBINADA]],#REF!,6,0),0)</f>
        <v>0</v>
      </c>
      <c r="AN1447" s="62">
        <f>IFERROR(VLOOKUP(DATA[[#This Row],[COMBINADA]],#REF!,9,0),0)/COUNTIFS(DATA[COMBINADA],DATA[[#This Row],[COMBINADA]])</f>
        <v>0</v>
      </c>
      <c r="AO1447" s="61">
        <f>IFERROR(VLOOKUP(DATA[[#This Row],[COMBINADA]],#REF!,6,0),0)</f>
        <v>0</v>
      </c>
      <c r="AP1447" s="62">
        <f>IFERROR(VLOOKUP(DATA[[#This Row],[COMBINADA]],#REF!,9,0),0)/COUNTIFS(DATA[COMBINADA],DATA[[#This Row],[COMBINADA]])</f>
        <v>0</v>
      </c>
      <c r="AQ1447" s="128">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47" s="22" t="str">
        <f>IFERROR(IF(DATA[[#This Row],[estado_fact]]="FACTURADO",VLOOKUP(DATA[[#This Row],[SERIE2]]&amp;"-"&amp;DATA[[#This Row],[NUMERO]],#REF!,34,0),"NO CORRESPONDE"),"NO CORRESPONDE")</f>
        <v>NO CORRESPONDE</v>
      </c>
      <c r="AS1447" s="198" t="str">
        <f>IF(DATA[[#This Row],[fecha_fs]]&gt;0,TEXT(DATA[[#This Row],[fecha_fs]],"Mmmm"),0)</f>
        <v>Noviembre</v>
      </c>
      <c r="AT1447" s="199" t="str">
        <f>DATA[[#This Row],[SERIE2]]&amp;"-"&amp;DATA[[#This Row],[NUMERO]]</f>
        <v>-</v>
      </c>
      <c r="AU1447" s="198">
        <f>DATA[[#This Row],[TOTAL]]*DATA[[#This Row],[T.C.]]</f>
        <v>0</v>
      </c>
      <c r="AV1447" s="40">
        <f>DATA[[#This Row],[FECHA DE VAL.]]</f>
        <v>0</v>
      </c>
      <c r="AW1447" s="40">
        <f>DATA[[#This Row],[FECHA DE EMISION]]</f>
        <v>0</v>
      </c>
      <c r="AX1447" s="40">
        <f>DATA[[#This Row],[F1]]</f>
        <v>0</v>
      </c>
      <c r="AY1447" s="49">
        <f>IF(AV1447-DATA[[#This Row],[fecha_fs]]&lt;0,0,AV1447-DATA[[#This Row],[fecha_fs]])</f>
        <v>0</v>
      </c>
      <c r="AZ1447" s="49">
        <f t="shared" si="368"/>
        <v>0</v>
      </c>
      <c r="BA1447" s="49">
        <f t="shared" si="369"/>
        <v>0</v>
      </c>
      <c r="BB1447" s="360">
        <f>IFERROR(SUM(DATA[[#This Row],[fs_val_ttf]:[fact_pago_ttf]]),0)</f>
        <v>0</v>
      </c>
      <c r="BC1447" s="47"/>
      <c r="BD1447" s="47"/>
      <c r="BE1447" s="47"/>
      <c r="BF1447" s="47"/>
      <c r="BG1447" s="49">
        <f>IFERROR(IF(BC1447-DATA[[#This Row],[fecha_fs]]&lt;0,0,BC1447-DATA[[#This Row],[fecha_fs]]),0)</f>
        <v>0</v>
      </c>
      <c r="BH1447" s="49">
        <f t="shared" si="361"/>
        <v>0</v>
      </c>
      <c r="BI1447" s="49">
        <f t="shared" si="362"/>
        <v>0</v>
      </c>
      <c r="BJ1447" s="49">
        <f t="shared" si="363"/>
        <v>0</v>
      </c>
      <c r="BK1447" s="376">
        <f>IFERROR(SUM(DATA[[#This Row],[fs_fd_ttd]:[fend_fenf_ttd]]),0)</f>
        <v>0</v>
      </c>
      <c r="BL1447" s="20" t="str">
        <f>IF(DATA[[#This Row],[fecha_fs]]&gt;0,TEXT(DATA[[#This Row],[fecha_fs]],"YYYY"),0)</f>
        <v>2025</v>
      </c>
      <c r="BM1447" s="236" t="b">
        <v>0</v>
      </c>
      <c r="BN1447" s="278"/>
      <c r="BO1447" s="365"/>
    </row>
    <row r="1448" spans="1:67" ht="30.6" customHeight="1" x14ac:dyDescent="0.25">
      <c r="A1448" s="4">
        <v>20100192064</v>
      </c>
      <c r="B1448" s="5" t="s">
        <v>60</v>
      </c>
      <c r="C1448" s="52" t="s">
        <v>64</v>
      </c>
      <c r="D1448" s="4" t="s">
        <v>112</v>
      </c>
      <c r="E1448" s="5" t="s">
        <v>1</v>
      </c>
      <c r="F1448" s="24">
        <v>45972</v>
      </c>
      <c r="G1448" s="7" t="s">
        <v>113</v>
      </c>
      <c r="H1448" s="25">
        <f t="shared" si="367"/>
        <v>1</v>
      </c>
      <c r="I1448" s="67">
        <v>5224</v>
      </c>
      <c r="J1448" s="8" t="s">
        <v>115</v>
      </c>
      <c r="K1448" s="9" t="s">
        <v>136</v>
      </c>
      <c r="L1448" s="10" t="s">
        <v>137</v>
      </c>
      <c r="M1448" s="11">
        <v>22</v>
      </c>
      <c r="N1448" s="12" t="s">
        <v>129</v>
      </c>
      <c r="O1448" s="6">
        <v>45987</v>
      </c>
      <c r="P1448" s="71"/>
      <c r="Q1448" s="14" t="s">
        <v>123</v>
      </c>
      <c r="R1448" s="56">
        <f>DATA[[#This Row],[cantidad_fs]]*23.7</f>
        <v>521.4</v>
      </c>
      <c r="S1448" s="74"/>
      <c r="T1448" s="321">
        <f>DATA[[#This Row],[C. DF]]+DATA[[#This Row],[C.OPE.]]</f>
        <v>521.4</v>
      </c>
      <c r="U1448" s="15">
        <f>DATA[[#This Row],[SUB TOTAL]]*0.18</f>
        <v>93.85199999999999</v>
      </c>
      <c r="V1448" s="15">
        <f>IFERROR(ROUND(DATA[[#This Row],[SUB TOTAL]]+DATA[[#This Row],[IGV]],2),0)</f>
        <v>615.25</v>
      </c>
      <c r="W1448" s="339" t="str">
        <f>IF(DATA[[#This Row],[VALORIZACIÓN ]]="-","NO CORRESPONDE",IF(OR(A1448=20558226979,A1448=10470707866,A1448=20111157058,A1448=20100226902),"NO CORRESPONDE",IF(J1448="Emitida",IF(P1448&gt;0,"EMITIDA","PENDIENTE"),"NO CORRESPONDE")))</f>
        <v>PENDIENTE</v>
      </c>
      <c r="X1448" s="29"/>
      <c r="Y1448" s="17" t="s">
        <v>232</v>
      </c>
      <c r="Z1448" s="30"/>
      <c r="AA1448" s="10"/>
      <c r="AB1448" s="19"/>
      <c r="AC1448" s="20"/>
      <c r="AD1448" s="18">
        <f>DATA[[#This Row],[FECHA DE EMISION]]+DATA[[#This Row],[CONDICION DE PAGO]]</f>
        <v>0</v>
      </c>
      <c r="AE1448" s="23" t="e">
        <f>IF(DATA[[#This Row],[MONEDA]]="USD",VLOOKUP(DATA[[#This Row],[COMBINADA]],#REF!,11,0),1)</f>
        <v>#REF!</v>
      </c>
      <c r="AF1448" s="129" t="str">
        <f>IF(DATA[[#This Row],[SERIE2]]="-","NO CORRESPONDE",IF(W1448="NO CORRESPONDE","NO CORRESPONDE",IF(Z1448&gt;0,"FACTURADO","PENDIENTE")))</f>
        <v>PENDIENTE</v>
      </c>
      <c r="AG1448" s="27">
        <f>IFERROR(VLOOKUP(DATA[[#This Row],[COMBINADA]],#REF!,6,0),0)</f>
        <v>0</v>
      </c>
      <c r="AH1448" s="130">
        <f>IFERROR(VLOOKUP(DATA[[#This Row],[COMBINADA]],#REF!,9,0),0)/COUNTIFS(DATA[COMBINADA],DATA[[#This Row],[COMBINADA]])</f>
        <v>0</v>
      </c>
      <c r="AI1448" s="131">
        <f>IFERROR(VLOOKUP(DATA[[#This Row],[COMBINADA]],#REF!,6,0),0)</f>
        <v>0</v>
      </c>
      <c r="AJ1448" s="132">
        <f>IFERROR(VLOOKUP(DATA[[#This Row],[COMBINADA]],#REF!,9,0),0)/COUNTIFS(DATA[COMBINADA],DATA[[#This Row],[COMBINADA]])</f>
        <v>0</v>
      </c>
      <c r="AK1448" s="131">
        <f>IFERROR(VLOOKUP(DATA[[#This Row],[COMBINADA]],#REF!,6,0),0)</f>
        <v>0</v>
      </c>
      <c r="AL1448" s="125">
        <f>IFERROR(VLOOKUP(DATA[[#This Row],[COMBINADA]],#REF!,9,0),0)/COUNTIFS(DATA[COMBINADA],DATA[[#This Row],[COMBINADA]])</f>
        <v>0</v>
      </c>
      <c r="AM1448" s="27">
        <f>IFERROR(VLOOKUP(DATA[[#This Row],[COMBINADA]],#REF!,6,0),0)</f>
        <v>0</v>
      </c>
      <c r="AN1448" s="125">
        <f>IFERROR(VLOOKUP(DATA[[#This Row],[COMBINADA]],#REF!,9,0),0)/COUNTIFS(DATA[COMBINADA],DATA[[#This Row],[COMBINADA]])</f>
        <v>0</v>
      </c>
      <c r="AO1448" s="27">
        <f>IFERROR(VLOOKUP(DATA[[#This Row],[COMBINADA]],#REF!,6,0),0)</f>
        <v>0</v>
      </c>
      <c r="AP1448" s="132">
        <f>IFERROR(VLOOKUP(DATA[[#This Row],[COMBINADA]],#REF!,9,0),0)/COUNTIFS(DATA[COMBINADA],DATA[[#This Row],[COMBINADA]])</f>
        <v>0</v>
      </c>
      <c r="AQ1448"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48" s="26" t="str">
        <f>IFERROR(IF(DATA[[#This Row],[estado_fact]]="FACTURADO",VLOOKUP(DATA[[#This Row],[SERIE2]]&amp;"-"&amp;DATA[[#This Row],[NUMERO]],#REF!,34,0),"NO CORRESPONDE"),"NO CORRESPONDE")</f>
        <v>NO CORRESPONDE</v>
      </c>
      <c r="AS1448" s="22" t="str">
        <f>IF(DATA[[#This Row],[fecha_fs]]&gt;0,TEXT(DATA[[#This Row],[fecha_fs]],"Mmmm"),0)</f>
        <v>Noviembre</v>
      </c>
      <c r="AT1448" s="22" t="str">
        <f>DATA[[#This Row],[SERIE2]]&amp;"-"&amp;DATA[[#This Row],[NUMERO]]</f>
        <v>-</v>
      </c>
      <c r="AU1448" s="28" t="e">
        <f>DATA[[#This Row],[TOTAL]]*DATA[[#This Row],[T.C.]]</f>
        <v>#REF!</v>
      </c>
      <c r="AV1448" s="6">
        <f>DATA[[#This Row],[FECHA DE VAL.]]</f>
        <v>45987</v>
      </c>
      <c r="AW1448" s="6">
        <f>DATA[[#This Row],[FECHA DE EMISION]]</f>
        <v>0</v>
      </c>
      <c r="AX1448" s="6">
        <f>DATA[[#This Row],[F1]]</f>
        <v>0</v>
      </c>
      <c r="AY1448" s="20">
        <f>IF(AV1448-DATA[[#This Row],[fecha_fs]]&lt;0,0,AV1448-DATA[[#This Row],[fecha_fs]])</f>
        <v>15</v>
      </c>
      <c r="AZ1448" s="20">
        <f t="shared" si="368"/>
        <v>0</v>
      </c>
      <c r="BA1448" s="53">
        <f t="shared" si="369"/>
        <v>0</v>
      </c>
      <c r="BB1448" s="360">
        <f>IFERROR(SUM(DATA[[#This Row],[fs_val_ttf]:[fact_pago_ttf]]),0)</f>
        <v>15</v>
      </c>
      <c r="BC1448" s="378" t="s">
        <v>270</v>
      </c>
      <c r="BD1448" s="185" t="s">
        <v>270</v>
      </c>
      <c r="BE1448" s="185" t="s">
        <v>270</v>
      </c>
      <c r="BF1448" s="185" t="s">
        <v>270</v>
      </c>
      <c r="BG1448" s="20">
        <f>IFERROR(IF(BC1448-DATA[[#This Row],[fecha_fs]]&lt;0,0,BC1448-DATA[[#This Row],[fecha_fs]]),0)</f>
        <v>0</v>
      </c>
      <c r="BH1448" s="20">
        <f t="shared" si="361"/>
        <v>0</v>
      </c>
      <c r="BI1448" s="20">
        <f t="shared" si="362"/>
        <v>0</v>
      </c>
      <c r="BJ1448" s="53">
        <f t="shared" si="363"/>
        <v>0</v>
      </c>
      <c r="BK1448" s="376">
        <f>IFERROR(SUM(DATA[[#This Row],[fs_fd_ttd]:[fend_fenf_ttd]]),0)</f>
        <v>0</v>
      </c>
      <c r="BL1448" s="20" t="str">
        <f>IF(DATA[[#This Row],[fecha_fs]]&gt;0,TEXT(DATA[[#This Row],[fecha_fs]],"YYYY"),0)</f>
        <v>2025</v>
      </c>
      <c r="BM1448" s="236" t="b">
        <v>0</v>
      </c>
      <c r="BN1448" s="278">
        <f>COUNTIF(DATA[[#This Row],[tiempo_td]], "&lt;=15")</f>
        <v>1</v>
      </c>
      <c r="BO1448" s="365"/>
    </row>
    <row r="1449" spans="1:67" ht="30.6" customHeight="1" x14ac:dyDescent="0.25">
      <c r="A1449" s="4">
        <v>20100192064</v>
      </c>
      <c r="B1449" s="5" t="s">
        <v>60</v>
      </c>
      <c r="C1449" s="52" t="s">
        <v>66</v>
      </c>
      <c r="D1449" s="4" t="s">
        <v>120</v>
      </c>
      <c r="E1449" s="5" t="s">
        <v>3</v>
      </c>
      <c r="F1449" s="24">
        <v>45972</v>
      </c>
      <c r="G1449" s="7" t="s">
        <v>142</v>
      </c>
      <c r="H1449" s="25">
        <f t="shared" ref="H1449:H1450" si="370">IF(G1449="","",IF(G1449="LIM",2,1))</f>
        <v>2</v>
      </c>
      <c r="I1449" s="67">
        <v>1163</v>
      </c>
      <c r="J1449" s="8" t="s">
        <v>115</v>
      </c>
      <c r="K1449" s="9" t="s">
        <v>198</v>
      </c>
      <c r="L1449" s="10" t="s">
        <v>117</v>
      </c>
      <c r="M1449" s="11">
        <v>390</v>
      </c>
      <c r="N1449" s="12" t="s">
        <v>384</v>
      </c>
      <c r="O1449" s="6">
        <v>45987</v>
      </c>
      <c r="P1449" s="71"/>
      <c r="Q1449" s="14" t="s">
        <v>123</v>
      </c>
      <c r="R1449" s="15">
        <f>(DATA[[#This Row],[cantidad_fs]]/1000)*37</f>
        <v>14.43</v>
      </c>
      <c r="S1449" s="15">
        <f>227/2</f>
        <v>113.5</v>
      </c>
      <c r="T1449" s="15">
        <f t="shared" ref="T1449:T1450" si="371">((M1449/1000)*(47+174.34)+137)</f>
        <v>223.32260000000002</v>
      </c>
      <c r="U1449" s="15">
        <f>DATA[[#This Row],[SUB TOTAL]]*0.18</f>
        <v>40.198067999999999</v>
      </c>
      <c r="V1449" s="15">
        <f>IFERROR(ROUND(DATA[[#This Row],[SUB TOTAL]]+DATA[[#This Row],[IGV]],2),0)</f>
        <v>263.52</v>
      </c>
      <c r="W1449" s="16" t="str">
        <f>IF(DATA[[#This Row],[VALORIZACIÓN ]]="-","NO CORRESPONDE",IF(OR(A1449=20558226979,A1449=10470707866,A1449=20111157058,A1449=20100226902),"NO CORRESPONDE",IF(J1449="Emitida",IF(P1449&gt;0,"EMITIDA","PENDIENTE"),"NO CORRESPONDE")))</f>
        <v>PENDIENTE</v>
      </c>
      <c r="X1449" s="29"/>
      <c r="Y1449" s="17" t="s">
        <v>232</v>
      </c>
      <c r="Z1449" s="30"/>
      <c r="AA1449" s="10"/>
      <c r="AB1449" s="19"/>
      <c r="AC1449" s="20"/>
      <c r="AD1449" s="18">
        <f>DATA[[#This Row],[FECHA DE EMISION]]+DATA[[#This Row],[CONDICION DE PAGO]]</f>
        <v>0</v>
      </c>
      <c r="AE1449" s="23" t="e">
        <f>IF(DATA[[#This Row],[MONEDA]]="USD",VLOOKUP(DATA[[#This Row],[COMBINADA]],#REF!,11,0),1)</f>
        <v>#REF!</v>
      </c>
      <c r="AF1449" s="129" t="str">
        <f>IF(DATA[[#This Row],[SERIE2]]="-","NO CORRESPONDE",IF(W1449="NO CORRESPONDE","NO CORRESPONDE",IF(Z1449&gt;0,"FACTURADO","PENDIENTE")))</f>
        <v>PENDIENTE</v>
      </c>
      <c r="AG1449" s="27">
        <f>IFERROR(VLOOKUP(DATA[[#This Row],[COMBINADA]],#REF!,6,0),0)</f>
        <v>0</v>
      </c>
      <c r="AH1449" s="130">
        <f>IFERROR(VLOOKUP(DATA[[#This Row],[COMBINADA]],#REF!,9,0),0)/COUNTIFS(DATA[COMBINADA],DATA[[#This Row],[COMBINADA]])</f>
        <v>0</v>
      </c>
      <c r="AI1449" s="131">
        <f>IFERROR(VLOOKUP(DATA[[#This Row],[COMBINADA]],#REF!,6,0),0)</f>
        <v>0</v>
      </c>
      <c r="AJ1449" s="132">
        <f>IFERROR(VLOOKUP(DATA[[#This Row],[COMBINADA]],#REF!,9,0),0)/COUNTIFS(DATA[COMBINADA],DATA[[#This Row],[COMBINADA]])</f>
        <v>0</v>
      </c>
      <c r="AK1449" s="131">
        <f>IFERROR(VLOOKUP(DATA[[#This Row],[COMBINADA]],#REF!,6,0),0)</f>
        <v>0</v>
      </c>
      <c r="AL1449" s="125">
        <f>IFERROR(VLOOKUP(DATA[[#This Row],[COMBINADA]],#REF!,9,0),0)/COUNTIFS(DATA[COMBINADA],DATA[[#This Row],[COMBINADA]])</f>
        <v>0</v>
      </c>
      <c r="AM1449" s="27">
        <f>IFERROR(VLOOKUP(DATA[[#This Row],[COMBINADA]],#REF!,6,0),0)</f>
        <v>0</v>
      </c>
      <c r="AN1449" s="125">
        <f>IFERROR(VLOOKUP(DATA[[#This Row],[COMBINADA]],#REF!,9,0),0)/COUNTIFS(DATA[COMBINADA],DATA[[#This Row],[COMBINADA]])</f>
        <v>0</v>
      </c>
      <c r="AO1449" s="27">
        <f>IFERROR(VLOOKUP(DATA[[#This Row],[COMBINADA]],#REF!,6,0),0)</f>
        <v>0</v>
      </c>
      <c r="AP1449" s="132">
        <f>IFERROR(VLOOKUP(DATA[[#This Row],[COMBINADA]],#REF!,9,0),0)/COUNTIFS(DATA[COMBINADA],DATA[[#This Row],[COMBINADA]])</f>
        <v>0</v>
      </c>
      <c r="AQ1449"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49" s="26" t="str">
        <f>IFERROR(IF(DATA[[#This Row],[estado_fact]]="FACTURADO",VLOOKUP(DATA[[#This Row],[SERIE2]]&amp;"-"&amp;DATA[[#This Row],[NUMERO]],#REF!,34,0),"NO CORRESPONDE"),"NO CORRESPONDE")</f>
        <v>NO CORRESPONDE</v>
      </c>
      <c r="AS1449" s="22" t="str">
        <f>IF(DATA[[#This Row],[fecha_fs]]&gt;0,TEXT(DATA[[#This Row],[fecha_fs]],"Mmmm"),0)</f>
        <v>Noviembre</v>
      </c>
      <c r="AT1449" s="22" t="str">
        <f>DATA[[#This Row],[SERIE2]]&amp;"-"&amp;DATA[[#This Row],[NUMERO]]</f>
        <v>-</v>
      </c>
      <c r="AU1449" s="28" t="e">
        <f>DATA[[#This Row],[TOTAL]]*DATA[[#This Row],[T.C.]]</f>
        <v>#REF!</v>
      </c>
      <c r="AV1449" s="6">
        <f>DATA[[#This Row],[FECHA DE VAL.]]</f>
        <v>45987</v>
      </c>
      <c r="AW1449" s="6">
        <f>DATA[[#This Row],[FECHA DE EMISION]]</f>
        <v>0</v>
      </c>
      <c r="AX1449" s="6">
        <f>DATA[[#This Row],[F1]]</f>
        <v>0</v>
      </c>
      <c r="AY1449" s="20">
        <f>IF(AV1449-DATA[[#This Row],[fecha_fs]]&lt;0,0,AV1449-DATA[[#This Row],[fecha_fs]])</f>
        <v>15</v>
      </c>
      <c r="AZ1449" s="20">
        <f t="shared" ref="AZ1449:AZ1450" si="372">IF(AW1449-AV1449&lt;0,0,AW1449-AV1449)</f>
        <v>0</v>
      </c>
      <c r="BA1449" s="53">
        <f t="shared" ref="BA1449:BA1450" si="373">IF(AX1449-AW1449&lt;0,0,AX1449-AW1449)</f>
        <v>0</v>
      </c>
      <c r="BB1449" s="360">
        <f>IFERROR(SUM(DATA[[#This Row],[fs_val_ttf]:[fact_pago_ttf]]),0)</f>
        <v>15</v>
      </c>
      <c r="BC1449" s="378" t="s">
        <v>270</v>
      </c>
      <c r="BD1449" s="185" t="s">
        <v>270</v>
      </c>
      <c r="BE1449" s="185" t="s">
        <v>270</v>
      </c>
      <c r="BF1449" s="185" t="s">
        <v>270</v>
      </c>
      <c r="BG1449" s="20">
        <f>IFERROR(IF(BC1449-DATA[[#This Row],[fecha_fs]]&lt;0,0,BC1449-DATA[[#This Row],[fecha_fs]]),0)</f>
        <v>0</v>
      </c>
      <c r="BH1449" s="20">
        <f t="shared" si="361"/>
        <v>0</v>
      </c>
      <c r="BI1449" s="20">
        <f t="shared" si="362"/>
        <v>0</v>
      </c>
      <c r="BJ1449" s="53">
        <f t="shared" si="363"/>
        <v>0</v>
      </c>
      <c r="BK1449" s="376">
        <f>IFERROR(SUM(DATA[[#This Row],[fs_fd_ttd]:[fend_fenf_ttd]]),0)</f>
        <v>0</v>
      </c>
      <c r="BL1449" s="20" t="str">
        <f>IF(DATA[[#This Row],[fecha_fs]]&gt;0,TEXT(DATA[[#This Row],[fecha_fs]],"YYYY"),0)</f>
        <v>2025</v>
      </c>
      <c r="BM1449" s="236" t="b">
        <v>0</v>
      </c>
      <c r="BN1449" s="278">
        <f>COUNTIF(DATA[[#This Row],[tiempo_td]], "&lt;=15")</f>
        <v>1</v>
      </c>
      <c r="BO1449" s="365"/>
    </row>
    <row r="1450" spans="1:67" ht="30.6" customHeight="1" x14ac:dyDescent="0.25">
      <c r="A1450" s="4">
        <v>20100192064</v>
      </c>
      <c r="B1450" s="5" t="s">
        <v>60</v>
      </c>
      <c r="C1450" s="52" t="s">
        <v>66</v>
      </c>
      <c r="D1450" s="4" t="s">
        <v>120</v>
      </c>
      <c r="E1450" s="5" t="s">
        <v>3</v>
      </c>
      <c r="F1450" s="24">
        <v>45972</v>
      </c>
      <c r="G1450" s="7" t="s">
        <v>142</v>
      </c>
      <c r="H1450" s="25">
        <f t="shared" si="370"/>
        <v>2</v>
      </c>
      <c r="I1450" s="67">
        <v>1164</v>
      </c>
      <c r="J1450" s="8" t="s">
        <v>115</v>
      </c>
      <c r="K1450" s="9" t="s">
        <v>169</v>
      </c>
      <c r="L1450" s="10" t="s">
        <v>117</v>
      </c>
      <c r="M1450" s="11">
        <v>2030</v>
      </c>
      <c r="N1450" s="12" t="s">
        <v>384</v>
      </c>
      <c r="O1450" s="6">
        <v>45987</v>
      </c>
      <c r="P1450" s="71"/>
      <c r="Q1450" s="14" t="s">
        <v>123</v>
      </c>
      <c r="R1450" s="74"/>
      <c r="S1450" s="56">
        <f>227</f>
        <v>227</v>
      </c>
      <c r="T1450" s="15">
        <f t="shared" si="371"/>
        <v>586.32019999999989</v>
      </c>
      <c r="U1450" s="15">
        <f>DATA[[#This Row],[SUB TOTAL]]*0.18</f>
        <v>105.53763599999998</v>
      </c>
      <c r="V1450" s="15">
        <f>IFERROR(ROUND(DATA[[#This Row],[SUB TOTAL]]+DATA[[#This Row],[IGV]],2),0)</f>
        <v>691.86</v>
      </c>
      <c r="W1450" s="16" t="str">
        <f>IF(DATA[[#This Row],[VALORIZACIÓN ]]="-","NO CORRESPONDE",IF(OR(A1450=20558226979,A1450=10470707866,A1450=20111157058,A1450=20100226902),"NO CORRESPONDE",IF(J1450="Emitida",IF(P1450&gt;0,"EMITIDA","PENDIENTE"),"NO CORRESPONDE")))</f>
        <v>PENDIENTE</v>
      </c>
      <c r="X1450" s="29"/>
      <c r="Y1450" s="17" t="s">
        <v>232</v>
      </c>
      <c r="Z1450" s="30"/>
      <c r="AA1450" s="10"/>
      <c r="AB1450" s="19"/>
      <c r="AC1450" s="20"/>
      <c r="AD1450" s="18">
        <f>DATA[[#This Row],[FECHA DE EMISION]]+DATA[[#This Row],[CONDICION DE PAGO]]</f>
        <v>0</v>
      </c>
      <c r="AE1450" s="23" t="e">
        <f>IF(DATA[[#This Row],[MONEDA]]="USD",VLOOKUP(DATA[[#This Row],[COMBINADA]],#REF!,11,0),1)</f>
        <v>#REF!</v>
      </c>
      <c r="AF1450" s="129" t="str">
        <f>IF(DATA[[#This Row],[SERIE2]]="-","NO CORRESPONDE",IF(W1450="NO CORRESPONDE","NO CORRESPONDE",IF(Z1450&gt;0,"FACTURADO","PENDIENTE")))</f>
        <v>PENDIENTE</v>
      </c>
      <c r="AG1450" s="27">
        <f>IFERROR(VLOOKUP(DATA[[#This Row],[COMBINADA]],#REF!,6,0),0)</f>
        <v>0</v>
      </c>
      <c r="AH1450" s="130">
        <f>IFERROR(VLOOKUP(DATA[[#This Row],[COMBINADA]],#REF!,9,0),0)/COUNTIFS(DATA[COMBINADA],DATA[[#This Row],[COMBINADA]])</f>
        <v>0</v>
      </c>
      <c r="AI1450" s="131">
        <f>IFERROR(VLOOKUP(DATA[[#This Row],[COMBINADA]],#REF!,6,0),0)</f>
        <v>0</v>
      </c>
      <c r="AJ1450" s="132">
        <f>IFERROR(VLOOKUP(DATA[[#This Row],[COMBINADA]],#REF!,9,0),0)/COUNTIFS(DATA[COMBINADA],DATA[[#This Row],[COMBINADA]])</f>
        <v>0</v>
      </c>
      <c r="AK1450" s="131">
        <f>IFERROR(VLOOKUP(DATA[[#This Row],[COMBINADA]],#REF!,6,0),0)</f>
        <v>0</v>
      </c>
      <c r="AL1450" s="125">
        <f>IFERROR(VLOOKUP(DATA[[#This Row],[COMBINADA]],#REF!,9,0),0)/COUNTIFS(DATA[COMBINADA],DATA[[#This Row],[COMBINADA]])</f>
        <v>0</v>
      </c>
      <c r="AM1450" s="27">
        <f>IFERROR(VLOOKUP(DATA[[#This Row],[COMBINADA]],#REF!,6,0),0)</f>
        <v>0</v>
      </c>
      <c r="AN1450" s="125">
        <f>IFERROR(VLOOKUP(DATA[[#This Row],[COMBINADA]],#REF!,9,0),0)/COUNTIFS(DATA[COMBINADA],DATA[[#This Row],[COMBINADA]])</f>
        <v>0</v>
      </c>
      <c r="AO1450" s="27">
        <f>IFERROR(VLOOKUP(DATA[[#This Row],[COMBINADA]],#REF!,6,0),0)</f>
        <v>0</v>
      </c>
      <c r="AP1450" s="132">
        <f>IFERROR(VLOOKUP(DATA[[#This Row],[COMBINADA]],#REF!,9,0),0)/COUNTIFS(DATA[COMBINADA],DATA[[#This Row],[COMBINADA]])</f>
        <v>0</v>
      </c>
      <c r="AQ1450"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50" s="26" t="str">
        <f>IFERROR(IF(DATA[[#This Row],[estado_fact]]="FACTURADO",VLOOKUP(DATA[[#This Row],[SERIE2]]&amp;"-"&amp;DATA[[#This Row],[NUMERO]],#REF!,34,0),"NO CORRESPONDE"),"NO CORRESPONDE")</f>
        <v>NO CORRESPONDE</v>
      </c>
      <c r="AS1450" s="22" t="str">
        <f>IF(DATA[[#This Row],[fecha_fs]]&gt;0,TEXT(DATA[[#This Row],[fecha_fs]],"Mmmm"),0)</f>
        <v>Noviembre</v>
      </c>
      <c r="AT1450" s="22" t="str">
        <f>DATA[[#This Row],[SERIE2]]&amp;"-"&amp;DATA[[#This Row],[NUMERO]]</f>
        <v>-</v>
      </c>
      <c r="AU1450" s="28" t="e">
        <f>DATA[[#This Row],[TOTAL]]*DATA[[#This Row],[T.C.]]</f>
        <v>#REF!</v>
      </c>
      <c r="AV1450" s="6">
        <f>DATA[[#This Row],[FECHA DE VAL.]]</f>
        <v>45987</v>
      </c>
      <c r="AW1450" s="6">
        <f>DATA[[#This Row],[FECHA DE EMISION]]</f>
        <v>0</v>
      </c>
      <c r="AX1450" s="6">
        <f>DATA[[#This Row],[F1]]</f>
        <v>0</v>
      </c>
      <c r="AY1450" s="20">
        <f>IF(AV1450-DATA[[#This Row],[fecha_fs]]&lt;0,0,AV1450-DATA[[#This Row],[fecha_fs]])</f>
        <v>15</v>
      </c>
      <c r="AZ1450" s="20">
        <f t="shared" si="372"/>
        <v>0</v>
      </c>
      <c r="BA1450" s="53">
        <f t="shared" si="373"/>
        <v>0</v>
      </c>
      <c r="BB1450" s="360">
        <f>IFERROR(SUM(DATA[[#This Row],[fs_val_ttf]:[fact_pago_ttf]]),0)</f>
        <v>15</v>
      </c>
      <c r="BC1450" s="378" t="s">
        <v>270</v>
      </c>
      <c r="BD1450" s="185" t="s">
        <v>270</v>
      </c>
      <c r="BE1450" s="185" t="s">
        <v>270</v>
      </c>
      <c r="BF1450" s="185" t="s">
        <v>270</v>
      </c>
      <c r="BG1450" s="20">
        <f>IFERROR(IF(BC1450-DATA[[#This Row],[fecha_fs]]&lt;0,0,BC1450-DATA[[#This Row],[fecha_fs]]),0)</f>
        <v>0</v>
      </c>
      <c r="BH1450" s="20">
        <f t="shared" si="361"/>
        <v>0</v>
      </c>
      <c r="BI1450" s="20">
        <f t="shared" si="362"/>
        <v>0</v>
      </c>
      <c r="BJ1450" s="53">
        <f t="shared" si="363"/>
        <v>0</v>
      </c>
      <c r="BK1450" s="376">
        <f>IFERROR(SUM(DATA[[#This Row],[fs_fd_ttd]:[fend_fenf_ttd]]),0)</f>
        <v>0</v>
      </c>
      <c r="BL1450" s="20" t="str">
        <f>IF(DATA[[#This Row],[fecha_fs]]&gt;0,TEXT(DATA[[#This Row],[fecha_fs]],"YYYY"),0)</f>
        <v>2025</v>
      </c>
      <c r="BM1450" s="236" t="b">
        <v>0</v>
      </c>
      <c r="BN1450" s="278">
        <f>COUNTIF(DATA[[#This Row],[tiempo_td]], "&lt;=15")</f>
        <v>1</v>
      </c>
      <c r="BO1450" s="365"/>
    </row>
    <row r="1451" spans="1:67" ht="30.6" customHeight="1" x14ac:dyDescent="0.25">
      <c r="A1451" s="4">
        <v>20141637941</v>
      </c>
      <c r="B1451" s="5" t="s">
        <v>79</v>
      </c>
      <c r="C1451" s="52" t="s">
        <v>18</v>
      </c>
      <c r="D1451" s="4" t="s">
        <v>120</v>
      </c>
      <c r="E1451" s="5" t="s">
        <v>3</v>
      </c>
      <c r="F1451" s="24">
        <v>45973</v>
      </c>
      <c r="G1451" s="7" t="s">
        <v>113</v>
      </c>
      <c r="H1451" s="25">
        <f t="shared" si="367"/>
        <v>1</v>
      </c>
      <c r="I1451" s="67">
        <v>5225</v>
      </c>
      <c r="J1451" s="8" t="s">
        <v>115</v>
      </c>
      <c r="K1451" s="9" t="s">
        <v>121</v>
      </c>
      <c r="L1451" s="10" t="s">
        <v>117</v>
      </c>
      <c r="M1451" s="11">
        <v>870</v>
      </c>
      <c r="N1451" s="12" t="s">
        <v>249</v>
      </c>
      <c r="O1451" s="6">
        <v>45980</v>
      </c>
      <c r="P1451" s="110"/>
      <c r="Q1451" s="14" t="s">
        <v>85</v>
      </c>
      <c r="R1451" s="401">
        <v>80</v>
      </c>
      <c r="S1451" s="401">
        <v>832</v>
      </c>
      <c r="T1451" s="321">
        <f>DATA[[#This Row],[C. DF]]+DATA[[#This Row],[C.OPE.]]</f>
        <v>912</v>
      </c>
      <c r="U1451" s="15">
        <f>DATA[[#This Row],[SUB TOTAL]]*0.18</f>
        <v>164.16</v>
      </c>
      <c r="V1451" s="15">
        <f>IFERROR(ROUND(DATA[[#This Row],[SUB TOTAL]]+DATA[[#This Row],[IGV]],2),0)</f>
        <v>1076.1600000000001</v>
      </c>
      <c r="W1451" s="339" t="str">
        <f>IF(DATA[[#This Row],[VALORIZACIÓN ]]="-","NO CORRESPONDE",IF(OR(A1451=20558226979,A1451=10470707866,A1451=20111157058,A1451=20100226902),"NO CORRESPONDE",IF(J1451="Emitida",IF(P1451&gt;0,"EMITIDA","PENDIENTE"),"NO CORRESPONDE")))</f>
        <v>PENDIENTE</v>
      </c>
      <c r="X1451" s="29"/>
      <c r="Y1451" s="17" t="s">
        <v>232</v>
      </c>
      <c r="Z1451" s="30"/>
      <c r="AA1451" s="10"/>
      <c r="AB1451" s="19"/>
      <c r="AC1451" s="20"/>
      <c r="AD1451" s="18">
        <f>DATA[[#This Row],[FECHA DE EMISION]]+DATA[[#This Row],[CONDICION DE PAGO]]</f>
        <v>0</v>
      </c>
      <c r="AE1451" s="23">
        <f>IF(DATA[[#This Row],[MONEDA]]="USD",VLOOKUP(DATA[[#This Row],[COMBINADA]],#REF!,11,0),1)</f>
        <v>1</v>
      </c>
      <c r="AF1451" s="129" t="str">
        <f>IF(DATA[[#This Row],[SERIE2]]="-","NO CORRESPONDE",IF(W1451="NO CORRESPONDE","NO CORRESPONDE",IF(Z1451&gt;0,"FACTURADO","PENDIENTE")))</f>
        <v>PENDIENTE</v>
      </c>
      <c r="AG1451" s="27">
        <f>IFERROR(VLOOKUP(DATA[[#This Row],[COMBINADA]],#REF!,6,0),0)</f>
        <v>0</v>
      </c>
      <c r="AH1451" s="130">
        <f>IFERROR(VLOOKUP(DATA[[#This Row],[COMBINADA]],#REF!,9,0),0)/COUNTIFS(DATA[COMBINADA],DATA[[#This Row],[COMBINADA]])</f>
        <v>0</v>
      </c>
      <c r="AI1451" s="131">
        <f>IFERROR(VLOOKUP(DATA[[#This Row],[COMBINADA]],#REF!,6,0),0)</f>
        <v>0</v>
      </c>
      <c r="AJ1451" s="132">
        <f>IFERROR(VLOOKUP(DATA[[#This Row],[COMBINADA]],#REF!,9,0),0)/COUNTIFS(DATA[COMBINADA],DATA[[#This Row],[COMBINADA]])</f>
        <v>0</v>
      </c>
      <c r="AK1451" s="131">
        <f>IFERROR(VLOOKUP(DATA[[#This Row],[COMBINADA]],#REF!,6,0),0)</f>
        <v>0</v>
      </c>
      <c r="AL1451" s="125">
        <f>IFERROR(VLOOKUP(DATA[[#This Row],[COMBINADA]],#REF!,9,0),0)/COUNTIFS(DATA[COMBINADA],DATA[[#This Row],[COMBINADA]])</f>
        <v>0</v>
      </c>
      <c r="AM1451" s="27">
        <f>IFERROR(VLOOKUP(DATA[[#This Row],[COMBINADA]],#REF!,6,0),0)</f>
        <v>0</v>
      </c>
      <c r="AN1451" s="125">
        <f>IFERROR(VLOOKUP(DATA[[#This Row],[COMBINADA]],#REF!,9,0),0)/COUNTIFS(DATA[COMBINADA],DATA[[#This Row],[COMBINADA]])</f>
        <v>0</v>
      </c>
      <c r="AO1451" s="27">
        <f>IFERROR(VLOOKUP(DATA[[#This Row],[COMBINADA]],#REF!,6,0),0)</f>
        <v>0</v>
      </c>
      <c r="AP1451" s="132">
        <f>IFERROR(VLOOKUP(DATA[[#This Row],[COMBINADA]],#REF!,9,0),0)/COUNTIFS(DATA[COMBINADA],DATA[[#This Row],[COMBINADA]])</f>
        <v>0</v>
      </c>
      <c r="AQ1451"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51" s="26" t="str">
        <f>IFERROR(IF(DATA[[#This Row],[estado_fact]]="FACTURADO",VLOOKUP(DATA[[#This Row],[SERIE2]]&amp;"-"&amp;DATA[[#This Row],[NUMERO]],#REF!,34,0),"NO CORRESPONDE"),"NO CORRESPONDE")</f>
        <v>NO CORRESPONDE</v>
      </c>
      <c r="AS1451" s="22" t="str">
        <f>IF(DATA[[#This Row],[fecha_fs]]&gt;0,TEXT(DATA[[#This Row],[fecha_fs]],"Mmmm"),0)</f>
        <v>Noviembre</v>
      </c>
      <c r="AT1451" s="22" t="str">
        <f>DATA[[#This Row],[SERIE2]]&amp;"-"&amp;DATA[[#This Row],[NUMERO]]</f>
        <v>-</v>
      </c>
      <c r="AU1451" s="28">
        <f>DATA[[#This Row],[TOTAL]]*DATA[[#This Row],[T.C.]]</f>
        <v>1076.1600000000001</v>
      </c>
      <c r="AV1451" s="6">
        <f>DATA[[#This Row],[FECHA DE VAL.]]</f>
        <v>45980</v>
      </c>
      <c r="AW1451" s="6">
        <f>DATA[[#This Row],[FECHA DE EMISION]]</f>
        <v>0</v>
      </c>
      <c r="AX1451" s="6">
        <f>DATA[[#This Row],[F1]]</f>
        <v>0</v>
      </c>
      <c r="AY1451" s="20">
        <f>IF(AV1451-DATA[[#This Row],[fecha_fs]]&lt;0,0,AV1451-DATA[[#This Row],[fecha_fs]])</f>
        <v>7</v>
      </c>
      <c r="AZ1451" s="20">
        <f t="shared" ref="AZ1451:AZ1454" si="374">IF(AW1451-AV1451&lt;0,0,AW1451-AV1451)</f>
        <v>0</v>
      </c>
      <c r="BA1451" s="53">
        <f t="shared" ref="BA1451:BA1454" si="375">IF(AX1451-AW1451&lt;0,0,AX1451-AW1451)</f>
        <v>0</v>
      </c>
      <c r="BB1451" s="360">
        <f>IFERROR(SUM(DATA[[#This Row],[fs_val_ttf]:[fact_pago_ttf]]),0)</f>
        <v>7</v>
      </c>
      <c r="BC1451" s="378" t="s">
        <v>270</v>
      </c>
      <c r="BD1451" s="185" t="s">
        <v>270</v>
      </c>
      <c r="BE1451" s="185" t="s">
        <v>270</v>
      </c>
      <c r="BF1451" s="185" t="s">
        <v>270</v>
      </c>
      <c r="BG1451" s="20">
        <f>IFERROR(IF(BC1451-DATA[[#This Row],[fecha_fs]]&lt;0,0,BC1451-DATA[[#This Row],[fecha_fs]]),0)</f>
        <v>0</v>
      </c>
      <c r="BH1451" s="20">
        <f t="shared" si="361"/>
        <v>0</v>
      </c>
      <c r="BI1451" s="20">
        <f t="shared" si="362"/>
        <v>0</v>
      </c>
      <c r="BJ1451" s="53">
        <f t="shared" si="363"/>
        <v>0</v>
      </c>
      <c r="BK1451" s="376">
        <f>IFERROR(SUM(DATA[[#This Row],[fs_fd_ttd]:[fend_fenf_ttd]]),0)</f>
        <v>0</v>
      </c>
      <c r="BL1451" s="20" t="str">
        <f>IF(DATA[[#This Row],[fecha_fs]]&gt;0,TEXT(DATA[[#This Row],[fecha_fs]],"YYYY"),0)</f>
        <v>2025</v>
      </c>
      <c r="BM1451" s="236" t="b">
        <v>0</v>
      </c>
      <c r="BN1451" s="278">
        <f>COUNTIF(DATA[[#This Row],[tiempo_td]], "&lt;=15")</f>
        <v>1</v>
      </c>
      <c r="BO1451" s="365"/>
    </row>
    <row r="1452" spans="1:67" ht="30.6" customHeight="1" x14ac:dyDescent="0.25">
      <c r="A1452" s="4">
        <v>20100211115</v>
      </c>
      <c r="B1452" s="5" t="s">
        <v>41</v>
      </c>
      <c r="C1452" s="52" t="s">
        <v>18</v>
      </c>
      <c r="D1452" s="4" t="s">
        <v>120</v>
      </c>
      <c r="E1452" s="5" t="s">
        <v>3</v>
      </c>
      <c r="F1452" s="24">
        <v>45973</v>
      </c>
      <c r="G1452" s="7" t="s">
        <v>113</v>
      </c>
      <c r="H1452" s="25">
        <f t="shared" si="367"/>
        <v>1</v>
      </c>
      <c r="I1452" s="67">
        <v>5226</v>
      </c>
      <c r="J1452" s="8" t="s">
        <v>115</v>
      </c>
      <c r="K1452" s="9" t="s">
        <v>121</v>
      </c>
      <c r="L1452" s="10" t="s">
        <v>117</v>
      </c>
      <c r="M1452" s="11">
        <v>90</v>
      </c>
      <c r="N1452" s="112" t="s">
        <v>132</v>
      </c>
      <c r="O1452" s="6">
        <v>45989</v>
      </c>
      <c r="P1452" s="115"/>
      <c r="Q1452" s="14" t="s">
        <v>85</v>
      </c>
      <c r="R1452" s="74"/>
      <c r="S1452" s="401">
        <f>(DATA[[#This Row],[cantidad_fs]]*4.17)</f>
        <v>375.3</v>
      </c>
      <c r="T1452" s="321">
        <f>DATA[[#This Row],[C. DF]]+DATA[[#This Row],[C.OPE.]]</f>
        <v>375.3</v>
      </c>
      <c r="U1452" s="15">
        <f>DATA[[#This Row],[SUB TOTAL]]*0.18</f>
        <v>67.554000000000002</v>
      </c>
      <c r="V1452" s="15">
        <f>IFERROR(ROUND(DATA[[#This Row],[SUB TOTAL]]+DATA[[#This Row],[IGV]],2),0)</f>
        <v>442.85</v>
      </c>
      <c r="W1452" s="339" t="str">
        <f>IF(DATA[[#This Row],[VALORIZACIÓN ]]="-","NO CORRESPONDE",IF(OR(A1452=20558226979,A1452=10470707866,A1452=20111157058,A1452=20100226902),"NO CORRESPONDE",IF(J1452="Emitida",IF(P1452&gt;0,"EMITIDA","PENDIENTE"),"NO CORRESPONDE")))</f>
        <v>PENDIENTE</v>
      </c>
      <c r="X1452" s="29"/>
      <c r="Y1452" s="17" t="s">
        <v>232</v>
      </c>
      <c r="Z1452" s="30"/>
      <c r="AA1452" s="10"/>
      <c r="AB1452" s="19"/>
      <c r="AC1452" s="20"/>
      <c r="AD1452" s="18">
        <f>DATA[[#This Row],[FECHA DE EMISION]]+DATA[[#This Row],[CONDICION DE PAGO]]</f>
        <v>0</v>
      </c>
      <c r="AE1452" s="23">
        <f>IF(DATA[[#This Row],[MONEDA]]="USD",VLOOKUP(DATA[[#This Row],[COMBINADA]],#REF!,11,0),1)</f>
        <v>1</v>
      </c>
      <c r="AF1452" s="129" t="str">
        <f>IF(DATA[[#This Row],[SERIE2]]="-","NO CORRESPONDE",IF(W1452="NO CORRESPONDE","NO CORRESPONDE",IF(Z1452&gt;0,"FACTURADO","PENDIENTE")))</f>
        <v>PENDIENTE</v>
      </c>
      <c r="AG1452" s="27">
        <f>IFERROR(VLOOKUP(DATA[[#This Row],[COMBINADA]],#REF!,6,0),0)</f>
        <v>0</v>
      </c>
      <c r="AH1452" s="130">
        <f>IFERROR(VLOOKUP(DATA[[#This Row],[COMBINADA]],#REF!,9,0),0)/COUNTIFS(DATA[COMBINADA],DATA[[#This Row],[COMBINADA]])</f>
        <v>0</v>
      </c>
      <c r="AI1452" s="131">
        <f>IFERROR(VLOOKUP(DATA[[#This Row],[COMBINADA]],#REF!,6,0),0)</f>
        <v>0</v>
      </c>
      <c r="AJ1452" s="132">
        <f>IFERROR(VLOOKUP(DATA[[#This Row],[COMBINADA]],#REF!,9,0),0)/COUNTIFS(DATA[COMBINADA],DATA[[#This Row],[COMBINADA]])</f>
        <v>0</v>
      </c>
      <c r="AK1452" s="131">
        <f>IFERROR(VLOOKUP(DATA[[#This Row],[COMBINADA]],#REF!,6,0),0)</f>
        <v>0</v>
      </c>
      <c r="AL1452" s="125">
        <f>IFERROR(VLOOKUP(DATA[[#This Row],[COMBINADA]],#REF!,9,0),0)/COUNTIFS(DATA[COMBINADA],DATA[[#This Row],[COMBINADA]])</f>
        <v>0</v>
      </c>
      <c r="AM1452" s="27">
        <f>IFERROR(VLOOKUP(DATA[[#This Row],[COMBINADA]],#REF!,6,0),0)</f>
        <v>0</v>
      </c>
      <c r="AN1452" s="125">
        <f>IFERROR(VLOOKUP(DATA[[#This Row],[COMBINADA]],#REF!,9,0),0)/COUNTIFS(DATA[COMBINADA],DATA[[#This Row],[COMBINADA]])</f>
        <v>0</v>
      </c>
      <c r="AO1452" s="27">
        <f>IFERROR(VLOOKUP(DATA[[#This Row],[COMBINADA]],#REF!,6,0),0)</f>
        <v>0</v>
      </c>
      <c r="AP1452" s="132">
        <f>IFERROR(VLOOKUP(DATA[[#This Row],[COMBINADA]],#REF!,9,0),0)/COUNTIFS(DATA[COMBINADA],DATA[[#This Row],[COMBINADA]])</f>
        <v>0</v>
      </c>
      <c r="AQ1452"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52" s="26" t="str">
        <f>IFERROR(IF(DATA[[#This Row],[estado_fact]]="FACTURADO",VLOOKUP(DATA[[#This Row],[SERIE2]]&amp;"-"&amp;DATA[[#This Row],[NUMERO]],#REF!,34,0),"NO CORRESPONDE"),"NO CORRESPONDE")</f>
        <v>NO CORRESPONDE</v>
      </c>
      <c r="AS1452" s="22" t="str">
        <f>IF(DATA[[#This Row],[fecha_fs]]&gt;0,TEXT(DATA[[#This Row],[fecha_fs]],"Mmmm"),0)</f>
        <v>Noviembre</v>
      </c>
      <c r="AT1452" s="22" t="str">
        <f>DATA[[#This Row],[SERIE2]]&amp;"-"&amp;DATA[[#This Row],[NUMERO]]</f>
        <v>-</v>
      </c>
      <c r="AU1452" s="28">
        <f>DATA[[#This Row],[TOTAL]]*DATA[[#This Row],[T.C.]]</f>
        <v>442.85</v>
      </c>
      <c r="AV1452" s="6">
        <f>DATA[[#This Row],[FECHA DE VAL.]]</f>
        <v>45989</v>
      </c>
      <c r="AW1452" s="6">
        <f>DATA[[#This Row],[FECHA DE EMISION]]</f>
        <v>0</v>
      </c>
      <c r="AX1452" s="6">
        <f>DATA[[#This Row],[F1]]</f>
        <v>0</v>
      </c>
      <c r="AY1452" s="20">
        <f>IF(AV1452-DATA[[#This Row],[fecha_fs]]&lt;0,0,AV1452-DATA[[#This Row],[fecha_fs]])</f>
        <v>16</v>
      </c>
      <c r="AZ1452" s="20">
        <f t="shared" si="374"/>
        <v>0</v>
      </c>
      <c r="BA1452" s="53">
        <f t="shared" si="375"/>
        <v>0</v>
      </c>
      <c r="BB1452" s="360">
        <f>IFERROR(SUM(DATA[[#This Row],[fs_val_ttf]:[fact_pago_ttf]]),0)</f>
        <v>16</v>
      </c>
      <c r="BC1452" s="378" t="s">
        <v>270</v>
      </c>
      <c r="BD1452" s="185" t="s">
        <v>270</v>
      </c>
      <c r="BE1452" s="185" t="s">
        <v>270</v>
      </c>
      <c r="BF1452" s="185" t="s">
        <v>270</v>
      </c>
      <c r="BG1452" s="20">
        <f>IFERROR(IF(BC1452-DATA[[#This Row],[fecha_fs]]&lt;0,0,BC1452-DATA[[#This Row],[fecha_fs]]),0)</f>
        <v>0</v>
      </c>
      <c r="BH1452" s="20">
        <f t="shared" si="361"/>
        <v>0</v>
      </c>
      <c r="BI1452" s="20">
        <f t="shared" si="362"/>
        <v>0</v>
      </c>
      <c r="BJ1452" s="53">
        <f t="shared" si="363"/>
        <v>0</v>
      </c>
      <c r="BK1452" s="376">
        <f>IFERROR(SUM(DATA[[#This Row],[fs_fd_ttd]:[fend_fenf_ttd]]),0)</f>
        <v>0</v>
      </c>
      <c r="BL1452" s="20" t="str">
        <f>IF(DATA[[#This Row],[fecha_fs]]&gt;0,TEXT(DATA[[#This Row],[fecha_fs]],"YYYY"),0)</f>
        <v>2025</v>
      </c>
      <c r="BM1452" s="236" t="b">
        <v>0</v>
      </c>
      <c r="BN1452" s="278">
        <f>COUNTIF(DATA[[#This Row],[tiempo_td]], "&lt;=15")</f>
        <v>1</v>
      </c>
      <c r="BO1452" s="365"/>
    </row>
    <row r="1453" spans="1:67" ht="30.6" customHeight="1" x14ac:dyDescent="0.25">
      <c r="A1453" s="4"/>
      <c r="B1453" s="5" t="s">
        <v>0</v>
      </c>
      <c r="C1453" s="52"/>
      <c r="D1453" s="4"/>
      <c r="E1453" s="5" t="s">
        <v>0</v>
      </c>
      <c r="F1453" s="24"/>
      <c r="G1453" s="7" t="s">
        <v>113</v>
      </c>
      <c r="H1453" s="25">
        <f t="shared" si="367"/>
        <v>1</v>
      </c>
      <c r="I1453" s="116">
        <v>5227</v>
      </c>
      <c r="J1453" s="8"/>
      <c r="K1453" s="9"/>
      <c r="L1453" s="10"/>
      <c r="M1453" s="11"/>
      <c r="N1453" s="12"/>
      <c r="O1453" s="6"/>
      <c r="P1453" s="13"/>
      <c r="Q1453" s="14"/>
      <c r="R1453" s="74"/>
      <c r="S1453" s="74"/>
      <c r="T1453" s="321">
        <f>DATA[[#This Row],[C. DF]]+DATA[[#This Row],[C.OPE.]]</f>
        <v>0</v>
      </c>
      <c r="U1453" s="15">
        <f>DATA[[#This Row],[SUB TOTAL]]*0.18</f>
        <v>0</v>
      </c>
      <c r="V1453" s="15">
        <f>IFERROR(ROUND(DATA[[#This Row],[SUB TOTAL]]+DATA[[#This Row],[IGV]],2),0)</f>
        <v>0</v>
      </c>
      <c r="W1453" s="339" t="str">
        <f>IF(DATA[[#This Row],[VALORIZACIÓN ]]="-","NO CORRESPONDE",IF(OR(A1453=20558226979,A1453=10470707866,A1453=20111157058,A1453=20100226902),"NO CORRESPONDE",IF(J1453="Emitida",IF(P1453&gt;0,"EMITIDA","PENDIENTE"),"NO CORRESPONDE")))</f>
        <v>NO CORRESPONDE</v>
      </c>
      <c r="X1453" s="29"/>
      <c r="Y1453" s="17" t="s">
        <v>232</v>
      </c>
      <c r="Z1453" s="30"/>
      <c r="AA1453" s="10"/>
      <c r="AB1453" s="19"/>
      <c r="AC1453" s="20"/>
      <c r="AD1453" s="18">
        <f>DATA[[#This Row],[FECHA DE EMISION]]+DATA[[#This Row],[CONDICION DE PAGO]]</f>
        <v>0</v>
      </c>
      <c r="AE1453" s="23">
        <f>IF(DATA[[#This Row],[MONEDA]]="USD",VLOOKUP(DATA[[#This Row],[COMBINADA]],#REF!,11,0),1)</f>
        <v>1</v>
      </c>
      <c r="AF1453" s="129" t="str">
        <f>IF(DATA[[#This Row],[SERIE2]]="-","NO CORRESPONDE",IF(W1453="NO CORRESPONDE","NO CORRESPONDE",IF(Z1453&gt;0,"FACTURADO","PENDIENTE")))</f>
        <v>NO CORRESPONDE</v>
      </c>
      <c r="AG1453" s="27">
        <f>IFERROR(VLOOKUP(DATA[[#This Row],[COMBINADA]],#REF!,6,0),0)</f>
        <v>0</v>
      </c>
      <c r="AH1453" s="130">
        <f>IFERROR(VLOOKUP(DATA[[#This Row],[COMBINADA]],#REF!,9,0),0)/COUNTIFS(DATA[COMBINADA],DATA[[#This Row],[COMBINADA]])</f>
        <v>0</v>
      </c>
      <c r="AI1453" s="131">
        <f>IFERROR(VLOOKUP(DATA[[#This Row],[COMBINADA]],#REF!,6,0),0)</f>
        <v>0</v>
      </c>
      <c r="AJ1453" s="132">
        <f>IFERROR(VLOOKUP(DATA[[#This Row],[COMBINADA]],#REF!,9,0),0)/COUNTIFS(DATA[COMBINADA],DATA[[#This Row],[COMBINADA]])</f>
        <v>0</v>
      </c>
      <c r="AK1453" s="131">
        <f>IFERROR(VLOOKUP(DATA[[#This Row],[COMBINADA]],#REF!,6,0),0)</f>
        <v>0</v>
      </c>
      <c r="AL1453" s="125">
        <f>IFERROR(VLOOKUP(DATA[[#This Row],[COMBINADA]],#REF!,9,0),0)/COUNTIFS(DATA[COMBINADA],DATA[[#This Row],[COMBINADA]])</f>
        <v>0</v>
      </c>
      <c r="AM1453" s="27">
        <f>IFERROR(VLOOKUP(DATA[[#This Row],[COMBINADA]],#REF!,6,0),0)</f>
        <v>0</v>
      </c>
      <c r="AN1453" s="125">
        <f>IFERROR(VLOOKUP(DATA[[#This Row],[COMBINADA]],#REF!,9,0),0)/COUNTIFS(DATA[COMBINADA],DATA[[#This Row],[COMBINADA]])</f>
        <v>0</v>
      </c>
      <c r="AO1453" s="27">
        <f>IFERROR(VLOOKUP(DATA[[#This Row],[COMBINADA]],#REF!,6,0),0)</f>
        <v>0</v>
      </c>
      <c r="AP1453" s="132">
        <f>IFERROR(VLOOKUP(DATA[[#This Row],[COMBINADA]],#REF!,9,0),0)/COUNTIFS(DATA[COMBINADA],DATA[[#This Row],[COMBINADA]])</f>
        <v>0</v>
      </c>
      <c r="AQ1453"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53" s="26" t="str">
        <f>IFERROR(IF(DATA[[#This Row],[estado_fact]]="FACTURADO",VLOOKUP(DATA[[#This Row],[SERIE2]]&amp;"-"&amp;DATA[[#This Row],[NUMERO]],#REF!,34,0),"NO CORRESPONDE"),"NO CORRESPONDE")</f>
        <v>NO CORRESPONDE</v>
      </c>
      <c r="AS1453" s="22">
        <f>IF(DATA[[#This Row],[fecha_fs]]&gt;0,TEXT(DATA[[#This Row],[fecha_fs]],"Mmmm"),0)</f>
        <v>0</v>
      </c>
      <c r="AT1453" s="22" t="str">
        <f>DATA[[#This Row],[SERIE2]]&amp;"-"&amp;DATA[[#This Row],[NUMERO]]</f>
        <v>-</v>
      </c>
      <c r="AU1453" s="28">
        <f>DATA[[#This Row],[TOTAL]]*DATA[[#This Row],[T.C.]]</f>
        <v>0</v>
      </c>
      <c r="AV1453" s="6">
        <f>DATA[[#This Row],[FECHA DE VAL.]]</f>
        <v>0</v>
      </c>
      <c r="AW1453" s="6">
        <f>DATA[[#This Row],[FECHA DE EMISION]]</f>
        <v>0</v>
      </c>
      <c r="AX1453" s="6">
        <f>DATA[[#This Row],[F1]]</f>
        <v>0</v>
      </c>
      <c r="AY1453" s="20">
        <f>IF(AV1453-DATA[[#This Row],[fecha_fs]]&lt;0,0,AV1453-DATA[[#This Row],[fecha_fs]])</f>
        <v>0</v>
      </c>
      <c r="AZ1453" s="20">
        <f t="shared" si="374"/>
        <v>0</v>
      </c>
      <c r="BA1453" s="53">
        <f t="shared" si="375"/>
        <v>0</v>
      </c>
      <c r="BB1453" s="360">
        <f>IFERROR(SUM(DATA[[#This Row],[fs_val_ttf]:[fact_pago_ttf]]),0)</f>
        <v>0</v>
      </c>
      <c r="BC1453" s="378" t="s">
        <v>270</v>
      </c>
      <c r="BD1453" s="185" t="s">
        <v>270</v>
      </c>
      <c r="BE1453" s="185" t="s">
        <v>270</v>
      </c>
      <c r="BF1453" s="185" t="s">
        <v>270</v>
      </c>
      <c r="BG1453" s="20">
        <f>IFERROR(IF(BC1453-DATA[[#This Row],[fecha_fs]]&lt;0,0,BC1453-DATA[[#This Row],[fecha_fs]]),0)</f>
        <v>0</v>
      </c>
      <c r="BH1453" s="20">
        <f t="shared" si="361"/>
        <v>0</v>
      </c>
      <c r="BI1453" s="20">
        <f t="shared" si="362"/>
        <v>0</v>
      </c>
      <c r="BJ1453" s="53">
        <f t="shared" si="363"/>
        <v>0</v>
      </c>
      <c r="BK1453" s="376">
        <f>IFERROR(SUM(DATA[[#This Row],[fs_fd_ttd]:[fend_fenf_ttd]]),0)</f>
        <v>0</v>
      </c>
      <c r="BL1453" s="20">
        <f>IF(DATA[[#This Row],[fecha_fs]]&gt;0,TEXT(DATA[[#This Row],[fecha_fs]],"YYYY"),0)</f>
        <v>0</v>
      </c>
      <c r="BM1453" s="236" t="b">
        <v>0</v>
      </c>
      <c r="BN1453" s="278">
        <f>COUNTIF(DATA[[#This Row],[tiempo_td]], "&lt;=15")</f>
        <v>1</v>
      </c>
      <c r="BO1453" s="365"/>
    </row>
    <row r="1454" spans="1:67" ht="30.6" customHeight="1" x14ac:dyDescent="0.25">
      <c r="A1454" s="4">
        <v>20100055237</v>
      </c>
      <c r="B1454" s="5" t="s">
        <v>21</v>
      </c>
      <c r="C1454" s="52" t="s">
        <v>138</v>
      </c>
      <c r="D1454" s="4" t="s">
        <v>120</v>
      </c>
      <c r="E1454" s="5" t="s">
        <v>3</v>
      </c>
      <c r="F1454" s="24">
        <v>45974</v>
      </c>
      <c r="G1454" s="7" t="s">
        <v>113</v>
      </c>
      <c r="H1454" s="25">
        <f t="shared" si="367"/>
        <v>1</v>
      </c>
      <c r="I1454" s="67">
        <v>5228</v>
      </c>
      <c r="J1454" s="8" t="s">
        <v>115</v>
      </c>
      <c r="K1454" s="9" t="s">
        <v>121</v>
      </c>
      <c r="L1454" s="10" t="s">
        <v>117</v>
      </c>
      <c r="M1454" s="11">
        <v>70</v>
      </c>
      <c r="N1454" s="112" t="s">
        <v>125</v>
      </c>
      <c r="O1454" s="6">
        <v>45989</v>
      </c>
      <c r="P1454" s="54"/>
      <c r="Q1454" s="14" t="s">
        <v>85</v>
      </c>
      <c r="R1454" s="74"/>
      <c r="S1454" s="401">
        <v>297.92</v>
      </c>
      <c r="T1454" s="321">
        <f>DATA[[#This Row],[C. DF]]+DATA[[#This Row],[C.OPE.]]</f>
        <v>297.92</v>
      </c>
      <c r="U1454" s="15">
        <f>DATA[[#This Row],[SUB TOTAL]]*0.18</f>
        <v>53.625599999999999</v>
      </c>
      <c r="V1454" s="15">
        <f>IFERROR(ROUND(DATA[[#This Row],[SUB TOTAL]]+DATA[[#This Row],[IGV]],2),0)</f>
        <v>351.55</v>
      </c>
      <c r="W1454" s="339" t="str">
        <f>IF(DATA[[#This Row],[VALORIZACIÓN ]]="-","NO CORRESPONDE",IF(OR(A1454=20558226979,A1454=10470707866,A1454=20111157058,A1454=20100226902),"NO CORRESPONDE",IF(J1454="Emitida",IF(P1454&gt;0,"EMITIDA","PENDIENTE"),"NO CORRESPONDE")))</f>
        <v>PENDIENTE</v>
      </c>
      <c r="X1454" s="29"/>
      <c r="Y1454" s="17" t="s">
        <v>232</v>
      </c>
      <c r="Z1454" s="30"/>
      <c r="AA1454" s="10"/>
      <c r="AB1454" s="19"/>
      <c r="AC1454" s="20"/>
      <c r="AD1454" s="18">
        <f>DATA[[#This Row],[FECHA DE EMISION]]+DATA[[#This Row],[CONDICION DE PAGO]]</f>
        <v>0</v>
      </c>
      <c r="AE1454" s="23">
        <f>IF(DATA[[#This Row],[MONEDA]]="USD",VLOOKUP(DATA[[#This Row],[COMBINADA]],#REF!,11,0),1)</f>
        <v>1</v>
      </c>
      <c r="AF1454" s="129" t="str">
        <f>IF(DATA[[#This Row],[SERIE2]]="-","NO CORRESPONDE",IF(W1454="NO CORRESPONDE","NO CORRESPONDE",IF(Z1454&gt;0,"FACTURADO","PENDIENTE")))</f>
        <v>PENDIENTE</v>
      </c>
      <c r="AG1454" s="27">
        <f>IFERROR(VLOOKUP(DATA[[#This Row],[COMBINADA]],#REF!,6,0),0)</f>
        <v>0</v>
      </c>
      <c r="AH1454" s="130">
        <f>IFERROR(VLOOKUP(DATA[[#This Row],[COMBINADA]],#REF!,9,0),0)/COUNTIFS(DATA[COMBINADA],DATA[[#This Row],[COMBINADA]])</f>
        <v>0</v>
      </c>
      <c r="AI1454" s="131">
        <f>IFERROR(VLOOKUP(DATA[[#This Row],[COMBINADA]],#REF!,6,0),0)</f>
        <v>0</v>
      </c>
      <c r="AJ1454" s="132">
        <f>IFERROR(VLOOKUP(DATA[[#This Row],[COMBINADA]],#REF!,9,0),0)/COUNTIFS(DATA[COMBINADA],DATA[[#This Row],[COMBINADA]])</f>
        <v>0</v>
      </c>
      <c r="AK1454" s="131">
        <f>IFERROR(VLOOKUP(DATA[[#This Row],[COMBINADA]],#REF!,6,0),0)</f>
        <v>0</v>
      </c>
      <c r="AL1454" s="125">
        <f>IFERROR(VLOOKUP(DATA[[#This Row],[COMBINADA]],#REF!,9,0),0)/COUNTIFS(DATA[COMBINADA],DATA[[#This Row],[COMBINADA]])</f>
        <v>0</v>
      </c>
      <c r="AM1454" s="27">
        <f>IFERROR(VLOOKUP(DATA[[#This Row],[COMBINADA]],#REF!,6,0),0)</f>
        <v>0</v>
      </c>
      <c r="AN1454" s="125">
        <f>IFERROR(VLOOKUP(DATA[[#This Row],[COMBINADA]],#REF!,9,0),0)/COUNTIFS(DATA[COMBINADA],DATA[[#This Row],[COMBINADA]])</f>
        <v>0</v>
      </c>
      <c r="AO1454" s="27">
        <f>IFERROR(VLOOKUP(DATA[[#This Row],[COMBINADA]],#REF!,6,0),0)</f>
        <v>0</v>
      </c>
      <c r="AP1454" s="132">
        <f>IFERROR(VLOOKUP(DATA[[#This Row],[COMBINADA]],#REF!,9,0),0)/COUNTIFS(DATA[COMBINADA],DATA[[#This Row],[COMBINADA]])</f>
        <v>0</v>
      </c>
      <c r="AQ1454" s="21">
        <f>((SUMIFS(DATA[TOTAL],DATA[COMBINADA],DATA[[#This Row],[COMBINADA]]))-(SUMIFS(DATA[IMPORTE 1],DATA[COMBINADA],DATA[[#This Row],[COMBINADA]])+SUMIFS(DATA[IMPORTE 2],DATA[COMBINADA],DATA[[#This Row],[COMBINADA]])+SUMIFS(DATA[IMPORTE 3],DATA[COMBINADA],DATA[[#This Row],[COMBINADA]])+SUMIFS(DATA[IMPORTE 4],DATA[COMBINADA],DATA[[#This Row],[COMBINADA]])+SUMIFS(DATA[IMPORTE 5],DATA[COMBINADA],DATA[[#This Row],[COMBINADA]])))/COUNTIFS(DATA[COMBINADA],DATA[[#This Row],[COMBINADA]])</f>
        <v>400.41284172661898</v>
      </c>
      <c r="AR1454" s="26" t="str">
        <f>IFERROR(IF(DATA[[#This Row],[estado_fact]]="FACTURADO",VLOOKUP(DATA[[#This Row],[SERIE2]]&amp;"-"&amp;DATA[[#This Row],[NUMERO]],#REF!,34,0),"NO CORRESPONDE"),"NO CORRESPONDE")</f>
        <v>NO CORRESPONDE</v>
      </c>
      <c r="AS1454" s="22" t="str">
        <f>IF(DATA[[#This Row],[fecha_fs]]&gt;0,TEXT(DATA[[#This Row],[fecha_fs]],"Mmmm"),0)</f>
        <v>Noviembre</v>
      </c>
      <c r="AT1454" s="22" t="str">
        <f>DATA[[#This Row],[SERIE2]]&amp;"-"&amp;DATA[[#This Row],[NUMERO]]</f>
        <v>-</v>
      </c>
      <c r="AU1454" s="28">
        <f>DATA[[#This Row],[TOTAL]]*DATA[[#This Row],[T.C.]]</f>
        <v>351.55</v>
      </c>
      <c r="AV1454" s="6">
        <f>DATA[[#This Row],[FECHA DE VAL.]]</f>
        <v>45989</v>
      </c>
      <c r="AW1454" s="6">
        <f>DATA[[#This Row],[FECHA DE EMISION]]</f>
        <v>0</v>
      </c>
      <c r="AX1454" s="6">
        <f>DATA[[#This Row],[F1]]</f>
        <v>0</v>
      </c>
      <c r="AY1454" s="20">
        <f>IF(AV1454-DATA[[#This Row],[fecha_fs]]&lt;0,0,AV1454-DATA[[#This Row],[fecha_fs]])</f>
        <v>15</v>
      </c>
      <c r="AZ1454" s="20">
        <f t="shared" si="374"/>
        <v>0</v>
      </c>
      <c r="BA1454" s="53">
        <f t="shared" si="375"/>
        <v>0</v>
      </c>
      <c r="BB1454" s="360">
        <f>IFERROR(SUM(DATA[[#This Row],[fs_val_ttf]:[fact_pago_ttf]]),0)</f>
        <v>15</v>
      </c>
      <c r="BC1454" s="378" t="s">
        <v>270</v>
      </c>
      <c r="BD1454" s="185" t="s">
        <v>270</v>
      </c>
      <c r="BE1454" s="185" t="s">
        <v>270</v>
      </c>
      <c r="BF1454" s="185" t="s">
        <v>270</v>
      </c>
      <c r="BG1454" s="20">
        <f>IFERROR(IF(BC1454-DATA[[#This Row],[fecha_fs]]&lt;0,0,BC1454-DATA[[#This Row],[fecha_fs]]),0)</f>
        <v>0</v>
      </c>
      <c r="BH1454" s="20">
        <f t="shared" si="361"/>
        <v>0</v>
      </c>
      <c r="BI1454" s="20">
        <f t="shared" si="362"/>
        <v>0</v>
      </c>
      <c r="BJ1454" s="53">
        <f t="shared" si="363"/>
        <v>0</v>
      </c>
      <c r="BK1454" s="376">
        <f>IFERROR(SUM(DATA[[#This Row],[fs_fd_ttd]:[fend_fenf_ttd]]),0)</f>
        <v>0</v>
      </c>
      <c r="BL1454" s="20" t="str">
        <f>IF(DATA[[#This Row],[fecha_fs]]&gt;0,TEXT(DATA[[#This Row],[fecha_fs]],"YYYY"),0)</f>
        <v>2025</v>
      </c>
      <c r="BM1454" s="236" t="b">
        <v>0</v>
      </c>
      <c r="BN1454" s="278">
        <f>COUNTIF(DATA[[#This Row],[tiempo_td]], "&lt;=15")</f>
        <v>1</v>
      </c>
      <c r="BO1454" s="365"/>
    </row>
    <row r="1455" spans="1:67" ht="15" customHeight="1" x14ac:dyDescent="0.25">
      <c r="A1455" s="31" t="s">
        <v>84</v>
      </c>
      <c r="B1455" s="32"/>
      <c r="C1455" s="31"/>
      <c r="D1455" s="31"/>
      <c r="E1455" s="32"/>
      <c r="F1455" s="33"/>
      <c r="G1455" s="33"/>
      <c r="H1455" s="33"/>
      <c r="I1455" s="33"/>
      <c r="J1455" s="33"/>
      <c r="K1455" s="33">
        <f>SUBTOTAL(103,DATA[detalle_servicio_fs])</f>
        <v>1363</v>
      </c>
      <c r="L1455" s="33"/>
      <c r="M1455" s="34">
        <f>SUBTOTAL(109,DATA[cantidad_fs])</f>
        <v>2802218.9000000004</v>
      </c>
      <c r="N1455" s="35"/>
      <c r="O1455" s="33"/>
      <c r="P1455" s="36"/>
      <c r="Q1455" s="35"/>
      <c r="R1455" s="150">
        <f>SUBTOTAL(109,DATA[C. DF])</f>
        <v>386136.5299439996</v>
      </c>
      <c r="S1455" s="150">
        <f>SUBTOTAL(109,DATA[C.OPE.])</f>
        <v>1013659.5340000006</v>
      </c>
      <c r="T1455" s="37">
        <f>SUBTOTAL(109,DATA[SUB TOTAL])</f>
        <v>1409882.7767439994</v>
      </c>
      <c r="U1455" s="37">
        <f>SUBTOTAL(109,DATA[IGV])</f>
        <v>253577.29981392043</v>
      </c>
      <c r="V1455" s="37">
        <f>SUBTOTAL(109,DATA[TOTAL])</f>
        <v>1663460.0700000077</v>
      </c>
      <c r="W1455" s="33"/>
      <c r="X1455" s="35"/>
      <c r="Y1455" s="35"/>
      <c r="Z1455" s="33"/>
      <c r="AA1455" s="33"/>
      <c r="AB1455" s="33"/>
      <c r="AC1455" s="33"/>
      <c r="AD1455" s="33"/>
      <c r="AE1455" s="33"/>
      <c r="AF1455" s="137"/>
      <c r="AG1455" s="178"/>
      <c r="AH1455" s="290">
        <f>SUBTOTAL(109,DATA[IMPORTE 1])</f>
        <v>0</v>
      </c>
      <c r="AI1455" s="290"/>
      <c r="AJ1455" s="290">
        <f>SUBTOTAL(109,DATA[IMPORTE 2])</f>
        <v>0</v>
      </c>
      <c r="AK1455" s="290"/>
      <c r="AL1455" s="290">
        <f>SUBTOTAL(109,DATA[IMPORTE 3])</f>
        <v>0</v>
      </c>
      <c r="AM1455" s="148"/>
      <c r="AN1455" s="149">
        <f>SUBTOTAL(109,DATA[IMPORTE 4])</f>
        <v>0</v>
      </c>
      <c r="AO1455" s="38"/>
      <c r="AP1455" s="38">
        <f>SUBTOTAL(109,DATA[IMPORTE 5])</f>
        <v>0</v>
      </c>
      <c r="AQ1455" s="167">
        <f>SUBTOTAL(109,DATA[saldo_ps])</f>
        <v>1663460.0700000068</v>
      </c>
      <c r="AR1455" s="178"/>
      <c r="AS1455" s="179">
        <f>SUBTOTAL(103,DATA[PERIODO])</f>
        <v>1453</v>
      </c>
      <c r="AT1455" s="191"/>
      <c r="AU1455" s="180"/>
      <c r="AV1455" s="180"/>
      <c r="AW1455" s="180"/>
      <c r="AX1455" s="180"/>
      <c r="AY1455" s="55">
        <f>SUBTOTAL(101,AY2:AY1454)</f>
        <v>7.8960770818995183</v>
      </c>
      <c r="AZ1455" s="55">
        <f>SUBTOTAL(101,AZ2:AZ1454)</f>
        <v>12.934618031658637</v>
      </c>
      <c r="BA1455" s="55">
        <f>SUBTOTAL(101,BA2:BA1454)</f>
        <v>0</v>
      </c>
      <c r="BB1455" s="203">
        <f>SUBTOTAL(101,BB2:BB1454)</f>
        <v>20.830695113558157</v>
      </c>
      <c r="BC1455" s="55"/>
      <c r="BD1455" s="180"/>
      <c r="BE1455" s="180"/>
      <c r="BF1455" s="180"/>
      <c r="BG1455" s="55">
        <f>SUBTOTAL(101,BG2:BG1454)</f>
        <v>7.2320936639118454</v>
      </c>
      <c r="BH1455" s="55">
        <f>SUBTOTAL(101,BH2:BH1454)</f>
        <v>6.1170798898071626</v>
      </c>
      <c r="BI1455" s="55">
        <f>SUBTOTAL(101,BI2:BI1454)</f>
        <v>39.446969696969695</v>
      </c>
      <c r="BJ1455" s="55">
        <f>SUBTOTAL(101,BJ2:BJ1454)</f>
        <v>9.1080523055746738</v>
      </c>
      <c r="BK1455" s="220">
        <f>SUBTOTAL(101,BK2:BK1454)</f>
        <v>61.867859600825881</v>
      </c>
      <c r="BL1455" s="405"/>
      <c r="BN1455" s="278">
        <f>SUM(BN14:BN1427)</f>
        <v>349</v>
      </c>
    </row>
    <row r="1456" spans="1:67" ht="30" customHeight="1" x14ac:dyDescent="0.25"/>
    <row r="1478" spans="10:11" ht="15" customHeight="1" x14ac:dyDescent="0.25">
      <c r="J1478" s="320"/>
    </row>
    <row r="1480" spans="10:11" ht="15" customHeight="1" x14ac:dyDescent="0.25">
      <c r="K1480" s="1" t="s">
        <v>342</v>
      </c>
    </row>
  </sheetData>
  <sheetProtection deleteRows="0" sort="0" autoFilter="0"/>
  <autoFilter ref="BM1:BO1114" xr:uid="{00000000-0001-0000-0500-000000000000}"/>
  <dataConsolidate/>
  <phoneticPr fontId="4" type="noConversion"/>
  <conditionalFormatting sqref="A468:B468 E468:H468 J468 G992:G1016 A1019:H1019 J1019:M1019 O1019:Q1019 U1019 A1024:H1024 J1024:M1024 O1024:Q1024 U1024 A1036:H1036 J1036:M1036 O1036:Q1036 U1036 W1020:W1023 G1020:G1023 G1018 W1018 A1017:H1017 J1017:M1017 O1017:Q1017 U1017 G1025:G1035 W1025:W1035 W1037:W1041 W1046 G1037:G1078 A1079:H1079 J1079:M1079 O1079:Q1079 U1079 G1080:G1097 W983:W1016 A1098:H1098 J1098:M1098 O1098:Q1098 U1098 AG1136:AP1136 A1458:AR1462 A1463:J1464 L1463:AR1464 G1099:G1190 A1191:B1191 J1191 G1192:G1204 A1205:B1205 J1205 G1206:G1239 A1240:H1240 J1240:M1240 O1240:Q1240 U1240 G1241:G1255 A1256:H1256 J1256:M1256 O1256:Q1256 U1256 E1205:H1205 E1191:H1191 M1191 M1205 G1257:G1293 G1295:G1296 A1294:H1294 J1294:M1294 O1294:Q1294 U1294 A1297:H1297 J1297:M1297 O1297:Q1297 U1297 G1298:G1351 G1353:G1365 A1352:H1352 J1352:M1352 O1352:Q1352 U1352 A1366:C1366 J1366 G1367:G1370 E1366:H1366 M1366 A1373:H1373 J1373:M1373 O1373:Q1373 U1373 G1372 A1371:H1371 J1371:M1371 O1371:Q1371 U1371 G1374:G1393 A1394:H1394 J1394:M1394 O1394:Q1394 U1394 G1395:G1435 G1438:G1442 G1444:G1446 A1443:H1443 J1443:M1443 O1443:Q1443 U1443 A1436:H1437 J1436:M1437 O1436:Q1437 U1436:U1437 A1447:H1447 J1447:M1447 O1447:Q1447 U1447 G1448:G1454 AF884:AF1454 E821:H821 J821 L821:M821 U835 O835:Q835 A835:H835 J835:M835 G836:G842 AF248:AF327 G311:G327 A328:Q330 U328:U330 AE328:AF330 G331:G336 AF331:AF882 G539:G551 A552:H552 J552:Q552 U552 G553:G568 G602:G626 G629:G659 G694:G730 G741:G760 G762:G779 A780:H780 J780:M780 U780 G781:G782 A783:H783 J783:M783 U783 G784:G811 G825:G834 G845:G860 G862:G878 G880:G910 G914:G931 A932:H932 J932:M932 O932:Q932 U932 G933:G958 A959:H959 J959:M959 O959:Q959 U959 G960:G963 A964:H964 J964:M964 O964:Q964 U964 G965:G969 A970:C970 J970 G971:G977 A978:H978 J978:M978 O978:Q979 U978:U982 B979:H979 J979 M979 A980:C981 E980:H982 J980:M983 P981:Q981 B982:C982 O982:Q982 A983:H983 M984 B984:H985 J984:J985 O984:Q985 U984:U985 L985:M985 G982:G990 A991:H991 J991:M991 O991:Q991 U991 E970:H970 L970:M970 H217 J217 L217:M217 G236:G246 G258:G259 G281:G282 G284:G286 G210 G288 G290:G295 G297:G309 G338:G354 G357:G366 G368:G378 G380:G385 G387:G400 G402:G407 G409:G412 G414:G415 G418:G420 G422:G445 G447:G451 G453:G467 G469:G489 G491:G494 G496:G508 G510:G519 G521:G524 G526:G528 G530:G533 G537 G732:G739 G813:G817 G819:G820 G822 G912 A1456:J1457 AE131:AE153 AE155:AE157 AE159:AE197 AE92:AE129 AE33:AE90 AE5:AE31 W2:W6 A1465:AR1048576">
    <cfRule type="expression" dxfId="5200" priority="5416">
      <formula>$J2="Anulada"</formula>
    </cfRule>
  </conditionalFormatting>
  <conditionalFormatting sqref="A468:B468 E468:H468 J468 W468:X468 AG468:AR468 G992:G1454">
    <cfRule type="cellIs" dxfId="5199" priority="5388" operator="equal">
      <formula>"NO CORRESPONDE"</formula>
    </cfRule>
  </conditionalFormatting>
  <conditionalFormatting sqref="A468:B468 J468 E468:H468 W1012:W1016 G992:G1016 U1019 O1019:Q1019 A1019:H1019 J1019:M1019 U1024 O1024:Q1024 A1024:H1024 J1024:M1024 U1036 O1036:Q1036 A1036:H1036 J1036:M1036 W1020:W1023 G1020:G1023 W1025:W1029 G1018 W1018 U1017 O1017:Q1017 A1017:H1017 J1017:M1017 G1025:G1035 W1031:W1035 W1037:W1041 G1037:G1078 U1079 O1079:Q1079 A1079:H1079 J1079:M1079 Y1079 G1080:G1097 U1098 O1098:Q1098 A1098:H1098 J1098:M1098 Y1098 Y1045:Y1046 AG1136:AP1136 A1458:AR1462 A1463:J1464 L1463:AR1464 Y469:Y1041 G1206:G1239 G1241:G1255 G1257:G1293 G1295:G1296 G1298:G1351 G1353:G1365 G1367:G1370 G1372 G1374:G1393 G1395:G1435 G1438:G1442 G1444:G1446 G1448:G1454 AF884:AF1454 J1191 Y1191 E1191:H1191 M1191 J1205 Y1205 E1205:H1205 M1205 E821:H821 J821 L821:M821 U835 O835:Q835 A835:H835 J835:M835 G836:G842 U932 O932:Q932 A932:H932 J932:M932 U978:U982 O978:Q979 O982:Q982 A978:H978 J978:M978 A980:C981 A983:H983 AF248:AF327 G311:G327 A328:Q330 U328:U330 AE328:AF330 G331:G336 G539:G551 A552:H552 J552:Q552 U552 G553:G568 G602:G626 G629:G659 G694:G730 G741:G760 G762:G779 A780:H780 J780:M780 U780 G781:G782 A783:H783 J783:M783 U783 G784:G811 G825:G834 G845:G860 G862:G878 G880:G910 G914:G931 G933:G958 A959:H959 J959:M959 O959:Q959 U959 G960:G963 A970:C970 J970 G971:G977 G982:G990 B982:C982 E980:H982 L985:M985 O984:Q985 U984:U985 B984:H985 B979:H979 J980:M983 J979 M979 J984:J985 M984 U991 O991:Q991 A991:H991 J991:M991 P981:Q981 G965:G969 A964:H964 J964:M964 O964:Q964 U964 W1003:W1010 AF331:AF882 E970:H970 L970:M970 W984:W1001 J1366 Y1366 E1366:H1366 M1366 H217 J217 L217:M217 G236:G246 G258:G259 G281:G282 G284:G286 G210 G288 G290:G295 G297:G309 G338:G354 G357:G366 G368:G378 G380:G385 G387:G400 G402:G407 G409:G412 G414:G415 G418:G420 G447:G451 G453:G467 G469:G489 G491:G494 G496:G508 G510:G519 G521:G524 G526:G528 G530:G533 G537 G732:G739 G813:G817 G819:G820 G822 G912 G422:G445 AE155:AE157 AE159:AE197 AE92:AE129 AE33:AE90 AE5:AE31 L1456:AR1457 G1099:G1190 G1192:G1204 O1240:Q1240 A1240:H1240 J1240:M1240 Y1240 O1256:Q1256 A1256:H1256 J1256:M1256 Y1256 O1294:Q1294 A1294:H1294 J1294:M1294 Y1294 O1297:Q1297 A1297:H1297 J1297:M1297 Y1297 O1352:Q1352 A1352:H1352 J1352:M1352 Y1352 O1371:Q1371 A1371:H1371 J1371:M1371 Y1371 O1373:Q1373 A1373:H1373 J1373:M1373 Y1373 O1394:Q1394 A1394:H1394 J1394:M1394 Y1394 O1436:Q1437 A1436:H1437 J1436:M1437 Y1436:Y1437 O1443:Q1443 A1443:H1443 J1443:M1443 Y1443 O1447:Q1447 A1447:H1447 J1447:M1447 Y1447 W960:W963 W952:W958 W965:W982 A1465:AR1048576">
    <cfRule type="expression" dxfId="5198" priority="5415">
      <formula>$J5="En blanco"</formula>
    </cfRule>
  </conditionalFormatting>
  <conditionalFormatting sqref="A996:B996 D994:D999 J761:M761 J812:M812 J818:M818 J823:M824 J843:M844 J861:M861 J879:M879 J911:M911 J913:M913 L132:Q132 A134:B134 E134:I134 M134 O134:Q134 M135:Q135 E164:J164 L164:M164 O164 Q164 O191:O192 T191:T192 O210 O230 O239 O244 O253 O269 O278 A196:J196 L196:M196 G18:G31 G33:G90 G92:G129 G131 G133 G135:G153 G155:G157 G159:G163 G165:G195 E2:H17 G212 G214:G227 G229:G230 G232:G234 G248:G256 G260:G279 G574:G600 G663 G665:G692 K147:K148 K285 K293:K294 K401:K402 K414 K566 K570:K571 K862:K873 O15:O16 M1090 Q1113:Q1114 Q1251 Q1259:Q1260 A32:Q32 A91:Q91 A130:Q130 A154:Q154 A158:Q158 A209:Q209 A211:Q211 A213:Q213 A228:Q228 A231:Q231 A235:Q235 A247:Q247 A257:Q257 A280:Q280 A283:Q283 A287:Q287 A289:Q289 A296:Q296 A310:Q310 A337:Q337 A355:Q355 A356:M356 P356 A367:Q367 A379:Q379 A408:Q408 A413:Q413 A416:Q417 A421:Q421 A446:Q446 A452:Q452 A490:H490 J490:Q490 A509:H509 J509:Q509 A520:H520 J520:Q520 A525:H525 J525:Q525 A529:H529 J529:Q529 J534:Q534 A534:H536 J535:M536 O535:Q536 A538:H538 J538:M538 O538:Q538 A569:H569 J569:M569 O569:Q569 A573:H573 J573:M573 O573:Q573 A601:H601 J601:Q601 A627:H628 J627:M628 O627:Q628 A660:H662 J660:M662 O660:Q662 A664:H664 J664:M664 O664:Q664 A693:H693 J693:M693 O693:Q693 A731:H731 J731:M731 O731:Q731 U761 A740:H740 J740:M740 O740:Q740 O761:Q761 O780:Q780 O812:Q812 O818:Q818 O821 Q821 O823:Q823 O824 Q824 O843:Q844 O861:Q861 O879:Q879 O911:Q911 O913:Q913">
    <cfRule type="expression" dxfId="5197" priority="2599">
      <formula>$J2="En blanco"</formula>
    </cfRule>
    <cfRule type="expression" dxfId="5196" priority="2600">
      <formula>$J2="Anulada"</formula>
    </cfRule>
  </conditionalFormatting>
  <conditionalFormatting sqref="A996:B996">
    <cfRule type="cellIs" dxfId="5195" priority="2597" operator="equal">
      <formula>"ENVIADO"</formula>
    </cfRule>
    <cfRule type="cellIs" dxfId="5194" priority="2598" operator="equal">
      <formula>"NO CORRESPONDE"</formula>
    </cfRule>
  </conditionalFormatting>
  <conditionalFormatting sqref="A1191:B1191">
    <cfRule type="expression" dxfId="5193" priority="1112">
      <formula>$J1191="En blanco"</formula>
    </cfRule>
  </conditionalFormatting>
  <conditionalFormatting sqref="A1205:B1205">
    <cfRule type="expression" dxfId="5192" priority="1055">
      <formula>$J1205="En blanco"</formula>
    </cfRule>
  </conditionalFormatting>
  <conditionalFormatting sqref="A821:C821 E821:H821 J821 L821:M821 AG821:AP821">
    <cfRule type="cellIs" dxfId="5191" priority="4040" operator="equal">
      <formula>"ENVIADO"</formula>
    </cfRule>
    <cfRule type="cellIs" dxfId="5190" priority="4041" operator="equal">
      <formula>"NO CORRESPONDE"</formula>
    </cfRule>
  </conditionalFormatting>
  <conditionalFormatting sqref="A821:C821">
    <cfRule type="expression" dxfId="5189" priority="4045">
      <formula>$J821="En blanco"</formula>
    </cfRule>
    <cfRule type="expression" dxfId="5188" priority="4046">
      <formula>$J821="Anulada"</formula>
    </cfRule>
  </conditionalFormatting>
  <conditionalFormatting sqref="A1366:C1366">
    <cfRule type="expression" dxfId="5187" priority="542">
      <formula>$J1366="En blanco"</formula>
    </cfRule>
  </conditionalFormatting>
  <conditionalFormatting sqref="A217:F217">
    <cfRule type="expression" dxfId="5186" priority="7395">
      <formula>$J217="En blanco"</formula>
    </cfRule>
    <cfRule type="expression" dxfId="5185" priority="7396">
      <formula>$J217="Anulada"</formula>
    </cfRule>
  </conditionalFormatting>
  <conditionalFormatting sqref="A490:H490 J490:Q490 U490:V490 X490 Z490:AD490 AG490:AR490">
    <cfRule type="cellIs" dxfId="5184" priority="5345" operator="equal">
      <formula>"ENVIADO"</formula>
    </cfRule>
    <cfRule type="cellIs" dxfId="5183" priority="5346" operator="equal">
      <formula>"NO CORRESPONDE"</formula>
    </cfRule>
  </conditionalFormatting>
  <conditionalFormatting sqref="A509:H509 J509:Q509 U509:V509 X509 Z509:AD509 AG509:AR509">
    <cfRule type="cellIs" dxfId="5182" priority="5293" operator="equal">
      <formula>"ENVIADO"</formula>
    </cfRule>
    <cfRule type="cellIs" dxfId="5181" priority="5294" operator="equal">
      <formula>"NO CORRESPONDE"</formula>
    </cfRule>
  </conditionalFormatting>
  <conditionalFormatting sqref="A520:H520 J520:Q520 U520:V520 X520 Z520:AD520 AG520:AR520">
    <cfRule type="cellIs" dxfId="5180" priority="5223" operator="equal">
      <formula>"ENVIADO"</formula>
    </cfRule>
    <cfRule type="cellIs" dxfId="5179" priority="5224" operator="equal">
      <formula>"NO CORRESPONDE"</formula>
    </cfRule>
  </conditionalFormatting>
  <conditionalFormatting sqref="A525:H525 J525:Q525 U525:V525 X525 Z525:AD525 AG525:AR525">
    <cfRule type="cellIs" dxfId="5178" priority="5189" operator="equal">
      <formula>"ENVIADO"</formula>
    </cfRule>
    <cfRule type="cellIs" dxfId="5177" priority="5190" operator="equal">
      <formula>"NO CORRESPONDE"</formula>
    </cfRule>
  </conditionalFormatting>
  <conditionalFormatting sqref="A529:H529 J529:Q529 U529:V529 X529 Z529:AD529 AG529:AR529">
    <cfRule type="cellIs" dxfId="5176" priority="5155" operator="equal">
      <formula>"ENVIADO"</formula>
    </cfRule>
    <cfRule type="cellIs" dxfId="5175" priority="5156" operator="equal">
      <formula>"NO CORRESPONDE"</formula>
    </cfRule>
  </conditionalFormatting>
  <conditionalFormatting sqref="A538:H538 J538:M538 O538:Q538 U538:V538 X538 Z538:AD538 AG538:AR538">
    <cfRule type="cellIs" dxfId="5174" priority="5087" operator="equal">
      <formula>"ENVIADO"</formula>
    </cfRule>
    <cfRule type="cellIs" dxfId="5173" priority="5088" operator="equal">
      <formula>"NO CORRESPONDE"</formula>
    </cfRule>
  </conditionalFormatting>
  <conditionalFormatting sqref="A552:H552 J552:Q552 U552:V552 X552 Z552:AD552 AG552:AR552">
    <cfRule type="cellIs" dxfId="5172" priority="5053" operator="equal">
      <formula>"ENVIADO"</formula>
    </cfRule>
    <cfRule type="cellIs" dxfId="5171" priority="5054" operator="equal">
      <formula>"NO CORRESPONDE"</formula>
    </cfRule>
  </conditionalFormatting>
  <conditionalFormatting sqref="A569:H569 J569:M569 O569:Q569 U569:V569 X569 Z569:AD569 AG569:AR569">
    <cfRule type="cellIs" dxfId="5170" priority="4995" operator="equal">
      <formula>"ENVIADO"</formula>
    </cfRule>
    <cfRule type="cellIs" dxfId="5169" priority="4996" operator="equal">
      <formula>"NO CORRESPONDE"</formula>
    </cfRule>
  </conditionalFormatting>
  <conditionalFormatting sqref="A573:H573 J573:M573 O573:Q573 U573:V573 X573 Z573:AD573 AG573:AR573">
    <cfRule type="cellIs" dxfId="5168" priority="4941" operator="equal">
      <formula>"ENVIADO"</formula>
    </cfRule>
    <cfRule type="cellIs" dxfId="5167" priority="4942" operator="equal">
      <formula>"NO CORRESPONDE"</formula>
    </cfRule>
  </conditionalFormatting>
  <conditionalFormatting sqref="A601:H601 J601:Q601 U601:V601 X601 Z601:AD601 AG601:AR601">
    <cfRule type="cellIs" dxfId="5166" priority="4849" operator="equal">
      <formula>"ENVIADO"</formula>
    </cfRule>
    <cfRule type="cellIs" dxfId="5165" priority="4850" operator="equal">
      <formula>"NO CORRESPONDE"</formula>
    </cfRule>
  </conditionalFormatting>
  <conditionalFormatting sqref="A627:H628 J627:M628 O627:Q628 U627:V628 X627:X628 Z627:AD628 AG627:AR628">
    <cfRule type="cellIs" dxfId="5164" priority="4808" operator="equal">
      <formula>"ENVIADO"</formula>
    </cfRule>
    <cfRule type="cellIs" dxfId="5163" priority="4809" operator="equal">
      <formula>"NO CORRESPONDE"</formula>
    </cfRule>
  </conditionalFormatting>
  <conditionalFormatting sqref="A693:H693 J693:M693 O693:Q693 U693:V693 X693 Z693:AD693 AG693:AR693">
    <cfRule type="cellIs" dxfId="5162" priority="4395" operator="equal">
      <formula>"ENVIADO"</formula>
    </cfRule>
    <cfRule type="cellIs" dxfId="5161" priority="4396" operator="equal">
      <formula>"NO CORRESPONDE"</formula>
    </cfRule>
  </conditionalFormatting>
  <conditionalFormatting sqref="A731:H731 J731:M731 O731:Q731 U731:V731 X731 Z731:AD731 AG731:AR731">
    <cfRule type="cellIs" dxfId="5160" priority="4356" operator="equal">
      <formula>"ENVIADO"</formula>
    </cfRule>
    <cfRule type="cellIs" dxfId="5159" priority="4357" operator="equal">
      <formula>"NO CORRESPONDE"</formula>
    </cfRule>
  </conditionalFormatting>
  <conditionalFormatting sqref="A740:H740 J740:M740 O740:Q740 O761:Q761 U761:V761 O780:Q780 U740:V740 X740 Z740:AD740 AG740:AR740 X761 Z761:AD761 Z780:AD780">
    <cfRule type="cellIs" dxfId="5158" priority="4318" operator="equal">
      <formula>"NO CORRESPONDE"</formula>
    </cfRule>
  </conditionalFormatting>
  <conditionalFormatting sqref="A740:H740 J740:M740 O740:Q740 U740:V740 X740 Z740:AD740 AG740:AR740 O761:Q761 U761:V761 X761 Z761:AD761 O780:Q780 Z780:AD780">
    <cfRule type="cellIs" dxfId="5157" priority="4317" operator="equal">
      <formula>"ENVIADO"</formula>
    </cfRule>
  </conditionalFormatting>
  <conditionalFormatting sqref="A761:H761">
    <cfRule type="expression" dxfId="5156" priority="4441">
      <formula>$J761="En blanco"</formula>
    </cfRule>
    <cfRule type="expression" dxfId="5155" priority="4442">
      <formula>$J761="Anulada"</formula>
    </cfRule>
  </conditionalFormatting>
  <conditionalFormatting sqref="A812:H812">
    <cfRule type="expression" dxfId="5154" priority="4157">
      <formula>$J812="En blanco"</formula>
    </cfRule>
    <cfRule type="expression" dxfId="5153" priority="4158">
      <formula>$J812="Anulada"</formula>
    </cfRule>
  </conditionalFormatting>
  <conditionalFormatting sqref="A818:H818">
    <cfRule type="expression" dxfId="5152" priority="4084">
      <formula>$J818="En blanco"</formula>
    </cfRule>
    <cfRule type="expression" dxfId="5151" priority="4085">
      <formula>$J818="Anulada"</formula>
    </cfRule>
  </conditionalFormatting>
  <conditionalFormatting sqref="A823:H823">
    <cfRule type="expression" dxfId="5150" priority="3926">
      <formula>$J823="En blanco"</formula>
    </cfRule>
    <cfRule type="expression" dxfId="5149" priority="3927">
      <formula>$J823="Anulada"</formula>
    </cfRule>
  </conditionalFormatting>
  <conditionalFormatting sqref="A843:H844">
    <cfRule type="expression" dxfId="5148" priority="3831">
      <formula>$J843="En blanco"</formula>
    </cfRule>
    <cfRule type="expression" dxfId="5147" priority="3832">
      <formula>$J843="Anulada"</formula>
    </cfRule>
  </conditionalFormatting>
  <conditionalFormatting sqref="A861:H861">
    <cfRule type="expression" dxfId="5146" priority="3965">
      <formula>$J861="En blanco"</formula>
    </cfRule>
    <cfRule type="expression" dxfId="5145" priority="3966">
      <formula>$J861="Anulada"</formula>
    </cfRule>
  </conditionalFormatting>
  <conditionalFormatting sqref="A879:H879">
    <cfRule type="expression" dxfId="5144" priority="3764">
      <formula>$J879="En blanco"</formula>
    </cfRule>
    <cfRule type="expression" dxfId="5143" priority="3765">
      <formula>$J879="Anulada"</formula>
    </cfRule>
  </conditionalFormatting>
  <conditionalFormatting sqref="A911:H911">
    <cfRule type="expression" dxfId="5142" priority="3663">
      <formula>$J911="En blanco"</formula>
    </cfRule>
    <cfRule type="expression" dxfId="5141" priority="3664">
      <formula>$J911="Anulada"</formula>
    </cfRule>
  </conditionalFormatting>
  <conditionalFormatting sqref="A913:H913">
    <cfRule type="expression" dxfId="5140" priority="3715">
      <formula>$J913="En blanco"</formula>
    </cfRule>
    <cfRule type="expression" dxfId="5139" priority="3716">
      <formula>$J913="Anulada"</formula>
    </cfRule>
  </conditionalFormatting>
  <conditionalFormatting sqref="A132:J132 L132:Q132 X132 AA132 AG132:AS132">
    <cfRule type="cellIs" dxfId="5138" priority="7618" operator="equal">
      <formula>"ENVIADO"</formula>
    </cfRule>
  </conditionalFormatting>
  <conditionalFormatting sqref="A132:J132">
    <cfRule type="expression" dxfId="5137" priority="7698">
      <formula>$J132="En blanco"</formula>
    </cfRule>
    <cfRule type="expression" dxfId="5136" priority="7699">
      <formula>$J132="Anulada"</formula>
    </cfRule>
  </conditionalFormatting>
  <conditionalFormatting sqref="A196:J196 L196:M196 W196 AR196">
    <cfRule type="cellIs" dxfId="5135" priority="7410" operator="equal">
      <formula>"ENVIADO"</formula>
    </cfRule>
    <cfRule type="cellIs" dxfId="5134" priority="7413" operator="equal">
      <formula>"NO CORRESPONDE"</formula>
    </cfRule>
  </conditionalFormatting>
  <conditionalFormatting sqref="A1456:J1457">
    <cfRule type="expression" dxfId="5133" priority="11079">
      <formula>$J1456="En blanco"</formula>
    </cfRule>
  </conditionalFormatting>
  <conditionalFormatting sqref="A32:Q32 U32:X32 Z32:AD32 AG32:AR32">
    <cfRule type="cellIs" dxfId="5132" priority="5951" operator="equal">
      <formula>"ENVIADO"</formula>
    </cfRule>
    <cfRule type="cellIs" dxfId="5131" priority="5952" operator="equal">
      <formula>"NO CORRESPONDE"</formula>
    </cfRule>
  </conditionalFormatting>
  <conditionalFormatting sqref="A91:Q91 U91:X91 Z91:AD91 AG91:AR91">
    <cfRule type="cellIs" dxfId="5130" priority="5995" operator="equal">
      <formula>"ENVIADO"</formula>
    </cfRule>
    <cfRule type="cellIs" dxfId="5129" priority="5996" operator="equal">
      <formula>"NO CORRESPONDE"</formula>
    </cfRule>
  </conditionalFormatting>
  <conditionalFormatting sqref="A130:Q130 U130:X130 Z130:AD130 AG130:AR130">
    <cfRule type="cellIs" dxfId="5128" priority="6039" operator="equal">
      <formula>"ENVIADO"</formula>
    </cfRule>
    <cfRule type="cellIs" dxfId="5127" priority="6040" operator="equal">
      <formula>"NO CORRESPONDE"</formula>
    </cfRule>
  </conditionalFormatting>
  <conditionalFormatting sqref="A154:Q154 U154:X154 Z154:AD154 AG154:AR154">
    <cfRule type="cellIs" dxfId="5126" priority="6127" operator="equal">
      <formula>"ENVIADO"</formula>
    </cfRule>
    <cfRule type="cellIs" dxfId="5125" priority="6128" operator="equal">
      <formula>"NO CORRESPONDE"</formula>
    </cfRule>
  </conditionalFormatting>
  <conditionalFormatting sqref="A158:Q158 U158:X158 Z158:AD158 AG158:AR158">
    <cfRule type="cellIs" dxfId="5124" priority="6083" operator="equal">
      <formula>"ENVIADO"</formula>
    </cfRule>
    <cfRule type="cellIs" dxfId="5123" priority="6084" operator="equal">
      <formula>"NO CORRESPONDE"</formula>
    </cfRule>
  </conditionalFormatting>
  <conditionalFormatting sqref="A209:Q209 U209:X209 Z209:AD209 AG209:AR209">
    <cfRule type="cellIs" dxfId="5122" priority="6171" operator="equal">
      <formula>"ENVIADO"</formula>
    </cfRule>
    <cfRule type="cellIs" dxfId="5121" priority="6172" operator="equal">
      <formula>"NO CORRESPONDE"</formula>
    </cfRule>
  </conditionalFormatting>
  <conditionalFormatting sqref="A211:Q211 U211:X211 Z211:AD211 AG211:AR211">
    <cfRule type="cellIs" dxfId="5120" priority="6259" operator="equal">
      <formula>"ENVIADO"</formula>
    </cfRule>
    <cfRule type="cellIs" dxfId="5119" priority="6260" operator="equal">
      <formula>"NO CORRESPONDE"</formula>
    </cfRule>
  </conditionalFormatting>
  <conditionalFormatting sqref="A213:Q213 U213:X213 Z213:AD213 AG213:AR213">
    <cfRule type="cellIs" dxfId="5118" priority="6215" operator="equal">
      <formula>"ENVIADO"</formula>
    </cfRule>
    <cfRule type="cellIs" dxfId="5117" priority="6216" operator="equal">
      <formula>"NO CORRESPONDE"</formula>
    </cfRule>
  </conditionalFormatting>
  <conditionalFormatting sqref="A228:Q228 U228:X228 Z228:AD228 AG228:AR228">
    <cfRule type="cellIs" dxfId="5116" priority="6303" operator="equal">
      <formula>"ENVIADO"</formula>
    </cfRule>
    <cfRule type="cellIs" dxfId="5115" priority="6304" operator="equal">
      <formula>"NO CORRESPONDE"</formula>
    </cfRule>
  </conditionalFormatting>
  <conditionalFormatting sqref="A231:Q231 U231:X231 Z231:AD231 AG231:AR231">
    <cfRule type="cellIs" dxfId="5114" priority="6347" operator="equal">
      <formula>"ENVIADO"</formula>
    </cfRule>
    <cfRule type="cellIs" dxfId="5113" priority="6348" operator="equal">
      <formula>"NO CORRESPONDE"</formula>
    </cfRule>
  </conditionalFormatting>
  <conditionalFormatting sqref="A235:Q235 U235:X235 Z235:AD235 AG235:AR235">
    <cfRule type="cellIs" dxfId="5112" priority="6391" operator="equal">
      <formula>"ENVIADO"</formula>
    </cfRule>
    <cfRule type="cellIs" dxfId="5111" priority="6392" operator="equal">
      <formula>"NO CORRESPONDE"</formula>
    </cfRule>
  </conditionalFormatting>
  <conditionalFormatting sqref="A241:Q241 A242:J242 U241:X242 H217 J217 L217:M217 E258:J258 A259:J259 E282:O282 A284:N284 A285:J285 A217:F217 AR217 Z241:AD242 AG241:AR242 L242:Q242 A258:C258 L258:Q258 L259:M259 O259:Q259 Q282 L285:Q285 C741:C742">
    <cfRule type="cellIs" dxfId="5110" priority="7373" operator="equal">
      <formula>"ENVIADO"</formula>
    </cfRule>
    <cfRule type="cellIs" dxfId="5109" priority="7376" operator="equal">
      <formula>"NO CORRESPONDE"</formula>
    </cfRule>
  </conditionalFormatting>
  <conditionalFormatting sqref="A247:Q247 U247:X247 Z247:AD247 AG247:AR247">
    <cfRule type="cellIs" dxfId="5108" priority="6435" operator="equal">
      <formula>"ENVIADO"</formula>
    </cfRule>
    <cfRule type="cellIs" dxfId="5107" priority="6436" operator="equal">
      <formula>"NO CORRESPONDE"</formula>
    </cfRule>
  </conditionalFormatting>
  <conditionalFormatting sqref="A257:Q257 U257:X259 Z257:AD259 AG257:AR259">
    <cfRule type="cellIs" dxfId="5106" priority="6479" operator="equal">
      <formula>"ENVIADO"</formula>
    </cfRule>
    <cfRule type="cellIs" dxfId="5105" priority="6480" operator="equal">
      <formula>"NO CORRESPONDE"</formula>
    </cfRule>
  </conditionalFormatting>
  <conditionalFormatting sqref="A280:Q280 U280:X280 Z280:AD280 AG280:AR280">
    <cfRule type="cellIs" dxfId="5104" priority="6519" operator="equal">
      <formula>"ENVIADO"</formula>
    </cfRule>
    <cfRule type="cellIs" dxfId="5103" priority="6520" operator="equal">
      <formula>"NO CORRESPONDE"</formula>
    </cfRule>
  </conditionalFormatting>
  <conditionalFormatting sqref="A283:Q283 U282:X285 Z282:AD285 AG282:AR285">
    <cfRule type="cellIs" dxfId="5102" priority="6560" operator="equal">
      <formula>"NO CORRESPONDE"</formula>
    </cfRule>
  </conditionalFormatting>
  <conditionalFormatting sqref="A287:Q287 U287:X287 Z287:AD287 AG287:AR287">
    <cfRule type="cellIs" dxfId="5101" priority="6599" operator="equal">
      <formula>"ENVIADO"</formula>
    </cfRule>
    <cfRule type="cellIs" dxfId="5100" priority="6600" operator="equal">
      <formula>"NO CORRESPONDE"</formula>
    </cfRule>
  </conditionalFormatting>
  <conditionalFormatting sqref="A289:Q289 U289:X289 Z289:AD289 AG289:AR289">
    <cfRule type="cellIs" dxfId="5099" priority="6638" operator="equal">
      <formula>"ENVIADO"</formula>
    </cfRule>
    <cfRule type="cellIs" dxfId="5098" priority="6639" operator="equal">
      <formula>"NO CORRESPONDE"</formula>
    </cfRule>
  </conditionalFormatting>
  <conditionalFormatting sqref="A296:Q296 U296:X296 Z296:AD296 AG296:AR296">
    <cfRule type="cellIs" dxfId="5097" priority="6759" operator="equal">
      <formula>"ENVIADO"</formula>
    </cfRule>
    <cfRule type="cellIs" dxfId="5096" priority="6760" operator="equal">
      <formula>"NO CORRESPONDE"</formula>
    </cfRule>
  </conditionalFormatting>
  <conditionalFormatting sqref="A310:Q310 U310:X310 Z310:AD310 AG310:AR310">
    <cfRule type="cellIs" dxfId="5095" priority="6677" operator="equal">
      <formula>"ENVIADO"</formula>
    </cfRule>
    <cfRule type="cellIs" dxfId="5094" priority="6678" operator="equal">
      <formula>"NO CORRESPONDE"</formula>
    </cfRule>
  </conditionalFormatting>
  <conditionalFormatting sqref="A328:Q333 U328:X333 Z328:AD333 AG328:AR333">
    <cfRule type="cellIs" dxfId="5093" priority="5915" operator="equal">
      <formula>"ENVIADO"</formula>
    </cfRule>
    <cfRule type="cellIs" dxfId="5092" priority="5916" operator="equal">
      <formula>"NO CORRESPONDE"</formula>
    </cfRule>
  </conditionalFormatting>
  <conditionalFormatting sqref="A337:Q337 U337:X337 Z337:AD337 AG337:AR337">
    <cfRule type="cellIs" dxfId="5091" priority="5879" operator="equal">
      <formula>"ENVIADO"</formula>
    </cfRule>
    <cfRule type="cellIs" dxfId="5090" priority="5880" operator="equal">
      <formula>"NO CORRESPONDE"</formula>
    </cfRule>
  </conditionalFormatting>
  <conditionalFormatting sqref="A355:Q355 A356:M356 P356 U355:X355 Z355:AD355 AG355:AR356 U356:V356 AD356">
    <cfRule type="cellIs" dxfId="5089" priority="5784" operator="equal">
      <formula>"NO CORRESPONDE"</formula>
    </cfRule>
  </conditionalFormatting>
  <conditionalFormatting sqref="A355:Q355 U355:X355 Z355:AD355 AG355:AR356 A356:M356 P356 U356:V356 AD356">
    <cfRule type="cellIs" dxfId="5088" priority="5783" operator="equal">
      <formula>"ENVIADO"</formula>
    </cfRule>
  </conditionalFormatting>
  <conditionalFormatting sqref="A367:Q367 U367:X367 Z367:AD367 AG367:AR367">
    <cfRule type="cellIs" dxfId="5087" priority="5743" operator="equal">
      <formula>"ENVIADO"</formula>
    </cfRule>
    <cfRule type="cellIs" dxfId="5086" priority="5744" operator="equal">
      <formula>"NO CORRESPONDE"</formula>
    </cfRule>
  </conditionalFormatting>
  <conditionalFormatting sqref="A379:Q379 U379:X379 Z379:AD379 AG379:AR379">
    <cfRule type="cellIs" dxfId="5085" priority="5701" operator="equal">
      <formula>"ENVIADO"</formula>
    </cfRule>
    <cfRule type="cellIs" dxfId="5084" priority="5702" operator="equal">
      <formula>"NO CORRESPONDE"</formula>
    </cfRule>
  </conditionalFormatting>
  <conditionalFormatting sqref="A408:Q408 U408:X408 Z408:AD408 AG408:AR408">
    <cfRule type="cellIs" dxfId="5083" priority="5597" operator="equal">
      <formula>"ENVIADO"</formula>
    </cfRule>
    <cfRule type="cellIs" dxfId="5082" priority="5598" operator="equal">
      <formula>"NO CORRESPONDE"</formula>
    </cfRule>
  </conditionalFormatting>
  <conditionalFormatting sqref="A413:Q413 U413:X413 Z413:AD413 AG413:AR413">
    <cfRule type="cellIs" dxfId="5081" priority="5558" operator="equal">
      <formula>"ENVIADO"</formula>
    </cfRule>
    <cfRule type="cellIs" dxfId="5080" priority="5559" operator="equal">
      <formula>"NO CORRESPONDE"</formula>
    </cfRule>
  </conditionalFormatting>
  <conditionalFormatting sqref="A416:Q417 U416:X417 Z416:AD417 AG416:AR417">
    <cfRule type="cellIs" dxfId="5079" priority="5467" operator="equal">
      <formula>"ENVIADO"</formula>
    </cfRule>
    <cfRule type="cellIs" dxfId="5078" priority="5468" operator="equal">
      <formula>"NO CORRESPONDE"</formula>
    </cfRule>
  </conditionalFormatting>
  <conditionalFormatting sqref="A421:Q421 U421:X421 Z421:AD421 AG421:AR421">
    <cfRule type="cellIs" dxfId="5077" priority="2160" operator="equal">
      <formula>"ENVIADO"</formula>
    </cfRule>
    <cfRule type="cellIs" dxfId="5076" priority="2161" operator="equal">
      <formula>"NO CORRESPONDE"</formula>
    </cfRule>
  </conditionalFormatting>
  <conditionalFormatting sqref="A446:Q446 U446:X446 Z446:AD446 AG446:AR446">
    <cfRule type="cellIs" dxfId="5075" priority="5427" operator="equal">
      <formula>"ENVIADO"</formula>
    </cfRule>
    <cfRule type="cellIs" dxfId="5074" priority="5428" operator="equal">
      <formula>"NO CORRESPONDE"</formula>
    </cfRule>
  </conditionalFormatting>
  <conditionalFormatting sqref="A452:Q452 U452:X452 Z452:AD452 AG452:AR452">
    <cfRule type="cellIs" dxfId="5073" priority="5257" operator="equal">
      <formula>"ENVIADO"</formula>
    </cfRule>
    <cfRule type="cellIs" dxfId="5072" priority="5258" operator="equal">
      <formula>"NO CORRESPONDE"</formula>
    </cfRule>
  </conditionalFormatting>
  <conditionalFormatting sqref="B2:B17">
    <cfRule type="expression" dxfId="5071" priority="7820">
      <formula>$J2="En blanco"</formula>
    </cfRule>
    <cfRule type="expression" dxfId="5070" priority="7821">
      <formula>$J2="Anulada"</formula>
    </cfRule>
  </conditionalFormatting>
  <conditionalFormatting sqref="B824 E824:H824 N932 N1019 K1178 K1232 N538 N783 N835 K837 A875:C875 K876 K878 N983:N984 Q179 Q193:Q195 Q197">
    <cfRule type="cellIs" dxfId="5069" priority="4001" operator="equal">
      <formula>"ENVIADO"</formula>
    </cfRule>
    <cfRule type="expression" dxfId="5068" priority="4006">
      <formula>$J179="En blanco"</formula>
    </cfRule>
    <cfRule type="expression" dxfId="5067" priority="4007">
      <formula>$J179="Anulada"</formula>
    </cfRule>
  </conditionalFormatting>
  <conditionalFormatting sqref="B873">
    <cfRule type="cellIs" dxfId="5066" priority="3822" operator="equal">
      <formula>"ENVIADO"</formula>
    </cfRule>
    <cfRule type="cellIs" dxfId="5065" priority="3823" operator="equal">
      <formula>"NO CORRESPONDE"</formula>
    </cfRule>
    <cfRule type="expression" dxfId="5064" priority="3824">
      <formula>$J873="En blanco"</formula>
    </cfRule>
    <cfRule type="expression" dxfId="5063" priority="3825">
      <formula>$J873="Anulada"</formula>
    </cfRule>
  </conditionalFormatting>
  <conditionalFormatting sqref="B1006">
    <cfRule type="cellIs" dxfId="5062" priority="2251" operator="equal">
      <formula>"ENVIADO"</formula>
    </cfRule>
    <cfRule type="cellIs" dxfId="5061" priority="2252" operator="equal">
      <formula>"NO CORRESPONDE"</formula>
    </cfRule>
    <cfRule type="expression" dxfId="5060" priority="2253">
      <formula>$J1006="En blanco"</formula>
    </cfRule>
    <cfRule type="expression" dxfId="5059" priority="2254">
      <formula>$J1006="Anulada"</formula>
    </cfRule>
  </conditionalFormatting>
  <conditionalFormatting sqref="C19:C20 C41 C55 C78 C89 C108 C121 C142 C145 C181 C184 C195 C225 C248 C260 C277 C290 C312 C323 C344 C354 C373 C383 C405 C418 C449 C459 C480 C493 C519 C545 C554:C556 C570:C571 C574:C575 C577 C614 C625 C648 C656 C683 C689 C714">
    <cfRule type="cellIs" dxfId="5058" priority="5045" operator="equal">
      <formula>"ENVIADO"</formula>
    </cfRule>
    <cfRule type="cellIs" dxfId="5057" priority="5046" operator="equal">
      <formula>"NO CORRESPONDE"</formula>
    </cfRule>
  </conditionalFormatting>
  <conditionalFormatting sqref="C768">
    <cfRule type="cellIs" dxfId="5056" priority="4302" operator="equal">
      <formula>"ENVIADO"</formula>
    </cfRule>
    <cfRule type="cellIs" dxfId="5055" priority="4303" operator="equal">
      <formula>"NO CORRESPONDE"</formula>
    </cfRule>
  </conditionalFormatting>
  <conditionalFormatting sqref="C822">
    <cfRule type="cellIs" dxfId="5054" priority="3749" operator="equal">
      <formula>"ENVIADO"</formula>
    </cfRule>
    <cfRule type="cellIs" dxfId="5053" priority="3750" operator="equal">
      <formula>"NO CORRESPONDE"</formula>
    </cfRule>
    <cfRule type="expression" dxfId="5052" priority="3751">
      <formula>$J822="En blanco"</formula>
    </cfRule>
    <cfRule type="expression" dxfId="5051" priority="3752">
      <formula>$J822="Anulada"</formula>
    </cfRule>
  </conditionalFormatting>
  <conditionalFormatting sqref="C824">
    <cfRule type="cellIs" dxfId="5050" priority="3911" operator="equal">
      <formula>"ENVIADO"</formula>
    </cfRule>
    <cfRule type="cellIs" dxfId="5049" priority="3912" operator="equal">
      <formula>"NO CORRESPONDE"</formula>
    </cfRule>
    <cfRule type="expression" dxfId="5048" priority="3913">
      <formula>$J824="En blanco"</formula>
    </cfRule>
    <cfRule type="expression" dxfId="5047" priority="3914">
      <formula>$J824="Anulada"</formula>
    </cfRule>
  </conditionalFormatting>
  <conditionalFormatting sqref="C873">
    <cfRule type="cellIs" dxfId="5046" priority="3818" operator="equal">
      <formula>"ENVIADO"</formula>
    </cfRule>
    <cfRule type="cellIs" dxfId="5045" priority="3819" operator="equal">
      <formula>"NO CORRESPONDE"</formula>
    </cfRule>
    <cfRule type="expression" dxfId="5044" priority="3820">
      <formula>$J873="En blanco"</formula>
    </cfRule>
    <cfRule type="expression" dxfId="5043" priority="3821">
      <formula>$J873="Anulada"</formula>
    </cfRule>
  </conditionalFormatting>
  <conditionalFormatting sqref="C909">
    <cfRule type="cellIs" dxfId="5042" priority="3700" operator="equal">
      <formula>"ENVIADO"</formula>
    </cfRule>
    <cfRule type="cellIs" dxfId="5041" priority="3701" operator="equal">
      <formula>"NO CORRESPONDE"</formula>
    </cfRule>
    <cfRule type="expression" dxfId="5040" priority="3702">
      <formula>$J909="En blanco"</formula>
    </cfRule>
    <cfRule type="expression" dxfId="5039" priority="3703">
      <formula>$J909="Anulada"</formula>
    </cfRule>
  </conditionalFormatting>
  <conditionalFormatting sqref="C950">
    <cfRule type="cellIs" dxfId="5038" priority="3498" operator="equal">
      <formula>"ENVIADO"</formula>
    </cfRule>
    <cfRule type="cellIs" dxfId="5037" priority="3499" operator="equal">
      <formula>"NO CORRESPONDE"</formula>
    </cfRule>
    <cfRule type="expression" dxfId="5036" priority="3500">
      <formula>$J950="En blanco"</formula>
    </cfRule>
    <cfRule type="expression" dxfId="5035" priority="3501">
      <formula>$J950="Anulada"</formula>
    </cfRule>
  </conditionalFormatting>
  <conditionalFormatting sqref="C960:C961">
    <cfRule type="cellIs" dxfId="5034" priority="2821" operator="equal">
      <formula>"ENVIADO"</formula>
    </cfRule>
    <cfRule type="cellIs" dxfId="5033" priority="2822" operator="equal">
      <formula>"NO CORRESPONDE"</formula>
    </cfRule>
    <cfRule type="expression" dxfId="5032" priority="2823">
      <formula>$J960="En blanco"</formula>
    </cfRule>
    <cfRule type="expression" dxfId="5031" priority="2824">
      <formula>$J960="Anulada"</formula>
    </cfRule>
  </conditionalFormatting>
  <conditionalFormatting sqref="C986">
    <cfRule type="cellIs" dxfId="5030" priority="2269" operator="equal">
      <formula>"ENVIADO"</formula>
    </cfRule>
    <cfRule type="expression" dxfId="5029" priority="2271">
      <formula>$J986="En blanco"</formula>
    </cfRule>
    <cfRule type="expression" dxfId="5028" priority="2272">
      <formula>$J986="Anulada"</formula>
    </cfRule>
  </conditionalFormatting>
  <conditionalFormatting sqref="C987">
    <cfRule type="cellIs" dxfId="5027" priority="1470" operator="equal">
      <formula>"ENVIADO"</formula>
    </cfRule>
    <cfRule type="expression" dxfId="5026" priority="1472">
      <formula>$J987="En blanco"</formula>
    </cfRule>
    <cfRule type="expression" dxfId="5025" priority="1473">
      <formula>$J987="Anulada"</formula>
    </cfRule>
  </conditionalFormatting>
  <conditionalFormatting sqref="C999">
    <cfRule type="cellIs" dxfId="5024" priority="2255" operator="equal">
      <formula>"ENVIADO"</formula>
    </cfRule>
    <cfRule type="cellIs" dxfId="5023" priority="2256" operator="equal">
      <formula>"NO CORRESPONDE"</formula>
    </cfRule>
    <cfRule type="expression" dxfId="5022" priority="2257">
      <formula>$J999="En blanco"</formula>
    </cfRule>
    <cfRule type="expression" dxfId="5021" priority="2258">
      <formula>$J999="Anulada"</formula>
    </cfRule>
  </conditionalFormatting>
  <conditionalFormatting sqref="C1014">
    <cfRule type="cellIs" dxfId="5020" priority="2265" operator="equal">
      <formula>"ENVIADO"</formula>
    </cfRule>
    <cfRule type="cellIs" dxfId="5019" priority="2266" operator="equal">
      <formula>"NO CORRESPONDE"</formula>
    </cfRule>
    <cfRule type="expression" dxfId="5018" priority="2267">
      <formula>$J1014="En blanco"</formula>
    </cfRule>
    <cfRule type="expression" dxfId="5017" priority="2268">
      <formula>$J1014="Anulada"</formula>
    </cfRule>
  </conditionalFormatting>
  <conditionalFormatting sqref="C1057">
    <cfRule type="cellIs" dxfId="5016" priority="1807" operator="equal">
      <formula>"ENVIADO"</formula>
    </cfRule>
    <cfRule type="cellIs" dxfId="5015" priority="1808" operator="equal">
      <formula>"NO CORRESPONDE"</formula>
    </cfRule>
    <cfRule type="expression" dxfId="5014" priority="1809">
      <formula>$J1057="En blanco"</formula>
    </cfRule>
    <cfRule type="expression" dxfId="5013" priority="1810">
      <formula>$J1057="Anulada"</formula>
    </cfRule>
  </conditionalFormatting>
  <conditionalFormatting sqref="C1073">
    <cfRule type="cellIs" dxfId="5012" priority="1799" operator="equal">
      <formula>"ENVIADO"</formula>
    </cfRule>
    <cfRule type="cellIs" dxfId="5011" priority="1800" operator="equal">
      <formula>"NO CORRESPONDE"</formula>
    </cfRule>
    <cfRule type="expression" dxfId="5010" priority="1801">
      <formula>$J1073="En blanco"</formula>
    </cfRule>
    <cfRule type="expression" dxfId="5009" priority="1802">
      <formula>$J1073="Anulada"</formula>
    </cfRule>
  </conditionalFormatting>
  <conditionalFormatting sqref="C1083">
    <cfRule type="cellIs" dxfId="5008" priority="1515" operator="equal">
      <formula>"ENVIADO"</formula>
    </cfRule>
    <cfRule type="cellIs" dxfId="5007" priority="1516" operator="equal">
      <formula>"NO CORRESPONDE"</formula>
    </cfRule>
    <cfRule type="expression" dxfId="5006" priority="1517">
      <formula>$J1083="En blanco"</formula>
    </cfRule>
    <cfRule type="expression" dxfId="5005" priority="1518">
      <formula>$J1083="Anulada"</formula>
    </cfRule>
  </conditionalFormatting>
  <conditionalFormatting sqref="C1096">
    <cfRule type="cellIs" dxfId="5004" priority="1466" operator="equal">
      <formula>"ENVIADO"</formula>
    </cfRule>
    <cfRule type="cellIs" dxfId="5003" priority="1467" operator="equal">
      <formula>"NO CORRESPONDE"</formula>
    </cfRule>
    <cfRule type="expression" dxfId="5002" priority="1468">
      <formula>$J1096="En blanco"</formula>
    </cfRule>
    <cfRule type="expression" dxfId="5001" priority="1469">
      <formula>$J1096="Anulada"</formula>
    </cfRule>
  </conditionalFormatting>
  <conditionalFormatting sqref="C1107">
    <cfRule type="cellIs" dxfId="5000" priority="1391" operator="equal">
      <formula>"ENVIADO"</formula>
    </cfRule>
    <cfRule type="cellIs" dxfId="4999" priority="1392" operator="equal">
      <formula>"NO CORRESPONDE"</formula>
    </cfRule>
    <cfRule type="expression" dxfId="4998" priority="1393">
      <formula>$J1107="En blanco"</formula>
    </cfRule>
    <cfRule type="expression" dxfId="4997" priority="1394">
      <formula>$J1107="Anulada"</formula>
    </cfRule>
  </conditionalFormatting>
  <conditionalFormatting sqref="C1213">
    <cfRule type="cellIs" dxfId="4996" priority="1003" operator="equal">
      <formula>"ENVIADO"</formula>
    </cfRule>
    <cfRule type="cellIs" dxfId="4995" priority="1004" operator="equal">
      <formula>"NO CORRESPONDE"</formula>
    </cfRule>
    <cfRule type="expression" dxfId="4994" priority="1005">
      <formula>$J1213="En blanco"</formula>
    </cfRule>
    <cfRule type="expression" dxfId="4993" priority="1006">
      <formula>$J1213="Anulada"</formula>
    </cfRule>
  </conditionalFormatting>
  <conditionalFormatting sqref="C1270">
    <cfRule type="cellIs" dxfId="4992" priority="783" operator="equal">
      <formula>"ENVIADO"</formula>
    </cfRule>
    <cfRule type="expression" dxfId="4991" priority="785">
      <formula>$J1270="En blanco"</formula>
    </cfRule>
    <cfRule type="expression" dxfId="4990" priority="786">
      <formula>$J1270="Anulada"</formula>
    </cfRule>
  </conditionalFormatting>
  <conditionalFormatting sqref="C1270:C1271">
    <cfRule type="cellIs" dxfId="4989" priority="780" operator="equal">
      <formula>"NO CORRESPONDE"</formula>
    </cfRule>
  </conditionalFormatting>
  <conditionalFormatting sqref="C1271">
    <cfRule type="cellIs" dxfId="4988" priority="779" operator="equal">
      <formula>"ENVIADO"</formula>
    </cfRule>
    <cfRule type="expression" dxfId="4987" priority="781">
      <formula>$J1271="En blanco"</formula>
    </cfRule>
    <cfRule type="expression" dxfId="4986" priority="782">
      <formula>$J1271="Anulada"</formula>
    </cfRule>
  </conditionalFormatting>
  <conditionalFormatting sqref="C1359">
    <cfRule type="cellIs" dxfId="4985" priority="543" operator="equal">
      <formula>"ENVIADO"</formula>
    </cfRule>
    <cfRule type="cellIs" dxfId="4984" priority="544" operator="equal">
      <formula>"NO CORRESPONDE"</formula>
    </cfRule>
    <cfRule type="expression" dxfId="4983" priority="545">
      <formula>$J1359="En blanco"</formula>
    </cfRule>
    <cfRule type="expression" dxfId="4982" priority="546">
      <formula>$J1359="Anulada"</formula>
    </cfRule>
  </conditionalFormatting>
  <conditionalFormatting sqref="D987">
    <cfRule type="cellIs" dxfId="4981" priority="1478" operator="equal">
      <formula>"ENVIADO"</formula>
    </cfRule>
    <cfRule type="cellIs" dxfId="4980" priority="1479" operator="equal">
      <formula>"NO CORRESPONDE"</formula>
    </cfRule>
    <cfRule type="expression" dxfId="4979" priority="1480">
      <formula>$J987="En blanco"</formula>
    </cfRule>
    <cfRule type="expression" dxfId="4978" priority="1481">
      <formula>$J987="Anulada"</formula>
    </cfRule>
  </conditionalFormatting>
  <conditionalFormatting sqref="D994:D1005">
    <cfRule type="cellIs" dxfId="4977" priority="2281" operator="equal">
      <formula>"ENVIADO"</formula>
    </cfRule>
    <cfRule type="cellIs" dxfId="4976" priority="2282" operator="equal">
      <formula>"NO CORRESPONDE"</formula>
    </cfRule>
  </conditionalFormatting>
  <conditionalFormatting sqref="D1000">
    <cfRule type="expression" dxfId="4975" priority="2291">
      <formula>$J1000="En blanco"</formula>
    </cfRule>
    <cfRule type="expression" dxfId="4974" priority="2292">
      <formula>$J1000="Anulada"</formula>
    </cfRule>
  </conditionalFormatting>
  <conditionalFormatting sqref="D1001:D1002">
    <cfRule type="expression" dxfId="4973" priority="2295">
      <formula>$J1001="En blanco"</formula>
    </cfRule>
    <cfRule type="expression" dxfId="4972" priority="2296">
      <formula>$J1001="Anulada"</formula>
    </cfRule>
  </conditionalFormatting>
  <conditionalFormatting sqref="D1002:D1004">
    <cfRule type="expression" dxfId="4971" priority="2287">
      <formula>$J1002="En blanco"</formula>
    </cfRule>
    <cfRule type="expression" dxfId="4970" priority="2288">
      <formula>$J1002="Anulada"</formula>
    </cfRule>
  </conditionalFormatting>
  <conditionalFormatting sqref="D1005">
    <cfRule type="expression" dxfId="4969" priority="2283">
      <formula>$J1005="En blanco"</formula>
    </cfRule>
    <cfRule type="expression" dxfId="4968" priority="2284">
      <formula>$J1005="Anulada"</formula>
    </cfRule>
  </conditionalFormatting>
  <conditionalFormatting sqref="D1007">
    <cfRule type="cellIs" dxfId="4967" priority="2277" operator="equal">
      <formula>"ENVIADO"</formula>
    </cfRule>
    <cfRule type="cellIs" dxfId="4966" priority="2278" operator="equal">
      <formula>"NO CORRESPONDE"</formula>
    </cfRule>
    <cfRule type="expression" dxfId="4965" priority="2279">
      <formula>$J1007="En blanco"</formula>
    </cfRule>
    <cfRule type="expression" dxfId="4964" priority="2280">
      <formula>$J1007="Anulada"</formula>
    </cfRule>
  </conditionalFormatting>
  <conditionalFormatting sqref="D1011">
    <cfRule type="cellIs" dxfId="4963" priority="2221" operator="equal">
      <formula>"ENVIADO"</formula>
    </cfRule>
    <cfRule type="cellIs" dxfId="4962" priority="2222" operator="equal">
      <formula>"NO CORRESPONDE"</formula>
    </cfRule>
    <cfRule type="expression" dxfId="4961" priority="2223">
      <formula>$J1011="En blanco"</formula>
    </cfRule>
    <cfRule type="expression" dxfId="4960" priority="2224">
      <formula>$J1011="Anulada"</formula>
    </cfRule>
  </conditionalFormatting>
  <conditionalFormatting sqref="D1014">
    <cfRule type="cellIs" dxfId="4959" priority="2273" operator="equal">
      <formula>"ENVIADO"</formula>
    </cfRule>
    <cfRule type="cellIs" dxfId="4958" priority="2274" operator="equal">
      <formula>"NO CORRESPONDE"</formula>
    </cfRule>
    <cfRule type="expression" dxfId="4957" priority="2275">
      <formula>$J1014="En blanco"</formula>
    </cfRule>
    <cfRule type="expression" dxfId="4956" priority="2276">
      <formula>$J1014="Anulada"</formula>
    </cfRule>
  </conditionalFormatting>
  <conditionalFormatting sqref="D401:J401 AG401:AR401">
    <cfRule type="cellIs" dxfId="4955" priority="5652" operator="equal">
      <formula>"ENVIADO"</formula>
    </cfRule>
    <cfRule type="cellIs" dxfId="4954" priority="5653" operator="equal">
      <formula>"NO CORRESPONDE"</formula>
    </cfRule>
  </conditionalFormatting>
  <conditionalFormatting sqref="D401:J401">
    <cfRule type="expression" dxfId="4953" priority="5677">
      <formula>$J401="En blanco"</formula>
    </cfRule>
    <cfRule type="expression" dxfId="4952" priority="5678">
      <formula>$J401="Anulada"</formula>
    </cfRule>
  </conditionalFormatting>
  <conditionalFormatting sqref="F386:J386">
    <cfRule type="cellIs" dxfId="4951" priority="5685" operator="equal">
      <formula>"ENVIADO"</formula>
    </cfRule>
    <cfRule type="cellIs" dxfId="4950" priority="5686" operator="equal">
      <formula>"NO CORRESPONDE"</formula>
    </cfRule>
    <cfRule type="expression" dxfId="4949" priority="5687">
      <formula>$J386="En blanco"</formula>
    </cfRule>
    <cfRule type="expression" dxfId="4948" priority="5688">
      <formula>$J386="Anulada"</formula>
    </cfRule>
  </conditionalFormatting>
  <conditionalFormatting sqref="G555 G631 G665:G730 G1:G32">
    <cfRule type="containsText" dxfId="4947" priority="5991" operator="containsText" text="AQP">
      <formula>NOT(ISERROR(SEARCH("AQP",G1)))</formula>
    </cfRule>
  </conditionalFormatting>
  <conditionalFormatting sqref="G665:G730 G631 G555 G1:G32">
    <cfRule type="containsText" dxfId="4946" priority="5990" operator="containsText" text="LIM">
      <formula>NOT(ISERROR(SEARCH("LIM",G1)))</formula>
    </cfRule>
  </conditionalFormatting>
  <conditionalFormatting sqref="G33:G90 G92:G129 G131:G153 G155:G157 G159:G208 G210 G212 G214:G227 G241:G242 G257:G259">
    <cfRule type="containsText" dxfId="4945" priority="7823" operator="containsText" text="AQP">
      <formula>NOT(ISERROR(SEARCH("AQP",G33)))</formula>
    </cfRule>
  </conditionalFormatting>
  <conditionalFormatting sqref="G33:G90 G92:G129 G131:G153 G155:G157 G159:G208 G210 G241:G242 G257:G259 G212 G214:G227">
    <cfRule type="containsText" dxfId="4944" priority="7822" operator="containsText" text="LIM">
      <formula>NOT(ISERROR(SEARCH("LIM",G33)))</formula>
    </cfRule>
  </conditionalFormatting>
  <conditionalFormatting sqref="G91">
    <cfRule type="containsText" dxfId="4943" priority="6034" operator="containsText" text="LIM">
      <formula>NOT(ISERROR(SEARCH("LIM",G91)))</formula>
    </cfRule>
    <cfRule type="containsText" dxfId="4942" priority="6035" operator="containsText" text="AQP">
      <formula>NOT(ISERROR(SEARCH("AQP",G91)))</formula>
    </cfRule>
  </conditionalFormatting>
  <conditionalFormatting sqref="G130">
    <cfRule type="containsText" dxfId="4941" priority="6078" operator="containsText" text="LIM">
      <formula>NOT(ISERROR(SEARCH("LIM",G130)))</formula>
    </cfRule>
    <cfRule type="containsText" dxfId="4940" priority="6079" operator="containsText" text="AQP">
      <formula>NOT(ISERROR(SEARCH("AQP",G130)))</formula>
    </cfRule>
  </conditionalFormatting>
  <conditionalFormatting sqref="G154">
    <cfRule type="containsText" dxfId="4939" priority="6166" operator="containsText" text="LIM">
      <formula>NOT(ISERROR(SEARCH("LIM",G154)))</formula>
    </cfRule>
    <cfRule type="containsText" dxfId="4938" priority="6167" operator="containsText" text="AQP">
      <formula>NOT(ISERROR(SEARCH("AQP",G154)))</formula>
    </cfRule>
  </conditionalFormatting>
  <conditionalFormatting sqref="G158">
    <cfRule type="containsText" dxfId="4937" priority="6122" operator="containsText" text="LIM">
      <formula>NOT(ISERROR(SEARCH("LIM",G158)))</formula>
    </cfRule>
    <cfRule type="containsText" dxfId="4936" priority="6123" operator="containsText" text="AQP">
      <formula>NOT(ISERROR(SEARCH("AQP",G158)))</formula>
    </cfRule>
  </conditionalFormatting>
  <conditionalFormatting sqref="G197:G208">
    <cfRule type="expression" dxfId="4935" priority="7363">
      <formula>$J197="En blanco"</formula>
    </cfRule>
    <cfRule type="expression" dxfId="4934" priority="7364">
      <formula>$J197="Anulada"</formula>
    </cfRule>
  </conditionalFormatting>
  <conditionalFormatting sqref="G209">
    <cfRule type="containsText" dxfId="4933" priority="6210" operator="containsText" text="LIM">
      <formula>NOT(ISERROR(SEARCH("LIM",G209)))</formula>
    </cfRule>
    <cfRule type="containsText" dxfId="4932" priority="6211" operator="containsText" text="AQP">
      <formula>NOT(ISERROR(SEARCH("AQP",G209)))</formula>
    </cfRule>
  </conditionalFormatting>
  <conditionalFormatting sqref="G211">
    <cfRule type="containsText" dxfId="4931" priority="6298" operator="containsText" text="LIM">
      <formula>NOT(ISERROR(SEARCH("LIM",G211)))</formula>
    </cfRule>
    <cfRule type="containsText" dxfId="4930" priority="6299" operator="containsText" text="AQP">
      <formula>NOT(ISERROR(SEARCH("AQP",G211)))</formula>
    </cfRule>
  </conditionalFormatting>
  <conditionalFormatting sqref="G213">
    <cfRule type="containsText" dxfId="4929" priority="6254" operator="containsText" text="LIM">
      <formula>NOT(ISERROR(SEARCH("LIM",G213)))</formula>
    </cfRule>
    <cfRule type="containsText" dxfId="4928" priority="6255" operator="containsText" text="AQP">
      <formula>NOT(ISERROR(SEARCH("AQP",G213)))</formula>
    </cfRule>
  </conditionalFormatting>
  <conditionalFormatting sqref="G228">
    <cfRule type="containsText" dxfId="4927" priority="6342" operator="containsText" text="LIM">
      <formula>NOT(ISERROR(SEARCH("LIM",G228)))</formula>
    </cfRule>
    <cfRule type="containsText" dxfId="4926" priority="6343" operator="containsText" text="AQP">
      <formula>NOT(ISERROR(SEARCH("AQP",G228)))</formula>
    </cfRule>
  </conditionalFormatting>
  <conditionalFormatting sqref="G229:G230 G232:G234 G248:G256 G260:G279">
    <cfRule type="containsText" dxfId="4925" priority="7368" operator="containsText" text="LIM">
      <formula>NOT(ISERROR(SEARCH("LIM",G229)))</formula>
    </cfRule>
    <cfRule type="containsText" dxfId="4924" priority="7369" operator="containsText" text="AQP">
      <formula>NOT(ISERROR(SEARCH("AQP",G229)))</formula>
    </cfRule>
  </conditionalFormatting>
  <conditionalFormatting sqref="G231">
    <cfRule type="containsText" dxfId="4923" priority="6386" operator="containsText" text="LIM">
      <formula>NOT(ISERROR(SEARCH("LIM",G231)))</formula>
    </cfRule>
    <cfRule type="containsText" dxfId="4922" priority="6387" operator="containsText" text="AQP">
      <formula>NOT(ISERROR(SEARCH("AQP",G231)))</formula>
    </cfRule>
  </conditionalFormatting>
  <conditionalFormatting sqref="G235">
    <cfRule type="containsText" dxfId="4921" priority="6430" operator="containsText" text="LIM">
      <formula>NOT(ISERROR(SEARCH("LIM",G235)))</formula>
    </cfRule>
    <cfRule type="containsText" dxfId="4920" priority="6431" operator="containsText" text="AQP">
      <formula>NOT(ISERROR(SEARCH("AQP",G235)))</formula>
    </cfRule>
  </conditionalFormatting>
  <conditionalFormatting sqref="G236:G247">
    <cfRule type="containsText" dxfId="4919" priority="6474" operator="containsText" text="LIM">
      <formula>NOT(ISERROR(SEARCH("LIM",G236)))</formula>
    </cfRule>
    <cfRule type="containsText" dxfId="4918" priority="6475" operator="containsText" text="AQP">
      <formula>NOT(ISERROR(SEARCH("AQP",G236)))</formula>
    </cfRule>
  </conditionalFormatting>
  <conditionalFormatting sqref="G280:G564 G1456:G1048576 G741:G1454">
    <cfRule type="containsText" dxfId="4917" priority="14966" operator="containsText" text="AQP">
      <formula>NOT(ISERROR(SEARCH("AQP",G280)))</formula>
    </cfRule>
  </conditionalFormatting>
  <conditionalFormatting sqref="G280:G564">
    <cfRule type="containsText" dxfId="4916" priority="13288" operator="containsText" text="LIM">
      <formula>NOT(ISERROR(SEARCH("LIM",G280)))</formula>
    </cfRule>
  </conditionalFormatting>
  <conditionalFormatting sqref="G495 K1457">
    <cfRule type="expression" dxfId="4915" priority="19242">
      <formula>$J494="En blanco"</formula>
    </cfRule>
    <cfRule type="expression" dxfId="4914" priority="19244">
      <formula>$J494="Anulada"</formula>
    </cfRule>
  </conditionalFormatting>
  <conditionalFormatting sqref="G565:G569">
    <cfRule type="containsText" dxfId="4913" priority="5032" operator="containsText" text="LIM">
      <formula>NOT(ISERROR(SEARCH("LIM",G565)))</formula>
    </cfRule>
    <cfRule type="containsText" dxfId="4912" priority="5033" operator="containsText" text="AQP">
      <formula>NOT(ISERROR(SEARCH("AQP",G565)))</formula>
    </cfRule>
  </conditionalFormatting>
  <conditionalFormatting sqref="G570:G572 G574:G600 G663">
    <cfRule type="containsText" dxfId="4911" priority="5051" operator="containsText" text="LIM">
      <formula>NOT(ISERROR(SEARCH("LIM",G570)))</formula>
    </cfRule>
    <cfRule type="containsText" dxfId="4910" priority="5052" operator="containsText" text="AQP">
      <formula>NOT(ISERROR(SEARCH("AQP",G570)))</formula>
    </cfRule>
  </conditionalFormatting>
  <conditionalFormatting sqref="G570:G572">
    <cfRule type="expression" dxfId="4909" priority="5049">
      <formula>$J570="En blanco"</formula>
    </cfRule>
    <cfRule type="expression" dxfId="4908" priority="5050">
      <formula>$J570="Anulada"</formula>
    </cfRule>
  </conditionalFormatting>
  <conditionalFormatting sqref="G573">
    <cfRule type="containsText" dxfId="4907" priority="4975" operator="containsText" text="LIM">
      <formula>NOT(ISERROR(SEARCH("LIM",G573)))</formula>
    </cfRule>
    <cfRule type="containsText" dxfId="4906" priority="4976" operator="containsText" text="AQP">
      <formula>NOT(ISERROR(SEARCH("AQP",G573)))</formula>
    </cfRule>
  </conditionalFormatting>
  <conditionalFormatting sqref="G601:G626">
    <cfRule type="containsText" dxfId="4905" priority="4883" operator="containsText" text="LIM">
      <formula>NOT(ISERROR(SEARCH("LIM",G601)))</formula>
    </cfRule>
    <cfRule type="containsText" dxfId="4904" priority="4884" operator="containsText" text="AQP">
      <formula>NOT(ISERROR(SEARCH("AQP",G601)))</formula>
    </cfRule>
  </conditionalFormatting>
  <conditionalFormatting sqref="G627:G659">
    <cfRule type="containsText" dxfId="4903" priority="4842" operator="containsText" text="LIM">
      <formula>NOT(ISERROR(SEARCH("LIM",G627)))</formula>
    </cfRule>
    <cfRule type="containsText" dxfId="4902" priority="4843" operator="containsText" text="AQP">
      <formula>NOT(ISERROR(SEARCH("AQP",G627)))</formula>
    </cfRule>
  </conditionalFormatting>
  <conditionalFormatting sqref="G660:G662">
    <cfRule type="containsText" dxfId="4901" priority="4771" operator="containsText" text="LIM">
      <formula>NOT(ISERROR(SEARCH("LIM",G660)))</formula>
    </cfRule>
    <cfRule type="containsText" dxfId="4900" priority="4772" operator="containsText" text="AQP">
      <formula>NOT(ISERROR(SEARCH("AQP",G660)))</formula>
    </cfRule>
  </conditionalFormatting>
  <conditionalFormatting sqref="G664">
    <cfRule type="containsText" dxfId="4899" priority="4715" operator="containsText" text="LIM">
      <formula>NOT(ISERROR(SEARCH("LIM",G664)))</formula>
    </cfRule>
    <cfRule type="containsText" dxfId="4898" priority="4716" operator="containsText" text="AQP">
      <formula>NOT(ISERROR(SEARCH("AQP",G664)))</formula>
    </cfRule>
  </conditionalFormatting>
  <conditionalFormatting sqref="G731:G739">
    <cfRule type="containsText" dxfId="4897" priority="4386" operator="containsText" text="LIM">
      <formula>NOT(ISERROR(SEARCH("LIM",G731)))</formula>
    </cfRule>
    <cfRule type="containsText" dxfId="4896" priority="4387" operator="containsText" text="AQP">
      <formula>NOT(ISERROR(SEARCH("AQP",G731)))</formula>
    </cfRule>
  </conditionalFormatting>
  <conditionalFormatting sqref="G740">
    <cfRule type="containsText" dxfId="4895" priority="4347" operator="containsText" text="LIM">
      <formula>NOT(ISERROR(SEARCH("LIM",G740)))</formula>
    </cfRule>
    <cfRule type="containsText" dxfId="4894" priority="4348" operator="containsText" text="AQP">
      <formula>NOT(ISERROR(SEARCH("AQP",G740)))</formula>
    </cfRule>
  </conditionalFormatting>
  <conditionalFormatting sqref="G982:G990">
    <cfRule type="cellIs" dxfId="4893" priority="1487" operator="equal">
      <formula>"NO CORRESPONDE"</formula>
    </cfRule>
  </conditionalFormatting>
  <conditionalFormatting sqref="G987">
    <cfRule type="cellIs" dxfId="4892" priority="1486" operator="equal">
      <formula>"ENVIADO"</formula>
    </cfRule>
  </conditionalFormatting>
  <conditionalFormatting sqref="G1456:G1048576 G741:G1454">
    <cfRule type="containsText" dxfId="4891" priority="14965" operator="containsText" text="LIM">
      <formula>NOT(ISERROR(SEARCH("LIM",G741)))</formula>
    </cfRule>
  </conditionalFormatting>
  <conditionalFormatting sqref="I2:I31 I33:I90 I92:I129 I131 I133 I135:I153 I155:I157 I159:I163 I165:I174 A1:AU1 A1455:AU1455">
    <cfRule type="cellIs" dxfId="4890" priority="9551" operator="equal">
      <formula>"ENVIADO"</formula>
    </cfRule>
  </conditionalFormatting>
  <conditionalFormatting sqref="I2:I31 I33:I90 I92:I129 I131 I133 I135:I153 I155:I157 I159:I163 I165:I174">
    <cfRule type="expression" dxfId="4889" priority="7786">
      <formula>$J2="En blanco"</formula>
    </cfRule>
    <cfRule type="expression" dxfId="4888" priority="7787">
      <formula>$J2="Anulada"</formula>
    </cfRule>
    <cfRule type="cellIs" dxfId="4887" priority="12572" operator="equal">
      <formula>"NO CORRESPONDE"</formula>
    </cfRule>
  </conditionalFormatting>
  <conditionalFormatting sqref="I286">
    <cfRule type="cellIs" dxfId="4886" priority="6713" operator="equal">
      <formula>"ENVIADO"</formula>
    </cfRule>
    <cfRule type="cellIs" dxfId="4885" priority="6714" operator="equal">
      <formula>"NO CORRESPONDE"</formula>
    </cfRule>
  </conditionalFormatting>
  <conditionalFormatting sqref="J534:Q534 A534:H536 J535:M536 O535:Q536 U534:V536 X534:X536 Z534:AD536 AG534:AR536">
    <cfRule type="cellIs" dxfId="4884" priority="5122" operator="equal">
      <formula>"NO CORRESPONDE"</formula>
    </cfRule>
  </conditionalFormatting>
  <conditionalFormatting sqref="J534:Q534 A534:H536 U534:V536 X534:X536 Z534:AD536 AG534:AR536 J535:M536 O535:Q536">
    <cfRule type="cellIs" dxfId="4883" priority="5121" operator="equal">
      <formula>"ENVIADO"</formula>
    </cfRule>
  </conditionalFormatting>
  <conditionalFormatting sqref="K32">
    <cfRule type="expression" dxfId="4882" priority="5957">
      <formula>$J32="En blanco"</formula>
    </cfRule>
    <cfRule type="expression" dxfId="4881" priority="5958">
      <formula>$J32="Anulada"</formula>
    </cfRule>
  </conditionalFormatting>
  <conditionalFormatting sqref="K91">
    <cfRule type="expression" dxfId="4880" priority="6001">
      <formula>$J91="En blanco"</formula>
    </cfRule>
    <cfRule type="expression" dxfId="4879" priority="6002">
      <formula>$J91="Anulada"</formula>
    </cfRule>
  </conditionalFormatting>
  <conditionalFormatting sqref="K130">
    <cfRule type="expression" dxfId="4878" priority="6045">
      <formula>$J130="En blanco"</formula>
    </cfRule>
    <cfRule type="expression" dxfId="4877" priority="6046">
      <formula>$J130="Anulada"</formula>
    </cfRule>
  </conditionalFormatting>
  <conditionalFormatting sqref="K135 K147 K285 K293 K402 K414 K566 K571">
    <cfRule type="cellIs" dxfId="4876" priority="5037" operator="equal">
      <formula>"ENVIADO"</formula>
    </cfRule>
  </conditionalFormatting>
  <conditionalFormatting sqref="K135">
    <cfRule type="expression" dxfId="4875" priority="5039">
      <formula>$J135="En blanco"</formula>
    </cfRule>
    <cfRule type="expression" dxfId="4874" priority="5040">
      <formula>$J135="Anulada"</formula>
    </cfRule>
  </conditionalFormatting>
  <conditionalFormatting sqref="K147 K285 K293 K402 K414 K566 K571 K135">
    <cfRule type="cellIs" dxfId="4873" priority="5038" operator="equal">
      <formula>"NO CORRESPONDE"</formula>
    </cfRule>
  </conditionalFormatting>
  <conditionalFormatting sqref="K154">
    <cfRule type="expression" dxfId="4872" priority="6133">
      <formula>$J154="En blanco"</formula>
    </cfRule>
    <cfRule type="expression" dxfId="4871" priority="6134">
      <formula>$J154="Anulada"</formula>
    </cfRule>
  </conditionalFormatting>
  <conditionalFormatting sqref="K158">
    <cfRule type="expression" dxfId="4870" priority="6089">
      <formula>$J158="En blanco"</formula>
    </cfRule>
    <cfRule type="expression" dxfId="4869" priority="6090">
      <formula>$J158="Anulada"</formula>
    </cfRule>
  </conditionalFormatting>
  <conditionalFormatting sqref="K209">
    <cfRule type="expression" dxfId="4868" priority="6177">
      <formula>$J209="En blanco"</formula>
    </cfRule>
    <cfRule type="expression" dxfId="4867" priority="6178">
      <formula>$J209="Anulada"</formula>
    </cfRule>
  </conditionalFormatting>
  <conditionalFormatting sqref="K211">
    <cfRule type="expression" dxfId="4866" priority="6265">
      <formula>$J211="En blanco"</formula>
    </cfRule>
    <cfRule type="expression" dxfId="4865" priority="6266">
      <formula>$J211="Anulada"</formula>
    </cfRule>
  </conditionalFormatting>
  <conditionalFormatting sqref="K213">
    <cfRule type="expression" dxfId="4864" priority="6221">
      <formula>$J213="En blanco"</formula>
    </cfRule>
    <cfRule type="expression" dxfId="4863" priority="6222">
      <formula>$J213="Anulada"</formula>
    </cfRule>
  </conditionalFormatting>
  <conditionalFormatting sqref="K228">
    <cfRule type="expression" dxfId="4862" priority="6309">
      <formula>$J228="En blanco"</formula>
    </cfRule>
    <cfRule type="expression" dxfId="4861" priority="6310">
      <formula>$J228="Anulada"</formula>
    </cfRule>
  </conditionalFormatting>
  <conditionalFormatting sqref="K231">
    <cfRule type="expression" dxfId="4860" priority="6353">
      <formula>$J231="En blanco"</formula>
    </cfRule>
    <cfRule type="expression" dxfId="4859" priority="6354">
      <formula>$J231="Anulada"</formula>
    </cfRule>
  </conditionalFormatting>
  <conditionalFormatting sqref="K235">
    <cfRule type="expression" dxfId="4858" priority="6397">
      <formula>$J235="En blanco"</formula>
    </cfRule>
    <cfRule type="expression" dxfId="4857" priority="6398">
      <formula>$J235="Anulada"</formula>
    </cfRule>
  </conditionalFormatting>
  <conditionalFormatting sqref="K247">
    <cfRule type="expression" dxfId="4856" priority="6441">
      <formula>$J247="En blanco"</formula>
    </cfRule>
    <cfRule type="expression" dxfId="4855" priority="6442">
      <formula>$J247="Anulada"</formula>
    </cfRule>
  </conditionalFormatting>
  <conditionalFormatting sqref="K257">
    <cfRule type="expression" dxfId="4854" priority="6485">
      <formula>$J257="En blanco"</formula>
    </cfRule>
    <cfRule type="expression" dxfId="4853" priority="6486">
      <formula>$J257="Anulada"</formula>
    </cfRule>
  </conditionalFormatting>
  <conditionalFormatting sqref="K280">
    <cfRule type="expression" dxfId="4852" priority="6525">
      <formula>$J280="En blanco"</formula>
    </cfRule>
    <cfRule type="expression" dxfId="4851" priority="6526">
      <formula>$J280="Anulada"</formula>
    </cfRule>
  </conditionalFormatting>
  <conditionalFormatting sqref="K283">
    <cfRule type="expression" dxfId="4850" priority="6565">
      <formula>$J283="En blanco"</formula>
    </cfRule>
    <cfRule type="expression" dxfId="4849" priority="6566">
      <formula>$J283="Anulada"</formula>
    </cfRule>
  </conditionalFormatting>
  <conditionalFormatting sqref="K287">
    <cfRule type="expression" dxfId="4848" priority="6605">
      <formula>$J287="En blanco"</formula>
    </cfRule>
    <cfRule type="expression" dxfId="4847" priority="6606">
      <formula>$J287="Anulada"</formula>
    </cfRule>
  </conditionalFormatting>
  <conditionalFormatting sqref="K289">
    <cfRule type="expression" dxfId="4846" priority="6644">
      <formula>$J289="En blanco"</formula>
    </cfRule>
    <cfRule type="expression" dxfId="4845" priority="6645">
      <formula>$J289="Anulada"</formula>
    </cfRule>
  </conditionalFormatting>
  <conditionalFormatting sqref="K296">
    <cfRule type="expression" dxfId="4844" priority="6765">
      <formula>$J296="En blanco"</formula>
    </cfRule>
    <cfRule type="expression" dxfId="4843" priority="6766">
      <formula>$J296="Anulada"</formula>
    </cfRule>
  </conditionalFormatting>
  <conditionalFormatting sqref="K310">
    <cfRule type="expression" dxfId="4842" priority="6683">
      <formula>$J310="En blanco"</formula>
    </cfRule>
    <cfRule type="expression" dxfId="4841" priority="6684">
      <formula>$J310="Anulada"</formula>
    </cfRule>
  </conditionalFormatting>
  <conditionalFormatting sqref="K337">
    <cfRule type="expression" dxfId="4840" priority="5885">
      <formula>$J337="En blanco"</formula>
    </cfRule>
    <cfRule type="expression" dxfId="4839" priority="5886">
      <formula>$J337="Anulada"</formula>
    </cfRule>
  </conditionalFormatting>
  <conditionalFormatting sqref="K355:K356">
    <cfRule type="expression" dxfId="4838" priority="5789">
      <formula>$J355="En blanco"</formula>
    </cfRule>
    <cfRule type="expression" dxfId="4837" priority="5790">
      <formula>$J355="Anulada"</formula>
    </cfRule>
  </conditionalFormatting>
  <conditionalFormatting sqref="K367">
    <cfRule type="expression" dxfId="4836" priority="5749">
      <formula>$J367="En blanco"</formula>
    </cfRule>
    <cfRule type="expression" dxfId="4835" priority="5750">
      <formula>$J367="Anulada"</formula>
    </cfRule>
  </conditionalFormatting>
  <conditionalFormatting sqref="K379">
    <cfRule type="expression" dxfId="4834" priority="5707">
      <formula>$J379="En blanco"</formula>
    </cfRule>
    <cfRule type="expression" dxfId="4833" priority="5708">
      <formula>$J379="Anulada"</formula>
    </cfRule>
  </conditionalFormatting>
  <conditionalFormatting sqref="K408">
    <cfRule type="expression" dxfId="4832" priority="5603">
      <formula>$J408="En blanco"</formula>
    </cfRule>
    <cfRule type="expression" dxfId="4831" priority="5604">
      <formula>$J408="Anulada"</formula>
    </cfRule>
  </conditionalFormatting>
  <conditionalFormatting sqref="K413">
    <cfRule type="expression" dxfId="4830" priority="5564">
      <formula>$J413="En blanco"</formula>
    </cfRule>
    <cfRule type="expression" dxfId="4829" priority="5565">
      <formula>$J413="Anulada"</formula>
    </cfRule>
  </conditionalFormatting>
  <conditionalFormatting sqref="K416:K417">
    <cfRule type="expression" dxfId="4828" priority="5480">
      <formula>$J416="En blanco"</formula>
    </cfRule>
    <cfRule type="expression" dxfId="4827" priority="5481">
      <formula>$J416="Anulada"</formula>
    </cfRule>
  </conditionalFormatting>
  <conditionalFormatting sqref="K421">
    <cfRule type="expression" dxfId="4826" priority="2164">
      <formula>$J421="En blanco"</formula>
    </cfRule>
    <cfRule type="expression" dxfId="4825" priority="2165">
      <formula>$J421="Anulada"</formula>
    </cfRule>
  </conditionalFormatting>
  <conditionalFormatting sqref="K446">
    <cfRule type="expression" dxfId="4824" priority="5436">
      <formula>$J446="En blanco"</formula>
    </cfRule>
    <cfRule type="expression" dxfId="4823" priority="5437">
      <formula>$J446="Anulada"</formula>
    </cfRule>
  </conditionalFormatting>
  <conditionalFormatting sqref="K452">
    <cfRule type="expression" dxfId="4822" priority="5266">
      <formula>$J452="En blanco"</formula>
    </cfRule>
    <cfRule type="expression" dxfId="4821" priority="5267">
      <formula>$J452="Anulada"</formula>
    </cfRule>
  </conditionalFormatting>
  <conditionalFormatting sqref="K490">
    <cfRule type="expression" dxfId="4820" priority="5354">
      <formula>$J490="En blanco"</formula>
    </cfRule>
    <cfRule type="expression" dxfId="4819" priority="5355">
      <formula>$J490="Anulada"</formula>
    </cfRule>
  </conditionalFormatting>
  <conditionalFormatting sqref="K509">
    <cfRule type="expression" dxfId="4818" priority="5299">
      <formula>$J509="En blanco"</formula>
    </cfRule>
    <cfRule type="expression" dxfId="4817" priority="5300">
      <formula>$J509="Anulada"</formula>
    </cfRule>
  </conditionalFormatting>
  <conditionalFormatting sqref="K520">
    <cfRule type="expression" dxfId="4816" priority="5229">
      <formula>$J520="En blanco"</formula>
    </cfRule>
    <cfRule type="expression" dxfId="4815" priority="5230">
      <formula>$J520="Anulada"</formula>
    </cfRule>
  </conditionalFormatting>
  <conditionalFormatting sqref="K525">
    <cfRule type="expression" dxfId="4814" priority="5195">
      <formula>$J525="En blanco"</formula>
    </cfRule>
    <cfRule type="expression" dxfId="4813" priority="5196">
      <formula>$J525="Anulada"</formula>
    </cfRule>
  </conditionalFormatting>
  <conditionalFormatting sqref="K529">
    <cfRule type="expression" dxfId="4812" priority="5161">
      <formula>$J529="En blanco"</formula>
    </cfRule>
    <cfRule type="expression" dxfId="4811" priority="5162">
      <formula>$J529="Anulada"</formula>
    </cfRule>
  </conditionalFormatting>
  <conditionalFormatting sqref="K534:K536">
    <cfRule type="expression" dxfId="4810" priority="5127">
      <formula>$J534="En blanco"</formula>
    </cfRule>
    <cfRule type="expression" dxfId="4809" priority="5128">
      <formula>$J534="Anulada"</formula>
    </cfRule>
  </conditionalFormatting>
  <conditionalFormatting sqref="K538">
    <cfRule type="expression" dxfId="4808" priority="5093">
      <formula>$J538="En blanco"</formula>
    </cfRule>
    <cfRule type="expression" dxfId="4807" priority="5094">
      <formula>$J538="Anulada"</formula>
    </cfRule>
  </conditionalFormatting>
  <conditionalFormatting sqref="K569">
    <cfRule type="expression" dxfId="4806" priority="5001">
      <formula>$J569="En blanco"</formula>
    </cfRule>
    <cfRule type="expression" dxfId="4805" priority="5002">
      <formula>$J569="Anulada"</formula>
    </cfRule>
  </conditionalFormatting>
  <conditionalFormatting sqref="K573">
    <cfRule type="expression" dxfId="4804" priority="4947">
      <formula>$J573="En blanco"</formula>
    </cfRule>
    <cfRule type="expression" dxfId="4803" priority="4948">
      <formula>$J573="Anulada"</formula>
    </cfRule>
  </conditionalFormatting>
  <conditionalFormatting sqref="K601">
    <cfRule type="expression" dxfId="4802" priority="4855">
      <formula>$J601="En blanco"</formula>
    </cfRule>
    <cfRule type="expression" dxfId="4801" priority="4856">
      <formula>$J601="Anulada"</formula>
    </cfRule>
  </conditionalFormatting>
  <conditionalFormatting sqref="K627:K628">
    <cfRule type="expression" dxfId="4800" priority="4814">
      <formula>$J627="En blanco"</formula>
    </cfRule>
    <cfRule type="expression" dxfId="4799" priority="4815">
      <formula>$J627="Anulada"</formula>
    </cfRule>
  </conditionalFormatting>
  <conditionalFormatting sqref="K660:K662">
    <cfRule type="expression" dxfId="4798" priority="4743">
      <formula>$J660="En blanco"</formula>
    </cfRule>
    <cfRule type="expression" dxfId="4797" priority="4744">
      <formula>$J660="Anulada"</formula>
    </cfRule>
  </conditionalFormatting>
  <conditionalFormatting sqref="K664">
    <cfRule type="expression" dxfId="4796" priority="4687">
      <formula>$J664="En blanco"</formula>
    </cfRule>
    <cfRule type="expression" dxfId="4795" priority="4688">
      <formula>$J664="Anulada"</formula>
    </cfRule>
  </conditionalFormatting>
  <conditionalFormatting sqref="K693">
    <cfRule type="expression" dxfId="4794" priority="4399">
      <formula>$J693="En blanco"</formula>
    </cfRule>
    <cfRule type="expression" dxfId="4793" priority="4400">
      <formula>$J693="Anulada"</formula>
    </cfRule>
  </conditionalFormatting>
  <conditionalFormatting sqref="K712">
    <cfRule type="cellIs" dxfId="4792" priority="4189" operator="equal">
      <formula>"ENVIADO"</formula>
    </cfRule>
    <cfRule type="cellIs" dxfId="4791" priority="4190" operator="equal">
      <formula>"NO CORRESPONDE"</formula>
    </cfRule>
  </conditionalFormatting>
  <conditionalFormatting sqref="K712:K713">
    <cfRule type="expression" dxfId="4790" priority="4191">
      <formula>$J712="En blanco"</formula>
    </cfRule>
    <cfRule type="expression" dxfId="4789" priority="4192">
      <formula>$J712="Anulada"</formula>
    </cfRule>
  </conditionalFormatting>
  <conditionalFormatting sqref="K719">
    <cfRule type="cellIs" dxfId="4788" priority="4193" operator="equal">
      <formula>"ENVIADO"</formula>
    </cfRule>
    <cfRule type="cellIs" dxfId="4787" priority="4194" operator="equal">
      <formula>"NO CORRESPONDE"</formula>
    </cfRule>
    <cfRule type="expression" dxfId="4786" priority="4195">
      <formula>$J719="En blanco"</formula>
    </cfRule>
    <cfRule type="expression" dxfId="4785" priority="4196">
      <formula>$J719="Anulada"</formula>
    </cfRule>
  </conditionalFormatting>
  <conditionalFormatting sqref="K731">
    <cfRule type="expression" dxfId="4784" priority="4360">
      <formula>$J731="En blanco"</formula>
    </cfRule>
    <cfRule type="expression" dxfId="4783" priority="4361">
      <formula>$J731="Anulada"</formula>
    </cfRule>
  </conditionalFormatting>
  <conditionalFormatting sqref="K740">
    <cfRule type="expression" dxfId="4782" priority="4321">
      <formula>$J740="En blanco"</formula>
    </cfRule>
    <cfRule type="expression" dxfId="4781" priority="4322">
      <formula>$J740="Anulada"</formula>
    </cfRule>
  </conditionalFormatting>
  <conditionalFormatting sqref="K761">
    <cfRule type="expression" dxfId="4780" priority="4438">
      <formula>$J761="En blanco"</formula>
    </cfRule>
    <cfRule type="expression" dxfId="4779" priority="4439">
      <formula>$J761="Anulada"</formula>
    </cfRule>
  </conditionalFormatting>
  <conditionalFormatting sqref="K812">
    <cfRule type="expression" dxfId="4778" priority="4154">
      <formula>$J812="En blanco"</formula>
    </cfRule>
    <cfRule type="expression" dxfId="4777" priority="4155">
      <formula>$J812="Anulada"</formula>
    </cfRule>
  </conditionalFormatting>
  <conditionalFormatting sqref="K818">
    <cfRule type="expression" dxfId="4776" priority="4081">
      <formula>$J818="En blanco"</formula>
    </cfRule>
    <cfRule type="expression" dxfId="4775" priority="4082">
      <formula>$J818="Anulada"</formula>
    </cfRule>
  </conditionalFormatting>
  <conditionalFormatting sqref="K823:K824">
    <cfRule type="expression" dxfId="4774" priority="3923">
      <formula>$J823="En blanco"</formula>
    </cfRule>
    <cfRule type="expression" dxfId="4773" priority="3924">
      <formula>$J823="Anulada"</formula>
    </cfRule>
  </conditionalFormatting>
  <conditionalFormatting sqref="K843:K844">
    <cfRule type="expression" dxfId="4772" priority="3841">
      <formula>$J843="En blanco"</formula>
    </cfRule>
    <cfRule type="expression" dxfId="4771" priority="3842">
      <formula>$J843="Anulada"</formula>
    </cfRule>
  </conditionalFormatting>
  <conditionalFormatting sqref="K851:K860">
    <cfRule type="expression" dxfId="4770" priority="4199">
      <formula>$J851="En blanco"</formula>
    </cfRule>
    <cfRule type="expression" dxfId="4769" priority="4200">
      <formula>$J851="Anulada"</formula>
    </cfRule>
  </conditionalFormatting>
  <conditionalFormatting sqref="K852:K860 K862:K873">
    <cfRule type="cellIs" dxfId="4768" priority="4197" operator="equal">
      <formula>"ENVIADO"</formula>
    </cfRule>
  </conditionalFormatting>
  <conditionalFormatting sqref="K861">
    <cfRule type="expression" dxfId="4767" priority="3962">
      <formula>$J861="En blanco"</formula>
    </cfRule>
    <cfRule type="expression" dxfId="4766" priority="3963">
      <formula>$J861="Anulada"</formula>
    </cfRule>
  </conditionalFormatting>
  <conditionalFormatting sqref="K862:K873 K852:K860">
    <cfRule type="cellIs" dxfId="4765" priority="4198" operator="equal">
      <formula>"NO CORRESPONDE"</formula>
    </cfRule>
  </conditionalFormatting>
  <conditionalFormatting sqref="K879">
    <cfRule type="expression" dxfId="4764" priority="3761">
      <formula>$J879="En blanco"</formula>
    </cfRule>
    <cfRule type="expression" dxfId="4763" priority="3762">
      <formula>$J879="Anulada"</formula>
    </cfRule>
  </conditionalFormatting>
  <conditionalFormatting sqref="K880:K881">
    <cfRule type="cellIs" dxfId="4762" priority="3810" operator="equal">
      <formula>"ENVIADO"</formula>
    </cfRule>
    <cfRule type="cellIs" dxfId="4761" priority="3811" operator="equal">
      <formula>"NO CORRESPONDE"</formula>
    </cfRule>
    <cfRule type="expression" dxfId="4760" priority="3812">
      <formula>$J880="En blanco"</formula>
    </cfRule>
    <cfRule type="expression" dxfId="4759" priority="3813">
      <formula>$J880="Anulada"</formula>
    </cfRule>
  </conditionalFormatting>
  <conditionalFormatting sqref="K889">
    <cfRule type="cellIs" dxfId="4758" priority="3806" operator="equal">
      <formula>"ENVIADO"</formula>
    </cfRule>
    <cfRule type="cellIs" dxfId="4757" priority="3807" operator="equal">
      <formula>"NO CORRESPONDE"</formula>
    </cfRule>
    <cfRule type="expression" dxfId="4756" priority="3808">
      <formula>$J889="En blanco"</formula>
    </cfRule>
    <cfRule type="expression" dxfId="4755" priority="3809">
      <formula>$J889="Anulada"</formula>
    </cfRule>
  </conditionalFormatting>
  <conditionalFormatting sqref="K911">
    <cfRule type="expression" dxfId="4754" priority="3660">
      <formula>$J911="En blanco"</formula>
    </cfRule>
    <cfRule type="expression" dxfId="4753" priority="3661">
      <formula>$J911="Anulada"</formula>
    </cfRule>
  </conditionalFormatting>
  <conditionalFormatting sqref="K913">
    <cfRule type="expression" dxfId="4752" priority="3712">
      <formula>$J913="En blanco"</formula>
    </cfRule>
    <cfRule type="expression" dxfId="4751" priority="3713">
      <formula>$J913="Anulada"</formula>
    </cfRule>
  </conditionalFormatting>
  <conditionalFormatting sqref="K969">
    <cfRule type="cellIs" dxfId="4750" priority="2727" operator="equal">
      <formula>"ENVIADO"</formula>
    </cfRule>
    <cfRule type="cellIs" dxfId="4749" priority="2728" operator="equal">
      <formula>"NO CORRESPONDE"</formula>
    </cfRule>
    <cfRule type="expression" dxfId="4748" priority="2729">
      <formula>$J969="En blanco"</formula>
    </cfRule>
    <cfRule type="expression" dxfId="4747" priority="2730">
      <formula>$J969="Anulada"</formula>
    </cfRule>
  </conditionalFormatting>
  <conditionalFormatting sqref="K979">
    <cfRule type="cellIs" dxfId="4746" priority="2561" operator="equal">
      <formula>"ENVIADO"</formula>
    </cfRule>
    <cfRule type="cellIs" dxfId="4745" priority="2562" operator="equal">
      <formula>"NO CORRESPONDE"</formula>
    </cfRule>
    <cfRule type="expression" dxfId="4744" priority="2563">
      <formula>$J979="En blanco"</formula>
    </cfRule>
    <cfRule type="expression" dxfId="4743" priority="2564">
      <formula>$J979="Anulada"</formula>
    </cfRule>
  </conditionalFormatting>
  <conditionalFormatting sqref="K984">
    <cfRule type="expression" dxfId="4742" priority="2559">
      <formula>$J984="En blanco"</formula>
    </cfRule>
    <cfRule type="expression" dxfId="4741" priority="2560">
      <formula>$J984="Anulada"</formula>
    </cfRule>
  </conditionalFormatting>
  <conditionalFormatting sqref="K988">
    <cfRule type="expression" dxfId="4740" priority="2299">
      <formula>$J988="En blanco"</formula>
    </cfRule>
    <cfRule type="expression" dxfId="4739" priority="2300">
      <formula>$J988="Anulada"</formula>
    </cfRule>
  </conditionalFormatting>
  <conditionalFormatting sqref="K988:K990">
    <cfRule type="cellIs" dxfId="4738" priority="2297" operator="equal">
      <formula>"ENVIADO"</formula>
    </cfRule>
    <cfRule type="cellIs" dxfId="4737" priority="2298" operator="equal">
      <formula>"NO CORRESPONDE"</formula>
    </cfRule>
  </conditionalFormatting>
  <conditionalFormatting sqref="K989:K990">
    <cfRule type="expression" dxfId="4736" priority="2591">
      <formula>$J989="En blanco"</formula>
    </cfRule>
    <cfRule type="expression" dxfId="4735" priority="2592">
      <formula>$J989="Anulada"</formula>
    </cfRule>
  </conditionalFormatting>
  <conditionalFormatting sqref="K1053">
    <cfRule type="cellIs" dxfId="4734" priority="1811" operator="equal">
      <formula>"ENVIADO"</formula>
    </cfRule>
    <cfRule type="cellIs" dxfId="4733" priority="1812" operator="equal">
      <formula>"NO CORRESPONDE"</formula>
    </cfRule>
    <cfRule type="expression" dxfId="4732" priority="1813">
      <formula>$J1053="En blanco"</formula>
    </cfRule>
    <cfRule type="expression" dxfId="4731" priority="1814">
      <formula>$J1053="Anulada"</formula>
    </cfRule>
  </conditionalFormatting>
  <conditionalFormatting sqref="K1090">
    <cfRule type="cellIs" dxfId="4730" priority="1519" operator="equal">
      <formula>"ENVIADO"</formula>
    </cfRule>
    <cfRule type="cellIs" dxfId="4729" priority="1520" operator="equal">
      <formula>"NO CORRESPONDE"</formula>
    </cfRule>
    <cfRule type="expression" dxfId="4728" priority="1521">
      <formula>$J1090="En blanco"</formula>
    </cfRule>
    <cfRule type="expression" dxfId="4727" priority="1522">
      <formula>$J1090="Anulada"</formula>
    </cfRule>
  </conditionalFormatting>
  <conditionalFormatting sqref="K1113">
    <cfRule type="cellIs" dxfId="4726" priority="1446" operator="equal">
      <formula>"ENVIADO"</formula>
    </cfRule>
    <cfRule type="cellIs" dxfId="4725" priority="1447" operator="equal">
      <formula>"NO CORRESPONDE"</formula>
    </cfRule>
    <cfRule type="expression" dxfId="4724" priority="1448">
      <formula>$J1113="En blanco"</formula>
    </cfRule>
    <cfRule type="expression" dxfId="4723" priority="1449">
      <formula>$J1113="Anulada"</formula>
    </cfRule>
  </conditionalFormatting>
  <conditionalFormatting sqref="K1114">
    <cfRule type="expression" dxfId="4722" priority="1444">
      <formula>$J1114="En blanco"</formula>
    </cfRule>
    <cfRule type="expression" dxfId="4721" priority="1445">
      <formula>$J1114="Anulada"</formula>
    </cfRule>
  </conditionalFormatting>
  <conditionalFormatting sqref="K1251">
    <cfRule type="cellIs" dxfId="4720" priority="917" operator="equal">
      <formula>"ENVIADO"</formula>
    </cfRule>
    <cfRule type="cellIs" dxfId="4719" priority="918" operator="equal">
      <formula>"NO CORRESPONDE"</formula>
    </cfRule>
    <cfRule type="expression" dxfId="4718" priority="919">
      <formula>$J1251="En blanco"</formula>
    </cfRule>
    <cfRule type="expression" dxfId="4717" priority="920">
      <formula>$J1251="Anulada"</formula>
    </cfRule>
  </conditionalFormatting>
  <conditionalFormatting sqref="K1259">
    <cfRule type="cellIs" dxfId="4716" priority="911" operator="equal">
      <formula>"ENVIADO"</formula>
    </cfRule>
    <cfRule type="cellIs" dxfId="4715" priority="912" operator="equal">
      <formula>"NO CORRESPONDE"</formula>
    </cfRule>
    <cfRule type="expression" dxfId="4714" priority="913">
      <formula>$J1259="En blanco"</formula>
    </cfRule>
    <cfRule type="expression" dxfId="4713" priority="914">
      <formula>$J1259="Anulada"</formula>
    </cfRule>
  </conditionalFormatting>
  <conditionalFormatting sqref="K1260">
    <cfRule type="expression" dxfId="4712" priority="915">
      <formula>$J1260="En blanco"</formula>
    </cfRule>
    <cfRule type="expression" dxfId="4711" priority="916">
      <formula>$J1260="Anulada"</formula>
    </cfRule>
  </conditionalFormatting>
  <conditionalFormatting sqref="K1356">
    <cfRule type="cellIs" dxfId="4710" priority="547" operator="equal">
      <formula>"ENVIADO"</formula>
    </cfRule>
    <cfRule type="cellIs" dxfId="4709" priority="548" operator="equal">
      <formula>"NO CORRESPONDE"</formula>
    </cfRule>
    <cfRule type="expression" dxfId="4708" priority="549">
      <formula>$J1356="En blanco"</formula>
    </cfRule>
    <cfRule type="expression" dxfId="4707" priority="550">
      <formula>$J1356="Anulada"</formula>
    </cfRule>
  </conditionalFormatting>
  <conditionalFormatting sqref="K1398">
    <cfRule type="cellIs" dxfId="4706" priority="364" operator="equal">
      <formula>"ENVIADO"</formula>
    </cfRule>
    <cfRule type="cellIs" dxfId="4705" priority="365" operator="equal">
      <formula>"NO CORRESPONDE"</formula>
    </cfRule>
    <cfRule type="expression" dxfId="4704" priority="366">
      <formula>$J1398="En blanco"</formula>
    </cfRule>
    <cfRule type="expression" dxfId="4703" priority="367">
      <formula>$J1398="Anulada"</formula>
    </cfRule>
  </conditionalFormatting>
  <conditionalFormatting sqref="K1405">
    <cfRule type="expression" dxfId="4702" priority="380">
      <formula>$J1405="En blanco"</formula>
    </cfRule>
    <cfRule type="expression" dxfId="4701" priority="381">
      <formula>$J1405="Anulada"</formula>
    </cfRule>
  </conditionalFormatting>
  <conditionalFormatting sqref="K1406">
    <cfRule type="cellIs" dxfId="4700" priority="376" operator="equal">
      <formula>"ENVIADO"</formula>
    </cfRule>
    <cfRule type="cellIs" dxfId="4699" priority="377" operator="equal">
      <formula>"NO CORRESPONDE"</formula>
    </cfRule>
    <cfRule type="expression" dxfId="4698" priority="378">
      <formula>$J1406="En blanco"</formula>
    </cfRule>
    <cfRule type="expression" dxfId="4697" priority="379">
      <formula>$J1406="Anulada"</formula>
    </cfRule>
  </conditionalFormatting>
  <conditionalFormatting sqref="K1450">
    <cfRule type="cellIs" dxfId="4696" priority="174" operator="equal">
      <formula>"ENVIADO"</formula>
    </cfRule>
    <cfRule type="cellIs" dxfId="4695" priority="175" operator="equal">
      <formula>"NO CORRESPONDE"</formula>
    </cfRule>
    <cfRule type="expression" dxfId="4694" priority="176">
      <formula>$J1450="En blanco"</formula>
    </cfRule>
    <cfRule type="expression" dxfId="4693" priority="177">
      <formula>$J1450="Anulada"</formula>
    </cfRule>
  </conditionalFormatting>
  <conditionalFormatting sqref="K1464">
    <cfRule type="expression" dxfId="4692" priority="20465">
      <formula>$J1463="Anulada"</formula>
    </cfRule>
    <cfRule type="expression" dxfId="4691" priority="20467">
      <formula>$J1463="En blanco"</formula>
    </cfRule>
  </conditionalFormatting>
  <conditionalFormatting sqref="L132:Q132 A132:J132 X132 AA132 AG132:AS132">
    <cfRule type="cellIs" dxfId="4690" priority="7621" operator="equal">
      <formula>"NO CORRESPONDE"</formula>
    </cfRule>
  </conditionalFormatting>
  <conditionalFormatting sqref="L402:Q402">
    <cfRule type="cellIs" dxfId="4689" priority="5637" operator="equal">
      <formula>"ENVIADO"</formula>
    </cfRule>
    <cfRule type="cellIs" dxfId="4688" priority="5638" operator="equal">
      <formula>"NO CORRESPONDE"</formula>
    </cfRule>
    <cfRule type="expression" dxfId="4687" priority="5639">
      <formula>$J402="En blanco"</formula>
    </cfRule>
    <cfRule type="expression" dxfId="4686" priority="5640">
      <formula>$J402="Anulada"</formula>
    </cfRule>
  </conditionalFormatting>
  <conditionalFormatting sqref="L1456:AR1457">
    <cfRule type="expression" dxfId="4685" priority="15469">
      <formula>$J1456="Anulada"</formula>
    </cfRule>
  </conditionalFormatting>
  <conditionalFormatting sqref="M1090">
    <cfRule type="cellIs" dxfId="4684" priority="1523" operator="equal">
      <formula>"ENVIADO"</formula>
    </cfRule>
    <cfRule type="cellIs" dxfId="4683" priority="1524" operator="equal">
      <formula>"NO CORRESPONDE"</formula>
    </cfRule>
  </conditionalFormatting>
  <conditionalFormatting sqref="N535:N536">
    <cfRule type="cellIs" dxfId="4682" priority="4783" operator="equal">
      <formula>"ENVIADO"</formula>
    </cfRule>
    <cfRule type="cellIs" dxfId="4681" priority="4784" operator="equal">
      <formula>"NO CORRESPONDE"</formula>
    </cfRule>
    <cfRule type="expression" dxfId="4680" priority="4785">
      <formula>$J535="En blanco"</formula>
    </cfRule>
    <cfRule type="expression" dxfId="4679" priority="4786">
      <formula>$J535="Anulada"</formula>
    </cfRule>
  </conditionalFormatting>
  <conditionalFormatting sqref="N569:N573">
    <cfRule type="cellIs" dxfId="4678" priority="4779" operator="equal">
      <formula>"ENVIADO"</formula>
    </cfRule>
    <cfRule type="cellIs" dxfId="4677" priority="4780" operator="equal">
      <formula>"NO CORRESPONDE"</formula>
    </cfRule>
    <cfRule type="expression" dxfId="4676" priority="4781">
      <formula>$J569="En blanco"</formula>
    </cfRule>
    <cfRule type="expression" dxfId="4675" priority="4782">
      <formula>$J569="Anulada"</formula>
    </cfRule>
  </conditionalFormatting>
  <conditionalFormatting sqref="N627:N628">
    <cfRule type="cellIs" dxfId="4674" priority="4727" operator="equal">
      <formula>"ENVIADO"</formula>
    </cfRule>
    <cfRule type="cellIs" dxfId="4673" priority="4728" operator="equal">
      <formula>"NO CORRESPONDE"</formula>
    </cfRule>
    <cfRule type="expression" dxfId="4672" priority="4729">
      <formula>$J627="En blanco"</formula>
    </cfRule>
    <cfRule type="expression" dxfId="4671" priority="4730">
      <formula>$J627="Anulada"</formula>
    </cfRule>
  </conditionalFormatting>
  <conditionalFormatting sqref="N660:N662">
    <cfRule type="cellIs" dxfId="4670" priority="4723" operator="equal">
      <formula>"ENVIADO"</formula>
    </cfRule>
    <cfRule type="cellIs" dxfId="4669" priority="4724" operator="equal">
      <formula>"NO CORRESPONDE"</formula>
    </cfRule>
    <cfRule type="expression" dxfId="4668" priority="4725">
      <formula>$J660="En blanco"</formula>
    </cfRule>
    <cfRule type="expression" dxfId="4667" priority="4726">
      <formula>$J660="Anulada"</formula>
    </cfRule>
  </conditionalFormatting>
  <conditionalFormatting sqref="N664">
    <cfRule type="cellIs" dxfId="4666" priority="4677" operator="equal">
      <formula>"ENVIADO"</formula>
    </cfRule>
    <cfRule type="cellIs" dxfId="4665" priority="4678" operator="equal">
      <formula>"NO CORRESPONDE"</formula>
    </cfRule>
    <cfRule type="expression" dxfId="4664" priority="4679">
      <formula>$J664="En blanco"</formula>
    </cfRule>
    <cfRule type="expression" dxfId="4663" priority="4680">
      <formula>$J664="Anulada"</formula>
    </cfRule>
  </conditionalFormatting>
  <conditionalFormatting sqref="N693">
    <cfRule type="cellIs" dxfId="4662" priority="4391" operator="equal">
      <formula>"ENVIADO"</formula>
    </cfRule>
    <cfRule type="cellIs" dxfId="4661" priority="4392" operator="equal">
      <formula>"NO CORRESPONDE"</formula>
    </cfRule>
    <cfRule type="expression" dxfId="4660" priority="4393">
      <formula>$J693="En blanco"</formula>
    </cfRule>
    <cfRule type="expression" dxfId="4659" priority="4394">
      <formula>$J693="Anulada"</formula>
    </cfRule>
  </conditionalFormatting>
  <conditionalFormatting sqref="N731">
    <cfRule type="cellIs" dxfId="4658" priority="4352" operator="equal">
      <formula>"ENVIADO"</formula>
    </cfRule>
    <cfRule type="cellIs" dxfId="4657" priority="4353" operator="equal">
      <formula>"NO CORRESPONDE"</formula>
    </cfRule>
    <cfRule type="expression" dxfId="4656" priority="4354">
      <formula>$J731="En blanco"</formula>
    </cfRule>
    <cfRule type="expression" dxfId="4655" priority="4355">
      <formula>$J731="Anulada"</formula>
    </cfRule>
  </conditionalFormatting>
  <conditionalFormatting sqref="N740">
    <cfRule type="cellIs" dxfId="4654" priority="4313" operator="equal">
      <formula>"ENVIADO"</formula>
    </cfRule>
    <cfRule type="cellIs" dxfId="4653" priority="4314" operator="equal">
      <formula>"NO CORRESPONDE"</formula>
    </cfRule>
    <cfRule type="expression" dxfId="4652" priority="4315">
      <formula>$J740="En blanco"</formula>
    </cfRule>
    <cfRule type="expression" dxfId="4651" priority="4316">
      <formula>$J740="Anulada"</formula>
    </cfRule>
  </conditionalFormatting>
  <conditionalFormatting sqref="N761">
    <cfRule type="cellIs" dxfId="4650" priority="4430" operator="equal">
      <formula>"ENVIADO"</formula>
    </cfRule>
    <cfRule type="cellIs" dxfId="4649" priority="4431" operator="equal">
      <formula>"NO CORRESPONDE"</formula>
    </cfRule>
    <cfRule type="expression" dxfId="4648" priority="4432">
      <formula>$J761="En blanco"</formula>
    </cfRule>
    <cfRule type="expression" dxfId="4647" priority="4433">
      <formula>$J761="Anulada"</formula>
    </cfRule>
  </conditionalFormatting>
  <conditionalFormatting sqref="N780">
    <cfRule type="cellIs" dxfId="4646" priority="3814" operator="equal">
      <formula>"ENVIADO"</formula>
    </cfRule>
    <cfRule type="cellIs" dxfId="4645" priority="3815" operator="equal">
      <formula>"NO CORRESPONDE"</formula>
    </cfRule>
    <cfRule type="expression" dxfId="4644" priority="3816">
      <formula>$J780="En blanco"</formula>
    </cfRule>
    <cfRule type="expression" dxfId="4643" priority="3817">
      <formula>$J780="Anulada"</formula>
    </cfRule>
  </conditionalFormatting>
  <conditionalFormatting sqref="N812">
    <cfRule type="cellIs" dxfId="4642" priority="4146" operator="equal">
      <formula>"ENVIADO"</formula>
    </cfRule>
    <cfRule type="cellIs" dxfId="4641" priority="4147" operator="equal">
      <formula>"NO CORRESPONDE"</formula>
    </cfRule>
    <cfRule type="expression" dxfId="4640" priority="4148">
      <formula>$J812="En blanco"</formula>
    </cfRule>
    <cfRule type="expression" dxfId="4639" priority="4149">
      <formula>$J812="Anulada"</formula>
    </cfRule>
  </conditionalFormatting>
  <conditionalFormatting sqref="N818">
    <cfRule type="cellIs" dxfId="4638" priority="4073" operator="equal">
      <formula>"ENVIADO"</formula>
    </cfRule>
    <cfRule type="cellIs" dxfId="4637" priority="4074" operator="equal">
      <formula>"NO CORRESPONDE"</formula>
    </cfRule>
    <cfRule type="expression" dxfId="4636" priority="4075">
      <formula>$J818="En blanco"</formula>
    </cfRule>
    <cfRule type="expression" dxfId="4635" priority="4076">
      <formula>$J818="Anulada"</formula>
    </cfRule>
  </conditionalFormatting>
  <conditionalFormatting sqref="N823">
    <cfRule type="cellIs" dxfId="4634" priority="3915" operator="equal">
      <formula>"ENVIADO"</formula>
    </cfRule>
    <cfRule type="cellIs" dxfId="4633" priority="3916" operator="equal">
      <formula>"NO CORRESPONDE"</formula>
    </cfRule>
    <cfRule type="expression" dxfId="4632" priority="3917">
      <formula>$J823="En blanco"</formula>
    </cfRule>
    <cfRule type="expression" dxfId="4631" priority="3918">
      <formula>$J823="Anulada"</formula>
    </cfRule>
  </conditionalFormatting>
  <conditionalFormatting sqref="N843:N844">
    <cfRule type="cellIs" dxfId="4630" priority="3833" operator="equal">
      <formula>"ENVIADO"</formula>
    </cfRule>
    <cfRule type="cellIs" dxfId="4629" priority="3834" operator="equal">
      <formula>"NO CORRESPONDE"</formula>
    </cfRule>
    <cfRule type="expression" dxfId="4628" priority="3835">
      <formula>$J843="En blanco"</formula>
    </cfRule>
    <cfRule type="expression" dxfId="4627" priority="3836">
      <formula>$J843="Anulada"</formula>
    </cfRule>
  </conditionalFormatting>
  <conditionalFormatting sqref="N861">
    <cfRule type="cellIs" dxfId="4626" priority="3954" operator="equal">
      <formula>"ENVIADO"</formula>
    </cfRule>
    <cfRule type="cellIs" dxfId="4625" priority="3955" operator="equal">
      <formula>"NO CORRESPONDE"</formula>
    </cfRule>
    <cfRule type="expression" dxfId="4624" priority="3956">
      <formula>$J861="En blanco"</formula>
    </cfRule>
    <cfRule type="expression" dxfId="4623" priority="3957">
      <formula>$J861="Anulada"</formula>
    </cfRule>
  </conditionalFormatting>
  <conditionalFormatting sqref="N879">
    <cfRule type="cellIs" dxfId="4622" priority="3753" operator="equal">
      <formula>"ENVIADO"</formula>
    </cfRule>
    <cfRule type="cellIs" dxfId="4621" priority="3754" operator="equal">
      <formula>"NO CORRESPONDE"</formula>
    </cfRule>
    <cfRule type="expression" dxfId="4620" priority="3755">
      <formula>$J879="En blanco"</formula>
    </cfRule>
    <cfRule type="expression" dxfId="4619" priority="3756">
      <formula>$J879="Anulada"</formula>
    </cfRule>
  </conditionalFormatting>
  <conditionalFormatting sqref="N911">
    <cfRule type="cellIs" dxfId="4618" priority="3652" operator="equal">
      <formula>"ENVIADO"</formula>
    </cfRule>
    <cfRule type="cellIs" dxfId="4617" priority="3653" operator="equal">
      <formula>"NO CORRESPONDE"</formula>
    </cfRule>
    <cfRule type="expression" dxfId="4616" priority="3654">
      <formula>$J911="En blanco"</formula>
    </cfRule>
    <cfRule type="expression" dxfId="4615" priority="3655">
      <formula>$J911="Anulada"</formula>
    </cfRule>
  </conditionalFormatting>
  <conditionalFormatting sqref="N913">
    <cfRule type="cellIs" dxfId="4614" priority="3704" operator="equal">
      <formula>"ENVIADO"</formula>
    </cfRule>
    <cfRule type="cellIs" dxfId="4613" priority="3705" operator="equal">
      <formula>"NO CORRESPONDE"</formula>
    </cfRule>
    <cfRule type="expression" dxfId="4612" priority="3706">
      <formula>$J913="En blanco"</formula>
    </cfRule>
    <cfRule type="expression" dxfId="4611" priority="3707">
      <formula>$J913="Anulada"</formula>
    </cfRule>
  </conditionalFormatting>
  <conditionalFormatting sqref="N959">
    <cfRule type="cellIs" dxfId="4610" priority="2691" operator="equal">
      <formula>"ENVIADO"</formula>
    </cfRule>
    <cfRule type="cellIs" dxfId="4609" priority="2692" operator="equal">
      <formula>"NO CORRESPONDE"</formula>
    </cfRule>
    <cfRule type="expression" dxfId="4608" priority="2693">
      <formula>$J959="En blanco"</formula>
    </cfRule>
    <cfRule type="expression" dxfId="4607" priority="2694">
      <formula>$J959="Anulada"</formula>
    </cfRule>
  </conditionalFormatting>
  <conditionalFormatting sqref="N964">
    <cfRule type="cellIs" dxfId="4606" priority="2424" operator="equal">
      <formula>"ENVIADO"</formula>
    </cfRule>
    <cfRule type="cellIs" dxfId="4605" priority="2425" operator="equal">
      <formula>"NO CORRESPONDE"</formula>
    </cfRule>
    <cfRule type="expression" dxfId="4604" priority="2426">
      <formula>$J964="En blanco"</formula>
    </cfRule>
    <cfRule type="expression" dxfId="4603" priority="2427">
      <formula>$J964="Anulada"</formula>
    </cfRule>
  </conditionalFormatting>
  <conditionalFormatting sqref="N970">
    <cfRule type="cellIs" dxfId="4602" priority="2751" operator="equal">
      <formula>"ENVIADO"</formula>
    </cfRule>
    <cfRule type="cellIs" dxfId="4601" priority="2752" operator="equal">
      <formula>"NO CORRESPONDE"</formula>
    </cfRule>
    <cfRule type="expression" dxfId="4600" priority="2753">
      <formula>$J970="En blanco"</formula>
    </cfRule>
    <cfRule type="expression" dxfId="4599" priority="2754">
      <formula>$J970="Anulada"</formula>
    </cfRule>
  </conditionalFormatting>
  <conditionalFormatting sqref="N978:N980">
    <cfRule type="cellIs" dxfId="4598" priority="2795" operator="equal">
      <formula>"ENVIADO"</formula>
    </cfRule>
    <cfRule type="cellIs" dxfId="4597" priority="2796" operator="equal">
      <formula>"NO CORRESPONDE"</formula>
    </cfRule>
    <cfRule type="expression" dxfId="4596" priority="2797">
      <formula>$J978="En blanco"</formula>
    </cfRule>
    <cfRule type="expression" dxfId="4595" priority="2798">
      <formula>$J978="Anulada"</formula>
    </cfRule>
  </conditionalFormatting>
  <conditionalFormatting sqref="N991">
    <cfRule type="cellIs" dxfId="4594" priority="2475" operator="equal">
      <formula>"ENVIADO"</formula>
    </cfRule>
    <cfRule type="cellIs" dxfId="4593" priority="2476" operator="equal">
      <formula>"NO CORRESPONDE"</formula>
    </cfRule>
    <cfRule type="expression" dxfId="4592" priority="2477">
      <formula>$J991="En blanco"</formula>
    </cfRule>
    <cfRule type="expression" dxfId="4591" priority="2478">
      <formula>$J991="Anulada"</formula>
    </cfRule>
  </conditionalFormatting>
  <conditionalFormatting sqref="N1017">
    <cfRule type="cellIs" dxfId="4590" priority="1961" operator="equal">
      <formula>"ENVIADO"</formula>
    </cfRule>
    <cfRule type="cellIs" dxfId="4589" priority="1962" operator="equal">
      <formula>"NO CORRESPONDE"</formula>
    </cfRule>
    <cfRule type="expression" dxfId="4588" priority="1963">
      <formula>$J1017="En blanco"</formula>
    </cfRule>
    <cfRule type="expression" dxfId="4587" priority="1964">
      <formula>$J1017="Anulada"</formula>
    </cfRule>
  </conditionalFormatting>
  <conditionalFormatting sqref="N1024">
    <cfRule type="cellIs" dxfId="4586" priority="2051" operator="equal">
      <formula>"ENVIADO"</formula>
    </cfRule>
    <cfRule type="cellIs" dxfId="4585" priority="2052" operator="equal">
      <formula>"NO CORRESPONDE"</formula>
    </cfRule>
    <cfRule type="expression" dxfId="4584" priority="2053">
      <formula>$J1024="En blanco"</formula>
    </cfRule>
    <cfRule type="expression" dxfId="4583" priority="2054">
      <formula>$J1024="Anulada"</formula>
    </cfRule>
  </conditionalFormatting>
  <conditionalFormatting sqref="N1036">
    <cfRule type="cellIs" dxfId="4582" priority="2006" operator="equal">
      <formula>"ENVIADO"</formula>
    </cfRule>
    <cfRule type="cellIs" dxfId="4581" priority="2007" operator="equal">
      <formula>"NO CORRESPONDE"</formula>
    </cfRule>
    <cfRule type="expression" dxfId="4580" priority="2008">
      <formula>$J1036="En blanco"</formula>
    </cfRule>
    <cfRule type="expression" dxfId="4579" priority="2009">
      <formula>$J1036="Anulada"</formula>
    </cfRule>
  </conditionalFormatting>
  <conditionalFormatting sqref="N1079">
    <cfRule type="cellIs" dxfId="4578" priority="1557" operator="equal">
      <formula>"ENVIADO"</formula>
    </cfRule>
    <cfRule type="cellIs" dxfId="4577" priority="1558" operator="equal">
      <formula>"NO CORRESPONDE"</formula>
    </cfRule>
    <cfRule type="expression" dxfId="4576" priority="1559">
      <formula>$J1079="En blanco"</formula>
    </cfRule>
    <cfRule type="expression" dxfId="4575" priority="1560">
      <formula>$J1079="Anulada"</formula>
    </cfRule>
  </conditionalFormatting>
  <conditionalFormatting sqref="N1090">
    <cfRule type="cellIs" dxfId="4574" priority="1527" operator="equal">
      <formula>"ENVIADO"</formula>
    </cfRule>
    <cfRule type="cellIs" dxfId="4573" priority="1528" operator="equal">
      <formula>"NO CORRESPONDE"</formula>
    </cfRule>
    <cfRule type="expression" dxfId="4572" priority="1529">
      <formula>$J1090="En blanco"</formula>
    </cfRule>
    <cfRule type="expression" dxfId="4571" priority="1530">
      <formula>$J1090="Anulada"</formula>
    </cfRule>
  </conditionalFormatting>
  <conditionalFormatting sqref="N1098">
    <cfRule type="cellIs" dxfId="4570" priority="1363" operator="equal">
      <formula>"ENVIADO"</formula>
    </cfRule>
    <cfRule type="cellIs" dxfId="4569" priority="1364" operator="equal">
      <formula>"NO CORRESPONDE"</formula>
    </cfRule>
    <cfRule type="expression" dxfId="4568" priority="1365">
      <formula>$J1098="En blanco"</formula>
    </cfRule>
    <cfRule type="expression" dxfId="4567" priority="1366">
      <formula>$J1098="Anulada"</formula>
    </cfRule>
  </conditionalFormatting>
  <conditionalFormatting sqref="N1240">
    <cfRule type="cellIs" dxfId="4566" priority="882" operator="equal">
      <formula>"ENVIADO"</formula>
    </cfRule>
    <cfRule type="cellIs" dxfId="4565" priority="883" operator="equal">
      <formula>"NO CORRESPONDE"</formula>
    </cfRule>
    <cfRule type="expression" dxfId="4564" priority="884">
      <formula>$J1240="En blanco"</formula>
    </cfRule>
    <cfRule type="expression" dxfId="4563" priority="885">
      <formula>$J1240="Anulada"</formula>
    </cfRule>
  </conditionalFormatting>
  <conditionalFormatting sqref="N1256">
    <cfRule type="cellIs" dxfId="4562" priority="810" operator="equal">
      <formula>"ENVIADO"</formula>
    </cfRule>
    <cfRule type="cellIs" dxfId="4561" priority="811" operator="equal">
      <formula>"NO CORRESPONDE"</formula>
    </cfRule>
    <cfRule type="expression" dxfId="4560" priority="812">
      <formula>$J1256="En blanco"</formula>
    </cfRule>
    <cfRule type="expression" dxfId="4559" priority="813">
      <formula>$J1256="Anulada"</formula>
    </cfRule>
  </conditionalFormatting>
  <conditionalFormatting sqref="N1294">
    <cfRule type="cellIs" dxfId="4558" priority="721" operator="equal">
      <formula>"ENVIADO"</formula>
    </cfRule>
    <cfRule type="cellIs" dxfId="4557" priority="722" operator="equal">
      <formula>"NO CORRESPONDE"</formula>
    </cfRule>
    <cfRule type="expression" dxfId="4556" priority="723">
      <formula>$J1294="En blanco"</formula>
    </cfRule>
    <cfRule type="expression" dxfId="4555" priority="724">
      <formula>$J1294="Anulada"</formula>
    </cfRule>
  </conditionalFormatting>
  <conditionalFormatting sqref="N1297">
    <cfRule type="cellIs" dxfId="4554" priority="672" operator="equal">
      <formula>"ENVIADO"</formula>
    </cfRule>
    <cfRule type="cellIs" dxfId="4553" priority="673" operator="equal">
      <formula>"NO CORRESPONDE"</formula>
    </cfRule>
    <cfRule type="expression" dxfId="4552" priority="674">
      <formula>$J1297="En blanco"</formula>
    </cfRule>
    <cfRule type="expression" dxfId="4551" priority="675">
      <formula>$J1297="Anulada"</formula>
    </cfRule>
  </conditionalFormatting>
  <conditionalFormatting sqref="N1352">
    <cfRule type="cellIs" dxfId="4550" priority="588" operator="equal">
      <formula>"ENVIADO"</formula>
    </cfRule>
    <cfRule type="cellIs" dxfId="4549" priority="589" operator="equal">
      <formula>"NO CORRESPONDE"</formula>
    </cfRule>
    <cfRule type="expression" dxfId="4548" priority="590">
      <formula>$J1352="En blanco"</formula>
    </cfRule>
    <cfRule type="expression" dxfId="4547" priority="591">
      <formula>$J1352="Anulada"</formula>
    </cfRule>
  </conditionalFormatting>
  <conditionalFormatting sqref="N1371">
    <cfRule type="cellIs" dxfId="4546" priority="408" operator="equal">
      <formula>"ENVIADO"</formula>
    </cfRule>
    <cfRule type="cellIs" dxfId="4545" priority="409" operator="equal">
      <formula>"NO CORRESPONDE"</formula>
    </cfRule>
    <cfRule type="expression" dxfId="4544" priority="410">
      <formula>$J1371="En blanco"</formula>
    </cfRule>
    <cfRule type="expression" dxfId="4543" priority="411">
      <formula>$J1371="Anulada"</formula>
    </cfRule>
  </conditionalFormatting>
  <conditionalFormatting sqref="N1373">
    <cfRule type="cellIs" dxfId="4542" priority="461" operator="equal">
      <formula>"ENVIADO"</formula>
    </cfRule>
    <cfRule type="cellIs" dxfId="4541" priority="462" operator="equal">
      <formula>"NO CORRESPONDE"</formula>
    </cfRule>
    <cfRule type="expression" dxfId="4540" priority="463">
      <formula>$J1373="En blanco"</formula>
    </cfRule>
    <cfRule type="expression" dxfId="4539" priority="464">
      <formula>$J1373="Anulada"</formula>
    </cfRule>
  </conditionalFormatting>
  <conditionalFormatting sqref="N1394">
    <cfRule type="cellIs" dxfId="4538" priority="331" operator="equal">
      <formula>"ENVIADO"</formula>
    </cfRule>
    <cfRule type="cellIs" dxfId="4537" priority="332" operator="equal">
      <formula>"NO CORRESPONDE"</formula>
    </cfRule>
    <cfRule type="expression" dxfId="4536" priority="333">
      <formula>$J1394="En blanco"</formula>
    </cfRule>
    <cfRule type="expression" dxfId="4535" priority="334">
      <formula>$J1394="Anulada"</formula>
    </cfRule>
  </conditionalFormatting>
  <conditionalFormatting sqref="N1436:N1437">
    <cfRule type="cellIs" dxfId="4534" priority="269" operator="equal">
      <formula>"ENVIADO"</formula>
    </cfRule>
    <cfRule type="cellIs" dxfId="4533" priority="270" operator="equal">
      <formula>"NO CORRESPONDE"</formula>
    </cfRule>
    <cfRule type="expression" dxfId="4532" priority="271">
      <formula>$J1436="En blanco"</formula>
    </cfRule>
    <cfRule type="expression" dxfId="4531" priority="272">
      <formula>$J1436="Anulada"</formula>
    </cfRule>
  </conditionalFormatting>
  <conditionalFormatting sqref="N1443">
    <cfRule type="cellIs" dxfId="4530" priority="207" operator="equal">
      <formula>"ENVIADO"</formula>
    </cfRule>
    <cfRule type="cellIs" dxfId="4529" priority="208" operator="equal">
      <formula>"NO CORRESPONDE"</formula>
    </cfRule>
    <cfRule type="expression" dxfId="4528" priority="209">
      <formula>$J1443="En blanco"</formula>
    </cfRule>
    <cfRule type="expression" dxfId="4527" priority="210">
      <formula>$J1443="Anulada"</formula>
    </cfRule>
  </conditionalFormatting>
  <conditionalFormatting sqref="N1447">
    <cfRule type="cellIs" dxfId="4526" priority="17" operator="equal">
      <formula>"ENVIADO"</formula>
    </cfRule>
    <cfRule type="cellIs" dxfId="4525" priority="18" operator="equal">
      <formula>"NO CORRESPONDE"</formula>
    </cfRule>
    <cfRule type="expression" dxfId="4524" priority="19">
      <formula>$J1447="En blanco"</formula>
    </cfRule>
    <cfRule type="expression" dxfId="4523" priority="20">
      <formula>$J1447="Anulada"</formula>
    </cfRule>
  </conditionalFormatting>
  <conditionalFormatting sqref="O12:O13">
    <cfRule type="expression" dxfId="4522" priority="7867">
      <formula>$J12="En blanco"</formula>
    </cfRule>
    <cfRule type="expression" dxfId="4521" priority="7868">
      <formula>$J12="Anulada"</formula>
    </cfRule>
  </conditionalFormatting>
  <conditionalFormatting sqref="O293:O294">
    <cfRule type="cellIs" dxfId="4520" priority="6877" operator="equal">
      <formula>"ENVIADO"</formula>
    </cfRule>
    <cfRule type="cellIs" dxfId="4519" priority="6878" operator="equal">
      <formula>"NO CORRESPONDE"</formula>
    </cfRule>
  </conditionalFormatting>
  <conditionalFormatting sqref="O821 Q821 U821:V821 X821">
    <cfRule type="cellIs" dxfId="4518" priority="4051" operator="equal">
      <formula>"ENVIADO"</formula>
    </cfRule>
    <cfRule type="cellIs" dxfId="4517" priority="4052" operator="equal">
      <formula>"NO CORRESPONDE"</formula>
    </cfRule>
  </conditionalFormatting>
  <conditionalFormatting sqref="O955">
    <cfRule type="cellIs" dxfId="4516" priority="2547" operator="equal">
      <formula>"ENVIADO"</formula>
    </cfRule>
    <cfRule type="cellIs" dxfId="4515" priority="2548" operator="equal">
      <formula>"NO CORRESPONDE"</formula>
    </cfRule>
    <cfRule type="expression" dxfId="4514" priority="2549">
      <formula>$J955="En blanco"</formula>
    </cfRule>
    <cfRule type="expression" dxfId="4513" priority="2550">
      <formula>$J955="Anulada"</formula>
    </cfRule>
  </conditionalFormatting>
  <conditionalFormatting sqref="O975">
    <cfRule type="cellIs" dxfId="4512" priority="2459" operator="equal">
      <formula>"ENVIADO"</formula>
    </cfRule>
    <cfRule type="cellIs" dxfId="4511" priority="2460" operator="equal">
      <formula>"NO CORRESPONDE"</formula>
    </cfRule>
    <cfRule type="expression" dxfId="4510" priority="2461">
      <formula>$J975="En blanco"</formula>
    </cfRule>
    <cfRule type="expression" dxfId="4509" priority="2462">
      <formula>$J975="Anulada"</formula>
    </cfRule>
  </conditionalFormatting>
  <conditionalFormatting sqref="O981">
    <cfRule type="cellIs" dxfId="4508" priority="2455" operator="equal">
      <formula>"ENVIADO"</formula>
    </cfRule>
    <cfRule type="cellIs" dxfId="4507" priority="2456" operator="equal">
      <formula>"NO CORRESPONDE"</formula>
    </cfRule>
    <cfRule type="expression" dxfId="4506" priority="2457">
      <formula>$J981="En blanco"</formula>
    </cfRule>
    <cfRule type="expression" dxfId="4505" priority="2458">
      <formula>$J981="Anulada"</formula>
    </cfRule>
  </conditionalFormatting>
  <conditionalFormatting sqref="O1080">
    <cfRule type="cellIs" dxfId="4504" priority="1593" operator="equal">
      <formula>"ENVIADO"</formula>
    </cfRule>
    <cfRule type="cellIs" dxfId="4503" priority="1594" operator="equal">
      <formula>"NO CORRESPONDE"</formula>
    </cfRule>
    <cfRule type="expression" dxfId="4502" priority="1595">
      <formula>$J1080="En blanco"</formula>
    </cfRule>
    <cfRule type="expression" dxfId="4501" priority="1596">
      <formula>$J1080="Anulada"</formula>
    </cfRule>
  </conditionalFormatting>
  <conditionalFormatting sqref="O1085">
    <cfRule type="cellIs" dxfId="4500" priority="1589" operator="equal">
      <formula>"ENVIADO"</formula>
    </cfRule>
    <cfRule type="cellIs" dxfId="4499" priority="1590" operator="equal">
      <formula>"NO CORRESPONDE"</formula>
    </cfRule>
    <cfRule type="expression" dxfId="4498" priority="1591">
      <formula>$J1085="En blanco"</formula>
    </cfRule>
    <cfRule type="expression" dxfId="4497" priority="1592">
      <formula>$J1085="Anulada"</formula>
    </cfRule>
  </conditionalFormatting>
  <conditionalFormatting sqref="O59:P59">
    <cfRule type="expression" dxfId="4496" priority="7556">
      <formula>$J59="En blanco"</formula>
    </cfRule>
    <cfRule type="expression" dxfId="4495" priority="7557">
      <formula>$J59="Anulada"</formula>
    </cfRule>
  </conditionalFormatting>
  <conditionalFormatting sqref="O20:Q20">
    <cfRule type="expression" dxfId="4494" priority="7771">
      <formula>$J20="En blanco"</formula>
    </cfRule>
    <cfRule type="expression" dxfId="4493" priority="7772">
      <formula>$J20="Anulada"</formula>
    </cfRule>
  </conditionalFormatting>
  <conditionalFormatting sqref="O159:Q159">
    <cfRule type="cellIs" dxfId="4492" priority="7582" operator="equal">
      <formula>"ENVIADO"</formula>
    </cfRule>
    <cfRule type="cellIs" dxfId="4491" priority="7583" operator="equal">
      <formula>"NO CORRESPONDE"</formula>
    </cfRule>
    <cfRule type="expression" dxfId="4490" priority="7584">
      <formula>$J159="En blanco"</formula>
    </cfRule>
    <cfRule type="expression" dxfId="4489" priority="7585">
      <formula>$J159="Anulada"</formula>
    </cfRule>
  </conditionalFormatting>
  <conditionalFormatting sqref="O264:Q264">
    <cfRule type="cellIs" dxfId="4488" priority="6921" operator="equal">
      <formula>"ENVIADO"</formula>
    </cfRule>
    <cfRule type="cellIs" dxfId="4487" priority="6922" operator="equal">
      <formula>"NO CORRESPONDE"</formula>
    </cfRule>
  </conditionalFormatting>
  <conditionalFormatting sqref="O288:Q288">
    <cfRule type="cellIs" dxfId="4486" priority="6885" operator="equal">
      <formula>"ENVIADO"</formula>
    </cfRule>
    <cfRule type="cellIs" dxfId="4485" priority="6886" operator="equal">
      <formula>"NO CORRESPONDE"</formula>
    </cfRule>
  </conditionalFormatting>
  <conditionalFormatting sqref="O812:Q812 U812:V812 X812 Z812:AD812">
    <cfRule type="cellIs" dxfId="4484" priority="4163" operator="equal">
      <formula>"ENVIADO"</formula>
    </cfRule>
    <cfRule type="cellIs" dxfId="4483" priority="4164" operator="equal">
      <formula>"NO CORRESPONDE"</formula>
    </cfRule>
  </conditionalFormatting>
  <conditionalFormatting sqref="O818:Q818 U818:V818 X818 Z818:AD818">
    <cfRule type="cellIs" dxfId="4482" priority="4090" operator="equal">
      <formula>"ENVIADO"</formula>
    </cfRule>
    <cfRule type="cellIs" dxfId="4481" priority="4091" operator="equal">
      <formula>"NO CORRESPONDE"</formula>
    </cfRule>
  </conditionalFormatting>
  <conditionalFormatting sqref="O823:Q823 O824 Q824 Z823:AD823 U823:V824 X823:X824">
    <cfRule type="cellIs" dxfId="4480" priority="3933" operator="equal">
      <formula>"NO CORRESPONDE"</formula>
    </cfRule>
  </conditionalFormatting>
  <conditionalFormatting sqref="O823:Q823 Z823:AD823 U823:V824 X823:X824 O824 Q824">
    <cfRule type="cellIs" dxfId="4479" priority="3932" operator="equal">
      <formula>"ENVIADO"</formula>
    </cfRule>
  </conditionalFormatting>
  <conditionalFormatting sqref="O835:Q837 U835:V837 X835:X837 Z835:AD837">
    <cfRule type="cellIs" dxfId="4478" priority="3889" operator="equal">
      <formula>"ENVIADO"</formula>
    </cfRule>
    <cfRule type="cellIs" dxfId="4477" priority="3890" operator="equal">
      <formula>"NO CORRESPONDE"</formula>
    </cfRule>
  </conditionalFormatting>
  <conditionalFormatting sqref="O843:Q844 U843:V844 X843:X844 Z843:AD844">
    <cfRule type="cellIs" dxfId="4476" priority="3850" operator="equal">
      <formula>"ENVIADO"</formula>
    </cfRule>
    <cfRule type="cellIs" dxfId="4475" priority="3851" operator="equal">
      <formula>"NO CORRESPONDE"</formula>
    </cfRule>
  </conditionalFormatting>
  <conditionalFormatting sqref="O861:Q861 U861:V861 X861 Z861:AD861">
    <cfRule type="cellIs" dxfId="4474" priority="3971" operator="equal">
      <formula>"ENVIADO"</formula>
    </cfRule>
    <cfRule type="cellIs" dxfId="4473" priority="3972" operator="equal">
      <formula>"NO CORRESPONDE"</formula>
    </cfRule>
  </conditionalFormatting>
  <conditionalFormatting sqref="O879:Q879 U879:V879 X879 Z879:AD879">
    <cfRule type="cellIs" dxfId="4472" priority="3770" operator="equal">
      <formula>"ENVIADO"</formula>
    </cfRule>
    <cfRule type="cellIs" dxfId="4471" priority="3771" operator="equal">
      <formula>"NO CORRESPONDE"</formula>
    </cfRule>
  </conditionalFormatting>
  <conditionalFormatting sqref="O911:Q911 U911:V911 X911 Z911:AD911">
    <cfRule type="cellIs" dxfId="4470" priority="3669" operator="equal">
      <formula>"ENVIADO"</formula>
    </cfRule>
    <cfRule type="cellIs" dxfId="4469" priority="3670" operator="equal">
      <formula>"NO CORRESPONDE"</formula>
    </cfRule>
  </conditionalFormatting>
  <conditionalFormatting sqref="O913:Q913 U913:V913 X913 Z913:AD913">
    <cfRule type="cellIs" dxfId="4468" priority="3721" operator="equal">
      <formula>"ENVIADO"</formula>
    </cfRule>
    <cfRule type="cellIs" dxfId="4467" priority="3722" operator="equal">
      <formula>"NO CORRESPONDE"</formula>
    </cfRule>
  </conditionalFormatting>
  <conditionalFormatting sqref="O932:Q932 U932:V932 X932 Z932:AD932">
    <cfRule type="cellIs" dxfId="4466" priority="2966" operator="equal">
      <formula>"ENVIADO"</formula>
    </cfRule>
    <cfRule type="cellIs" dxfId="4465" priority="2967" operator="equal">
      <formula>"NO CORRESPONDE"</formula>
    </cfRule>
  </conditionalFormatting>
  <conditionalFormatting sqref="O959:Q959 U959:V959 X959 Z959:AD959">
    <cfRule type="cellIs" dxfId="4464" priority="2682" operator="equal">
      <formula>"ENVIADO"</formula>
    </cfRule>
    <cfRule type="cellIs" dxfId="4463" priority="2683" operator="equal">
      <formula>"NO CORRESPONDE"</formula>
    </cfRule>
  </conditionalFormatting>
  <conditionalFormatting sqref="O964:Q964 U964:V964 X964 Z964:AD964">
    <cfRule type="cellIs" dxfId="4462" priority="2415" operator="equal">
      <formula>"ENVIADO"</formula>
    </cfRule>
    <cfRule type="cellIs" dxfId="4461" priority="2416" operator="equal">
      <formula>"NO CORRESPONDE"</formula>
    </cfRule>
  </conditionalFormatting>
  <conditionalFormatting sqref="O991:Q991 U991:V991 X991 Z991:AD991">
    <cfRule type="cellIs" dxfId="4460" priority="2472" operator="equal">
      <formula>"ENVIADO"</formula>
    </cfRule>
    <cfRule type="cellIs" dxfId="4459" priority="2473" operator="equal">
      <formula>"NO CORRESPONDE"</formula>
    </cfRule>
  </conditionalFormatting>
  <conditionalFormatting sqref="O1006:Q1006">
    <cfRule type="cellIs" dxfId="4458" priority="2241" operator="equal">
      <formula>"ENVIADO"</formula>
    </cfRule>
    <cfRule type="cellIs" dxfId="4457" priority="2242" operator="equal">
      <formula>"NO CORRESPONDE"</formula>
    </cfRule>
    <cfRule type="expression" dxfId="4456" priority="2243">
      <formula>$J1006="En blanco"</formula>
    </cfRule>
    <cfRule type="expression" dxfId="4455" priority="2244">
      <formula>$J1006="Anulada"</formula>
    </cfRule>
  </conditionalFormatting>
  <conditionalFormatting sqref="O1015:Q1015">
    <cfRule type="cellIs" dxfId="4454" priority="1877" operator="equal">
      <formula>"ENVIADO"</formula>
    </cfRule>
    <cfRule type="cellIs" dxfId="4453" priority="1878" operator="equal">
      <formula>"NO CORRESPONDE"</formula>
    </cfRule>
    <cfRule type="expression" dxfId="4452" priority="1879">
      <formula>$J1015="En blanco"</formula>
    </cfRule>
    <cfRule type="expression" dxfId="4451" priority="1880">
      <formula>$J1015="Anulada"</formula>
    </cfRule>
  </conditionalFormatting>
  <conditionalFormatting sqref="O1017:Q1017 U1017:V1017 X1017 Z1017:AD1017">
    <cfRule type="cellIs" dxfId="4450" priority="1950" operator="equal">
      <formula>"ENVIADO"</formula>
    </cfRule>
    <cfRule type="cellIs" dxfId="4449" priority="1951" operator="equal">
      <formula>"NO CORRESPONDE"</formula>
    </cfRule>
  </conditionalFormatting>
  <conditionalFormatting sqref="O1019:Q1019 U1019:V1019 X1019 Z1019:AD1019">
    <cfRule type="cellIs" dxfId="4448" priority="2123" operator="equal">
      <formula>"ENVIADO"</formula>
    </cfRule>
    <cfRule type="cellIs" dxfId="4447" priority="2124" operator="equal">
      <formula>"NO CORRESPONDE"</formula>
    </cfRule>
  </conditionalFormatting>
  <conditionalFormatting sqref="O1024:Q1024 U1024:V1024 X1024 Z1024:AD1024">
    <cfRule type="cellIs" dxfId="4446" priority="2038" operator="equal">
      <formula>"ENVIADO"</formula>
    </cfRule>
    <cfRule type="cellIs" dxfId="4445" priority="2039" operator="equal">
      <formula>"NO CORRESPONDE"</formula>
    </cfRule>
  </conditionalFormatting>
  <conditionalFormatting sqref="O1034:Q1034">
    <cfRule type="cellIs" dxfId="4444" priority="1873" operator="equal">
      <formula>"ENVIADO"</formula>
    </cfRule>
    <cfRule type="cellIs" dxfId="4443" priority="1874" operator="equal">
      <formula>"NO CORRESPONDE"</formula>
    </cfRule>
    <cfRule type="expression" dxfId="4442" priority="1875">
      <formula>$J1034="En blanco"</formula>
    </cfRule>
    <cfRule type="expression" dxfId="4441" priority="1876">
      <formula>$J1034="Anulada"</formula>
    </cfRule>
  </conditionalFormatting>
  <conditionalFormatting sqref="O1036:Q1036 U1036:V1036 X1036 Z1036:AD1036">
    <cfRule type="cellIs" dxfId="4440" priority="1993" operator="equal">
      <formula>"ENVIADO"</formula>
    </cfRule>
    <cfRule type="cellIs" dxfId="4439" priority="1994" operator="equal">
      <formula>"NO CORRESPONDE"</formula>
    </cfRule>
  </conditionalFormatting>
  <conditionalFormatting sqref="O1045:Q1045">
    <cfRule type="cellIs" dxfId="4438" priority="1863" operator="equal">
      <formula>"ENVIADO"</formula>
    </cfRule>
    <cfRule type="cellIs" dxfId="4437" priority="1864" operator="equal">
      <formula>"NO CORRESPONDE"</formula>
    </cfRule>
    <cfRule type="expression" dxfId="4436" priority="1865">
      <formula>$J1045="En blanco"</formula>
    </cfRule>
    <cfRule type="expression" dxfId="4435" priority="1866">
      <formula>$J1045="Anulada"</formula>
    </cfRule>
  </conditionalFormatting>
  <conditionalFormatting sqref="O1064:Q1064">
    <cfRule type="cellIs" dxfId="4434" priority="1803" operator="equal">
      <formula>"ENVIADO"</formula>
    </cfRule>
    <cfRule type="cellIs" dxfId="4433" priority="1804" operator="equal">
      <formula>"NO CORRESPONDE"</formula>
    </cfRule>
    <cfRule type="expression" dxfId="4432" priority="1805">
      <formula>$J1064="En blanco"</formula>
    </cfRule>
    <cfRule type="expression" dxfId="4431" priority="1806">
      <formula>$J1064="Anulada"</formula>
    </cfRule>
  </conditionalFormatting>
  <conditionalFormatting sqref="O1079:Q1079 U1079:V1079 X1079 Z1079:AD1079">
    <cfRule type="cellIs" dxfId="4430" priority="1550" operator="equal">
      <formula>"ENVIADO"</formula>
    </cfRule>
  </conditionalFormatting>
  <conditionalFormatting sqref="O1079:Q1079 U1079:V1079 Z1079:AD1079">
    <cfRule type="cellIs" dxfId="4429" priority="1551" operator="equal">
      <formula>"NO CORRESPONDE"</formula>
    </cfRule>
  </conditionalFormatting>
  <conditionalFormatting sqref="O1086:Q1086">
    <cfRule type="cellIs" dxfId="4428" priority="1585" operator="equal">
      <formula>"ENVIADO"</formula>
    </cfRule>
    <cfRule type="cellIs" dxfId="4427" priority="1586" operator="equal">
      <formula>"NO CORRESPONDE"</formula>
    </cfRule>
    <cfRule type="expression" dxfId="4426" priority="1587">
      <formula>$J1086="En blanco"</formula>
    </cfRule>
    <cfRule type="expression" dxfId="4425" priority="1588">
      <formula>$J1086="Anulada"</formula>
    </cfRule>
  </conditionalFormatting>
  <conditionalFormatting sqref="O1090:Q1090 Q1113:Q1114 Q1251 Q1259:Q1260">
    <cfRule type="cellIs" dxfId="4424" priority="1525" operator="equal">
      <formula>"ENVIADO"</formula>
    </cfRule>
    <cfRule type="cellIs" dxfId="4423" priority="1526" operator="equal">
      <formula>"NO CORRESPONDE"</formula>
    </cfRule>
  </conditionalFormatting>
  <conditionalFormatting sqref="O1090:Q1090">
    <cfRule type="expression" dxfId="4422" priority="1531">
      <formula>$J1090="En blanco"</formula>
    </cfRule>
    <cfRule type="expression" dxfId="4421" priority="1532">
      <formula>$J1090="Anulada"</formula>
    </cfRule>
  </conditionalFormatting>
  <conditionalFormatting sqref="O1092:Q1092">
    <cfRule type="cellIs" dxfId="4420" priority="1533" operator="equal">
      <formula>"ENVIADO"</formula>
    </cfRule>
    <cfRule type="cellIs" dxfId="4419" priority="1534" operator="equal">
      <formula>"NO CORRESPONDE"</formula>
    </cfRule>
    <cfRule type="expression" dxfId="4418" priority="1535">
      <formula>$J1092="En blanco"</formula>
    </cfRule>
    <cfRule type="expression" dxfId="4417" priority="1536">
      <formula>$J1092="Anulada"</formula>
    </cfRule>
  </conditionalFormatting>
  <conditionalFormatting sqref="O1098:Q1098 U1098:V1098 X1098 Z1098:AD1098">
    <cfRule type="cellIs" dxfId="4416" priority="1356" operator="equal">
      <formula>"ENVIADO"</formula>
    </cfRule>
    <cfRule type="cellIs" dxfId="4415" priority="1357" operator="equal">
      <formula>"NO CORRESPONDE"</formula>
    </cfRule>
  </conditionalFormatting>
  <conditionalFormatting sqref="O1240:Q1240 U1240:V1240 X1240 Z1240:AD1240">
    <cfRule type="cellIs" dxfId="4414" priority="875" operator="equal">
      <formula>"ENVIADO"</formula>
    </cfRule>
    <cfRule type="cellIs" dxfId="4413" priority="876" operator="equal">
      <formula>"NO CORRESPONDE"</formula>
    </cfRule>
  </conditionalFormatting>
  <conditionalFormatting sqref="O1256:Q1256 U1256:V1256 X1256 Z1256:AD1256">
    <cfRule type="cellIs" dxfId="4412" priority="803" operator="equal">
      <formula>"ENVIADO"</formula>
    </cfRule>
    <cfRule type="cellIs" dxfId="4411" priority="804" operator="equal">
      <formula>"NO CORRESPONDE"</formula>
    </cfRule>
  </conditionalFormatting>
  <conditionalFormatting sqref="O1294:Q1294 U1294:V1294 X1294 Z1294:AD1294">
    <cfRule type="cellIs" dxfId="4410" priority="714" operator="equal">
      <formula>"ENVIADO"</formula>
    </cfRule>
    <cfRule type="cellIs" dxfId="4409" priority="715" operator="equal">
      <formula>"NO CORRESPONDE"</formula>
    </cfRule>
  </conditionalFormatting>
  <conditionalFormatting sqref="O1297:Q1297 U1297:V1297 X1297 Z1297:AD1297">
    <cfRule type="cellIs" dxfId="4408" priority="665" operator="equal">
      <formula>"ENVIADO"</formula>
    </cfRule>
    <cfRule type="cellIs" dxfId="4407" priority="666" operator="equal">
      <formula>"NO CORRESPONDE"</formula>
    </cfRule>
  </conditionalFormatting>
  <conditionalFormatting sqref="O1352:Q1352 U1352:V1352 X1352 Z1352:AD1352">
    <cfRule type="cellIs" dxfId="4406" priority="581" operator="equal">
      <formula>"ENVIADO"</formula>
    </cfRule>
    <cfRule type="cellIs" dxfId="4405" priority="582" operator="equal">
      <formula>"NO CORRESPONDE"</formula>
    </cfRule>
  </conditionalFormatting>
  <conditionalFormatting sqref="O1371:Q1371 U1371:V1371 X1371 Z1371:AD1371">
    <cfRule type="cellIs" dxfId="4404" priority="401" operator="equal">
      <formula>"ENVIADO"</formula>
    </cfRule>
    <cfRule type="cellIs" dxfId="4403" priority="402" operator="equal">
      <formula>"NO CORRESPONDE"</formula>
    </cfRule>
  </conditionalFormatting>
  <conditionalFormatting sqref="O1373:Q1373 U1373:V1373 X1373 Z1373:AD1373">
    <cfRule type="cellIs" dxfId="4402" priority="454" operator="equal">
      <formula>"ENVIADO"</formula>
    </cfRule>
    <cfRule type="cellIs" dxfId="4401" priority="455" operator="equal">
      <formula>"NO CORRESPONDE"</formula>
    </cfRule>
  </conditionalFormatting>
  <conditionalFormatting sqref="O1394:Q1394 U1394:V1394 X1394 Z1394:AD1394">
    <cfRule type="cellIs" dxfId="4400" priority="324" operator="equal">
      <formula>"ENVIADO"</formula>
    </cfRule>
    <cfRule type="cellIs" dxfId="4399" priority="325" operator="equal">
      <formula>"NO CORRESPONDE"</formula>
    </cfRule>
  </conditionalFormatting>
  <conditionalFormatting sqref="O1436:Q1437 U1436:V1437 X1436:X1437 Z1436:AD1437">
    <cfRule type="cellIs" dxfId="4398" priority="262" operator="equal">
      <formula>"ENVIADO"</formula>
    </cfRule>
    <cfRule type="cellIs" dxfId="4397" priority="263" operator="equal">
      <formula>"NO CORRESPONDE"</formula>
    </cfRule>
  </conditionalFormatting>
  <conditionalFormatting sqref="O1443:Q1443 U1443:V1443 X1443 Z1443:AD1443">
    <cfRule type="cellIs" dxfId="4396" priority="200" operator="equal">
      <formula>"ENVIADO"</formula>
    </cfRule>
    <cfRule type="cellIs" dxfId="4395" priority="201" operator="equal">
      <formula>"NO CORRESPONDE"</formula>
    </cfRule>
  </conditionalFormatting>
  <conditionalFormatting sqref="O1447:Q1447 U1447:V1447 X1447 Z1447:AD1447">
    <cfRule type="cellIs" dxfId="4394" priority="10" operator="equal">
      <formula>"ENVIADO"</formula>
    </cfRule>
    <cfRule type="cellIs" dxfId="4393" priority="11" operator="equal">
      <formula>"NO CORRESPONDE"</formula>
    </cfRule>
  </conditionalFormatting>
  <conditionalFormatting sqref="P955">
    <cfRule type="cellIs" dxfId="4392" priority="2535" operator="equal">
      <formula>"ENVIADO"</formula>
    </cfRule>
    <cfRule type="cellIs" dxfId="4391" priority="2536" operator="equal">
      <formula>"NO CORRESPONDE"</formula>
    </cfRule>
    <cfRule type="expression" dxfId="4390" priority="2537">
      <formula>$J955="En blanco"</formula>
    </cfRule>
    <cfRule type="expression" dxfId="4389" priority="2538">
      <formula>$J955="Anulada"</formula>
    </cfRule>
  </conditionalFormatting>
  <conditionalFormatting sqref="P975">
    <cfRule type="cellIs" dxfId="4388" priority="2539" operator="equal">
      <formula>"ENVIADO"</formula>
    </cfRule>
    <cfRule type="cellIs" dxfId="4387" priority="2540" operator="equal">
      <formula>"NO CORRESPONDE"</formula>
    </cfRule>
    <cfRule type="expression" dxfId="4386" priority="2541">
      <formula>$J975="En blanco"</formula>
    </cfRule>
    <cfRule type="expression" dxfId="4385" priority="2542">
      <formula>$J975="Anulada"</formula>
    </cfRule>
  </conditionalFormatting>
  <conditionalFormatting sqref="Q59">
    <cfRule type="expression" dxfId="4384" priority="7558">
      <formula>$J59="En blanco"</formula>
    </cfRule>
    <cfRule type="expression" dxfId="4383" priority="7559">
      <formula>$J59="Anulada"</formula>
    </cfRule>
  </conditionalFormatting>
  <conditionalFormatting sqref="Q179 Q193:Q195 Q197 N538 N783 B824 E824:H824 N835 K837 A875:C875 K876 K878 N932 N983:N984 N1019 K1178 K1232">
    <cfRule type="cellIs" dxfId="4382" priority="4002" operator="equal">
      <formula>"NO CORRESPONDE"</formula>
    </cfRule>
  </conditionalFormatting>
  <conditionalFormatting sqref="Q1398">
    <cfRule type="cellIs" dxfId="4381" priority="360" operator="equal">
      <formula>"ENVIADO"</formula>
    </cfRule>
    <cfRule type="cellIs" dxfId="4380" priority="361" operator="equal">
      <formula>"NO CORRESPONDE"</formula>
    </cfRule>
    <cfRule type="expression" dxfId="4379" priority="362">
      <formula>$J1398="En blanco"</formula>
    </cfRule>
    <cfRule type="expression" dxfId="4378" priority="363">
      <formula>$J1398="Anulada"</formula>
    </cfRule>
  </conditionalFormatting>
  <conditionalFormatting sqref="Q1405">
    <cfRule type="cellIs" dxfId="4377" priority="372" operator="equal">
      <formula>"ENVIADO"</formula>
    </cfRule>
    <cfRule type="expression" dxfId="4376" priority="374">
      <formula>$J1405="En blanco"</formula>
    </cfRule>
    <cfRule type="expression" dxfId="4375" priority="375">
      <formula>$J1405="Anulada"</formula>
    </cfRule>
  </conditionalFormatting>
  <conditionalFormatting sqref="Q1405:Q1406">
    <cfRule type="cellIs" dxfId="4374" priority="369" operator="equal">
      <formula>"NO CORRESPONDE"</formula>
    </cfRule>
  </conditionalFormatting>
  <conditionalFormatting sqref="Q1406">
    <cfRule type="cellIs" dxfId="4373" priority="368" operator="equal">
      <formula>"ENVIADO"</formula>
    </cfRule>
    <cfRule type="expression" dxfId="4372" priority="370">
      <formula>$J1406="En blanco"</formula>
    </cfRule>
    <cfRule type="expression" dxfId="4371" priority="371">
      <formula>$J1406="Anulada"</formula>
    </cfRule>
  </conditionalFormatting>
  <conditionalFormatting sqref="S59">
    <cfRule type="expression" dxfId="4370" priority="7554">
      <formula>$J59="En blanco"</formula>
    </cfRule>
    <cfRule type="expression" dxfId="4369" priority="7555">
      <formula>$J59="Anulada"</formula>
    </cfRule>
  </conditionalFormatting>
  <conditionalFormatting sqref="S1285">
    <cfRule type="expression" dxfId="4368" priority="750">
      <formula>$J1285="En blanco"</formula>
    </cfRule>
    <cfRule type="expression" dxfId="4367" priority="751">
      <formula>$J1285="Anulada"</formula>
    </cfRule>
  </conditionalFormatting>
  <conditionalFormatting sqref="T2 T11 T14 T18:T20">
    <cfRule type="cellIs" dxfId="4366" priority="7765" operator="equal">
      <formula>"NO CORRESPONDE"</formula>
    </cfRule>
    <cfRule type="cellIs" dxfId="4365" priority="7766" operator="equal">
      <formula>"ENVIADO"</formula>
    </cfRule>
  </conditionalFormatting>
  <conditionalFormatting sqref="U32 U328:U330 U552 U780 U783 U835">
    <cfRule type="expression" dxfId="4364" priority="5962">
      <formula>$U32="EMITIDA"</formula>
    </cfRule>
    <cfRule type="expression" dxfId="4363" priority="5963">
      <formula>$U32="NO CORRESPONDE"</formula>
    </cfRule>
    <cfRule type="expression" dxfId="4362" priority="5966">
      <formula>$U32="PENDIENTE"</formula>
    </cfRule>
    <cfRule type="expression" dxfId="4361" priority="5968">
      <formula>$U32="EMITIDA"</formula>
    </cfRule>
    <cfRule type="expression" dxfId="4360" priority="5969">
      <formula>$U32="NO CORRESPONDE"</formula>
    </cfRule>
  </conditionalFormatting>
  <conditionalFormatting sqref="U32 U328:U330 U780 U783 U552 U835">
    <cfRule type="expression" dxfId="4359" priority="5960">
      <formula>$U32="PENDIENTE"</formula>
    </cfRule>
  </conditionalFormatting>
  <conditionalFormatting sqref="U32">
    <cfRule type="expression" dxfId="4358" priority="5976">
      <formula>$J32="En blanco"</formula>
    </cfRule>
    <cfRule type="expression" dxfId="4357" priority="5977">
      <formula>$J32="Anulada"</formula>
    </cfRule>
  </conditionalFormatting>
  <conditionalFormatting sqref="U91 U932 U1019 U761 U984:U985">
    <cfRule type="expression" dxfId="4356" priority="6004">
      <formula>$U91="PENDIENTE"</formula>
    </cfRule>
    <cfRule type="expression" dxfId="4355" priority="6006">
      <formula>$U91="EMITIDA"</formula>
    </cfRule>
    <cfRule type="expression" dxfId="4354" priority="6007">
      <formula>$U91="NO CORRESPONDE"</formula>
    </cfRule>
    <cfRule type="expression" dxfId="4353" priority="6010">
      <formula>$U91="PENDIENTE"</formula>
    </cfRule>
    <cfRule type="expression" dxfId="4352" priority="6012">
      <formula>$U91="EMITIDA"</formula>
    </cfRule>
    <cfRule type="expression" dxfId="4351" priority="6013">
      <formula>$U91="NO CORRESPONDE"</formula>
    </cfRule>
  </conditionalFormatting>
  <conditionalFormatting sqref="U91">
    <cfRule type="expression" dxfId="4350" priority="6020">
      <formula>$J91="En blanco"</formula>
    </cfRule>
    <cfRule type="expression" dxfId="4349" priority="6021">
      <formula>$J91="Anulada"</formula>
    </cfRule>
  </conditionalFormatting>
  <conditionalFormatting sqref="U130">
    <cfRule type="expression" dxfId="4348" priority="6048">
      <formula>$U130="PENDIENTE"</formula>
    </cfRule>
    <cfRule type="expression" dxfId="4347" priority="6050">
      <formula>$U130="EMITIDA"</formula>
    </cfRule>
    <cfRule type="expression" dxfId="4346" priority="6051">
      <formula>$U130="NO CORRESPONDE"</formula>
    </cfRule>
    <cfRule type="expression" dxfId="4345" priority="6054">
      <formula>$U130="PENDIENTE"</formula>
    </cfRule>
    <cfRule type="expression" dxfId="4344" priority="6056">
      <formula>$U130="EMITIDA"</formula>
    </cfRule>
    <cfRule type="expression" dxfId="4343" priority="6057">
      <formula>$U130="NO CORRESPONDE"</formula>
    </cfRule>
    <cfRule type="expression" dxfId="4342" priority="6064">
      <formula>$J130="En blanco"</formula>
    </cfRule>
    <cfRule type="expression" dxfId="4341" priority="6065">
      <formula>$J130="Anulada"</formula>
    </cfRule>
  </conditionalFormatting>
  <conditionalFormatting sqref="U154">
    <cfRule type="expression" dxfId="4340" priority="6136">
      <formula>$U154="PENDIENTE"</formula>
    </cfRule>
    <cfRule type="expression" dxfId="4339" priority="6138">
      <formula>$U154="EMITIDA"</formula>
    </cfRule>
    <cfRule type="expression" dxfId="4338" priority="6139">
      <formula>$U154="NO CORRESPONDE"</formula>
    </cfRule>
    <cfRule type="expression" dxfId="4337" priority="6142">
      <formula>$U154="PENDIENTE"</formula>
    </cfRule>
    <cfRule type="expression" dxfId="4336" priority="6144">
      <formula>$U154="EMITIDA"</formula>
    </cfRule>
    <cfRule type="expression" dxfId="4335" priority="6145">
      <formula>$U154="NO CORRESPONDE"</formula>
    </cfRule>
    <cfRule type="expression" dxfId="4334" priority="6152">
      <formula>$J154="En blanco"</formula>
    </cfRule>
    <cfRule type="expression" dxfId="4333" priority="6153">
      <formula>$J154="Anulada"</formula>
    </cfRule>
  </conditionalFormatting>
  <conditionalFormatting sqref="U158">
    <cfRule type="expression" dxfId="4332" priority="6092">
      <formula>$U158="PENDIENTE"</formula>
    </cfRule>
    <cfRule type="expression" dxfId="4331" priority="6094">
      <formula>$U158="EMITIDA"</formula>
    </cfRule>
    <cfRule type="expression" dxfId="4330" priority="6095">
      <formula>$U158="NO CORRESPONDE"</formula>
    </cfRule>
    <cfRule type="expression" dxfId="4329" priority="6098">
      <formula>$U158="PENDIENTE"</formula>
    </cfRule>
    <cfRule type="expression" dxfId="4328" priority="6100">
      <formula>$U158="EMITIDA"</formula>
    </cfRule>
    <cfRule type="expression" dxfId="4327" priority="6101">
      <formula>$U158="NO CORRESPONDE"</formula>
    </cfRule>
    <cfRule type="expression" dxfId="4326" priority="6108">
      <formula>$J158="En blanco"</formula>
    </cfRule>
    <cfRule type="expression" dxfId="4325" priority="6109">
      <formula>$J158="Anulada"</formula>
    </cfRule>
  </conditionalFormatting>
  <conditionalFormatting sqref="U209">
    <cfRule type="expression" dxfId="4324" priority="6180">
      <formula>$U209="PENDIENTE"</formula>
    </cfRule>
    <cfRule type="expression" dxfId="4323" priority="6182">
      <formula>$U209="EMITIDA"</formula>
    </cfRule>
    <cfRule type="expression" dxfId="4322" priority="6183">
      <formula>$U209="NO CORRESPONDE"</formula>
    </cfRule>
    <cfRule type="expression" dxfId="4321" priority="6186">
      <formula>$U209="PENDIENTE"</formula>
    </cfRule>
    <cfRule type="expression" dxfId="4320" priority="6188">
      <formula>$U209="EMITIDA"</formula>
    </cfRule>
    <cfRule type="expression" dxfId="4319" priority="6189">
      <formula>$U209="NO CORRESPONDE"</formula>
    </cfRule>
    <cfRule type="expression" dxfId="4318" priority="6196">
      <formula>$J209="En blanco"</formula>
    </cfRule>
    <cfRule type="expression" dxfId="4317" priority="6197">
      <formula>$J209="Anulada"</formula>
    </cfRule>
  </conditionalFormatting>
  <conditionalFormatting sqref="U211">
    <cfRule type="expression" dxfId="4316" priority="6268">
      <formula>$U211="PENDIENTE"</formula>
    </cfRule>
    <cfRule type="expression" dxfId="4315" priority="6270">
      <formula>$U211="EMITIDA"</formula>
    </cfRule>
    <cfRule type="expression" dxfId="4314" priority="6271">
      <formula>$U211="NO CORRESPONDE"</formula>
    </cfRule>
    <cfRule type="expression" dxfId="4313" priority="6274">
      <formula>$U211="PENDIENTE"</formula>
    </cfRule>
    <cfRule type="expression" dxfId="4312" priority="6276">
      <formula>$U211="EMITIDA"</formula>
    </cfRule>
    <cfRule type="expression" dxfId="4311" priority="6277">
      <formula>$U211="NO CORRESPONDE"</formula>
    </cfRule>
    <cfRule type="expression" dxfId="4310" priority="6284">
      <formula>$J211="En blanco"</formula>
    </cfRule>
    <cfRule type="expression" dxfId="4309" priority="6285">
      <formula>$J211="Anulada"</formula>
    </cfRule>
  </conditionalFormatting>
  <conditionalFormatting sqref="U213">
    <cfRule type="expression" dxfId="4308" priority="6224">
      <formula>$U213="PENDIENTE"</formula>
    </cfRule>
    <cfRule type="expression" dxfId="4307" priority="6226">
      <formula>$U213="EMITIDA"</formula>
    </cfRule>
    <cfRule type="expression" dxfId="4306" priority="6227">
      <formula>$U213="NO CORRESPONDE"</formula>
    </cfRule>
    <cfRule type="expression" dxfId="4305" priority="6230">
      <formula>$U213="PENDIENTE"</formula>
    </cfRule>
    <cfRule type="expression" dxfId="4304" priority="6232">
      <formula>$U213="EMITIDA"</formula>
    </cfRule>
    <cfRule type="expression" dxfId="4303" priority="6233">
      <formula>$U213="NO CORRESPONDE"</formula>
    </cfRule>
    <cfRule type="expression" dxfId="4302" priority="6240">
      <formula>$J213="En blanco"</formula>
    </cfRule>
    <cfRule type="expression" dxfId="4301" priority="6241">
      <formula>$J213="Anulada"</formula>
    </cfRule>
  </conditionalFormatting>
  <conditionalFormatting sqref="U228">
    <cfRule type="expression" dxfId="4300" priority="6312">
      <formula>$U228="PENDIENTE"</formula>
    </cfRule>
    <cfRule type="expression" dxfId="4299" priority="6314">
      <formula>$U228="EMITIDA"</formula>
    </cfRule>
    <cfRule type="expression" dxfId="4298" priority="6315">
      <formula>$U228="NO CORRESPONDE"</formula>
    </cfRule>
    <cfRule type="expression" dxfId="4297" priority="6318">
      <formula>$U228="PENDIENTE"</formula>
    </cfRule>
    <cfRule type="expression" dxfId="4296" priority="6320">
      <formula>$U228="EMITIDA"</formula>
    </cfRule>
    <cfRule type="expression" dxfId="4295" priority="6321">
      <formula>$U228="NO CORRESPONDE"</formula>
    </cfRule>
    <cfRule type="expression" dxfId="4294" priority="6328">
      <formula>$J228="En blanco"</formula>
    </cfRule>
    <cfRule type="expression" dxfId="4293" priority="6329">
      <formula>$J228="Anulada"</formula>
    </cfRule>
  </conditionalFormatting>
  <conditionalFormatting sqref="U231">
    <cfRule type="expression" dxfId="4292" priority="6356">
      <formula>$U231="PENDIENTE"</formula>
    </cfRule>
    <cfRule type="expression" dxfId="4291" priority="6358">
      <formula>$U231="EMITIDA"</formula>
    </cfRule>
    <cfRule type="expression" dxfId="4290" priority="6359">
      <formula>$U231="NO CORRESPONDE"</formula>
    </cfRule>
    <cfRule type="expression" dxfId="4289" priority="6362">
      <formula>$U231="PENDIENTE"</formula>
    </cfRule>
    <cfRule type="expression" dxfId="4288" priority="6364">
      <formula>$U231="EMITIDA"</formula>
    </cfRule>
    <cfRule type="expression" dxfId="4287" priority="6365">
      <formula>$U231="NO CORRESPONDE"</formula>
    </cfRule>
    <cfRule type="expression" dxfId="4286" priority="6372">
      <formula>$J231="En blanco"</formula>
    </cfRule>
    <cfRule type="expression" dxfId="4285" priority="6373">
      <formula>$J231="Anulada"</formula>
    </cfRule>
  </conditionalFormatting>
  <conditionalFormatting sqref="U235">
    <cfRule type="expression" dxfId="4284" priority="6400">
      <formula>$U235="PENDIENTE"</formula>
    </cfRule>
    <cfRule type="expression" dxfId="4283" priority="6402">
      <formula>$U235="EMITIDA"</formula>
    </cfRule>
    <cfRule type="expression" dxfId="4282" priority="6403">
      <formula>$U235="NO CORRESPONDE"</formula>
    </cfRule>
    <cfRule type="expression" dxfId="4281" priority="6406">
      <formula>$U235="PENDIENTE"</formula>
    </cfRule>
    <cfRule type="expression" dxfId="4280" priority="6408">
      <formula>$U235="EMITIDA"</formula>
    </cfRule>
    <cfRule type="expression" dxfId="4279" priority="6409">
      <formula>$U235="NO CORRESPONDE"</formula>
    </cfRule>
    <cfRule type="expression" dxfId="4278" priority="6416">
      <formula>$J235="En blanco"</formula>
    </cfRule>
    <cfRule type="expression" dxfId="4277" priority="6417">
      <formula>$J235="Anulada"</formula>
    </cfRule>
  </conditionalFormatting>
  <conditionalFormatting sqref="U247">
    <cfRule type="expression" dxfId="4276" priority="6444">
      <formula>$U247="PENDIENTE"</formula>
    </cfRule>
    <cfRule type="expression" dxfId="4275" priority="6446">
      <formula>$U247="EMITIDA"</formula>
    </cfRule>
    <cfRule type="expression" dxfId="4274" priority="6447">
      <formula>$U247="NO CORRESPONDE"</formula>
    </cfRule>
    <cfRule type="expression" dxfId="4273" priority="6450">
      <formula>$U247="PENDIENTE"</formula>
    </cfRule>
    <cfRule type="expression" dxfId="4272" priority="6452">
      <formula>$U247="EMITIDA"</formula>
    </cfRule>
    <cfRule type="expression" dxfId="4271" priority="6453">
      <formula>$U247="NO CORRESPONDE"</formula>
    </cfRule>
    <cfRule type="expression" dxfId="4270" priority="6460">
      <formula>$J247="En blanco"</formula>
    </cfRule>
    <cfRule type="expression" dxfId="4269" priority="6461">
      <formula>$J247="Anulada"</formula>
    </cfRule>
  </conditionalFormatting>
  <conditionalFormatting sqref="U257">
    <cfRule type="expression" dxfId="4268" priority="6488">
      <formula>$U257="PENDIENTE"</formula>
    </cfRule>
    <cfRule type="expression" dxfId="4267" priority="6490">
      <formula>$U257="EMITIDA"</formula>
    </cfRule>
    <cfRule type="expression" dxfId="4266" priority="6491">
      <formula>$U257="NO CORRESPONDE"</formula>
    </cfRule>
    <cfRule type="expression" dxfId="4265" priority="6494">
      <formula>$U257="PENDIENTE"</formula>
    </cfRule>
    <cfRule type="expression" dxfId="4264" priority="6496">
      <formula>$U257="EMITIDA"</formula>
    </cfRule>
    <cfRule type="expression" dxfId="4263" priority="6497">
      <formula>$U257="NO CORRESPONDE"</formula>
    </cfRule>
    <cfRule type="expression" dxfId="4262" priority="6504">
      <formula>$J257="En blanco"</formula>
    </cfRule>
    <cfRule type="expression" dxfId="4261" priority="6505">
      <formula>$J257="Anulada"</formula>
    </cfRule>
  </conditionalFormatting>
  <conditionalFormatting sqref="U280">
    <cfRule type="expression" dxfId="4260" priority="6528">
      <formula>$U280="PENDIENTE"</formula>
    </cfRule>
    <cfRule type="expression" dxfId="4259" priority="6530">
      <formula>$U280="EMITIDA"</formula>
    </cfRule>
    <cfRule type="expression" dxfId="4258" priority="6531">
      <formula>$U280="NO CORRESPONDE"</formula>
    </cfRule>
    <cfRule type="expression" dxfId="4257" priority="6534">
      <formula>$U280="PENDIENTE"</formula>
    </cfRule>
    <cfRule type="expression" dxfId="4256" priority="6536">
      <formula>$U280="EMITIDA"</formula>
    </cfRule>
    <cfRule type="expression" dxfId="4255" priority="6537">
      <formula>$U280="NO CORRESPONDE"</formula>
    </cfRule>
    <cfRule type="expression" dxfId="4254" priority="6544">
      <formula>$J280="En blanco"</formula>
    </cfRule>
    <cfRule type="expression" dxfId="4253" priority="6545">
      <formula>$J280="Anulada"</formula>
    </cfRule>
  </conditionalFormatting>
  <conditionalFormatting sqref="U283">
    <cfRule type="expression" dxfId="4252" priority="6568">
      <formula>$U283="PENDIENTE"</formula>
    </cfRule>
    <cfRule type="expression" dxfId="4251" priority="6570">
      <formula>$U283="EMITIDA"</formula>
    </cfRule>
    <cfRule type="expression" dxfId="4250" priority="6571">
      <formula>$U283="NO CORRESPONDE"</formula>
    </cfRule>
    <cfRule type="expression" dxfId="4249" priority="6574">
      <formula>$U283="PENDIENTE"</formula>
    </cfRule>
    <cfRule type="expression" dxfId="4248" priority="6576">
      <formula>$U283="EMITIDA"</formula>
    </cfRule>
    <cfRule type="expression" dxfId="4247" priority="6577">
      <formula>$U283="NO CORRESPONDE"</formula>
    </cfRule>
    <cfRule type="expression" dxfId="4246" priority="6584">
      <formula>$J283="En blanco"</formula>
    </cfRule>
    <cfRule type="expression" dxfId="4245" priority="6585">
      <formula>$J283="Anulada"</formula>
    </cfRule>
  </conditionalFormatting>
  <conditionalFormatting sqref="U287">
    <cfRule type="expression" dxfId="4244" priority="6608">
      <formula>$U287="PENDIENTE"</formula>
    </cfRule>
    <cfRule type="expression" dxfId="4243" priority="6610">
      <formula>$U287="EMITIDA"</formula>
    </cfRule>
    <cfRule type="expression" dxfId="4242" priority="6611">
      <formula>$U287="NO CORRESPONDE"</formula>
    </cfRule>
    <cfRule type="expression" dxfId="4241" priority="6614">
      <formula>$U287="PENDIENTE"</formula>
    </cfRule>
    <cfRule type="expression" dxfId="4240" priority="6616">
      <formula>$U287="EMITIDA"</formula>
    </cfRule>
    <cfRule type="expression" dxfId="4239" priority="6617">
      <formula>$U287="NO CORRESPONDE"</formula>
    </cfRule>
    <cfRule type="expression" dxfId="4238" priority="6624">
      <formula>$J287="En blanco"</formula>
    </cfRule>
    <cfRule type="expression" dxfId="4237" priority="6625">
      <formula>$J287="Anulada"</formula>
    </cfRule>
  </conditionalFormatting>
  <conditionalFormatting sqref="U289">
    <cfRule type="expression" dxfId="4236" priority="6647">
      <formula>$U289="PENDIENTE"</formula>
    </cfRule>
    <cfRule type="expression" dxfId="4235" priority="6649">
      <formula>$U289="EMITIDA"</formula>
    </cfRule>
    <cfRule type="expression" dxfId="4234" priority="6650">
      <formula>$U289="NO CORRESPONDE"</formula>
    </cfRule>
    <cfRule type="expression" dxfId="4233" priority="6653">
      <formula>$U289="PENDIENTE"</formula>
    </cfRule>
    <cfRule type="expression" dxfId="4232" priority="6655">
      <formula>$U289="EMITIDA"</formula>
    </cfRule>
    <cfRule type="expression" dxfId="4231" priority="6656">
      <formula>$U289="NO CORRESPONDE"</formula>
    </cfRule>
    <cfRule type="expression" dxfId="4230" priority="6663">
      <formula>$J289="En blanco"</formula>
    </cfRule>
    <cfRule type="expression" dxfId="4229" priority="6664">
      <formula>$J289="Anulada"</formula>
    </cfRule>
  </conditionalFormatting>
  <conditionalFormatting sqref="U296">
    <cfRule type="expression" dxfId="4228" priority="6768">
      <formula>$U296="PENDIENTE"</formula>
    </cfRule>
    <cfRule type="expression" dxfId="4227" priority="6770">
      <formula>$U296="EMITIDA"</formula>
    </cfRule>
    <cfRule type="expression" dxfId="4226" priority="6771">
      <formula>$U296="NO CORRESPONDE"</formula>
    </cfRule>
    <cfRule type="expression" dxfId="4225" priority="6774">
      <formula>$U296="PENDIENTE"</formula>
    </cfRule>
    <cfRule type="expression" dxfId="4224" priority="6776">
      <formula>$U296="EMITIDA"</formula>
    </cfRule>
    <cfRule type="expression" dxfId="4223" priority="6777">
      <formula>$U296="NO CORRESPONDE"</formula>
    </cfRule>
    <cfRule type="expression" dxfId="4222" priority="6784">
      <formula>$J296="En blanco"</formula>
    </cfRule>
    <cfRule type="expression" dxfId="4221" priority="6785">
      <formula>$J296="Anulada"</formula>
    </cfRule>
  </conditionalFormatting>
  <conditionalFormatting sqref="U310">
    <cfRule type="expression" dxfId="4220" priority="6686">
      <formula>$U310="PENDIENTE"</formula>
    </cfRule>
    <cfRule type="expression" dxfId="4219" priority="6688">
      <formula>$U310="EMITIDA"</formula>
    </cfRule>
    <cfRule type="expression" dxfId="4218" priority="6689">
      <formula>$U310="NO CORRESPONDE"</formula>
    </cfRule>
    <cfRule type="expression" dxfId="4217" priority="6692">
      <formula>$U310="PENDIENTE"</formula>
    </cfRule>
    <cfRule type="expression" dxfId="4216" priority="6694">
      <formula>$U310="EMITIDA"</formula>
    </cfRule>
    <cfRule type="expression" dxfId="4215" priority="6695">
      <formula>$U310="NO CORRESPONDE"</formula>
    </cfRule>
    <cfRule type="expression" dxfId="4214" priority="6702">
      <formula>$J310="En blanco"</formula>
    </cfRule>
    <cfRule type="expression" dxfId="4213" priority="6703">
      <formula>$J310="Anulada"</formula>
    </cfRule>
  </conditionalFormatting>
  <conditionalFormatting sqref="U328:U333 W328:X333 Z328:AB333 AD328:AD333 AG328:AP333 W471:W752 Y443:Y467 U780 X780 AG780:AP780 U783 W783:Y783 AF783:AP783 AF784:AF882 Y469:Y782 W1046 W1079 Y1079 W784:W1041 W1098 Y1098 Y1045:Y1046 AG1136:AP1136 W1456:AR1048576 W1191 Y1191 Y784:Y1041 W1249:W1250 Y1249:Y1250 W1205:W1243 Y1205 Y1226:Y1227 Y1223 Y1220:Y1221 Y1239:Y1240 Y1216:Y1218 Y1233 W1256 Y1256 W1294 Y1294 W1297 Y1297 Y1211:Y1213 Y1237 W1352 Y1352 W1371 Y1371 W1373:W1377 Y1373 W1379:W1410 Y1388:Y1391 Y1394:Y1397 Y1366:Y1367 Y1377:Y1380 Y1403:Y1405 Y1399:Y1401 W1412:W1423 Y1407 Y1375 Y1382:Y1383 Y1385 W2:W31 W1425:W1454 AF884:AF1454 Y1409:Y1454 W1:AR1">
    <cfRule type="containsText" dxfId="4212" priority="5937" operator="containsText" text="PENDIENTE">
      <formula>NOT(ISERROR(SEARCH("PENDIENTE",U1)))</formula>
    </cfRule>
  </conditionalFormatting>
  <conditionalFormatting sqref="U337">
    <cfRule type="expression" dxfId="4211" priority="5888">
      <formula>$U337="PENDIENTE"</formula>
    </cfRule>
    <cfRule type="expression" dxfId="4210" priority="5890">
      <formula>$U337="EMITIDA"</formula>
    </cfRule>
    <cfRule type="expression" dxfId="4209" priority="5891">
      <formula>$U337="NO CORRESPONDE"</formula>
    </cfRule>
    <cfRule type="expression" dxfId="4208" priority="5894">
      <formula>$U337="PENDIENTE"</formula>
    </cfRule>
    <cfRule type="expression" dxfId="4207" priority="5896">
      <formula>$U337="EMITIDA"</formula>
    </cfRule>
    <cfRule type="expression" dxfId="4206" priority="5897">
      <formula>$U337="NO CORRESPONDE"</formula>
    </cfRule>
    <cfRule type="expression" dxfId="4205" priority="5904">
      <formula>$J337="En blanco"</formula>
    </cfRule>
    <cfRule type="expression" dxfId="4204" priority="5905">
      <formula>$J337="Anulada"</formula>
    </cfRule>
  </conditionalFormatting>
  <conditionalFormatting sqref="U355:U356">
    <cfRule type="expression" dxfId="4203" priority="5792">
      <formula>$U355="PENDIENTE"</formula>
    </cfRule>
    <cfRule type="expression" dxfId="4202" priority="5794">
      <formula>$U355="EMITIDA"</formula>
    </cfRule>
    <cfRule type="expression" dxfId="4201" priority="5795">
      <formula>$U355="NO CORRESPONDE"</formula>
    </cfRule>
    <cfRule type="expression" dxfId="4200" priority="5798">
      <formula>$U355="PENDIENTE"</formula>
    </cfRule>
    <cfRule type="expression" dxfId="4199" priority="5800">
      <formula>$U355="EMITIDA"</formula>
    </cfRule>
    <cfRule type="expression" dxfId="4198" priority="5801">
      <formula>$U355="NO CORRESPONDE"</formula>
    </cfRule>
    <cfRule type="expression" dxfId="4197" priority="5808">
      <formula>$J355="En blanco"</formula>
    </cfRule>
    <cfRule type="expression" dxfId="4196" priority="5809">
      <formula>$J355="Anulada"</formula>
    </cfRule>
  </conditionalFormatting>
  <conditionalFormatting sqref="U367">
    <cfRule type="expression" dxfId="4195" priority="5752">
      <formula>$U367="PENDIENTE"</formula>
    </cfRule>
    <cfRule type="expression" dxfId="4194" priority="5754">
      <formula>$U367="EMITIDA"</formula>
    </cfRule>
    <cfRule type="expression" dxfId="4193" priority="5755">
      <formula>$U367="NO CORRESPONDE"</formula>
    </cfRule>
    <cfRule type="expression" dxfId="4192" priority="5758">
      <formula>$U367="PENDIENTE"</formula>
    </cfRule>
    <cfRule type="expression" dxfId="4191" priority="5760">
      <formula>$U367="EMITIDA"</formula>
    </cfRule>
    <cfRule type="expression" dxfId="4190" priority="5761">
      <formula>$U367="NO CORRESPONDE"</formula>
    </cfRule>
    <cfRule type="expression" dxfId="4189" priority="5768">
      <formula>$J367="En blanco"</formula>
    </cfRule>
    <cfRule type="expression" dxfId="4188" priority="5769">
      <formula>$J367="Anulada"</formula>
    </cfRule>
  </conditionalFormatting>
  <conditionalFormatting sqref="U379">
    <cfRule type="expression" dxfId="4187" priority="5710">
      <formula>$U379="PENDIENTE"</formula>
    </cfRule>
    <cfRule type="expression" dxfId="4186" priority="5712">
      <formula>$U379="EMITIDA"</formula>
    </cfRule>
    <cfRule type="expression" dxfId="4185" priority="5713">
      <formula>$U379="NO CORRESPONDE"</formula>
    </cfRule>
    <cfRule type="expression" dxfId="4184" priority="5716">
      <formula>$U379="PENDIENTE"</formula>
    </cfRule>
    <cfRule type="expression" dxfId="4183" priority="5718">
      <formula>$U379="EMITIDA"</formula>
    </cfRule>
    <cfRule type="expression" dxfId="4182" priority="5719">
      <formula>$U379="NO CORRESPONDE"</formula>
    </cfRule>
    <cfRule type="expression" dxfId="4181" priority="5726">
      <formula>$J379="En blanco"</formula>
    </cfRule>
    <cfRule type="expression" dxfId="4180" priority="5727">
      <formula>$J379="Anulada"</formula>
    </cfRule>
  </conditionalFormatting>
  <conditionalFormatting sqref="U408">
    <cfRule type="expression" dxfId="4179" priority="5606">
      <formula>$U408="PENDIENTE"</formula>
    </cfRule>
    <cfRule type="expression" dxfId="4178" priority="5608">
      <formula>$U408="EMITIDA"</formula>
    </cfRule>
    <cfRule type="expression" dxfId="4177" priority="5609">
      <formula>$U408="NO CORRESPONDE"</formula>
    </cfRule>
    <cfRule type="expression" dxfId="4176" priority="5612">
      <formula>$U408="PENDIENTE"</formula>
    </cfRule>
    <cfRule type="expression" dxfId="4175" priority="5614">
      <formula>$U408="EMITIDA"</formula>
    </cfRule>
    <cfRule type="expression" dxfId="4174" priority="5615">
      <formula>$U408="NO CORRESPONDE"</formula>
    </cfRule>
    <cfRule type="expression" dxfId="4173" priority="5622">
      <formula>$J408="En blanco"</formula>
    </cfRule>
    <cfRule type="expression" dxfId="4172" priority="5623">
      <formula>$J408="Anulada"</formula>
    </cfRule>
  </conditionalFormatting>
  <conditionalFormatting sqref="U413">
    <cfRule type="expression" dxfId="4171" priority="5567">
      <formula>$U413="PENDIENTE"</formula>
    </cfRule>
    <cfRule type="expression" dxfId="4170" priority="5569">
      <formula>$U413="EMITIDA"</formula>
    </cfRule>
    <cfRule type="expression" dxfId="4169" priority="5570">
      <formula>$U413="NO CORRESPONDE"</formula>
    </cfRule>
    <cfRule type="expression" dxfId="4168" priority="5573">
      <formula>$U413="PENDIENTE"</formula>
    </cfRule>
    <cfRule type="expression" dxfId="4167" priority="5575">
      <formula>$U413="EMITIDA"</formula>
    </cfRule>
    <cfRule type="expression" dxfId="4166" priority="5576">
      <formula>$U413="NO CORRESPONDE"</formula>
    </cfRule>
    <cfRule type="expression" dxfId="4165" priority="5583">
      <formula>$J413="En blanco"</formula>
    </cfRule>
    <cfRule type="expression" dxfId="4164" priority="5584">
      <formula>$J413="Anulada"</formula>
    </cfRule>
  </conditionalFormatting>
  <conditionalFormatting sqref="U416:U417">
    <cfRule type="expression" dxfId="4163" priority="5483">
      <formula>$U416="PENDIENTE"</formula>
    </cfRule>
    <cfRule type="expression" dxfId="4162" priority="5485">
      <formula>$U416="EMITIDA"</formula>
    </cfRule>
    <cfRule type="expression" dxfId="4161" priority="5486">
      <formula>$U416="NO CORRESPONDE"</formula>
    </cfRule>
    <cfRule type="expression" dxfId="4160" priority="5489">
      <formula>$U416="PENDIENTE"</formula>
    </cfRule>
    <cfRule type="expression" dxfId="4159" priority="5491">
      <formula>$U416="EMITIDA"</formula>
    </cfRule>
    <cfRule type="expression" dxfId="4158" priority="5492">
      <formula>$U416="NO CORRESPONDE"</formula>
    </cfRule>
    <cfRule type="expression" dxfId="4157" priority="5499">
      <formula>$J416="En blanco"</formula>
    </cfRule>
    <cfRule type="expression" dxfId="4156" priority="5500">
      <formula>$J416="Anulada"</formula>
    </cfRule>
  </conditionalFormatting>
  <conditionalFormatting sqref="U421">
    <cfRule type="expression" dxfId="4155" priority="2167">
      <formula>$U421="PENDIENTE"</formula>
    </cfRule>
    <cfRule type="expression" dxfId="4154" priority="2169">
      <formula>$U421="EMITIDA"</formula>
    </cfRule>
    <cfRule type="expression" dxfId="4153" priority="2170">
      <formula>$U421="NO CORRESPONDE"</formula>
    </cfRule>
    <cfRule type="expression" dxfId="4152" priority="2173">
      <formula>$U421="PENDIENTE"</formula>
    </cfRule>
    <cfRule type="expression" dxfId="4151" priority="2175">
      <formula>$U421="EMITIDA"</formula>
    </cfRule>
    <cfRule type="expression" dxfId="4150" priority="2176">
      <formula>$U421="NO CORRESPONDE"</formula>
    </cfRule>
    <cfRule type="expression" dxfId="4149" priority="2181">
      <formula>$J421="En blanco"</formula>
    </cfRule>
    <cfRule type="expression" dxfId="4148" priority="2182">
      <formula>$J421="Anulada"</formula>
    </cfRule>
  </conditionalFormatting>
  <conditionalFormatting sqref="U446">
    <cfRule type="expression" dxfId="4147" priority="5439">
      <formula>$U446="PENDIENTE"</formula>
    </cfRule>
    <cfRule type="expression" dxfId="4146" priority="5441">
      <formula>$U446="EMITIDA"</formula>
    </cfRule>
    <cfRule type="expression" dxfId="4145" priority="5442">
      <formula>$U446="NO CORRESPONDE"</formula>
    </cfRule>
    <cfRule type="expression" dxfId="4144" priority="5445">
      <formula>$U446="PENDIENTE"</formula>
    </cfRule>
    <cfRule type="expression" dxfId="4143" priority="5447">
      <formula>$U446="EMITIDA"</formula>
    </cfRule>
    <cfRule type="expression" dxfId="4142" priority="5448">
      <formula>$U446="NO CORRESPONDE"</formula>
    </cfRule>
    <cfRule type="expression" dxfId="4141" priority="5455">
      <formula>$J446="En blanco"</formula>
    </cfRule>
    <cfRule type="expression" dxfId="4140" priority="5456">
      <formula>$J446="Anulada"</formula>
    </cfRule>
  </conditionalFormatting>
  <conditionalFormatting sqref="U452">
    <cfRule type="expression" dxfId="4139" priority="5269">
      <formula>$U452="PENDIENTE"</formula>
    </cfRule>
    <cfRule type="expression" dxfId="4138" priority="5271">
      <formula>$U452="EMITIDA"</formula>
    </cfRule>
    <cfRule type="expression" dxfId="4137" priority="5272">
      <formula>$U452="NO CORRESPONDE"</formula>
    </cfRule>
    <cfRule type="expression" dxfId="4136" priority="5275">
      <formula>$U452="PENDIENTE"</formula>
    </cfRule>
    <cfRule type="expression" dxfId="4135" priority="5277">
      <formula>$U452="EMITIDA"</formula>
    </cfRule>
    <cfRule type="expression" dxfId="4134" priority="5278">
      <formula>$U452="NO CORRESPONDE"</formula>
    </cfRule>
    <cfRule type="expression" dxfId="4133" priority="5285">
      <formula>$J452="En blanco"</formula>
    </cfRule>
    <cfRule type="expression" dxfId="4132" priority="5286">
      <formula>$J452="Anulada"</formula>
    </cfRule>
  </conditionalFormatting>
  <conditionalFormatting sqref="U490">
    <cfRule type="expression" dxfId="4131" priority="5357">
      <formula>$U490="PENDIENTE"</formula>
    </cfRule>
    <cfRule type="expression" dxfId="4130" priority="5359">
      <formula>$U490="EMITIDA"</formula>
    </cfRule>
    <cfRule type="expression" dxfId="4129" priority="5360">
      <formula>$U490="NO CORRESPONDE"</formula>
    </cfRule>
    <cfRule type="expression" dxfId="4128" priority="5363">
      <formula>$U490="PENDIENTE"</formula>
    </cfRule>
    <cfRule type="expression" dxfId="4127" priority="5365">
      <formula>$U490="EMITIDA"</formula>
    </cfRule>
    <cfRule type="expression" dxfId="4126" priority="5366">
      <formula>$U490="NO CORRESPONDE"</formula>
    </cfRule>
    <cfRule type="expression" dxfId="4125" priority="5373">
      <formula>$J490="En blanco"</formula>
    </cfRule>
    <cfRule type="expression" dxfId="4124" priority="5374">
      <formula>$J490="Anulada"</formula>
    </cfRule>
  </conditionalFormatting>
  <conditionalFormatting sqref="U509">
    <cfRule type="expression" dxfId="4123" priority="5302">
      <formula>$U509="PENDIENTE"</formula>
    </cfRule>
    <cfRule type="expression" dxfId="4122" priority="5304">
      <formula>$U509="EMITIDA"</formula>
    </cfRule>
    <cfRule type="expression" dxfId="4121" priority="5305">
      <formula>$U509="NO CORRESPONDE"</formula>
    </cfRule>
    <cfRule type="expression" dxfId="4120" priority="5308">
      <formula>$U509="PENDIENTE"</formula>
    </cfRule>
    <cfRule type="expression" dxfId="4119" priority="5310">
      <formula>$U509="EMITIDA"</formula>
    </cfRule>
    <cfRule type="expression" dxfId="4118" priority="5311">
      <formula>$U509="NO CORRESPONDE"</formula>
    </cfRule>
    <cfRule type="expression" dxfId="4117" priority="5318">
      <formula>$J509="En blanco"</formula>
    </cfRule>
    <cfRule type="expression" dxfId="4116" priority="5319">
      <formula>$J509="Anulada"</formula>
    </cfRule>
  </conditionalFormatting>
  <conditionalFormatting sqref="U520">
    <cfRule type="expression" dxfId="4115" priority="5232">
      <formula>$U520="PENDIENTE"</formula>
    </cfRule>
    <cfRule type="expression" dxfId="4114" priority="5234">
      <formula>$U520="EMITIDA"</formula>
    </cfRule>
    <cfRule type="expression" dxfId="4113" priority="5235">
      <formula>$U520="NO CORRESPONDE"</formula>
    </cfRule>
    <cfRule type="expression" dxfId="4112" priority="5238">
      <formula>$U520="PENDIENTE"</formula>
    </cfRule>
    <cfRule type="expression" dxfId="4111" priority="5240">
      <formula>$U520="EMITIDA"</formula>
    </cfRule>
    <cfRule type="expression" dxfId="4110" priority="5241">
      <formula>$U520="NO CORRESPONDE"</formula>
    </cfRule>
    <cfRule type="expression" dxfId="4109" priority="5248">
      <formula>$J520="En blanco"</formula>
    </cfRule>
    <cfRule type="expression" dxfId="4108" priority="5249">
      <formula>$J520="Anulada"</formula>
    </cfRule>
  </conditionalFormatting>
  <conditionalFormatting sqref="U525">
    <cfRule type="expression" dxfId="4107" priority="5198">
      <formula>$U525="PENDIENTE"</formula>
    </cfRule>
    <cfRule type="expression" dxfId="4106" priority="5200">
      <formula>$U525="EMITIDA"</formula>
    </cfRule>
    <cfRule type="expression" dxfId="4105" priority="5201">
      <formula>$U525="NO CORRESPONDE"</formula>
    </cfRule>
    <cfRule type="expression" dxfId="4104" priority="5204">
      <formula>$U525="PENDIENTE"</formula>
    </cfRule>
    <cfRule type="expression" dxfId="4103" priority="5206">
      <formula>$U525="EMITIDA"</formula>
    </cfRule>
    <cfRule type="expression" dxfId="4102" priority="5207">
      <formula>$U525="NO CORRESPONDE"</formula>
    </cfRule>
    <cfRule type="expression" dxfId="4101" priority="5214">
      <formula>$J525="En blanco"</formula>
    </cfRule>
    <cfRule type="expression" dxfId="4100" priority="5215">
      <formula>$J525="Anulada"</formula>
    </cfRule>
  </conditionalFormatting>
  <conditionalFormatting sqref="U529">
    <cfRule type="expression" dxfId="4099" priority="5164">
      <formula>$U529="PENDIENTE"</formula>
    </cfRule>
    <cfRule type="expression" dxfId="4098" priority="5166">
      <formula>$U529="EMITIDA"</formula>
    </cfRule>
    <cfRule type="expression" dxfId="4097" priority="5167">
      <formula>$U529="NO CORRESPONDE"</formula>
    </cfRule>
    <cfRule type="expression" dxfId="4096" priority="5170">
      <formula>$U529="PENDIENTE"</formula>
    </cfRule>
    <cfRule type="expression" dxfId="4095" priority="5172">
      <formula>$U529="EMITIDA"</formula>
    </cfRule>
    <cfRule type="expression" dxfId="4094" priority="5173">
      <formula>$U529="NO CORRESPONDE"</formula>
    </cfRule>
    <cfRule type="expression" dxfId="4093" priority="5180">
      <formula>$J529="En blanco"</formula>
    </cfRule>
    <cfRule type="expression" dxfId="4092" priority="5181">
      <formula>$J529="Anulada"</formula>
    </cfRule>
  </conditionalFormatting>
  <conditionalFormatting sqref="U534:U536">
    <cfRule type="expression" dxfId="4091" priority="5130">
      <formula>$U534="PENDIENTE"</formula>
    </cfRule>
    <cfRule type="expression" dxfId="4090" priority="5132">
      <formula>$U534="EMITIDA"</formula>
    </cfRule>
    <cfRule type="expression" dxfId="4089" priority="5133">
      <formula>$U534="NO CORRESPONDE"</formula>
    </cfRule>
    <cfRule type="expression" dxfId="4088" priority="5136">
      <formula>$U534="PENDIENTE"</formula>
    </cfRule>
    <cfRule type="expression" dxfId="4087" priority="5138">
      <formula>$U534="EMITIDA"</formula>
    </cfRule>
    <cfRule type="expression" dxfId="4086" priority="5139">
      <formula>$U534="NO CORRESPONDE"</formula>
    </cfRule>
    <cfRule type="expression" dxfId="4085" priority="5146">
      <formula>$J534="En blanco"</formula>
    </cfRule>
    <cfRule type="expression" dxfId="4084" priority="5147">
      <formula>$J534="Anulada"</formula>
    </cfRule>
  </conditionalFormatting>
  <conditionalFormatting sqref="U538">
    <cfRule type="expression" dxfId="4083" priority="5096">
      <formula>$U538="PENDIENTE"</formula>
    </cfRule>
    <cfRule type="expression" dxfId="4082" priority="5098">
      <formula>$U538="EMITIDA"</formula>
    </cfRule>
    <cfRule type="expression" dxfId="4081" priority="5099">
      <formula>$U538="NO CORRESPONDE"</formula>
    </cfRule>
    <cfRule type="expression" dxfId="4080" priority="5102">
      <formula>$U538="PENDIENTE"</formula>
    </cfRule>
    <cfRule type="expression" dxfId="4079" priority="5104">
      <formula>$U538="EMITIDA"</formula>
    </cfRule>
    <cfRule type="expression" dxfId="4078" priority="5105">
      <formula>$U538="NO CORRESPONDE"</formula>
    </cfRule>
    <cfRule type="expression" dxfId="4077" priority="5112">
      <formula>$J538="En blanco"</formula>
    </cfRule>
    <cfRule type="expression" dxfId="4076" priority="5113">
      <formula>$J538="Anulada"</formula>
    </cfRule>
  </conditionalFormatting>
  <conditionalFormatting sqref="U552 X552 Z552:AB552 AD552 AG552:AP552">
    <cfRule type="containsText" dxfId="4075" priority="5075" operator="containsText" text="PENDIENTE">
      <formula>NOT(ISERROR(SEARCH("PENDIENTE",U552)))</formula>
    </cfRule>
  </conditionalFormatting>
  <conditionalFormatting sqref="U569">
    <cfRule type="expression" dxfId="4074" priority="5004">
      <formula>$U569="PENDIENTE"</formula>
    </cfRule>
    <cfRule type="expression" dxfId="4073" priority="5006">
      <formula>$U569="EMITIDA"</formula>
    </cfRule>
    <cfRule type="expression" dxfId="4072" priority="5007">
      <formula>$U569="NO CORRESPONDE"</formula>
    </cfRule>
    <cfRule type="expression" dxfId="4071" priority="5010">
      <formula>$U569="PENDIENTE"</formula>
    </cfRule>
    <cfRule type="expression" dxfId="4070" priority="5012">
      <formula>$U569="EMITIDA"</formula>
    </cfRule>
    <cfRule type="expression" dxfId="4069" priority="5013">
      <formula>$U569="NO CORRESPONDE"</formula>
    </cfRule>
    <cfRule type="expression" dxfId="4068" priority="5020">
      <formula>$J569="En blanco"</formula>
    </cfRule>
    <cfRule type="expression" dxfId="4067" priority="5021">
      <formula>$J569="Anulada"</formula>
    </cfRule>
  </conditionalFormatting>
  <conditionalFormatting sqref="U573">
    <cfRule type="expression" dxfId="4066" priority="4950">
      <formula>$U573="PENDIENTE"</formula>
    </cfRule>
    <cfRule type="expression" dxfId="4065" priority="4952">
      <formula>$U573="EMITIDA"</formula>
    </cfRule>
    <cfRule type="expression" dxfId="4064" priority="4953">
      <formula>$U573="NO CORRESPONDE"</formula>
    </cfRule>
    <cfRule type="expression" dxfId="4063" priority="4956">
      <formula>$U573="PENDIENTE"</formula>
    </cfRule>
    <cfRule type="expression" dxfId="4062" priority="4958">
      <formula>$U573="EMITIDA"</formula>
    </cfRule>
    <cfRule type="expression" dxfId="4061" priority="4959">
      <formula>$U573="NO CORRESPONDE"</formula>
    </cfRule>
    <cfRule type="expression" dxfId="4060" priority="4966">
      <formula>$J573="En blanco"</formula>
    </cfRule>
    <cfRule type="expression" dxfId="4059" priority="4967">
      <formula>$J573="Anulada"</formula>
    </cfRule>
  </conditionalFormatting>
  <conditionalFormatting sqref="U601">
    <cfRule type="expression" dxfId="4058" priority="4858">
      <formula>$U601="PENDIENTE"</formula>
    </cfRule>
    <cfRule type="expression" dxfId="4057" priority="4860">
      <formula>$U601="EMITIDA"</formula>
    </cfRule>
    <cfRule type="expression" dxfId="4056" priority="4861">
      <formula>$U601="NO CORRESPONDE"</formula>
    </cfRule>
    <cfRule type="expression" dxfId="4055" priority="4864">
      <formula>$U601="PENDIENTE"</formula>
    </cfRule>
    <cfRule type="expression" dxfId="4054" priority="4866">
      <formula>$U601="EMITIDA"</formula>
    </cfRule>
    <cfRule type="expression" dxfId="4053" priority="4867">
      <formula>$U601="NO CORRESPONDE"</formula>
    </cfRule>
    <cfRule type="expression" dxfId="4052" priority="4874">
      <formula>$J601="En blanco"</formula>
    </cfRule>
    <cfRule type="expression" dxfId="4051" priority="4875">
      <formula>$J601="Anulada"</formula>
    </cfRule>
  </conditionalFormatting>
  <conditionalFormatting sqref="U627:U628">
    <cfRule type="expression" dxfId="4050" priority="4817">
      <formula>$U627="PENDIENTE"</formula>
    </cfRule>
    <cfRule type="expression" dxfId="4049" priority="4819">
      <formula>$U627="EMITIDA"</formula>
    </cfRule>
    <cfRule type="expression" dxfId="4048" priority="4820">
      <formula>$U627="NO CORRESPONDE"</formula>
    </cfRule>
    <cfRule type="expression" dxfId="4047" priority="4823">
      <formula>$U627="PENDIENTE"</formula>
    </cfRule>
    <cfRule type="expression" dxfId="4046" priority="4825">
      <formula>$U627="EMITIDA"</formula>
    </cfRule>
    <cfRule type="expression" dxfId="4045" priority="4826">
      <formula>$U627="NO CORRESPONDE"</formula>
    </cfRule>
    <cfRule type="expression" dxfId="4044" priority="4833">
      <formula>$J627="En blanco"</formula>
    </cfRule>
    <cfRule type="expression" dxfId="4043" priority="4834">
      <formula>$J627="Anulada"</formula>
    </cfRule>
  </conditionalFormatting>
  <conditionalFormatting sqref="U660:U662">
    <cfRule type="expression" dxfId="4042" priority="4746">
      <formula>$U660="PENDIENTE"</formula>
    </cfRule>
    <cfRule type="expression" dxfId="4041" priority="4748">
      <formula>$U660="EMITIDA"</formula>
    </cfRule>
    <cfRule type="expression" dxfId="4040" priority="4749">
      <formula>$U660="NO CORRESPONDE"</formula>
    </cfRule>
    <cfRule type="expression" dxfId="4039" priority="4752">
      <formula>$U660="PENDIENTE"</formula>
    </cfRule>
    <cfRule type="expression" dxfId="4038" priority="4754">
      <formula>$U660="EMITIDA"</formula>
    </cfRule>
    <cfRule type="expression" dxfId="4037" priority="4755">
      <formula>$U660="NO CORRESPONDE"</formula>
    </cfRule>
    <cfRule type="expression" dxfId="4036" priority="4762">
      <formula>$J660="En blanco"</formula>
    </cfRule>
    <cfRule type="expression" dxfId="4035" priority="4763">
      <formula>$J660="Anulada"</formula>
    </cfRule>
  </conditionalFormatting>
  <conditionalFormatting sqref="U664">
    <cfRule type="expression" dxfId="4034" priority="4690">
      <formula>$U664="PENDIENTE"</formula>
    </cfRule>
    <cfRule type="expression" dxfId="4033" priority="4692">
      <formula>$U664="EMITIDA"</formula>
    </cfRule>
    <cfRule type="expression" dxfId="4032" priority="4693">
      <formula>$U664="NO CORRESPONDE"</formula>
    </cfRule>
    <cfRule type="expression" dxfId="4031" priority="4696">
      <formula>$U664="PENDIENTE"</formula>
    </cfRule>
    <cfRule type="expression" dxfId="4030" priority="4698">
      <formula>$U664="EMITIDA"</formula>
    </cfRule>
    <cfRule type="expression" dxfId="4029" priority="4699">
      <formula>$U664="NO CORRESPONDE"</formula>
    </cfRule>
    <cfRule type="expression" dxfId="4028" priority="4706">
      <formula>$J664="En blanco"</formula>
    </cfRule>
    <cfRule type="expression" dxfId="4027" priority="4707">
      <formula>$J664="Anulada"</formula>
    </cfRule>
  </conditionalFormatting>
  <conditionalFormatting sqref="U693">
    <cfRule type="expression" dxfId="4026" priority="4402">
      <formula>$U693="PENDIENTE"</formula>
    </cfRule>
    <cfRule type="expression" dxfId="4025" priority="4404">
      <formula>$U693="EMITIDA"</formula>
    </cfRule>
    <cfRule type="expression" dxfId="4024" priority="4405">
      <formula>$U693="NO CORRESPONDE"</formula>
    </cfRule>
    <cfRule type="expression" dxfId="4023" priority="4408">
      <formula>$U693="PENDIENTE"</formula>
    </cfRule>
    <cfRule type="expression" dxfId="4022" priority="4410">
      <formula>$U693="EMITIDA"</formula>
    </cfRule>
    <cfRule type="expression" dxfId="4021" priority="4411">
      <formula>$U693="NO CORRESPONDE"</formula>
    </cfRule>
    <cfRule type="expression" dxfId="4020" priority="4416">
      <formula>$J693="En blanco"</formula>
    </cfRule>
    <cfRule type="expression" dxfId="4019" priority="4417">
      <formula>$J693="Anulada"</formula>
    </cfRule>
  </conditionalFormatting>
  <conditionalFormatting sqref="U731">
    <cfRule type="expression" dxfId="4018" priority="4363">
      <formula>$U731="PENDIENTE"</formula>
    </cfRule>
    <cfRule type="expression" dxfId="4017" priority="4365">
      <formula>$U731="EMITIDA"</formula>
    </cfRule>
    <cfRule type="expression" dxfId="4016" priority="4366">
      <formula>$U731="NO CORRESPONDE"</formula>
    </cfRule>
    <cfRule type="expression" dxfId="4015" priority="4369">
      <formula>$U731="PENDIENTE"</formula>
    </cfRule>
    <cfRule type="expression" dxfId="4014" priority="4371">
      <formula>$U731="EMITIDA"</formula>
    </cfRule>
    <cfRule type="expression" dxfId="4013" priority="4372">
      <formula>$U731="NO CORRESPONDE"</formula>
    </cfRule>
    <cfRule type="expression" dxfId="4012" priority="4377">
      <formula>$J731="En blanco"</formula>
    </cfRule>
    <cfRule type="expression" dxfId="4011" priority="4378">
      <formula>$J731="Anulada"</formula>
    </cfRule>
  </conditionalFormatting>
  <conditionalFormatting sqref="U740">
    <cfRule type="expression" dxfId="4010" priority="4324">
      <formula>$U740="PENDIENTE"</formula>
    </cfRule>
    <cfRule type="expression" dxfId="4009" priority="4326">
      <formula>$U740="EMITIDA"</formula>
    </cfRule>
    <cfRule type="expression" dxfId="4008" priority="4327">
      <formula>$U740="NO CORRESPONDE"</formula>
    </cfRule>
    <cfRule type="expression" dxfId="4007" priority="4330">
      <formula>$U740="PENDIENTE"</formula>
    </cfRule>
    <cfRule type="expression" dxfId="4006" priority="4332">
      <formula>$U740="EMITIDA"</formula>
    </cfRule>
    <cfRule type="expression" dxfId="4005" priority="4333">
      <formula>$U740="NO CORRESPONDE"</formula>
    </cfRule>
    <cfRule type="expression" dxfId="4004" priority="4338">
      <formula>$J740="En blanco"</formula>
    </cfRule>
    <cfRule type="expression" dxfId="4003" priority="4339">
      <formula>$J740="Anulada"</formula>
    </cfRule>
  </conditionalFormatting>
  <conditionalFormatting sqref="U812">
    <cfRule type="expression" dxfId="4002" priority="4166">
      <formula>$U812="PENDIENTE"</formula>
    </cfRule>
    <cfRule type="expression" dxfId="4001" priority="4168">
      <formula>$U812="EMITIDA"</formula>
    </cfRule>
    <cfRule type="expression" dxfId="4000" priority="4169">
      <formula>$U812="NO CORRESPONDE"</formula>
    </cfRule>
    <cfRule type="expression" dxfId="3999" priority="4172">
      <formula>$U812="PENDIENTE"</formula>
    </cfRule>
    <cfRule type="expression" dxfId="3998" priority="4174">
      <formula>$U812="EMITIDA"</formula>
    </cfRule>
    <cfRule type="expression" dxfId="3997" priority="4175">
      <formula>$U812="NO CORRESPONDE"</formula>
    </cfRule>
    <cfRule type="expression" dxfId="3996" priority="4180">
      <formula>$J812="En blanco"</formula>
    </cfRule>
    <cfRule type="expression" dxfId="3995" priority="4181">
      <formula>$J812="Anulada"</formula>
    </cfRule>
  </conditionalFormatting>
  <conditionalFormatting sqref="U818">
    <cfRule type="expression" dxfId="3994" priority="4093">
      <formula>$U818="PENDIENTE"</formula>
    </cfRule>
    <cfRule type="expression" dxfId="3993" priority="4095">
      <formula>$U818="EMITIDA"</formula>
    </cfRule>
    <cfRule type="expression" dxfId="3992" priority="4096">
      <formula>$U818="NO CORRESPONDE"</formula>
    </cfRule>
    <cfRule type="expression" dxfId="3991" priority="4099">
      <formula>$U818="PENDIENTE"</formula>
    </cfRule>
    <cfRule type="expression" dxfId="3990" priority="4101">
      <formula>$U818="EMITIDA"</formula>
    </cfRule>
    <cfRule type="expression" dxfId="3989" priority="4102">
      <formula>$U818="NO CORRESPONDE"</formula>
    </cfRule>
    <cfRule type="expression" dxfId="3988" priority="4107">
      <formula>$J818="En blanco"</formula>
    </cfRule>
    <cfRule type="expression" dxfId="3987" priority="4108">
      <formula>$J818="Anulada"</formula>
    </cfRule>
  </conditionalFormatting>
  <conditionalFormatting sqref="U821 X821">
    <cfRule type="containsText" dxfId="3986" priority="4065" operator="containsText" text="PENDIENTE">
      <formula>NOT(ISERROR(SEARCH("PENDIENTE",U821)))</formula>
    </cfRule>
  </conditionalFormatting>
  <conditionalFormatting sqref="U821">
    <cfRule type="expression" dxfId="3985" priority="4054">
      <formula>$U821="PENDIENTE"</formula>
    </cfRule>
    <cfRule type="expression" dxfId="3984" priority="4056">
      <formula>$U821="EMITIDA"</formula>
    </cfRule>
    <cfRule type="expression" dxfId="3983" priority="4057">
      <formula>$U821="NO CORRESPONDE"</formula>
    </cfRule>
    <cfRule type="expression" dxfId="3982" priority="4060">
      <formula>$U821="PENDIENTE"</formula>
    </cfRule>
    <cfRule type="expression" dxfId="3981" priority="4062">
      <formula>$U821="EMITIDA"</formula>
    </cfRule>
    <cfRule type="expression" dxfId="3980" priority="4063">
      <formula>$U821="NO CORRESPONDE"</formula>
    </cfRule>
    <cfRule type="expression" dxfId="3979" priority="4068">
      <formula>$J821="En blanco"</formula>
    </cfRule>
    <cfRule type="expression" dxfId="3978" priority="4069">
      <formula>$J821="Anulada"</formula>
    </cfRule>
  </conditionalFormatting>
  <conditionalFormatting sqref="U823">
    <cfRule type="expression" dxfId="3977" priority="3935">
      <formula>$U823="PENDIENTE"</formula>
    </cfRule>
    <cfRule type="expression" dxfId="3976" priority="3937">
      <formula>$U823="EMITIDA"</formula>
    </cfRule>
    <cfRule type="expression" dxfId="3975" priority="3938">
      <formula>$U823="NO CORRESPONDE"</formula>
    </cfRule>
    <cfRule type="expression" dxfId="3974" priority="3949">
      <formula>$J823="En blanco"</formula>
    </cfRule>
    <cfRule type="expression" dxfId="3973" priority="3950">
      <formula>$J823="Anulada"</formula>
    </cfRule>
  </conditionalFormatting>
  <conditionalFormatting sqref="U823:U824">
    <cfRule type="expression" dxfId="3972" priority="3941">
      <formula>$U823="PENDIENTE"</formula>
    </cfRule>
    <cfRule type="expression" dxfId="3971" priority="3943">
      <formula>$U823="EMITIDA"</formula>
    </cfRule>
    <cfRule type="expression" dxfId="3970" priority="3944">
      <formula>$U823="NO CORRESPONDE"</formula>
    </cfRule>
  </conditionalFormatting>
  <conditionalFormatting sqref="U824">
    <cfRule type="expression" dxfId="3969" priority="4021">
      <formula>$U824="PENDIENTE"</formula>
    </cfRule>
    <cfRule type="expression" dxfId="3968" priority="4023">
      <formula>$U824="EMITIDA"</formula>
    </cfRule>
    <cfRule type="expression" dxfId="3967" priority="4024">
      <formula>$U824="NO CORRESPONDE"</formula>
    </cfRule>
    <cfRule type="containsText" dxfId="3966" priority="4026" operator="containsText" text="PENDIENTE">
      <formula>NOT(ISERROR(SEARCH("PENDIENTE",U824)))</formula>
    </cfRule>
    <cfRule type="expression" dxfId="3965" priority="4029">
      <formula>$J824="En blanco"</formula>
    </cfRule>
    <cfRule type="expression" dxfId="3964" priority="4030">
      <formula>$J824="Anulada"</formula>
    </cfRule>
  </conditionalFormatting>
  <conditionalFormatting sqref="U835:U837 X835:X837 Z835:AB837 AD835:AD837">
    <cfRule type="containsText" dxfId="3963" priority="3903" operator="containsText" text="PENDIENTE">
      <formula>NOT(ISERROR(SEARCH("PENDIENTE",U835)))</formula>
    </cfRule>
  </conditionalFormatting>
  <conditionalFormatting sqref="U843:U844">
    <cfRule type="expression" dxfId="3962" priority="3853">
      <formula>$U843="PENDIENTE"</formula>
    </cfRule>
    <cfRule type="expression" dxfId="3961" priority="3855">
      <formula>$U843="EMITIDA"</formula>
    </cfRule>
    <cfRule type="expression" dxfId="3960" priority="3856">
      <formula>$U843="NO CORRESPONDE"</formula>
    </cfRule>
    <cfRule type="expression" dxfId="3959" priority="3859">
      <formula>$U843="PENDIENTE"</formula>
    </cfRule>
    <cfRule type="expression" dxfId="3958" priority="3861">
      <formula>$U843="EMITIDA"</formula>
    </cfRule>
    <cfRule type="expression" dxfId="3957" priority="3862">
      <formula>$U843="NO CORRESPONDE"</formula>
    </cfRule>
    <cfRule type="expression" dxfId="3956" priority="3867">
      <formula>$J843="En blanco"</formula>
    </cfRule>
    <cfRule type="expression" dxfId="3955" priority="3868">
      <formula>$J843="Anulada"</formula>
    </cfRule>
  </conditionalFormatting>
  <conditionalFormatting sqref="U861">
    <cfRule type="expression" dxfId="3954" priority="3974">
      <formula>$U861="PENDIENTE"</formula>
    </cfRule>
    <cfRule type="expression" dxfId="3953" priority="3976">
      <formula>$U861="EMITIDA"</formula>
    </cfRule>
    <cfRule type="expression" dxfId="3952" priority="3977">
      <formula>$U861="NO CORRESPONDE"</formula>
    </cfRule>
    <cfRule type="expression" dxfId="3951" priority="3980">
      <formula>$U861="PENDIENTE"</formula>
    </cfRule>
    <cfRule type="expression" dxfId="3950" priority="3982">
      <formula>$U861="EMITIDA"</formula>
    </cfRule>
    <cfRule type="expression" dxfId="3949" priority="3983">
      <formula>$U861="NO CORRESPONDE"</formula>
    </cfRule>
    <cfRule type="expression" dxfId="3948" priority="3988">
      <formula>$J861="En blanco"</formula>
    </cfRule>
    <cfRule type="expression" dxfId="3947" priority="3989">
      <formula>$J861="Anulada"</formula>
    </cfRule>
  </conditionalFormatting>
  <conditionalFormatting sqref="U879">
    <cfRule type="expression" dxfId="3946" priority="3773">
      <formula>$U879="PENDIENTE"</formula>
    </cfRule>
    <cfRule type="expression" dxfId="3945" priority="3775">
      <formula>$U879="EMITIDA"</formula>
    </cfRule>
    <cfRule type="expression" dxfId="3944" priority="3776">
      <formula>$U879="NO CORRESPONDE"</formula>
    </cfRule>
    <cfRule type="expression" dxfId="3943" priority="3779">
      <formula>$U879="PENDIENTE"</formula>
    </cfRule>
    <cfRule type="expression" dxfId="3942" priority="3781">
      <formula>$U879="EMITIDA"</formula>
    </cfRule>
    <cfRule type="expression" dxfId="3941" priority="3782">
      <formula>$U879="NO CORRESPONDE"</formula>
    </cfRule>
    <cfRule type="expression" dxfId="3940" priority="3787">
      <formula>$J879="En blanco"</formula>
    </cfRule>
    <cfRule type="expression" dxfId="3939" priority="3788">
      <formula>$J879="Anulada"</formula>
    </cfRule>
  </conditionalFormatting>
  <conditionalFormatting sqref="U911">
    <cfRule type="expression" dxfId="3938" priority="3672">
      <formula>$U911="PENDIENTE"</formula>
    </cfRule>
    <cfRule type="expression" dxfId="3937" priority="3674">
      <formula>$U911="EMITIDA"</formula>
    </cfRule>
    <cfRule type="expression" dxfId="3936" priority="3675">
      <formula>$U911="NO CORRESPONDE"</formula>
    </cfRule>
    <cfRule type="expression" dxfId="3935" priority="3678">
      <formula>$U911="PENDIENTE"</formula>
    </cfRule>
    <cfRule type="expression" dxfId="3934" priority="3680">
      <formula>$U911="EMITIDA"</formula>
    </cfRule>
    <cfRule type="expression" dxfId="3933" priority="3681">
      <formula>$U911="NO CORRESPONDE"</formula>
    </cfRule>
    <cfRule type="expression" dxfId="3932" priority="3686">
      <formula>$J911="En blanco"</formula>
    </cfRule>
    <cfRule type="expression" dxfId="3931" priority="3687">
      <formula>$J911="Anulada"</formula>
    </cfRule>
  </conditionalFormatting>
  <conditionalFormatting sqref="U913">
    <cfRule type="expression" dxfId="3930" priority="3724">
      <formula>$U913="PENDIENTE"</formula>
    </cfRule>
    <cfRule type="expression" dxfId="3929" priority="3726">
      <formula>$U913="EMITIDA"</formula>
    </cfRule>
    <cfRule type="expression" dxfId="3928" priority="3727">
      <formula>$U913="NO CORRESPONDE"</formula>
    </cfRule>
    <cfRule type="expression" dxfId="3927" priority="3730">
      <formula>$U913="PENDIENTE"</formula>
    </cfRule>
    <cfRule type="expression" dxfId="3926" priority="3732">
      <formula>$U913="EMITIDA"</formula>
    </cfRule>
    <cfRule type="expression" dxfId="3925" priority="3733">
      <formula>$U913="NO CORRESPONDE"</formula>
    </cfRule>
    <cfRule type="expression" dxfId="3924" priority="3738">
      <formula>$J913="En blanco"</formula>
    </cfRule>
    <cfRule type="expression" dxfId="3923" priority="3739">
      <formula>$J913="Anulada"</formula>
    </cfRule>
  </conditionalFormatting>
  <conditionalFormatting sqref="U932 X932 Z932:AB932 AD932">
    <cfRule type="containsText" dxfId="3922" priority="2980" operator="containsText" text="PENDIENTE">
      <formula>NOT(ISERROR(SEARCH("PENDIENTE",U932)))</formula>
    </cfRule>
  </conditionalFormatting>
  <conditionalFormatting sqref="U959 X959 Z959:AB959 AD959">
    <cfRule type="containsText" dxfId="3921" priority="2684" operator="containsText" text="PENDIENTE">
      <formula>NOT(ISERROR(SEARCH("PENDIENTE",U959)))</formula>
    </cfRule>
  </conditionalFormatting>
  <conditionalFormatting sqref="U959">
    <cfRule type="expression" dxfId="3920" priority="2706">
      <formula>$U959="PENDIENTE"</formula>
    </cfRule>
    <cfRule type="expression" dxfId="3919" priority="2707">
      <formula>$U959="EMITIDA"</formula>
    </cfRule>
    <cfRule type="expression" dxfId="3918" priority="2708">
      <formula>$U959="NO CORRESPONDE"</formula>
    </cfRule>
    <cfRule type="expression" dxfId="3917" priority="2709">
      <formula>$U959="PENDIENTE"</formula>
    </cfRule>
    <cfRule type="expression" dxfId="3916" priority="2710">
      <formula>$U959="EMITIDA"</formula>
    </cfRule>
    <cfRule type="expression" dxfId="3915" priority="2711">
      <formula>$U959="NO CORRESPONDE"</formula>
    </cfRule>
  </conditionalFormatting>
  <conditionalFormatting sqref="U964 X964 Z964:AB964 AD964">
    <cfRule type="containsText" dxfId="3914" priority="2417" operator="containsText" text="PENDIENTE">
      <formula>NOT(ISERROR(SEARCH("PENDIENTE",U964)))</formula>
    </cfRule>
  </conditionalFormatting>
  <conditionalFormatting sqref="U964">
    <cfRule type="expression" dxfId="3913" priority="2439">
      <formula>$U964="PENDIENTE"</formula>
    </cfRule>
    <cfRule type="expression" dxfId="3912" priority="2440">
      <formula>$U964="EMITIDA"</formula>
    </cfRule>
    <cfRule type="expression" dxfId="3911" priority="2441">
      <formula>$U964="NO CORRESPONDE"</formula>
    </cfRule>
    <cfRule type="expression" dxfId="3910" priority="2442">
      <formula>$U964="PENDIENTE"</formula>
    </cfRule>
    <cfRule type="expression" dxfId="3909" priority="2443">
      <formula>$U964="EMITIDA"</formula>
    </cfRule>
    <cfRule type="expression" dxfId="3908" priority="2444">
      <formula>$U964="NO CORRESPONDE"</formula>
    </cfRule>
  </conditionalFormatting>
  <conditionalFormatting sqref="U978:U982 X978:X982 Z978:AB978 AD978:AD982 AD984:AD985 Z985:AB985 X984:X985 U984:U985 Z982:AB982">
    <cfRule type="containsText" dxfId="3907" priority="2786" operator="containsText" text="PENDIENTE">
      <formula>NOT(ISERROR(SEARCH("PENDIENTE",U978)))</formula>
    </cfRule>
  </conditionalFormatting>
  <conditionalFormatting sqref="U978:U982">
    <cfRule type="expression" dxfId="3906" priority="2810">
      <formula>$U978="PENDIENTE"</formula>
    </cfRule>
    <cfRule type="expression" dxfId="3905" priority="2811">
      <formula>$U978="EMITIDA"</formula>
    </cfRule>
    <cfRule type="expression" dxfId="3904" priority="2812">
      <formula>$U978="NO CORRESPONDE"</formula>
    </cfRule>
    <cfRule type="expression" dxfId="3903" priority="2813">
      <formula>$U978="PENDIENTE"</formula>
    </cfRule>
    <cfRule type="expression" dxfId="3902" priority="2814">
      <formula>$U978="EMITIDA"</formula>
    </cfRule>
    <cfRule type="expression" dxfId="3901" priority="2815">
      <formula>$U978="NO CORRESPONDE"</formula>
    </cfRule>
  </conditionalFormatting>
  <conditionalFormatting sqref="U991 X991 Z991:AB991 AD991">
    <cfRule type="containsText" dxfId="3900" priority="2474" operator="containsText" text="PENDIENTE">
      <formula>NOT(ISERROR(SEARCH("PENDIENTE",U991)))</formula>
    </cfRule>
  </conditionalFormatting>
  <conditionalFormatting sqref="U991">
    <cfRule type="expression" dxfId="3899" priority="2490">
      <formula>$U991="PENDIENTE"</formula>
    </cfRule>
    <cfRule type="expression" dxfId="3898" priority="2491">
      <formula>$U991="EMITIDA"</formula>
    </cfRule>
    <cfRule type="expression" dxfId="3897" priority="2492">
      <formula>$U991="NO CORRESPONDE"</formula>
    </cfRule>
    <cfRule type="expression" dxfId="3896" priority="2493">
      <formula>$U991="PENDIENTE"</formula>
    </cfRule>
    <cfRule type="expression" dxfId="3895" priority="2494">
      <formula>$U991="EMITIDA"</formula>
    </cfRule>
    <cfRule type="expression" dxfId="3894" priority="2495">
      <formula>$U991="NO CORRESPONDE"</formula>
    </cfRule>
  </conditionalFormatting>
  <conditionalFormatting sqref="U1017 X1017 Z1017:AB1017 AD1017">
    <cfRule type="containsText" dxfId="3893" priority="1952" operator="containsText" text="PENDIENTE">
      <formula>NOT(ISERROR(SEARCH("PENDIENTE",U1017)))</formula>
    </cfRule>
  </conditionalFormatting>
  <conditionalFormatting sqref="U1017">
    <cfRule type="expression" dxfId="3892" priority="1976">
      <formula>$U1017="PENDIENTE"</formula>
    </cfRule>
    <cfRule type="expression" dxfId="3891" priority="1977">
      <formula>$U1017="EMITIDA"</formula>
    </cfRule>
    <cfRule type="expression" dxfId="3890" priority="1978">
      <formula>$U1017="NO CORRESPONDE"</formula>
    </cfRule>
    <cfRule type="expression" dxfId="3889" priority="1979">
      <formula>$U1017="PENDIENTE"</formula>
    </cfRule>
    <cfRule type="expression" dxfId="3888" priority="1980">
      <formula>$U1017="EMITIDA"</formula>
    </cfRule>
    <cfRule type="expression" dxfId="3887" priority="1981">
      <formula>$U1017="NO CORRESPONDE"</formula>
    </cfRule>
  </conditionalFormatting>
  <conditionalFormatting sqref="U1019 X1019 Z1019:AB1019 AD1019">
    <cfRule type="containsText" dxfId="3886" priority="2125" operator="containsText" text="PENDIENTE">
      <formula>NOT(ISERROR(SEARCH("PENDIENTE",U1019)))</formula>
    </cfRule>
  </conditionalFormatting>
  <conditionalFormatting sqref="U1024 X1024 Z1024:AB1024 AD1024">
    <cfRule type="containsText" dxfId="3885" priority="2040" operator="containsText" text="PENDIENTE">
      <formula>NOT(ISERROR(SEARCH("PENDIENTE",U1024)))</formula>
    </cfRule>
  </conditionalFormatting>
  <conditionalFormatting sqref="U1024">
    <cfRule type="expression" dxfId="3884" priority="2066">
      <formula>$U1024="PENDIENTE"</formula>
    </cfRule>
    <cfRule type="expression" dxfId="3883" priority="2067">
      <formula>$U1024="EMITIDA"</formula>
    </cfRule>
    <cfRule type="expression" dxfId="3882" priority="2068">
      <formula>$U1024="NO CORRESPONDE"</formula>
    </cfRule>
    <cfRule type="expression" dxfId="3881" priority="2069">
      <formula>$U1024="PENDIENTE"</formula>
    </cfRule>
    <cfRule type="expression" dxfId="3880" priority="2070">
      <formula>$U1024="EMITIDA"</formula>
    </cfRule>
    <cfRule type="expression" dxfId="3879" priority="2071">
      <formula>$U1024="NO CORRESPONDE"</formula>
    </cfRule>
  </conditionalFormatting>
  <conditionalFormatting sqref="U1036 X1036 Z1036:AB1036 AD1036">
    <cfRule type="containsText" dxfId="3878" priority="1995" operator="containsText" text="PENDIENTE">
      <formula>NOT(ISERROR(SEARCH("PENDIENTE",U1036)))</formula>
    </cfRule>
  </conditionalFormatting>
  <conditionalFormatting sqref="U1036">
    <cfRule type="expression" dxfId="3877" priority="2021">
      <formula>$U1036="PENDIENTE"</formula>
    </cfRule>
    <cfRule type="expression" dxfId="3876" priority="2022">
      <formula>$U1036="EMITIDA"</formula>
    </cfRule>
    <cfRule type="expression" dxfId="3875" priority="2023">
      <formula>$U1036="NO CORRESPONDE"</formula>
    </cfRule>
    <cfRule type="expression" dxfId="3874" priority="2024">
      <formula>$U1036="PENDIENTE"</formula>
    </cfRule>
    <cfRule type="expression" dxfId="3873" priority="2025">
      <formula>$U1036="EMITIDA"</formula>
    </cfRule>
    <cfRule type="expression" dxfId="3872" priority="2026">
      <formula>$U1036="NO CORRESPONDE"</formula>
    </cfRule>
  </conditionalFormatting>
  <conditionalFormatting sqref="U1079 X1079 Z1079:AB1079 AD1079">
    <cfRule type="containsText" dxfId="3871" priority="1552" operator="containsText" text="PENDIENTE">
      <formula>NOT(ISERROR(SEARCH("PENDIENTE",U1079)))</formula>
    </cfRule>
  </conditionalFormatting>
  <conditionalFormatting sqref="U1079">
    <cfRule type="expression" dxfId="3870" priority="1572">
      <formula>$U1079="PENDIENTE"</formula>
    </cfRule>
    <cfRule type="expression" dxfId="3869" priority="1573">
      <formula>$U1079="EMITIDA"</formula>
    </cfRule>
    <cfRule type="expression" dxfId="3868" priority="1574">
      <formula>$U1079="NO CORRESPONDE"</formula>
    </cfRule>
    <cfRule type="expression" dxfId="3867" priority="1575">
      <formula>$U1079="PENDIENTE"</formula>
    </cfRule>
    <cfRule type="expression" dxfId="3866" priority="1576">
      <formula>$U1079="EMITIDA"</formula>
    </cfRule>
    <cfRule type="expression" dxfId="3865" priority="1577">
      <formula>$U1079="NO CORRESPONDE"</formula>
    </cfRule>
  </conditionalFormatting>
  <conditionalFormatting sqref="U1098 X1098 Z1098:AB1098 AD1098">
    <cfRule type="containsText" dxfId="3864" priority="1358" operator="containsText" text="PENDIENTE">
      <formula>NOT(ISERROR(SEARCH("PENDIENTE",U1098)))</formula>
    </cfRule>
  </conditionalFormatting>
  <conditionalFormatting sqref="U1098">
    <cfRule type="expression" dxfId="3863" priority="1378">
      <formula>$U1098="PENDIENTE"</formula>
    </cfRule>
    <cfRule type="expression" dxfId="3862" priority="1379">
      <formula>$U1098="EMITIDA"</formula>
    </cfRule>
    <cfRule type="expression" dxfId="3861" priority="1380">
      <formula>$U1098="NO CORRESPONDE"</formula>
    </cfRule>
    <cfRule type="expression" dxfId="3860" priority="1381">
      <formula>$U1098="PENDIENTE"</formula>
    </cfRule>
    <cfRule type="expression" dxfId="3859" priority="1382">
      <formula>$U1098="EMITIDA"</formula>
    </cfRule>
    <cfRule type="expression" dxfId="3858" priority="1383">
      <formula>$U1098="NO CORRESPONDE"</formula>
    </cfRule>
  </conditionalFormatting>
  <conditionalFormatting sqref="U1240 X1240 Z1240:AB1240 AD1240">
    <cfRule type="containsText" dxfId="3857" priority="877" operator="containsText" text="PENDIENTE">
      <formula>NOT(ISERROR(SEARCH("PENDIENTE",U1240)))</formula>
    </cfRule>
  </conditionalFormatting>
  <conditionalFormatting sqref="U1240">
    <cfRule type="expression" dxfId="3856" priority="897">
      <formula>$U1240="PENDIENTE"</formula>
    </cfRule>
    <cfRule type="expression" dxfId="3855" priority="898">
      <formula>$U1240="EMITIDA"</formula>
    </cfRule>
    <cfRule type="expression" dxfId="3854" priority="899">
      <formula>$U1240="NO CORRESPONDE"</formula>
    </cfRule>
    <cfRule type="expression" dxfId="3853" priority="900">
      <formula>$U1240="PENDIENTE"</formula>
    </cfRule>
    <cfRule type="expression" dxfId="3852" priority="901">
      <formula>$U1240="EMITIDA"</formula>
    </cfRule>
    <cfRule type="expression" dxfId="3851" priority="902">
      <formula>$U1240="NO CORRESPONDE"</formula>
    </cfRule>
    <cfRule type="expression" dxfId="3850" priority="910">
      <formula>$J1240="En blanco"</formula>
    </cfRule>
  </conditionalFormatting>
  <conditionalFormatting sqref="U1256 X1256 Z1256:AB1256 AD1256">
    <cfRule type="containsText" dxfId="3849" priority="805" operator="containsText" text="PENDIENTE">
      <formula>NOT(ISERROR(SEARCH("PENDIENTE",U1256)))</formula>
    </cfRule>
  </conditionalFormatting>
  <conditionalFormatting sqref="U1256">
    <cfRule type="expression" dxfId="3848" priority="825">
      <formula>$U1256="PENDIENTE"</formula>
    </cfRule>
    <cfRule type="expression" dxfId="3847" priority="826">
      <formula>$U1256="EMITIDA"</formula>
    </cfRule>
    <cfRule type="expression" dxfId="3846" priority="827">
      <formula>$U1256="NO CORRESPONDE"</formula>
    </cfRule>
    <cfRule type="expression" dxfId="3845" priority="828">
      <formula>$U1256="PENDIENTE"</formula>
    </cfRule>
    <cfRule type="expression" dxfId="3844" priority="829">
      <formula>$U1256="EMITIDA"</formula>
    </cfRule>
    <cfRule type="expression" dxfId="3843" priority="830">
      <formula>$U1256="NO CORRESPONDE"</formula>
    </cfRule>
    <cfRule type="expression" dxfId="3842" priority="838">
      <formula>$J1256="En blanco"</formula>
    </cfRule>
  </conditionalFormatting>
  <conditionalFormatting sqref="U1294 X1294 Z1294:AB1294 AD1294">
    <cfRule type="containsText" dxfId="3841" priority="716" operator="containsText" text="PENDIENTE">
      <formula>NOT(ISERROR(SEARCH("PENDIENTE",U1294)))</formula>
    </cfRule>
  </conditionalFormatting>
  <conditionalFormatting sqref="U1294">
    <cfRule type="expression" dxfId="3840" priority="736">
      <formula>$U1294="PENDIENTE"</formula>
    </cfRule>
    <cfRule type="expression" dxfId="3839" priority="737">
      <formula>$U1294="EMITIDA"</formula>
    </cfRule>
    <cfRule type="expression" dxfId="3838" priority="738">
      <formula>$U1294="NO CORRESPONDE"</formula>
    </cfRule>
    <cfRule type="expression" dxfId="3837" priority="739">
      <formula>$U1294="PENDIENTE"</formula>
    </cfRule>
    <cfRule type="expression" dxfId="3836" priority="740">
      <formula>$U1294="EMITIDA"</formula>
    </cfRule>
    <cfRule type="expression" dxfId="3835" priority="741">
      <formula>$U1294="NO CORRESPONDE"</formula>
    </cfRule>
    <cfRule type="expression" dxfId="3834" priority="749">
      <formula>$J1294="En blanco"</formula>
    </cfRule>
  </conditionalFormatting>
  <conditionalFormatting sqref="U1297 X1297 Z1297:AB1297 AD1297">
    <cfRule type="containsText" dxfId="3833" priority="667" operator="containsText" text="PENDIENTE">
      <formula>NOT(ISERROR(SEARCH("PENDIENTE",U1297)))</formula>
    </cfRule>
  </conditionalFormatting>
  <conditionalFormatting sqref="U1297">
    <cfRule type="expression" dxfId="3832" priority="687">
      <formula>$U1297="PENDIENTE"</formula>
    </cfRule>
    <cfRule type="expression" dxfId="3831" priority="688">
      <formula>$U1297="EMITIDA"</formula>
    </cfRule>
    <cfRule type="expression" dxfId="3830" priority="689">
      <formula>$U1297="NO CORRESPONDE"</formula>
    </cfRule>
    <cfRule type="expression" dxfId="3829" priority="690">
      <formula>$U1297="PENDIENTE"</formula>
    </cfRule>
    <cfRule type="expression" dxfId="3828" priority="691">
      <formula>$U1297="EMITIDA"</formula>
    </cfRule>
    <cfRule type="expression" dxfId="3827" priority="692">
      <formula>$U1297="NO CORRESPONDE"</formula>
    </cfRule>
    <cfRule type="expression" dxfId="3826" priority="700">
      <formula>$J1297="En blanco"</formula>
    </cfRule>
  </conditionalFormatting>
  <conditionalFormatting sqref="U1352 X1352 Z1352:AB1352 AD1352">
    <cfRule type="containsText" dxfId="3825" priority="583" operator="containsText" text="PENDIENTE">
      <formula>NOT(ISERROR(SEARCH("PENDIENTE",U1352)))</formula>
    </cfRule>
  </conditionalFormatting>
  <conditionalFormatting sqref="U1352">
    <cfRule type="expression" dxfId="3824" priority="603">
      <formula>$U1352="PENDIENTE"</formula>
    </cfRule>
    <cfRule type="expression" dxfId="3823" priority="604">
      <formula>$U1352="EMITIDA"</formula>
    </cfRule>
    <cfRule type="expression" dxfId="3822" priority="605">
      <formula>$U1352="NO CORRESPONDE"</formula>
    </cfRule>
    <cfRule type="expression" dxfId="3821" priority="606">
      <formula>$U1352="PENDIENTE"</formula>
    </cfRule>
    <cfRule type="expression" dxfId="3820" priority="607">
      <formula>$U1352="EMITIDA"</formula>
    </cfRule>
    <cfRule type="expression" dxfId="3819" priority="608">
      <formula>$U1352="NO CORRESPONDE"</formula>
    </cfRule>
    <cfRule type="expression" dxfId="3818" priority="616">
      <formula>$J1352="En blanco"</formula>
    </cfRule>
  </conditionalFormatting>
  <conditionalFormatting sqref="U1371 X1371 Z1371:AB1371 AD1371">
    <cfRule type="containsText" dxfId="3817" priority="403" operator="containsText" text="PENDIENTE">
      <formula>NOT(ISERROR(SEARCH("PENDIENTE",U1371)))</formula>
    </cfRule>
  </conditionalFormatting>
  <conditionalFormatting sqref="U1371">
    <cfRule type="expression" dxfId="3816" priority="423">
      <formula>$U1371="PENDIENTE"</formula>
    </cfRule>
    <cfRule type="expression" dxfId="3815" priority="424">
      <formula>$U1371="EMITIDA"</formula>
    </cfRule>
    <cfRule type="expression" dxfId="3814" priority="425">
      <formula>$U1371="NO CORRESPONDE"</formula>
    </cfRule>
    <cfRule type="expression" dxfId="3813" priority="426">
      <formula>$U1371="PENDIENTE"</formula>
    </cfRule>
    <cfRule type="expression" dxfId="3812" priority="427">
      <formula>$U1371="EMITIDA"</formula>
    </cfRule>
    <cfRule type="expression" dxfId="3811" priority="428">
      <formula>$U1371="NO CORRESPONDE"</formula>
    </cfRule>
    <cfRule type="expression" dxfId="3810" priority="436">
      <formula>$J1371="En blanco"</formula>
    </cfRule>
  </conditionalFormatting>
  <conditionalFormatting sqref="U1373 X1373 Z1373:AB1373 AD1373">
    <cfRule type="containsText" dxfId="3809" priority="456" operator="containsText" text="PENDIENTE">
      <formula>NOT(ISERROR(SEARCH("PENDIENTE",U1373)))</formula>
    </cfRule>
  </conditionalFormatting>
  <conditionalFormatting sqref="U1373">
    <cfRule type="expression" dxfId="3808" priority="476">
      <formula>$U1373="PENDIENTE"</formula>
    </cfRule>
    <cfRule type="expression" dxfId="3807" priority="477">
      <formula>$U1373="EMITIDA"</formula>
    </cfRule>
    <cfRule type="expression" dxfId="3806" priority="478">
      <formula>$U1373="NO CORRESPONDE"</formula>
    </cfRule>
    <cfRule type="expression" dxfId="3805" priority="479">
      <formula>$U1373="PENDIENTE"</formula>
    </cfRule>
    <cfRule type="expression" dxfId="3804" priority="480">
      <formula>$U1373="EMITIDA"</formula>
    </cfRule>
    <cfRule type="expression" dxfId="3803" priority="481">
      <formula>$U1373="NO CORRESPONDE"</formula>
    </cfRule>
    <cfRule type="expression" dxfId="3802" priority="489">
      <formula>$J1373="En blanco"</formula>
    </cfRule>
  </conditionalFormatting>
  <conditionalFormatting sqref="U1394 X1394 Z1394:AB1394 AD1394">
    <cfRule type="containsText" dxfId="3801" priority="326" operator="containsText" text="PENDIENTE">
      <formula>NOT(ISERROR(SEARCH("PENDIENTE",U1394)))</formula>
    </cfRule>
  </conditionalFormatting>
  <conditionalFormatting sqref="U1394">
    <cfRule type="expression" dxfId="3800" priority="346">
      <formula>$U1394="PENDIENTE"</formula>
    </cfRule>
    <cfRule type="expression" dxfId="3799" priority="347">
      <formula>$U1394="EMITIDA"</formula>
    </cfRule>
    <cfRule type="expression" dxfId="3798" priority="348">
      <formula>$U1394="NO CORRESPONDE"</formula>
    </cfRule>
    <cfRule type="expression" dxfId="3797" priority="349">
      <formula>$U1394="PENDIENTE"</formula>
    </cfRule>
    <cfRule type="expression" dxfId="3796" priority="350">
      <formula>$U1394="EMITIDA"</formula>
    </cfRule>
    <cfRule type="expression" dxfId="3795" priority="351">
      <formula>$U1394="NO CORRESPONDE"</formula>
    </cfRule>
    <cfRule type="expression" dxfId="3794" priority="359">
      <formula>$J1394="En blanco"</formula>
    </cfRule>
  </conditionalFormatting>
  <conditionalFormatting sqref="U1436:U1437 X1436:X1437 Z1436:AB1437 AD1436:AD1437">
    <cfRule type="containsText" dxfId="3793" priority="264" operator="containsText" text="PENDIENTE">
      <formula>NOT(ISERROR(SEARCH("PENDIENTE",U1436)))</formula>
    </cfRule>
  </conditionalFormatting>
  <conditionalFormatting sqref="U1436:U1437">
    <cfRule type="expression" dxfId="3792" priority="284">
      <formula>$U1436="PENDIENTE"</formula>
    </cfRule>
    <cfRule type="expression" dxfId="3791" priority="285">
      <formula>$U1436="EMITIDA"</formula>
    </cfRule>
    <cfRule type="expression" dxfId="3790" priority="286">
      <formula>$U1436="NO CORRESPONDE"</formula>
    </cfRule>
    <cfRule type="expression" dxfId="3789" priority="287">
      <formula>$U1436="PENDIENTE"</formula>
    </cfRule>
    <cfRule type="expression" dxfId="3788" priority="288">
      <formula>$U1436="EMITIDA"</formula>
    </cfRule>
    <cfRule type="expression" dxfId="3787" priority="289">
      <formula>$U1436="NO CORRESPONDE"</formula>
    </cfRule>
    <cfRule type="expression" dxfId="3786" priority="297">
      <formula>$J1436="En blanco"</formula>
    </cfRule>
  </conditionalFormatting>
  <conditionalFormatting sqref="U1443 X1443 Z1443:AB1443 AD1443">
    <cfRule type="containsText" dxfId="3785" priority="202" operator="containsText" text="PENDIENTE">
      <formula>NOT(ISERROR(SEARCH("PENDIENTE",U1443)))</formula>
    </cfRule>
  </conditionalFormatting>
  <conditionalFormatting sqref="U1443">
    <cfRule type="expression" dxfId="3784" priority="222">
      <formula>$U1443="PENDIENTE"</formula>
    </cfRule>
    <cfRule type="expression" dxfId="3783" priority="223">
      <formula>$U1443="EMITIDA"</formula>
    </cfRule>
    <cfRule type="expression" dxfId="3782" priority="224">
      <formula>$U1443="NO CORRESPONDE"</formula>
    </cfRule>
    <cfRule type="expression" dxfId="3781" priority="225">
      <formula>$U1443="PENDIENTE"</formula>
    </cfRule>
    <cfRule type="expression" dxfId="3780" priority="226">
      <formula>$U1443="EMITIDA"</formula>
    </cfRule>
    <cfRule type="expression" dxfId="3779" priority="227">
      <formula>$U1443="NO CORRESPONDE"</formula>
    </cfRule>
    <cfRule type="expression" dxfId="3778" priority="235">
      <formula>$J1443="En blanco"</formula>
    </cfRule>
  </conditionalFormatting>
  <conditionalFormatting sqref="U1447 X1447 Z1447:AB1447 AD1447">
    <cfRule type="containsText" dxfId="3777" priority="12" operator="containsText" text="PENDIENTE">
      <formula>NOT(ISERROR(SEARCH("PENDIENTE",U1447)))</formula>
    </cfRule>
  </conditionalFormatting>
  <conditionalFormatting sqref="U1447">
    <cfRule type="expression" dxfId="3776" priority="32">
      <formula>$U1447="PENDIENTE"</formula>
    </cfRule>
    <cfRule type="expression" dxfId="3775" priority="33">
      <formula>$U1447="EMITIDA"</formula>
    </cfRule>
    <cfRule type="expression" dxfId="3774" priority="34">
      <formula>$U1447="NO CORRESPONDE"</formula>
    </cfRule>
    <cfRule type="expression" dxfId="3773" priority="35">
      <formula>$U1447="PENDIENTE"</formula>
    </cfRule>
    <cfRule type="expression" dxfId="3772" priority="36">
      <formula>$U1447="EMITIDA"</formula>
    </cfRule>
    <cfRule type="expression" dxfId="3771" priority="37">
      <formula>$U1447="NO CORRESPONDE"</formula>
    </cfRule>
    <cfRule type="expression" dxfId="3770" priority="45">
      <formula>$J1447="En blanco"</formula>
    </cfRule>
  </conditionalFormatting>
  <conditionalFormatting sqref="U780:V780 U783:V783 X780 AG780:AR780 X783 AG783:AR783 A780:H780 J780:M780 A783:H783 J783:M783 A293:A294 C565:C568">
    <cfRule type="cellIs" dxfId="3769" priority="6882" operator="equal">
      <formula>"NO CORRESPONDE"</formula>
    </cfRule>
  </conditionalFormatting>
  <conditionalFormatting sqref="U780:V780 U783:V783 X780 AG780:AR780 X783 AG783:AR783 A780:H780 J780:M780 A783:H783 J783:M783 G992:G1454 A293:A294 C565:C568">
    <cfRule type="cellIs" dxfId="3768" priority="6881" operator="equal">
      <formula>"ENVIADO"</formula>
    </cfRule>
  </conditionalFormatting>
  <conditionalFormatting sqref="U282:X285 Z282:AD285 AG282:AR285 A283:Q283">
    <cfRule type="cellIs" dxfId="3767" priority="6559" operator="equal">
      <formula>"ENVIADO"</formula>
    </cfRule>
  </conditionalFormatting>
  <conditionalFormatting sqref="W7">
    <cfRule type="cellIs" dxfId="3766" priority="7800" operator="equal">
      <formula>"ENVIADO"</formula>
    </cfRule>
    <cfRule type="expression" dxfId="3765" priority="7801">
      <formula>$J7="Anulada"</formula>
    </cfRule>
    <cfRule type="expression" dxfId="3764" priority="7802">
      <formula>$J7="En blanco"</formula>
    </cfRule>
    <cfRule type="cellIs" dxfId="3763" priority="7803" operator="equal">
      <formula>"NO CORRESPONDE"</formula>
    </cfRule>
  </conditionalFormatting>
  <conditionalFormatting sqref="W8:W31 W159:W208 W236:W246 W284:W286 W288 W290:W295 W323:W337 W401 W131:W153 W248:W256 W214:W227 W281:W282 W862:W878 W880:W910 W914:W937 W1019 W258:W279 W297:W309 W471:W752 W410 W754:W860 W422:W430 A1:AR1">
    <cfRule type="expression" dxfId="3762" priority="11080">
      <formula>$J1="Anulada"</formula>
    </cfRule>
    <cfRule type="expression" dxfId="3761" priority="11087">
      <formula>$J1="En blanco"</formula>
    </cfRule>
  </conditionalFormatting>
  <conditionalFormatting sqref="W32">
    <cfRule type="expression" dxfId="3760" priority="5985">
      <formula>$J32="Anulada"</formula>
    </cfRule>
    <cfRule type="expression" dxfId="3759" priority="5986">
      <formula>$J32="En blanco"</formula>
    </cfRule>
  </conditionalFormatting>
  <conditionalFormatting sqref="W33:W90 W92:W129 W131:W153 W155:W157 W159:W163 W165:W195 W197:W208 W210 W212 W214:W216 W218:W227 W241:W242 W258:W259 W282 W284:W286 W288 W290:W295 W297:W298 W300:W309 W311:W321 W323:W327 W331:W336 W339:W346 W348:W354 W356:W359 W361:W366 W368:W378 W380:W397 W399:W407 W409 W411:W412 W414:W415 W418:W420 W422:W429 W431:W445 W447:W451 W453:W467 W469:W470 W472:W484 W486:W494 W496:W538 W540:W547 W549:W558 W560:W595 W597:W620 W622:W633 W635:W674 W810:W857 W859:W918 W920:W937 W992:W1001 W1003:W1010 W1012:W1029 W1031:W1041 W1:W31 W1456:W1048576">
    <cfRule type="expression" dxfId="3758" priority="15470">
      <formula>$W1="NO CORRESPONDE"</formula>
    </cfRule>
  </conditionalFormatting>
  <conditionalFormatting sqref="W33:W90 W92:W129 W131:W153 W155:W157 W159:W163 W165:W195 W197:W208 W210 W212 W214:W216 W218:W227 W241:W242 W258:W259 W282 W284:W286 W288 W290:W295 W297:W298 W300:W309 W311:W321 W323:W327 W331:W336 W339:W346 W348:W354 W356:W359 W361:W366 W368:W378 W380:W397 W399:W407 W409 W411:W412 W414:W415 W418:W420 W431:W445 W447:W451 W453:W467 W469:W470 W472:W484 W486:W494 W496:W538 W540:W547 W549:W558 W560:W595 W597:W620 W622:W633 W635:W674 W810:W857 W859:W918 W920:W937 W992:W1001 W1003:W1010 W422:W429 W1012:W1029 W1031:W1041 W1:W31 W1456:W1048576">
    <cfRule type="expression" dxfId="3757" priority="15467">
      <formula>$W1="EMITIDA"</formula>
    </cfRule>
  </conditionalFormatting>
  <conditionalFormatting sqref="W33:W91">
    <cfRule type="expression" dxfId="3756" priority="6029">
      <formula>$J33="Anulada"</formula>
    </cfRule>
    <cfRule type="expression" dxfId="3755" priority="6030">
      <formula>$J33="En blanco"</formula>
    </cfRule>
  </conditionalFormatting>
  <conditionalFormatting sqref="W92:W130">
    <cfRule type="expression" dxfId="3754" priority="6073">
      <formula>$J92="Anulada"</formula>
    </cfRule>
    <cfRule type="expression" dxfId="3753" priority="6074">
      <formula>$J92="En blanco"</formula>
    </cfRule>
  </conditionalFormatting>
  <conditionalFormatting sqref="W131:W153 W159:W163 W165:W195 W197:W208 W214:W216 W218:W227 W282 W284:W286 W288 W290:W295 W323:W327 W331:W336 W399:W407 W859:W918 W297:W298 W300:W309 W472:W484 W486:W494 W496:W538 W540:W547 W549:W558 W560:W595 W597:W620 W622:W633 W635:W674 W810:W857 W311:W321 W210 W212 W155:W157 W92:W129 W33:W90 W339:W346 W348:W354 W356:W359 W361:W366 W368:W378 W380:W397 W409 W411:W412 W414:W415 W418:W420 W431:W445 W447:W451 W453:W467 W469:W470 W992:W1001 W1003:W1010 W422:W429 W1012:W1029 W1031:W1041 W234 W258:W271 W273:W278 W248:W256 W236:W246 W229:W230 W793:W797 W799:W808 W920:W950 W971:W977 W986 W960:W963 W988:W990 W952:W958 W965:W969 W1:W31 W1456:W1048576">
    <cfRule type="expression" dxfId="3752" priority="15435">
      <formula>$W1="PENDIENTE"</formula>
    </cfRule>
  </conditionalFormatting>
  <conditionalFormatting sqref="W131:W153">
    <cfRule type="containsText" dxfId="3751" priority="7617" operator="containsText" text="PENDIENTE">
      <formula>NOT(ISERROR(SEARCH("PENDIENTE",W131)))</formula>
    </cfRule>
  </conditionalFormatting>
  <conditionalFormatting sqref="W154:W157">
    <cfRule type="expression" dxfId="3750" priority="6161">
      <formula>$J154="Anulada"</formula>
    </cfRule>
    <cfRule type="expression" dxfId="3749" priority="6162">
      <formula>$J154="En blanco"</formula>
    </cfRule>
  </conditionalFormatting>
  <conditionalFormatting sqref="W158">
    <cfRule type="expression" dxfId="3748" priority="6117">
      <formula>$J158="Anulada"</formula>
    </cfRule>
    <cfRule type="expression" dxfId="3747" priority="6118">
      <formula>$J158="En blanco"</formula>
    </cfRule>
  </conditionalFormatting>
  <conditionalFormatting sqref="W159:W208 AE155:AF157 U241:U242 W241:X242 Z241:AB242 AD241:AE242 AG241:AP242 W286 W288 W290:W295 W401 AD282:AP282 AD284:AP285 AD258:AE259 AF232:AF234 AF236:AF242 AF229:AF230 AF214:AF227 AF210 AF212 AF159:AF208 AE131:AF153 AF323:AF337 W323:W337">
    <cfRule type="containsText" dxfId="3746" priority="7804" operator="containsText" text="PENDIENTE">
      <formula>NOT(ISERROR(SEARCH("PENDIENTE",U131)))</formula>
    </cfRule>
  </conditionalFormatting>
  <conditionalFormatting sqref="W196">
    <cfRule type="containsText" dxfId="3745" priority="7434" operator="containsText" text="PENDIENTE">
      <formula>NOT(ISERROR(SEARCH("PENDIENTE",W196)))</formula>
    </cfRule>
  </conditionalFormatting>
  <conditionalFormatting sqref="W209">
    <cfRule type="expression" dxfId="3744" priority="6205">
      <formula>$J209="Anulada"</formula>
    </cfRule>
    <cfRule type="expression" dxfId="3743" priority="6206">
      <formula>$J209="En blanco"</formula>
    </cfRule>
  </conditionalFormatting>
  <conditionalFormatting sqref="W210:W212">
    <cfRule type="expression" dxfId="3742" priority="6293">
      <formula>$J210="Anulada"</formula>
    </cfRule>
    <cfRule type="expression" dxfId="3741" priority="6294">
      <formula>$J210="En blanco"</formula>
    </cfRule>
  </conditionalFormatting>
  <conditionalFormatting sqref="W213">
    <cfRule type="expression" dxfId="3740" priority="6249">
      <formula>$J213="Anulada"</formula>
    </cfRule>
    <cfRule type="expression" dxfId="3739" priority="6250">
      <formula>$J213="En blanco"</formula>
    </cfRule>
  </conditionalFormatting>
  <conditionalFormatting sqref="W214:W227">
    <cfRule type="containsText" dxfId="3738" priority="6920" operator="containsText" text="PENDIENTE">
      <formula>NOT(ISERROR(SEARCH("PENDIENTE",W214)))</formula>
    </cfRule>
  </conditionalFormatting>
  <conditionalFormatting sqref="W217">
    <cfRule type="cellIs" dxfId="3737" priority="6918" operator="equal">
      <formula>"ENVIADO"</formula>
    </cfRule>
    <cfRule type="cellIs" dxfId="3736" priority="6919" operator="equal">
      <formula>"NO CORRESPONDE"</formula>
    </cfRule>
  </conditionalFormatting>
  <conditionalFormatting sqref="W228">
    <cfRule type="expression" dxfId="3735" priority="6337">
      <formula>$J228="Anulada"</formula>
    </cfRule>
    <cfRule type="expression" dxfId="3734" priority="6338">
      <formula>$J228="En blanco"</formula>
    </cfRule>
  </conditionalFormatting>
  <conditionalFormatting sqref="W229:W230 W232 W234 W236:W240 W243:W246 W248:W256 W260:W271 W273:W278 W793:W797 W799:W808 W938:W950 W986 W971:W977 W960:W963 W988:W990 W952:W958 W965:W969">
    <cfRule type="expression" dxfId="3733" priority="7371">
      <formula>$W229="EMITIDA"</formula>
    </cfRule>
    <cfRule type="expression" dxfId="3732" priority="7372">
      <formula>$W229="NO CORRESPONDE"</formula>
    </cfRule>
  </conditionalFormatting>
  <conditionalFormatting sqref="W229:W231">
    <cfRule type="expression" dxfId="3731" priority="6381">
      <formula>$J229="Anulada"</formula>
    </cfRule>
    <cfRule type="expression" dxfId="3730" priority="6382">
      <formula>$J229="En blanco"</formula>
    </cfRule>
  </conditionalFormatting>
  <conditionalFormatting sqref="W232">
    <cfRule type="expression" dxfId="3729" priority="7370">
      <formula>$W232="PENDIENTE"</formula>
    </cfRule>
  </conditionalFormatting>
  <conditionalFormatting sqref="W232:W234 W272 W279 W297:W309">
    <cfRule type="containsText" dxfId="3728" priority="6914" operator="containsText" text="PENDIENTE">
      <formula>NOT(ISERROR(SEARCH("PENDIENTE",W232)))</formula>
    </cfRule>
  </conditionalFormatting>
  <conditionalFormatting sqref="W232:W234">
    <cfRule type="expression" dxfId="3727" priority="6916">
      <formula>$J232="Anulada"</formula>
    </cfRule>
    <cfRule type="expression" dxfId="3726" priority="6917">
      <formula>$J232="En blanco"</formula>
    </cfRule>
  </conditionalFormatting>
  <conditionalFormatting sqref="W233 W272 W279">
    <cfRule type="cellIs" dxfId="3725" priority="6912" operator="equal">
      <formula>"ENVIADO"</formula>
    </cfRule>
    <cfRule type="cellIs" dxfId="3724" priority="6913" operator="equal">
      <formula>"NO CORRESPONDE"</formula>
    </cfRule>
  </conditionalFormatting>
  <conditionalFormatting sqref="W235">
    <cfRule type="expression" dxfId="3723" priority="6425">
      <formula>$J235="Anulada"</formula>
    </cfRule>
    <cfRule type="expression" dxfId="3722" priority="6426">
      <formula>$J235="En blanco"</formula>
    </cfRule>
  </conditionalFormatting>
  <conditionalFormatting sqref="W247">
    <cfRule type="expression" dxfId="3721" priority="6469">
      <formula>$J247="Anulada"</formula>
    </cfRule>
    <cfRule type="expression" dxfId="3720" priority="6470">
      <formula>$J247="En blanco"</formula>
    </cfRule>
  </conditionalFormatting>
  <conditionalFormatting sqref="W257">
    <cfRule type="expression" dxfId="3719" priority="6513">
      <formula>$J257="Anulada"</formula>
    </cfRule>
    <cfRule type="expression" dxfId="3718" priority="6514">
      <formula>$J257="En blanco"</formula>
    </cfRule>
  </conditionalFormatting>
  <conditionalFormatting sqref="W260:W271 W273:W278">
    <cfRule type="containsText" dxfId="3717" priority="6910" operator="containsText" text="PENDIENTE">
      <formula>NOT(ISERROR(SEARCH("PENDIENTE",W260)))</formula>
    </cfRule>
  </conditionalFormatting>
  <conditionalFormatting sqref="W280">
    <cfRule type="expression" dxfId="3716" priority="6553">
      <formula>$J280="Anulada"</formula>
    </cfRule>
    <cfRule type="expression" dxfId="3715" priority="6554">
      <formula>$J280="En blanco"</formula>
    </cfRule>
  </conditionalFormatting>
  <conditionalFormatting sqref="W281">
    <cfRule type="expression" dxfId="3714" priority="6897">
      <formula>$W281="PENDIENTE"</formula>
    </cfRule>
    <cfRule type="expression" dxfId="3713" priority="6898">
      <formula>$W281="EMITIDA"</formula>
    </cfRule>
    <cfRule type="expression" dxfId="3712" priority="6899">
      <formula>$W281="NO CORRESPONDE"</formula>
    </cfRule>
  </conditionalFormatting>
  <conditionalFormatting sqref="W283">
    <cfRule type="expression" dxfId="3711" priority="6593">
      <formula>$J283="Anulada"</formula>
    </cfRule>
    <cfRule type="expression" dxfId="3710" priority="6594">
      <formula>$J283="En blanco"</formula>
    </cfRule>
  </conditionalFormatting>
  <conditionalFormatting sqref="W287">
    <cfRule type="expression" dxfId="3709" priority="6633">
      <formula>$J287="Anulada"</formula>
    </cfRule>
    <cfRule type="expression" dxfId="3708" priority="6634">
      <formula>$J287="En blanco"</formula>
    </cfRule>
  </conditionalFormatting>
  <conditionalFormatting sqref="W289">
    <cfRule type="expression" dxfId="3707" priority="6672">
      <formula>$J289="Anulada"</formula>
    </cfRule>
    <cfRule type="expression" dxfId="3706" priority="6673">
      <formula>$J289="En blanco"</formula>
    </cfRule>
  </conditionalFormatting>
  <conditionalFormatting sqref="W296">
    <cfRule type="expression" dxfId="3705" priority="6793">
      <formula>$J296="Anulada"</formula>
    </cfRule>
    <cfRule type="expression" dxfId="3704" priority="6794">
      <formula>$J296="En blanco"</formula>
    </cfRule>
  </conditionalFormatting>
  <conditionalFormatting sqref="W310:W321">
    <cfRule type="expression" dxfId="3703" priority="6711">
      <formula>$J310="Anulada"</formula>
    </cfRule>
    <cfRule type="expression" dxfId="3702" priority="6712">
      <formula>$J310="En blanco"</formula>
    </cfRule>
  </conditionalFormatting>
  <conditionalFormatting sqref="W322">
    <cfRule type="cellIs" dxfId="3701" priority="5850" operator="equal">
      <formula>"ENVIADO"</formula>
    </cfRule>
    <cfRule type="cellIs" dxfId="3700" priority="5851" operator="equal">
      <formula>"NO CORRESPONDE"</formula>
    </cfRule>
    <cfRule type="containsText" dxfId="3699" priority="5852" operator="containsText" text="PENDIENTE">
      <formula>NOT(ISERROR(SEARCH("PENDIENTE",W322)))</formula>
    </cfRule>
    <cfRule type="expression" dxfId="3698" priority="5853">
      <formula>$J322="Anulada"</formula>
    </cfRule>
    <cfRule type="expression" dxfId="3697" priority="5854">
      <formula>$J322="En blanco"</formula>
    </cfRule>
  </conditionalFormatting>
  <conditionalFormatting sqref="W338">
    <cfRule type="cellIs" dxfId="3696" priority="5866" operator="equal">
      <formula>"ENVIADO"</formula>
    </cfRule>
    <cfRule type="cellIs" dxfId="3695" priority="5867" operator="equal">
      <formula>"NO CORRESPONDE"</formula>
    </cfRule>
  </conditionalFormatting>
  <conditionalFormatting sqref="W338:W354">
    <cfRule type="containsText" dxfId="3694" priority="5868" operator="containsText" text="PENDIENTE">
      <formula>NOT(ISERROR(SEARCH("PENDIENTE",W338)))</formula>
    </cfRule>
    <cfRule type="expression" dxfId="3693" priority="5869">
      <formula>$J338="Anulada"</formula>
    </cfRule>
    <cfRule type="expression" dxfId="3692" priority="5870">
      <formula>$J338="En blanco"</formula>
    </cfRule>
  </conditionalFormatting>
  <conditionalFormatting sqref="W347">
    <cfRule type="cellIs" dxfId="3691" priority="5860" operator="equal">
      <formula>"ENVIADO"</formula>
    </cfRule>
    <cfRule type="cellIs" dxfId="3690" priority="5861" operator="equal">
      <formula>"NO CORRESPONDE"</formula>
    </cfRule>
  </conditionalFormatting>
  <conditionalFormatting sqref="W355">
    <cfRule type="expression" dxfId="3689" priority="5817">
      <formula>$J355="Anulada"</formula>
    </cfRule>
    <cfRule type="expression" dxfId="3688" priority="5818">
      <formula>$J355="En blanco"</formula>
    </cfRule>
  </conditionalFormatting>
  <conditionalFormatting sqref="W356">
    <cfRule type="containsText" dxfId="3687" priority="5646" operator="containsText" text="PENDIENTE">
      <formula>NOT(ISERROR(SEARCH("PENDIENTE",W356)))</formula>
    </cfRule>
    <cfRule type="expression" dxfId="3686" priority="5647">
      <formula>$J356="Anulada"</formula>
    </cfRule>
    <cfRule type="expression" dxfId="3685" priority="5648">
      <formula>$J356="En blanco"</formula>
    </cfRule>
  </conditionalFormatting>
  <conditionalFormatting sqref="W357:W400">
    <cfRule type="expression" dxfId="3684" priority="5777">
      <formula>$J357="Anulada"</formula>
    </cfRule>
    <cfRule type="expression" dxfId="3683" priority="5778">
      <formula>$J357="En blanco"</formula>
    </cfRule>
  </conditionalFormatting>
  <conditionalFormatting sqref="W360 W398 W410 W430 W471">
    <cfRule type="cellIs" dxfId="3682" priority="5734" operator="equal">
      <formula>"ENVIADO"</formula>
    </cfRule>
    <cfRule type="cellIs" dxfId="3681" priority="5735" operator="equal">
      <formula>"NO CORRESPONDE"</formula>
    </cfRule>
  </conditionalFormatting>
  <conditionalFormatting sqref="W401 W286 W288 W290:W295 W297:W305">
    <cfRule type="cellIs" dxfId="3680" priority="6888" operator="equal">
      <formula>"ENVIADO"</formula>
    </cfRule>
    <cfRule type="cellIs" dxfId="3679" priority="6889" operator="equal">
      <formula>"NO CORRESPONDE"</formula>
    </cfRule>
  </conditionalFormatting>
  <conditionalFormatting sqref="W401">
    <cfRule type="cellIs" dxfId="3678" priority="5641" operator="equal">
      <formula>"ENVIADO"</formula>
    </cfRule>
    <cfRule type="cellIs" dxfId="3677" priority="5642" operator="equal">
      <formula>"NO CORRESPONDE"</formula>
    </cfRule>
  </conditionalFormatting>
  <conditionalFormatting sqref="W401:W407">
    <cfRule type="containsText" dxfId="3676" priority="5643" operator="containsText" text="PENDIENTE">
      <formula>NOT(ISERROR(SEARCH("PENDIENTE",W401)))</formula>
    </cfRule>
    <cfRule type="expression" dxfId="3675" priority="5644">
      <formula>$J401="Anulada"</formula>
    </cfRule>
    <cfRule type="expression" dxfId="3674" priority="5645">
      <formula>$J401="En blanco"</formula>
    </cfRule>
  </conditionalFormatting>
  <conditionalFormatting sqref="W408:W409">
    <cfRule type="expression" dxfId="3673" priority="5631">
      <formula>$J408="Anulada"</formula>
    </cfRule>
    <cfRule type="expression" dxfId="3672" priority="5632">
      <formula>$J408="En blanco"</formula>
    </cfRule>
  </conditionalFormatting>
  <conditionalFormatting sqref="W411:W415">
    <cfRule type="expression" dxfId="3671" priority="5592">
      <formula>$J411="Anulada"</formula>
    </cfRule>
    <cfRule type="expression" dxfId="3670" priority="5593">
      <formula>$J411="En blanco"</formula>
    </cfRule>
  </conditionalFormatting>
  <conditionalFormatting sqref="W416:W420">
    <cfRule type="expression" dxfId="3669" priority="5508">
      <formula>$J416="Anulada"</formula>
    </cfRule>
    <cfRule type="expression" dxfId="3668" priority="5509">
      <formula>$J416="En blanco"</formula>
    </cfRule>
  </conditionalFormatting>
  <conditionalFormatting sqref="W421">
    <cfRule type="expression" dxfId="3667" priority="2190">
      <formula>$J421="Anulada"</formula>
    </cfRule>
    <cfRule type="expression" dxfId="3666" priority="2191">
      <formula>$J421="En blanco"</formula>
    </cfRule>
  </conditionalFormatting>
  <conditionalFormatting sqref="W431:W467">
    <cfRule type="expression" dxfId="3665" priority="5464">
      <formula>$J431="Anulada"</formula>
    </cfRule>
    <cfRule type="expression" dxfId="3664" priority="5465">
      <formula>$J431="En blanco"</formula>
    </cfRule>
  </conditionalFormatting>
  <conditionalFormatting sqref="W468:W470">
    <cfRule type="expression" dxfId="3663" priority="5424">
      <formula>$J468="Anulada"</formula>
    </cfRule>
    <cfRule type="expression" dxfId="3662" priority="5425">
      <formula>$J468="En blanco"</formula>
    </cfRule>
  </conditionalFormatting>
  <conditionalFormatting sqref="W485">
    <cfRule type="cellIs" dxfId="3661" priority="5336" operator="equal">
      <formula>"ENVIADO"</formula>
    </cfRule>
    <cfRule type="cellIs" dxfId="3660" priority="5337" operator="equal">
      <formula>"NO CORRESPONDE"</formula>
    </cfRule>
  </conditionalFormatting>
  <conditionalFormatting sqref="W495 W539 W548 W559 W596 W621 W634 W686 W691 W733 W753 W779 W792 W798 W809 W858">
    <cfRule type="cellIs" dxfId="3659" priority="5327" operator="equal">
      <formula>"ENVIADO"</formula>
    </cfRule>
    <cfRule type="cellIs" dxfId="3658" priority="5328" operator="equal">
      <formula>"NO CORRESPONDE"</formula>
    </cfRule>
  </conditionalFormatting>
  <conditionalFormatting sqref="W675:W676 W743 W745">
    <cfRule type="cellIs" dxfId="3657" priority="4491" operator="equal">
      <formula>"ENVIADO"</formula>
    </cfRule>
  </conditionalFormatting>
  <conditionalFormatting sqref="W677:W685 W687:W690 W692:W732 W746:W752 W780:W791 W984:W985">
    <cfRule type="expression" dxfId="3656" priority="4485">
      <formula>$W677="PENDIENTE"</formula>
    </cfRule>
    <cfRule type="expression" dxfId="3655" priority="4486">
      <formula>$W677="EMITIDA"</formula>
    </cfRule>
    <cfRule type="expression" dxfId="3654" priority="4487">
      <formula>$W677="NO CORRESPONDE"</formula>
    </cfRule>
  </conditionalFormatting>
  <conditionalFormatting sqref="W734:W744">
    <cfRule type="expression" dxfId="3653" priority="4112">
      <formula>$W734="PENDIENTE"</formula>
    </cfRule>
    <cfRule type="expression" dxfId="3652" priority="4113">
      <formula>$W734="EMITIDA"</formula>
    </cfRule>
    <cfRule type="expression" dxfId="3651" priority="4114">
      <formula>$W734="NO CORRESPONDE"</formula>
    </cfRule>
  </conditionalFormatting>
  <conditionalFormatting sqref="W743 W675:W676 W745">
    <cfRule type="cellIs" dxfId="3650" priority="4492" operator="equal">
      <formula>"NO CORRESPONDE"</formula>
    </cfRule>
  </conditionalFormatting>
  <conditionalFormatting sqref="W753">
    <cfRule type="expression" dxfId="3649" priority="5343">
      <formula>$J753="Anulada"</formula>
    </cfRule>
    <cfRule type="expression" dxfId="3648" priority="5344">
      <formula>$J753="En blanco"</formula>
    </cfRule>
  </conditionalFormatting>
  <conditionalFormatting sqref="W753:W782">
    <cfRule type="containsText" dxfId="3647" priority="5342" operator="containsText" text="PENDIENTE">
      <formula>NOT(ISERROR(SEARCH("PENDIENTE",W753)))</formula>
    </cfRule>
  </conditionalFormatting>
  <conditionalFormatting sqref="W754:W778">
    <cfRule type="expression" dxfId="3646" priority="4349">
      <formula>$W754="PENDIENTE"</formula>
    </cfRule>
    <cfRule type="expression" dxfId="3645" priority="4350">
      <formula>$W754="EMITIDA"</formula>
    </cfRule>
    <cfRule type="expression" dxfId="3644" priority="4351">
      <formula>$W754="NO CORRESPONDE"</formula>
    </cfRule>
  </conditionalFormatting>
  <conditionalFormatting sqref="W861">
    <cfRule type="expression" dxfId="3643" priority="3993">
      <formula>$J861="Anulada"</formula>
    </cfRule>
    <cfRule type="expression" dxfId="3642" priority="3994">
      <formula>$J861="En blanco"</formula>
    </cfRule>
  </conditionalFormatting>
  <conditionalFormatting sqref="W879">
    <cfRule type="expression" dxfId="3641" priority="3792">
      <formula>$J879="Anulada"</formula>
    </cfRule>
    <cfRule type="expression" dxfId="3640" priority="3793">
      <formula>$J879="En blanco"</formula>
    </cfRule>
  </conditionalFormatting>
  <conditionalFormatting sqref="W911:W913">
    <cfRule type="expression" dxfId="3639" priority="3691">
      <formula>$J911="Anulada"</formula>
    </cfRule>
    <cfRule type="expression" dxfId="3638" priority="3692">
      <formula>$J911="En blanco"</formula>
    </cfRule>
  </conditionalFormatting>
  <conditionalFormatting sqref="W919">
    <cfRule type="expression" dxfId="3637" priority="3697">
      <formula>$W919="PENDIENTE"</formula>
    </cfRule>
    <cfRule type="expression" dxfId="3636" priority="3698">
      <formula>$W919="EMITIDA"</formula>
    </cfRule>
    <cfRule type="expression" dxfId="3635" priority="3699">
      <formula>$W919="NO CORRESPONDE"</formula>
    </cfRule>
  </conditionalFormatting>
  <conditionalFormatting sqref="W938:W950">
    <cfRule type="expression" dxfId="3634" priority="2817">
      <formula>$J938="En blanco"</formula>
    </cfRule>
  </conditionalFormatting>
  <conditionalFormatting sqref="W938:W964">
    <cfRule type="expression" dxfId="3633" priority="2405">
      <formula>$J938="Anulada"</formula>
    </cfRule>
  </conditionalFormatting>
  <conditionalFormatting sqref="W951 W1011 W1002">
    <cfRule type="expression" dxfId="3632" priority="2579">
      <formula>$J951="En blanco"</formula>
    </cfRule>
    <cfRule type="expression" dxfId="3631" priority="2580">
      <formula>$W951="PENDIENTE"</formula>
    </cfRule>
    <cfRule type="expression" dxfId="3630" priority="2581">
      <formula>$W951="EMITIDA"</formula>
    </cfRule>
    <cfRule type="expression" dxfId="3629" priority="2582">
      <formula>$W951="NO CORRESPONDE"</formula>
    </cfRule>
  </conditionalFormatting>
  <conditionalFormatting sqref="W959">
    <cfRule type="expression" dxfId="3628" priority="2713">
      <formula>$J959="En blanco"</formula>
    </cfRule>
    <cfRule type="expression" dxfId="3627" priority="2714">
      <formula>$W959="PENDIENTE"</formula>
    </cfRule>
    <cfRule type="expression" dxfId="3626" priority="2715">
      <formula>$W959="EMITIDA"</formula>
    </cfRule>
    <cfRule type="expression" dxfId="3625" priority="2716">
      <formula>$W959="NO CORRESPONDE"</formula>
    </cfRule>
  </conditionalFormatting>
  <conditionalFormatting sqref="W964">
    <cfRule type="expression" dxfId="3624" priority="2445">
      <formula>$J964="En blanco"</formula>
    </cfRule>
    <cfRule type="expression" dxfId="3623" priority="2446">
      <formula>$W964="PENDIENTE"</formula>
    </cfRule>
    <cfRule type="expression" dxfId="3622" priority="2447">
      <formula>$W964="EMITIDA"</formula>
    </cfRule>
    <cfRule type="expression" dxfId="3621" priority="2448">
      <formula>$W964="NO CORRESPONDE"</formula>
    </cfRule>
  </conditionalFormatting>
  <conditionalFormatting sqref="W965:W982">
    <cfRule type="expression" dxfId="3620" priority="2816">
      <formula>$J965="Anulada"</formula>
    </cfRule>
  </conditionalFormatting>
  <conditionalFormatting sqref="W970">
    <cfRule type="expression" dxfId="3619" priority="2772">
      <formula>$W970="PENDIENTE"</formula>
    </cfRule>
    <cfRule type="expression" dxfId="3618" priority="2773">
      <formula>$W970="EMITIDA"</formula>
    </cfRule>
    <cfRule type="expression" dxfId="3617" priority="2774">
      <formula>$W970="NO CORRESPONDE"</formula>
    </cfRule>
  </conditionalFormatting>
  <conditionalFormatting sqref="W978:W982">
    <cfRule type="expression" dxfId="3616" priority="2818">
      <formula>$W978="PENDIENTE"</formula>
    </cfRule>
    <cfRule type="expression" dxfId="3615" priority="2819">
      <formula>$W978="EMITIDA"</formula>
    </cfRule>
    <cfRule type="expression" dxfId="3614" priority="2820">
      <formula>$W978="NO CORRESPONDE"</formula>
    </cfRule>
  </conditionalFormatting>
  <conditionalFormatting sqref="W983">
    <cfRule type="expression" dxfId="3613" priority="2570">
      <formula>$J983="En blanco"</formula>
    </cfRule>
    <cfRule type="expression" dxfId="3612" priority="2571">
      <formula>$W983="PENDIENTE"</formula>
    </cfRule>
    <cfRule type="expression" dxfId="3611" priority="2572">
      <formula>$W983="EMITIDA"</formula>
    </cfRule>
    <cfRule type="expression" dxfId="3610" priority="2573">
      <formula>$W983="NO CORRESPONDE"</formula>
    </cfRule>
  </conditionalFormatting>
  <conditionalFormatting sqref="W987">
    <cfRule type="expression" dxfId="3609" priority="1488">
      <formula>$W987="PENDIENTE"</formula>
    </cfRule>
    <cfRule type="expression" dxfId="3608" priority="1489">
      <formula>$W987="EMITIDA"</formula>
    </cfRule>
    <cfRule type="expression" dxfId="3607" priority="1490">
      <formula>$W987="NO CORRESPONDE"</formula>
    </cfRule>
  </conditionalFormatting>
  <conditionalFormatting sqref="W991">
    <cfRule type="expression" dxfId="3606" priority="2496">
      <formula>$W991="PENDIENTE"</formula>
    </cfRule>
    <cfRule type="expression" dxfId="3605" priority="2497">
      <formula>$W991="EMITIDA"</formula>
    </cfRule>
    <cfRule type="expression" dxfId="3604" priority="2498">
      <formula>$W991="NO CORRESPONDE"</formula>
    </cfRule>
  </conditionalFormatting>
  <conditionalFormatting sqref="W1017">
    <cfRule type="expression" dxfId="3603" priority="1982">
      <formula>$J1017="Anulada"</formula>
    </cfRule>
    <cfRule type="expression" dxfId="3602" priority="1983">
      <formula>$J1017="En blanco"</formula>
    </cfRule>
  </conditionalFormatting>
  <conditionalFormatting sqref="W1024">
    <cfRule type="expression" dxfId="3601" priority="2072">
      <formula>$J1024="Anulada"</formula>
    </cfRule>
    <cfRule type="expression" dxfId="3600" priority="2073">
      <formula>$J1024="En blanco"</formula>
    </cfRule>
  </conditionalFormatting>
  <conditionalFormatting sqref="W1030">
    <cfRule type="expression" dxfId="3599" priority="1933">
      <formula>$J1030="En blanco"</formula>
    </cfRule>
    <cfRule type="expression" dxfId="3598" priority="1934">
      <formula>$W1030="PENDIENTE"</formula>
    </cfRule>
    <cfRule type="expression" dxfId="3597" priority="1935">
      <formula>$W1030="EMITIDA"</formula>
    </cfRule>
    <cfRule type="expression" dxfId="3596" priority="1936">
      <formula>$W1030="NO CORRESPONDE"</formula>
    </cfRule>
  </conditionalFormatting>
  <conditionalFormatting sqref="W1036">
    <cfRule type="expression" dxfId="3595" priority="2027">
      <formula>$J1036="Anulada"</formula>
    </cfRule>
    <cfRule type="expression" dxfId="3594" priority="2028">
      <formula>$J1036="En blanco"</formula>
    </cfRule>
  </conditionalFormatting>
  <conditionalFormatting sqref="W1042:W1045 W1047:W1054 W1056:W1076 W1078 W1080:W1097 W1099:W1114 W1192:W1204 W1116:W1190 W1206:W1239 W1241:W1243 W1245:W1255 W1257:W1274 W1276:W1293 W1295:W1296 W1298:W1339 W1341:W1351 W1354:W1365 W1367:W1370 W1372 W1374:W1393 W1395:W1435 W1438:W1442 W1444:W1446 W1448:W1454">
    <cfRule type="expression" dxfId="3593" priority="1917">
      <formula>$J1042="En blanco"</formula>
    </cfRule>
    <cfRule type="expression" dxfId="3592" priority="1918">
      <formula>$W1042="PENDIENTE"</formula>
    </cfRule>
    <cfRule type="expression" dxfId="3591" priority="1919">
      <formula>$W1042="EMITIDA"</formula>
    </cfRule>
    <cfRule type="expression" dxfId="3590" priority="1920">
      <formula>$W1042="NO CORRESPONDE"</formula>
    </cfRule>
    <cfRule type="expression" dxfId="3589" priority="1924">
      <formula>$J1042="Anulada"</formula>
    </cfRule>
  </conditionalFormatting>
  <conditionalFormatting sqref="W1042:W1045 Y1042 W1047:W1054 W1056:W1076 Y1056 Y1078 W1078 Y1080 Y1054 Y1063 Y1085 Y1075:Y1076 Y1091 W1080:W1097 Y1096:Y1097 W1099:W1114 Y1116 Y1060 Y1094 Y1105:Y1109 Y1065:Y1067 W1192:W1204 W1116:W1190 Y1082:Y1083 Y1103 W1245:W1255 Y1253:Y1255 W1257:W1274 W1276:W1293 Y1111:Y1112 W1295:W1296 W1298:W1339 W1341:W1351 W1354:W1365 W1367:W1370 W1372 Y1372 Y1295:Y1296 Y1342:Y1348 Y1350:Y1351 Y1298:Y1339 Y1368:Y1370 Y1047:Y1052 Y1099:Y1101 Y1354:Y1365 Y1276:Y1293 Y1118:Y1190 Y1192:Y1204 Y1245:Y1251 Y1257:Y1274">
    <cfRule type="containsText" dxfId="3588" priority="1925" operator="containsText" text="PENDIENTE">
      <formula>NOT(ISERROR(SEARCH("PENDIENTE",W1042)))</formula>
    </cfRule>
  </conditionalFormatting>
  <conditionalFormatting sqref="W1046">
    <cfRule type="expression" dxfId="3587" priority="1867">
      <formula>$J1046="En blanco"</formula>
    </cfRule>
    <cfRule type="expression" dxfId="3586" priority="1868">
      <formula>$W1046="PENDIENTE"</formula>
    </cfRule>
    <cfRule type="expression" dxfId="3585" priority="1869">
      <formula>$W1046="EMITIDA"</formula>
    </cfRule>
    <cfRule type="expression" dxfId="3584" priority="1870">
      <formula>$W1046="NO CORRESPONDE"</formula>
    </cfRule>
  </conditionalFormatting>
  <conditionalFormatting sqref="W1055 Y1055">
    <cfRule type="containsText" dxfId="3583" priority="1790" operator="containsText" text="PENDIENTE">
      <formula>NOT(ISERROR(SEARCH("PENDIENTE",W1055)))</formula>
    </cfRule>
  </conditionalFormatting>
  <conditionalFormatting sqref="W1055">
    <cfRule type="expression" dxfId="3582" priority="1782">
      <formula>$J1055="En blanco"</formula>
    </cfRule>
    <cfRule type="expression" dxfId="3581" priority="1783">
      <formula>$W1055="PENDIENTE"</formula>
    </cfRule>
    <cfRule type="expression" dxfId="3580" priority="1784">
      <formula>$W1055="EMITIDA"</formula>
    </cfRule>
    <cfRule type="expression" dxfId="3579" priority="1785">
      <formula>$W1055="NO CORRESPONDE"</formula>
    </cfRule>
    <cfRule type="expression" dxfId="3578" priority="1789">
      <formula>$J1055="Anulada"</formula>
    </cfRule>
  </conditionalFormatting>
  <conditionalFormatting sqref="W1077 Y1077">
    <cfRule type="containsText" dxfId="3577" priority="1781" operator="containsText" text="PENDIENTE">
      <formula>NOT(ISERROR(SEARCH("PENDIENTE",W1077)))</formula>
    </cfRule>
  </conditionalFormatting>
  <conditionalFormatting sqref="W1077">
    <cfRule type="expression" dxfId="3576" priority="1773">
      <formula>$J1077="En blanco"</formula>
    </cfRule>
    <cfRule type="expression" dxfId="3575" priority="1774">
      <formula>$W1077="PENDIENTE"</formula>
    </cfRule>
    <cfRule type="expression" dxfId="3574" priority="1775">
      <formula>$W1077="EMITIDA"</formula>
    </cfRule>
    <cfRule type="expression" dxfId="3573" priority="1776">
      <formula>$W1077="NO CORRESPONDE"</formula>
    </cfRule>
    <cfRule type="expression" dxfId="3572" priority="1780">
      <formula>$J1077="Anulada"</formula>
    </cfRule>
  </conditionalFormatting>
  <conditionalFormatting sqref="W1079">
    <cfRule type="expression" dxfId="3571" priority="1578">
      <formula>$J1079="Anulada"</formula>
    </cfRule>
    <cfRule type="expression" dxfId="3570" priority="1579">
      <formula>$J1079="En blanco"</formula>
    </cfRule>
    <cfRule type="expression" dxfId="3569" priority="1582">
      <formula>$W1079="PENDIENTE"</formula>
    </cfRule>
    <cfRule type="expression" dxfId="3568" priority="1583">
      <formula>$W1079="EMITIDA"</formula>
    </cfRule>
    <cfRule type="expression" dxfId="3567" priority="1584">
      <formula>$W1079="NO CORRESPONDE"</formula>
    </cfRule>
  </conditionalFormatting>
  <conditionalFormatting sqref="W1098">
    <cfRule type="expression" dxfId="3566" priority="1384">
      <formula>$J1098="Anulada"</formula>
    </cfRule>
    <cfRule type="expression" dxfId="3565" priority="1385">
      <formula>$J1098="En blanco"</formula>
    </cfRule>
    <cfRule type="expression" dxfId="3564" priority="1388">
      <formula>$W1098="PENDIENTE"</formula>
    </cfRule>
    <cfRule type="expression" dxfId="3563" priority="1389">
      <formula>$W1098="EMITIDA"</formula>
    </cfRule>
    <cfRule type="expression" dxfId="3562" priority="1390">
      <formula>$W1098="NO CORRESPONDE"</formula>
    </cfRule>
  </conditionalFormatting>
  <conditionalFormatting sqref="W1115 Y1115">
    <cfRule type="containsText" dxfId="3561" priority="938" operator="containsText" text="PENDIENTE">
      <formula>NOT(ISERROR(SEARCH("PENDIENTE",W1115)))</formula>
    </cfRule>
  </conditionalFormatting>
  <conditionalFormatting sqref="W1115">
    <cfRule type="expression" dxfId="3560" priority="930">
      <formula>$J1115="En blanco"</formula>
    </cfRule>
    <cfRule type="expression" dxfId="3559" priority="931">
      <formula>$W1115="PENDIENTE"</formula>
    </cfRule>
    <cfRule type="expression" dxfId="3558" priority="932">
      <formula>$W1115="EMITIDA"</formula>
    </cfRule>
    <cfRule type="expression" dxfId="3557" priority="933">
      <formula>$W1115="NO CORRESPONDE"</formula>
    </cfRule>
    <cfRule type="expression" dxfId="3556" priority="937">
      <formula>$J1115="Anulada"</formula>
    </cfRule>
  </conditionalFormatting>
  <conditionalFormatting sqref="W1191">
    <cfRule type="expression" dxfId="3555" priority="1105">
      <formula>$J1191="Anulada"</formula>
    </cfRule>
    <cfRule type="expression" dxfId="3554" priority="1106">
      <formula>$J1191="En blanco"</formula>
    </cfRule>
    <cfRule type="expression" dxfId="3553" priority="1109">
      <formula>$W1191="PENDIENTE"</formula>
    </cfRule>
    <cfRule type="expression" dxfId="3552" priority="1110">
      <formula>$W1191="EMITIDA"</formula>
    </cfRule>
    <cfRule type="expression" dxfId="3551" priority="1111">
      <formula>$W1191="NO CORRESPONDE"</formula>
    </cfRule>
  </conditionalFormatting>
  <conditionalFormatting sqref="W1205">
    <cfRule type="expression" dxfId="3550" priority="1048">
      <formula>$J1205="Anulada"</formula>
    </cfRule>
    <cfRule type="expression" dxfId="3549" priority="1049">
      <formula>$J1205="En blanco"</formula>
    </cfRule>
    <cfRule type="expression" dxfId="3548" priority="1052">
      <formula>$W1205="PENDIENTE"</formula>
    </cfRule>
    <cfRule type="expression" dxfId="3547" priority="1053">
      <formula>$W1205="EMITIDA"</formula>
    </cfRule>
    <cfRule type="expression" dxfId="3546" priority="1054">
      <formula>$W1205="NO CORRESPONDE"</formula>
    </cfRule>
  </conditionalFormatting>
  <conditionalFormatting sqref="W1240">
    <cfRule type="expression" dxfId="3545" priority="903">
      <formula>$J1240="Anulada"</formula>
    </cfRule>
    <cfRule type="expression" dxfId="3544" priority="904">
      <formula>$J1240="En blanco"</formula>
    </cfRule>
    <cfRule type="expression" dxfId="3543" priority="907">
      <formula>$W1240="PENDIENTE"</formula>
    </cfRule>
    <cfRule type="expression" dxfId="3542" priority="908">
      <formula>$W1240="EMITIDA"</formula>
    </cfRule>
    <cfRule type="expression" dxfId="3541" priority="909">
      <formula>$W1240="NO CORRESPONDE"</formula>
    </cfRule>
  </conditionalFormatting>
  <conditionalFormatting sqref="W1244 Y1244">
    <cfRule type="containsText" dxfId="3540" priority="929" operator="containsText" text="PENDIENTE">
      <formula>NOT(ISERROR(SEARCH("PENDIENTE",W1244)))</formula>
    </cfRule>
  </conditionalFormatting>
  <conditionalFormatting sqref="W1244">
    <cfRule type="expression" dxfId="3539" priority="921">
      <formula>$J1244="En blanco"</formula>
    </cfRule>
    <cfRule type="expression" dxfId="3538" priority="922">
      <formula>$W1244="PENDIENTE"</formula>
    </cfRule>
    <cfRule type="expression" dxfId="3537" priority="923">
      <formula>$W1244="EMITIDA"</formula>
    </cfRule>
    <cfRule type="expression" dxfId="3536" priority="924">
      <formula>$W1244="NO CORRESPONDE"</formula>
    </cfRule>
    <cfRule type="expression" dxfId="3535" priority="928">
      <formula>$J1244="Anulada"</formula>
    </cfRule>
  </conditionalFormatting>
  <conditionalFormatting sqref="W1256">
    <cfRule type="expression" dxfId="3534" priority="831">
      <formula>$J1256="Anulada"</formula>
    </cfRule>
    <cfRule type="expression" dxfId="3533" priority="832">
      <formula>$J1256="En blanco"</formula>
    </cfRule>
    <cfRule type="expression" dxfId="3532" priority="835">
      <formula>$W1256="PENDIENTE"</formula>
    </cfRule>
    <cfRule type="expression" dxfId="3531" priority="836">
      <formula>$W1256="EMITIDA"</formula>
    </cfRule>
    <cfRule type="expression" dxfId="3530" priority="837">
      <formula>$W1256="NO CORRESPONDE"</formula>
    </cfRule>
  </conditionalFormatting>
  <conditionalFormatting sqref="W1275 Y1275">
    <cfRule type="containsText" dxfId="3529" priority="772" operator="containsText" text="PENDIENTE">
      <formula>NOT(ISERROR(SEARCH("PENDIENTE",W1275)))</formula>
    </cfRule>
  </conditionalFormatting>
  <conditionalFormatting sqref="W1275">
    <cfRule type="expression" dxfId="3528" priority="764">
      <formula>$J1275="En blanco"</formula>
    </cfRule>
    <cfRule type="expression" dxfId="3527" priority="765">
      <formula>$W1275="PENDIENTE"</formula>
    </cfRule>
    <cfRule type="expression" dxfId="3526" priority="766">
      <formula>$W1275="EMITIDA"</formula>
    </cfRule>
    <cfRule type="expression" dxfId="3525" priority="767">
      <formula>$W1275="NO CORRESPONDE"</formula>
    </cfRule>
    <cfRule type="expression" dxfId="3524" priority="771">
      <formula>$J1275="Anulada"</formula>
    </cfRule>
  </conditionalFormatting>
  <conditionalFormatting sqref="W1294">
    <cfRule type="expression" dxfId="3523" priority="742">
      <formula>$J1294="Anulada"</formula>
    </cfRule>
    <cfRule type="expression" dxfId="3522" priority="743">
      <formula>$J1294="En blanco"</formula>
    </cfRule>
    <cfRule type="expression" dxfId="3521" priority="746">
      <formula>$W1294="PENDIENTE"</formula>
    </cfRule>
    <cfRule type="expression" dxfId="3520" priority="747">
      <formula>$W1294="EMITIDA"</formula>
    </cfRule>
    <cfRule type="expression" dxfId="3519" priority="748">
      <formula>$W1294="NO CORRESPONDE"</formula>
    </cfRule>
  </conditionalFormatting>
  <conditionalFormatting sqref="W1297">
    <cfRule type="expression" dxfId="3518" priority="693">
      <formula>$J1297="Anulada"</formula>
    </cfRule>
    <cfRule type="expression" dxfId="3517" priority="694">
      <formula>$J1297="En blanco"</formula>
    </cfRule>
    <cfRule type="expression" dxfId="3516" priority="697">
      <formula>$W1297="PENDIENTE"</formula>
    </cfRule>
    <cfRule type="expression" dxfId="3515" priority="698">
      <formula>$W1297="EMITIDA"</formula>
    </cfRule>
    <cfRule type="expression" dxfId="3514" priority="699">
      <formula>$W1297="NO CORRESPONDE"</formula>
    </cfRule>
  </conditionalFormatting>
  <conditionalFormatting sqref="W1340 Y1340">
    <cfRule type="containsText" dxfId="3513" priority="625" operator="containsText" text="PENDIENTE">
      <formula>NOT(ISERROR(SEARCH("PENDIENTE",W1340)))</formula>
    </cfRule>
  </conditionalFormatting>
  <conditionalFormatting sqref="W1340">
    <cfRule type="expression" dxfId="3512" priority="617">
      <formula>$J1340="En blanco"</formula>
    </cfRule>
    <cfRule type="expression" dxfId="3511" priority="618">
      <formula>$W1340="PENDIENTE"</formula>
    </cfRule>
    <cfRule type="expression" dxfId="3510" priority="619">
      <formula>$W1340="EMITIDA"</formula>
    </cfRule>
    <cfRule type="expression" dxfId="3509" priority="620">
      <formula>$W1340="NO CORRESPONDE"</formula>
    </cfRule>
    <cfRule type="expression" dxfId="3508" priority="624">
      <formula>$J1340="Anulada"</formula>
    </cfRule>
  </conditionalFormatting>
  <conditionalFormatting sqref="W1352">
    <cfRule type="expression" dxfId="3507" priority="609">
      <formula>$J1352="Anulada"</formula>
    </cfRule>
    <cfRule type="expression" dxfId="3506" priority="610">
      <formula>$J1352="En blanco"</formula>
    </cfRule>
    <cfRule type="expression" dxfId="3505" priority="613">
      <formula>$W1352="PENDIENTE"</formula>
    </cfRule>
    <cfRule type="expression" dxfId="3504" priority="614">
      <formula>$W1352="EMITIDA"</formula>
    </cfRule>
    <cfRule type="expression" dxfId="3503" priority="615">
      <formula>$W1352="NO CORRESPONDE"</formula>
    </cfRule>
  </conditionalFormatting>
  <conditionalFormatting sqref="W1353 Y1353">
    <cfRule type="containsText" dxfId="3502" priority="567" operator="containsText" text="PENDIENTE">
      <formula>NOT(ISERROR(SEARCH("PENDIENTE",W1353)))</formula>
    </cfRule>
  </conditionalFormatting>
  <conditionalFormatting sqref="W1353">
    <cfRule type="expression" dxfId="3501" priority="559">
      <formula>$J1353="En blanco"</formula>
    </cfRule>
    <cfRule type="expression" dxfId="3500" priority="560">
      <formula>$W1353="PENDIENTE"</formula>
    </cfRule>
    <cfRule type="expression" dxfId="3499" priority="561">
      <formula>$W1353="EMITIDA"</formula>
    </cfRule>
    <cfRule type="expression" dxfId="3498" priority="562">
      <formula>$W1353="NO CORRESPONDE"</formula>
    </cfRule>
    <cfRule type="expression" dxfId="3497" priority="566">
      <formula>$J1353="Anulada"</formula>
    </cfRule>
  </conditionalFormatting>
  <conditionalFormatting sqref="W1366">
    <cfRule type="expression" dxfId="3496" priority="382">
      <formula>$J1366="En blanco"</formula>
    </cfRule>
    <cfRule type="expression" dxfId="3495" priority="383">
      <formula>$W1366="PENDIENTE"</formula>
    </cfRule>
    <cfRule type="expression" dxfId="3494" priority="384">
      <formula>$W1366="EMITIDA"</formula>
    </cfRule>
    <cfRule type="expression" dxfId="3493" priority="385">
      <formula>$W1366="NO CORRESPONDE"</formula>
    </cfRule>
    <cfRule type="expression" dxfId="3492" priority="386">
      <formula>$J1366="Anulada"</formula>
    </cfRule>
    <cfRule type="containsText" dxfId="3491" priority="387" operator="containsText" text="PENDIENTE">
      <formula>NOT(ISERROR(SEARCH("PENDIENTE",W1366)))</formula>
    </cfRule>
  </conditionalFormatting>
  <conditionalFormatting sqref="W1371">
    <cfRule type="expression" dxfId="3490" priority="429">
      <formula>$J1371="Anulada"</formula>
    </cfRule>
    <cfRule type="expression" dxfId="3489" priority="430">
      <formula>$J1371="En blanco"</formula>
    </cfRule>
    <cfRule type="expression" dxfId="3488" priority="433">
      <formula>$W1371="PENDIENTE"</formula>
    </cfRule>
    <cfRule type="expression" dxfId="3487" priority="434">
      <formula>$W1371="EMITIDA"</formula>
    </cfRule>
    <cfRule type="expression" dxfId="3486" priority="435">
      <formula>$W1371="NO CORRESPONDE"</formula>
    </cfRule>
  </conditionalFormatting>
  <conditionalFormatting sqref="W1373">
    <cfRule type="expression" dxfId="3485" priority="482">
      <formula>$J1373="Anulada"</formula>
    </cfRule>
    <cfRule type="expression" dxfId="3484" priority="483">
      <formula>$J1373="En blanco"</formula>
    </cfRule>
    <cfRule type="expression" dxfId="3483" priority="486">
      <formula>$W1373="PENDIENTE"</formula>
    </cfRule>
    <cfRule type="expression" dxfId="3482" priority="487">
      <formula>$W1373="EMITIDA"</formula>
    </cfRule>
    <cfRule type="expression" dxfId="3481" priority="488">
      <formula>$W1373="NO CORRESPONDE"</formula>
    </cfRule>
  </conditionalFormatting>
  <conditionalFormatting sqref="W1378">
    <cfRule type="containsText" dxfId="3480" priority="310" operator="containsText" text="PENDIENTE">
      <formula>NOT(ISERROR(SEARCH("PENDIENTE",W1378)))</formula>
    </cfRule>
  </conditionalFormatting>
  <conditionalFormatting sqref="W1394">
    <cfRule type="expression" dxfId="3479" priority="352">
      <formula>$J1394="Anulada"</formula>
    </cfRule>
    <cfRule type="expression" dxfId="3478" priority="353">
      <formula>$J1394="En blanco"</formula>
    </cfRule>
    <cfRule type="expression" dxfId="3477" priority="356">
      <formula>$W1394="PENDIENTE"</formula>
    </cfRule>
    <cfRule type="expression" dxfId="3476" priority="357">
      <formula>$W1394="EMITIDA"</formula>
    </cfRule>
    <cfRule type="expression" dxfId="3475" priority="358">
      <formula>$W1394="NO CORRESPONDE"</formula>
    </cfRule>
  </conditionalFormatting>
  <conditionalFormatting sqref="W1411">
    <cfRule type="containsText" dxfId="3474" priority="309" operator="containsText" text="PENDIENTE">
      <formula>NOT(ISERROR(SEARCH("PENDIENTE",W1411)))</formula>
    </cfRule>
  </conditionalFormatting>
  <conditionalFormatting sqref="W1424">
    <cfRule type="containsText" dxfId="3473" priority="299" operator="containsText" text="PENDIENTE">
      <formula>NOT(ISERROR(SEARCH("PENDIENTE",W1424)))</formula>
    </cfRule>
  </conditionalFormatting>
  <conditionalFormatting sqref="W1436:W1437">
    <cfRule type="expression" dxfId="3472" priority="290">
      <formula>$J1436="Anulada"</formula>
    </cfRule>
    <cfRule type="expression" dxfId="3471" priority="291">
      <formula>$J1436="En blanco"</formula>
    </cfRule>
    <cfRule type="expression" dxfId="3470" priority="294">
      <formula>$W1436="PENDIENTE"</formula>
    </cfRule>
    <cfRule type="expression" dxfId="3469" priority="295">
      <formula>$W1436="EMITIDA"</formula>
    </cfRule>
    <cfRule type="expression" dxfId="3468" priority="296">
      <formula>$W1436="NO CORRESPONDE"</formula>
    </cfRule>
  </conditionalFormatting>
  <conditionalFormatting sqref="W1443">
    <cfRule type="expression" dxfId="3467" priority="228">
      <formula>$J1443="Anulada"</formula>
    </cfRule>
    <cfRule type="expression" dxfId="3466" priority="229">
      <formula>$J1443="En blanco"</formula>
    </cfRule>
    <cfRule type="expression" dxfId="3465" priority="232">
      <formula>$W1443="PENDIENTE"</formula>
    </cfRule>
    <cfRule type="expression" dxfId="3464" priority="233">
      <formula>$W1443="EMITIDA"</formula>
    </cfRule>
    <cfRule type="expression" dxfId="3463" priority="234">
      <formula>$W1443="NO CORRESPONDE"</formula>
    </cfRule>
  </conditionalFormatting>
  <conditionalFormatting sqref="W1447">
    <cfRule type="expression" dxfId="3462" priority="38">
      <formula>$J1447="Anulada"</formula>
    </cfRule>
    <cfRule type="expression" dxfId="3461" priority="39">
      <formula>$J1447="En blanco"</formula>
    </cfRule>
    <cfRule type="expression" dxfId="3460" priority="42">
      <formula>$W1447="PENDIENTE"</formula>
    </cfRule>
    <cfRule type="expression" dxfId="3459" priority="43">
      <formula>$W1447="EMITIDA"</formula>
    </cfRule>
    <cfRule type="expression" dxfId="3458" priority="44">
      <formula>$W1447="NO CORRESPONDE"</formula>
    </cfRule>
  </conditionalFormatting>
  <conditionalFormatting sqref="W164:X164 AG164:AP164">
    <cfRule type="containsText" dxfId="3457" priority="7524" operator="containsText" text="PENDIENTE">
      <formula>NOT(ISERROR(SEARCH("PENDIENTE",W164)))</formula>
    </cfRule>
  </conditionalFormatting>
  <conditionalFormatting sqref="W468:X468 AG468:AP468">
    <cfRule type="containsText" dxfId="3456" priority="5412" operator="containsText" text="PENDIENTE">
      <formula>NOT(ISERROR(SEARCH("PENDIENTE",W468)))</formula>
    </cfRule>
  </conditionalFormatting>
  <conditionalFormatting sqref="X2:X6 Z2:AD6 X8:X17 Z8:AD17">
    <cfRule type="containsText" dxfId="3455" priority="7815" operator="containsText" text="PENDIENTE">
      <formula>NOT(ISERROR(SEARCH("PENDIENTE",X2)))</formula>
    </cfRule>
  </conditionalFormatting>
  <conditionalFormatting sqref="X132 AA132 AG132:AP132">
    <cfRule type="containsText" dxfId="3454" priority="7642" operator="containsText" text="PENDIENTE">
      <formula>NOT(ISERROR(SEARCH("PENDIENTE",X132)))</formula>
    </cfRule>
  </conditionalFormatting>
  <conditionalFormatting sqref="X710">
    <cfRule type="cellIs" dxfId="3453" priority="4310" operator="equal">
      <formula>"ENVIADO"</formula>
    </cfRule>
    <cfRule type="cellIs" dxfId="3452" priority="4311" operator="equal">
      <formula>"NO CORRESPONDE"</formula>
    </cfRule>
    <cfRule type="containsText" dxfId="3451" priority="4312" operator="containsText" text="PENDIENTE">
      <formula>NOT(ISERROR(SEARCH("PENDIENTE",X710)))</formula>
    </cfRule>
  </conditionalFormatting>
  <conditionalFormatting sqref="X970 Z970:AB970 AD970">
    <cfRule type="containsText" dxfId="3450" priority="2742" operator="containsText" text="PENDIENTE">
      <formula>NOT(ISERROR(SEARCH("PENDIENTE",X970)))</formula>
    </cfRule>
  </conditionalFormatting>
  <conditionalFormatting sqref="X970 Z970:AD970">
    <cfRule type="cellIs" dxfId="3449" priority="2740" operator="equal">
      <formula>"ENVIADO"</formula>
    </cfRule>
    <cfRule type="cellIs" dxfId="3448" priority="2741" operator="equal">
      <formula>"NO CORRESPONDE"</formula>
    </cfRule>
  </conditionalFormatting>
  <conditionalFormatting sqref="X1001">
    <cfRule type="cellIs" dxfId="3447" priority="1263" operator="equal">
      <formula>"ENVIADO"</formula>
    </cfRule>
    <cfRule type="cellIs" dxfId="3446" priority="1264" operator="equal">
      <formula>"NO CORRESPONDE"</formula>
    </cfRule>
    <cfRule type="containsText" dxfId="3445" priority="1265" operator="containsText" text="PENDIENTE">
      <formula>NOT(ISERROR(SEARCH("PENDIENTE",X1001)))</formula>
    </cfRule>
  </conditionalFormatting>
  <conditionalFormatting sqref="X1034">
    <cfRule type="cellIs" dxfId="3444" priority="1260" operator="equal">
      <formula>"ENVIADO"</formula>
    </cfRule>
    <cfRule type="cellIs" dxfId="3443" priority="1261" operator="equal">
      <formula>"NO CORRESPONDE"</formula>
    </cfRule>
    <cfRule type="containsText" dxfId="3442" priority="1262" operator="containsText" text="PENDIENTE">
      <formula>NOT(ISERROR(SEARCH("PENDIENTE",X1034)))</formula>
    </cfRule>
  </conditionalFormatting>
  <conditionalFormatting sqref="X1045">
    <cfRule type="cellIs" dxfId="3441" priority="1254" operator="equal">
      <formula>"ENVIADO"</formula>
    </cfRule>
    <cfRule type="cellIs" dxfId="3440" priority="1255" operator="equal">
      <formula>"NO CORRESPONDE"</formula>
    </cfRule>
    <cfRule type="containsText" dxfId="3439" priority="1256" operator="containsText" text="PENDIENTE">
      <formula>NOT(ISERROR(SEARCH("PENDIENTE",X1045)))</formula>
    </cfRule>
  </conditionalFormatting>
  <conditionalFormatting sqref="X1064">
    <cfRule type="cellIs" dxfId="3438" priority="1257" operator="equal">
      <formula>"ENVIADO"</formula>
    </cfRule>
    <cfRule type="cellIs" dxfId="3437" priority="1258" operator="equal">
      <formula>"NO CORRESPONDE"</formula>
    </cfRule>
    <cfRule type="containsText" dxfId="3436" priority="1259" operator="containsText" text="PENDIENTE">
      <formula>NOT(ISERROR(SEARCH("PENDIENTE",X1064)))</formula>
    </cfRule>
  </conditionalFormatting>
  <conditionalFormatting sqref="X1079:X1080">
    <cfRule type="cellIs" dxfId="3435" priority="1252" operator="equal">
      <formula>"NO CORRESPONDE"</formula>
    </cfRule>
  </conditionalFormatting>
  <conditionalFormatting sqref="X1080">
    <cfRule type="cellIs" dxfId="3434" priority="1251" operator="equal">
      <formula>"ENVIADO"</formula>
    </cfRule>
    <cfRule type="containsText" dxfId="3433" priority="1253" operator="containsText" text="PENDIENTE">
      <formula>NOT(ISERROR(SEARCH("PENDIENTE",X1080)))</formula>
    </cfRule>
  </conditionalFormatting>
  <conditionalFormatting sqref="X1086">
    <cfRule type="cellIs" dxfId="3432" priority="1248" operator="equal">
      <formula>"ENVIADO"</formula>
    </cfRule>
    <cfRule type="cellIs" dxfId="3431" priority="1249" operator="equal">
      <formula>"NO CORRESPONDE"</formula>
    </cfRule>
    <cfRule type="containsText" dxfId="3430" priority="1250" operator="containsText" text="PENDIENTE">
      <formula>NOT(ISERROR(SEARCH("PENDIENTE",X1086)))</formula>
    </cfRule>
  </conditionalFormatting>
  <conditionalFormatting sqref="X1092">
    <cfRule type="cellIs" dxfId="3429" priority="1245" operator="equal">
      <formula>"ENVIADO"</formula>
    </cfRule>
    <cfRule type="cellIs" dxfId="3428" priority="1246" operator="equal">
      <formula>"NO CORRESPONDE"</formula>
    </cfRule>
    <cfRule type="containsText" dxfId="3427" priority="1247" operator="containsText" text="PENDIENTE">
      <formula>NOT(ISERROR(SEARCH("PENDIENTE",X1092)))</formula>
    </cfRule>
  </conditionalFormatting>
  <conditionalFormatting sqref="X1113">
    <cfRule type="cellIs" dxfId="3426" priority="1242" operator="equal">
      <formula>"ENVIADO"</formula>
    </cfRule>
    <cfRule type="containsText" dxfId="3425" priority="1244" operator="containsText" text="PENDIENTE">
      <formula>NOT(ISERROR(SEARCH("PENDIENTE",X1113)))</formula>
    </cfRule>
  </conditionalFormatting>
  <conditionalFormatting sqref="X1113:X1114">
    <cfRule type="cellIs" dxfId="3424" priority="1240" operator="equal">
      <formula>"NO CORRESPONDE"</formula>
    </cfRule>
  </conditionalFormatting>
  <conditionalFormatting sqref="X1114">
    <cfRule type="cellIs" dxfId="3423" priority="1239" operator="equal">
      <formula>"ENVIADO"</formula>
    </cfRule>
    <cfRule type="containsText" dxfId="3422" priority="1241" operator="containsText" text="PENDIENTE">
      <formula>NOT(ISERROR(SEARCH("PENDIENTE",X1114)))</formula>
    </cfRule>
  </conditionalFormatting>
  <conditionalFormatting sqref="X1191 Z1191:AB1191 AD1191">
    <cfRule type="containsText" dxfId="3421" priority="1079" operator="containsText" text="PENDIENTE">
      <formula>NOT(ISERROR(SEARCH("PENDIENTE",X1191)))</formula>
    </cfRule>
  </conditionalFormatting>
  <conditionalFormatting sqref="X1191 Z1191:AD1191">
    <cfRule type="cellIs" dxfId="3420" priority="1077" operator="equal">
      <formula>"ENVIADO"</formula>
    </cfRule>
    <cfRule type="cellIs" dxfId="3419" priority="1078" operator="equal">
      <formula>"NO CORRESPONDE"</formula>
    </cfRule>
  </conditionalFormatting>
  <conditionalFormatting sqref="X1205 Z1205:AB1205 AD1205">
    <cfRule type="containsText" dxfId="3418" priority="1022" operator="containsText" text="PENDIENTE">
      <formula>NOT(ISERROR(SEARCH("PENDIENTE",X1205)))</formula>
    </cfRule>
  </conditionalFormatting>
  <conditionalFormatting sqref="X1205 Z1205:AD1205">
    <cfRule type="cellIs" dxfId="3417" priority="1020" operator="equal">
      <formula>"ENVIADO"</formula>
    </cfRule>
    <cfRule type="cellIs" dxfId="3416" priority="1021" operator="equal">
      <formula>"NO CORRESPONDE"</formula>
    </cfRule>
  </conditionalFormatting>
  <conditionalFormatting sqref="X1366 Z1366:AB1366 AD1366">
    <cfRule type="containsText" dxfId="3415" priority="509" operator="containsText" text="PENDIENTE">
      <formula>NOT(ISERROR(SEARCH("PENDIENTE",X1366)))</formula>
    </cfRule>
  </conditionalFormatting>
  <conditionalFormatting sqref="X1366 Z1366:AD1366">
    <cfRule type="cellIs" dxfId="3414" priority="507" operator="equal">
      <formula>"ENVIADO"</formula>
    </cfRule>
    <cfRule type="cellIs" dxfId="3413" priority="508" operator="equal">
      <formula>"NO CORRESPONDE"</formula>
    </cfRule>
  </conditionalFormatting>
  <conditionalFormatting sqref="Y2:Y442 A468:B468 E468:H468 J468 W468:X468 AG468:AR468">
    <cfRule type="cellIs" dxfId="3412" priority="5387" operator="equal">
      <formula>"ENVIADO"</formula>
    </cfRule>
  </conditionalFormatting>
  <conditionalFormatting sqref="Y2:Y442">
    <cfRule type="containsText" dxfId="3411" priority="8855" operator="containsText" text="PENDIENTE">
      <formula>NOT(ISERROR(SEARCH("PENDIENTE",Y2)))</formula>
    </cfRule>
    <cfRule type="expression" dxfId="3410" priority="8856">
      <formula>$J2="En blanco"</formula>
    </cfRule>
    <cfRule type="expression" dxfId="3409" priority="8857">
      <formula>$J2="Anulada"</formula>
    </cfRule>
  </conditionalFormatting>
  <conditionalFormatting sqref="Y2:Y1454 C986:C987">
    <cfRule type="cellIs" dxfId="3408" priority="1471" operator="equal">
      <formula>"NO CORRESPONDE"</formula>
    </cfRule>
  </conditionalFormatting>
  <conditionalFormatting sqref="Y443:Y467 Y469:Y1041">
    <cfRule type="expression" dxfId="3407" priority="3795">
      <formula>$J443="Anulada"</formula>
    </cfRule>
    <cfRule type="cellIs" dxfId="3406" priority="3796" operator="equal">
      <formula>"ENVIADO"</formula>
    </cfRule>
  </conditionalFormatting>
  <conditionalFormatting sqref="Y443:Y467">
    <cfRule type="expression" dxfId="3405" priority="3794">
      <formula>$J443="En blanco"</formula>
    </cfRule>
  </conditionalFormatting>
  <conditionalFormatting sqref="Y468">
    <cfRule type="containsText" dxfId="3404" priority="2193" operator="containsText" text="PENDIENTE">
      <formula>NOT(ISERROR(SEARCH("PENDIENTE",Y468)))</formula>
    </cfRule>
    <cfRule type="expression" dxfId="3403" priority="2194">
      <formula>$J468="En blanco"</formula>
    </cfRule>
    <cfRule type="expression" dxfId="3402" priority="2195">
      <formula>$J468="Anulada"</formula>
    </cfRule>
    <cfRule type="cellIs" dxfId="3401" priority="2196" operator="equal">
      <formula>"ENVIADO"</formula>
    </cfRule>
  </conditionalFormatting>
  <conditionalFormatting sqref="Y1042 Y1056 Y1078 Y1080 Y1054 Y1063 Y1085 Y1075:Y1076 Y1091 Y1096:Y1097 Y1116 Y1060 Y1094 Y1105:Y1109 Y1065:Y1067 Y1082:Y1083 Y1103 Y1241:Y1243 Y1111:Y1112 Y1372 Y1295:Y1296 Y1341:Y1351 Y1298:Y1339 Y1367:Y1370 Y1047:Y1052 Y1099:Y1101 Y1354:Y1365 Y1374:Y1393 Y1276:Y1293 Y1118:Y1190 Y1192:Y1204 Y1206:Y1239 Y1245:Y1255 Y1257:Y1274 Y1438:Y1442 Y1395:Y1435 Y1444:Y1446 Y1448:Y1454">
    <cfRule type="expression" dxfId="3400" priority="1921">
      <formula>$J1042="Anulada"</formula>
    </cfRule>
    <cfRule type="cellIs" dxfId="3399" priority="1922" operator="equal">
      <formula>"ENVIADO"</formula>
    </cfRule>
    <cfRule type="expression" dxfId="3398" priority="1923">
      <formula>$J1042="En blanco"</formula>
    </cfRule>
  </conditionalFormatting>
  <conditionalFormatting sqref="Y1043">
    <cfRule type="expression" dxfId="3397" priority="1339">
      <formula>$J1043="Anulada"</formula>
    </cfRule>
    <cfRule type="cellIs" dxfId="3396" priority="1340" operator="equal">
      <formula>"ENVIADO"</formula>
    </cfRule>
    <cfRule type="expression" dxfId="3395" priority="1341">
      <formula>$J1043="En blanco"</formula>
    </cfRule>
    <cfRule type="containsText" dxfId="3394" priority="1342" operator="containsText" text="PENDIENTE">
      <formula>NOT(ISERROR(SEARCH("PENDIENTE",Y1043)))</formula>
    </cfRule>
  </conditionalFormatting>
  <conditionalFormatting sqref="Y1044">
    <cfRule type="expression" dxfId="3393" priority="1428">
      <formula>$J1044="Anulada"</formula>
    </cfRule>
    <cfRule type="cellIs" dxfId="3392" priority="1429" operator="equal">
      <formula>"ENVIADO"</formula>
    </cfRule>
    <cfRule type="expression" dxfId="3391" priority="1430">
      <formula>$J1044="En blanco"</formula>
    </cfRule>
    <cfRule type="containsText" dxfId="3390" priority="1431" operator="containsText" text="PENDIENTE">
      <formula>NOT(ISERROR(SEARCH("PENDIENTE",Y1044)))</formula>
    </cfRule>
  </conditionalFormatting>
  <conditionalFormatting sqref="Y1045">
    <cfRule type="expression" dxfId="3389" priority="1307">
      <formula>$J1045="Anulada"</formula>
    </cfRule>
    <cfRule type="cellIs" dxfId="3388" priority="1308" operator="equal">
      <formula>"ENVIADO"</formula>
    </cfRule>
  </conditionalFormatting>
  <conditionalFormatting sqref="Y1046">
    <cfRule type="expression" dxfId="3387" priority="1871">
      <formula>$J1046="Anulada"</formula>
    </cfRule>
    <cfRule type="cellIs" dxfId="3386" priority="1872" operator="equal">
      <formula>"ENVIADO"</formula>
    </cfRule>
  </conditionalFormatting>
  <conditionalFormatting sqref="Y1053">
    <cfRule type="expression" dxfId="3385" priority="1507">
      <formula>$J1053="Anulada"</formula>
    </cfRule>
    <cfRule type="cellIs" dxfId="3384" priority="1508" operator="equal">
      <formula>"ENVIADO"</formula>
    </cfRule>
    <cfRule type="expression" dxfId="3383" priority="1509">
      <formula>$J1053="En blanco"</formula>
    </cfRule>
    <cfRule type="containsText" dxfId="3382" priority="1510" operator="containsText" text="PENDIENTE">
      <formula>NOT(ISERROR(SEARCH("PENDIENTE",Y1053)))</formula>
    </cfRule>
  </conditionalFormatting>
  <conditionalFormatting sqref="Y1055">
    <cfRule type="expression" dxfId="3381" priority="1786">
      <formula>$J1055="Anulada"</formula>
    </cfRule>
    <cfRule type="cellIs" dxfId="3380" priority="1787" operator="equal">
      <formula>"ENVIADO"</formula>
    </cfRule>
    <cfRule type="expression" dxfId="3379" priority="1788">
      <formula>$J1055="En blanco"</formula>
    </cfRule>
  </conditionalFormatting>
  <conditionalFormatting sqref="Y1057">
    <cfRule type="expression" dxfId="3378" priority="1209">
      <formula>$J1057="Anulada"</formula>
    </cfRule>
    <cfRule type="cellIs" dxfId="3377" priority="1210" operator="equal">
      <formula>"ENVIADO"</formula>
    </cfRule>
    <cfRule type="expression" dxfId="3376" priority="1211">
      <formula>$J1057="En blanco"</formula>
    </cfRule>
    <cfRule type="containsText" dxfId="3375" priority="1212" operator="containsText" text="PENDIENTE">
      <formula>NOT(ISERROR(SEARCH("PENDIENTE",Y1057)))</formula>
    </cfRule>
  </conditionalFormatting>
  <conditionalFormatting sqref="Y1058">
    <cfRule type="expression" dxfId="3374" priority="959">
      <formula>$J1058="Anulada"</formula>
    </cfRule>
    <cfRule type="cellIs" dxfId="3373" priority="960" operator="equal">
      <formula>"ENVIADO"</formula>
    </cfRule>
    <cfRule type="expression" dxfId="3372" priority="961">
      <formula>$J1058="En blanco"</formula>
    </cfRule>
    <cfRule type="containsText" dxfId="3371" priority="962" operator="containsText" text="PENDIENTE">
      <formula>NOT(ISERROR(SEARCH("PENDIENTE",Y1058)))</formula>
    </cfRule>
  </conditionalFormatting>
  <conditionalFormatting sqref="Y1059">
    <cfRule type="expression" dxfId="3370" priority="1335">
      <formula>$J1059="Anulada"</formula>
    </cfRule>
    <cfRule type="cellIs" dxfId="3369" priority="1336" operator="equal">
      <formula>"ENVIADO"</formula>
    </cfRule>
    <cfRule type="expression" dxfId="3368" priority="1337">
      <formula>$J1059="En blanco"</formula>
    </cfRule>
    <cfRule type="containsText" dxfId="3367" priority="1338" operator="containsText" text="PENDIENTE">
      <formula>NOT(ISERROR(SEARCH("PENDIENTE",Y1059)))</formula>
    </cfRule>
  </conditionalFormatting>
  <conditionalFormatting sqref="Y1061">
    <cfRule type="expression" dxfId="3366" priority="1503">
      <formula>$J1061="Anulada"</formula>
    </cfRule>
    <cfRule type="cellIs" dxfId="3365" priority="1504" operator="equal">
      <formula>"ENVIADO"</formula>
    </cfRule>
    <cfRule type="expression" dxfId="3364" priority="1505">
      <formula>$J1061="En blanco"</formula>
    </cfRule>
    <cfRule type="containsText" dxfId="3363" priority="1506" operator="containsText" text="PENDIENTE">
      <formula>NOT(ISERROR(SEARCH("PENDIENTE",Y1061)))</formula>
    </cfRule>
  </conditionalFormatting>
  <conditionalFormatting sqref="Y1062">
    <cfRule type="expression" dxfId="3362" priority="1424">
      <formula>$J1062="Anulada"</formula>
    </cfRule>
    <cfRule type="cellIs" dxfId="3361" priority="1425" operator="equal">
      <formula>"ENVIADO"</formula>
    </cfRule>
    <cfRule type="expression" dxfId="3360" priority="1426">
      <formula>$J1062="En blanco"</formula>
    </cfRule>
    <cfRule type="containsText" dxfId="3359" priority="1427" operator="containsText" text="PENDIENTE">
      <formula>NOT(ISERROR(SEARCH("PENDIENTE",Y1062)))</formula>
    </cfRule>
  </conditionalFormatting>
  <conditionalFormatting sqref="Y1064">
    <cfRule type="expression" dxfId="3358" priority="1300">
      <formula>$J1064="Anulada"</formula>
    </cfRule>
    <cfRule type="cellIs" dxfId="3357" priority="1301" operator="equal">
      <formula>"ENVIADO"</formula>
    </cfRule>
    <cfRule type="expression" dxfId="3356" priority="1302">
      <formula>$J1064="En blanco"</formula>
    </cfRule>
    <cfRule type="containsText" dxfId="3355" priority="1303" operator="containsText" text="PENDIENTE">
      <formula>NOT(ISERROR(SEARCH("PENDIENTE",Y1064)))</formula>
    </cfRule>
  </conditionalFormatting>
  <conditionalFormatting sqref="Y1068">
    <cfRule type="expression" dxfId="3354" priority="955">
      <formula>$J1068="Anulada"</formula>
    </cfRule>
    <cfRule type="cellIs" dxfId="3353" priority="956" operator="equal">
      <formula>"ENVIADO"</formula>
    </cfRule>
    <cfRule type="expression" dxfId="3352" priority="957">
      <formula>$J1068="En blanco"</formula>
    </cfRule>
    <cfRule type="containsText" dxfId="3351" priority="958" operator="containsText" text="PENDIENTE">
      <formula>NOT(ISERROR(SEARCH("PENDIENTE",Y1068)))</formula>
    </cfRule>
  </conditionalFormatting>
  <conditionalFormatting sqref="Y1069">
    <cfRule type="expression" dxfId="3350" priority="1404">
      <formula>$J1069="Anulada"</formula>
    </cfRule>
    <cfRule type="cellIs" dxfId="3349" priority="1405" operator="equal">
      <formula>"ENVIADO"</formula>
    </cfRule>
    <cfRule type="expression" dxfId="3348" priority="1406">
      <formula>$J1069="En blanco"</formula>
    </cfRule>
    <cfRule type="containsText" dxfId="3347" priority="1407" operator="containsText" text="PENDIENTE">
      <formula>NOT(ISERROR(SEARCH("PENDIENTE",Y1069)))</formula>
    </cfRule>
  </conditionalFormatting>
  <conditionalFormatting sqref="Y1070">
    <cfRule type="expression" dxfId="3346" priority="1060">
      <formula>$J1070="Anulada"</formula>
    </cfRule>
    <cfRule type="cellIs" dxfId="3345" priority="1061" operator="equal">
      <formula>"ENVIADO"</formula>
    </cfRule>
    <cfRule type="expression" dxfId="3344" priority="1062">
      <formula>$J1070="En blanco"</formula>
    </cfRule>
    <cfRule type="containsText" dxfId="3343" priority="1063" operator="containsText" text="PENDIENTE">
      <formula>NOT(ISERROR(SEARCH("PENDIENTE",Y1070)))</formula>
    </cfRule>
  </conditionalFormatting>
  <conditionalFormatting sqref="Y1071">
    <cfRule type="expression" dxfId="3342" priority="1056">
      <formula>$J1071="Anulada"</formula>
    </cfRule>
    <cfRule type="cellIs" dxfId="3341" priority="1057" operator="equal">
      <formula>"ENVIADO"</formula>
    </cfRule>
    <cfRule type="expression" dxfId="3340" priority="1058">
      <formula>$J1071="En blanco"</formula>
    </cfRule>
    <cfRule type="containsText" dxfId="3339" priority="1059" operator="containsText" text="PENDIENTE">
      <formula>NOT(ISERROR(SEARCH("PENDIENTE",Y1071)))</formula>
    </cfRule>
  </conditionalFormatting>
  <conditionalFormatting sqref="Y1072">
    <cfRule type="expression" dxfId="3338" priority="1331">
      <formula>$J1072="Anulada"</formula>
    </cfRule>
    <cfRule type="cellIs" dxfId="3337" priority="1332" operator="equal">
      <formula>"ENVIADO"</formula>
    </cfRule>
    <cfRule type="expression" dxfId="3336" priority="1333">
      <formula>$J1072="En blanco"</formula>
    </cfRule>
    <cfRule type="containsText" dxfId="3335" priority="1334" operator="containsText" text="PENDIENTE">
      <formula>NOT(ISERROR(SEARCH("PENDIENTE",Y1072)))</formula>
    </cfRule>
  </conditionalFormatting>
  <conditionalFormatting sqref="Y1073">
    <cfRule type="expression" dxfId="3334" priority="1205">
      <formula>$J1073="Anulada"</formula>
    </cfRule>
    <cfRule type="cellIs" dxfId="3333" priority="1206" operator="equal">
      <formula>"ENVIADO"</formula>
    </cfRule>
    <cfRule type="expression" dxfId="3332" priority="1207">
      <formula>$J1073="En blanco"</formula>
    </cfRule>
    <cfRule type="containsText" dxfId="3331" priority="1208" operator="containsText" text="PENDIENTE">
      <formula>NOT(ISERROR(SEARCH("PENDIENTE",Y1073)))</formula>
    </cfRule>
  </conditionalFormatting>
  <conditionalFormatting sqref="Y1074">
    <cfRule type="expression" dxfId="3330" priority="1420">
      <formula>$J1074="Anulada"</formula>
    </cfRule>
    <cfRule type="cellIs" dxfId="3329" priority="1421" operator="equal">
      <formula>"ENVIADO"</formula>
    </cfRule>
    <cfRule type="expression" dxfId="3328" priority="1422">
      <formula>$J1074="En blanco"</formula>
    </cfRule>
    <cfRule type="containsText" dxfId="3327" priority="1423" operator="containsText" text="PENDIENTE">
      <formula>NOT(ISERROR(SEARCH("PENDIENTE",Y1074)))</formula>
    </cfRule>
  </conditionalFormatting>
  <conditionalFormatting sqref="Y1077">
    <cfRule type="expression" dxfId="3326" priority="1777">
      <formula>$J1077="Anulada"</formula>
    </cfRule>
    <cfRule type="cellIs" dxfId="3325" priority="1778" operator="equal">
      <formula>"ENVIADO"</formula>
    </cfRule>
    <cfRule type="expression" dxfId="3324" priority="1779">
      <formula>$J1077="En blanco"</formula>
    </cfRule>
  </conditionalFormatting>
  <conditionalFormatting sqref="Y1079">
    <cfRule type="expression" dxfId="3323" priority="1580">
      <formula>$J1079="Anulada"</formula>
    </cfRule>
    <cfRule type="cellIs" dxfId="3322" priority="1581" operator="equal">
      <formula>"ENVIADO"</formula>
    </cfRule>
  </conditionalFormatting>
  <conditionalFormatting sqref="Y1081">
    <cfRule type="expression" dxfId="3321" priority="951">
      <formula>$J1081="Anulada"</formula>
    </cfRule>
    <cfRule type="cellIs" dxfId="3320" priority="952" operator="equal">
      <formula>"ENVIADO"</formula>
    </cfRule>
    <cfRule type="expression" dxfId="3319" priority="953">
      <formula>$J1081="En blanco"</formula>
    </cfRule>
    <cfRule type="containsText" dxfId="3318" priority="954" operator="containsText" text="PENDIENTE">
      <formula>NOT(ISERROR(SEARCH("PENDIENTE",Y1081)))</formula>
    </cfRule>
  </conditionalFormatting>
  <conditionalFormatting sqref="Y1084">
    <cfRule type="expression" dxfId="3317" priority="1499">
      <formula>$J1084="Anulada"</formula>
    </cfRule>
    <cfRule type="cellIs" dxfId="3316" priority="1500" operator="equal">
      <formula>"ENVIADO"</formula>
    </cfRule>
    <cfRule type="expression" dxfId="3315" priority="1501">
      <formula>$J1084="En blanco"</formula>
    </cfRule>
    <cfRule type="containsText" dxfId="3314" priority="1502" operator="containsText" text="PENDIENTE">
      <formula>NOT(ISERROR(SEARCH("PENDIENTE",Y1084)))</formula>
    </cfRule>
  </conditionalFormatting>
  <conditionalFormatting sqref="Y1086">
    <cfRule type="expression" dxfId="3313" priority="1293">
      <formula>$J1086="Anulada"</formula>
    </cfRule>
    <cfRule type="cellIs" dxfId="3312" priority="1294" operator="equal">
      <formula>"ENVIADO"</formula>
    </cfRule>
    <cfRule type="expression" dxfId="3311" priority="1295">
      <formula>$J1086="En blanco"</formula>
    </cfRule>
    <cfRule type="containsText" dxfId="3310" priority="1296" operator="containsText" text="PENDIENTE">
      <formula>NOT(ISERROR(SEARCH("PENDIENTE",Y1086)))</formula>
    </cfRule>
  </conditionalFormatting>
  <conditionalFormatting sqref="Y1087">
    <cfRule type="expression" dxfId="3309" priority="1327">
      <formula>$J1087="Anulada"</formula>
    </cfRule>
    <cfRule type="cellIs" dxfId="3308" priority="1328" operator="equal">
      <formula>"ENVIADO"</formula>
    </cfRule>
    <cfRule type="expression" dxfId="3307" priority="1329">
      <formula>$J1087="En blanco"</formula>
    </cfRule>
    <cfRule type="containsText" dxfId="3306" priority="1330" operator="containsText" text="PENDIENTE">
      <formula>NOT(ISERROR(SEARCH("PENDIENTE",Y1087)))</formula>
    </cfRule>
  </conditionalFormatting>
  <conditionalFormatting sqref="Y1088">
    <cfRule type="expression" dxfId="3305" priority="1416">
      <formula>$J1088="Anulada"</formula>
    </cfRule>
    <cfRule type="cellIs" dxfId="3304" priority="1417" operator="equal">
      <formula>"ENVIADO"</formula>
    </cfRule>
    <cfRule type="expression" dxfId="3303" priority="1418">
      <formula>$J1088="En blanco"</formula>
    </cfRule>
    <cfRule type="containsText" dxfId="3302" priority="1419" operator="containsText" text="PENDIENTE">
      <formula>NOT(ISERROR(SEARCH("PENDIENTE",Y1088)))</formula>
    </cfRule>
  </conditionalFormatting>
  <conditionalFormatting sqref="Y1089">
    <cfRule type="expression" dxfId="3301" priority="1408">
      <formula>$J1089="Anulada"</formula>
    </cfRule>
    <cfRule type="cellIs" dxfId="3300" priority="1409" operator="equal">
      <formula>"ENVIADO"</formula>
    </cfRule>
    <cfRule type="expression" dxfId="3299" priority="1410">
      <formula>$J1089="En blanco"</formula>
    </cfRule>
    <cfRule type="containsText" dxfId="3298" priority="1411" operator="containsText" text="PENDIENTE">
      <formula>NOT(ISERROR(SEARCH("PENDIENTE",Y1089)))</formula>
    </cfRule>
  </conditionalFormatting>
  <conditionalFormatting sqref="Y1090">
    <cfRule type="expression" dxfId="3297" priority="1495">
      <formula>$J1090="Anulada"</formula>
    </cfRule>
    <cfRule type="cellIs" dxfId="3296" priority="1496" operator="equal">
      <formula>"ENVIADO"</formula>
    </cfRule>
    <cfRule type="expression" dxfId="3295" priority="1497">
      <formula>$J1090="En blanco"</formula>
    </cfRule>
    <cfRule type="containsText" dxfId="3294" priority="1498" operator="containsText" text="PENDIENTE">
      <formula>NOT(ISERROR(SEARCH("PENDIENTE",Y1090)))</formula>
    </cfRule>
  </conditionalFormatting>
  <conditionalFormatting sqref="Y1092">
    <cfRule type="expression" dxfId="3293" priority="1279">
      <formula>$J1092="Anulada"</formula>
    </cfRule>
    <cfRule type="cellIs" dxfId="3292" priority="1280" operator="equal">
      <formula>"ENVIADO"</formula>
    </cfRule>
    <cfRule type="expression" dxfId="3291" priority="1281">
      <formula>$J1092="En blanco"</formula>
    </cfRule>
    <cfRule type="containsText" dxfId="3290" priority="1282" operator="containsText" text="PENDIENTE">
      <formula>NOT(ISERROR(SEARCH("PENDIENTE",Y1092)))</formula>
    </cfRule>
  </conditionalFormatting>
  <conditionalFormatting sqref="Y1093">
    <cfRule type="expression" dxfId="3289" priority="1323">
      <formula>$J1093="Anulada"</formula>
    </cfRule>
    <cfRule type="cellIs" dxfId="3288" priority="1324" operator="equal">
      <formula>"ENVIADO"</formula>
    </cfRule>
    <cfRule type="expression" dxfId="3287" priority="1325">
      <formula>$J1093="En blanco"</formula>
    </cfRule>
    <cfRule type="containsText" dxfId="3286" priority="1326" operator="containsText" text="PENDIENTE">
      <formula>NOT(ISERROR(SEARCH("PENDIENTE",Y1093)))</formula>
    </cfRule>
  </conditionalFormatting>
  <conditionalFormatting sqref="Y1095">
    <cfRule type="expression" dxfId="3285" priority="1412">
      <formula>$J1095="Anulada"</formula>
    </cfRule>
    <cfRule type="cellIs" dxfId="3284" priority="1413" operator="equal">
      <formula>"ENVIADO"</formula>
    </cfRule>
    <cfRule type="expression" dxfId="3283" priority="1414">
      <formula>$J1095="En blanco"</formula>
    </cfRule>
    <cfRule type="containsText" dxfId="3282" priority="1415" operator="containsText" text="PENDIENTE">
      <formula>NOT(ISERROR(SEARCH("PENDIENTE",Y1095)))</formula>
    </cfRule>
  </conditionalFormatting>
  <conditionalFormatting sqref="Y1098">
    <cfRule type="expression" dxfId="3281" priority="1386">
      <formula>$J1098="Anulada"</formula>
    </cfRule>
    <cfRule type="cellIs" dxfId="3280" priority="1387" operator="equal">
      <formula>"ENVIADO"</formula>
    </cfRule>
  </conditionalFormatting>
  <conditionalFormatting sqref="Y1102">
    <cfRule type="expression" dxfId="3279" priority="947">
      <formula>$J1102="Anulada"</formula>
    </cfRule>
    <cfRule type="cellIs" dxfId="3278" priority="948" operator="equal">
      <formula>"ENVIADO"</formula>
    </cfRule>
    <cfRule type="expression" dxfId="3277" priority="949">
      <formula>$J1102="En blanco"</formula>
    </cfRule>
    <cfRule type="containsText" dxfId="3276" priority="950" operator="containsText" text="PENDIENTE">
      <formula>NOT(ISERROR(SEARCH("PENDIENTE",Y1102)))</formula>
    </cfRule>
  </conditionalFormatting>
  <conditionalFormatting sqref="Y1104">
    <cfRule type="expression" dxfId="3275" priority="1319">
      <formula>$J1104="Anulada"</formula>
    </cfRule>
    <cfRule type="cellIs" dxfId="3274" priority="1320" operator="equal">
      <formula>"ENVIADO"</formula>
    </cfRule>
    <cfRule type="expression" dxfId="3273" priority="1321">
      <formula>$J1104="En blanco"</formula>
    </cfRule>
    <cfRule type="containsText" dxfId="3272" priority="1322" operator="containsText" text="PENDIENTE">
      <formula>NOT(ISERROR(SEARCH("PENDIENTE",Y1104)))</formula>
    </cfRule>
  </conditionalFormatting>
  <conditionalFormatting sqref="Y1110">
    <cfRule type="expression" dxfId="3271" priority="943">
      <formula>$J1110="Anulada"</formula>
    </cfRule>
    <cfRule type="cellIs" dxfId="3270" priority="944" operator="equal">
      <formula>"ENVIADO"</formula>
    </cfRule>
    <cfRule type="expression" dxfId="3269" priority="945">
      <formula>$J1110="En blanco"</formula>
    </cfRule>
    <cfRule type="containsText" dxfId="3268" priority="946" operator="containsText" text="PENDIENTE">
      <formula>NOT(ISERROR(SEARCH("PENDIENTE",Y1110)))</formula>
    </cfRule>
  </conditionalFormatting>
  <conditionalFormatting sqref="Y1113">
    <cfRule type="expression" dxfId="3267" priority="1286">
      <formula>$J1113="Anulada"</formula>
    </cfRule>
    <cfRule type="cellIs" dxfId="3266" priority="1287" operator="equal">
      <formula>"ENVIADO"</formula>
    </cfRule>
    <cfRule type="expression" dxfId="3265" priority="1288">
      <formula>$J1113="En blanco"</formula>
    </cfRule>
    <cfRule type="containsText" dxfId="3264" priority="1289" operator="containsText" text="PENDIENTE">
      <formula>NOT(ISERROR(SEARCH("PENDIENTE",Y1113)))</formula>
    </cfRule>
  </conditionalFormatting>
  <conditionalFormatting sqref="Y1114">
    <cfRule type="expression" dxfId="3263" priority="1272">
      <formula>$J1114="Anulada"</formula>
    </cfRule>
    <cfRule type="cellIs" dxfId="3262" priority="1273" operator="equal">
      <formula>"ENVIADO"</formula>
    </cfRule>
    <cfRule type="expression" dxfId="3261" priority="1274">
      <formula>$J1114="En blanco"</formula>
    </cfRule>
    <cfRule type="containsText" dxfId="3260" priority="1275" operator="containsText" text="PENDIENTE">
      <formula>NOT(ISERROR(SEARCH("PENDIENTE",Y1114)))</formula>
    </cfRule>
  </conditionalFormatting>
  <conditionalFormatting sqref="Y1115">
    <cfRule type="expression" dxfId="3259" priority="934">
      <formula>$J1115="Anulada"</formula>
    </cfRule>
    <cfRule type="cellIs" dxfId="3258" priority="935" operator="equal">
      <formula>"ENVIADO"</formula>
    </cfRule>
    <cfRule type="expression" dxfId="3257" priority="936">
      <formula>$J1115="En blanco"</formula>
    </cfRule>
  </conditionalFormatting>
  <conditionalFormatting sqref="Y1117">
    <cfRule type="expression" dxfId="3256" priority="1315">
      <formula>$J1117="Anulada"</formula>
    </cfRule>
    <cfRule type="cellIs" dxfId="3255" priority="1316" operator="equal">
      <formula>"ENVIADO"</formula>
    </cfRule>
    <cfRule type="expression" dxfId="3254" priority="1317">
      <formula>$J1117="En blanco"</formula>
    </cfRule>
    <cfRule type="containsText" dxfId="3253" priority="1318" operator="containsText" text="PENDIENTE">
      <formula>NOT(ISERROR(SEARCH("PENDIENTE",Y1117)))</formula>
    </cfRule>
  </conditionalFormatting>
  <conditionalFormatting sqref="Y1191">
    <cfRule type="expression" dxfId="3252" priority="1107">
      <formula>$J1191="Anulada"</formula>
    </cfRule>
    <cfRule type="cellIs" dxfId="3251" priority="1108" operator="equal">
      <formula>"ENVIADO"</formula>
    </cfRule>
  </conditionalFormatting>
  <conditionalFormatting sqref="Y1205">
    <cfRule type="expression" dxfId="3250" priority="1050">
      <formula>$J1205="Anulada"</formula>
    </cfRule>
    <cfRule type="cellIs" dxfId="3249" priority="1051" operator="equal">
      <formula>"ENVIADO"</formula>
    </cfRule>
  </conditionalFormatting>
  <conditionalFormatting sqref="Y1206">
    <cfRule type="containsText" dxfId="3248" priority="858" operator="containsText" text="PENDIENTE">
      <formula>NOT(ISERROR(SEARCH("PENDIENTE",Y1206)))</formula>
    </cfRule>
  </conditionalFormatting>
  <conditionalFormatting sqref="Y1207">
    <cfRule type="containsText" dxfId="3247" priority="248" operator="containsText" text="PENDIENTE">
      <formula>NOT(ISERROR(SEARCH("PENDIENTE",Y1207)))</formula>
    </cfRule>
  </conditionalFormatting>
  <conditionalFormatting sqref="Y1208">
    <cfRule type="containsText" dxfId="3246" priority="241" operator="containsText" text="PENDIENTE">
      <formula>NOT(ISERROR(SEARCH("PENDIENTE",Y1208)))</formula>
    </cfRule>
  </conditionalFormatting>
  <conditionalFormatting sqref="Y1209">
    <cfRule type="containsText" dxfId="3245" priority="247" operator="containsText" text="PENDIENTE">
      <formula>NOT(ISERROR(SEARCH("PENDIENTE",Y1209)))</formula>
    </cfRule>
  </conditionalFormatting>
  <conditionalFormatting sqref="Y1210">
    <cfRule type="containsText" dxfId="3244" priority="631" operator="containsText" text="PENDIENTE">
      <formula>NOT(ISERROR(SEARCH("PENDIENTE",Y1210)))</formula>
    </cfRule>
  </conditionalFormatting>
  <conditionalFormatting sqref="Y1214">
    <cfRule type="containsText" dxfId="3243" priority="240" operator="containsText" text="PENDIENTE">
      <formula>NOT(ISERROR(SEARCH("PENDIENTE",Y1214)))</formula>
    </cfRule>
  </conditionalFormatting>
  <conditionalFormatting sqref="Y1215">
    <cfRule type="containsText" dxfId="3242" priority="854" operator="containsText" text="PENDIENTE">
      <formula>NOT(ISERROR(SEARCH("PENDIENTE",Y1215)))</formula>
    </cfRule>
  </conditionalFormatting>
  <conditionalFormatting sqref="Y1219">
    <cfRule type="containsText" dxfId="3241" priority="857" operator="containsText" text="PENDIENTE">
      <formula>NOT(ISERROR(SEARCH("PENDIENTE",Y1219)))</formula>
    </cfRule>
  </conditionalFormatting>
  <conditionalFormatting sqref="Y1222">
    <cfRule type="containsText" dxfId="3240" priority="859" operator="containsText" text="PENDIENTE">
      <formula>NOT(ISERROR(SEARCH("PENDIENTE",Y1222)))</formula>
    </cfRule>
  </conditionalFormatting>
  <conditionalFormatting sqref="Y1225">
    <cfRule type="containsText" dxfId="3239" priority="860" operator="containsText" text="PENDIENTE">
      <formula>NOT(ISERROR(SEARCH("PENDIENTE",Y1225)))</formula>
    </cfRule>
  </conditionalFormatting>
  <conditionalFormatting sqref="Y1228">
    <cfRule type="containsText" dxfId="3238" priority="856" operator="containsText" text="PENDIENTE">
      <formula>NOT(ISERROR(SEARCH("PENDIENTE",Y1228)))</formula>
    </cfRule>
  </conditionalFormatting>
  <conditionalFormatting sqref="Y1229">
    <cfRule type="containsText" dxfId="3237" priority="239" operator="containsText" text="PENDIENTE">
      <formula>NOT(ISERROR(SEARCH("PENDIENTE",Y1229)))</formula>
    </cfRule>
  </conditionalFormatting>
  <conditionalFormatting sqref="Y1230">
    <cfRule type="containsText" dxfId="3236" priority="298" operator="containsText" text="PENDIENTE">
      <formula>NOT(ISERROR(SEARCH("PENDIENTE",Y1230)))</formula>
    </cfRule>
  </conditionalFormatting>
  <conditionalFormatting sqref="Y1231">
    <cfRule type="containsText" dxfId="3235" priority="853" operator="containsText" text="PENDIENTE">
      <formula>NOT(ISERROR(SEARCH("PENDIENTE",Y1231)))</formula>
    </cfRule>
  </conditionalFormatting>
  <conditionalFormatting sqref="Y1232">
    <cfRule type="containsText" dxfId="3234" priority="852" operator="containsText" text="PENDIENTE">
      <formula>NOT(ISERROR(SEARCH("PENDIENTE",Y1232)))</formula>
    </cfRule>
  </conditionalFormatting>
  <conditionalFormatting sqref="Y1234">
    <cfRule type="containsText" dxfId="3233" priority="238" operator="containsText" text="PENDIENTE">
      <formula>NOT(ISERROR(SEARCH("PENDIENTE",Y1234)))</formula>
    </cfRule>
  </conditionalFormatting>
  <conditionalFormatting sqref="Y1235">
    <cfRule type="containsText" dxfId="3232" priority="236" operator="containsText" text="PENDIENTE">
      <formula>NOT(ISERROR(SEARCH("PENDIENTE",Y1235)))</formula>
    </cfRule>
  </conditionalFormatting>
  <conditionalFormatting sqref="Y1236">
    <cfRule type="containsText" dxfId="3231" priority="630" operator="containsText" text="PENDIENTE">
      <formula>NOT(ISERROR(SEARCH("PENDIENTE",Y1236)))</formula>
    </cfRule>
  </conditionalFormatting>
  <conditionalFormatting sqref="Y1238">
    <cfRule type="containsText" dxfId="3230" priority="855" operator="containsText" text="PENDIENTE">
      <formula>NOT(ISERROR(SEARCH("PENDIENTE",Y1238)))</formula>
    </cfRule>
  </conditionalFormatting>
  <conditionalFormatting sqref="Y1240">
    <cfRule type="expression" dxfId="3229" priority="905">
      <formula>$J1240="Anulada"</formula>
    </cfRule>
    <cfRule type="cellIs" dxfId="3228" priority="906" operator="equal">
      <formula>"ENVIADO"</formula>
    </cfRule>
  </conditionalFormatting>
  <conditionalFormatting sqref="Y1241 Y1224">
    <cfRule type="containsText" dxfId="3227" priority="788" operator="containsText" text="PENDIENTE">
      <formula>NOT(ISERROR(SEARCH("PENDIENTE",Y1224)))</formula>
    </cfRule>
  </conditionalFormatting>
  <conditionalFormatting sqref="Y1242">
    <cfRule type="containsText" dxfId="3226" priority="787" operator="containsText" text="PENDIENTE">
      <formula>NOT(ISERROR(SEARCH("PENDIENTE",Y1242)))</formula>
    </cfRule>
  </conditionalFormatting>
  <conditionalFormatting sqref="Y1243">
    <cfRule type="containsText" dxfId="3225" priority="851" operator="containsText" text="PENDIENTE">
      <formula>NOT(ISERROR(SEARCH("PENDIENTE",Y1243)))</formula>
    </cfRule>
  </conditionalFormatting>
  <conditionalFormatting sqref="Y1244">
    <cfRule type="expression" dxfId="3224" priority="925">
      <formula>$J1244="Anulada"</formula>
    </cfRule>
    <cfRule type="cellIs" dxfId="3223" priority="926" operator="equal">
      <formula>"ENVIADO"</formula>
    </cfRule>
    <cfRule type="expression" dxfId="3222" priority="927">
      <formula>$J1244="En blanco"</formula>
    </cfRule>
  </conditionalFormatting>
  <conditionalFormatting sqref="Y1252">
    <cfRule type="containsText" dxfId="3221" priority="861" operator="containsText" text="PENDIENTE">
      <formula>NOT(ISERROR(SEARCH("PENDIENTE",Y1252)))</formula>
    </cfRule>
  </conditionalFormatting>
  <conditionalFormatting sqref="Y1256">
    <cfRule type="expression" dxfId="3220" priority="833">
      <formula>$J1256="Anulada"</formula>
    </cfRule>
    <cfRule type="cellIs" dxfId="3219" priority="834" operator="equal">
      <formula>"ENVIADO"</formula>
    </cfRule>
  </conditionalFormatting>
  <conditionalFormatting sqref="Y1275">
    <cfRule type="expression" dxfId="3218" priority="768">
      <formula>$J1275="Anulada"</formula>
    </cfRule>
    <cfRule type="cellIs" dxfId="3217" priority="769" operator="equal">
      <formula>"ENVIADO"</formula>
    </cfRule>
    <cfRule type="expression" dxfId="3216" priority="770">
      <formula>$J1275="En blanco"</formula>
    </cfRule>
  </conditionalFormatting>
  <conditionalFormatting sqref="Y1294">
    <cfRule type="expression" dxfId="3215" priority="744">
      <formula>$J1294="Anulada"</formula>
    </cfRule>
    <cfRule type="cellIs" dxfId="3214" priority="745" operator="equal">
      <formula>"ENVIADO"</formula>
    </cfRule>
  </conditionalFormatting>
  <conditionalFormatting sqref="Y1297">
    <cfRule type="expression" dxfId="3213" priority="695">
      <formula>$J1297="Anulada"</formula>
    </cfRule>
    <cfRule type="cellIs" dxfId="3212" priority="696" operator="equal">
      <formula>"ENVIADO"</formula>
    </cfRule>
  </conditionalFormatting>
  <conditionalFormatting sqref="Y1340">
    <cfRule type="expression" dxfId="3211" priority="621">
      <formula>$J1340="Anulada"</formula>
    </cfRule>
    <cfRule type="cellIs" dxfId="3210" priority="622" operator="equal">
      <formula>"ENVIADO"</formula>
    </cfRule>
    <cfRule type="expression" dxfId="3209" priority="623">
      <formula>$J1340="En blanco"</formula>
    </cfRule>
  </conditionalFormatting>
  <conditionalFormatting sqref="Y1349 Y1341">
    <cfRule type="containsText" dxfId="3208" priority="304" operator="containsText" text="PENDIENTE">
      <formula>NOT(ISERROR(SEARCH("PENDIENTE",Y1341)))</formula>
    </cfRule>
  </conditionalFormatting>
  <conditionalFormatting sqref="Y1352">
    <cfRule type="expression" dxfId="3207" priority="611">
      <formula>$J1352="Anulada"</formula>
    </cfRule>
    <cfRule type="cellIs" dxfId="3206" priority="612" operator="equal">
      <formula>"ENVIADO"</formula>
    </cfRule>
  </conditionalFormatting>
  <conditionalFormatting sqref="Y1353">
    <cfRule type="expression" dxfId="3205" priority="563">
      <formula>$J1353="Anulada"</formula>
    </cfRule>
    <cfRule type="cellIs" dxfId="3204" priority="564" operator="equal">
      <formula>"ENVIADO"</formula>
    </cfRule>
    <cfRule type="expression" dxfId="3203" priority="565">
      <formula>$J1353="En blanco"</formula>
    </cfRule>
  </conditionalFormatting>
  <conditionalFormatting sqref="Y1366">
    <cfRule type="expression" dxfId="3202" priority="537">
      <formula>$J1366="Anulada"</formula>
    </cfRule>
    <cfRule type="cellIs" dxfId="3201" priority="538" operator="equal">
      <formula>"ENVIADO"</formula>
    </cfRule>
  </conditionalFormatting>
  <conditionalFormatting sqref="Y1371">
    <cfRule type="expression" dxfId="3200" priority="431">
      <formula>$J1371="Anulada"</formula>
    </cfRule>
    <cfRule type="cellIs" dxfId="3199" priority="432" operator="equal">
      <formula>"ENVIADO"</formula>
    </cfRule>
  </conditionalFormatting>
  <conditionalFormatting sqref="Y1373">
    <cfRule type="expression" dxfId="3198" priority="484">
      <formula>$J1373="Anulada"</formula>
    </cfRule>
    <cfRule type="cellIs" dxfId="3197" priority="485" operator="equal">
      <formula>"ENVIADO"</formula>
    </cfRule>
  </conditionalFormatting>
  <conditionalFormatting sqref="Y1374">
    <cfRule type="containsText" dxfId="3196" priority="246" operator="containsText" text="PENDIENTE">
      <formula>NOT(ISERROR(SEARCH("PENDIENTE",Y1374)))</formula>
    </cfRule>
  </conditionalFormatting>
  <conditionalFormatting sqref="Y1376">
    <cfRule type="containsText" dxfId="3195" priority="303" operator="containsText" text="PENDIENTE">
      <formula>NOT(ISERROR(SEARCH("PENDIENTE",Y1376)))</formula>
    </cfRule>
  </conditionalFormatting>
  <conditionalFormatting sqref="Y1381">
    <cfRule type="containsText" dxfId="3194" priority="245" operator="containsText" text="PENDIENTE">
      <formula>NOT(ISERROR(SEARCH("PENDIENTE",Y1381)))</formula>
    </cfRule>
  </conditionalFormatting>
  <conditionalFormatting sqref="Y1384">
    <cfRule type="containsText" dxfId="3193" priority="244" operator="containsText" text="PENDIENTE">
      <formula>NOT(ISERROR(SEARCH("PENDIENTE",Y1384)))</formula>
    </cfRule>
  </conditionalFormatting>
  <conditionalFormatting sqref="Y1386">
    <cfRule type="containsText" dxfId="3192" priority="243" operator="containsText" text="PENDIENTE">
      <formula>NOT(ISERROR(SEARCH("PENDIENTE",Y1386)))</formula>
    </cfRule>
  </conditionalFormatting>
  <conditionalFormatting sqref="Y1387">
    <cfRule type="containsText" dxfId="3191" priority="308" operator="containsText" text="PENDIENTE">
      <formula>NOT(ISERROR(SEARCH("PENDIENTE",Y1387)))</formula>
    </cfRule>
  </conditionalFormatting>
  <conditionalFormatting sqref="Y1392">
    <cfRule type="containsText" dxfId="3190" priority="307" operator="containsText" text="PENDIENTE">
      <formula>NOT(ISERROR(SEARCH("PENDIENTE",Y1392)))</formula>
    </cfRule>
  </conditionalFormatting>
  <conditionalFormatting sqref="Y1393">
    <cfRule type="containsText" dxfId="3189" priority="300" operator="containsText" text="PENDIENTE">
      <formula>NOT(ISERROR(SEARCH("PENDIENTE",Y1393)))</formula>
    </cfRule>
  </conditionalFormatting>
  <conditionalFormatting sqref="Y1394">
    <cfRule type="expression" dxfId="3188" priority="354">
      <formula>$J1394="Anulada"</formula>
    </cfRule>
    <cfRule type="cellIs" dxfId="3187" priority="355" operator="equal">
      <formula>"ENVIADO"</formula>
    </cfRule>
  </conditionalFormatting>
  <conditionalFormatting sqref="Y1398">
    <cfRule type="containsText" dxfId="3186" priority="306" operator="containsText" text="PENDIENTE">
      <formula>NOT(ISERROR(SEARCH("PENDIENTE",Y1398)))</formula>
    </cfRule>
  </conditionalFormatting>
  <conditionalFormatting sqref="Y1402">
    <cfRule type="containsText" dxfId="3185" priority="302" operator="containsText" text="PENDIENTE">
      <formula>NOT(ISERROR(SEARCH("PENDIENTE",Y1402)))</formula>
    </cfRule>
  </conditionalFormatting>
  <conditionalFormatting sqref="Y1406">
    <cfRule type="containsText" dxfId="3184" priority="301" operator="containsText" text="PENDIENTE">
      <formula>NOT(ISERROR(SEARCH("PENDIENTE",Y1406)))</formula>
    </cfRule>
  </conditionalFormatting>
  <conditionalFormatting sqref="Y1408">
    <cfRule type="containsText" dxfId="3183" priority="242" operator="containsText" text="PENDIENTE">
      <formula>NOT(ISERROR(SEARCH("PENDIENTE",Y1408)))</formula>
    </cfRule>
  </conditionalFormatting>
  <conditionalFormatting sqref="Y1436:Y1437">
    <cfRule type="expression" dxfId="3182" priority="292">
      <formula>$J1436="Anulada"</formula>
    </cfRule>
    <cfRule type="cellIs" dxfId="3181" priority="293" operator="equal">
      <formula>"ENVIADO"</formula>
    </cfRule>
  </conditionalFormatting>
  <conditionalFormatting sqref="Y1443">
    <cfRule type="expression" dxfId="3180" priority="230">
      <formula>$J1443="Anulada"</formula>
    </cfRule>
    <cfRule type="cellIs" dxfId="3179" priority="231" operator="equal">
      <formula>"ENVIADO"</formula>
    </cfRule>
  </conditionalFormatting>
  <conditionalFormatting sqref="Y1447">
    <cfRule type="expression" dxfId="3178" priority="40">
      <formula>$J1447="Anulada"</formula>
    </cfRule>
    <cfRule type="cellIs" dxfId="3177" priority="41" operator="equal">
      <formula>"ENVIADO"</formula>
    </cfRule>
  </conditionalFormatting>
  <conditionalFormatting sqref="Z1001:AB1001">
    <cfRule type="containsText" dxfId="3176" priority="1314" operator="containsText" text="PENDIENTE">
      <formula>NOT(ISERROR(SEARCH("PENDIENTE",Z1001)))</formula>
    </cfRule>
  </conditionalFormatting>
  <conditionalFormatting sqref="Z1034:AB1034">
    <cfRule type="containsText" dxfId="3175" priority="1311" operator="containsText" text="PENDIENTE">
      <formula>NOT(ISERROR(SEARCH("PENDIENTE",Z1034)))</formula>
    </cfRule>
  </conditionalFormatting>
  <conditionalFormatting sqref="Z1045:AB1045">
    <cfRule type="containsText" dxfId="3174" priority="1306" operator="containsText" text="PENDIENTE">
      <formula>NOT(ISERROR(SEARCH("PENDIENTE",Z1045)))</formula>
    </cfRule>
  </conditionalFormatting>
  <conditionalFormatting sqref="Z1064:AB1064">
    <cfRule type="containsText" dxfId="3173" priority="1299" operator="containsText" text="PENDIENTE">
      <formula>NOT(ISERROR(SEARCH("PENDIENTE",Z1064)))</formula>
    </cfRule>
  </conditionalFormatting>
  <conditionalFormatting sqref="Z1080:AB1080">
    <cfRule type="containsText" dxfId="3172" priority="1268" operator="containsText" text="PENDIENTE">
      <formula>NOT(ISERROR(SEARCH("PENDIENTE",Z1080)))</formula>
    </cfRule>
  </conditionalFormatting>
  <conditionalFormatting sqref="Z1086:AB1086">
    <cfRule type="containsText" dxfId="3171" priority="1292" operator="containsText" text="PENDIENTE">
      <formula>NOT(ISERROR(SEARCH("PENDIENTE",Z1086)))</formula>
    </cfRule>
  </conditionalFormatting>
  <conditionalFormatting sqref="Z1092:AB1092">
    <cfRule type="containsText" dxfId="3170" priority="1278" operator="containsText" text="PENDIENTE">
      <formula>NOT(ISERROR(SEARCH("PENDIENTE",Z1092)))</formula>
    </cfRule>
  </conditionalFormatting>
  <conditionalFormatting sqref="Z1113:AB1113">
    <cfRule type="containsText" dxfId="3169" priority="1285" operator="containsText" text="PENDIENTE">
      <formula>NOT(ISERROR(SEARCH("PENDIENTE",Z1113)))</formula>
    </cfRule>
  </conditionalFormatting>
  <conditionalFormatting sqref="Z1114:AB1114">
    <cfRule type="containsText" dxfId="3168" priority="1271" operator="containsText" text="PENDIENTE">
      <formula>NOT(ISERROR(SEARCH("PENDIENTE",Z1114)))</formula>
    </cfRule>
  </conditionalFormatting>
  <conditionalFormatting sqref="Z59:AC59">
    <cfRule type="containsText" dxfId="3167" priority="7551" operator="containsText" text="PENDIENTE">
      <formula>NOT(ISERROR(SEARCH("PENDIENTE",Z59)))</formula>
    </cfRule>
    <cfRule type="expression" dxfId="3166" priority="7552">
      <formula>$J59="En blanco"</formula>
    </cfRule>
    <cfRule type="expression" dxfId="3165" priority="7553">
      <formula>$J59="Anulada"</formula>
    </cfRule>
  </conditionalFormatting>
  <conditionalFormatting sqref="Z1001:AC1001">
    <cfRule type="cellIs" dxfId="3164" priority="1312" operator="equal">
      <formula>"ENVIADO"</formula>
    </cfRule>
    <cfRule type="cellIs" dxfId="3163" priority="1313" operator="equal">
      <formula>"NO CORRESPONDE"</formula>
    </cfRule>
  </conditionalFormatting>
  <conditionalFormatting sqref="Z1034:AC1034">
    <cfRule type="cellIs" dxfId="3162" priority="1309" operator="equal">
      <formula>"ENVIADO"</formula>
    </cfRule>
    <cfRule type="cellIs" dxfId="3161" priority="1310" operator="equal">
      <formula>"NO CORRESPONDE"</formula>
    </cfRule>
  </conditionalFormatting>
  <conditionalFormatting sqref="Z1045:AC1045">
    <cfRule type="cellIs" dxfId="3160" priority="1304" operator="equal">
      <formula>"ENVIADO"</formula>
    </cfRule>
    <cfRule type="cellIs" dxfId="3159" priority="1305" operator="equal">
      <formula>"NO CORRESPONDE"</formula>
    </cfRule>
  </conditionalFormatting>
  <conditionalFormatting sqref="Z1064:AC1064">
    <cfRule type="cellIs" dxfId="3158" priority="1297" operator="equal">
      <formula>"ENVIADO"</formula>
    </cfRule>
    <cfRule type="cellIs" dxfId="3157" priority="1298" operator="equal">
      <formula>"NO CORRESPONDE"</formula>
    </cfRule>
  </conditionalFormatting>
  <conditionalFormatting sqref="Z1080:AC1080">
    <cfRule type="cellIs" dxfId="3156" priority="1266" operator="equal">
      <formula>"ENVIADO"</formula>
    </cfRule>
    <cfRule type="cellIs" dxfId="3155" priority="1267" operator="equal">
      <formula>"NO CORRESPONDE"</formula>
    </cfRule>
  </conditionalFormatting>
  <conditionalFormatting sqref="Z1086:AC1086">
    <cfRule type="cellIs" dxfId="3154" priority="1290" operator="equal">
      <formula>"ENVIADO"</formula>
    </cfRule>
    <cfRule type="cellIs" dxfId="3153" priority="1291" operator="equal">
      <formula>"NO CORRESPONDE"</formula>
    </cfRule>
  </conditionalFormatting>
  <conditionalFormatting sqref="Z1092:AC1092">
    <cfRule type="cellIs" dxfId="3152" priority="1276" operator="equal">
      <formula>"ENVIADO"</formula>
    </cfRule>
    <cfRule type="cellIs" dxfId="3151" priority="1277" operator="equal">
      <formula>"NO CORRESPONDE"</formula>
    </cfRule>
  </conditionalFormatting>
  <conditionalFormatting sqref="Z1113:AC1113">
    <cfRule type="cellIs" dxfId="3150" priority="1283" operator="equal">
      <formula>"ENVIADO"</formula>
    </cfRule>
  </conditionalFormatting>
  <conditionalFormatting sqref="Z1113:AC1114">
    <cfRule type="cellIs" dxfId="3149" priority="1270" operator="equal">
      <formula>"NO CORRESPONDE"</formula>
    </cfRule>
  </conditionalFormatting>
  <conditionalFormatting sqref="Z1114:AC1114">
    <cfRule type="cellIs" dxfId="3148" priority="1269" operator="equal">
      <formula>"ENVIADO"</formula>
    </cfRule>
  </conditionalFormatting>
  <conditionalFormatting sqref="Z33:AD33">
    <cfRule type="containsText" dxfId="3147" priority="7570" operator="containsText" text="PENDIENTE">
      <formula>NOT(ISERROR(SEARCH("PENDIENTE",Z33)))</formula>
    </cfRule>
  </conditionalFormatting>
  <conditionalFormatting sqref="Z48:AD48">
    <cfRule type="containsText" dxfId="3146" priority="7569" operator="containsText" text="PENDIENTE">
      <formula>NOT(ISERROR(SEARCH("PENDIENTE",Z48)))</formula>
    </cfRule>
  </conditionalFormatting>
  <conditionalFormatting sqref="Z66:AD66">
    <cfRule type="containsText" dxfId="3145" priority="7568" operator="containsText" text="PENDIENTE">
      <formula>NOT(ISERROR(SEARCH("PENDIENTE",Z66)))</formula>
    </cfRule>
  </conditionalFormatting>
  <conditionalFormatting sqref="Z76:AD76">
    <cfRule type="containsText" dxfId="3144" priority="7567" operator="containsText" text="PENDIENTE">
      <formula>NOT(ISERROR(SEARCH("PENDIENTE",Z76)))</formula>
    </cfRule>
  </conditionalFormatting>
  <conditionalFormatting sqref="Z87:AD87">
    <cfRule type="containsText" dxfId="3143" priority="7566" operator="containsText" text="PENDIENTE">
      <formula>NOT(ISERROR(SEARCH("PENDIENTE",Z87)))</formula>
    </cfRule>
  </conditionalFormatting>
  <conditionalFormatting sqref="Z105:AD105">
    <cfRule type="containsText" dxfId="3142" priority="7565" operator="containsText" text="PENDIENTE">
      <formula>NOT(ISERROR(SEARCH("PENDIENTE",Z105)))</formula>
    </cfRule>
  </conditionalFormatting>
  <conditionalFormatting sqref="Z115:AD115">
    <cfRule type="containsText" dxfId="3141" priority="7564" operator="containsText" text="PENDIENTE">
      <formula>NOT(ISERROR(SEARCH("PENDIENTE",Z115)))</formula>
    </cfRule>
  </conditionalFormatting>
  <conditionalFormatting sqref="Z131:AD131">
    <cfRule type="containsText" dxfId="3140" priority="7563" operator="containsText" text="PENDIENTE">
      <formula>NOT(ISERROR(SEARCH("PENDIENTE",Z131)))</formula>
    </cfRule>
  </conditionalFormatting>
  <conditionalFormatting sqref="Z147:AD148">
    <cfRule type="containsText" dxfId="3139" priority="7561" operator="containsText" text="PENDIENTE">
      <formula>NOT(ISERROR(SEARCH("PENDIENTE",Z147)))</formula>
    </cfRule>
  </conditionalFormatting>
  <conditionalFormatting sqref="Z978:AD978 O978:Q979 U978:V982 X978:X982 AD979:AD981 P981:Q981 O982:Q982 Z982:AD982 AD984 O984:Q985 U984:V985 X984:X985 Z985:AD985">
    <cfRule type="cellIs" dxfId="3138" priority="2784" operator="equal">
      <formula>"ENVIADO"</formula>
    </cfRule>
    <cfRule type="cellIs" dxfId="3137" priority="2785" operator="equal">
      <formula>"NO CORRESPONDE"</formula>
    </cfRule>
  </conditionalFormatting>
  <conditionalFormatting sqref="AA159:AA162 AA164 AA166:AA172 AA174 AA176:AA177 AA179">
    <cfRule type="cellIs" dxfId="3136" priority="7439" operator="equal">
      <formula>"ENVIADO"</formula>
    </cfRule>
    <cfRule type="cellIs" dxfId="3135" priority="7440" operator="equal">
      <formula>"NO CORRESPONDE"</formula>
    </cfRule>
    <cfRule type="containsText" dxfId="3134" priority="7441" operator="containsText" text="PENDIENTE">
      <formula>NOT(ISERROR(SEARCH("PENDIENTE",AA159)))</formula>
    </cfRule>
  </conditionalFormatting>
  <conditionalFormatting sqref="AA191:AA192">
    <cfRule type="cellIs" dxfId="3133" priority="5844" operator="equal">
      <formula>"ENVIADO"</formula>
    </cfRule>
    <cfRule type="cellIs" dxfId="3132" priority="5845" operator="equal">
      <formula>"NO CORRESPONDE"</formula>
    </cfRule>
    <cfRule type="containsText" dxfId="3131" priority="5846" operator="containsText" text="PENDIENTE">
      <formula>NOT(ISERROR(SEARCH("PENDIENTE",AA191)))</formula>
    </cfRule>
  </conditionalFormatting>
  <conditionalFormatting sqref="AA210">
    <cfRule type="cellIs" dxfId="3130" priority="5841" operator="equal">
      <formula>"ENVIADO"</formula>
    </cfRule>
    <cfRule type="cellIs" dxfId="3129" priority="5842" operator="equal">
      <formula>"NO CORRESPONDE"</formula>
    </cfRule>
    <cfRule type="containsText" dxfId="3128" priority="5843" operator="containsText" text="PENDIENTE">
      <formula>NOT(ISERROR(SEARCH("PENDIENTE",AA210)))</formula>
    </cfRule>
  </conditionalFormatting>
  <conditionalFormatting sqref="AA230">
    <cfRule type="cellIs" dxfId="3127" priority="5838" operator="equal">
      <formula>"ENVIADO"</formula>
    </cfRule>
    <cfRule type="cellIs" dxfId="3126" priority="5839" operator="equal">
      <formula>"NO CORRESPONDE"</formula>
    </cfRule>
    <cfRule type="containsText" dxfId="3125" priority="5840" operator="containsText" text="PENDIENTE">
      <formula>NOT(ISERROR(SEARCH("PENDIENTE",AA230)))</formula>
    </cfRule>
  </conditionalFormatting>
  <conditionalFormatting sqref="AA239">
    <cfRule type="cellIs" dxfId="3124" priority="5835" operator="equal">
      <formula>"ENVIADO"</formula>
    </cfRule>
    <cfRule type="cellIs" dxfId="3123" priority="5836" operator="equal">
      <formula>"NO CORRESPONDE"</formula>
    </cfRule>
    <cfRule type="containsText" dxfId="3122" priority="5837" operator="containsText" text="PENDIENTE">
      <formula>NOT(ISERROR(SEARCH("PENDIENTE",AA239)))</formula>
    </cfRule>
  </conditionalFormatting>
  <conditionalFormatting sqref="AA244">
    <cfRule type="cellIs" dxfId="3121" priority="5832" operator="equal">
      <formula>"ENVIADO"</formula>
    </cfRule>
    <cfRule type="cellIs" dxfId="3120" priority="5833" operator="equal">
      <formula>"NO CORRESPONDE"</formula>
    </cfRule>
    <cfRule type="containsText" dxfId="3119" priority="5834" operator="containsText" text="PENDIENTE">
      <formula>NOT(ISERROR(SEARCH("PENDIENTE",AA244)))</formula>
    </cfRule>
  </conditionalFormatting>
  <conditionalFormatting sqref="AA253">
    <cfRule type="cellIs" dxfId="3118" priority="5829" operator="equal">
      <formula>"ENVIADO"</formula>
    </cfRule>
    <cfRule type="cellIs" dxfId="3117" priority="5830" operator="equal">
      <formula>"NO CORRESPONDE"</formula>
    </cfRule>
    <cfRule type="containsText" dxfId="3116" priority="5831" operator="containsText" text="PENDIENTE">
      <formula>NOT(ISERROR(SEARCH("PENDIENTE",AA253)))</formula>
    </cfRule>
  </conditionalFormatting>
  <conditionalFormatting sqref="AA267">
    <cfRule type="cellIs" dxfId="3115" priority="5689" operator="equal">
      <formula>"ENVIADO"</formula>
    </cfRule>
    <cfRule type="cellIs" dxfId="3114" priority="5690" operator="equal">
      <formula>"NO CORRESPONDE"</formula>
    </cfRule>
    <cfRule type="containsText" dxfId="3113" priority="5691" operator="containsText" text="PENDIENTE">
      <formula>NOT(ISERROR(SEARCH("PENDIENTE",AA267)))</formula>
    </cfRule>
  </conditionalFormatting>
  <conditionalFormatting sqref="AA269">
    <cfRule type="cellIs" dxfId="3112" priority="5826" operator="equal">
      <formula>"ENVIADO"</formula>
    </cfRule>
    <cfRule type="cellIs" dxfId="3111" priority="5827" operator="equal">
      <formula>"NO CORRESPONDE"</formula>
    </cfRule>
    <cfRule type="containsText" dxfId="3110" priority="5828" operator="containsText" text="PENDIENTE">
      <formula>NOT(ISERROR(SEARCH("PENDIENTE",AA269)))</formula>
    </cfRule>
  </conditionalFormatting>
  <conditionalFormatting sqref="AA278">
    <cfRule type="cellIs" dxfId="3109" priority="5823" operator="equal">
      <formula>"ENVIADO"</formula>
    </cfRule>
    <cfRule type="cellIs" dxfId="3108" priority="5824" operator="equal">
      <formula>"NO CORRESPONDE"</formula>
    </cfRule>
    <cfRule type="containsText" dxfId="3107" priority="5825" operator="containsText" text="PENDIENTE">
      <formula>NOT(ISERROR(SEARCH("PENDIENTE",AA278)))</formula>
    </cfRule>
  </conditionalFormatting>
  <conditionalFormatting sqref="AA300">
    <cfRule type="cellIs" dxfId="3106" priority="5820" operator="equal">
      <formula>"ENVIADO"</formula>
    </cfRule>
    <cfRule type="cellIs" dxfId="3105" priority="5821" operator="equal">
      <formula>"NO CORRESPONDE"</formula>
    </cfRule>
    <cfRule type="containsText" dxfId="3104" priority="5822" operator="containsText" text="PENDIENTE">
      <formula>NOT(ISERROR(SEARCH("PENDIENTE",AA300)))</formula>
    </cfRule>
  </conditionalFormatting>
  <conditionalFormatting sqref="AD32 U32 W32:X32 Z32:AB32 AG32:AP32">
    <cfRule type="containsText" dxfId="3103" priority="5973" operator="containsText" text="PENDIENTE">
      <formula>NOT(ISERROR(SEARCH("PENDIENTE",U32)))</formula>
    </cfRule>
  </conditionalFormatting>
  <conditionalFormatting sqref="AD32 AD328:AD330 AD552 AD835 AD932 AD1019 AD761 AD780 AD984:AD985">
    <cfRule type="expression" dxfId="3102" priority="5959">
      <formula>$AD32="PENDIENTE"</formula>
    </cfRule>
    <cfRule type="expression" dxfId="3101" priority="5961">
      <formula>$AD32="FACTURADO"</formula>
    </cfRule>
    <cfRule type="expression" dxfId="3100" priority="5964">
      <formula>$AD32="NO CORRESPONDE"</formula>
    </cfRule>
    <cfRule type="expression" dxfId="3099" priority="5965">
      <formula>$AD32="PENDIENTE"</formula>
    </cfRule>
    <cfRule type="expression" dxfId="3098" priority="5967">
      <formula>$AD32="FACTURADO"</formula>
    </cfRule>
    <cfRule type="expression" dxfId="3097" priority="5970">
      <formula>$AD32="NO CORRESPONDE"</formula>
    </cfRule>
    <cfRule type="expression" dxfId="3096" priority="5974">
      <formula>$J32="Anulada"</formula>
    </cfRule>
    <cfRule type="expression" dxfId="3095" priority="5975">
      <formula>$J32="En blanco"</formula>
    </cfRule>
  </conditionalFormatting>
  <conditionalFormatting sqref="AD91 U91 W91:X91 Z91:AB91 AG91:AP91">
    <cfRule type="containsText" dxfId="3094" priority="6017" operator="containsText" text="PENDIENTE">
      <formula>NOT(ISERROR(SEARCH("PENDIENTE",U91)))</formula>
    </cfRule>
  </conditionalFormatting>
  <conditionalFormatting sqref="AD91">
    <cfRule type="expression" dxfId="3093" priority="6003">
      <formula>$AD91="PENDIENTE"</formula>
    </cfRule>
    <cfRule type="expression" dxfId="3092" priority="6005">
      <formula>$AD91="FACTURADO"</formula>
    </cfRule>
    <cfRule type="expression" dxfId="3091" priority="6008">
      <formula>$AD91="NO CORRESPONDE"</formula>
    </cfRule>
    <cfRule type="expression" dxfId="3090" priority="6009">
      <formula>$AD91="PENDIENTE"</formula>
    </cfRule>
    <cfRule type="expression" dxfId="3089" priority="6011">
      <formula>$AD91="FACTURADO"</formula>
    </cfRule>
    <cfRule type="expression" dxfId="3088" priority="6014">
      <formula>$AD91="NO CORRESPONDE"</formula>
    </cfRule>
    <cfRule type="expression" dxfId="3087" priority="6018">
      <formula>$J91="Anulada"</formula>
    </cfRule>
    <cfRule type="expression" dxfId="3086" priority="6019">
      <formula>$J91="En blanco"</formula>
    </cfRule>
  </conditionalFormatting>
  <conditionalFormatting sqref="AD130 U130 W130:X130 Z130:AB130 AG130:AP130">
    <cfRule type="containsText" dxfId="3085" priority="6061" operator="containsText" text="PENDIENTE">
      <formula>NOT(ISERROR(SEARCH("PENDIENTE",U130)))</formula>
    </cfRule>
  </conditionalFormatting>
  <conditionalFormatting sqref="AD130">
    <cfRule type="expression" dxfId="3084" priority="6047">
      <formula>$AD130="PENDIENTE"</formula>
    </cfRule>
    <cfRule type="expression" dxfId="3083" priority="6049">
      <formula>$AD130="FACTURADO"</formula>
    </cfRule>
    <cfRule type="expression" dxfId="3082" priority="6052">
      <formula>$AD130="NO CORRESPONDE"</formula>
    </cfRule>
    <cfRule type="expression" dxfId="3081" priority="6053">
      <formula>$AD130="PENDIENTE"</formula>
    </cfRule>
    <cfRule type="expression" dxfId="3080" priority="6055">
      <formula>$AD130="FACTURADO"</formula>
    </cfRule>
    <cfRule type="expression" dxfId="3079" priority="6058">
      <formula>$AD130="NO CORRESPONDE"</formula>
    </cfRule>
    <cfRule type="expression" dxfId="3078" priority="6062">
      <formula>$J130="Anulada"</formula>
    </cfRule>
    <cfRule type="expression" dxfId="3077" priority="6063">
      <formula>$J130="En blanco"</formula>
    </cfRule>
  </conditionalFormatting>
  <conditionalFormatting sqref="AD154 U154 W154:X154 Z154:AB154 AG154:AP154">
    <cfRule type="containsText" dxfId="3076" priority="6149" operator="containsText" text="PENDIENTE">
      <formula>NOT(ISERROR(SEARCH("PENDIENTE",U154)))</formula>
    </cfRule>
  </conditionalFormatting>
  <conditionalFormatting sqref="AD154">
    <cfRule type="expression" dxfId="3075" priority="6135">
      <formula>$AD154="PENDIENTE"</formula>
    </cfRule>
    <cfRule type="expression" dxfId="3074" priority="6137">
      <formula>$AD154="FACTURADO"</formula>
    </cfRule>
    <cfRule type="expression" dxfId="3073" priority="6140">
      <formula>$AD154="NO CORRESPONDE"</formula>
    </cfRule>
    <cfRule type="expression" dxfId="3072" priority="6141">
      <formula>$AD154="PENDIENTE"</formula>
    </cfRule>
    <cfRule type="expression" dxfId="3071" priority="6143">
      <formula>$AD154="FACTURADO"</formula>
    </cfRule>
    <cfRule type="expression" dxfId="3070" priority="6146">
      <formula>$AD154="NO CORRESPONDE"</formula>
    </cfRule>
    <cfRule type="expression" dxfId="3069" priority="6150">
      <formula>$J154="Anulada"</formula>
    </cfRule>
    <cfRule type="expression" dxfId="3068" priority="6151">
      <formula>$J154="En blanco"</formula>
    </cfRule>
  </conditionalFormatting>
  <conditionalFormatting sqref="AD158 U158 W158:X158 Z158:AB158 AG158:AP158">
    <cfRule type="containsText" dxfId="3067" priority="6105" operator="containsText" text="PENDIENTE">
      <formula>NOT(ISERROR(SEARCH("PENDIENTE",U158)))</formula>
    </cfRule>
  </conditionalFormatting>
  <conditionalFormatting sqref="AD158">
    <cfRule type="expression" dxfId="3066" priority="6091">
      <formula>$AD158="PENDIENTE"</formula>
    </cfRule>
    <cfRule type="expression" dxfId="3065" priority="6093">
      <formula>$AD158="FACTURADO"</formula>
    </cfRule>
    <cfRule type="expression" dxfId="3064" priority="6096">
      <formula>$AD158="NO CORRESPONDE"</formula>
    </cfRule>
    <cfRule type="expression" dxfId="3063" priority="6097">
      <formula>$AD158="PENDIENTE"</formula>
    </cfRule>
    <cfRule type="expression" dxfId="3062" priority="6099">
      <formula>$AD158="FACTURADO"</formula>
    </cfRule>
    <cfRule type="expression" dxfId="3061" priority="6102">
      <formula>$AD158="NO CORRESPONDE"</formula>
    </cfRule>
    <cfRule type="expression" dxfId="3060" priority="6106">
      <formula>$J158="Anulada"</formula>
    </cfRule>
    <cfRule type="expression" dxfId="3059" priority="6107">
      <formula>$J158="En blanco"</formula>
    </cfRule>
  </conditionalFormatting>
  <conditionalFormatting sqref="AD209 U209 W209:X209 Z209:AB209 AG209:AP209">
    <cfRule type="containsText" dxfId="3058" priority="6193" operator="containsText" text="PENDIENTE">
      <formula>NOT(ISERROR(SEARCH("PENDIENTE",U209)))</formula>
    </cfRule>
  </conditionalFormatting>
  <conditionalFormatting sqref="AD209">
    <cfRule type="expression" dxfId="3057" priority="6179">
      <formula>$AD209="PENDIENTE"</formula>
    </cfRule>
    <cfRule type="expression" dxfId="3056" priority="6181">
      <formula>$AD209="FACTURADO"</formula>
    </cfRule>
    <cfRule type="expression" dxfId="3055" priority="6184">
      <formula>$AD209="NO CORRESPONDE"</formula>
    </cfRule>
    <cfRule type="expression" dxfId="3054" priority="6185">
      <formula>$AD209="PENDIENTE"</formula>
    </cfRule>
    <cfRule type="expression" dxfId="3053" priority="6187">
      <formula>$AD209="FACTURADO"</formula>
    </cfRule>
    <cfRule type="expression" dxfId="3052" priority="6190">
      <formula>$AD209="NO CORRESPONDE"</formula>
    </cfRule>
    <cfRule type="expression" dxfId="3051" priority="6194">
      <formula>$J209="Anulada"</formula>
    </cfRule>
    <cfRule type="expression" dxfId="3050" priority="6195">
      <formula>$J209="En blanco"</formula>
    </cfRule>
  </conditionalFormatting>
  <conditionalFormatting sqref="AD211 U211 W211:X211 Z211:AB211 AG211:AP211">
    <cfRule type="containsText" dxfId="3049" priority="6281" operator="containsText" text="PENDIENTE">
      <formula>NOT(ISERROR(SEARCH("PENDIENTE",U211)))</formula>
    </cfRule>
  </conditionalFormatting>
  <conditionalFormatting sqref="AD211">
    <cfRule type="expression" dxfId="3048" priority="6267">
      <formula>$AD211="PENDIENTE"</formula>
    </cfRule>
    <cfRule type="expression" dxfId="3047" priority="6269">
      <formula>$AD211="FACTURADO"</formula>
    </cfRule>
    <cfRule type="expression" dxfId="3046" priority="6272">
      <formula>$AD211="NO CORRESPONDE"</formula>
    </cfRule>
    <cfRule type="expression" dxfId="3045" priority="6273">
      <formula>$AD211="PENDIENTE"</formula>
    </cfRule>
    <cfRule type="expression" dxfId="3044" priority="6275">
      <formula>$AD211="FACTURADO"</formula>
    </cfRule>
    <cfRule type="expression" dxfId="3043" priority="6278">
      <formula>$AD211="NO CORRESPONDE"</formula>
    </cfRule>
    <cfRule type="expression" dxfId="3042" priority="6282">
      <formula>$J211="Anulada"</formula>
    </cfRule>
    <cfRule type="expression" dxfId="3041" priority="6283">
      <formula>$J211="En blanco"</formula>
    </cfRule>
  </conditionalFormatting>
  <conditionalFormatting sqref="AD213 U213 W213:X213 Z213:AB213 AG213:AP213">
    <cfRule type="containsText" dxfId="3040" priority="6237" operator="containsText" text="PENDIENTE">
      <formula>NOT(ISERROR(SEARCH("PENDIENTE",U213)))</formula>
    </cfRule>
  </conditionalFormatting>
  <conditionalFormatting sqref="AD213">
    <cfRule type="expression" dxfId="3039" priority="6223">
      <formula>$AD213="PENDIENTE"</formula>
    </cfRule>
    <cfRule type="expression" dxfId="3038" priority="6225">
      <formula>$AD213="FACTURADO"</formula>
    </cfRule>
    <cfRule type="expression" dxfId="3037" priority="6228">
      <formula>$AD213="NO CORRESPONDE"</formula>
    </cfRule>
    <cfRule type="expression" dxfId="3036" priority="6229">
      <formula>$AD213="PENDIENTE"</formula>
    </cfRule>
    <cfRule type="expression" dxfId="3035" priority="6231">
      <formula>$AD213="FACTURADO"</formula>
    </cfRule>
    <cfRule type="expression" dxfId="3034" priority="6234">
      <formula>$AD213="NO CORRESPONDE"</formula>
    </cfRule>
    <cfRule type="expression" dxfId="3033" priority="6238">
      <formula>$J213="Anulada"</formula>
    </cfRule>
    <cfRule type="expression" dxfId="3032" priority="6239">
      <formula>$J213="En blanco"</formula>
    </cfRule>
  </conditionalFormatting>
  <conditionalFormatting sqref="AD228 U228 W228:X228 Z228:AB228 AG228:AP228">
    <cfRule type="containsText" dxfId="3031" priority="6325" operator="containsText" text="PENDIENTE">
      <formula>NOT(ISERROR(SEARCH("PENDIENTE",U228)))</formula>
    </cfRule>
  </conditionalFormatting>
  <conditionalFormatting sqref="AD228">
    <cfRule type="expression" dxfId="3030" priority="6311">
      <formula>$AD228="PENDIENTE"</formula>
    </cfRule>
    <cfRule type="expression" dxfId="3029" priority="6313">
      <formula>$AD228="FACTURADO"</formula>
    </cfRule>
    <cfRule type="expression" dxfId="3028" priority="6316">
      <formula>$AD228="NO CORRESPONDE"</formula>
    </cfRule>
    <cfRule type="expression" dxfId="3027" priority="6317">
      <formula>$AD228="PENDIENTE"</formula>
    </cfRule>
    <cfRule type="expression" dxfId="3026" priority="6319">
      <formula>$AD228="FACTURADO"</formula>
    </cfRule>
    <cfRule type="expression" dxfId="3025" priority="6322">
      <formula>$AD228="NO CORRESPONDE"</formula>
    </cfRule>
    <cfRule type="expression" dxfId="3024" priority="6326">
      <formula>$J228="Anulada"</formula>
    </cfRule>
    <cfRule type="expression" dxfId="3023" priority="6327">
      <formula>$J228="En blanco"</formula>
    </cfRule>
  </conditionalFormatting>
  <conditionalFormatting sqref="AD231 U231 W231:X231 Z231:AB231 AG231:AP231">
    <cfRule type="containsText" dxfId="3022" priority="6369" operator="containsText" text="PENDIENTE">
      <formula>NOT(ISERROR(SEARCH("PENDIENTE",U231)))</formula>
    </cfRule>
  </conditionalFormatting>
  <conditionalFormatting sqref="AD231">
    <cfRule type="expression" dxfId="3021" priority="6355">
      <formula>$AD231="PENDIENTE"</formula>
    </cfRule>
    <cfRule type="expression" dxfId="3020" priority="6357">
      <formula>$AD231="FACTURADO"</formula>
    </cfRule>
    <cfRule type="expression" dxfId="3019" priority="6360">
      <formula>$AD231="NO CORRESPONDE"</formula>
    </cfRule>
    <cfRule type="expression" dxfId="3018" priority="6361">
      <formula>$AD231="PENDIENTE"</formula>
    </cfRule>
    <cfRule type="expression" dxfId="3017" priority="6363">
      <formula>$AD231="FACTURADO"</formula>
    </cfRule>
    <cfRule type="expression" dxfId="3016" priority="6366">
      <formula>$AD231="NO CORRESPONDE"</formula>
    </cfRule>
    <cfRule type="expression" dxfId="3015" priority="6370">
      <formula>$J231="Anulada"</formula>
    </cfRule>
    <cfRule type="expression" dxfId="3014" priority="6371">
      <formula>$J231="En blanco"</formula>
    </cfRule>
  </conditionalFormatting>
  <conditionalFormatting sqref="AD235 U235 W235:X235 Z235:AB235 AG235:AP235">
    <cfRule type="containsText" dxfId="3013" priority="6413" operator="containsText" text="PENDIENTE">
      <formula>NOT(ISERROR(SEARCH("PENDIENTE",U235)))</formula>
    </cfRule>
  </conditionalFormatting>
  <conditionalFormatting sqref="AD235">
    <cfRule type="expression" dxfId="3012" priority="6399">
      <formula>$AD235="PENDIENTE"</formula>
    </cfRule>
    <cfRule type="expression" dxfId="3011" priority="6401">
      <formula>$AD235="FACTURADO"</formula>
    </cfRule>
    <cfRule type="expression" dxfId="3010" priority="6404">
      <formula>$AD235="NO CORRESPONDE"</formula>
    </cfRule>
    <cfRule type="expression" dxfId="3009" priority="6405">
      <formula>$AD235="PENDIENTE"</formula>
    </cfRule>
    <cfRule type="expression" dxfId="3008" priority="6407">
      <formula>$AD235="FACTURADO"</formula>
    </cfRule>
    <cfRule type="expression" dxfId="3007" priority="6410">
      <formula>$AD235="NO CORRESPONDE"</formula>
    </cfRule>
    <cfRule type="expression" dxfId="3006" priority="6414">
      <formula>$J235="Anulada"</formula>
    </cfRule>
    <cfRule type="expression" dxfId="3005" priority="6415">
      <formula>$J235="En blanco"</formula>
    </cfRule>
  </conditionalFormatting>
  <conditionalFormatting sqref="AD247 U247 W247:X247 Z247:AB247 AG247:AP247">
    <cfRule type="containsText" dxfId="3004" priority="6457" operator="containsText" text="PENDIENTE">
      <formula>NOT(ISERROR(SEARCH("PENDIENTE",U247)))</formula>
    </cfRule>
  </conditionalFormatting>
  <conditionalFormatting sqref="AD247">
    <cfRule type="expression" dxfId="3003" priority="6443">
      <formula>$AD247="PENDIENTE"</formula>
    </cfRule>
    <cfRule type="expression" dxfId="3002" priority="6445">
      <formula>$AD247="FACTURADO"</formula>
    </cfRule>
    <cfRule type="expression" dxfId="3001" priority="6448">
      <formula>$AD247="NO CORRESPONDE"</formula>
    </cfRule>
    <cfRule type="expression" dxfId="3000" priority="6449">
      <formula>$AD247="PENDIENTE"</formula>
    </cfRule>
    <cfRule type="expression" dxfId="2999" priority="6451">
      <formula>$AD247="FACTURADO"</formula>
    </cfRule>
    <cfRule type="expression" dxfId="2998" priority="6454">
      <formula>$AD247="NO CORRESPONDE"</formula>
    </cfRule>
    <cfRule type="expression" dxfId="2997" priority="6458">
      <formula>$J247="Anulada"</formula>
    </cfRule>
    <cfRule type="expression" dxfId="2996" priority="6459">
      <formula>$J247="En blanco"</formula>
    </cfRule>
  </conditionalFormatting>
  <conditionalFormatting sqref="AD257 U257:U259 W257:X259 Z257:AB259 AG257:AP259">
    <cfRule type="containsText" dxfId="2995" priority="6501" operator="containsText" text="PENDIENTE">
      <formula>NOT(ISERROR(SEARCH("PENDIENTE",U257)))</formula>
    </cfRule>
  </conditionalFormatting>
  <conditionalFormatting sqref="AD257">
    <cfRule type="expression" dxfId="2994" priority="6487">
      <formula>$AD257="PENDIENTE"</formula>
    </cfRule>
    <cfRule type="expression" dxfId="2993" priority="6489">
      <formula>$AD257="FACTURADO"</formula>
    </cfRule>
    <cfRule type="expression" dxfId="2992" priority="6492">
      <formula>$AD257="NO CORRESPONDE"</formula>
    </cfRule>
    <cfRule type="expression" dxfId="2991" priority="6493">
      <formula>$AD257="PENDIENTE"</formula>
    </cfRule>
    <cfRule type="expression" dxfId="2990" priority="6495">
      <formula>$AD257="FACTURADO"</formula>
    </cfRule>
    <cfRule type="expression" dxfId="2989" priority="6498">
      <formula>$AD257="NO CORRESPONDE"</formula>
    </cfRule>
    <cfRule type="expression" dxfId="2988" priority="6502">
      <formula>$J257="Anulada"</formula>
    </cfRule>
    <cfRule type="expression" dxfId="2987" priority="6503">
      <formula>$J257="En blanco"</formula>
    </cfRule>
  </conditionalFormatting>
  <conditionalFormatting sqref="AD280 U280 W280:X280 Z280:AB280 AG280:AP280">
    <cfRule type="containsText" dxfId="2986" priority="6541" operator="containsText" text="PENDIENTE">
      <formula>NOT(ISERROR(SEARCH("PENDIENTE",U280)))</formula>
    </cfRule>
  </conditionalFormatting>
  <conditionalFormatting sqref="AD280">
    <cfRule type="expression" dxfId="2985" priority="6527">
      <formula>$AD280="PENDIENTE"</formula>
    </cfRule>
    <cfRule type="expression" dxfId="2984" priority="6529">
      <formula>$AD280="FACTURADO"</formula>
    </cfRule>
    <cfRule type="expression" dxfId="2983" priority="6532">
      <formula>$AD280="NO CORRESPONDE"</formula>
    </cfRule>
    <cfRule type="expression" dxfId="2982" priority="6533">
      <formula>$AD280="PENDIENTE"</formula>
    </cfRule>
    <cfRule type="expression" dxfId="2981" priority="6535">
      <formula>$AD280="FACTURADO"</formula>
    </cfRule>
    <cfRule type="expression" dxfId="2980" priority="6538">
      <formula>$AD280="NO CORRESPONDE"</formula>
    </cfRule>
    <cfRule type="expression" dxfId="2979" priority="6542">
      <formula>$J280="Anulada"</formula>
    </cfRule>
    <cfRule type="expression" dxfId="2978" priority="6543">
      <formula>$J280="En blanco"</formula>
    </cfRule>
  </conditionalFormatting>
  <conditionalFormatting sqref="AD283 U282:U285 W282:X285 Z282:AB285 AG283:AP283">
    <cfRule type="containsText" dxfId="2977" priority="6581" operator="containsText" text="PENDIENTE">
      <formula>NOT(ISERROR(SEARCH("PENDIENTE",U282)))</formula>
    </cfRule>
  </conditionalFormatting>
  <conditionalFormatting sqref="AD283">
    <cfRule type="expression" dxfId="2976" priority="6567">
      <formula>$AD283="PENDIENTE"</formula>
    </cfRule>
    <cfRule type="expression" dxfId="2975" priority="6569">
      <formula>$AD283="FACTURADO"</formula>
    </cfRule>
    <cfRule type="expression" dxfId="2974" priority="6572">
      <formula>$AD283="NO CORRESPONDE"</formula>
    </cfRule>
    <cfRule type="expression" dxfId="2973" priority="6573">
      <formula>$AD283="PENDIENTE"</formula>
    </cfRule>
    <cfRule type="expression" dxfId="2972" priority="6575">
      <formula>$AD283="FACTURADO"</formula>
    </cfRule>
    <cfRule type="expression" dxfId="2971" priority="6578">
      <formula>$AD283="NO CORRESPONDE"</formula>
    </cfRule>
    <cfRule type="expression" dxfId="2970" priority="6582">
      <formula>$J283="Anulada"</formula>
    </cfRule>
    <cfRule type="expression" dxfId="2969" priority="6583">
      <formula>$J283="En blanco"</formula>
    </cfRule>
  </conditionalFormatting>
  <conditionalFormatting sqref="AD287 U287 W287:X287 Z287:AB287 AG287:AP287">
    <cfRule type="containsText" dxfId="2968" priority="6621" operator="containsText" text="PENDIENTE">
      <formula>NOT(ISERROR(SEARCH("PENDIENTE",U287)))</formula>
    </cfRule>
  </conditionalFormatting>
  <conditionalFormatting sqref="AD287">
    <cfRule type="expression" dxfId="2967" priority="6607">
      <formula>$AD287="PENDIENTE"</formula>
    </cfRule>
    <cfRule type="expression" dxfId="2966" priority="6609">
      <formula>$AD287="FACTURADO"</formula>
    </cfRule>
    <cfRule type="expression" dxfId="2965" priority="6612">
      <formula>$AD287="NO CORRESPONDE"</formula>
    </cfRule>
    <cfRule type="expression" dxfId="2964" priority="6613">
      <formula>$AD287="PENDIENTE"</formula>
    </cfRule>
    <cfRule type="expression" dxfId="2963" priority="6615">
      <formula>$AD287="FACTURADO"</formula>
    </cfRule>
    <cfRule type="expression" dxfId="2962" priority="6618">
      <formula>$AD287="NO CORRESPONDE"</formula>
    </cfRule>
    <cfRule type="expression" dxfId="2961" priority="6622">
      <formula>$J287="Anulada"</formula>
    </cfRule>
    <cfRule type="expression" dxfId="2960" priority="6623">
      <formula>$J287="En blanco"</formula>
    </cfRule>
  </conditionalFormatting>
  <conditionalFormatting sqref="AD289 U289 W289:X289 Z289:AB289 AG289:AP289">
    <cfRule type="containsText" dxfId="2959" priority="6660" operator="containsText" text="PENDIENTE">
      <formula>NOT(ISERROR(SEARCH("PENDIENTE",U289)))</formula>
    </cfRule>
  </conditionalFormatting>
  <conditionalFormatting sqref="AD289">
    <cfRule type="expression" dxfId="2958" priority="6646">
      <formula>$AD289="PENDIENTE"</formula>
    </cfRule>
    <cfRule type="expression" dxfId="2957" priority="6648">
      <formula>$AD289="FACTURADO"</formula>
    </cfRule>
    <cfRule type="expression" dxfId="2956" priority="6651">
      <formula>$AD289="NO CORRESPONDE"</formula>
    </cfRule>
    <cfRule type="expression" dxfId="2955" priority="6652">
      <formula>$AD289="PENDIENTE"</formula>
    </cfRule>
    <cfRule type="expression" dxfId="2954" priority="6654">
      <formula>$AD289="FACTURADO"</formula>
    </cfRule>
    <cfRule type="expression" dxfId="2953" priority="6657">
      <formula>$AD289="NO CORRESPONDE"</formula>
    </cfRule>
    <cfRule type="expression" dxfId="2952" priority="6661">
      <formula>$J289="Anulada"</formula>
    </cfRule>
    <cfRule type="expression" dxfId="2951" priority="6662">
      <formula>$J289="En blanco"</formula>
    </cfRule>
  </conditionalFormatting>
  <conditionalFormatting sqref="AD296 U296 W296:X296 Z296:AB296 AG296:AP296">
    <cfRule type="containsText" dxfId="2950" priority="6781" operator="containsText" text="PENDIENTE">
      <formula>NOT(ISERROR(SEARCH("PENDIENTE",U296)))</formula>
    </cfRule>
  </conditionalFormatting>
  <conditionalFormatting sqref="AD296">
    <cfRule type="expression" dxfId="2949" priority="6767">
      <formula>$AD296="PENDIENTE"</formula>
    </cfRule>
    <cfRule type="expression" dxfId="2948" priority="6769">
      <formula>$AD296="FACTURADO"</formula>
    </cfRule>
    <cfRule type="expression" dxfId="2947" priority="6772">
      <formula>$AD296="NO CORRESPONDE"</formula>
    </cfRule>
    <cfRule type="expression" dxfId="2946" priority="6773">
      <formula>$AD296="PENDIENTE"</formula>
    </cfRule>
    <cfRule type="expression" dxfId="2945" priority="6775">
      <formula>$AD296="FACTURADO"</formula>
    </cfRule>
    <cfRule type="expression" dxfId="2944" priority="6778">
      <formula>$AD296="NO CORRESPONDE"</formula>
    </cfRule>
    <cfRule type="expression" dxfId="2943" priority="6782">
      <formula>$J296="Anulada"</formula>
    </cfRule>
    <cfRule type="expression" dxfId="2942" priority="6783">
      <formula>$J296="En blanco"</formula>
    </cfRule>
  </conditionalFormatting>
  <conditionalFormatting sqref="AD310 U310 W310:X310 Z310:AB310 AG310:AP310">
    <cfRule type="containsText" dxfId="2941" priority="6699" operator="containsText" text="PENDIENTE">
      <formula>NOT(ISERROR(SEARCH("PENDIENTE",U310)))</formula>
    </cfRule>
  </conditionalFormatting>
  <conditionalFormatting sqref="AD310">
    <cfRule type="expression" dxfId="2940" priority="6685">
      <formula>$AD310="PENDIENTE"</formula>
    </cfRule>
    <cfRule type="expression" dxfId="2939" priority="6687">
      <formula>$AD310="FACTURADO"</formula>
    </cfRule>
    <cfRule type="expression" dxfId="2938" priority="6690">
      <formula>$AD310="NO CORRESPONDE"</formula>
    </cfRule>
    <cfRule type="expression" dxfId="2937" priority="6691">
      <formula>$AD310="PENDIENTE"</formula>
    </cfRule>
    <cfRule type="expression" dxfId="2936" priority="6693">
      <formula>$AD310="FACTURADO"</formula>
    </cfRule>
    <cfRule type="expression" dxfId="2935" priority="6696">
      <formula>$AD310="NO CORRESPONDE"</formula>
    </cfRule>
    <cfRule type="expression" dxfId="2934" priority="6700">
      <formula>$J310="Anulada"</formula>
    </cfRule>
    <cfRule type="expression" dxfId="2933" priority="6701">
      <formula>$J310="En blanco"</formula>
    </cfRule>
  </conditionalFormatting>
  <conditionalFormatting sqref="AD337 U337 W337:X337 Z337:AB337 AG337:AP337">
    <cfRule type="containsText" dxfId="2932" priority="5901" operator="containsText" text="PENDIENTE">
      <formula>NOT(ISERROR(SEARCH("PENDIENTE",U337)))</formula>
    </cfRule>
  </conditionalFormatting>
  <conditionalFormatting sqref="AD337">
    <cfRule type="expression" dxfId="2931" priority="5887">
      <formula>$AD337="PENDIENTE"</formula>
    </cfRule>
    <cfRule type="expression" dxfId="2930" priority="5889">
      <formula>$AD337="FACTURADO"</formula>
    </cfRule>
    <cfRule type="expression" dxfId="2929" priority="5892">
      <formula>$AD337="NO CORRESPONDE"</formula>
    </cfRule>
    <cfRule type="expression" dxfId="2928" priority="5893">
      <formula>$AD337="PENDIENTE"</formula>
    </cfRule>
    <cfRule type="expression" dxfId="2927" priority="5895">
      <formula>$AD337="FACTURADO"</formula>
    </cfRule>
    <cfRule type="expression" dxfId="2926" priority="5898">
      <formula>$AD337="NO CORRESPONDE"</formula>
    </cfRule>
    <cfRule type="expression" dxfId="2925" priority="5902">
      <formula>$J337="Anulada"</formula>
    </cfRule>
    <cfRule type="expression" dxfId="2924" priority="5903">
      <formula>$J337="En blanco"</formula>
    </cfRule>
  </conditionalFormatting>
  <conditionalFormatting sqref="AD355:AD356 U355:U356 W355:X355 Z355:AB355 AG355:AP356">
    <cfRule type="containsText" dxfId="2923" priority="5805" operator="containsText" text="PENDIENTE">
      <formula>NOT(ISERROR(SEARCH("PENDIENTE",U355)))</formula>
    </cfRule>
  </conditionalFormatting>
  <conditionalFormatting sqref="AD355:AD356">
    <cfRule type="expression" dxfId="2922" priority="5791">
      <formula>$AD355="PENDIENTE"</formula>
    </cfRule>
    <cfRule type="expression" dxfId="2921" priority="5793">
      <formula>$AD355="FACTURADO"</formula>
    </cfRule>
    <cfRule type="expression" dxfId="2920" priority="5796">
      <formula>$AD355="NO CORRESPONDE"</formula>
    </cfRule>
    <cfRule type="expression" dxfId="2919" priority="5797">
      <formula>$AD355="PENDIENTE"</formula>
    </cfRule>
    <cfRule type="expression" dxfId="2918" priority="5799">
      <formula>$AD355="FACTURADO"</formula>
    </cfRule>
    <cfRule type="expression" dxfId="2917" priority="5802">
      <formula>$AD355="NO CORRESPONDE"</formula>
    </cfRule>
    <cfRule type="expression" dxfId="2916" priority="5806">
      <formula>$J355="Anulada"</formula>
    </cfRule>
    <cfRule type="expression" dxfId="2915" priority="5807">
      <formula>$J355="En blanco"</formula>
    </cfRule>
  </conditionalFormatting>
  <conditionalFormatting sqref="AD367 U367 W367:X367 Z367:AB367 AG367:AP367">
    <cfRule type="containsText" dxfId="2914" priority="5765" operator="containsText" text="PENDIENTE">
      <formula>NOT(ISERROR(SEARCH("PENDIENTE",U367)))</formula>
    </cfRule>
  </conditionalFormatting>
  <conditionalFormatting sqref="AD367">
    <cfRule type="expression" dxfId="2913" priority="5751">
      <formula>$AD367="PENDIENTE"</formula>
    </cfRule>
    <cfRule type="expression" dxfId="2912" priority="5753">
      <formula>$AD367="FACTURADO"</formula>
    </cfRule>
    <cfRule type="expression" dxfId="2911" priority="5756">
      <formula>$AD367="NO CORRESPONDE"</formula>
    </cfRule>
    <cfRule type="expression" dxfId="2910" priority="5757">
      <formula>$AD367="PENDIENTE"</formula>
    </cfRule>
    <cfRule type="expression" dxfId="2909" priority="5759">
      <formula>$AD367="FACTURADO"</formula>
    </cfRule>
    <cfRule type="expression" dxfId="2908" priority="5762">
      <formula>$AD367="NO CORRESPONDE"</formula>
    </cfRule>
    <cfRule type="expression" dxfId="2907" priority="5766">
      <formula>$J367="Anulada"</formula>
    </cfRule>
    <cfRule type="expression" dxfId="2906" priority="5767">
      <formula>$J367="En blanco"</formula>
    </cfRule>
  </conditionalFormatting>
  <conditionalFormatting sqref="AD379 U379 W379:X379 Z379:AB379 AG379:AP379">
    <cfRule type="containsText" dxfId="2905" priority="5723" operator="containsText" text="PENDIENTE">
      <formula>NOT(ISERROR(SEARCH("PENDIENTE",U379)))</formula>
    </cfRule>
  </conditionalFormatting>
  <conditionalFormatting sqref="AD379">
    <cfRule type="expression" dxfId="2904" priority="5709">
      <formula>$AD379="PENDIENTE"</formula>
    </cfRule>
    <cfRule type="expression" dxfId="2903" priority="5711">
      <formula>$AD379="FACTURADO"</formula>
    </cfRule>
    <cfRule type="expression" dxfId="2902" priority="5714">
      <formula>$AD379="NO CORRESPONDE"</formula>
    </cfRule>
    <cfRule type="expression" dxfId="2901" priority="5715">
      <formula>$AD379="PENDIENTE"</formula>
    </cfRule>
    <cfRule type="expression" dxfId="2900" priority="5717">
      <formula>$AD379="FACTURADO"</formula>
    </cfRule>
    <cfRule type="expression" dxfId="2899" priority="5720">
      <formula>$AD379="NO CORRESPONDE"</formula>
    </cfRule>
    <cfRule type="expression" dxfId="2898" priority="5724">
      <formula>$J379="Anulada"</formula>
    </cfRule>
    <cfRule type="expression" dxfId="2897" priority="5725">
      <formula>$J379="En blanco"</formula>
    </cfRule>
  </conditionalFormatting>
  <conditionalFormatting sqref="AD408 U408 W408:X408 Z408:AB408 AG408:AP408">
    <cfRule type="containsText" dxfId="2896" priority="5619" operator="containsText" text="PENDIENTE">
      <formula>NOT(ISERROR(SEARCH("PENDIENTE",U408)))</formula>
    </cfRule>
  </conditionalFormatting>
  <conditionalFormatting sqref="AD408">
    <cfRule type="expression" dxfId="2895" priority="5605">
      <formula>$AD408="PENDIENTE"</formula>
    </cfRule>
    <cfRule type="expression" dxfId="2894" priority="5607">
      <formula>$AD408="FACTURADO"</formula>
    </cfRule>
    <cfRule type="expression" dxfId="2893" priority="5610">
      <formula>$AD408="NO CORRESPONDE"</formula>
    </cfRule>
    <cfRule type="expression" dxfId="2892" priority="5611">
      <formula>$AD408="PENDIENTE"</formula>
    </cfRule>
    <cfRule type="expression" dxfId="2891" priority="5613">
      <formula>$AD408="FACTURADO"</formula>
    </cfRule>
    <cfRule type="expression" dxfId="2890" priority="5616">
      <formula>$AD408="NO CORRESPONDE"</formula>
    </cfRule>
    <cfRule type="expression" dxfId="2889" priority="5620">
      <formula>$J408="Anulada"</formula>
    </cfRule>
    <cfRule type="expression" dxfId="2888" priority="5621">
      <formula>$J408="En blanco"</formula>
    </cfRule>
  </conditionalFormatting>
  <conditionalFormatting sqref="AD413 U413 W413:X413 Z413:AB413 AG413:AP413">
    <cfRule type="containsText" dxfId="2887" priority="5580" operator="containsText" text="PENDIENTE">
      <formula>NOT(ISERROR(SEARCH("PENDIENTE",U413)))</formula>
    </cfRule>
  </conditionalFormatting>
  <conditionalFormatting sqref="AD413">
    <cfRule type="expression" dxfId="2886" priority="5566">
      <formula>$AD413="PENDIENTE"</formula>
    </cfRule>
    <cfRule type="expression" dxfId="2885" priority="5568">
      <formula>$AD413="FACTURADO"</formula>
    </cfRule>
    <cfRule type="expression" dxfId="2884" priority="5571">
      <formula>$AD413="NO CORRESPONDE"</formula>
    </cfRule>
    <cfRule type="expression" dxfId="2883" priority="5572">
      <formula>$AD413="PENDIENTE"</formula>
    </cfRule>
    <cfRule type="expression" dxfId="2882" priority="5574">
      <formula>$AD413="FACTURADO"</formula>
    </cfRule>
    <cfRule type="expression" dxfId="2881" priority="5577">
      <formula>$AD413="NO CORRESPONDE"</formula>
    </cfRule>
    <cfRule type="expression" dxfId="2880" priority="5581">
      <formula>$J413="Anulada"</formula>
    </cfRule>
    <cfRule type="expression" dxfId="2879" priority="5582">
      <formula>$J413="En blanco"</formula>
    </cfRule>
  </conditionalFormatting>
  <conditionalFormatting sqref="AD416:AD417 U416:U417 W416:X417 Z416:AB417 AG416:AP417">
    <cfRule type="containsText" dxfId="2878" priority="5496" operator="containsText" text="PENDIENTE">
      <formula>NOT(ISERROR(SEARCH("PENDIENTE",U416)))</formula>
    </cfRule>
  </conditionalFormatting>
  <conditionalFormatting sqref="AD416:AD417">
    <cfRule type="expression" dxfId="2877" priority="5482">
      <formula>$AD416="PENDIENTE"</formula>
    </cfRule>
    <cfRule type="expression" dxfId="2876" priority="5484">
      <formula>$AD416="FACTURADO"</formula>
    </cfRule>
    <cfRule type="expression" dxfId="2875" priority="5487">
      <formula>$AD416="NO CORRESPONDE"</formula>
    </cfRule>
    <cfRule type="expression" dxfId="2874" priority="5488">
      <formula>$AD416="PENDIENTE"</formula>
    </cfRule>
    <cfRule type="expression" dxfId="2873" priority="5490">
      <formula>$AD416="FACTURADO"</formula>
    </cfRule>
    <cfRule type="expression" dxfId="2872" priority="5493">
      <formula>$AD416="NO CORRESPONDE"</formula>
    </cfRule>
    <cfRule type="expression" dxfId="2871" priority="5497">
      <formula>$J416="Anulada"</formula>
    </cfRule>
    <cfRule type="expression" dxfId="2870" priority="5498">
      <formula>$J416="En blanco"</formula>
    </cfRule>
  </conditionalFormatting>
  <conditionalFormatting sqref="AD421 U421 W421:X421 Z421:AB421 AG421:AP421">
    <cfRule type="containsText" dxfId="2869" priority="2178" operator="containsText" text="PENDIENTE">
      <formula>NOT(ISERROR(SEARCH("PENDIENTE",U421)))</formula>
    </cfRule>
  </conditionalFormatting>
  <conditionalFormatting sqref="AD421">
    <cfRule type="expression" dxfId="2868" priority="2166">
      <formula>$AD421="PENDIENTE"</formula>
    </cfRule>
    <cfRule type="expression" dxfId="2867" priority="2168">
      <formula>$AD421="FACTURADO"</formula>
    </cfRule>
    <cfRule type="expression" dxfId="2866" priority="2171">
      <formula>$AD421="NO CORRESPONDE"</formula>
    </cfRule>
    <cfRule type="expression" dxfId="2865" priority="2172">
      <formula>$AD421="PENDIENTE"</formula>
    </cfRule>
    <cfRule type="expression" dxfId="2864" priority="2174">
      <formula>$AD421="FACTURADO"</formula>
    </cfRule>
    <cfRule type="expression" dxfId="2863" priority="2177">
      <formula>$AD421="NO CORRESPONDE"</formula>
    </cfRule>
    <cfRule type="expression" dxfId="2862" priority="2179">
      <formula>$J421="Anulada"</formula>
    </cfRule>
    <cfRule type="expression" dxfId="2861" priority="2180">
      <formula>$J421="En blanco"</formula>
    </cfRule>
  </conditionalFormatting>
  <conditionalFormatting sqref="AD446 U446 W446:X446 Z446:AB446 AG446:AP446">
    <cfRule type="containsText" dxfId="2860" priority="5452" operator="containsText" text="PENDIENTE">
      <formula>NOT(ISERROR(SEARCH("PENDIENTE",U446)))</formula>
    </cfRule>
  </conditionalFormatting>
  <conditionalFormatting sqref="AD446">
    <cfRule type="expression" dxfId="2859" priority="5438">
      <formula>$AD446="PENDIENTE"</formula>
    </cfRule>
    <cfRule type="expression" dxfId="2858" priority="5440">
      <formula>$AD446="FACTURADO"</formula>
    </cfRule>
    <cfRule type="expression" dxfId="2857" priority="5443">
      <formula>$AD446="NO CORRESPONDE"</formula>
    </cfRule>
    <cfRule type="expression" dxfId="2856" priority="5444">
      <formula>$AD446="PENDIENTE"</formula>
    </cfRule>
    <cfRule type="expression" dxfId="2855" priority="5446">
      <formula>$AD446="FACTURADO"</formula>
    </cfRule>
    <cfRule type="expression" dxfId="2854" priority="5449">
      <formula>$AD446="NO CORRESPONDE"</formula>
    </cfRule>
    <cfRule type="expression" dxfId="2853" priority="5453">
      <formula>$J446="Anulada"</formula>
    </cfRule>
    <cfRule type="expression" dxfId="2852" priority="5454">
      <formula>$J446="En blanco"</formula>
    </cfRule>
  </conditionalFormatting>
  <conditionalFormatting sqref="AD452 U452 W452:X452 Z452:AB452 AG452:AP452">
    <cfRule type="containsText" dxfId="2851" priority="5282" operator="containsText" text="PENDIENTE">
      <formula>NOT(ISERROR(SEARCH("PENDIENTE",U452)))</formula>
    </cfRule>
  </conditionalFormatting>
  <conditionalFormatting sqref="AD452">
    <cfRule type="expression" dxfId="2850" priority="5268">
      <formula>$AD452="PENDIENTE"</formula>
    </cfRule>
    <cfRule type="expression" dxfId="2849" priority="5270">
      <formula>$AD452="FACTURADO"</formula>
    </cfRule>
    <cfRule type="expression" dxfId="2848" priority="5273">
      <formula>$AD452="NO CORRESPONDE"</formula>
    </cfRule>
    <cfRule type="expression" dxfId="2847" priority="5274">
      <formula>$AD452="PENDIENTE"</formula>
    </cfRule>
    <cfRule type="expression" dxfId="2846" priority="5276">
      <formula>$AD452="FACTURADO"</formula>
    </cfRule>
    <cfRule type="expression" dxfId="2845" priority="5279">
      <formula>$AD452="NO CORRESPONDE"</formula>
    </cfRule>
    <cfRule type="expression" dxfId="2844" priority="5283">
      <formula>$J452="Anulada"</formula>
    </cfRule>
    <cfRule type="expression" dxfId="2843" priority="5284">
      <formula>$J452="En blanco"</formula>
    </cfRule>
  </conditionalFormatting>
  <conditionalFormatting sqref="AD490 U490 X490 Z490:AB490 AG490:AP490">
    <cfRule type="containsText" dxfId="2842" priority="5370" operator="containsText" text="PENDIENTE">
      <formula>NOT(ISERROR(SEARCH("PENDIENTE",U490)))</formula>
    </cfRule>
  </conditionalFormatting>
  <conditionalFormatting sqref="AD490">
    <cfRule type="expression" dxfId="2841" priority="5356">
      <formula>$AD490="PENDIENTE"</formula>
    </cfRule>
    <cfRule type="expression" dxfId="2840" priority="5358">
      <formula>$AD490="FACTURADO"</formula>
    </cfRule>
    <cfRule type="expression" dxfId="2839" priority="5361">
      <formula>$AD490="NO CORRESPONDE"</formula>
    </cfRule>
    <cfRule type="expression" dxfId="2838" priority="5362">
      <formula>$AD490="PENDIENTE"</formula>
    </cfRule>
    <cfRule type="expression" dxfId="2837" priority="5364">
      <formula>$AD490="FACTURADO"</formula>
    </cfRule>
    <cfRule type="expression" dxfId="2836" priority="5367">
      <formula>$AD490="NO CORRESPONDE"</formula>
    </cfRule>
    <cfRule type="expression" dxfId="2835" priority="5371">
      <formula>$J490="Anulada"</formula>
    </cfRule>
    <cfRule type="expression" dxfId="2834" priority="5372">
      <formula>$J490="En blanco"</formula>
    </cfRule>
  </conditionalFormatting>
  <conditionalFormatting sqref="AD509 U509 X509 Z509:AB509 AG509:AP509">
    <cfRule type="containsText" dxfId="2833" priority="5315" operator="containsText" text="PENDIENTE">
      <formula>NOT(ISERROR(SEARCH("PENDIENTE",U509)))</formula>
    </cfRule>
  </conditionalFormatting>
  <conditionalFormatting sqref="AD509">
    <cfRule type="expression" dxfId="2832" priority="5301">
      <formula>$AD509="PENDIENTE"</formula>
    </cfRule>
    <cfRule type="expression" dxfId="2831" priority="5303">
      <formula>$AD509="FACTURADO"</formula>
    </cfRule>
    <cfRule type="expression" dxfId="2830" priority="5306">
      <formula>$AD509="NO CORRESPONDE"</formula>
    </cfRule>
    <cfRule type="expression" dxfId="2829" priority="5307">
      <formula>$AD509="PENDIENTE"</formula>
    </cfRule>
    <cfRule type="expression" dxfId="2828" priority="5309">
      <formula>$AD509="FACTURADO"</formula>
    </cfRule>
    <cfRule type="expression" dxfId="2827" priority="5312">
      <formula>$AD509="NO CORRESPONDE"</formula>
    </cfRule>
    <cfRule type="expression" dxfId="2826" priority="5316">
      <formula>$J509="Anulada"</formula>
    </cfRule>
    <cfRule type="expression" dxfId="2825" priority="5317">
      <formula>$J509="En blanco"</formula>
    </cfRule>
  </conditionalFormatting>
  <conditionalFormatting sqref="AD520 U520 X520 Z520:AB520 AG520:AP520">
    <cfRule type="containsText" dxfId="2824" priority="5245" operator="containsText" text="PENDIENTE">
      <formula>NOT(ISERROR(SEARCH("PENDIENTE",U520)))</formula>
    </cfRule>
  </conditionalFormatting>
  <conditionalFormatting sqref="AD520">
    <cfRule type="expression" dxfId="2823" priority="5231">
      <formula>$AD520="PENDIENTE"</formula>
    </cfRule>
    <cfRule type="expression" dxfId="2822" priority="5233">
      <formula>$AD520="FACTURADO"</formula>
    </cfRule>
    <cfRule type="expression" dxfId="2821" priority="5236">
      <formula>$AD520="NO CORRESPONDE"</formula>
    </cfRule>
    <cfRule type="expression" dxfId="2820" priority="5237">
      <formula>$AD520="PENDIENTE"</formula>
    </cfRule>
    <cfRule type="expression" dxfId="2819" priority="5239">
      <formula>$AD520="FACTURADO"</formula>
    </cfRule>
    <cfRule type="expression" dxfId="2818" priority="5242">
      <formula>$AD520="NO CORRESPONDE"</formula>
    </cfRule>
    <cfRule type="expression" dxfId="2817" priority="5246">
      <formula>$J520="Anulada"</formula>
    </cfRule>
    <cfRule type="expression" dxfId="2816" priority="5247">
      <formula>$J520="En blanco"</formula>
    </cfRule>
  </conditionalFormatting>
  <conditionalFormatting sqref="AD525 U525 X525 Z525:AB525 AG525:AP525">
    <cfRule type="containsText" dxfId="2815" priority="5211" operator="containsText" text="PENDIENTE">
      <formula>NOT(ISERROR(SEARCH("PENDIENTE",U525)))</formula>
    </cfRule>
  </conditionalFormatting>
  <conditionalFormatting sqref="AD525">
    <cfRule type="expression" dxfId="2814" priority="5197">
      <formula>$AD525="PENDIENTE"</formula>
    </cfRule>
    <cfRule type="expression" dxfId="2813" priority="5199">
      <formula>$AD525="FACTURADO"</formula>
    </cfRule>
    <cfRule type="expression" dxfId="2812" priority="5202">
      <formula>$AD525="NO CORRESPONDE"</formula>
    </cfRule>
    <cfRule type="expression" dxfId="2811" priority="5203">
      <formula>$AD525="PENDIENTE"</formula>
    </cfRule>
    <cfRule type="expression" dxfId="2810" priority="5205">
      <formula>$AD525="FACTURADO"</formula>
    </cfRule>
    <cfRule type="expression" dxfId="2809" priority="5208">
      <formula>$AD525="NO CORRESPONDE"</formula>
    </cfRule>
    <cfRule type="expression" dxfId="2808" priority="5212">
      <formula>$J525="Anulada"</formula>
    </cfRule>
    <cfRule type="expression" dxfId="2807" priority="5213">
      <formula>$J525="En blanco"</formula>
    </cfRule>
  </conditionalFormatting>
  <conditionalFormatting sqref="AD529 U529 X529 Z529:AB529 AG529:AP529">
    <cfRule type="containsText" dxfId="2806" priority="5177" operator="containsText" text="PENDIENTE">
      <formula>NOT(ISERROR(SEARCH("PENDIENTE",U529)))</formula>
    </cfRule>
  </conditionalFormatting>
  <conditionalFormatting sqref="AD529">
    <cfRule type="expression" dxfId="2805" priority="5163">
      <formula>$AD529="PENDIENTE"</formula>
    </cfRule>
    <cfRule type="expression" dxfId="2804" priority="5165">
      <formula>$AD529="FACTURADO"</formula>
    </cfRule>
    <cfRule type="expression" dxfId="2803" priority="5168">
      <formula>$AD529="NO CORRESPONDE"</formula>
    </cfRule>
    <cfRule type="expression" dxfId="2802" priority="5169">
      <formula>$AD529="PENDIENTE"</formula>
    </cfRule>
    <cfRule type="expression" dxfId="2801" priority="5171">
      <formula>$AD529="FACTURADO"</formula>
    </cfRule>
    <cfRule type="expression" dxfId="2800" priority="5174">
      <formula>$AD529="NO CORRESPONDE"</formula>
    </cfRule>
    <cfRule type="expression" dxfId="2799" priority="5178">
      <formula>$J529="Anulada"</formula>
    </cfRule>
    <cfRule type="expression" dxfId="2798" priority="5179">
      <formula>$J529="En blanco"</formula>
    </cfRule>
  </conditionalFormatting>
  <conditionalFormatting sqref="AD534:AD536 U534:U536 X534:X536 Z534:AB536 AG534:AP536">
    <cfRule type="containsText" dxfId="2797" priority="5143" operator="containsText" text="PENDIENTE">
      <formula>NOT(ISERROR(SEARCH("PENDIENTE",U534)))</formula>
    </cfRule>
  </conditionalFormatting>
  <conditionalFormatting sqref="AD534:AD536">
    <cfRule type="expression" dxfId="2796" priority="5129">
      <formula>$AD534="PENDIENTE"</formula>
    </cfRule>
    <cfRule type="expression" dxfId="2795" priority="5131">
      <formula>$AD534="FACTURADO"</formula>
    </cfRule>
    <cfRule type="expression" dxfId="2794" priority="5134">
      <formula>$AD534="NO CORRESPONDE"</formula>
    </cfRule>
    <cfRule type="expression" dxfId="2793" priority="5135">
      <formula>$AD534="PENDIENTE"</formula>
    </cfRule>
    <cfRule type="expression" dxfId="2792" priority="5137">
      <formula>$AD534="FACTURADO"</formula>
    </cfRule>
    <cfRule type="expression" dxfId="2791" priority="5140">
      <formula>$AD534="NO CORRESPONDE"</formula>
    </cfRule>
    <cfRule type="expression" dxfId="2790" priority="5144">
      <formula>$J534="Anulada"</formula>
    </cfRule>
    <cfRule type="expression" dxfId="2789" priority="5145">
      <formula>$J534="En blanco"</formula>
    </cfRule>
  </conditionalFormatting>
  <conditionalFormatting sqref="AD538 U538 X538 Z538:AB538 AG538:AP538">
    <cfRule type="containsText" dxfId="2788" priority="5109" operator="containsText" text="PENDIENTE">
      <formula>NOT(ISERROR(SEARCH("PENDIENTE",U538)))</formula>
    </cfRule>
  </conditionalFormatting>
  <conditionalFormatting sqref="AD538">
    <cfRule type="expression" dxfId="2787" priority="5095">
      <formula>$AD538="PENDIENTE"</formula>
    </cfRule>
    <cfRule type="expression" dxfId="2786" priority="5097">
      <formula>$AD538="FACTURADO"</formula>
    </cfRule>
    <cfRule type="expression" dxfId="2785" priority="5100">
      <formula>$AD538="NO CORRESPONDE"</formula>
    </cfRule>
    <cfRule type="expression" dxfId="2784" priority="5101">
      <formula>$AD538="PENDIENTE"</formula>
    </cfRule>
    <cfRule type="expression" dxfId="2783" priority="5103">
      <formula>$AD538="FACTURADO"</formula>
    </cfRule>
    <cfRule type="expression" dxfId="2782" priority="5106">
      <formula>$AD538="NO CORRESPONDE"</formula>
    </cfRule>
    <cfRule type="expression" dxfId="2781" priority="5110">
      <formula>$J538="Anulada"</formula>
    </cfRule>
    <cfRule type="expression" dxfId="2780" priority="5111">
      <formula>$J538="En blanco"</formula>
    </cfRule>
  </conditionalFormatting>
  <conditionalFormatting sqref="AD569 U569 X569 Z569:AB569 AG569:AP569">
    <cfRule type="containsText" dxfId="2779" priority="5017" operator="containsText" text="PENDIENTE">
      <formula>NOT(ISERROR(SEARCH("PENDIENTE",U569)))</formula>
    </cfRule>
  </conditionalFormatting>
  <conditionalFormatting sqref="AD569">
    <cfRule type="expression" dxfId="2778" priority="5003">
      <formula>$AD569="PENDIENTE"</formula>
    </cfRule>
    <cfRule type="expression" dxfId="2777" priority="5005">
      <formula>$AD569="FACTURADO"</formula>
    </cfRule>
    <cfRule type="expression" dxfId="2776" priority="5008">
      <formula>$AD569="NO CORRESPONDE"</formula>
    </cfRule>
    <cfRule type="expression" dxfId="2775" priority="5009">
      <formula>$AD569="PENDIENTE"</formula>
    </cfRule>
    <cfRule type="expression" dxfId="2774" priority="5011">
      <formula>$AD569="FACTURADO"</formula>
    </cfRule>
    <cfRule type="expression" dxfId="2773" priority="5014">
      <formula>$AD569="NO CORRESPONDE"</formula>
    </cfRule>
    <cfRule type="expression" dxfId="2772" priority="5018">
      <formula>$J569="Anulada"</formula>
    </cfRule>
    <cfRule type="expression" dxfId="2771" priority="5019">
      <formula>$J569="En blanco"</formula>
    </cfRule>
  </conditionalFormatting>
  <conditionalFormatting sqref="AD573 U573 X573 Z573:AB573 AG573:AP573">
    <cfRule type="containsText" dxfId="2770" priority="4963" operator="containsText" text="PENDIENTE">
      <formula>NOT(ISERROR(SEARCH("PENDIENTE",U573)))</formula>
    </cfRule>
  </conditionalFormatting>
  <conditionalFormatting sqref="AD573">
    <cfRule type="expression" dxfId="2769" priority="4949">
      <formula>$AD573="PENDIENTE"</formula>
    </cfRule>
    <cfRule type="expression" dxfId="2768" priority="4951">
      <formula>$AD573="FACTURADO"</formula>
    </cfRule>
    <cfRule type="expression" dxfId="2767" priority="4954">
      <formula>$AD573="NO CORRESPONDE"</formula>
    </cfRule>
    <cfRule type="expression" dxfId="2766" priority="4955">
      <formula>$AD573="PENDIENTE"</formula>
    </cfRule>
    <cfRule type="expression" dxfId="2765" priority="4957">
      <formula>$AD573="FACTURADO"</formula>
    </cfRule>
    <cfRule type="expression" dxfId="2764" priority="4960">
      <formula>$AD573="NO CORRESPONDE"</formula>
    </cfRule>
    <cfRule type="expression" dxfId="2763" priority="4964">
      <formula>$J573="Anulada"</formula>
    </cfRule>
    <cfRule type="expression" dxfId="2762" priority="4965">
      <formula>$J573="En blanco"</formula>
    </cfRule>
  </conditionalFormatting>
  <conditionalFormatting sqref="AD601 U601 X601 Z601:AB601 AG601:AP601">
    <cfRule type="containsText" dxfId="2761" priority="4871" operator="containsText" text="PENDIENTE">
      <formula>NOT(ISERROR(SEARCH("PENDIENTE",U601)))</formula>
    </cfRule>
  </conditionalFormatting>
  <conditionalFormatting sqref="AD601">
    <cfRule type="expression" dxfId="2760" priority="4857">
      <formula>$AD601="PENDIENTE"</formula>
    </cfRule>
    <cfRule type="expression" dxfId="2759" priority="4859">
      <formula>$AD601="FACTURADO"</formula>
    </cfRule>
    <cfRule type="expression" dxfId="2758" priority="4862">
      <formula>$AD601="NO CORRESPONDE"</formula>
    </cfRule>
    <cfRule type="expression" dxfId="2757" priority="4863">
      <formula>$AD601="PENDIENTE"</formula>
    </cfRule>
    <cfRule type="expression" dxfId="2756" priority="4865">
      <formula>$AD601="FACTURADO"</formula>
    </cfRule>
    <cfRule type="expression" dxfId="2755" priority="4868">
      <formula>$AD601="NO CORRESPONDE"</formula>
    </cfRule>
    <cfRule type="expression" dxfId="2754" priority="4872">
      <formula>$J601="Anulada"</formula>
    </cfRule>
    <cfRule type="expression" dxfId="2753" priority="4873">
      <formula>$J601="En blanco"</formula>
    </cfRule>
  </conditionalFormatting>
  <conditionalFormatting sqref="AD627:AD628 U627:U628 X627:X628 Z627:AB628 AG627:AP628">
    <cfRule type="containsText" dxfId="2752" priority="4830" operator="containsText" text="PENDIENTE">
      <formula>NOT(ISERROR(SEARCH("PENDIENTE",U627)))</formula>
    </cfRule>
  </conditionalFormatting>
  <conditionalFormatting sqref="AD627:AD628">
    <cfRule type="expression" dxfId="2751" priority="4816">
      <formula>$AD627="PENDIENTE"</formula>
    </cfRule>
    <cfRule type="expression" dxfId="2750" priority="4818">
      <formula>$AD627="FACTURADO"</formula>
    </cfRule>
    <cfRule type="expression" dxfId="2749" priority="4821">
      <formula>$AD627="NO CORRESPONDE"</formula>
    </cfRule>
    <cfRule type="expression" dxfId="2748" priority="4822">
      <formula>$AD627="PENDIENTE"</formula>
    </cfRule>
    <cfRule type="expression" dxfId="2747" priority="4824">
      <formula>$AD627="FACTURADO"</formula>
    </cfRule>
    <cfRule type="expression" dxfId="2746" priority="4827">
      <formula>$AD627="NO CORRESPONDE"</formula>
    </cfRule>
    <cfRule type="expression" dxfId="2745" priority="4831">
      <formula>$J627="Anulada"</formula>
    </cfRule>
    <cfRule type="expression" dxfId="2744" priority="4832">
      <formula>$J627="En blanco"</formula>
    </cfRule>
  </conditionalFormatting>
  <conditionalFormatting sqref="AD660:AD662 U660:U662 X660:X662 Z660:AB662 AG660:AP662">
    <cfRule type="containsText" dxfId="2743" priority="4759" operator="containsText" text="PENDIENTE">
      <formula>NOT(ISERROR(SEARCH("PENDIENTE",U660)))</formula>
    </cfRule>
  </conditionalFormatting>
  <conditionalFormatting sqref="AD660:AD662">
    <cfRule type="expression" dxfId="2742" priority="4745">
      <formula>$AD660="PENDIENTE"</formula>
    </cfRule>
    <cfRule type="expression" dxfId="2741" priority="4747">
      <formula>$AD660="FACTURADO"</formula>
    </cfRule>
    <cfRule type="expression" dxfId="2740" priority="4750">
      <formula>$AD660="NO CORRESPONDE"</formula>
    </cfRule>
    <cfRule type="expression" dxfId="2739" priority="4751">
      <formula>$AD660="PENDIENTE"</formula>
    </cfRule>
    <cfRule type="expression" dxfId="2738" priority="4753">
      <formula>$AD660="FACTURADO"</formula>
    </cfRule>
    <cfRule type="expression" dxfId="2737" priority="4756">
      <formula>$AD660="NO CORRESPONDE"</formula>
    </cfRule>
    <cfRule type="expression" dxfId="2736" priority="4760">
      <formula>$J660="Anulada"</formula>
    </cfRule>
    <cfRule type="expression" dxfId="2735" priority="4761">
      <formula>$J660="En blanco"</formula>
    </cfRule>
  </conditionalFormatting>
  <conditionalFormatting sqref="AD664 U664 X664 Z664:AB664 AG664:AP664">
    <cfRule type="containsText" dxfId="2734" priority="4703" operator="containsText" text="PENDIENTE">
      <formula>NOT(ISERROR(SEARCH("PENDIENTE",U664)))</formula>
    </cfRule>
  </conditionalFormatting>
  <conditionalFormatting sqref="AD664">
    <cfRule type="expression" dxfId="2733" priority="4689">
      <formula>$AD664="PENDIENTE"</formula>
    </cfRule>
    <cfRule type="expression" dxfId="2732" priority="4691">
      <formula>$AD664="FACTURADO"</formula>
    </cfRule>
    <cfRule type="expression" dxfId="2731" priority="4694">
      <formula>$AD664="NO CORRESPONDE"</formula>
    </cfRule>
    <cfRule type="expression" dxfId="2730" priority="4695">
      <formula>$AD664="PENDIENTE"</formula>
    </cfRule>
    <cfRule type="expression" dxfId="2729" priority="4697">
      <formula>$AD664="FACTURADO"</formula>
    </cfRule>
    <cfRule type="expression" dxfId="2728" priority="4700">
      <formula>$AD664="NO CORRESPONDE"</formula>
    </cfRule>
    <cfRule type="expression" dxfId="2727" priority="4704">
      <formula>$J664="Anulada"</formula>
    </cfRule>
    <cfRule type="expression" dxfId="2726" priority="4705">
      <formula>$J664="En blanco"</formula>
    </cfRule>
  </conditionalFormatting>
  <conditionalFormatting sqref="AD693 U693 X693 Z693:AB693 AG693:AP693">
    <cfRule type="containsText" dxfId="2725" priority="4413" operator="containsText" text="PENDIENTE">
      <formula>NOT(ISERROR(SEARCH("PENDIENTE",U693)))</formula>
    </cfRule>
  </conditionalFormatting>
  <conditionalFormatting sqref="AD693">
    <cfRule type="expression" dxfId="2724" priority="4401">
      <formula>$AD693="PENDIENTE"</formula>
    </cfRule>
    <cfRule type="expression" dxfId="2723" priority="4403">
      <formula>$AD693="FACTURADO"</formula>
    </cfRule>
    <cfRule type="expression" dxfId="2722" priority="4406">
      <formula>$AD693="NO CORRESPONDE"</formula>
    </cfRule>
    <cfRule type="expression" dxfId="2721" priority="4407">
      <formula>$AD693="PENDIENTE"</formula>
    </cfRule>
    <cfRule type="expression" dxfId="2720" priority="4409">
      <formula>$AD693="FACTURADO"</formula>
    </cfRule>
    <cfRule type="expression" dxfId="2719" priority="4412">
      <formula>$AD693="NO CORRESPONDE"</formula>
    </cfRule>
    <cfRule type="expression" dxfId="2718" priority="4414">
      <formula>$J693="Anulada"</formula>
    </cfRule>
    <cfRule type="expression" dxfId="2717" priority="4415">
      <formula>$J693="En blanco"</formula>
    </cfRule>
  </conditionalFormatting>
  <conditionalFormatting sqref="AD731 U731 X731 Z731:AB731 AG731:AP731">
    <cfRule type="containsText" dxfId="2716" priority="4374" operator="containsText" text="PENDIENTE">
      <formula>NOT(ISERROR(SEARCH("PENDIENTE",U731)))</formula>
    </cfRule>
  </conditionalFormatting>
  <conditionalFormatting sqref="AD731">
    <cfRule type="expression" dxfId="2715" priority="4362">
      <formula>$AD731="PENDIENTE"</formula>
    </cfRule>
    <cfRule type="expression" dxfId="2714" priority="4364">
      <formula>$AD731="FACTURADO"</formula>
    </cfRule>
    <cfRule type="expression" dxfId="2713" priority="4367">
      <formula>$AD731="NO CORRESPONDE"</formula>
    </cfRule>
    <cfRule type="expression" dxfId="2712" priority="4368">
      <formula>$AD731="PENDIENTE"</formula>
    </cfRule>
    <cfRule type="expression" dxfId="2711" priority="4370">
      <formula>$AD731="FACTURADO"</formula>
    </cfRule>
    <cfRule type="expression" dxfId="2710" priority="4373">
      <formula>$AD731="NO CORRESPONDE"</formula>
    </cfRule>
    <cfRule type="expression" dxfId="2709" priority="4375">
      <formula>$J731="Anulada"</formula>
    </cfRule>
    <cfRule type="expression" dxfId="2708" priority="4376">
      <formula>$J731="En blanco"</formula>
    </cfRule>
  </conditionalFormatting>
  <conditionalFormatting sqref="AD740 AD761 AD780 U740 U761 X740 Z740:AB740 AG740:AP740 X761 Z761:AB761 Z780:AB780">
    <cfRule type="containsText" dxfId="2707" priority="4335" operator="containsText" text="PENDIENTE">
      <formula>NOT(ISERROR(SEARCH("PENDIENTE",U740)))</formula>
    </cfRule>
  </conditionalFormatting>
  <conditionalFormatting sqref="AD740">
    <cfRule type="expression" dxfId="2706" priority="4323">
      <formula>$AD740="PENDIENTE"</formula>
    </cfRule>
    <cfRule type="expression" dxfId="2705" priority="4325">
      <formula>$AD740="FACTURADO"</formula>
    </cfRule>
    <cfRule type="expression" dxfId="2704" priority="4328">
      <formula>$AD740="NO CORRESPONDE"</formula>
    </cfRule>
    <cfRule type="expression" dxfId="2703" priority="4329">
      <formula>$AD740="PENDIENTE"</formula>
    </cfRule>
    <cfRule type="expression" dxfId="2702" priority="4331">
      <formula>$AD740="FACTURADO"</formula>
    </cfRule>
    <cfRule type="expression" dxfId="2701" priority="4334">
      <formula>$AD740="NO CORRESPONDE"</formula>
    </cfRule>
    <cfRule type="expression" dxfId="2700" priority="4336">
      <formula>$J740="Anulada"</formula>
    </cfRule>
    <cfRule type="expression" dxfId="2699" priority="4337">
      <formula>$J740="En blanco"</formula>
    </cfRule>
  </conditionalFormatting>
  <conditionalFormatting sqref="AD812 U812 X812 Z812:AB812">
    <cfRule type="containsText" dxfId="2698" priority="4177" operator="containsText" text="PENDIENTE">
      <formula>NOT(ISERROR(SEARCH("PENDIENTE",U812)))</formula>
    </cfRule>
  </conditionalFormatting>
  <conditionalFormatting sqref="AD812">
    <cfRule type="expression" dxfId="2697" priority="4165">
      <formula>$AD812="PENDIENTE"</formula>
    </cfRule>
    <cfRule type="expression" dxfId="2696" priority="4167">
      <formula>$AD812="FACTURADO"</formula>
    </cfRule>
    <cfRule type="expression" dxfId="2695" priority="4170">
      <formula>$AD812="NO CORRESPONDE"</formula>
    </cfRule>
    <cfRule type="expression" dxfId="2694" priority="4171">
      <formula>$AD812="PENDIENTE"</formula>
    </cfRule>
    <cfRule type="expression" dxfId="2693" priority="4173">
      <formula>$AD812="FACTURADO"</formula>
    </cfRule>
    <cfRule type="expression" dxfId="2692" priority="4176">
      <formula>$AD812="NO CORRESPONDE"</formula>
    </cfRule>
    <cfRule type="expression" dxfId="2691" priority="4178">
      <formula>$J812="Anulada"</formula>
    </cfRule>
    <cfRule type="expression" dxfId="2690" priority="4179">
      <formula>$J812="En blanco"</formula>
    </cfRule>
  </conditionalFormatting>
  <conditionalFormatting sqref="AD818 U818 X818 Z818:AB818">
    <cfRule type="containsText" dxfId="2689" priority="4104" operator="containsText" text="PENDIENTE">
      <formula>NOT(ISERROR(SEARCH("PENDIENTE",U818)))</formula>
    </cfRule>
  </conditionalFormatting>
  <conditionalFormatting sqref="AD818">
    <cfRule type="expression" dxfId="2688" priority="4092">
      <formula>$AD818="PENDIENTE"</formula>
    </cfRule>
    <cfRule type="expression" dxfId="2687" priority="4094">
      <formula>$AD818="FACTURADO"</formula>
    </cfRule>
    <cfRule type="expression" dxfId="2686" priority="4097">
      <formula>$AD818="NO CORRESPONDE"</formula>
    </cfRule>
    <cfRule type="expression" dxfId="2685" priority="4098">
      <formula>$AD818="PENDIENTE"</formula>
    </cfRule>
    <cfRule type="expression" dxfId="2684" priority="4100">
      <formula>$AD818="FACTURADO"</formula>
    </cfRule>
    <cfRule type="expression" dxfId="2683" priority="4103">
      <formula>$AD818="NO CORRESPONDE"</formula>
    </cfRule>
    <cfRule type="expression" dxfId="2682" priority="4105">
      <formula>$J818="Anulada"</formula>
    </cfRule>
    <cfRule type="expression" dxfId="2681" priority="4106">
      <formula>$J818="En blanco"</formula>
    </cfRule>
  </conditionalFormatting>
  <conditionalFormatting sqref="AD823 U823 X823:X824 Z823:AB823">
    <cfRule type="containsText" dxfId="2680" priority="3946" operator="containsText" text="PENDIENTE">
      <formula>NOT(ISERROR(SEARCH("PENDIENTE",U823)))</formula>
    </cfRule>
  </conditionalFormatting>
  <conditionalFormatting sqref="AD823">
    <cfRule type="expression" dxfId="2679" priority="3934">
      <formula>$AD823="PENDIENTE"</formula>
    </cfRule>
    <cfRule type="expression" dxfId="2678" priority="3936">
      <formula>$AD823="FACTURADO"</formula>
    </cfRule>
    <cfRule type="expression" dxfId="2677" priority="3939">
      <formula>$AD823="NO CORRESPONDE"</formula>
    </cfRule>
    <cfRule type="expression" dxfId="2676" priority="3940">
      <formula>$AD823="PENDIENTE"</formula>
    </cfRule>
    <cfRule type="expression" dxfId="2675" priority="3942">
      <formula>$AD823="FACTURADO"</formula>
    </cfRule>
    <cfRule type="expression" dxfId="2674" priority="3945">
      <formula>$AD823="NO CORRESPONDE"</formula>
    </cfRule>
    <cfRule type="expression" dxfId="2673" priority="3947">
      <formula>$J823="Anulada"</formula>
    </cfRule>
    <cfRule type="expression" dxfId="2672" priority="3948">
      <formula>$J823="En blanco"</formula>
    </cfRule>
  </conditionalFormatting>
  <conditionalFormatting sqref="AD843:AD844 U843:U844 X843:X844 Z843:AB844">
    <cfRule type="containsText" dxfId="2671" priority="3864" operator="containsText" text="PENDIENTE">
      <formula>NOT(ISERROR(SEARCH("PENDIENTE",U843)))</formula>
    </cfRule>
  </conditionalFormatting>
  <conditionalFormatting sqref="AD843:AD844">
    <cfRule type="expression" dxfId="2670" priority="3852">
      <formula>$AD843="PENDIENTE"</formula>
    </cfRule>
    <cfRule type="expression" dxfId="2669" priority="3854">
      <formula>$AD843="FACTURADO"</formula>
    </cfRule>
    <cfRule type="expression" dxfId="2668" priority="3857">
      <formula>$AD843="NO CORRESPONDE"</formula>
    </cfRule>
    <cfRule type="expression" dxfId="2667" priority="3858">
      <formula>$AD843="PENDIENTE"</formula>
    </cfRule>
    <cfRule type="expression" dxfId="2666" priority="3860">
      <formula>$AD843="FACTURADO"</formula>
    </cfRule>
    <cfRule type="expression" dxfId="2665" priority="3863">
      <formula>$AD843="NO CORRESPONDE"</formula>
    </cfRule>
    <cfRule type="expression" dxfId="2664" priority="3865">
      <formula>$J843="Anulada"</formula>
    </cfRule>
    <cfRule type="expression" dxfId="2663" priority="3866">
      <formula>$J843="En blanco"</formula>
    </cfRule>
  </conditionalFormatting>
  <conditionalFormatting sqref="AD861 U861 X861 Z861:AB861">
    <cfRule type="containsText" dxfId="2662" priority="3985" operator="containsText" text="PENDIENTE">
      <formula>NOT(ISERROR(SEARCH("PENDIENTE",U861)))</formula>
    </cfRule>
  </conditionalFormatting>
  <conditionalFormatting sqref="AD861">
    <cfRule type="expression" dxfId="2661" priority="3973">
      <formula>$AD861="PENDIENTE"</formula>
    </cfRule>
    <cfRule type="expression" dxfId="2660" priority="3975">
      <formula>$AD861="FACTURADO"</formula>
    </cfRule>
    <cfRule type="expression" dxfId="2659" priority="3978">
      <formula>$AD861="NO CORRESPONDE"</formula>
    </cfRule>
    <cfRule type="expression" dxfId="2658" priority="3979">
      <formula>$AD861="PENDIENTE"</formula>
    </cfRule>
    <cfRule type="expression" dxfId="2657" priority="3981">
      <formula>$AD861="FACTURADO"</formula>
    </cfRule>
    <cfRule type="expression" dxfId="2656" priority="3984">
      <formula>$AD861="NO CORRESPONDE"</formula>
    </cfRule>
    <cfRule type="expression" dxfId="2655" priority="3986">
      <formula>$J861="Anulada"</formula>
    </cfRule>
    <cfRule type="expression" dxfId="2654" priority="3987">
      <formula>$J861="En blanco"</formula>
    </cfRule>
  </conditionalFormatting>
  <conditionalFormatting sqref="AD879 U879 X879 Z879:AB879">
    <cfRule type="containsText" dxfId="2653" priority="3784" operator="containsText" text="PENDIENTE">
      <formula>NOT(ISERROR(SEARCH("PENDIENTE",U879)))</formula>
    </cfRule>
  </conditionalFormatting>
  <conditionalFormatting sqref="AD879">
    <cfRule type="expression" dxfId="2652" priority="3772">
      <formula>$AD879="PENDIENTE"</formula>
    </cfRule>
    <cfRule type="expression" dxfId="2651" priority="3774">
      <formula>$AD879="FACTURADO"</formula>
    </cfRule>
    <cfRule type="expression" dxfId="2650" priority="3777">
      <formula>$AD879="NO CORRESPONDE"</formula>
    </cfRule>
    <cfRule type="expression" dxfId="2649" priority="3778">
      <formula>$AD879="PENDIENTE"</formula>
    </cfRule>
    <cfRule type="expression" dxfId="2648" priority="3780">
      <formula>$AD879="FACTURADO"</formula>
    </cfRule>
    <cfRule type="expression" dxfId="2647" priority="3783">
      <formula>$AD879="NO CORRESPONDE"</formula>
    </cfRule>
    <cfRule type="expression" dxfId="2646" priority="3785">
      <formula>$J879="Anulada"</formula>
    </cfRule>
    <cfRule type="expression" dxfId="2645" priority="3786">
      <formula>$J879="En blanco"</formula>
    </cfRule>
  </conditionalFormatting>
  <conditionalFormatting sqref="AD911 U911 X911 Z911:AB911">
    <cfRule type="containsText" dxfId="2644" priority="3683" operator="containsText" text="PENDIENTE">
      <formula>NOT(ISERROR(SEARCH("PENDIENTE",U911)))</formula>
    </cfRule>
  </conditionalFormatting>
  <conditionalFormatting sqref="AD911">
    <cfRule type="expression" dxfId="2643" priority="3671">
      <formula>$AD911="PENDIENTE"</formula>
    </cfRule>
    <cfRule type="expression" dxfId="2642" priority="3673">
      <formula>$AD911="FACTURADO"</formula>
    </cfRule>
    <cfRule type="expression" dxfId="2641" priority="3676">
      <formula>$AD911="NO CORRESPONDE"</formula>
    </cfRule>
    <cfRule type="expression" dxfId="2640" priority="3677">
      <formula>$AD911="PENDIENTE"</formula>
    </cfRule>
    <cfRule type="expression" dxfId="2639" priority="3679">
      <formula>$AD911="FACTURADO"</formula>
    </cfRule>
    <cfRule type="expression" dxfId="2638" priority="3682">
      <formula>$AD911="NO CORRESPONDE"</formula>
    </cfRule>
    <cfRule type="expression" dxfId="2637" priority="3684">
      <formula>$J911="Anulada"</formula>
    </cfRule>
    <cfRule type="expression" dxfId="2636" priority="3685">
      <formula>$J911="En blanco"</formula>
    </cfRule>
  </conditionalFormatting>
  <conditionalFormatting sqref="AD913 U913 X913 Z913:AB913">
    <cfRule type="containsText" dxfId="2635" priority="3735" operator="containsText" text="PENDIENTE">
      <formula>NOT(ISERROR(SEARCH("PENDIENTE",U913)))</formula>
    </cfRule>
  </conditionalFormatting>
  <conditionalFormatting sqref="AD913">
    <cfRule type="expression" dxfId="2634" priority="3723">
      <formula>$AD913="PENDIENTE"</formula>
    </cfRule>
    <cfRule type="expression" dxfId="2633" priority="3725">
      <formula>$AD913="FACTURADO"</formula>
    </cfRule>
    <cfRule type="expression" dxfId="2632" priority="3728">
      <formula>$AD913="NO CORRESPONDE"</formula>
    </cfRule>
    <cfRule type="expression" dxfId="2631" priority="3729">
      <formula>$AD913="PENDIENTE"</formula>
    </cfRule>
    <cfRule type="expression" dxfId="2630" priority="3731">
      <formula>$AD913="FACTURADO"</formula>
    </cfRule>
    <cfRule type="expression" dxfId="2629" priority="3734">
      <formula>$AD913="NO CORRESPONDE"</formula>
    </cfRule>
    <cfRule type="expression" dxfId="2628" priority="3736">
      <formula>$J913="Anulada"</formula>
    </cfRule>
    <cfRule type="expression" dxfId="2627" priority="3737">
      <formula>$J913="En blanco"</formula>
    </cfRule>
  </conditionalFormatting>
  <conditionalFormatting sqref="AD959">
    <cfRule type="expression" dxfId="2626" priority="2698">
      <formula>$AD959="PENDIENTE"</formula>
    </cfRule>
    <cfRule type="expression" dxfId="2625" priority="2699">
      <formula>$AD959="FACTURADO"</formula>
    </cfRule>
    <cfRule type="expression" dxfId="2624" priority="2700">
      <formula>$AD959="NO CORRESPONDE"</formula>
    </cfRule>
    <cfRule type="expression" dxfId="2623" priority="2701">
      <formula>$AD959="PENDIENTE"</formula>
    </cfRule>
    <cfRule type="expression" dxfId="2622" priority="2702">
      <formula>$AD959="FACTURADO"</formula>
    </cfRule>
    <cfRule type="expression" dxfId="2621" priority="2703">
      <formula>$AD959="NO CORRESPONDE"</formula>
    </cfRule>
    <cfRule type="expression" dxfId="2620" priority="2704">
      <formula>$J959="Anulada"</formula>
    </cfRule>
    <cfRule type="expression" dxfId="2619" priority="2705">
      <formula>$J959="En blanco"</formula>
    </cfRule>
  </conditionalFormatting>
  <conditionalFormatting sqref="AD964">
    <cfRule type="expression" dxfId="2618" priority="2431">
      <formula>$AD964="PENDIENTE"</formula>
    </cfRule>
    <cfRule type="expression" dxfId="2617" priority="2432">
      <formula>$AD964="FACTURADO"</formula>
    </cfRule>
    <cfRule type="expression" dxfId="2616" priority="2433">
      <formula>$AD964="NO CORRESPONDE"</formula>
    </cfRule>
    <cfRule type="expression" dxfId="2615" priority="2434">
      <formula>$AD964="PENDIENTE"</formula>
    </cfRule>
    <cfRule type="expression" dxfId="2614" priority="2435">
      <formula>$AD964="FACTURADO"</formula>
    </cfRule>
    <cfRule type="expression" dxfId="2613" priority="2436">
      <formula>$AD964="NO CORRESPONDE"</formula>
    </cfRule>
    <cfRule type="expression" dxfId="2612" priority="2437">
      <formula>$J964="Anulada"</formula>
    </cfRule>
    <cfRule type="expression" dxfId="2611" priority="2438">
      <formula>$J964="En blanco"</formula>
    </cfRule>
  </conditionalFormatting>
  <conditionalFormatting sqref="AD970">
    <cfRule type="expression" dxfId="2610" priority="2758">
      <formula>$AD970="PENDIENTE"</formula>
    </cfRule>
    <cfRule type="expression" dxfId="2609" priority="2759">
      <formula>$AD970="FACTURADO"</formula>
    </cfRule>
    <cfRule type="expression" dxfId="2608" priority="2760">
      <formula>$AD970="NO CORRESPONDE"</formula>
    </cfRule>
    <cfRule type="expression" dxfId="2607" priority="2761">
      <formula>$AD970="PENDIENTE"</formula>
    </cfRule>
    <cfRule type="expression" dxfId="2606" priority="2762">
      <formula>$AD970="FACTURADO"</formula>
    </cfRule>
    <cfRule type="expression" dxfId="2605" priority="2763">
      <formula>$AD970="NO CORRESPONDE"</formula>
    </cfRule>
    <cfRule type="expression" dxfId="2604" priority="2764">
      <formula>$J970="Anulada"</formula>
    </cfRule>
    <cfRule type="expression" dxfId="2603" priority="2765">
      <formula>$J970="En blanco"</formula>
    </cfRule>
  </conditionalFormatting>
  <conditionalFormatting sqref="AD978:AD982">
    <cfRule type="expression" dxfId="2602" priority="2802">
      <formula>$AD978="PENDIENTE"</formula>
    </cfRule>
    <cfRule type="expression" dxfId="2601" priority="2803">
      <formula>$AD978="FACTURADO"</formula>
    </cfRule>
    <cfRule type="expression" dxfId="2600" priority="2804">
      <formula>$AD978="NO CORRESPONDE"</formula>
    </cfRule>
    <cfRule type="expression" dxfId="2599" priority="2805">
      <formula>$AD978="PENDIENTE"</formula>
    </cfRule>
    <cfRule type="expression" dxfId="2598" priority="2806">
      <formula>$AD978="FACTURADO"</formula>
    </cfRule>
    <cfRule type="expression" dxfId="2597" priority="2807">
      <formula>$AD978="NO CORRESPONDE"</formula>
    </cfRule>
    <cfRule type="expression" dxfId="2596" priority="2808">
      <formula>$J978="Anulada"</formula>
    </cfRule>
    <cfRule type="expression" dxfId="2595" priority="2809">
      <formula>$J978="En blanco"</formula>
    </cfRule>
  </conditionalFormatting>
  <conditionalFormatting sqref="AD991">
    <cfRule type="expression" dxfId="2594" priority="2482">
      <formula>$AD991="PENDIENTE"</formula>
    </cfRule>
    <cfRule type="expression" dxfId="2593" priority="2483">
      <formula>$AD991="FACTURADO"</formula>
    </cfRule>
    <cfRule type="expression" dxfId="2592" priority="2484">
      <formula>$AD991="NO CORRESPONDE"</formula>
    </cfRule>
    <cfRule type="expression" dxfId="2591" priority="2485">
      <formula>$AD991="PENDIENTE"</formula>
    </cfRule>
    <cfRule type="expression" dxfId="2590" priority="2486">
      <formula>$AD991="FACTURADO"</formula>
    </cfRule>
    <cfRule type="expression" dxfId="2589" priority="2487">
      <formula>$AD991="NO CORRESPONDE"</formula>
    </cfRule>
    <cfRule type="expression" dxfId="2588" priority="2488">
      <formula>$J991="Anulada"</formula>
    </cfRule>
    <cfRule type="expression" dxfId="2587" priority="2489">
      <formula>$J991="En blanco"</formula>
    </cfRule>
  </conditionalFormatting>
  <conditionalFormatting sqref="AD1017">
    <cfRule type="expression" dxfId="2586" priority="1968">
      <formula>$AD1017="PENDIENTE"</formula>
    </cfRule>
    <cfRule type="expression" dxfId="2585" priority="1969">
      <formula>$AD1017="FACTURADO"</formula>
    </cfRule>
    <cfRule type="expression" dxfId="2584" priority="1970">
      <formula>$AD1017="NO CORRESPONDE"</formula>
    </cfRule>
    <cfRule type="expression" dxfId="2583" priority="1971">
      <formula>$AD1017="PENDIENTE"</formula>
    </cfRule>
    <cfRule type="expression" dxfId="2582" priority="1972">
      <formula>$AD1017="FACTURADO"</formula>
    </cfRule>
    <cfRule type="expression" dxfId="2581" priority="1973">
      <formula>$AD1017="NO CORRESPONDE"</formula>
    </cfRule>
    <cfRule type="expression" dxfId="2580" priority="1974">
      <formula>$J1017="Anulada"</formula>
    </cfRule>
    <cfRule type="expression" dxfId="2579" priority="1975">
      <formula>$J1017="En blanco"</formula>
    </cfRule>
  </conditionalFormatting>
  <conditionalFormatting sqref="AD1024">
    <cfRule type="expression" dxfId="2578" priority="2058">
      <formula>$AD1024="PENDIENTE"</formula>
    </cfRule>
    <cfRule type="expression" dxfId="2577" priority="2059">
      <formula>$AD1024="FACTURADO"</formula>
    </cfRule>
    <cfRule type="expression" dxfId="2576" priority="2060">
      <formula>$AD1024="NO CORRESPONDE"</formula>
    </cfRule>
    <cfRule type="expression" dxfId="2575" priority="2061">
      <formula>$AD1024="PENDIENTE"</formula>
    </cfRule>
    <cfRule type="expression" dxfId="2574" priority="2062">
      <formula>$AD1024="FACTURADO"</formula>
    </cfRule>
    <cfRule type="expression" dxfId="2573" priority="2063">
      <formula>$AD1024="NO CORRESPONDE"</formula>
    </cfRule>
    <cfRule type="expression" dxfId="2572" priority="2064">
      <formula>$J1024="Anulada"</formula>
    </cfRule>
    <cfRule type="expression" dxfId="2571" priority="2065">
      <formula>$J1024="En blanco"</formula>
    </cfRule>
  </conditionalFormatting>
  <conditionalFormatting sqref="AD1036">
    <cfRule type="expression" dxfId="2570" priority="2013">
      <formula>$AD1036="PENDIENTE"</formula>
    </cfRule>
    <cfRule type="expression" dxfId="2569" priority="2014">
      <formula>$AD1036="FACTURADO"</formula>
    </cfRule>
    <cfRule type="expression" dxfId="2568" priority="2015">
      <formula>$AD1036="NO CORRESPONDE"</formula>
    </cfRule>
    <cfRule type="expression" dxfId="2567" priority="2016">
      <formula>$AD1036="PENDIENTE"</formula>
    </cfRule>
    <cfRule type="expression" dxfId="2566" priority="2017">
      <formula>$AD1036="FACTURADO"</formula>
    </cfRule>
    <cfRule type="expression" dxfId="2565" priority="2018">
      <formula>$AD1036="NO CORRESPONDE"</formula>
    </cfRule>
    <cfRule type="expression" dxfId="2564" priority="2019">
      <formula>$J1036="Anulada"</formula>
    </cfRule>
    <cfRule type="expression" dxfId="2563" priority="2020">
      <formula>$J1036="En blanco"</formula>
    </cfRule>
  </conditionalFormatting>
  <conditionalFormatting sqref="AD1079">
    <cfRule type="expression" dxfId="2562" priority="1564">
      <formula>$AD1079="PENDIENTE"</formula>
    </cfRule>
    <cfRule type="expression" dxfId="2561" priority="1565">
      <formula>$AD1079="FACTURADO"</formula>
    </cfRule>
    <cfRule type="expression" dxfId="2560" priority="1566">
      <formula>$AD1079="NO CORRESPONDE"</formula>
    </cfRule>
    <cfRule type="expression" dxfId="2559" priority="1567">
      <formula>$AD1079="PENDIENTE"</formula>
    </cfRule>
    <cfRule type="expression" dxfId="2558" priority="1568">
      <formula>$AD1079="FACTURADO"</formula>
    </cfRule>
    <cfRule type="expression" dxfId="2557" priority="1569">
      <formula>$AD1079="NO CORRESPONDE"</formula>
    </cfRule>
    <cfRule type="expression" dxfId="2556" priority="1570">
      <formula>$J1079="Anulada"</formula>
    </cfRule>
    <cfRule type="expression" dxfId="2555" priority="1571">
      <formula>$J1079="En blanco"</formula>
    </cfRule>
  </conditionalFormatting>
  <conditionalFormatting sqref="AD1098">
    <cfRule type="expression" dxfId="2554" priority="1370">
      <formula>$AD1098="PENDIENTE"</formula>
    </cfRule>
    <cfRule type="expression" dxfId="2553" priority="1371">
      <formula>$AD1098="FACTURADO"</formula>
    </cfRule>
    <cfRule type="expression" dxfId="2552" priority="1372">
      <formula>$AD1098="NO CORRESPONDE"</formula>
    </cfRule>
    <cfRule type="expression" dxfId="2551" priority="1373">
      <formula>$AD1098="PENDIENTE"</formula>
    </cfRule>
    <cfRule type="expression" dxfId="2550" priority="1374">
      <formula>$AD1098="FACTURADO"</formula>
    </cfRule>
    <cfRule type="expression" dxfId="2549" priority="1375">
      <formula>$AD1098="NO CORRESPONDE"</formula>
    </cfRule>
    <cfRule type="expression" dxfId="2548" priority="1376">
      <formula>$J1098="Anulada"</formula>
    </cfRule>
    <cfRule type="expression" dxfId="2547" priority="1377">
      <formula>$J1098="En blanco"</formula>
    </cfRule>
  </conditionalFormatting>
  <conditionalFormatting sqref="AD1191">
    <cfRule type="expression" dxfId="2546" priority="1091">
      <formula>$AD1191="PENDIENTE"</formula>
    </cfRule>
    <cfRule type="expression" dxfId="2545" priority="1092">
      <formula>$AD1191="FACTURADO"</formula>
    </cfRule>
    <cfRule type="expression" dxfId="2544" priority="1093">
      <formula>$AD1191="NO CORRESPONDE"</formula>
    </cfRule>
    <cfRule type="expression" dxfId="2543" priority="1094">
      <formula>$AD1191="PENDIENTE"</formula>
    </cfRule>
    <cfRule type="expression" dxfId="2542" priority="1095">
      <formula>$AD1191="FACTURADO"</formula>
    </cfRule>
    <cfRule type="expression" dxfId="2541" priority="1096">
      <formula>$AD1191="NO CORRESPONDE"</formula>
    </cfRule>
    <cfRule type="expression" dxfId="2540" priority="1097">
      <formula>$J1191="Anulada"</formula>
    </cfRule>
    <cfRule type="expression" dxfId="2539" priority="1098">
      <formula>$J1191="En blanco"</formula>
    </cfRule>
  </conditionalFormatting>
  <conditionalFormatting sqref="AD1205">
    <cfRule type="expression" dxfId="2538" priority="1034">
      <formula>$AD1205="PENDIENTE"</formula>
    </cfRule>
    <cfRule type="expression" dxfId="2537" priority="1035">
      <formula>$AD1205="FACTURADO"</formula>
    </cfRule>
    <cfRule type="expression" dxfId="2536" priority="1036">
      <formula>$AD1205="NO CORRESPONDE"</formula>
    </cfRule>
    <cfRule type="expression" dxfId="2535" priority="1037">
      <formula>$AD1205="PENDIENTE"</formula>
    </cfRule>
    <cfRule type="expression" dxfId="2534" priority="1038">
      <formula>$AD1205="FACTURADO"</formula>
    </cfRule>
    <cfRule type="expression" dxfId="2533" priority="1039">
      <formula>$AD1205="NO CORRESPONDE"</formula>
    </cfRule>
    <cfRule type="expression" dxfId="2532" priority="1040">
      <formula>$J1205="Anulada"</formula>
    </cfRule>
    <cfRule type="expression" dxfId="2531" priority="1041">
      <formula>$J1205="En blanco"</formula>
    </cfRule>
  </conditionalFormatting>
  <conditionalFormatting sqref="AD1240">
    <cfRule type="expression" dxfId="2530" priority="889">
      <formula>$AD1240="PENDIENTE"</formula>
    </cfRule>
    <cfRule type="expression" dxfId="2529" priority="890">
      <formula>$AD1240="FACTURADO"</formula>
    </cfRule>
    <cfRule type="expression" dxfId="2528" priority="891">
      <formula>$AD1240="NO CORRESPONDE"</formula>
    </cfRule>
    <cfRule type="expression" dxfId="2527" priority="892">
      <formula>$AD1240="PENDIENTE"</formula>
    </cfRule>
    <cfRule type="expression" dxfId="2526" priority="893">
      <formula>$AD1240="FACTURADO"</formula>
    </cfRule>
    <cfRule type="expression" dxfId="2525" priority="894">
      <formula>$AD1240="NO CORRESPONDE"</formula>
    </cfRule>
    <cfRule type="expression" dxfId="2524" priority="895">
      <formula>$J1240="Anulada"</formula>
    </cfRule>
    <cfRule type="expression" dxfId="2523" priority="896">
      <formula>$J1240="En blanco"</formula>
    </cfRule>
  </conditionalFormatting>
  <conditionalFormatting sqref="AD1256">
    <cfRule type="expression" dxfId="2522" priority="817">
      <formula>$AD1256="PENDIENTE"</formula>
    </cfRule>
    <cfRule type="expression" dxfId="2521" priority="818">
      <formula>$AD1256="FACTURADO"</formula>
    </cfRule>
    <cfRule type="expression" dxfId="2520" priority="819">
      <formula>$AD1256="NO CORRESPONDE"</formula>
    </cfRule>
    <cfRule type="expression" dxfId="2519" priority="820">
      <formula>$AD1256="PENDIENTE"</formula>
    </cfRule>
    <cfRule type="expression" dxfId="2518" priority="821">
      <formula>$AD1256="FACTURADO"</formula>
    </cfRule>
    <cfRule type="expression" dxfId="2517" priority="822">
      <formula>$AD1256="NO CORRESPONDE"</formula>
    </cfRule>
    <cfRule type="expression" dxfId="2516" priority="823">
      <formula>$J1256="Anulada"</formula>
    </cfRule>
    <cfRule type="expression" dxfId="2515" priority="824">
      <formula>$J1256="En blanco"</formula>
    </cfRule>
  </conditionalFormatting>
  <conditionalFormatting sqref="AD1294">
    <cfRule type="expression" dxfId="2514" priority="728">
      <formula>$AD1294="PENDIENTE"</formula>
    </cfRule>
    <cfRule type="expression" dxfId="2513" priority="729">
      <formula>$AD1294="FACTURADO"</formula>
    </cfRule>
    <cfRule type="expression" dxfId="2512" priority="730">
      <formula>$AD1294="NO CORRESPONDE"</formula>
    </cfRule>
    <cfRule type="expression" dxfId="2511" priority="731">
      <formula>$AD1294="PENDIENTE"</formula>
    </cfRule>
    <cfRule type="expression" dxfId="2510" priority="732">
      <formula>$AD1294="FACTURADO"</formula>
    </cfRule>
    <cfRule type="expression" dxfId="2509" priority="733">
      <formula>$AD1294="NO CORRESPONDE"</formula>
    </cfRule>
    <cfRule type="expression" dxfId="2508" priority="734">
      <formula>$J1294="Anulada"</formula>
    </cfRule>
    <cfRule type="expression" dxfId="2507" priority="735">
      <formula>$J1294="En blanco"</formula>
    </cfRule>
  </conditionalFormatting>
  <conditionalFormatting sqref="AD1297">
    <cfRule type="expression" dxfId="2506" priority="679">
      <formula>$AD1297="PENDIENTE"</formula>
    </cfRule>
    <cfRule type="expression" dxfId="2505" priority="680">
      <formula>$AD1297="FACTURADO"</formula>
    </cfRule>
    <cfRule type="expression" dxfId="2504" priority="681">
      <formula>$AD1297="NO CORRESPONDE"</formula>
    </cfRule>
    <cfRule type="expression" dxfId="2503" priority="682">
      <formula>$AD1297="PENDIENTE"</formula>
    </cfRule>
    <cfRule type="expression" dxfId="2502" priority="683">
      <formula>$AD1297="FACTURADO"</formula>
    </cfRule>
    <cfRule type="expression" dxfId="2501" priority="684">
      <formula>$AD1297="NO CORRESPONDE"</formula>
    </cfRule>
    <cfRule type="expression" dxfId="2500" priority="685">
      <formula>$J1297="Anulada"</formula>
    </cfRule>
    <cfRule type="expression" dxfId="2499" priority="686">
      <formula>$J1297="En blanco"</formula>
    </cfRule>
  </conditionalFormatting>
  <conditionalFormatting sqref="AD1352">
    <cfRule type="expression" dxfId="2498" priority="595">
      <formula>$AD1352="PENDIENTE"</formula>
    </cfRule>
    <cfRule type="expression" dxfId="2497" priority="596">
      <formula>$AD1352="FACTURADO"</formula>
    </cfRule>
    <cfRule type="expression" dxfId="2496" priority="597">
      <formula>$AD1352="NO CORRESPONDE"</formula>
    </cfRule>
    <cfRule type="expression" dxfId="2495" priority="598">
      <formula>$AD1352="PENDIENTE"</formula>
    </cfRule>
    <cfRule type="expression" dxfId="2494" priority="599">
      <formula>$AD1352="FACTURADO"</formula>
    </cfRule>
    <cfRule type="expression" dxfId="2493" priority="600">
      <formula>$AD1352="NO CORRESPONDE"</formula>
    </cfRule>
    <cfRule type="expression" dxfId="2492" priority="601">
      <formula>$J1352="Anulada"</formula>
    </cfRule>
    <cfRule type="expression" dxfId="2491" priority="602">
      <formula>$J1352="En blanco"</formula>
    </cfRule>
  </conditionalFormatting>
  <conditionalFormatting sqref="AD1366">
    <cfRule type="expression" dxfId="2490" priority="521">
      <formula>$AD1366="PENDIENTE"</formula>
    </cfRule>
    <cfRule type="expression" dxfId="2489" priority="522">
      <formula>$AD1366="FACTURADO"</formula>
    </cfRule>
    <cfRule type="expression" dxfId="2488" priority="523">
      <formula>$AD1366="NO CORRESPONDE"</formula>
    </cfRule>
    <cfRule type="expression" dxfId="2487" priority="524">
      <formula>$AD1366="PENDIENTE"</formula>
    </cfRule>
    <cfRule type="expression" dxfId="2486" priority="525">
      <formula>$AD1366="FACTURADO"</formula>
    </cfRule>
    <cfRule type="expression" dxfId="2485" priority="526">
      <formula>$AD1366="NO CORRESPONDE"</formula>
    </cfRule>
    <cfRule type="expression" dxfId="2484" priority="527">
      <formula>$J1366="Anulada"</formula>
    </cfRule>
    <cfRule type="expression" dxfId="2483" priority="528">
      <formula>$J1366="En blanco"</formula>
    </cfRule>
  </conditionalFormatting>
  <conditionalFormatting sqref="AD1371">
    <cfRule type="expression" dxfId="2482" priority="415">
      <formula>$AD1371="PENDIENTE"</formula>
    </cfRule>
    <cfRule type="expression" dxfId="2481" priority="416">
      <formula>$AD1371="FACTURADO"</formula>
    </cfRule>
    <cfRule type="expression" dxfId="2480" priority="417">
      <formula>$AD1371="NO CORRESPONDE"</formula>
    </cfRule>
    <cfRule type="expression" dxfId="2479" priority="418">
      <formula>$AD1371="PENDIENTE"</formula>
    </cfRule>
    <cfRule type="expression" dxfId="2478" priority="419">
      <formula>$AD1371="FACTURADO"</formula>
    </cfRule>
    <cfRule type="expression" dxfId="2477" priority="420">
      <formula>$AD1371="NO CORRESPONDE"</formula>
    </cfRule>
    <cfRule type="expression" dxfId="2476" priority="421">
      <formula>$J1371="Anulada"</formula>
    </cfRule>
    <cfRule type="expression" dxfId="2475" priority="422">
      <formula>$J1371="En blanco"</formula>
    </cfRule>
  </conditionalFormatting>
  <conditionalFormatting sqref="AD1373">
    <cfRule type="expression" dxfId="2474" priority="468">
      <formula>$AD1373="PENDIENTE"</formula>
    </cfRule>
    <cfRule type="expression" dxfId="2473" priority="469">
      <formula>$AD1373="FACTURADO"</formula>
    </cfRule>
    <cfRule type="expression" dxfId="2472" priority="470">
      <formula>$AD1373="NO CORRESPONDE"</formula>
    </cfRule>
    <cfRule type="expression" dxfId="2471" priority="471">
      <formula>$AD1373="PENDIENTE"</formula>
    </cfRule>
    <cfRule type="expression" dxfId="2470" priority="472">
      <formula>$AD1373="FACTURADO"</formula>
    </cfRule>
    <cfRule type="expression" dxfId="2469" priority="473">
      <formula>$AD1373="NO CORRESPONDE"</formula>
    </cfRule>
    <cfRule type="expression" dxfId="2468" priority="474">
      <formula>$J1373="Anulada"</formula>
    </cfRule>
    <cfRule type="expression" dxfId="2467" priority="475">
      <formula>$J1373="En blanco"</formula>
    </cfRule>
  </conditionalFormatting>
  <conditionalFormatting sqref="AD1394">
    <cfRule type="expression" dxfId="2466" priority="338">
      <formula>$AD1394="PENDIENTE"</formula>
    </cfRule>
    <cfRule type="expression" dxfId="2465" priority="339">
      <formula>$AD1394="FACTURADO"</formula>
    </cfRule>
    <cfRule type="expression" dxfId="2464" priority="340">
      <formula>$AD1394="NO CORRESPONDE"</formula>
    </cfRule>
    <cfRule type="expression" dxfId="2463" priority="341">
      <formula>$AD1394="PENDIENTE"</formula>
    </cfRule>
    <cfRule type="expression" dxfId="2462" priority="342">
      <formula>$AD1394="FACTURADO"</formula>
    </cfRule>
    <cfRule type="expression" dxfId="2461" priority="343">
      <formula>$AD1394="NO CORRESPONDE"</formula>
    </cfRule>
    <cfRule type="expression" dxfId="2460" priority="344">
      <formula>$J1394="Anulada"</formula>
    </cfRule>
    <cfRule type="expression" dxfId="2459" priority="345">
      <formula>$J1394="En blanco"</formula>
    </cfRule>
  </conditionalFormatting>
  <conditionalFormatting sqref="AD1436:AD1437">
    <cfRule type="expression" dxfId="2458" priority="276">
      <formula>$AD1436="PENDIENTE"</formula>
    </cfRule>
    <cfRule type="expression" dxfId="2457" priority="277">
      <formula>$AD1436="FACTURADO"</formula>
    </cfRule>
    <cfRule type="expression" dxfId="2456" priority="278">
      <formula>$AD1436="NO CORRESPONDE"</formula>
    </cfRule>
    <cfRule type="expression" dxfId="2455" priority="279">
      <formula>$AD1436="PENDIENTE"</formula>
    </cfRule>
    <cfRule type="expression" dxfId="2454" priority="280">
      <formula>$AD1436="FACTURADO"</formula>
    </cfRule>
    <cfRule type="expression" dxfId="2453" priority="281">
      <formula>$AD1436="NO CORRESPONDE"</formula>
    </cfRule>
    <cfRule type="expression" dxfId="2452" priority="282">
      <formula>$J1436="Anulada"</formula>
    </cfRule>
    <cfRule type="expression" dxfId="2451" priority="283">
      <formula>$J1436="En blanco"</formula>
    </cfRule>
  </conditionalFormatting>
  <conditionalFormatting sqref="AD1443">
    <cfRule type="expression" dxfId="2450" priority="214">
      <formula>$AD1443="PENDIENTE"</formula>
    </cfRule>
    <cfRule type="expression" dxfId="2449" priority="215">
      <formula>$AD1443="FACTURADO"</formula>
    </cfRule>
    <cfRule type="expression" dxfId="2448" priority="216">
      <formula>$AD1443="NO CORRESPONDE"</formula>
    </cfRule>
    <cfRule type="expression" dxfId="2447" priority="217">
      <formula>$AD1443="PENDIENTE"</formula>
    </cfRule>
    <cfRule type="expression" dxfId="2446" priority="218">
      <formula>$AD1443="FACTURADO"</formula>
    </cfRule>
    <cfRule type="expression" dxfId="2445" priority="219">
      <formula>$AD1443="NO CORRESPONDE"</formula>
    </cfRule>
    <cfRule type="expression" dxfId="2444" priority="220">
      <formula>$J1443="Anulada"</formula>
    </cfRule>
    <cfRule type="expression" dxfId="2443" priority="221">
      <formula>$J1443="En blanco"</formula>
    </cfRule>
  </conditionalFormatting>
  <conditionalFormatting sqref="AD1447">
    <cfRule type="expression" dxfId="2442" priority="24">
      <formula>$AD1447="PENDIENTE"</formula>
    </cfRule>
    <cfRule type="expression" dxfId="2441" priority="25">
      <formula>$AD1447="FACTURADO"</formula>
    </cfRule>
    <cfRule type="expression" dxfId="2440" priority="26">
      <formula>$AD1447="NO CORRESPONDE"</formula>
    </cfRule>
    <cfRule type="expression" dxfId="2439" priority="27">
      <formula>$AD1447="PENDIENTE"</formula>
    </cfRule>
    <cfRule type="expression" dxfId="2438" priority="28">
      <formula>$AD1447="FACTURADO"</formula>
    </cfRule>
    <cfRule type="expression" dxfId="2437" priority="29">
      <formula>$AD1447="NO CORRESPONDE"</formula>
    </cfRule>
    <cfRule type="expression" dxfId="2436" priority="30">
      <formula>$J1447="Anulada"</formula>
    </cfRule>
    <cfRule type="expression" dxfId="2435" priority="31">
      <formula>$J1447="En blanco"</formula>
    </cfRule>
  </conditionalFormatting>
  <conditionalFormatting sqref="AE5:AE32 W32">
    <cfRule type="containsText" dxfId="2434" priority="5984" operator="containsText" text="PENDIENTE">
      <formula>NOT(ISERROR(SEARCH("PENDIENTE",W5)))</formula>
    </cfRule>
  </conditionalFormatting>
  <conditionalFormatting sqref="AE32">
    <cfRule type="expression" dxfId="2433" priority="5978">
      <formula>$J32="En blanco"</formula>
    </cfRule>
    <cfRule type="expression" dxfId="2432" priority="5979">
      <formula>$J32="Anulada"</formula>
    </cfRule>
  </conditionalFormatting>
  <conditionalFormatting sqref="AE33:AE91 W33:W91">
    <cfRule type="containsText" dxfId="2431" priority="6028" operator="containsText" text="PENDIENTE">
      <formula>NOT(ISERROR(SEARCH("PENDIENTE",W33)))</formula>
    </cfRule>
  </conditionalFormatting>
  <conditionalFormatting sqref="AE91">
    <cfRule type="expression" dxfId="2430" priority="6022">
      <formula>$J91="En blanco"</formula>
    </cfRule>
    <cfRule type="expression" dxfId="2429" priority="6023">
      <formula>$J91="Anulada"</formula>
    </cfRule>
  </conditionalFormatting>
  <conditionalFormatting sqref="AE92:AE130 W92:W130">
    <cfRule type="containsText" dxfId="2428" priority="6072" operator="containsText" text="PENDIENTE">
      <formula>NOT(ISERROR(SEARCH("PENDIENTE",W92)))</formula>
    </cfRule>
  </conditionalFormatting>
  <conditionalFormatting sqref="AE130">
    <cfRule type="expression" dxfId="2427" priority="6066">
      <formula>$J130="En blanco"</formula>
    </cfRule>
    <cfRule type="expression" dxfId="2426" priority="6067">
      <formula>$J130="Anulada"</formula>
    </cfRule>
  </conditionalFormatting>
  <conditionalFormatting sqref="AE131:AE153">
    <cfRule type="expression" dxfId="2425" priority="15468">
      <formula>$J131="En blanco"</formula>
    </cfRule>
  </conditionalFormatting>
  <conditionalFormatting sqref="AE154 W154:W157">
    <cfRule type="containsText" dxfId="2424" priority="6160" operator="containsText" text="PENDIENTE">
      <formula>NOT(ISERROR(SEARCH("PENDIENTE",W154)))</formula>
    </cfRule>
  </conditionalFormatting>
  <conditionalFormatting sqref="AE154">
    <cfRule type="expression" dxfId="2423" priority="6154">
      <formula>$J154="En blanco"</formula>
    </cfRule>
    <cfRule type="expression" dxfId="2422" priority="6155">
      <formula>$J154="Anulada"</formula>
    </cfRule>
  </conditionalFormatting>
  <conditionalFormatting sqref="AE158">
    <cfRule type="expression" dxfId="2421" priority="6110">
      <formula>$J158="En blanco"</formula>
    </cfRule>
    <cfRule type="expression" dxfId="2420" priority="6111">
      <formula>$J158="Anulada"</formula>
    </cfRule>
  </conditionalFormatting>
  <conditionalFormatting sqref="AE158:AE197 W158">
    <cfRule type="containsText" dxfId="2419" priority="6116" operator="containsText" text="PENDIENTE">
      <formula>NOT(ISERROR(SEARCH("PENDIENTE",W158)))</formula>
    </cfRule>
  </conditionalFormatting>
  <conditionalFormatting sqref="AE209 W209">
    <cfRule type="containsText" dxfId="2418" priority="6204" operator="containsText" text="PENDIENTE">
      <formula>NOT(ISERROR(SEARCH("PENDIENTE",W209)))</formula>
    </cfRule>
  </conditionalFormatting>
  <conditionalFormatting sqref="AE209">
    <cfRule type="expression" dxfId="2417" priority="6198">
      <formula>$J209="En blanco"</formula>
    </cfRule>
    <cfRule type="expression" dxfId="2416" priority="6199">
      <formula>$J209="Anulada"</formula>
    </cfRule>
  </conditionalFormatting>
  <conditionalFormatting sqref="AE211 W210:W212">
    <cfRule type="containsText" dxfId="2415" priority="6292" operator="containsText" text="PENDIENTE">
      <formula>NOT(ISERROR(SEARCH("PENDIENTE",W210)))</formula>
    </cfRule>
  </conditionalFormatting>
  <conditionalFormatting sqref="AE211">
    <cfRule type="expression" dxfId="2414" priority="6286">
      <formula>$J211="En blanco"</formula>
    </cfRule>
    <cfRule type="expression" dxfId="2413" priority="6287">
      <formula>$J211="Anulada"</formula>
    </cfRule>
  </conditionalFormatting>
  <conditionalFormatting sqref="AE213 W213">
    <cfRule type="containsText" dxfId="2412" priority="6248" operator="containsText" text="PENDIENTE">
      <formula>NOT(ISERROR(SEARCH("PENDIENTE",W213)))</formula>
    </cfRule>
  </conditionalFormatting>
  <conditionalFormatting sqref="AE213">
    <cfRule type="expression" dxfId="2411" priority="6242">
      <formula>$J213="En blanco"</formula>
    </cfRule>
    <cfRule type="expression" dxfId="2410" priority="6243">
      <formula>$J213="Anulada"</formula>
    </cfRule>
  </conditionalFormatting>
  <conditionalFormatting sqref="AE217">
    <cfRule type="containsText" dxfId="2409" priority="7403" operator="containsText" text="PENDIENTE">
      <formula>NOT(ISERROR(SEARCH("PENDIENTE",AE217)))</formula>
    </cfRule>
    <cfRule type="expression" dxfId="2408" priority="7404">
      <formula>$J217="En blanco"</formula>
    </cfRule>
    <cfRule type="expression" dxfId="2407" priority="7405">
      <formula>$J217="Anulada"</formula>
    </cfRule>
    <cfRule type="containsText" dxfId="2406" priority="7406" operator="containsText" text="PENDIENTE">
      <formula>NOT(ISERROR(SEARCH("PENDIENTE",AE217)))</formula>
    </cfRule>
  </conditionalFormatting>
  <conditionalFormatting sqref="AE226:AE228 W228">
    <cfRule type="containsText" dxfId="2405" priority="6336" operator="containsText" text="PENDIENTE">
      <formula>NOT(ISERROR(SEARCH("PENDIENTE",W226)))</formula>
    </cfRule>
  </conditionalFormatting>
  <conditionalFormatting sqref="AE226:AE228">
    <cfRule type="expression" dxfId="2404" priority="6330">
      <formula>$J226="En blanco"</formula>
    </cfRule>
    <cfRule type="expression" dxfId="2403" priority="6331">
      <formula>$J226="Anulada"</formula>
    </cfRule>
  </conditionalFormatting>
  <conditionalFormatting sqref="AE231 W229:W231">
    <cfRule type="containsText" dxfId="2402" priority="6380" operator="containsText" text="PENDIENTE">
      <formula>NOT(ISERROR(SEARCH("PENDIENTE",W229)))</formula>
    </cfRule>
  </conditionalFormatting>
  <conditionalFormatting sqref="AE231">
    <cfRule type="expression" dxfId="2401" priority="6374">
      <formula>$J231="En blanco"</formula>
    </cfRule>
    <cfRule type="expression" dxfId="2400" priority="6375">
      <formula>$J231="Anulada"</formula>
    </cfRule>
  </conditionalFormatting>
  <conditionalFormatting sqref="AE235 W235">
    <cfRule type="containsText" dxfId="2399" priority="6424" operator="containsText" text="PENDIENTE">
      <formula>NOT(ISERROR(SEARCH("PENDIENTE",W235)))</formula>
    </cfRule>
  </conditionalFormatting>
  <conditionalFormatting sqref="AE235">
    <cfRule type="expression" dxfId="2398" priority="6418">
      <formula>$J235="En blanco"</formula>
    </cfRule>
    <cfRule type="expression" dxfId="2397" priority="6419">
      <formula>$J235="Anulada"</formula>
    </cfRule>
  </conditionalFormatting>
  <conditionalFormatting sqref="AE247 W236:W247">
    <cfRule type="containsText" dxfId="2396" priority="6468" operator="containsText" text="PENDIENTE">
      <formula>NOT(ISERROR(SEARCH("PENDIENTE",W236)))</formula>
    </cfRule>
  </conditionalFormatting>
  <conditionalFormatting sqref="AE247">
    <cfRule type="expression" dxfId="2395" priority="6462">
      <formula>$J247="En blanco"</formula>
    </cfRule>
    <cfRule type="expression" dxfId="2394" priority="6463">
      <formula>$J247="Anulada"</formula>
    </cfRule>
  </conditionalFormatting>
  <conditionalFormatting sqref="AE257 W248:W257">
    <cfRule type="containsText" dxfId="2393" priority="6512" operator="containsText" text="PENDIENTE">
      <formula>NOT(ISERROR(SEARCH("PENDIENTE",W248)))</formula>
    </cfRule>
  </conditionalFormatting>
  <conditionalFormatting sqref="AE257">
    <cfRule type="expression" dxfId="2392" priority="6506">
      <formula>$J257="En blanco"</formula>
    </cfRule>
    <cfRule type="expression" dxfId="2391" priority="6507">
      <formula>$J257="Anulada"</formula>
    </cfRule>
  </conditionalFormatting>
  <conditionalFormatting sqref="AE280 W280:W281">
    <cfRule type="containsText" dxfId="2390" priority="6552" operator="containsText" text="PENDIENTE">
      <formula>NOT(ISERROR(SEARCH("PENDIENTE",W280)))</formula>
    </cfRule>
  </conditionalFormatting>
  <conditionalFormatting sqref="AE280">
    <cfRule type="expression" dxfId="2389" priority="6546">
      <formula>$J280="En blanco"</formula>
    </cfRule>
    <cfRule type="expression" dxfId="2388" priority="6547">
      <formula>$J280="Anulada"</formula>
    </cfRule>
  </conditionalFormatting>
  <conditionalFormatting sqref="AE283 W283">
    <cfRule type="containsText" dxfId="2387" priority="6592" operator="containsText" text="PENDIENTE">
      <formula>NOT(ISERROR(SEARCH("PENDIENTE",W283)))</formula>
    </cfRule>
  </conditionalFormatting>
  <conditionalFormatting sqref="AE283">
    <cfRule type="expression" dxfId="2386" priority="6586">
      <formula>$J283="En blanco"</formula>
    </cfRule>
    <cfRule type="expression" dxfId="2385" priority="6587">
      <formula>$J283="Anulada"</formula>
    </cfRule>
  </conditionalFormatting>
  <conditionalFormatting sqref="AE287 W287">
    <cfRule type="containsText" dxfId="2384" priority="6632" operator="containsText" text="PENDIENTE">
      <formula>NOT(ISERROR(SEARCH("PENDIENTE",W287)))</formula>
    </cfRule>
  </conditionalFormatting>
  <conditionalFormatting sqref="AE287">
    <cfRule type="expression" dxfId="2383" priority="6626">
      <formula>$J287="En blanco"</formula>
    </cfRule>
    <cfRule type="expression" dxfId="2382" priority="6627">
      <formula>$J287="Anulada"</formula>
    </cfRule>
  </conditionalFormatting>
  <conditionalFormatting sqref="AE289 W289">
    <cfRule type="containsText" dxfId="2381" priority="6671" operator="containsText" text="PENDIENTE">
      <formula>NOT(ISERROR(SEARCH("PENDIENTE",W289)))</formula>
    </cfRule>
  </conditionalFormatting>
  <conditionalFormatting sqref="AE289">
    <cfRule type="expression" dxfId="2380" priority="6665">
      <formula>$J289="En blanco"</formula>
    </cfRule>
    <cfRule type="expression" dxfId="2379" priority="6666">
      <formula>$J289="Anulada"</formula>
    </cfRule>
  </conditionalFormatting>
  <conditionalFormatting sqref="AE296 W296">
    <cfRule type="containsText" dxfId="2378" priority="6792" operator="containsText" text="PENDIENTE">
      <formula>NOT(ISERROR(SEARCH("PENDIENTE",W296)))</formula>
    </cfRule>
  </conditionalFormatting>
  <conditionalFormatting sqref="AE296">
    <cfRule type="expression" dxfId="2377" priority="6786">
      <formula>$J296="En blanco"</formula>
    </cfRule>
    <cfRule type="expression" dxfId="2376" priority="6787">
      <formula>$J296="Anulada"</formula>
    </cfRule>
  </conditionalFormatting>
  <conditionalFormatting sqref="AE310 W310:W321 AE337 AE328:AE333">
    <cfRule type="containsText" dxfId="2375" priority="6710" operator="containsText" text="PENDIENTE">
      <formula>NOT(ISERROR(SEARCH("PENDIENTE",W310)))</formula>
    </cfRule>
  </conditionalFormatting>
  <conditionalFormatting sqref="AE310">
    <cfRule type="expression" dxfId="2374" priority="6704">
      <formula>$J310="En blanco"</formula>
    </cfRule>
    <cfRule type="expression" dxfId="2373" priority="6705">
      <formula>$J310="Anulada"</formula>
    </cfRule>
  </conditionalFormatting>
  <conditionalFormatting sqref="AE337">
    <cfRule type="expression" dxfId="2372" priority="5906">
      <formula>$J337="En blanco"</formula>
    </cfRule>
    <cfRule type="expression" dxfId="2371" priority="5907">
      <formula>$J337="Anulada"</formula>
    </cfRule>
  </conditionalFormatting>
  <conditionalFormatting sqref="AE355:AE356 W355">
    <cfRule type="containsText" dxfId="2370" priority="5816" operator="containsText" text="PENDIENTE">
      <formula>NOT(ISERROR(SEARCH("PENDIENTE",W355)))</formula>
    </cfRule>
  </conditionalFormatting>
  <conditionalFormatting sqref="AE355:AE356">
    <cfRule type="expression" dxfId="2369" priority="5810">
      <formula>$J355="En blanco"</formula>
    </cfRule>
    <cfRule type="expression" dxfId="2368" priority="5811">
      <formula>$J355="Anulada"</formula>
    </cfRule>
  </conditionalFormatting>
  <conditionalFormatting sqref="AE367 W357:W400 W410 W430 AE379 AE401">
    <cfRule type="containsText" dxfId="2367" priority="5776" operator="containsText" text="PENDIENTE">
      <formula>NOT(ISERROR(SEARCH("PENDIENTE",W357)))</formula>
    </cfRule>
  </conditionalFormatting>
  <conditionalFormatting sqref="AE367">
    <cfRule type="expression" dxfId="2366" priority="5770">
      <formula>$J367="En blanco"</formula>
    </cfRule>
    <cfRule type="expression" dxfId="2365" priority="5771">
      <formula>$J367="Anulada"</formula>
    </cfRule>
  </conditionalFormatting>
  <conditionalFormatting sqref="AE379">
    <cfRule type="expression" dxfId="2364" priority="5728">
      <formula>$J379="En blanco"</formula>
    </cfRule>
    <cfRule type="expression" dxfId="2363" priority="5729">
      <formula>$J379="Anulada"</formula>
    </cfRule>
  </conditionalFormatting>
  <conditionalFormatting sqref="AE401">
    <cfRule type="expression" dxfId="2362" priority="5679">
      <formula>$J401="En blanco"</formula>
    </cfRule>
    <cfRule type="expression" dxfId="2361" priority="5680">
      <formula>$J401="Anulada"</formula>
    </cfRule>
  </conditionalFormatting>
  <conditionalFormatting sqref="AE408 W408:W409">
    <cfRule type="containsText" dxfId="2360" priority="5630" operator="containsText" text="PENDIENTE">
      <formula>NOT(ISERROR(SEARCH("PENDIENTE",W408)))</formula>
    </cfRule>
  </conditionalFormatting>
  <conditionalFormatting sqref="AE408">
    <cfRule type="expression" dxfId="2359" priority="5624">
      <formula>$J408="En blanco"</formula>
    </cfRule>
    <cfRule type="expression" dxfId="2358" priority="5625">
      <formula>$J408="Anulada"</formula>
    </cfRule>
  </conditionalFormatting>
  <conditionalFormatting sqref="AE413 W411:W415">
    <cfRule type="containsText" dxfId="2357" priority="5591" operator="containsText" text="PENDIENTE">
      <formula>NOT(ISERROR(SEARCH("PENDIENTE",W411)))</formula>
    </cfRule>
  </conditionalFormatting>
  <conditionalFormatting sqref="AE413">
    <cfRule type="expression" dxfId="2356" priority="5585">
      <formula>$J413="En blanco"</formula>
    </cfRule>
    <cfRule type="expression" dxfId="2355" priority="5586">
      <formula>$J413="Anulada"</formula>
    </cfRule>
  </conditionalFormatting>
  <conditionalFormatting sqref="AE416:AE417 W416:W420 W422:W429">
    <cfRule type="containsText" dxfId="2354" priority="5507" operator="containsText" text="PENDIENTE">
      <formula>NOT(ISERROR(SEARCH("PENDIENTE",W416)))</formula>
    </cfRule>
  </conditionalFormatting>
  <conditionalFormatting sqref="AE416:AE417">
    <cfRule type="expression" dxfId="2353" priority="5501">
      <formula>$J416="En blanco"</formula>
    </cfRule>
    <cfRule type="expression" dxfId="2352" priority="5502">
      <formula>$J416="Anulada"</formula>
    </cfRule>
  </conditionalFormatting>
  <conditionalFormatting sqref="AE421 W421">
    <cfRule type="containsText" dxfId="2351" priority="2189" operator="containsText" text="PENDIENTE">
      <formula>NOT(ISERROR(SEARCH("PENDIENTE",W421)))</formula>
    </cfRule>
  </conditionalFormatting>
  <conditionalFormatting sqref="AE421">
    <cfRule type="expression" dxfId="2350" priority="2183">
      <formula>$J421="En blanco"</formula>
    </cfRule>
    <cfRule type="expression" dxfId="2349" priority="2184">
      <formula>$J421="Anulada"</formula>
    </cfRule>
  </conditionalFormatting>
  <conditionalFormatting sqref="AE446 W431:W467 AE452">
    <cfRule type="containsText" dxfId="2348" priority="5463" operator="containsText" text="PENDIENTE">
      <formula>NOT(ISERROR(SEARCH("PENDIENTE",W431)))</formula>
    </cfRule>
  </conditionalFormatting>
  <conditionalFormatting sqref="AE446">
    <cfRule type="expression" dxfId="2347" priority="5457">
      <formula>$J446="En blanco"</formula>
    </cfRule>
    <cfRule type="expression" dxfId="2346" priority="5458">
      <formula>$J446="Anulada"</formula>
    </cfRule>
  </conditionalFormatting>
  <conditionalFormatting sqref="AE452">
    <cfRule type="expression" dxfId="2345" priority="5287">
      <formula>$J452="En blanco"</formula>
    </cfRule>
    <cfRule type="expression" dxfId="2344" priority="5288">
      <formula>$J452="Anulada"</formula>
    </cfRule>
  </conditionalFormatting>
  <conditionalFormatting sqref="AE468 W468:W470">
    <cfRule type="containsText" dxfId="2343" priority="5423" operator="containsText" text="PENDIENTE">
      <formula>NOT(ISERROR(SEARCH("PENDIENTE",W468)))</formula>
    </cfRule>
  </conditionalFormatting>
  <conditionalFormatting sqref="AE468">
    <cfRule type="expression" dxfId="2342" priority="5417">
      <formula>$J468="En blanco"</formula>
    </cfRule>
    <cfRule type="expression" dxfId="2341" priority="5418">
      <formula>$J468="Anulada"</formula>
    </cfRule>
  </conditionalFormatting>
  <conditionalFormatting sqref="AE490 AE552 AE780 AE783 AE835 AE932 AE1019 AE761 AE984:AE985">
    <cfRule type="expression" dxfId="2340" priority="5375">
      <formula>$J490="En blanco"</formula>
    </cfRule>
    <cfRule type="expression" dxfId="2339" priority="5376">
      <formula>$J490="Anulada"</formula>
    </cfRule>
    <cfRule type="containsText" dxfId="2338" priority="5381" operator="containsText" text="PENDIENTE">
      <formula>NOT(ISERROR(SEARCH("PENDIENTE",AE490)))</formula>
    </cfRule>
  </conditionalFormatting>
  <conditionalFormatting sqref="AE509">
    <cfRule type="expression" dxfId="2337" priority="5320">
      <formula>$J509="En blanco"</formula>
    </cfRule>
    <cfRule type="expression" dxfId="2336" priority="5321">
      <formula>$J509="Anulada"</formula>
    </cfRule>
    <cfRule type="containsText" dxfId="2335" priority="5326" operator="containsText" text="PENDIENTE">
      <formula>NOT(ISERROR(SEARCH("PENDIENTE",AE509)))</formula>
    </cfRule>
  </conditionalFormatting>
  <conditionalFormatting sqref="AE520">
    <cfRule type="expression" dxfId="2334" priority="5250">
      <formula>$J520="En blanco"</formula>
    </cfRule>
    <cfRule type="expression" dxfId="2333" priority="5251">
      <formula>$J520="Anulada"</formula>
    </cfRule>
    <cfRule type="containsText" dxfId="2332" priority="5256" operator="containsText" text="PENDIENTE">
      <formula>NOT(ISERROR(SEARCH("PENDIENTE",AE520)))</formula>
    </cfRule>
  </conditionalFormatting>
  <conditionalFormatting sqref="AE525">
    <cfRule type="expression" dxfId="2331" priority="5216">
      <formula>$J525="En blanco"</formula>
    </cfRule>
    <cfRule type="expression" dxfId="2330" priority="5217">
      <formula>$J525="Anulada"</formula>
    </cfRule>
    <cfRule type="containsText" dxfId="2329" priority="5222" operator="containsText" text="PENDIENTE">
      <formula>NOT(ISERROR(SEARCH("PENDIENTE",AE525)))</formula>
    </cfRule>
  </conditionalFormatting>
  <conditionalFormatting sqref="AE529">
    <cfRule type="expression" dxfId="2328" priority="5182">
      <formula>$J529="En blanco"</formula>
    </cfRule>
    <cfRule type="expression" dxfId="2327" priority="5183">
      <formula>$J529="Anulada"</formula>
    </cfRule>
    <cfRule type="containsText" dxfId="2326" priority="5188" operator="containsText" text="PENDIENTE">
      <formula>NOT(ISERROR(SEARCH("PENDIENTE",AE529)))</formula>
    </cfRule>
  </conditionalFormatting>
  <conditionalFormatting sqref="AE534:AE536">
    <cfRule type="expression" dxfId="2325" priority="5148">
      <formula>$J534="En blanco"</formula>
    </cfRule>
    <cfRule type="expression" dxfId="2324" priority="5149">
      <formula>$J534="Anulada"</formula>
    </cfRule>
    <cfRule type="containsText" dxfId="2323" priority="5154" operator="containsText" text="PENDIENTE">
      <formula>NOT(ISERROR(SEARCH("PENDIENTE",AE534)))</formula>
    </cfRule>
  </conditionalFormatting>
  <conditionalFormatting sqref="AE538">
    <cfRule type="expression" dxfId="2322" priority="5114">
      <formula>$J538="En blanco"</formula>
    </cfRule>
    <cfRule type="expression" dxfId="2321" priority="5115">
      <formula>$J538="Anulada"</formula>
    </cfRule>
    <cfRule type="containsText" dxfId="2320" priority="5120" operator="containsText" text="PENDIENTE">
      <formula>NOT(ISERROR(SEARCH("PENDIENTE",AE538)))</formula>
    </cfRule>
  </conditionalFormatting>
  <conditionalFormatting sqref="AE569">
    <cfRule type="expression" dxfId="2319" priority="5022">
      <formula>$J569="En blanco"</formula>
    </cfRule>
    <cfRule type="expression" dxfId="2318" priority="5023">
      <formula>$J569="Anulada"</formula>
    </cfRule>
    <cfRule type="containsText" dxfId="2317" priority="5028" operator="containsText" text="PENDIENTE">
      <formula>NOT(ISERROR(SEARCH("PENDIENTE",AE569)))</formula>
    </cfRule>
  </conditionalFormatting>
  <conditionalFormatting sqref="AE573">
    <cfRule type="expression" dxfId="2316" priority="4968">
      <formula>$J573="En blanco"</formula>
    </cfRule>
    <cfRule type="expression" dxfId="2315" priority="4969">
      <formula>$J573="Anulada"</formula>
    </cfRule>
    <cfRule type="containsText" dxfId="2314" priority="4974" operator="containsText" text="PENDIENTE">
      <formula>NOT(ISERROR(SEARCH("PENDIENTE",AE573)))</formula>
    </cfRule>
  </conditionalFormatting>
  <conditionalFormatting sqref="AE601">
    <cfRule type="expression" dxfId="2313" priority="4876">
      <formula>$J601="En blanco"</formula>
    </cfRule>
    <cfRule type="expression" dxfId="2312" priority="4877">
      <formula>$J601="Anulada"</formula>
    </cfRule>
    <cfRule type="containsText" dxfId="2311" priority="4882" operator="containsText" text="PENDIENTE">
      <formula>NOT(ISERROR(SEARCH("PENDIENTE",AE601)))</formula>
    </cfRule>
  </conditionalFormatting>
  <conditionalFormatting sqref="AE627:AE628">
    <cfRule type="expression" dxfId="2310" priority="4835">
      <formula>$J627="En blanco"</formula>
    </cfRule>
    <cfRule type="expression" dxfId="2309" priority="4836">
      <formula>$J627="Anulada"</formula>
    </cfRule>
    <cfRule type="containsText" dxfId="2308" priority="4841" operator="containsText" text="PENDIENTE">
      <formula>NOT(ISERROR(SEARCH("PENDIENTE",AE627)))</formula>
    </cfRule>
  </conditionalFormatting>
  <conditionalFormatting sqref="AE660:AE662">
    <cfRule type="expression" dxfId="2307" priority="4764">
      <formula>$J660="En blanco"</formula>
    </cfRule>
    <cfRule type="expression" dxfId="2306" priority="4765">
      <formula>$J660="Anulada"</formula>
    </cfRule>
    <cfRule type="containsText" dxfId="2305" priority="4770" operator="containsText" text="PENDIENTE">
      <formula>NOT(ISERROR(SEARCH("PENDIENTE",AE660)))</formula>
    </cfRule>
  </conditionalFormatting>
  <conditionalFormatting sqref="AE664">
    <cfRule type="expression" dxfId="2304" priority="4708">
      <formula>$J664="En blanco"</formula>
    </cfRule>
    <cfRule type="expression" dxfId="2303" priority="4709">
      <formula>$J664="Anulada"</formula>
    </cfRule>
    <cfRule type="containsText" dxfId="2302" priority="4714" operator="containsText" text="PENDIENTE">
      <formula>NOT(ISERROR(SEARCH("PENDIENTE",AE664)))</formula>
    </cfRule>
  </conditionalFormatting>
  <conditionalFormatting sqref="AE693">
    <cfRule type="expression" dxfId="2301" priority="4418">
      <formula>$J693="En blanco"</formula>
    </cfRule>
    <cfRule type="expression" dxfId="2300" priority="4419">
      <formula>$J693="Anulada"</formula>
    </cfRule>
    <cfRule type="containsText" dxfId="2299" priority="4424" operator="containsText" text="PENDIENTE">
      <formula>NOT(ISERROR(SEARCH("PENDIENTE",AE693)))</formula>
    </cfRule>
  </conditionalFormatting>
  <conditionalFormatting sqref="AE731">
    <cfRule type="expression" dxfId="2298" priority="4379">
      <formula>$J731="En blanco"</formula>
    </cfRule>
    <cfRule type="expression" dxfId="2297" priority="4380">
      <formula>$J731="Anulada"</formula>
    </cfRule>
    <cfRule type="containsText" dxfId="2296" priority="4385" operator="containsText" text="PENDIENTE">
      <formula>NOT(ISERROR(SEARCH("PENDIENTE",AE731)))</formula>
    </cfRule>
  </conditionalFormatting>
  <conditionalFormatting sqref="AE740">
    <cfRule type="expression" dxfId="2295" priority="4340">
      <formula>$J740="En blanco"</formula>
    </cfRule>
    <cfRule type="expression" dxfId="2294" priority="4341">
      <formula>$J740="Anulada"</formula>
    </cfRule>
    <cfRule type="containsText" dxfId="2293" priority="4346" operator="containsText" text="PENDIENTE">
      <formula>NOT(ISERROR(SEARCH("PENDIENTE",AE740)))</formula>
    </cfRule>
  </conditionalFormatting>
  <conditionalFormatting sqref="AE812">
    <cfRule type="expression" dxfId="2292" priority="4182">
      <formula>$J812="En blanco"</formula>
    </cfRule>
    <cfRule type="expression" dxfId="2291" priority="4183">
      <formula>$J812="Anulada"</formula>
    </cfRule>
    <cfRule type="containsText" dxfId="2290" priority="4184" operator="containsText" text="PENDIENTE">
      <formula>NOT(ISERROR(SEARCH("PENDIENTE",AE812)))</formula>
    </cfRule>
  </conditionalFormatting>
  <conditionalFormatting sqref="AE818">
    <cfRule type="expression" dxfId="2289" priority="4109">
      <formula>$J818="En blanco"</formula>
    </cfRule>
    <cfRule type="expression" dxfId="2288" priority="4110">
      <formula>$J818="Anulada"</formula>
    </cfRule>
    <cfRule type="containsText" dxfId="2287" priority="4111" operator="containsText" text="PENDIENTE">
      <formula>NOT(ISERROR(SEARCH("PENDIENTE",AE818)))</formula>
    </cfRule>
  </conditionalFormatting>
  <conditionalFormatting sqref="AE821">
    <cfRule type="expression" dxfId="2286" priority="4070">
      <formula>$J821="En blanco"</formula>
    </cfRule>
    <cfRule type="expression" dxfId="2285" priority="4071">
      <formula>$J821="Anulada"</formula>
    </cfRule>
    <cfRule type="containsText" dxfId="2284" priority="4072" operator="containsText" text="PENDIENTE">
      <formula>NOT(ISERROR(SEARCH("PENDIENTE",AE821)))</formula>
    </cfRule>
  </conditionalFormatting>
  <conditionalFormatting sqref="AE823:AE824">
    <cfRule type="expression" dxfId="2283" priority="3951">
      <formula>$J823="En blanco"</formula>
    </cfRule>
    <cfRule type="expression" dxfId="2282" priority="3952">
      <formula>$J823="Anulada"</formula>
    </cfRule>
    <cfRule type="containsText" dxfId="2281" priority="3953" operator="containsText" text="PENDIENTE">
      <formula>NOT(ISERROR(SEARCH("PENDIENTE",AE823)))</formula>
    </cfRule>
  </conditionalFormatting>
  <conditionalFormatting sqref="AE843:AE844">
    <cfRule type="expression" dxfId="2280" priority="3869">
      <formula>$J843="En blanco"</formula>
    </cfRule>
    <cfRule type="expression" dxfId="2279" priority="3870">
      <formula>$J843="Anulada"</formula>
    </cfRule>
    <cfRule type="containsText" dxfId="2278" priority="3871" operator="containsText" text="PENDIENTE">
      <formula>NOT(ISERROR(SEARCH("PENDIENTE",AE843)))</formula>
    </cfRule>
  </conditionalFormatting>
  <conditionalFormatting sqref="AE861">
    <cfRule type="expression" dxfId="2277" priority="3990">
      <formula>$J861="En blanco"</formula>
    </cfRule>
    <cfRule type="expression" dxfId="2276" priority="3991">
      <formula>$J861="Anulada"</formula>
    </cfRule>
    <cfRule type="containsText" dxfId="2275" priority="3992" operator="containsText" text="PENDIENTE">
      <formula>NOT(ISERROR(SEARCH("PENDIENTE",AE861)))</formula>
    </cfRule>
  </conditionalFormatting>
  <conditionalFormatting sqref="AE879">
    <cfRule type="expression" dxfId="2274" priority="3789">
      <formula>$J879="En blanco"</formula>
    </cfRule>
    <cfRule type="expression" dxfId="2273" priority="3790">
      <formula>$J879="Anulada"</formula>
    </cfRule>
    <cfRule type="containsText" dxfId="2272" priority="3791" operator="containsText" text="PENDIENTE">
      <formula>NOT(ISERROR(SEARCH("PENDIENTE",AE879)))</formula>
    </cfRule>
  </conditionalFormatting>
  <conditionalFormatting sqref="AE911">
    <cfRule type="expression" dxfId="2271" priority="3688">
      <formula>$J911="En blanco"</formula>
    </cfRule>
    <cfRule type="expression" dxfId="2270" priority="3689">
      <formula>$J911="Anulada"</formula>
    </cfRule>
    <cfRule type="containsText" dxfId="2269" priority="3690" operator="containsText" text="PENDIENTE">
      <formula>NOT(ISERROR(SEARCH("PENDIENTE",AE911)))</formula>
    </cfRule>
  </conditionalFormatting>
  <conditionalFormatting sqref="AE913">
    <cfRule type="expression" dxfId="2268" priority="3740">
      <formula>$J913="En blanco"</formula>
    </cfRule>
    <cfRule type="expression" dxfId="2267" priority="3741">
      <formula>$J913="Anulada"</formula>
    </cfRule>
    <cfRule type="containsText" dxfId="2266" priority="3742" operator="containsText" text="PENDIENTE">
      <formula>NOT(ISERROR(SEARCH("PENDIENTE",AE913)))</formula>
    </cfRule>
  </conditionalFormatting>
  <conditionalFormatting sqref="AE959">
    <cfRule type="expression" dxfId="2265" priority="2695">
      <formula>$J959="En blanco"</formula>
    </cfRule>
    <cfRule type="expression" dxfId="2264" priority="2696">
      <formula>$J959="Anulada"</formula>
    </cfRule>
    <cfRule type="containsText" dxfId="2263" priority="2697" operator="containsText" text="PENDIENTE">
      <formula>NOT(ISERROR(SEARCH("PENDIENTE",AE959)))</formula>
    </cfRule>
  </conditionalFormatting>
  <conditionalFormatting sqref="AE964">
    <cfRule type="expression" dxfId="2262" priority="2428">
      <formula>$J964="En blanco"</formula>
    </cfRule>
    <cfRule type="expression" dxfId="2261" priority="2429">
      <formula>$J964="Anulada"</formula>
    </cfRule>
    <cfRule type="containsText" dxfId="2260" priority="2430" operator="containsText" text="PENDIENTE">
      <formula>NOT(ISERROR(SEARCH("PENDIENTE",AE964)))</formula>
    </cfRule>
  </conditionalFormatting>
  <conditionalFormatting sqref="AE970">
    <cfRule type="expression" dxfId="2259" priority="2755">
      <formula>$J970="En blanco"</formula>
    </cfRule>
    <cfRule type="expression" dxfId="2258" priority="2756">
      <formula>$J970="Anulada"</formula>
    </cfRule>
    <cfRule type="containsText" dxfId="2257" priority="2757" operator="containsText" text="PENDIENTE">
      <formula>NOT(ISERROR(SEARCH("PENDIENTE",AE970)))</formula>
    </cfRule>
  </conditionalFormatting>
  <conditionalFormatting sqref="AE978:AE982">
    <cfRule type="expression" dxfId="2256" priority="2799">
      <formula>$J978="En blanco"</formula>
    </cfRule>
    <cfRule type="expression" dxfId="2255" priority="2800">
      <formula>$J978="Anulada"</formula>
    </cfRule>
    <cfRule type="containsText" dxfId="2254" priority="2801" operator="containsText" text="PENDIENTE">
      <formula>NOT(ISERROR(SEARCH("PENDIENTE",AE978)))</formula>
    </cfRule>
  </conditionalFormatting>
  <conditionalFormatting sqref="AE991">
    <cfRule type="expression" dxfId="2253" priority="2479">
      <formula>$J991="En blanco"</formula>
    </cfRule>
    <cfRule type="expression" dxfId="2252" priority="2480">
      <formula>$J991="Anulada"</formula>
    </cfRule>
    <cfRule type="containsText" dxfId="2251" priority="2481" operator="containsText" text="PENDIENTE">
      <formula>NOT(ISERROR(SEARCH("PENDIENTE",AE991)))</formula>
    </cfRule>
  </conditionalFormatting>
  <conditionalFormatting sqref="AE1017">
    <cfRule type="expression" dxfId="2250" priority="1965">
      <formula>$J1017="En blanco"</formula>
    </cfRule>
    <cfRule type="expression" dxfId="2249" priority="1966">
      <formula>$J1017="Anulada"</formula>
    </cfRule>
    <cfRule type="containsText" dxfId="2248" priority="1967" operator="containsText" text="PENDIENTE">
      <formula>NOT(ISERROR(SEARCH("PENDIENTE",AE1017)))</formula>
    </cfRule>
  </conditionalFormatting>
  <conditionalFormatting sqref="AE1024">
    <cfRule type="expression" dxfId="2247" priority="2055">
      <formula>$J1024="En blanco"</formula>
    </cfRule>
    <cfRule type="expression" dxfId="2246" priority="2056">
      <formula>$J1024="Anulada"</formula>
    </cfRule>
    <cfRule type="containsText" dxfId="2245" priority="2057" operator="containsText" text="PENDIENTE">
      <formula>NOT(ISERROR(SEARCH("PENDIENTE",AE1024)))</formula>
    </cfRule>
  </conditionalFormatting>
  <conditionalFormatting sqref="AE1036">
    <cfRule type="expression" dxfId="2244" priority="2010">
      <formula>$J1036="En blanco"</formula>
    </cfRule>
    <cfRule type="expression" dxfId="2243" priority="2011">
      <formula>$J1036="Anulada"</formula>
    </cfRule>
    <cfRule type="containsText" dxfId="2242" priority="2012" operator="containsText" text="PENDIENTE">
      <formula>NOT(ISERROR(SEARCH("PENDIENTE",AE1036)))</formula>
    </cfRule>
  </conditionalFormatting>
  <conditionalFormatting sqref="AE1079">
    <cfRule type="expression" dxfId="2241" priority="1561">
      <formula>$J1079="En blanco"</formula>
    </cfRule>
    <cfRule type="expression" dxfId="2240" priority="1562">
      <formula>$J1079="Anulada"</formula>
    </cfRule>
    <cfRule type="containsText" dxfId="2239" priority="1563" operator="containsText" text="PENDIENTE">
      <formula>NOT(ISERROR(SEARCH("PENDIENTE",AE1079)))</formula>
    </cfRule>
  </conditionalFormatting>
  <conditionalFormatting sqref="AE1098">
    <cfRule type="expression" dxfId="2238" priority="1367">
      <formula>$J1098="En blanco"</formula>
    </cfRule>
    <cfRule type="expression" dxfId="2237" priority="1368">
      <formula>$J1098="Anulada"</formula>
    </cfRule>
    <cfRule type="containsText" dxfId="2236" priority="1369" operator="containsText" text="PENDIENTE">
      <formula>NOT(ISERROR(SEARCH("PENDIENTE",AE1098)))</formula>
    </cfRule>
  </conditionalFormatting>
  <conditionalFormatting sqref="AE1191">
    <cfRule type="expression" dxfId="2235" priority="1088">
      <formula>$J1191="En blanco"</formula>
    </cfRule>
    <cfRule type="expression" dxfId="2234" priority="1089">
      <formula>$J1191="Anulada"</formula>
    </cfRule>
    <cfRule type="containsText" dxfId="2233" priority="1090" operator="containsText" text="PENDIENTE">
      <formula>NOT(ISERROR(SEARCH("PENDIENTE",AE1191)))</formula>
    </cfRule>
  </conditionalFormatting>
  <conditionalFormatting sqref="AE1205">
    <cfRule type="expression" dxfId="2232" priority="1031">
      <formula>$J1205="En blanco"</formula>
    </cfRule>
    <cfRule type="expression" dxfId="2231" priority="1032">
      <formula>$J1205="Anulada"</formula>
    </cfRule>
    <cfRule type="containsText" dxfId="2230" priority="1033" operator="containsText" text="PENDIENTE">
      <formula>NOT(ISERROR(SEARCH("PENDIENTE",AE1205)))</formula>
    </cfRule>
  </conditionalFormatting>
  <conditionalFormatting sqref="AE1240">
    <cfRule type="expression" dxfId="2229" priority="886">
      <formula>$J1240="En blanco"</formula>
    </cfRule>
    <cfRule type="expression" dxfId="2228" priority="887">
      <formula>$J1240="Anulada"</formula>
    </cfRule>
    <cfRule type="containsText" dxfId="2227" priority="888" operator="containsText" text="PENDIENTE">
      <formula>NOT(ISERROR(SEARCH("PENDIENTE",AE1240)))</formula>
    </cfRule>
  </conditionalFormatting>
  <conditionalFormatting sqref="AE1256">
    <cfRule type="expression" dxfId="2226" priority="814">
      <formula>$J1256="En blanco"</formula>
    </cfRule>
    <cfRule type="expression" dxfId="2225" priority="815">
      <formula>$J1256="Anulada"</formula>
    </cfRule>
    <cfRule type="containsText" dxfId="2224" priority="816" operator="containsText" text="PENDIENTE">
      <formula>NOT(ISERROR(SEARCH("PENDIENTE",AE1256)))</formula>
    </cfRule>
  </conditionalFormatting>
  <conditionalFormatting sqref="AE1294">
    <cfRule type="expression" dxfId="2223" priority="725">
      <formula>$J1294="En blanco"</formula>
    </cfRule>
    <cfRule type="expression" dxfId="2222" priority="726">
      <formula>$J1294="Anulada"</formula>
    </cfRule>
    <cfRule type="containsText" dxfId="2221" priority="727" operator="containsText" text="PENDIENTE">
      <formula>NOT(ISERROR(SEARCH("PENDIENTE",AE1294)))</formula>
    </cfRule>
  </conditionalFormatting>
  <conditionalFormatting sqref="AE1297">
    <cfRule type="expression" dxfId="2220" priority="676">
      <formula>$J1297="En blanco"</formula>
    </cfRule>
    <cfRule type="expression" dxfId="2219" priority="677">
      <formula>$J1297="Anulada"</formula>
    </cfRule>
    <cfRule type="containsText" dxfId="2218" priority="678" operator="containsText" text="PENDIENTE">
      <formula>NOT(ISERROR(SEARCH("PENDIENTE",AE1297)))</formula>
    </cfRule>
  </conditionalFormatting>
  <conditionalFormatting sqref="AE1352">
    <cfRule type="expression" dxfId="2217" priority="592">
      <formula>$J1352="En blanco"</formula>
    </cfRule>
    <cfRule type="expression" dxfId="2216" priority="593">
      <formula>$J1352="Anulada"</formula>
    </cfRule>
    <cfRule type="containsText" dxfId="2215" priority="594" operator="containsText" text="PENDIENTE">
      <formula>NOT(ISERROR(SEARCH("PENDIENTE",AE1352)))</formula>
    </cfRule>
  </conditionalFormatting>
  <conditionalFormatting sqref="AE1366">
    <cfRule type="expression" dxfId="2214" priority="518">
      <formula>$J1366="En blanco"</formula>
    </cfRule>
    <cfRule type="expression" dxfId="2213" priority="519">
      <formula>$J1366="Anulada"</formula>
    </cfRule>
    <cfRule type="containsText" dxfId="2212" priority="520" operator="containsText" text="PENDIENTE">
      <formula>NOT(ISERROR(SEARCH("PENDIENTE",AE1366)))</formula>
    </cfRule>
  </conditionalFormatting>
  <conditionalFormatting sqref="AE1371">
    <cfRule type="expression" dxfId="2211" priority="412">
      <formula>$J1371="En blanco"</formula>
    </cfRule>
    <cfRule type="expression" dxfId="2210" priority="413">
      <formula>$J1371="Anulada"</formula>
    </cfRule>
    <cfRule type="containsText" dxfId="2209" priority="414" operator="containsText" text="PENDIENTE">
      <formula>NOT(ISERROR(SEARCH("PENDIENTE",AE1371)))</formula>
    </cfRule>
  </conditionalFormatting>
  <conditionalFormatting sqref="AE1373">
    <cfRule type="expression" dxfId="2208" priority="465">
      <formula>$J1373="En blanco"</formula>
    </cfRule>
    <cfRule type="expression" dxfId="2207" priority="466">
      <formula>$J1373="Anulada"</formula>
    </cfRule>
    <cfRule type="containsText" dxfId="2206" priority="467" operator="containsText" text="PENDIENTE">
      <formula>NOT(ISERROR(SEARCH("PENDIENTE",AE1373)))</formula>
    </cfRule>
  </conditionalFormatting>
  <conditionalFormatting sqref="AE1394">
    <cfRule type="expression" dxfId="2205" priority="335">
      <formula>$J1394="En blanco"</formula>
    </cfRule>
    <cfRule type="expression" dxfId="2204" priority="336">
      <formula>$J1394="Anulada"</formula>
    </cfRule>
    <cfRule type="containsText" dxfId="2203" priority="337" operator="containsText" text="PENDIENTE">
      <formula>NOT(ISERROR(SEARCH("PENDIENTE",AE1394)))</formula>
    </cfRule>
  </conditionalFormatting>
  <conditionalFormatting sqref="AE1436:AE1437">
    <cfRule type="expression" dxfId="2202" priority="273">
      <formula>$J1436="En blanco"</formula>
    </cfRule>
    <cfRule type="expression" dxfId="2201" priority="274">
      <formula>$J1436="Anulada"</formula>
    </cfRule>
    <cfRule type="containsText" dxfId="2200" priority="275" operator="containsText" text="PENDIENTE">
      <formula>NOT(ISERROR(SEARCH("PENDIENTE",AE1436)))</formula>
    </cfRule>
  </conditionalFormatting>
  <conditionalFormatting sqref="AE1443">
    <cfRule type="expression" dxfId="2199" priority="211">
      <formula>$J1443="En blanco"</formula>
    </cfRule>
    <cfRule type="expression" dxfId="2198" priority="212">
      <formula>$J1443="Anulada"</formula>
    </cfRule>
    <cfRule type="containsText" dxfId="2197" priority="213" operator="containsText" text="PENDIENTE">
      <formula>NOT(ISERROR(SEARCH("PENDIENTE",AE1443)))</formula>
    </cfRule>
  </conditionalFormatting>
  <conditionalFormatting sqref="AE1447">
    <cfRule type="expression" dxfId="2196" priority="21">
      <formula>$J1447="En blanco"</formula>
    </cfRule>
    <cfRule type="expression" dxfId="2195" priority="22">
      <formula>$J1447="Anulada"</formula>
    </cfRule>
    <cfRule type="containsText" dxfId="2194" priority="23" operator="containsText" text="PENDIENTE">
      <formula>NOT(ISERROR(SEARCH("PENDIENTE",AE1447)))</formula>
    </cfRule>
  </conditionalFormatting>
  <conditionalFormatting sqref="AE2:AF4 W2:W6 AF5:AF6 AF8:AF17">
    <cfRule type="expression" dxfId="2193" priority="7817">
      <formula>$J2="En blanco"</formula>
    </cfRule>
    <cfRule type="containsText" dxfId="2192" priority="7819" operator="containsText" text="PENDIENTE">
      <formula>NOT(ISERROR(SEARCH("PENDIENTE",W2)))</formula>
    </cfRule>
  </conditionalFormatting>
  <conditionalFormatting sqref="AE2:AF4">
    <cfRule type="containsText" dxfId="2191" priority="7816" operator="containsText" text="PENDIENTE">
      <formula>NOT(ISERROR(SEARCH("PENDIENTE",AE2)))</formula>
    </cfRule>
    <cfRule type="expression" dxfId="2190" priority="7818">
      <formula>$J2="Anulada"</formula>
    </cfRule>
  </conditionalFormatting>
  <conditionalFormatting sqref="AF5:AF17">
    <cfRule type="containsText" dxfId="2189" priority="7798" operator="containsText" text="PENDIENTE">
      <formula>NOT(ISERROR(SEARCH("PENDIENTE",AF5)))</formula>
    </cfRule>
    <cfRule type="expression" dxfId="2188" priority="7799">
      <formula>$J5="Anulada"</formula>
    </cfRule>
  </conditionalFormatting>
  <conditionalFormatting sqref="AF7">
    <cfRule type="expression" dxfId="2187" priority="7797">
      <formula>$J7="En blanco"</formula>
    </cfRule>
  </conditionalFormatting>
  <conditionalFormatting sqref="AF18:AF32">
    <cfRule type="containsText" dxfId="2186" priority="5987" operator="containsText" text="PENDIENTE">
      <formula>NOT(ISERROR(SEARCH("PENDIENTE",AF18)))</formula>
    </cfRule>
    <cfRule type="expression" dxfId="2185" priority="5988">
      <formula>$J18="En blanco"</formula>
    </cfRule>
    <cfRule type="expression" dxfId="2184" priority="5989">
      <formula>$J18="Anulada"</formula>
    </cfRule>
  </conditionalFormatting>
  <conditionalFormatting sqref="AF20">
    <cfRule type="containsText" dxfId="2183" priority="4787" operator="containsText" text="PENDIENTE">
      <formula>NOT(ISERROR(SEARCH("PENDIENTE",AF20)))</formula>
    </cfRule>
    <cfRule type="expression" dxfId="2182" priority="4788">
      <formula>$J20="En blanco"</formula>
    </cfRule>
    <cfRule type="expression" dxfId="2181" priority="4789">
      <formula>$J20="Anulada"</formula>
    </cfRule>
  </conditionalFormatting>
  <conditionalFormatting sqref="AF32 AF328:AF330 AF248:AF256 AF281">
    <cfRule type="expression" dxfId="2180" priority="5948">
      <formula>$AF32="PENDIENTE"</formula>
    </cfRule>
    <cfRule type="expression" dxfId="2179" priority="5949">
      <formula>$AF32="FACTURADO"</formula>
    </cfRule>
    <cfRule type="expression" dxfId="2178" priority="5950">
      <formula>$AF32="NO CORRESPONDE"</formula>
    </cfRule>
  </conditionalFormatting>
  <conditionalFormatting sqref="AF33:AF90 AF92:AF129 AF131:AF153 AF156:AF157 AF159:AF208 AF210 AF212 AF214:AF227 AF229:AF230 AF232:AF234 AF236:AF240 AF282 AF284:AF286 AF288 AF311:AF327 AF331:AF336 AF357:AF366 AF368:AF378 AF380:AF400 AF402:AF407 AF409:AF412 AF414:AF415 AF418:AF420 AF422:AF445 AF447:AF451 AF453:AF467 AG1136:AP1136 AF884:AF1454 AF1:AF31 AF1456:AF1048576">
    <cfRule type="expression" dxfId="2177" priority="15471">
      <formula>$AF1="NO CORRESPONDE"</formula>
    </cfRule>
  </conditionalFormatting>
  <conditionalFormatting sqref="AF33:AF90 AF92:AF129 AF131:AF153 AF156:AF157 AF159:AF208 AF210 AF212 AF214:AF227 AF229:AF230 AF232:AF234 AF236:AF240 AF282 AF284:AF286 AF288 AF311:AF327 AF331:AF336 AF357:AF366 AF368:AF378 AF380:AF400 AF402:AF407 AF409:AF412 AF414:AF415 AF418:AF420 AF447:AF451 AF453:AF467 AF422:AF445 AG1136:AP1136 AF884:AF1454 AF1:AF31 AF1456:AF1048576">
    <cfRule type="expression" dxfId="2176" priority="15466">
      <formula>$AF1="FACTURADO"</formula>
    </cfRule>
  </conditionalFormatting>
  <conditionalFormatting sqref="AF33:AF91">
    <cfRule type="containsText" dxfId="2175" priority="6031" operator="containsText" text="PENDIENTE">
      <formula>NOT(ISERROR(SEARCH("PENDIENTE",AF33)))</formula>
    </cfRule>
    <cfRule type="expression" dxfId="2174" priority="6032">
      <formula>$J33="En blanco"</formula>
    </cfRule>
    <cfRule type="expression" dxfId="2173" priority="6033">
      <formula>$J33="Anulada"</formula>
    </cfRule>
  </conditionalFormatting>
  <conditionalFormatting sqref="AF91 AF469:AF882">
    <cfRule type="expression" dxfId="2172" priority="5993">
      <formula>$AF91="FACTURADO"</formula>
    </cfRule>
    <cfRule type="expression" dxfId="2171" priority="5994">
      <formula>$AF91="NO CORRESPONDE"</formula>
    </cfRule>
  </conditionalFormatting>
  <conditionalFormatting sqref="AF92:AF129 AF33:AF90 AF18:AF31">
    <cfRule type="containsText" dxfId="2170" priority="7740" operator="containsText" text="PENDIENTE">
      <formula>NOT(ISERROR(SEARCH("PENDIENTE",AF18)))</formula>
    </cfRule>
  </conditionalFormatting>
  <conditionalFormatting sqref="AF92:AF130">
    <cfRule type="containsText" dxfId="2169" priority="6075" operator="containsText" text="PENDIENTE">
      <formula>NOT(ISERROR(SEARCH("PENDIENTE",AF92)))</formula>
    </cfRule>
    <cfRule type="expression" dxfId="2168" priority="6076">
      <formula>$J92="En blanco"</formula>
    </cfRule>
    <cfRule type="expression" dxfId="2167" priority="6077">
      <formula>$J92="Anulada"</formula>
    </cfRule>
  </conditionalFormatting>
  <conditionalFormatting sqref="AF130">
    <cfRule type="expression" dxfId="2166" priority="6036">
      <formula>$AF130="PENDIENTE"</formula>
    </cfRule>
    <cfRule type="expression" dxfId="2165" priority="6037">
      <formula>$AF130="FACTURADO"</formula>
    </cfRule>
    <cfRule type="expression" dxfId="2164" priority="6038">
      <formula>$AF130="NO CORRESPONDE"</formula>
    </cfRule>
  </conditionalFormatting>
  <conditionalFormatting sqref="AF131:AF153 AF156:AF157 AF159:AF208 AF210 AF212 AF214:AF227 AF229:AF230 AF232:AF234 AF236:AF240 AF282 AF284:AF286 AF311:AF327 AF331:AF336 AF288 AF357:AF366 AF368:AF378 AF380:AF400 AF402:AF407 AF409:AF412 AF414:AF415 AF418:AF420 AF447:AF451 AF453:AF467 AF422:AF445 AG1136:AP1136 AF884:AF1454 AF33:AF129 AF1:AF31 AF1456:AF1048576">
    <cfRule type="expression" dxfId="2163" priority="15434">
      <formula>$AF1="PENDIENTE"</formula>
    </cfRule>
  </conditionalFormatting>
  <conditionalFormatting sqref="AF131:AF157">
    <cfRule type="expression" dxfId="2162" priority="6164">
      <formula>$J131="En blanco"</formula>
    </cfRule>
    <cfRule type="expression" dxfId="2161" priority="6165">
      <formula>$J131="Anulada"</formula>
    </cfRule>
  </conditionalFormatting>
  <conditionalFormatting sqref="AF154">
    <cfRule type="expression" dxfId="2160" priority="6124">
      <formula>$AF154="PENDIENTE"</formula>
    </cfRule>
    <cfRule type="expression" dxfId="2159" priority="6125">
      <formula>$AF154="FACTURADO"</formula>
    </cfRule>
    <cfRule type="expression" dxfId="2158" priority="6126">
      <formula>$AF154="NO CORRESPONDE"</formula>
    </cfRule>
    <cfRule type="containsText" dxfId="2157" priority="6163" operator="containsText" text="PENDIENTE">
      <formula>NOT(ISERROR(SEARCH("PENDIENTE",AF154)))</formula>
    </cfRule>
  </conditionalFormatting>
  <conditionalFormatting sqref="AF155">
    <cfRule type="containsText" dxfId="2156" priority="7467" operator="containsText" text="PENDIENTE">
      <formula>NOT(ISERROR(SEARCH("PENDIENTE",AF155)))</formula>
    </cfRule>
    <cfRule type="expression" dxfId="2155" priority="7471">
      <formula>$AF155="PENDIENTE"</formula>
    </cfRule>
    <cfRule type="expression" dxfId="2154" priority="7472">
      <formula>$AF155="FACTURADO"</formula>
    </cfRule>
    <cfRule type="expression" dxfId="2153" priority="7473">
      <formula>$AF155="NO CORRESPONDE"</formula>
    </cfRule>
  </conditionalFormatting>
  <conditionalFormatting sqref="AF158">
    <cfRule type="expression" dxfId="2152" priority="6080">
      <formula>$AF158="PENDIENTE"</formula>
    </cfRule>
    <cfRule type="expression" dxfId="2151" priority="6081">
      <formula>$AF158="FACTURADO"</formula>
    </cfRule>
    <cfRule type="expression" dxfId="2150" priority="6082">
      <formula>$AF158="NO CORRESPONDE"</formula>
    </cfRule>
    <cfRule type="containsText" dxfId="2149" priority="6119" operator="containsText" text="PENDIENTE">
      <formula>NOT(ISERROR(SEARCH("PENDIENTE",AF158)))</formula>
    </cfRule>
    <cfRule type="expression" dxfId="2148" priority="6120">
      <formula>$J158="En blanco"</formula>
    </cfRule>
    <cfRule type="expression" dxfId="2147" priority="6121">
      <formula>$J158="Anulada"</formula>
    </cfRule>
  </conditionalFormatting>
  <conditionalFormatting sqref="AF159:AF209">
    <cfRule type="expression" dxfId="2146" priority="6208">
      <formula>$J159="En blanco"</formula>
    </cfRule>
    <cfRule type="expression" dxfId="2145" priority="6209">
      <formula>$J159="Anulada"</formula>
    </cfRule>
  </conditionalFormatting>
  <conditionalFormatting sqref="AF209">
    <cfRule type="expression" dxfId="2144" priority="6168">
      <formula>$AF209="PENDIENTE"</formula>
    </cfRule>
    <cfRule type="expression" dxfId="2143" priority="6169">
      <formula>$AF209="FACTURADO"</formula>
    </cfRule>
    <cfRule type="expression" dxfId="2142" priority="6170">
      <formula>$AF209="NO CORRESPONDE"</formula>
    </cfRule>
    <cfRule type="containsText" dxfId="2141" priority="6207" operator="containsText" text="PENDIENTE">
      <formula>NOT(ISERROR(SEARCH("PENDIENTE",AF209)))</formula>
    </cfRule>
  </conditionalFormatting>
  <conditionalFormatting sqref="AF210:AF212">
    <cfRule type="expression" dxfId="2140" priority="6296">
      <formula>$J210="En blanco"</formula>
    </cfRule>
    <cfRule type="expression" dxfId="2139" priority="6297">
      <formula>$J210="Anulada"</formula>
    </cfRule>
  </conditionalFormatting>
  <conditionalFormatting sqref="AF211">
    <cfRule type="expression" dxfId="2138" priority="6256">
      <formula>$AF211="PENDIENTE"</formula>
    </cfRule>
    <cfRule type="expression" dxfId="2137" priority="6257">
      <formula>$AF211="FACTURADO"</formula>
    </cfRule>
    <cfRule type="expression" dxfId="2136" priority="6258">
      <formula>$AF211="NO CORRESPONDE"</formula>
    </cfRule>
    <cfRule type="containsText" dxfId="2135" priority="6295" operator="containsText" text="PENDIENTE">
      <formula>NOT(ISERROR(SEARCH("PENDIENTE",AF211)))</formula>
    </cfRule>
  </conditionalFormatting>
  <conditionalFormatting sqref="AF213">
    <cfRule type="expression" dxfId="2134" priority="6212">
      <formula>$AF213="PENDIENTE"</formula>
    </cfRule>
    <cfRule type="expression" dxfId="2133" priority="6213">
      <formula>$AF213="FACTURADO"</formula>
    </cfRule>
    <cfRule type="expression" dxfId="2132" priority="6214">
      <formula>$AF213="NO CORRESPONDE"</formula>
    </cfRule>
    <cfRule type="containsText" dxfId="2131" priority="6251" operator="containsText" text="PENDIENTE">
      <formula>NOT(ISERROR(SEARCH("PENDIENTE",AF213)))</formula>
    </cfRule>
    <cfRule type="expression" dxfId="2130" priority="6252">
      <formula>$J213="En blanco"</formula>
    </cfRule>
    <cfRule type="expression" dxfId="2129" priority="6253">
      <formula>$J213="Anulada"</formula>
    </cfRule>
  </conditionalFormatting>
  <conditionalFormatting sqref="AF214:AF228">
    <cfRule type="expression" dxfId="2128" priority="6340">
      <formula>$J214="En blanco"</formula>
    </cfRule>
    <cfRule type="expression" dxfId="2127" priority="6341">
      <formula>$J214="Anulada"</formula>
    </cfRule>
  </conditionalFormatting>
  <conditionalFormatting sqref="AF228">
    <cfRule type="expression" dxfId="2126" priority="6300">
      <formula>$AF228="PENDIENTE"</formula>
    </cfRule>
    <cfRule type="expression" dxfId="2125" priority="6301">
      <formula>$AF228="FACTURADO"</formula>
    </cfRule>
    <cfRule type="expression" dxfId="2124" priority="6302">
      <formula>$AF228="NO CORRESPONDE"</formula>
    </cfRule>
    <cfRule type="containsText" dxfId="2123" priority="6339" operator="containsText" text="PENDIENTE">
      <formula>NOT(ISERROR(SEARCH("PENDIENTE",AF228)))</formula>
    </cfRule>
  </conditionalFormatting>
  <conditionalFormatting sqref="AF229:AF231">
    <cfRule type="expression" dxfId="2122" priority="6384">
      <formula>$J229="En blanco"</formula>
    </cfRule>
    <cfRule type="expression" dxfId="2121" priority="6385">
      <formula>$J229="Anulada"</formula>
    </cfRule>
  </conditionalFormatting>
  <conditionalFormatting sqref="AF231">
    <cfRule type="expression" dxfId="2120" priority="6344">
      <formula>$AF231="PENDIENTE"</formula>
    </cfRule>
    <cfRule type="expression" dxfId="2119" priority="6345">
      <formula>$AF231="FACTURADO"</formula>
    </cfRule>
    <cfRule type="expression" dxfId="2118" priority="6346">
      <formula>$AF231="NO CORRESPONDE"</formula>
    </cfRule>
    <cfRule type="containsText" dxfId="2117" priority="6383" operator="containsText" text="PENDIENTE">
      <formula>NOT(ISERROR(SEARCH("PENDIENTE",AF231)))</formula>
    </cfRule>
  </conditionalFormatting>
  <conditionalFormatting sqref="AF232:AF240">
    <cfRule type="expression" dxfId="2116" priority="6428">
      <formula>$J232="En blanco"</formula>
    </cfRule>
    <cfRule type="expression" dxfId="2115" priority="6429">
      <formula>$J232="Anulada"</formula>
    </cfRule>
  </conditionalFormatting>
  <conditionalFormatting sqref="AF235">
    <cfRule type="expression" dxfId="2114" priority="6388">
      <formula>$AF235="PENDIENTE"</formula>
    </cfRule>
    <cfRule type="expression" dxfId="2113" priority="6389">
      <formula>$AF235="FACTURADO"</formula>
    </cfRule>
    <cfRule type="expression" dxfId="2112" priority="6390">
      <formula>$AF235="NO CORRESPONDE"</formula>
    </cfRule>
    <cfRule type="containsText" dxfId="2111" priority="6427" operator="containsText" text="PENDIENTE">
      <formula>NOT(ISERROR(SEARCH("PENDIENTE",AF235)))</formula>
    </cfRule>
  </conditionalFormatting>
  <conditionalFormatting sqref="AF244:AF246">
    <cfRule type="containsText" dxfId="2110" priority="7015" operator="containsText" text="PENDIENTE">
      <formula>NOT(ISERROR(SEARCH("PENDIENTE",AF244)))</formula>
    </cfRule>
    <cfRule type="expression" dxfId="2109" priority="7016">
      <formula>$AF244="PENDIENTE"</formula>
    </cfRule>
    <cfRule type="expression" dxfId="2108" priority="7017">
      <formula>$AF244="FACTURADO"</formula>
    </cfRule>
    <cfRule type="expression" dxfId="2107" priority="7018">
      <formula>$AF244="NO CORRESPONDE"</formula>
    </cfRule>
  </conditionalFormatting>
  <conditionalFormatting sqref="AF244:AF247">
    <cfRule type="expression" dxfId="2106" priority="6472">
      <formula>$J244="En blanco"</formula>
    </cfRule>
    <cfRule type="expression" dxfId="2105" priority="6473">
      <formula>$J244="Anulada"</formula>
    </cfRule>
  </conditionalFormatting>
  <conditionalFormatting sqref="AF247">
    <cfRule type="expression" dxfId="2104" priority="6432">
      <formula>$AF247="PENDIENTE"</formula>
    </cfRule>
    <cfRule type="expression" dxfId="2103" priority="6433">
      <formula>$AF247="FACTURADO"</formula>
    </cfRule>
    <cfRule type="expression" dxfId="2102" priority="6434">
      <formula>$AF247="NO CORRESPONDE"</formula>
    </cfRule>
    <cfRule type="containsText" dxfId="2101" priority="6471" operator="containsText" text="PENDIENTE">
      <formula>NOT(ISERROR(SEARCH("PENDIENTE",AF247)))</formula>
    </cfRule>
  </conditionalFormatting>
  <conditionalFormatting sqref="AF248:AF271">
    <cfRule type="containsText" dxfId="2100" priority="6515" operator="containsText" text="PENDIENTE">
      <formula>NOT(ISERROR(SEARCH("PENDIENTE",AF248)))</formula>
    </cfRule>
  </conditionalFormatting>
  <conditionalFormatting sqref="AF257">
    <cfRule type="expression" dxfId="2099" priority="6476">
      <formula>$AF257="PENDIENTE"</formula>
    </cfRule>
    <cfRule type="expression" dxfId="2098" priority="6477">
      <formula>$AF257="FACTURADO"</formula>
    </cfRule>
    <cfRule type="expression" dxfId="2097" priority="6478">
      <formula>$AF257="NO CORRESPONDE"</formula>
    </cfRule>
  </conditionalFormatting>
  <conditionalFormatting sqref="AF258:AF279">
    <cfRule type="expression" dxfId="2096" priority="6893">
      <formula>$AF258="PENDIENTE"</formula>
    </cfRule>
    <cfRule type="expression" dxfId="2095" priority="6894">
      <formula>$AF258="FACTURADO"</formula>
    </cfRule>
    <cfRule type="expression" dxfId="2094" priority="6895">
      <formula>$AF258="NO CORRESPONDE"</formula>
    </cfRule>
  </conditionalFormatting>
  <conditionalFormatting sqref="AF272:AF281">
    <cfRule type="containsText" dxfId="2093" priority="6555" operator="containsText" text="PENDIENTE">
      <formula>NOT(ISERROR(SEARCH("PENDIENTE",AF272)))</formula>
    </cfRule>
  </conditionalFormatting>
  <conditionalFormatting sqref="AF280">
    <cfRule type="expression" dxfId="2092" priority="6516">
      <formula>$AF280="PENDIENTE"</formula>
    </cfRule>
    <cfRule type="expression" dxfId="2091" priority="6517">
      <formula>$AF280="FACTURADO"</formula>
    </cfRule>
    <cfRule type="expression" dxfId="2090" priority="6518">
      <formula>$AF280="NO CORRESPONDE"</formula>
    </cfRule>
  </conditionalFormatting>
  <conditionalFormatting sqref="AF283">
    <cfRule type="expression" dxfId="2089" priority="6556">
      <formula>$AF283="PENDIENTE"</formula>
    </cfRule>
    <cfRule type="expression" dxfId="2088" priority="6557">
      <formula>$AF283="FACTURADO"</formula>
    </cfRule>
    <cfRule type="expression" dxfId="2087" priority="6558">
      <formula>$AF283="NO CORRESPONDE"</formula>
    </cfRule>
    <cfRule type="containsText" dxfId="2086" priority="6595" operator="containsText" text="PENDIENTE">
      <formula>NOT(ISERROR(SEARCH("PENDIENTE",AF283)))</formula>
    </cfRule>
  </conditionalFormatting>
  <conditionalFormatting sqref="AF286:AF321">
    <cfRule type="containsText" dxfId="2085" priority="6755" operator="containsText" text="PENDIENTE">
      <formula>NOT(ISERROR(SEARCH("PENDIENTE",AF286)))</formula>
    </cfRule>
  </conditionalFormatting>
  <conditionalFormatting sqref="AF287">
    <cfRule type="expression" dxfId="2084" priority="6596">
      <formula>$AF287="PENDIENTE"</formula>
    </cfRule>
    <cfRule type="expression" dxfId="2083" priority="6597">
      <formula>$AF287="FACTURADO"</formula>
    </cfRule>
    <cfRule type="expression" dxfId="2082" priority="6598">
      <formula>$AF287="NO CORRESPONDE"</formula>
    </cfRule>
  </conditionalFormatting>
  <conditionalFormatting sqref="AF289">
    <cfRule type="expression" dxfId="2081" priority="6635">
      <formula>$AF289="PENDIENTE"</formula>
    </cfRule>
    <cfRule type="expression" dxfId="2080" priority="6636">
      <formula>$AF289="FACTURADO"</formula>
    </cfRule>
    <cfRule type="expression" dxfId="2079" priority="6637">
      <formula>$AF289="NO CORRESPONDE"</formula>
    </cfRule>
  </conditionalFormatting>
  <conditionalFormatting sqref="AF290:AF309">
    <cfRule type="expression" dxfId="2078" priority="6756">
      <formula>$AF290="PENDIENTE"</formula>
    </cfRule>
    <cfRule type="expression" dxfId="2077" priority="6757">
      <formula>$AF290="FACTURADO"</formula>
    </cfRule>
    <cfRule type="expression" dxfId="2076" priority="6758">
      <formula>$AF290="NO CORRESPONDE"</formula>
    </cfRule>
  </conditionalFormatting>
  <conditionalFormatting sqref="AF310">
    <cfRule type="expression" dxfId="2075" priority="6674">
      <formula>$AF310="PENDIENTE"</formula>
    </cfRule>
    <cfRule type="expression" dxfId="2074" priority="6675">
      <formula>$AF310="FACTURADO"</formula>
    </cfRule>
    <cfRule type="expression" dxfId="2073" priority="6676">
      <formula>$AF310="NO CORRESPONDE"</formula>
    </cfRule>
  </conditionalFormatting>
  <conditionalFormatting sqref="AF322">
    <cfRule type="containsText" dxfId="2072" priority="5859" operator="containsText" text="PENDIENTE">
      <formula>NOT(ISERROR(SEARCH("PENDIENTE",AF322)))</formula>
    </cfRule>
  </conditionalFormatting>
  <conditionalFormatting sqref="AF337:AF354">
    <cfRule type="expression" dxfId="2071" priority="5876">
      <formula>$AF337="PENDIENTE"</formula>
    </cfRule>
    <cfRule type="expression" dxfId="2070" priority="5877">
      <formula>$AF337="FACTURADO"</formula>
    </cfRule>
    <cfRule type="expression" dxfId="2069" priority="5878">
      <formula>$AF337="NO CORRESPONDE"</formula>
    </cfRule>
  </conditionalFormatting>
  <conditionalFormatting sqref="AF338:AF366">
    <cfRule type="containsText" dxfId="2068" priority="5819" operator="containsText" text="PENDIENTE">
      <formula>NOT(ISERROR(SEARCH("PENDIENTE",AF338)))</formula>
    </cfRule>
  </conditionalFormatting>
  <conditionalFormatting sqref="AF355:AF356">
    <cfRule type="expression" dxfId="2067" priority="5780">
      <formula>$AF355="PENDIENTE"</formula>
    </cfRule>
    <cfRule type="expression" dxfId="2066" priority="5781">
      <formula>$AF355="FACTURADO"</formula>
    </cfRule>
    <cfRule type="expression" dxfId="2065" priority="5782">
      <formula>$AF355="NO CORRESPONDE"</formula>
    </cfRule>
  </conditionalFormatting>
  <conditionalFormatting sqref="AF367">
    <cfRule type="expression" dxfId="2064" priority="5740">
      <formula>$AF367="PENDIENTE"</formula>
    </cfRule>
    <cfRule type="expression" dxfId="2063" priority="5741">
      <formula>$AF367="FACTURADO"</formula>
    </cfRule>
    <cfRule type="expression" dxfId="2062" priority="5742">
      <formula>$AF367="NO CORRESPONDE"</formula>
    </cfRule>
  </conditionalFormatting>
  <conditionalFormatting sqref="AF367:AF415">
    <cfRule type="containsText" dxfId="2061" priority="5779" operator="containsText" text="PENDIENTE">
      <formula>NOT(ISERROR(SEARCH("PENDIENTE",AF367)))</formula>
    </cfRule>
  </conditionalFormatting>
  <conditionalFormatting sqref="AF379">
    <cfRule type="expression" dxfId="2060" priority="5698">
      <formula>$AF379="PENDIENTE"</formula>
    </cfRule>
    <cfRule type="expression" dxfId="2059" priority="5699">
      <formula>$AF379="FACTURADO"</formula>
    </cfRule>
    <cfRule type="expression" dxfId="2058" priority="5700">
      <formula>$AF379="NO CORRESPONDE"</formula>
    </cfRule>
  </conditionalFormatting>
  <conditionalFormatting sqref="AF401">
    <cfRule type="expression" dxfId="2057" priority="5649">
      <formula>$AF401="PENDIENTE"</formula>
    </cfRule>
    <cfRule type="expression" dxfId="2056" priority="5650">
      <formula>$AF401="FACTURADO"</formula>
    </cfRule>
    <cfRule type="expression" dxfId="2055" priority="5651">
      <formula>$AF401="NO CORRESPONDE"</formula>
    </cfRule>
  </conditionalFormatting>
  <conditionalFormatting sqref="AF408">
    <cfRule type="expression" dxfId="2054" priority="5594">
      <formula>$AF408="PENDIENTE"</formula>
    </cfRule>
    <cfRule type="expression" dxfId="2053" priority="5595">
      <formula>$AF408="FACTURADO"</formula>
    </cfRule>
    <cfRule type="expression" dxfId="2052" priority="5596">
      <formula>$AF408="NO CORRESPONDE"</formula>
    </cfRule>
  </conditionalFormatting>
  <conditionalFormatting sqref="AF413">
    <cfRule type="expression" dxfId="2051" priority="5555">
      <formula>$AF413="PENDIENTE"</formula>
    </cfRule>
    <cfRule type="expression" dxfId="2050" priority="5556">
      <formula>$AF413="FACTURADO"</formula>
    </cfRule>
    <cfRule type="expression" dxfId="2049" priority="5557">
      <formula>$AF413="NO CORRESPONDE"</formula>
    </cfRule>
  </conditionalFormatting>
  <conditionalFormatting sqref="AF416:AF417">
    <cfRule type="expression" dxfId="2048" priority="5471">
      <formula>$AF416="PENDIENTE"</formula>
    </cfRule>
    <cfRule type="expression" dxfId="2047" priority="5472">
      <formula>$AF416="FACTURADO"</formula>
    </cfRule>
    <cfRule type="expression" dxfId="2046" priority="5473">
      <formula>$AF416="NO CORRESPONDE"</formula>
    </cfRule>
  </conditionalFormatting>
  <conditionalFormatting sqref="AF416:AF420 AF422:AF782">
    <cfRule type="containsText" dxfId="2045" priority="5510" operator="containsText" text="PENDIENTE">
      <formula>NOT(ISERROR(SEARCH("PENDIENTE",AF416)))</formula>
    </cfRule>
  </conditionalFormatting>
  <conditionalFormatting sqref="AF421">
    <cfRule type="expression" dxfId="2044" priority="2157">
      <formula>$AF421="PENDIENTE"</formula>
    </cfRule>
    <cfRule type="expression" dxfId="2043" priority="2158">
      <formula>$AF421="FACTURADO"</formula>
    </cfRule>
    <cfRule type="expression" dxfId="2042" priority="2159">
      <formula>$AF421="NO CORRESPONDE"</formula>
    </cfRule>
    <cfRule type="containsText" dxfId="2041" priority="2192" operator="containsText" text="PENDIENTE">
      <formula>NOT(ISERROR(SEARCH("PENDIENTE",AF421)))</formula>
    </cfRule>
  </conditionalFormatting>
  <conditionalFormatting sqref="AF446">
    <cfRule type="expression" dxfId="2040" priority="5431">
      <formula>$AF446="PENDIENTE"</formula>
    </cfRule>
    <cfRule type="expression" dxfId="2039" priority="5432">
      <formula>$AF446="FACTURADO"</formula>
    </cfRule>
    <cfRule type="expression" dxfId="2038" priority="5433">
      <formula>$AF446="NO CORRESPONDE"</formula>
    </cfRule>
  </conditionalFormatting>
  <conditionalFormatting sqref="AF452">
    <cfRule type="expression" dxfId="2037" priority="5261">
      <formula>$AF452="PENDIENTE"</formula>
    </cfRule>
    <cfRule type="expression" dxfId="2036" priority="5262">
      <formula>$AF452="FACTURADO"</formula>
    </cfRule>
    <cfRule type="expression" dxfId="2035" priority="5263">
      <formula>$AF452="NO CORRESPONDE"</formula>
    </cfRule>
  </conditionalFormatting>
  <conditionalFormatting sqref="AF468">
    <cfRule type="expression" dxfId="2034" priority="5391">
      <formula>$AF468="PENDIENTE"</formula>
    </cfRule>
    <cfRule type="expression" dxfId="2033" priority="5392">
      <formula>$AF468="FACTURADO"</formula>
    </cfRule>
    <cfRule type="expression" dxfId="2032" priority="5393">
      <formula>$AF468="NO CORRESPONDE"</formula>
    </cfRule>
  </conditionalFormatting>
  <conditionalFormatting sqref="AF469:AF882">
    <cfRule type="expression" dxfId="2031" priority="5992">
      <formula>$AF469="PENDIENTE"</formula>
    </cfRule>
  </conditionalFormatting>
  <conditionalFormatting sqref="AG401:AP401">
    <cfRule type="containsText" dxfId="2030" priority="5674" operator="containsText" text="PENDIENTE">
      <formula>NOT(ISERROR(SEARCH("PENDIENTE",AG401)))</formula>
    </cfRule>
  </conditionalFormatting>
  <conditionalFormatting sqref="AG761:AP761">
    <cfRule type="containsText" dxfId="2029" priority="4440" operator="containsText" text="PENDIENTE">
      <formula>NOT(ISERROR(SEARCH("PENDIENTE",AG761)))</formula>
    </cfRule>
  </conditionalFormatting>
  <conditionalFormatting sqref="AG812:AP812">
    <cfRule type="containsText" dxfId="2028" priority="4156" operator="containsText" text="PENDIENTE">
      <formula>NOT(ISERROR(SEARCH("PENDIENTE",AG812)))</formula>
    </cfRule>
  </conditionalFormatting>
  <conditionalFormatting sqref="AG818:AP818">
    <cfRule type="containsText" dxfId="2027" priority="4083" operator="containsText" text="PENDIENTE">
      <formula>NOT(ISERROR(SEARCH("PENDIENTE",AG818)))</formula>
    </cfRule>
  </conditionalFormatting>
  <conditionalFormatting sqref="AG821:AP821">
    <cfRule type="containsText" dxfId="2026" priority="4044" operator="containsText" text="PENDIENTE">
      <formula>NOT(ISERROR(SEARCH("PENDIENTE",AG821)))</formula>
    </cfRule>
  </conditionalFormatting>
  <conditionalFormatting sqref="AG823:AP824">
    <cfRule type="containsText" dxfId="2025" priority="3925" operator="containsText" text="PENDIENTE">
      <formula>NOT(ISERROR(SEARCH("PENDIENTE",AG823)))</formula>
    </cfRule>
  </conditionalFormatting>
  <conditionalFormatting sqref="AG835:AP837">
    <cfRule type="containsText" dxfId="2024" priority="3882" operator="containsText" text="PENDIENTE">
      <formula>NOT(ISERROR(SEARCH("PENDIENTE",AG835)))</formula>
    </cfRule>
  </conditionalFormatting>
  <conditionalFormatting sqref="AG843:AP844">
    <cfRule type="containsText" dxfId="2023" priority="3830" operator="containsText" text="PENDIENTE">
      <formula>NOT(ISERROR(SEARCH("PENDIENTE",AG843)))</formula>
    </cfRule>
  </conditionalFormatting>
  <conditionalFormatting sqref="AG861:AP861">
    <cfRule type="containsText" dxfId="2022" priority="3964" operator="containsText" text="PENDIENTE">
      <formula>NOT(ISERROR(SEARCH("PENDIENTE",AG861)))</formula>
    </cfRule>
  </conditionalFormatting>
  <conditionalFormatting sqref="AG879:AP879">
    <cfRule type="containsText" dxfId="2021" priority="3763" operator="containsText" text="PENDIENTE">
      <formula>NOT(ISERROR(SEARCH("PENDIENTE",AG879)))</formula>
    </cfRule>
  </conditionalFormatting>
  <conditionalFormatting sqref="AG164:AR164 E164:J164 L164:M164 O164 Q164 O191:O192 T191:T192 O210 O230 O239 O244 O253 O269 O278 W164:X164">
    <cfRule type="cellIs" dxfId="2020" priority="7503" operator="equal">
      <formula>"NO CORRESPONDE"</formula>
    </cfRule>
  </conditionalFormatting>
  <conditionalFormatting sqref="AG164:AR164 E164:J164 L164:M164 O164 Q164 W164:X164 O191:O192 T191:T192 O210 O230 O239 O244 O253 O269 O278">
    <cfRule type="cellIs" dxfId="2019" priority="7500" operator="equal">
      <formula>"ENVIADO"</formula>
    </cfRule>
  </conditionalFormatting>
  <conditionalFormatting sqref="AG660:AR662 A660:H662 J660:M662 O660:Q662 U660:V662 X660:X662 Z660:AD662">
    <cfRule type="cellIs" dxfId="2018" priority="4737" operator="equal">
      <formula>"ENVIADO"</formula>
    </cfRule>
    <cfRule type="cellIs" dxfId="2017" priority="4738" operator="equal">
      <formula>"NO CORRESPONDE"</formula>
    </cfRule>
  </conditionalFormatting>
  <conditionalFormatting sqref="AG664:AR664 A664:H664 J664:M664 O664:Q664 U664:V664 X664 Z664:AD664">
    <cfRule type="cellIs" dxfId="2016" priority="4683" operator="equal">
      <formula>"ENVIADO"</formula>
    </cfRule>
    <cfRule type="cellIs" dxfId="2015" priority="4684" operator="equal">
      <formula>"NO CORRESPONDE"</formula>
    </cfRule>
  </conditionalFormatting>
  <conditionalFormatting sqref="AG761:AR761 A761:H761 J761:M761">
    <cfRule type="cellIs" dxfId="2014" priority="4436" operator="equal">
      <formula>"ENVIADO"</formula>
    </cfRule>
  </conditionalFormatting>
  <conditionalFormatting sqref="AG761:AR761 J761:M761 A761:H761">
    <cfRule type="cellIs" dxfId="2013" priority="4437" operator="equal">
      <formula>"NO CORRESPONDE"</formula>
    </cfRule>
  </conditionalFormatting>
  <conditionalFormatting sqref="AG812:AR812 A812:H812 J812:M812">
    <cfRule type="cellIs" dxfId="2012" priority="4152" operator="equal">
      <formula>"ENVIADO"</formula>
    </cfRule>
  </conditionalFormatting>
  <conditionalFormatting sqref="AG812:AR812 J812:M812 A812:H812">
    <cfRule type="cellIs" dxfId="2011" priority="4153" operator="equal">
      <formula>"NO CORRESPONDE"</formula>
    </cfRule>
  </conditionalFormatting>
  <conditionalFormatting sqref="AG818:AR818 A818:H818 J818:M818">
    <cfRule type="cellIs" dxfId="2010" priority="4079" operator="equal">
      <formula>"ENVIADO"</formula>
    </cfRule>
  </conditionalFormatting>
  <conditionalFormatting sqref="AG818:AR818 J818:M818 A818:H818">
    <cfRule type="cellIs" dxfId="2009" priority="4080" operator="equal">
      <formula>"NO CORRESPONDE"</formula>
    </cfRule>
  </conditionalFormatting>
  <conditionalFormatting sqref="AG823:AR824 A823:H823 J823:M824">
    <cfRule type="cellIs" dxfId="2008" priority="3921" operator="equal">
      <formula>"ENVIADO"</formula>
    </cfRule>
  </conditionalFormatting>
  <conditionalFormatting sqref="AG823:AR824 J823:M824 A823:H823">
    <cfRule type="cellIs" dxfId="2007" priority="3922" operator="equal">
      <formula>"NO CORRESPONDE"</formula>
    </cfRule>
  </conditionalFormatting>
  <conditionalFormatting sqref="AG835:AR837 A835:H837 J835:M837">
    <cfRule type="cellIs" dxfId="2006" priority="3878" operator="equal">
      <formula>"ENVIADO"</formula>
    </cfRule>
    <cfRule type="cellIs" dxfId="2005" priority="3879" operator="equal">
      <formula>"NO CORRESPONDE"</formula>
    </cfRule>
  </conditionalFormatting>
  <conditionalFormatting sqref="AG843:AR844 A843:H844 J843:M844">
    <cfRule type="cellIs" dxfId="2004" priority="3828" operator="equal">
      <formula>"ENVIADO"</formula>
    </cfRule>
  </conditionalFormatting>
  <conditionalFormatting sqref="AG843:AR844 J843:M844 A843:H844">
    <cfRule type="cellIs" dxfId="2003" priority="3829" operator="equal">
      <formula>"NO CORRESPONDE"</formula>
    </cfRule>
  </conditionalFormatting>
  <conditionalFormatting sqref="AG861:AR861 A861:H861 J861:M861">
    <cfRule type="cellIs" dxfId="2002" priority="3960" operator="equal">
      <formula>"ENVIADO"</formula>
    </cfRule>
  </conditionalFormatting>
  <conditionalFormatting sqref="AG861:AR861 J861:M861 A861:H861">
    <cfRule type="cellIs" dxfId="2001" priority="3961" operator="equal">
      <formula>"NO CORRESPONDE"</formula>
    </cfRule>
  </conditionalFormatting>
  <conditionalFormatting sqref="AG879:AR879 A879:H879 J879:M879">
    <cfRule type="cellIs" dxfId="2000" priority="3759" operator="equal">
      <formula>"ENVIADO"</formula>
    </cfRule>
  </conditionalFormatting>
  <conditionalFormatting sqref="AG879:AR879 J879:M879 A879:H879">
    <cfRule type="cellIs" dxfId="1999" priority="3760" operator="equal">
      <formula>"NO CORRESPONDE"</formula>
    </cfRule>
  </conditionalFormatting>
  <conditionalFormatting sqref="AI911:AP911">
    <cfRule type="containsText" dxfId="1998" priority="3662" operator="containsText" text="PENDIENTE">
      <formula>NOT(ISERROR(SEARCH("PENDIENTE",AI911)))</formula>
    </cfRule>
  </conditionalFormatting>
  <conditionalFormatting sqref="AI913:AP913">
    <cfRule type="containsText" dxfId="1997" priority="3714" operator="containsText" text="PENDIENTE">
      <formula>NOT(ISERROR(SEARCH("PENDIENTE",AI913)))</formula>
    </cfRule>
  </conditionalFormatting>
  <conditionalFormatting sqref="AI932:AP932">
    <cfRule type="containsText" dxfId="1996" priority="2959" operator="containsText" text="PENDIENTE">
      <formula>NOT(ISERROR(SEARCH("PENDIENTE",AI932)))</formula>
    </cfRule>
  </conditionalFormatting>
  <conditionalFormatting sqref="AI959:AP959">
    <cfRule type="containsText" dxfId="1995" priority="2677" operator="containsText" text="PENDIENTE">
      <formula>NOT(ISERROR(SEARCH("PENDIENTE",AI959)))</formula>
    </cfRule>
  </conditionalFormatting>
  <conditionalFormatting sqref="AI964:AP964">
    <cfRule type="containsText" dxfId="1994" priority="2410" operator="containsText" text="PENDIENTE">
      <formula>NOT(ISERROR(SEARCH("PENDIENTE",AI964)))</formula>
    </cfRule>
  </conditionalFormatting>
  <conditionalFormatting sqref="AI970:AP970">
    <cfRule type="containsText" dxfId="1993" priority="2735" operator="containsText" text="PENDIENTE">
      <formula>NOT(ISERROR(SEARCH("PENDIENTE",AI970)))</formula>
    </cfRule>
  </conditionalFormatting>
  <conditionalFormatting sqref="AI978:AP982 AI984:AP985">
    <cfRule type="containsText" dxfId="1992" priority="2779" operator="containsText" text="PENDIENTE">
      <formula>NOT(ISERROR(SEARCH("PENDIENTE",AI978)))</formula>
    </cfRule>
  </conditionalFormatting>
  <conditionalFormatting sqref="AI991:AP991">
    <cfRule type="containsText" dxfId="1991" priority="2471" operator="containsText" text="PENDIENTE">
      <formula>NOT(ISERROR(SEARCH("PENDIENTE",AI991)))</formula>
    </cfRule>
  </conditionalFormatting>
  <conditionalFormatting sqref="AI1017:AP1017">
    <cfRule type="containsText" dxfId="1990" priority="1945" operator="containsText" text="PENDIENTE">
      <formula>NOT(ISERROR(SEARCH("PENDIENTE",AI1017)))</formula>
    </cfRule>
  </conditionalFormatting>
  <conditionalFormatting sqref="AI1019:AP1019">
    <cfRule type="containsText" dxfId="1989" priority="2118" operator="containsText" text="PENDIENTE">
      <formula>NOT(ISERROR(SEARCH("PENDIENTE",AI1019)))</formula>
    </cfRule>
  </conditionalFormatting>
  <conditionalFormatting sqref="AI1024:AP1024">
    <cfRule type="containsText" dxfId="1988" priority="2033" operator="containsText" text="PENDIENTE">
      <formula>NOT(ISERROR(SEARCH("PENDIENTE",AI1024)))</formula>
    </cfRule>
  </conditionalFormatting>
  <conditionalFormatting sqref="AI1036:AP1036">
    <cfRule type="containsText" dxfId="1987" priority="1988" operator="containsText" text="PENDIENTE">
      <formula>NOT(ISERROR(SEARCH("PENDIENTE",AI1036)))</formula>
    </cfRule>
  </conditionalFormatting>
  <conditionalFormatting sqref="AI1079:AP1079">
    <cfRule type="containsText" dxfId="1986" priority="1545" operator="containsText" text="PENDIENTE">
      <formula>NOT(ISERROR(SEARCH("PENDIENTE",AI1079)))</formula>
    </cfRule>
  </conditionalFormatting>
  <conditionalFormatting sqref="AI1098:AP1098">
    <cfRule type="containsText" dxfId="1985" priority="1351" operator="containsText" text="PENDIENTE">
      <formula>NOT(ISERROR(SEARCH("PENDIENTE",AI1098)))</formula>
    </cfRule>
  </conditionalFormatting>
  <conditionalFormatting sqref="AI1191:AP1191">
    <cfRule type="containsText" dxfId="1984" priority="1072" operator="containsText" text="PENDIENTE">
      <formula>NOT(ISERROR(SEARCH("PENDIENTE",AI1191)))</formula>
    </cfRule>
  </conditionalFormatting>
  <conditionalFormatting sqref="AI1205:AP1205">
    <cfRule type="containsText" dxfId="1983" priority="1015" operator="containsText" text="PENDIENTE">
      <formula>NOT(ISERROR(SEARCH("PENDIENTE",AI1205)))</formula>
    </cfRule>
  </conditionalFormatting>
  <conditionalFormatting sqref="AI1240:AP1240">
    <cfRule type="containsText" dxfId="1982" priority="870" operator="containsText" text="PENDIENTE">
      <formula>NOT(ISERROR(SEARCH("PENDIENTE",AI1240)))</formula>
    </cfRule>
  </conditionalFormatting>
  <conditionalFormatting sqref="AI1256:AP1256">
    <cfRule type="containsText" dxfId="1981" priority="798" operator="containsText" text="PENDIENTE">
      <formula>NOT(ISERROR(SEARCH("PENDIENTE",AI1256)))</formula>
    </cfRule>
  </conditionalFormatting>
  <conditionalFormatting sqref="AI1294:AP1294">
    <cfRule type="containsText" dxfId="1980" priority="709" operator="containsText" text="PENDIENTE">
      <formula>NOT(ISERROR(SEARCH("PENDIENTE",AI1294)))</formula>
    </cfRule>
  </conditionalFormatting>
  <conditionalFormatting sqref="AI1297:AP1297">
    <cfRule type="containsText" dxfId="1979" priority="660" operator="containsText" text="PENDIENTE">
      <formula>NOT(ISERROR(SEARCH("PENDIENTE",AI1297)))</formula>
    </cfRule>
  </conditionalFormatting>
  <conditionalFormatting sqref="AI1352:AP1352">
    <cfRule type="containsText" dxfId="1978" priority="576" operator="containsText" text="PENDIENTE">
      <formula>NOT(ISERROR(SEARCH("PENDIENTE",AI1352)))</formula>
    </cfRule>
  </conditionalFormatting>
  <conditionalFormatting sqref="AI1366:AP1366">
    <cfRule type="containsText" dxfId="1977" priority="502" operator="containsText" text="PENDIENTE">
      <formula>NOT(ISERROR(SEARCH("PENDIENTE",AI1366)))</formula>
    </cfRule>
  </conditionalFormatting>
  <conditionalFormatting sqref="AI1371:AP1371">
    <cfRule type="containsText" dxfId="1976" priority="396" operator="containsText" text="PENDIENTE">
      <formula>NOT(ISERROR(SEARCH("PENDIENTE",AI1371)))</formula>
    </cfRule>
  </conditionalFormatting>
  <conditionalFormatting sqref="AI1373:AP1373">
    <cfRule type="containsText" dxfId="1975" priority="449" operator="containsText" text="PENDIENTE">
      <formula>NOT(ISERROR(SEARCH("PENDIENTE",AI1373)))</formula>
    </cfRule>
  </conditionalFormatting>
  <conditionalFormatting sqref="AI1394:AP1394">
    <cfRule type="containsText" dxfId="1974" priority="319" operator="containsText" text="PENDIENTE">
      <formula>NOT(ISERROR(SEARCH("PENDIENTE",AI1394)))</formula>
    </cfRule>
  </conditionalFormatting>
  <conditionalFormatting sqref="AI1436:AP1436">
    <cfRule type="containsText" dxfId="1973" priority="257" operator="containsText" text="PENDIENTE">
      <formula>NOT(ISERROR(SEARCH("PENDIENTE",AI1436)))</formula>
    </cfRule>
  </conditionalFormatting>
  <conditionalFormatting sqref="AI1437:AP1437">
    <cfRule type="containsText" dxfId="1972" priority="186" operator="containsText" text="PENDIENTE">
      <formula>NOT(ISERROR(SEARCH("PENDIENTE",AI1437)))</formula>
    </cfRule>
  </conditionalFormatting>
  <conditionalFormatting sqref="AI1443:AP1443">
    <cfRule type="containsText" dxfId="1971" priority="195" operator="containsText" text="PENDIENTE">
      <formula>NOT(ISERROR(SEARCH("PENDIENTE",AI1443)))</formula>
    </cfRule>
  </conditionalFormatting>
  <conditionalFormatting sqref="AI1447:AP1447">
    <cfRule type="containsText" dxfId="1970" priority="5" operator="containsText" text="PENDIENTE">
      <formula>NOT(ISERROR(SEARCH("PENDIENTE",AI1447)))</formula>
    </cfRule>
  </conditionalFormatting>
  <conditionalFormatting sqref="AI911:AR911 A911:H911 J911:M911">
    <cfRule type="cellIs" dxfId="1969" priority="3658" operator="equal">
      <formula>"ENVIADO"</formula>
    </cfRule>
  </conditionalFormatting>
  <conditionalFormatting sqref="AI911:AR911 J911:M911 A911:H911">
    <cfRule type="cellIs" dxfId="1968" priority="3659" operator="equal">
      <formula>"NO CORRESPONDE"</formula>
    </cfRule>
  </conditionalFormatting>
  <conditionalFormatting sqref="AI913:AR913 A913:H913 J913:M913">
    <cfRule type="cellIs" dxfId="1967" priority="3710" operator="equal">
      <formula>"ENVIADO"</formula>
    </cfRule>
  </conditionalFormatting>
  <conditionalFormatting sqref="AI913:AR913 J913:M913 A913:H913">
    <cfRule type="cellIs" dxfId="1966" priority="3711" operator="equal">
      <formula>"NO CORRESPONDE"</formula>
    </cfRule>
  </conditionalFormatting>
  <conditionalFormatting sqref="AI932:AR932 A932:H932 J932:M932">
    <cfRule type="cellIs" dxfId="1965" priority="2955" operator="equal">
      <formula>"ENVIADO"</formula>
    </cfRule>
    <cfRule type="cellIs" dxfId="1964" priority="2956" operator="equal">
      <formula>"NO CORRESPONDE"</formula>
    </cfRule>
  </conditionalFormatting>
  <conditionalFormatting sqref="AI959:AR959 A959:H959 J959:M959">
    <cfRule type="cellIs" dxfId="1963" priority="2675" operator="equal">
      <formula>"ENVIADO"</formula>
    </cfRule>
    <cfRule type="cellIs" dxfId="1962" priority="2676" operator="equal">
      <formula>"NO CORRESPONDE"</formula>
    </cfRule>
  </conditionalFormatting>
  <conditionalFormatting sqref="AI964:AR964 A964:H964 J964:M964">
    <cfRule type="cellIs" dxfId="1961" priority="2408" operator="equal">
      <formula>"ENVIADO"</formula>
    </cfRule>
    <cfRule type="cellIs" dxfId="1960" priority="2409" operator="equal">
      <formula>"NO CORRESPONDE"</formula>
    </cfRule>
  </conditionalFormatting>
  <conditionalFormatting sqref="AI970:AR970 A970:C970 E970:H970 J970 L970:M970">
    <cfRule type="cellIs" dxfId="1959" priority="2733" operator="equal">
      <formula>"ENVIADO"</formula>
    </cfRule>
    <cfRule type="cellIs" dxfId="1958" priority="2734" operator="equal">
      <formula>"NO CORRESPONDE"</formula>
    </cfRule>
  </conditionalFormatting>
  <conditionalFormatting sqref="AI978:AR982 A978:H978 J978:M978 B979:H979 J979 M979 A980:C981 E980:H982 J980:M983 B982:C982 G982:G986 A983:H983 M984 B984:H985 J984:J985 AI984:AR985 L985:M985 G988:G990 A991:H991 J991:M991 AI991:AR991">
    <cfRule type="cellIs" dxfId="1957" priority="2777" operator="equal">
      <formula>"ENVIADO"</formula>
    </cfRule>
  </conditionalFormatting>
  <conditionalFormatting sqref="AI978:AR982 AI991:AR991 A978:H978 J978:M978 B979:H979 J979 M979 A980:C981 E980:H982 J980:M983 B982:C982 A983:H983 M984 B984:H985 J984:J985 AI984:AR985 L985:M985 A991:H991 J991:M991">
    <cfRule type="cellIs" dxfId="1956" priority="2778" operator="equal">
      <formula>"NO CORRESPONDE"</formula>
    </cfRule>
  </conditionalFormatting>
  <conditionalFormatting sqref="AI1017:AR1017 A1017:H1017 J1017:M1017">
    <cfRule type="cellIs" dxfId="1955" priority="1943" operator="equal">
      <formula>"ENVIADO"</formula>
    </cfRule>
    <cfRule type="cellIs" dxfId="1954" priority="1944" operator="equal">
      <formula>"NO CORRESPONDE"</formula>
    </cfRule>
  </conditionalFormatting>
  <conditionalFormatting sqref="AI1019:AR1019 A1019:H1019 J1019:M1019">
    <cfRule type="cellIs" dxfId="1953" priority="2116" operator="equal">
      <formula>"ENVIADO"</formula>
    </cfRule>
    <cfRule type="cellIs" dxfId="1952" priority="2117" operator="equal">
      <formula>"NO CORRESPONDE"</formula>
    </cfRule>
  </conditionalFormatting>
  <conditionalFormatting sqref="AI1024:AR1024 A1024:H1024 J1024:M1024">
    <cfRule type="cellIs" dxfId="1951" priority="2031" operator="equal">
      <formula>"ENVIADO"</formula>
    </cfRule>
    <cfRule type="cellIs" dxfId="1950" priority="2032" operator="equal">
      <formula>"NO CORRESPONDE"</formula>
    </cfRule>
  </conditionalFormatting>
  <conditionalFormatting sqref="AI1036:AR1036 A1036:H1036 J1036:M1036">
    <cfRule type="cellIs" dxfId="1949" priority="1986" operator="equal">
      <formula>"ENVIADO"</formula>
    </cfRule>
    <cfRule type="cellIs" dxfId="1948" priority="1987" operator="equal">
      <formula>"NO CORRESPONDE"</formula>
    </cfRule>
  </conditionalFormatting>
  <conditionalFormatting sqref="AI1079:AR1079 A1079:H1079 J1079:M1079">
    <cfRule type="cellIs" dxfId="1947" priority="1543" operator="equal">
      <formula>"ENVIADO"</formula>
    </cfRule>
    <cfRule type="cellIs" dxfId="1946" priority="1544" operator="equal">
      <formula>"NO CORRESPONDE"</formula>
    </cfRule>
  </conditionalFormatting>
  <conditionalFormatting sqref="AI1098:AR1098 A1098:H1098 J1098:M1098">
    <cfRule type="cellIs" dxfId="1945" priority="1349" operator="equal">
      <formula>"ENVIADO"</formula>
    </cfRule>
    <cfRule type="cellIs" dxfId="1944" priority="1350" operator="equal">
      <formula>"NO CORRESPONDE"</formula>
    </cfRule>
  </conditionalFormatting>
  <conditionalFormatting sqref="AI1191:AR1191 A1191:B1191 E1191:H1191 J1191 M1191">
    <cfRule type="cellIs" dxfId="1943" priority="1071" operator="equal">
      <formula>"NO CORRESPONDE"</formula>
    </cfRule>
  </conditionalFormatting>
  <conditionalFormatting sqref="AI1191:AR1191 A1191:B1191 J1191 E1191:H1191 M1191">
    <cfRule type="cellIs" dxfId="1942" priority="1070" operator="equal">
      <formula>"ENVIADO"</formula>
    </cfRule>
  </conditionalFormatting>
  <conditionalFormatting sqref="AI1205:AR1205 A1205:B1205 E1205:H1205 J1205 M1205">
    <cfRule type="cellIs" dxfId="1941" priority="1014" operator="equal">
      <formula>"NO CORRESPONDE"</formula>
    </cfRule>
  </conditionalFormatting>
  <conditionalFormatting sqref="AI1205:AR1205 A1205:B1205 J1205 E1205:H1205 M1205">
    <cfRule type="cellIs" dxfId="1940" priority="1013" operator="equal">
      <formula>"ENVIADO"</formula>
    </cfRule>
  </conditionalFormatting>
  <conditionalFormatting sqref="AI1240:AR1240 A1240:H1240 J1240:M1240">
    <cfRule type="cellIs" dxfId="1939" priority="868" operator="equal">
      <formula>"ENVIADO"</formula>
    </cfRule>
    <cfRule type="cellIs" dxfId="1938" priority="869" operator="equal">
      <formula>"NO CORRESPONDE"</formula>
    </cfRule>
  </conditionalFormatting>
  <conditionalFormatting sqref="AI1256:AR1256 A1256:H1256 J1256:M1256">
    <cfRule type="cellIs" dxfId="1937" priority="796" operator="equal">
      <formula>"ENVIADO"</formula>
    </cfRule>
    <cfRule type="cellIs" dxfId="1936" priority="797" operator="equal">
      <formula>"NO CORRESPONDE"</formula>
    </cfRule>
  </conditionalFormatting>
  <conditionalFormatting sqref="AI1294:AR1294 A1294:H1294 J1294:M1294">
    <cfRule type="cellIs" dxfId="1935" priority="707" operator="equal">
      <formula>"ENVIADO"</formula>
    </cfRule>
    <cfRule type="cellIs" dxfId="1934" priority="708" operator="equal">
      <formula>"NO CORRESPONDE"</formula>
    </cfRule>
  </conditionalFormatting>
  <conditionalFormatting sqref="AI1297:AR1297 A1297:H1297 J1297:M1297">
    <cfRule type="cellIs" dxfId="1933" priority="658" operator="equal">
      <formula>"ENVIADO"</formula>
    </cfRule>
    <cfRule type="cellIs" dxfId="1932" priority="659" operator="equal">
      <formula>"NO CORRESPONDE"</formula>
    </cfRule>
  </conditionalFormatting>
  <conditionalFormatting sqref="AI1352:AR1352 A1352:H1352 J1352:M1352">
    <cfRule type="cellIs" dxfId="1931" priority="574" operator="equal">
      <formula>"ENVIADO"</formula>
    </cfRule>
    <cfRule type="cellIs" dxfId="1930" priority="575" operator="equal">
      <formula>"NO CORRESPONDE"</formula>
    </cfRule>
  </conditionalFormatting>
  <conditionalFormatting sqref="AI1366:AR1366 A1366:C1366 E1366:H1366 J1366 M1366">
    <cfRule type="cellIs" dxfId="1929" priority="501" operator="equal">
      <formula>"NO CORRESPONDE"</formula>
    </cfRule>
  </conditionalFormatting>
  <conditionalFormatting sqref="AI1366:AR1366 A1366:C1366 J1366 E1366:H1366 M1366">
    <cfRule type="cellIs" dxfId="1928" priority="500" operator="equal">
      <formula>"ENVIADO"</formula>
    </cfRule>
  </conditionalFormatting>
  <conditionalFormatting sqref="AI1371:AR1371 A1371:H1371 J1371:M1371">
    <cfRule type="cellIs" dxfId="1927" priority="394" operator="equal">
      <formula>"ENVIADO"</formula>
    </cfRule>
    <cfRule type="cellIs" dxfId="1926" priority="395" operator="equal">
      <formula>"NO CORRESPONDE"</formula>
    </cfRule>
  </conditionalFormatting>
  <conditionalFormatting sqref="AI1373:AR1373 A1373:H1373 J1373:M1373">
    <cfRule type="cellIs" dxfId="1925" priority="447" operator="equal">
      <formula>"ENVIADO"</formula>
    </cfRule>
    <cfRule type="cellIs" dxfId="1924" priority="448" operator="equal">
      <formula>"NO CORRESPONDE"</formula>
    </cfRule>
  </conditionalFormatting>
  <conditionalFormatting sqref="AI1394:AR1394 A1394:H1394 J1394:M1394">
    <cfRule type="cellIs" dxfId="1923" priority="317" operator="equal">
      <formula>"ENVIADO"</formula>
    </cfRule>
    <cfRule type="cellIs" dxfId="1922" priority="318" operator="equal">
      <formula>"NO CORRESPONDE"</formula>
    </cfRule>
  </conditionalFormatting>
  <conditionalFormatting sqref="AI1436:AR1436 A1436:H1436 J1436:M1436">
    <cfRule type="cellIs" dxfId="1921" priority="255" operator="equal">
      <formula>"ENVIADO"</formula>
    </cfRule>
  </conditionalFormatting>
  <conditionalFormatting sqref="AI1436:AR1436">
    <cfRule type="cellIs" dxfId="1920" priority="256" operator="equal">
      <formula>"NO CORRESPONDE"</formula>
    </cfRule>
  </conditionalFormatting>
  <conditionalFormatting sqref="AI1437:AR1437 A1436:H1437 J1436:M1437">
    <cfRule type="cellIs" dxfId="1919" priority="185" operator="equal">
      <formula>"NO CORRESPONDE"</formula>
    </cfRule>
  </conditionalFormatting>
  <conditionalFormatting sqref="AI1437:AR1437 A1437:H1437 J1437:M1437">
    <cfRule type="cellIs" dxfId="1918" priority="184" operator="equal">
      <formula>"ENVIADO"</formula>
    </cfRule>
  </conditionalFormatting>
  <conditionalFormatting sqref="AI1443:AR1443 A1443:H1443 J1443:M1443">
    <cfRule type="cellIs" dxfId="1917" priority="193" operator="equal">
      <formula>"ENVIADO"</formula>
    </cfRule>
    <cfRule type="cellIs" dxfId="1916" priority="194" operator="equal">
      <formula>"NO CORRESPONDE"</formula>
    </cfRule>
  </conditionalFormatting>
  <conditionalFormatting sqref="AI1447:AR1447 A1447:H1447 J1447:M1447">
    <cfRule type="cellIs" dxfId="1915" priority="3" operator="equal">
      <formula>"ENVIADO"</formula>
    </cfRule>
    <cfRule type="cellIs" dxfId="1914" priority="4" operator="equal">
      <formula>"NO CORRESPONDE"</formula>
    </cfRule>
  </conditionalFormatting>
  <conditionalFormatting sqref="AQ32:AR32">
    <cfRule type="expression" dxfId="1913" priority="5953">
      <formula>$J3388="En blanco"</formula>
    </cfRule>
    <cfRule type="expression" dxfId="1912" priority="5954">
      <formula>$J3388="Anulada"</formula>
    </cfRule>
  </conditionalFormatting>
  <conditionalFormatting sqref="AQ91:AR91">
    <cfRule type="expression" dxfId="1911" priority="5997">
      <formula>$J3447="En blanco"</formula>
    </cfRule>
    <cfRule type="expression" dxfId="1910" priority="5998">
      <formula>$J3447="Anulada"</formula>
    </cfRule>
  </conditionalFormatting>
  <conditionalFormatting sqref="AQ130:AR130">
    <cfRule type="expression" dxfId="1909" priority="6041">
      <formula>$J3486="En blanco"</formula>
    </cfRule>
    <cfRule type="expression" dxfId="1908" priority="6042">
      <formula>$J3486="Anulada"</formula>
    </cfRule>
  </conditionalFormatting>
  <conditionalFormatting sqref="AQ154:AR154">
    <cfRule type="expression" dxfId="1907" priority="6129">
      <formula>$J3510="En blanco"</formula>
    </cfRule>
    <cfRule type="expression" dxfId="1906" priority="6130">
      <formula>$J3510="Anulada"</formula>
    </cfRule>
  </conditionalFormatting>
  <conditionalFormatting sqref="AQ158:AR158">
    <cfRule type="expression" dxfId="1905" priority="6085">
      <formula>$J3514="En blanco"</formula>
    </cfRule>
    <cfRule type="expression" dxfId="1904" priority="6086">
      <formula>$J3514="Anulada"</formula>
    </cfRule>
  </conditionalFormatting>
  <conditionalFormatting sqref="AQ164:AR164 AQ780:AS780 AQ337:AS337">
    <cfRule type="expression" dxfId="1903" priority="5881">
      <formula>$J3519="En blanco"</formula>
    </cfRule>
    <cfRule type="expression" dxfId="1902" priority="5882">
      <formula>$J3519="Anulada"</formula>
    </cfRule>
  </conditionalFormatting>
  <conditionalFormatting sqref="AQ209:AR209">
    <cfRule type="expression" dxfId="1901" priority="6173">
      <formula>$J3565="En blanco"</formula>
    </cfRule>
    <cfRule type="expression" dxfId="1900" priority="6174">
      <formula>$J3565="Anulada"</formula>
    </cfRule>
  </conditionalFormatting>
  <conditionalFormatting sqref="AQ211:AR211">
    <cfRule type="expression" dxfId="1899" priority="6261">
      <formula>$J3567="En blanco"</formula>
    </cfRule>
    <cfRule type="expression" dxfId="1898" priority="6262">
      <formula>$J3567="Anulada"</formula>
    </cfRule>
  </conditionalFormatting>
  <conditionalFormatting sqref="AQ213:AR213">
    <cfRule type="expression" dxfId="1897" priority="6217">
      <formula>$J3569="En blanco"</formula>
    </cfRule>
    <cfRule type="expression" dxfId="1896" priority="6218">
      <formula>$J3569="Anulada"</formula>
    </cfRule>
  </conditionalFormatting>
  <conditionalFormatting sqref="AQ228:AR228">
    <cfRule type="expression" dxfId="1895" priority="6305">
      <formula>$J3584="En blanco"</formula>
    </cfRule>
    <cfRule type="expression" dxfId="1894" priority="6306">
      <formula>$J3584="Anulada"</formula>
    </cfRule>
  </conditionalFormatting>
  <conditionalFormatting sqref="AQ231:AR231">
    <cfRule type="expression" dxfId="1893" priority="6349">
      <formula>$J3587="En blanco"</formula>
    </cfRule>
    <cfRule type="expression" dxfId="1892" priority="6350">
      <formula>$J3587="Anulada"</formula>
    </cfRule>
  </conditionalFormatting>
  <conditionalFormatting sqref="AQ235:AR235">
    <cfRule type="expression" dxfId="1891" priority="6393">
      <formula>$J3591="En blanco"</formula>
    </cfRule>
    <cfRule type="expression" dxfId="1890" priority="6394">
      <formula>$J3591="Anulada"</formula>
    </cfRule>
  </conditionalFormatting>
  <conditionalFormatting sqref="AQ241:AR242">
    <cfRule type="expression" dxfId="1889" priority="19413">
      <formula>$J3616="En blanco"</formula>
    </cfRule>
    <cfRule type="expression" dxfId="1888" priority="19414">
      <formula>$J3616="Anulada"</formula>
    </cfRule>
  </conditionalFormatting>
  <conditionalFormatting sqref="AQ247:AR247">
    <cfRule type="expression" dxfId="1887" priority="6437">
      <formula>$J3603="En blanco"</formula>
    </cfRule>
    <cfRule type="expression" dxfId="1886" priority="6438">
      <formula>$J3603="Anulada"</formula>
    </cfRule>
  </conditionalFormatting>
  <conditionalFormatting sqref="AQ257:AR257">
    <cfRule type="expression" dxfId="1885" priority="6481">
      <formula>$J3613="En blanco"</formula>
    </cfRule>
    <cfRule type="expression" dxfId="1884" priority="6482">
      <formula>$J3613="Anulada"</formula>
    </cfRule>
  </conditionalFormatting>
  <conditionalFormatting sqref="AQ258:AR259 AS210 AS214:AS227 AS229:AS230 AS232:AS234">
    <cfRule type="expression" dxfId="1883" priority="7702">
      <formula>$J3570="En blanco"</formula>
    </cfRule>
  </conditionalFormatting>
  <conditionalFormatting sqref="AQ280:AR280">
    <cfRule type="expression" dxfId="1882" priority="6521">
      <formula>$J3636="En blanco"</formula>
    </cfRule>
    <cfRule type="expression" dxfId="1881" priority="6522">
      <formula>$J3636="Anulada"</formula>
    </cfRule>
  </conditionalFormatting>
  <conditionalFormatting sqref="AQ282:AR282 AR924 AR930:AR932">
    <cfRule type="expression" dxfId="1880" priority="19563">
      <formula>$J3620="En blanco"</formula>
    </cfRule>
    <cfRule type="expression" dxfId="1879" priority="19564">
      <formula>$J3620="Anulada"</formula>
    </cfRule>
  </conditionalFormatting>
  <conditionalFormatting sqref="AQ283:AR283">
    <cfRule type="expression" dxfId="1878" priority="6561">
      <formula>$J3639="En blanco"</formula>
    </cfRule>
    <cfRule type="expression" dxfId="1877" priority="6562">
      <formula>$J3639="Anulada"</formula>
    </cfRule>
  </conditionalFormatting>
  <conditionalFormatting sqref="AQ284:AR284">
    <cfRule type="expression" dxfId="1876" priority="19691">
      <formula>$J3621="En blanco"</formula>
    </cfRule>
    <cfRule type="expression" dxfId="1875" priority="19692">
      <formula>$J3621="Anulada"</formula>
    </cfRule>
  </conditionalFormatting>
  <conditionalFormatting sqref="AQ285:AR285">
    <cfRule type="expression" dxfId="1874" priority="19539">
      <formula>$J3623="En blanco"</formula>
    </cfRule>
    <cfRule type="expression" dxfId="1873" priority="19540">
      <formula>$J3623="Anulada"</formula>
    </cfRule>
  </conditionalFormatting>
  <conditionalFormatting sqref="AQ287:AR287">
    <cfRule type="expression" dxfId="1872" priority="6601">
      <formula>$J3643="En blanco"</formula>
    </cfRule>
    <cfRule type="expression" dxfId="1871" priority="6602">
      <formula>$J3643="Anulada"</formula>
    </cfRule>
  </conditionalFormatting>
  <conditionalFormatting sqref="AQ289:AR289">
    <cfRule type="expression" dxfId="1870" priority="6640">
      <formula>$J3645="En blanco"</formula>
    </cfRule>
    <cfRule type="expression" dxfId="1869" priority="6641">
      <formula>$J3645="Anulada"</formula>
    </cfRule>
  </conditionalFormatting>
  <conditionalFormatting sqref="AQ296:AR296">
    <cfRule type="expression" dxfId="1868" priority="6761">
      <formula>$J3652="En blanco"</formula>
    </cfRule>
    <cfRule type="expression" dxfId="1867" priority="6762">
      <formula>$J3652="Anulada"</formula>
    </cfRule>
  </conditionalFormatting>
  <conditionalFormatting sqref="AQ310:AR310">
    <cfRule type="expression" dxfId="1866" priority="6679">
      <formula>$J3666="En blanco"</formula>
    </cfRule>
    <cfRule type="expression" dxfId="1865" priority="6680">
      <formula>$J3666="Anulada"</formula>
    </cfRule>
  </conditionalFormatting>
  <conditionalFormatting sqref="AQ328:AR333">
    <cfRule type="expression" dxfId="1864" priority="5917">
      <formula>$J3686="En blanco"</formula>
    </cfRule>
    <cfRule type="expression" dxfId="1863" priority="5918">
      <formula>$J3686="Anulada"</formula>
    </cfRule>
  </conditionalFormatting>
  <conditionalFormatting sqref="AQ355:AR356">
    <cfRule type="expression" dxfId="1862" priority="5785">
      <formula>$J3710="En blanco"</formula>
    </cfRule>
    <cfRule type="expression" dxfId="1861" priority="5786">
      <formula>$J3710="Anulada"</formula>
    </cfRule>
  </conditionalFormatting>
  <conditionalFormatting sqref="AQ367:AR367">
    <cfRule type="expression" dxfId="1860" priority="5745">
      <formula>$J3721="En blanco"</formula>
    </cfRule>
    <cfRule type="expression" dxfId="1859" priority="5746">
      <formula>$J3721="Anulada"</formula>
    </cfRule>
  </conditionalFormatting>
  <conditionalFormatting sqref="AQ379:AR379">
    <cfRule type="expression" dxfId="1858" priority="5703">
      <formula>$J3733="En blanco"</formula>
    </cfRule>
    <cfRule type="expression" dxfId="1857" priority="5704">
      <formula>$J3733="Anulada"</formula>
    </cfRule>
  </conditionalFormatting>
  <conditionalFormatting sqref="AQ401:AR401">
    <cfRule type="expression" dxfId="1856" priority="5654">
      <formula>$J3755="En blanco"</formula>
    </cfRule>
    <cfRule type="expression" dxfId="1855" priority="5655">
      <formula>$J3755="Anulada"</formula>
    </cfRule>
  </conditionalFormatting>
  <conditionalFormatting sqref="AQ408:AR408">
    <cfRule type="expression" dxfId="1854" priority="5599">
      <formula>$J3762="En blanco"</formula>
    </cfRule>
    <cfRule type="expression" dxfId="1853" priority="5600">
      <formula>$J3762="Anulada"</formula>
    </cfRule>
  </conditionalFormatting>
  <conditionalFormatting sqref="AQ413:AR413">
    <cfRule type="expression" dxfId="1852" priority="5560">
      <formula>$J3767="En blanco"</formula>
    </cfRule>
    <cfRule type="expression" dxfId="1851" priority="5561">
      <formula>$J3767="Anulada"</formula>
    </cfRule>
  </conditionalFormatting>
  <conditionalFormatting sqref="AQ416:AR417">
    <cfRule type="expression" dxfId="1850" priority="5469">
      <formula>$J3772="En blanco"</formula>
    </cfRule>
    <cfRule type="expression" dxfId="1849" priority="5470">
      <formula>$J3772="Anulada"</formula>
    </cfRule>
  </conditionalFormatting>
  <conditionalFormatting sqref="AQ421:AR421">
    <cfRule type="expression" dxfId="1848" priority="2162">
      <formula>$J3775="En blanco"</formula>
    </cfRule>
    <cfRule type="expression" dxfId="1847" priority="2163">
      <formula>$J3775="Anulada"</formula>
    </cfRule>
  </conditionalFormatting>
  <conditionalFormatting sqref="AQ446:AR446">
    <cfRule type="expression" dxfId="1846" priority="5429">
      <formula>$J3802="En blanco"</formula>
    </cfRule>
    <cfRule type="expression" dxfId="1845" priority="5430">
      <formula>$J3802="Anulada"</formula>
    </cfRule>
  </conditionalFormatting>
  <conditionalFormatting sqref="AQ452:AR452">
    <cfRule type="expression" dxfId="1844" priority="5259">
      <formula>$J3808="En blanco"</formula>
    </cfRule>
    <cfRule type="expression" dxfId="1843" priority="5260">
      <formula>$J3808="Anulada"</formula>
    </cfRule>
  </conditionalFormatting>
  <conditionalFormatting sqref="AQ468:AR468">
    <cfRule type="expression" dxfId="1842" priority="5389">
      <formula>$J3822="En blanco"</formula>
    </cfRule>
    <cfRule type="expression" dxfId="1841" priority="5390">
      <formula>$J3822="Anulada"</formula>
    </cfRule>
  </conditionalFormatting>
  <conditionalFormatting sqref="AQ490:AR490">
    <cfRule type="expression" dxfId="1840" priority="5347">
      <formula>$J3844="En blanco"</formula>
    </cfRule>
    <cfRule type="expression" dxfId="1839" priority="5348">
      <formula>$J3844="Anulada"</formula>
    </cfRule>
  </conditionalFormatting>
  <conditionalFormatting sqref="AQ509:AR509">
    <cfRule type="expression" dxfId="1838" priority="5295">
      <formula>$J3863="En blanco"</formula>
    </cfRule>
    <cfRule type="expression" dxfId="1837" priority="5296">
      <formula>$J3863="Anulada"</formula>
    </cfRule>
  </conditionalFormatting>
  <conditionalFormatting sqref="AQ520:AR520">
    <cfRule type="expression" dxfId="1836" priority="5225">
      <formula>$J3874="En blanco"</formula>
    </cfRule>
    <cfRule type="expression" dxfId="1835" priority="5226">
      <formula>$J3874="Anulada"</formula>
    </cfRule>
  </conditionalFormatting>
  <conditionalFormatting sqref="AQ525:AR525">
    <cfRule type="expression" dxfId="1834" priority="5191">
      <formula>$J3879="En blanco"</formula>
    </cfRule>
    <cfRule type="expression" dxfId="1833" priority="5192">
      <formula>$J3879="Anulada"</formula>
    </cfRule>
  </conditionalFormatting>
  <conditionalFormatting sqref="AQ529:AR529">
    <cfRule type="expression" dxfId="1832" priority="5157">
      <formula>$J3883="En blanco"</formula>
    </cfRule>
    <cfRule type="expression" dxfId="1831" priority="5158">
      <formula>$J3883="Anulada"</formula>
    </cfRule>
  </conditionalFormatting>
  <conditionalFormatting sqref="AQ534:AR536">
    <cfRule type="expression" dxfId="1830" priority="5123">
      <formula>$J3888="En blanco"</formula>
    </cfRule>
    <cfRule type="expression" dxfId="1829" priority="5124">
      <formula>$J3888="Anulada"</formula>
    </cfRule>
  </conditionalFormatting>
  <conditionalFormatting sqref="AQ538:AR538">
    <cfRule type="expression" dxfId="1828" priority="5089">
      <formula>$J3892="En blanco"</formula>
    </cfRule>
    <cfRule type="expression" dxfId="1827" priority="5090">
      <formula>$J3892="Anulada"</formula>
    </cfRule>
  </conditionalFormatting>
  <conditionalFormatting sqref="AQ552:AR552">
    <cfRule type="expression" dxfId="1826" priority="5055">
      <formula>$J3908="En blanco"</formula>
    </cfRule>
    <cfRule type="expression" dxfId="1825" priority="5056">
      <formula>$J3908="Anulada"</formula>
    </cfRule>
  </conditionalFormatting>
  <conditionalFormatting sqref="AQ569:AR569">
    <cfRule type="expression" dxfId="1824" priority="4997">
      <formula>$J3924="En blanco"</formula>
    </cfRule>
    <cfRule type="expression" dxfId="1823" priority="4998">
      <formula>$J3924="Anulada"</formula>
    </cfRule>
  </conditionalFormatting>
  <conditionalFormatting sqref="AQ573:AR573">
    <cfRule type="expression" dxfId="1822" priority="4943">
      <formula>$J3928="En blanco"</formula>
    </cfRule>
    <cfRule type="expression" dxfId="1821" priority="4944">
      <formula>$J3928="Anulada"</formula>
    </cfRule>
  </conditionalFormatting>
  <conditionalFormatting sqref="AQ601:AR601">
    <cfRule type="expression" dxfId="1820" priority="4851">
      <formula>$J3956="En blanco"</formula>
    </cfRule>
    <cfRule type="expression" dxfId="1819" priority="4852">
      <formula>$J3956="Anulada"</formula>
    </cfRule>
  </conditionalFormatting>
  <conditionalFormatting sqref="AQ627:AR628">
    <cfRule type="expression" dxfId="1818" priority="4810">
      <formula>$J3983="En blanco"</formula>
    </cfRule>
    <cfRule type="expression" dxfId="1817" priority="4811">
      <formula>$J3983="Anulada"</formula>
    </cfRule>
  </conditionalFormatting>
  <conditionalFormatting sqref="AQ660:AR661">
    <cfRule type="expression" dxfId="1816" priority="4739">
      <formula>$J4015="En blanco"</formula>
    </cfRule>
    <cfRule type="expression" dxfId="1815" priority="4740">
      <formula>$J4015="Anulada"</formula>
    </cfRule>
  </conditionalFormatting>
  <conditionalFormatting sqref="AQ662:AR662">
    <cfRule type="expression" dxfId="1814" priority="4735">
      <formula>$J4017="En blanco"</formula>
    </cfRule>
    <cfRule type="expression" dxfId="1813" priority="4736">
      <formula>$J4017="Anulada"</formula>
    </cfRule>
  </conditionalFormatting>
  <conditionalFormatting sqref="AQ664:AR664">
    <cfRule type="expression" dxfId="1812" priority="4681">
      <formula>$J4019="En blanco"</formula>
    </cfRule>
    <cfRule type="expression" dxfId="1811" priority="4682">
      <formula>$J4019="Anulada"</formula>
    </cfRule>
  </conditionalFormatting>
  <conditionalFormatting sqref="AQ693:AR693">
    <cfRule type="expression" dxfId="1810" priority="4397">
      <formula>$J4048="En blanco"</formula>
    </cfRule>
    <cfRule type="expression" dxfId="1809" priority="4398">
      <formula>$J4048="Anulada"</formula>
    </cfRule>
  </conditionalFormatting>
  <conditionalFormatting sqref="AQ731:AR731">
    <cfRule type="expression" dxfId="1808" priority="4358">
      <formula>$J4086="En blanco"</formula>
    </cfRule>
    <cfRule type="expression" dxfId="1807" priority="4359">
      <formula>$J4086="Anulada"</formula>
    </cfRule>
  </conditionalFormatting>
  <conditionalFormatting sqref="AQ740:AR740">
    <cfRule type="expression" dxfId="1806" priority="4319">
      <formula>$J4096="En blanco"</formula>
    </cfRule>
    <cfRule type="expression" dxfId="1805" priority="4320">
      <formula>$J4096="Anulada"</formula>
    </cfRule>
  </conditionalFormatting>
  <conditionalFormatting sqref="AQ761:AR761">
    <cfRule type="expression" dxfId="1804" priority="4434">
      <formula>$J4116="En blanco"</formula>
    </cfRule>
    <cfRule type="expression" dxfId="1803" priority="4435">
      <formula>$J4116="Anulada"</formula>
    </cfRule>
  </conditionalFormatting>
  <conditionalFormatting sqref="AQ783:AR783 AQ843:AS844 AQ984:AS984 AS983">
    <cfRule type="expression" dxfId="1802" priority="3826">
      <formula>$J4136="En blanco"</formula>
    </cfRule>
    <cfRule type="expression" dxfId="1801" priority="3827">
      <formula>$J4136="Anulada"</formula>
    </cfRule>
  </conditionalFormatting>
  <conditionalFormatting sqref="AQ812:AR812">
    <cfRule type="expression" dxfId="1800" priority="4150">
      <formula>$J4167="En blanco"</formula>
    </cfRule>
    <cfRule type="expression" dxfId="1799" priority="4151">
      <formula>$J4167="Anulada"</formula>
    </cfRule>
  </conditionalFormatting>
  <conditionalFormatting sqref="AQ818:AR818">
    <cfRule type="expression" dxfId="1798" priority="4077">
      <formula>$J4173="En blanco"</formula>
    </cfRule>
    <cfRule type="expression" dxfId="1797" priority="4078">
      <formula>$J4173="Anulada"</formula>
    </cfRule>
  </conditionalFormatting>
  <conditionalFormatting sqref="AQ823:AR824">
    <cfRule type="expression" dxfId="1796" priority="3919">
      <formula>$J4178="En blanco"</formula>
    </cfRule>
    <cfRule type="expression" dxfId="1795" priority="3920">
      <formula>$J4178="Anulada"</formula>
    </cfRule>
  </conditionalFormatting>
  <conditionalFormatting sqref="AQ835:AR837">
    <cfRule type="expression" dxfId="1794" priority="3876">
      <formula>$J4190="En blanco"</formula>
    </cfRule>
    <cfRule type="expression" dxfId="1793" priority="3877">
      <formula>$J4190="Anulada"</formula>
    </cfRule>
  </conditionalFormatting>
  <conditionalFormatting sqref="AQ861:AR861">
    <cfRule type="expression" dxfId="1792" priority="3958">
      <formula>$J4216="En blanco"</formula>
    </cfRule>
    <cfRule type="expression" dxfId="1791" priority="3959">
      <formula>$J4216="Anulada"</formula>
    </cfRule>
  </conditionalFormatting>
  <conditionalFormatting sqref="AQ879:AR879">
    <cfRule type="expression" dxfId="1790" priority="3757">
      <formula>$J4233="En blanco"</formula>
    </cfRule>
    <cfRule type="expression" dxfId="1789" priority="3758">
      <formula>$J4233="Anulada"</formula>
    </cfRule>
  </conditionalFormatting>
  <conditionalFormatting sqref="AQ911:AR911">
    <cfRule type="expression" dxfId="1788" priority="3656">
      <formula>$J4264="En blanco"</formula>
    </cfRule>
    <cfRule type="expression" dxfId="1787" priority="3657">
      <formula>$J4264="Anulada"</formula>
    </cfRule>
  </conditionalFormatting>
  <conditionalFormatting sqref="AQ913:AR913">
    <cfRule type="expression" dxfId="1786" priority="3708">
      <formula>$J4266="En blanco"</formula>
    </cfRule>
    <cfRule type="expression" dxfId="1785" priority="3709">
      <formula>$J4266="Anulada"</formula>
    </cfRule>
  </conditionalFormatting>
  <conditionalFormatting sqref="AQ932:AR932">
    <cfRule type="expression" dxfId="1784" priority="2953">
      <formula>$J4290="En blanco"</formula>
    </cfRule>
    <cfRule type="expression" dxfId="1783" priority="2954">
      <formula>$J4290="Anulada"</formula>
    </cfRule>
  </conditionalFormatting>
  <conditionalFormatting sqref="AQ959:AR959">
    <cfRule type="expression" dxfId="1782" priority="2673">
      <formula>$J4317="En blanco"</formula>
    </cfRule>
    <cfRule type="expression" dxfId="1781" priority="2674">
      <formula>$J4317="Anulada"</formula>
    </cfRule>
  </conditionalFormatting>
  <conditionalFormatting sqref="AQ964:AR964">
    <cfRule type="expression" dxfId="1780" priority="2406">
      <formula>$J4322="En blanco"</formula>
    </cfRule>
    <cfRule type="expression" dxfId="1779" priority="2407">
      <formula>$J4322="Anulada"</formula>
    </cfRule>
  </conditionalFormatting>
  <conditionalFormatting sqref="AQ970:AR970 AQ978:AS982">
    <cfRule type="expression" dxfId="1778" priority="2731">
      <formula>$J4327="En blanco"</formula>
    </cfRule>
    <cfRule type="expression" dxfId="1777" priority="2732">
      <formula>$J4327="Anulada"</formula>
    </cfRule>
  </conditionalFormatting>
  <conditionalFormatting sqref="AQ985:AR985">
    <cfRule type="expression" dxfId="1776" priority="7504">
      <formula>$J4336="En blanco"</formula>
    </cfRule>
    <cfRule type="expression" dxfId="1775" priority="7505">
      <formula>$J4336="Anulada"</formula>
    </cfRule>
  </conditionalFormatting>
  <conditionalFormatting sqref="AQ1017:AR1017">
    <cfRule type="expression" dxfId="1774" priority="1941">
      <formula>$J4376="En blanco"</formula>
    </cfRule>
    <cfRule type="expression" dxfId="1773" priority="1942">
      <formula>$J4376="Anulada"</formula>
    </cfRule>
  </conditionalFormatting>
  <conditionalFormatting sqref="AQ1019:AR1019">
    <cfRule type="expression" dxfId="1772" priority="2114">
      <formula>$J4378="En blanco"</formula>
    </cfRule>
    <cfRule type="expression" dxfId="1771" priority="2115">
      <formula>$J4378="Anulada"</formula>
    </cfRule>
  </conditionalFormatting>
  <conditionalFormatting sqref="AQ1024:AR1024">
    <cfRule type="expression" dxfId="1770" priority="2029">
      <formula>$J4385="En blanco"</formula>
    </cfRule>
    <cfRule type="expression" dxfId="1769" priority="2030">
      <formula>$J4385="Anulada"</formula>
    </cfRule>
  </conditionalFormatting>
  <conditionalFormatting sqref="AQ1036:AR1036">
    <cfRule type="expression" dxfId="1768" priority="1984">
      <formula>$J4395="En blanco"</formula>
    </cfRule>
    <cfRule type="expression" dxfId="1767" priority="1985">
      <formula>$J4395="Anulada"</formula>
    </cfRule>
  </conditionalFormatting>
  <conditionalFormatting sqref="AQ1079:AR1079">
    <cfRule type="expression" dxfId="1766" priority="1541">
      <formula>$J4438="En blanco"</formula>
    </cfRule>
    <cfRule type="expression" dxfId="1765" priority="1542">
      <formula>$J4438="Anulada"</formula>
    </cfRule>
  </conditionalFormatting>
  <conditionalFormatting sqref="AQ1098:AR1098">
    <cfRule type="expression" dxfId="1764" priority="1347">
      <formula>$J4457="En blanco"</formula>
    </cfRule>
    <cfRule type="expression" dxfId="1763" priority="1348">
      <formula>$J4457="Anulada"</formula>
    </cfRule>
  </conditionalFormatting>
  <conditionalFormatting sqref="AQ1191:AR1191">
    <cfRule type="expression" dxfId="1762" priority="1068">
      <formula>$J4550="En blanco"</formula>
    </cfRule>
    <cfRule type="expression" dxfId="1761" priority="1069">
      <formula>$J4550="Anulada"</formula>
    </cfRule>
  </conditionalFormatting>
  <conditionalFormatting sqref="AQ1205:AR1205">
    <cfRule type="expression" dxfId="1760" priority="1011">
      <formula>$J4564="En blanco"</formula>
    </cfRule>
    <cfRule type="expression" dxfId="1759" priority="1012">
      <formula>$J4564="Anulada"</formula>
    </cfRule>
  </conditionalFormatting>
  <conditionalFormatting sqref="AQ1240:AR1240">
    <cfRule type="expression" dxfId="1758" priority="866">
      <formula>$J4599="En blanco"</formula>
    </cfRule>
    <cfRule type="expression" dxfId="1757" priority="867">
      <formula>$J4599="Anulada"</formula>
    </cfRule>
  </conditionalFormatting>
  <conditionalFormatting sqref="AQ1256:AR1256">
    <cfRule type="expression" dxfId="1756" priority="794">
      <formula>$J4615="En blanco"</formula>
    </cfRule>
    <cfRule type="expression" dxfId="1755" priority="795">
      <formula>$J4615="Anulada"</formula>
    </cfRule>
  </conditionalFormatting>
  <conditionalFormatting sqref="AQ1294:AR1294">
    <cfRule type="expression" dxfId="1754" priority="705">
      <formula>$J4653="En blanco"</formula>
    </cfRule>
    <cfRule type="expression" dxfId="1753" priority="706">
      <formula>$J4653="Anulada"</formula>
    </cfRule>
  </conditionalFormatting>
  <conditionalFormatting sqref="AQ1297:AR1297">
    <cfRule type="expression" dxfId="1752" priority="656">
      <formula>$J4656="En blanco"</formula>
    </cfRule>
    <cfRule type="expression" dxfId="1751" priority="657">
      <formula>$J4656="Anulada"</formula>
    </cfRule>
  </conditionalFormatting>
  <conditionalFormatting sqref="AQ1352:AR1352">
    <cfRule type="expression" dxfId="1750" priority="572">
      <formula>$J4711="En blanco"</formula>
    </cfRule>
    <cfRule type="expression" dxfId="1749" priority="573">
      <formula>$J4711="Anulada"</formula>
    </cfRule>
  </conditionalFormatting>
  <conditionalFormatting sqref="AQ1366:AR1366">
    <cfRule type="expression" dxfId="1748" priority="498">
      <formula>$J4725="En blanco"</formula>
    </cfRule>
    <cfRule type="expression" dxfId="1747" priority="499">
      <formula>$J4725="Anulada"</formula>
    </cfRule>
  </conditionalFormatting>
  <conditionalFormatting sqref="AQ1371:AR1371">
    <cfRule type="expression" dxfId="1746" priority="392">
      <formula>$J4730="En blanco"</formula>
    </cfRule>
    <cfRule type="expression" dxfId="1745" priority="393">
      <formula>$J4730="Anulada"</formula>
    </cfRule>
  </conditionalFormatting>
  <conditionalFormatting sqref="AQ1373:AR1373">
    <cfRule type="expression" dxfId="1744" priority="445">
      <formula>$J4732="En blanco"</formula>
    </cfRule>
    <cfRule type="expression" dxfId="1743" priority="446">
      <formula>$J4732="Anulada"</formula>
    </cfRule>
  </conditionalFormatting>
  <conditionalFormatting sqref="AQ1394:AR1394">
    <cfRule type="expression" dxfId="1742" priority="315">
      <formula>$J4753="En blanco"</formula>
    </cfRule>
    <cfRule type="expression" dxfId="1741" priority="316">
      <formula>$J4753="Anulada"</formula>
    </cfRule>
  </conditionalFormatting>
  <conditionalFormatting sqref="AQ1436:AR1436">
    <cfRule type="expression" dxfId="1740" priority="253">
      <formula>$J4794="En blanco"</formula>
    </cfRule>
    <cfRule type="expression" dxfId="1739" priority="254">
      <formula>$J4794="Anulada"</formula>
    </cfRule>
  </conditionalFormatting>
  <conditionalFormatting sqref="AQ1437:AR1437">
    <cfRule type="expression" dxfId="1738" priority="182">
      <formula>$J4795="En blanco"</formula>
    </cfRule>
    <cfRule type="expression" dxfId="1737" priority="183">
      <formula>$J4795="Anulada"</formula>
    </cfRule>
  </conditionalFormatting>
  <conditionalFormatting sqref="AQ1443:AR1443">
    <cfRule type="expression" dxfId="1736" priority="191">
      <formula>$J4801="En blanco"</formula>
    </cfRule>
    <cfRule type="expression" dxfId="1735" priority="192">
      <formula>$J4801="Anulada"</formula>
    </cfRule>
  </conditionalFormatting>
  <conditionalFormatting sqref="AQ1447:AR1447">
    <cfRule type="expression" dxfId="1734" priority="1">
      <formula>$J4805="En blanco"</formula>
    </cfRule>
    <cfRule type="expression" dxfId="1733" priority="2">
      <formula>$J4805="Anulada"</formula>
    </cfRule>
  </conditionalFormatting>
  <conditionalFormatting sqref="AQ132:AS132">
    <cfRule type="expression" dxfId="1732" priority="7622">
      <formula>$J3487="En blanco"</formula>
    </cfRule>
    <cfRule type="expression" dxfId="1731" priority="7623">
      <formula>$J3487="Anulada"</formula>
    </cfRule>
  </conditionalFormatting>
  <conditionalFormatting sqref="AQ991:AS991">
    <cfRule type="expression" dxfId="1730" priority="2463">
      <formula>$J4348="En blanco"</formula>
    </cfRule>
    <cfRule type="expression" dxfId="1729" priority="2464">
      <formula>$J4348="Anulada"</formula>
    </cfRule>
  </conditionalFormatting>
  <conditionalFormatting sqref="AR196">
    <cfRule type="expression" dxfId="1728" priority="7414">
      <formula>$J3547="En blanco"</formula>
    </cfRule>
    <cfRule type="expression" dxfId="1727" priority="7415">
      <formula>$J3547="Anulada"</formula>
    </cfRule>
  </conditionalFormatting>
  <conditionalFormatting sqref="AR217">
    <cfRule type="expression" dxfId="1726" priority="7377">
      <formula>$J3566="En blanco"</formula>
    </cfRule>
    <cfRule type="expression" dxfId="1725" priority="7378">
      <formula>$J3566="Anulada"</formula>
    </cfRule>
  </conditionalFormatting>
  <conditionalFormatting sqref="AR233 AR272 AR279 AR299">
    <cfRule type="cellIs" dxfId="1724" priority="7119" operator="equal">
      <formula>"ENVIADO"</formula>
    </cfRule>
    <cfRule type="cellIs" dxfId="1723" priority="7120" operator="equal">
      <formula>"NO CORRESPONDE"</formula>
    </cfRule>
    <cfRule type="expression" dxfId="1722" priority="7121">
      <formula>$J3582="En blanco"</formula>
    </cfRule>
    <cfRule type="expression" dxfId="1721" priority="7122">
      <formula>$J3582="Anulada"</formula>
    </cfRule>
  </conditionalFormatting>
  <conditionalFormatting sqref="AR322">
    <cfRule type="cellIs" dxfId="1720" priority="5855" operator="equal">
      <formula>"ENVIADO"</formula>
    </cfRule>
    <cfRule type="cellIs" dxfId="1719" priority="5856" operator="equal">
      <formula>"NO CORRESPONDE"</formula>
    </cfRule>
    <cfRule type="expression" dxfId="1718" priority="5857">
      <formula>$J3670="En blanco"</formula>
    </cfRule>
    <cfRule type="expression" dxfId="1717" priority="5858">
      <formula>$J3670="Anulada"</formula>
    </cfRule>
  </conditionalFormatting>
  <conditionalFormatting sqref="AR338">
    <cfRule type="cellIs" dxfId="1716" priority="5871" operator="equal">
      <formula>"ENVIADO"</formula>
    </cfRule>
    <cfRule type="cellIs" dxfId="1715" priority="5872" operator="equal">
      <formula>"NO CORRESPONDE"</formula>
    </cfRule>
    <cfRule type="expression" dxfId="1714" priority="5873">
      <formula>$J3686="En blanco"</formula>
    </cfRule>
    <cfRule type="expression" dxfId="1713" priority="5874">
      <formula>$J3686="Anulada"</formula>
    </cfRule>
  </conditionalFormatting>
  <conditionalFormatting sqref="AR347">
    <cfRule type="cellIs" dxfId="1712" priority="5862" operator="equal">
      <formula>"ENVIADO"</formula>
    </cfRule>
    <cfRule type="cellIs" dxfId="1711" priority="5863" operator="equal">
      <formula>"NO CORRESPONDE"</formula>
    </cfRule>
    <cfRule type="expression" dxfId="1710" priority="5864">
      <formula>$J3695="En blanco"</formula>
    </cfRule>
    <cfRule type="expression" dxfId="1709" priority="5865">
      <formula>$J3695="Anulada"</formula>
    </cfRule>
  </conditionalFormatting>
  <conditionalFormatting sqref="AR360 AR398 AR410">
    <cfRule type="cellIs" dxfId="1708" priority="19727" operator="equal">
      <formula>"ENVIADO"</formula>
    </cfRule>
    <cfRule type="cellIs" dxfId="1707" priority="19728" operator="equal">
      <formula>"NO CORRESPONDE"</formula>
    </cfRule>
    <cfRule type="expression" dxfId="1706" priority="19729">
      <formula>$J3707="En blanco"</formula>
    </cfRule>
    <cfRule type="expression" dxfId="1705" priority="19730">
      <formula>$J3707="Anulada"</formula>
    </cfRule>
  </conditionalFormatting>
  <conditionalFormatting sqref="AR430">
    <cfRule type="cellIs" dxfId="1704" priority="19767" operator="equal">
      <formula>"ENVIADO"</formula>
    </cfRule>
    <cfRule type="cellIs" dxfId="1703" priority="19768" operator="equal">
      <formula>"NO CORRESPONDE"</formula>
    </cfRule>
    <cfRule type="expression" dxfId="1702" priority="19769">
      <formula>$J3775="En blanco"</formula>
    </cfRule>
    <cfRule type="expression" dxfId="1701" priority="19770">
      <formula>$J3775="Anulada"</formula>
    </cfRule>
  </conditionalFormatting>
  <conditionalFormatting sqref="AR471 AR485 AR539 AR548 AR596">
    <cfRule type="cellIs" dxfId="1700" priority="5338" operator="equal">
      <formula>"ENVIADO"</formula>
    </cfRule>
    <cfRule type="cellIs" dxfId="1699" priority="5339" operator="equal">
      <formula>"NO CORRESPONDE"</formula>
    </cfRule>
    <cfRule type="expression" dxfId="1698" priority="5340">
      <formula>$J3814="En blanco"</formula>
    </cfRule>
    <cfRule type="expression" dxfId="1697" priority="5341">
      <formula>$J3814="Anulada"</formula>
    </cfRule>
  </conditionalFormatting>
  <conditionalFormatting sqref="AR495">
    <cfRule type="cellIs" dxfId="1696" priority="5329" operator="equal">
      <formula>"ENVIADO"</formula>
    </cfRule>
    <cfRule type="cellIs" dxfId="1695" priority="5330" operator="equal">
      <formula>"NO CORRESPONDE"</formula>
    </cfRule>
    <cfRule type="expression" dxfId="1694" priority="5331">
      <formula>$J3838="En blanco"</formula>
    </cfRule>
    <cfRule type="expression" dxfId="1693" priority="5332">
      <formula>$J3838="Anulada"</formula>
    </cfRule>
  </conditionalFormatting>
  <conditionalFormatting sqref="AR559 AR745 AR779 AR792 AR798 AR809 AR858 AR874">
    <cfRule type="cellIs" dxfId="1692" priority="20230" operator="equal">
      <formula>"ENVIADO"</formula>
    </cfRule>
    <cfRule type="cellIs" dxfId="1691" priority="20231" operator="equal">
      <formula>"NO CORRESPONDE"</formula>
    </cfRule>
    <cfRule type="expression" dxfId="1690" priority="20232">
      <formula>$J3901="En blanco"</formula>
    </cfRule>
    <cfRule type="expression" dxfId="1689" priority="20233">
      <formula>$J3901="Anulada"</formula>
    </cfRule>
  </conditionalFormatting>
  <conditionalFormatting sqref="AR621">
    <cfRule type="cellIs" dxfId="1688" priority="20170" operator="equal">
      <formula>"ENVIADO"</formula>
    </cfRule>
    <cfRule type="cellIs" dxfId="1687" priority="20171" operator="equal">
      <formula>"NO CORRESPONDE"</formula>
    </cfRule>
    <cfRule type="expression" dxfId="1686" priority="20172">
      <formula>$J3963="En blanco"</formula>
    </cfRule>
    <cfRule type="expression" dxfId="1685" priority="20173">
      <formula>$J3963="Anulada"</formula>
    </cfRule>
  </conditionalFormatting>
  <conditionalFormatting sqref="AR634 AR675 AR686 AR691 AR733 AR753">
    <cfRule type="cellIs" dxfId="1684" priority="19827" operator="equal">
      <formula>"ENVIADO"</formula>
    </cfRule>
    <cfRule type="cellIs" dxfId="1683" priority="19828" operator="equal">
      <formula>"NO CORRESPONDE"</formula>
    </cfRule>
    <cfRule type="expression" dxfId="1682" priority="19829">
      <formula>$J3975="En blanco"</formula>
    </cfRule>
    <cfRule type="expression" dxfId="1681" priority="19830">
      <formula>$J3975="Anulada"</formula>
    </cfRule>
  </conditionalFormatting>
  <conditionalFormatting sqref="AR889 AR924 AR929:AR932">
    <cfRule type="cellIs" dxfId="1680" priority="3693" operator="equal">
      <formula>"ENVIADO"</formula>
    </cfRule>
  </conditionalFormatting>
  <conditionalFormatting sqref="AR889">
    <cfRule type="expression" dxfId="1679" priority="3695">
      <formula>$J4227="En blanco"</formula>
    </cfRule>
    <cfRule type="expression" dxfId="1678" priority="3696">
      <formula>$J4227="Anulada"</formula>
    </cfRule>
  </conditionalFormatting>
  <conditionalFormatting sqref="AR929">
    <cfRule type="expression" dxfId="1677" priority="2587">
      <formula>$J4267="En blanco"</formula>
    </cfRule>
    <cfRule type="expression" dxfId="1676" priority="2588">
      <formula>$J4267="Anulada"</formula>
    </cfRule>
  </conditionalFormatting>
  <conditionalFormatting sqref="AR929:AR932 AR889 AR924">
    <cfRule type="cellIs" dxfId="1675" priority="3694" operator="equal">
      <formula>"NO CORRESPONDE"</formula>
    </cfRule>
  </conditionalFormatting>
  <conditionalFormatting sqref="AR934">
    <cfRule type="cellIs" dxfId="1674" priority="2583" operator="equal">
      <formula>"ENVIADO"</formula>
    </cfRule>
    <cfRule type="cellIs" dxfId="1673" priority="2584" operator="equal">
      <formula>"NO CORRESPONDE"</formula>
    </cfRule>
    <cfRule type="expression" dxfId="1672" priority="2585">
      <formula>$J4272="En blanco"</formula>
    </cfRule>
    <cfRule type="expression" dxfId="1671" priority="2586">
      <formula>$J4272="Anulada"</formula>
    </cfRule>
  </conditionalFormatting>
  <conditionalFormatting sqref="AR951">
    <cfRule type="cellIs" dxfId="1670" priority="2574" operator="equal">
      <formula>"ENVIADO"</formula>
    </cfRule>
    <cfRule type="cellIs" dxfId="1669" priority="2575" operator="equal">
      <formula>"NO CORRESPONDE"</formula>
    </cfRule>
    <cfRule type="expression" dxfId="1668" priority="2576">
      <formula>$J4289="En blanco"</formula>
    </cfRule>
    <cfRule type="expression" dxfId="1667" priority="2577">
      <formula>$J4289="Anulada"</formula>
    </cfRule>
  </conditionalFormatting>
  <conditionalFormatting sqref="AR959">
    <cfRule type="cellIs" dxfId="1666" priority="2689" operator="equal">
      <formula>"ENVIADO"</formula>
    </cfRule>
    <cfRule type="cellIs" dxfId="1665" priority="2690" operator="equal">
      <formula>"NO CORRESPONDE"</formula>
    </cfRule>
    <cfRule type="expression" dxfId="1664" priority="2717">
      <formula>$J4297="En blanco"</formula>
    </cfRule>
    <cfRule type="expression" dxfId="1663" priority="2718">
      <formula>$J4297="Anulada"</formula>
    </cfRule>
  </conditionalFormatting>
  <conditionalFormatting sqref="AR964">
    <cfRule type="cellIs" dxfId="1662" priority="2422" operator="equal">
      <formula>"ENVIADO"</formula>
    </cfRule>
    <cfRule type="cellIs" dxfId="1661" priority="2423" operator="equal">
      <formula>"NO CORRESPONDE"</formula>
    </cfRule>
    <cfRule type="expression" dxfId="1660" priority="2449">
      <formula>$J4302="En blanco"</formula>
    </cfRule>
    <cfRule type="expression" dxfId="1659" priority="2450">
      <formula>$J4302="Anulada"</formula>
    </cfRule>
  </conditionalFormatting>
  <conditionalFormatting sqref="AR970 AR978:AR982 AR1091 AR1099 AR1116">
    <cfRule type="cellIs" dxfId="1658" priority="2747" operator="equal">
      <formula>"ENVIADO"</formula>
    </cfRule>
    <cfRule type="expression" dxfId="1657" priority="2749">
      <formula>$J4307="En blanco"</formula>
    </cfRule>
    <cfRule type="expression" dxfId="1656" priority="2750">
      <formula>$J4307="Anulada"</formula>
    </cfRule>
  </conditionalFormatting>
  <conditionalFormatting sqref="AR970 AR978:AR982 AR1091 AR1116">
    <cfRule type="cellIs" dxfId="1655" priority="2748" operator="equal">
      <formula>"NO CORRESPONDE"</formula>
    </cfRule>
  </conditionalFormatting>
  <conditionalFormatting sqref="AR983">
    <cfRule type="cellIs" dxfId="1654" priority="2565" operator="equal">
      <formula>"ENVIADO"</formula>
    </cfRule>
    <cfRule type="cellIs" dxfId="1653" priority="2566" operator="equal">
      <formula>"NO CORRESPONDE"</formula>
    </cfRule>
    <cfRule type="expression" dxfId="1652" priority="2567">
      <formula>$J4321="En blanco"</formula>
    </cfRule>
    <cfRule type="expression" dxfId="1651" priority="2568">
      <formula>$J4321="Anulada"</formula>
    </cfRule>
  </conditionalFormatting>
  <conditionalFormatting sqref="AR984">
    <cfRule type="expression" dxfId="1650" priority="20462">
      <formula>$J4317="En blanco"</formula>
    </cfRule>
    <cfRule type="expression" dxfId="1649" priority="20463">
      <formula>$J4317="Anulada"</formula>
    </cfRule>
  </conditionalFormatting>
  <conditionalFormatting sqref="AR984:AR985">
    <cfRule type="cellIs" dxfId="1648" priority="20338" operator="equal">
      <formula>"ENVIADO"</formula>
    </cfRule>
    <cfRule type="cellIs" dxfId="1647" priority="20339" operator="equal">
      <formula>"NO CORRESPONDE"</formula>
    </cfRule>
  </conditionalFormatting>
  <conditionalFormatting sqref="AR985">
    <cfRule type="expression" dxfId="1646" priority="20340">
      <formula>$J4316="En blanco"</formula>
    </cfRule>
    <cfRule type="expression" dxfId="1645" priority="20341">
      <formula>$J4316="Anulada"</formula>
    </cfRule>
  </conditionalFormatting>
  <conditionalFormatting sqref="AR991">
    <cfRule type="cellIs" dxfId="1644" priority="2467" operator="equal">
      <formula>"ENVIADO"</formula>
    </cfRule>
    <cfRule type="cellIs" dxfId="1643" priority="2468" operator="equal">
      <formula>"NO CORRESPONDE"</formula>
    </cfRule>
    <cfRule type="expression" dxfId="1642" priority="2469">
      <formula>$J4328="En blanco"</formula>
    </cfRule>
    <cfRule type="expression" dxfId="1641" priority="2470">
      <formula>$J4328="Anulada"</formula>
    </cfRule>
  </conditionalFormatting>
  <conditionalFormatting sqref="AR1002">
    <cfRule type="cellIs" dxfId="1640" priority="1937" operator="equal">
      <formula>"ENVIADO"</formula>
    </cfRule>
    <cfRule type="cellIs" dxfId="1639" priority="1938" operator="equal">
      <formula>"NO CORRESPONDE"</formula>
    </cfRule>
    <cfRule type="expression" dxfId="1638" priority="1939">
      <formula>$J4340="En blanco"</formula>
    </cfRule>
    <cfRule type="expression" dxfId="1637" priority="1940">
      <formula>$J4340="Anulada"</formula>
    </cfRule>
  </conditionalFormatting>
  <conditionalFormatting sqref="AR1017">
    <cfRule type="cellIs" dxfId="1636" priority="1957" operator="equal">
      <formula>"ENVIADO"</formula>
    </cfRule>
    <cfRule type="cellIs" dxfId="1635" priority="1958" operator="equal">
      <formula>"NO CORRESPONDE"</formula>
    </cfRule>
    <cfRule type="expression" dxfId="1634" priority="1959">
      <formula>$J4356="En blanco"</formula>
    </cfRule>
    <cfRule type="expression" dxfId="1633" priority="1960">
      <formula>$J4356="Anulada"</formula>
    </cfRule>
  </conditionalFormatting>
  <conditionalFormatting sqref="AR1019">
    <cfRule type="cellIs" dxfId="1632" priority="2130" operator="equal">
      <formula>"ENVIADO"</formula>
    </cfRule>
    <cfRule type="cellIs" dxfId="1631" priority="2131" operator="equal">
      <formula>"NO CORRESPONDE"</formula>
    </cfRule>
    <cfRule type="expression" dxfId="1630" priority="2155">
      <formula>$J4358="En blanco"</formula>
    </cfRule>
    <cfRule type="expression" dxfId="1629" priority="2156">
      <formula>$J4358="Anulada"</formula>
    </cfRule>
  </conditionalFormatting>
  <conditionalFormatting sqref="AR1024">
    <cfRule type="cellIs" dxfId="1628" priority="2045" operator="equal">
      <formula>"ENVIADO"</formula>
    </cfRule>
    <cfRule type="cellIs" dxfId="1627" priority="2046" operator="equal">
      <formula>"NO CORRESPONDE"</formula>
    </cfRule>
    <cfRule type="expression" dxfId="1626" priority="2047">
      <formula>$J4365="En blanco"</formula>
    </cfRule>
    <cfRule type="expression" dxfId="1625" priority="2048">
      <formula>$J4365="Anulada"</formula>
    </cfRule>
  </conditionalFormatting>
  <conditionalFormatting sqref="AR1030">
    <cfRule type="cellIs" dxfId="1624" priority="1929" operator="equal">
      <formula>"ENVIADO"</formula>
    </cfRule>
    <cfRule type="cellIs" dxfId="1623" priority="1930" operator="equal">
      <formula>"NO CORRESPONDE"</formula>
    </cfRule>
    <cfRule type="expression" dxfId="1622" priority="1931">
      <formula>$J4368="En blanco"</formula>
    </cfRule>
    <cfRule type="expression" dxfId="1621" priority="1932">
      <formula>$J4368="Anulada"</formula>
    </cfRule>
  </conditionalFormatting>
  <conditionalFormatting sqref="AR1036">
    <cfRule type="cellIs" dxfId="1620" priority="2000" operator="equal">
      <formula>"ENVIADO"</formula>
    </cfRule>
    <cfRule type="cellIs" dxfId="1619" priority="2001" operator="equal">
      <formula>"NO CORRESPONDE"</formula>
    </cfRule>
    <cfRule type="expression" dxfId="1618" priority="2002">
      <formula>$J4375="En blanco"</formula>
    </cfRule>
    <cfRule type="expression" dxfId="1617" priority="2003">
      <formula>$J4375="Anulada"</formula>
    </cfRule>
  </conditionalFormatting>
  <conditionalFormatting sqref="AR1042">
    <cfRule type="cellIs" dxfId="1616" priority="1913" operator="equal">
      <formula>"ENVIADO"</formula>
    </cfRule>
    <cfRule type="cellIs" dxfId="1615" priority="1914" operator="equal">
      <formula>"NO CORRESPONDE"</formula>
    </cfRule>
    <cfRule type="expression" dxfId="1614" priority="1915">
      <formula>$J4379="En blanco"</formula>
    </cfRule>
    <cfRule type="expression" dxfId="1613" priority="1916">
      <formula>$J4379="Anulada"</formula>
    </cfRule>
  </conditionalFormatting>
  <conditionalFormatting sqref="AR1079">
    <cfRule type="cellIs" dxfId="1612" priority="1553" operator="equal">
      <formula>"ENVIADO"</formula>
    </cfRule>
    <cfRule type="cellIs" dxfId="1611" priority="1554" operator="equal">
      <formula>"NO CORRESPONDE"</formula>
    </cfRule>
    <cfRule type="expression" dxfId="1610" priority="1555">
      <formula>$J4418="En blanco"</formula>
    </cfRule>
    <cfRule type="expression" dxfId="1609" priority="1556">
      <formula>$J4418="Anulada"</formula>
    </cfRule>
  </conditionalFormatting>
  <conditionalFormatting sqref="AR1098">
    <cfRule type="cellIs" dxfId="1608" priority="1359" operator="equal">
      <formula>"ENVIADO"</formula>
    </cfRule>
    <cfRule type="expression" dxfId="1607" priority="1361">
      <formula>$J4437="En blanco"</formula>
    </cfRule>
    <cfRule type="expression" dxfId="1606" priority="1362">
      <formula>$J4437="Anulada"</formula>
    </cfRule>
  </conditionalFormatting>
  <conditionalFormatting sqref="AR1098:AR1099">
    <cfRule type="cellIs" dxfId="1605" priority="1360" operator="equal">
      <formula>"NO CORRESPONDE"</formula>
    </cfRule>
  </conditionalFormatting>
  <conditionalFormatting sqref="AR1155">
    <cfRule type="cellIs" dxfId="1604" priority="979" operator="equal">
      <formula>"ENVIADO"</formula>
    </cfRule>
    <cfRule type="cellIs" dxfId="1603" priority="980" operator="equal">
      <formula>"NO CORRESPONDE"</formula>
    </cfRule>
    <cfRule type="expression" dxfId="1602" priority="981">
      <formula>$J4492="En blanco"</formula>
    </cfRule>
    <cfRule type="expression" dxfId="1601" priority="982">
      <formula>$J4492="Anulada"</formula>
    </cfRule>
  </conditionalFormatting>
  <conditionalFormatting sqref="AR1169">
    <cfRule type="cellIs" dxfId="1600" priority="975" operator="equal">
      <formula>"ENVIADO"</formula>
    </cfRule>
    <cfRule type="cellIs" dxfId="1599" priority="976" operator="equal">
      <formula>"NO CORRESPONDE"</formula>
    </cfRule>
    <cfRule type="expression" dxfId="1598" priority="977">
      <formula>$J4506="En blanco"</formula>
    </cfRule>
    <cfRule type="expression" dxfId="1597" priority="978">
      <formula>$J4506="Anulada"</formula>
    </cfRule>
  </conditionalFormatting>
  <conditionalFormatting sqref="AR1182">
    <cfRule type="cellIs" dxfId="1596" priority="971" operator="equal">
      <formula>"ENVIADO"</formula>
    </cfRule>
    <cfRule type="cellIs" dxfId="1595" priority="972" operator="equal">
      <formula>"NO CORRESPONDE"</formula>
    </cfRule>
    <cfRule type="expression" dxfId="1594" priority="973">
      <formula>$J4519="En blanco"</formula>
    </cfRule>
    <cfRule type="expression" dxfId="1593" priority="974">
      <formula>$J4519="Anulada"</formula>
    </cfRule>
  </conditionalFormatting>
  <conditionalFormatting sqref="AR1191">
    <cfRule type="cellIs" dxfId="1592" priority="1080" operator="equal">
      <formula>"ENVIADO"</formula>
    </cfRule>
    <cfRule type="cellIs" dxfId="1591" priority="1081" operator="equal">
      <formula>"NO CORRESPONDE"</formula>
    </cfRule>
    <cfRule type="expression" dxfId="1590" priority="1082">
      <formula>$J4530="En blanco"</formula>
    </cfRule>
    <cfRule type="expression" dxfId="1589" priority="1083">
      <formula>$J4530="Anulada"</formula>
    </cfRule>
  </conditionalFormatting>
  <conditionalFormatting sqref="AR1205">
    <cfRule type="cellIs" dxfId="1588" priority="1023" operator="equal">
      <formula>"ENVIADO"</formula>
    </cfRule>
    <cfRule type="cellIs" dxfId="1587" priority="1024" operator="equal">
      <formula>"NO CORRESPONDE"</formula>
    </cfRule>
    <cfRule type="expression" dxfId="1586" priority="1025">
      <formula>$J4544="En blanco"</formula>
    </cfRule>
    <cfRule type="expression" dxfId="1585" priority="1026">
      <formula>$J4544="Anulada"</formula>
    </cfRule>
  </conditionalFormatting>
  <conditionalFormatting sqref="AR1227">
    <cfRule type="cellIs" dxfId="1584" priority="967" operator="equal">
      <formula>"ENVIADO"</formula>
    </cfRule>
    <cfRule type="cellIs" dxfId="1583" priority="968" operator="equal">
      <formula>"NO CORRESPONDE"</formula>
    </cfRule>
    <cfRule type="expression" dxfId="1582" priority="969">
      <formula>$J4564="En blanco"</formula>
    </cfRule>
    <cfRule type="expression" dxfId="1581" priority="970">
      <formula>$J4564="Anulada"</formula>
    </cfRule>
  </conditionalFormatting>
  <conditionalFormatting sqref="AR1237">
    <cfRule type="cellIs" dxfId="1580" priority="963" operator="equal">
      <formula>"ENVIADO"</formula>
    </cfRule>
    <cfRule type="cellIs" dxfId="1579" priority="964" operator="equal">
      <formula>"NO CORRESPONDE"</formula>
    </cfRule>
    <cfRule type="expression" dxfId="1578" priority="965">
      <formula>$J4572="En blanco"</formula>
    </cfRule>
    <cfRule type="expression" dxfId="1577" priority="966">
      <formula>$J4572="Anulada"</formula>
    </cfRule>
  </conditionalFormatting>
  <conditionalFormatting sqref="AR1240">
    <cfRule type="cellIs" dxfId="1576" priority="878" operator="equal">
      <formula>"ENVIADO"</formula>
    </cfRule>
    <cfRule type="cellIs" dxfId="1575" priority="879" operator="equal">
      <formula>"NO CORRESPONDE"</formula>
    </cfRule>
    <cfRule type="expression" dxfId="1574" priority="880">
      <formula>$J4579="En blanco"</formula>
    </cfRule>
    <cfRule type="expression" dxfId="1573" priority="881">
      <formula>$J4579="Anulada"</formula>
    </cfRule>
  </conditionalFormatting>
  <conditionalFormatting sqref="AR1253">
    <cfRule type="cellIs" dxfId="1572" priority="640" operator="equal">
      <formula>"ENVIADO"</formula>
    </cfRule>
    <cfRule type="cellIs" dxfId="1571" priority="641" operator="equal">
      <formula>"NO CORRESPONDE"</formula>
    </cfRule>
    <cfRule type="expression" dxfId="1570" priority="642">
      <formula>$J4588="En blanco"</formula>
    </cfRule>
    <cfRule type="expression" dxfId="1569" priority="643">
      <formula>$J4588="Anulada"</formula>
    </cfRule>
  </conditionalFormatting>
  <conditionalFormatting sqref="AR1256">
    <cfRule type="cellIs" dxfId="1568" priority="806" operator="equal">
      <formula>"ENVIADO"</formula>
    </cfRule>
    <cfRule type="cellIs" dxfId="1567" priority="807" operator="equal">
      <formula>"NO CORRESPONDE"</formula>
    </cfRule>
    <cfRule type="expression" dxfId="1566" priority="808">
      <formula>$J4595="En blanco"</formula>
    </cfRule>
    <cfRule type="expression" dxfId="1565" priority="809">
      <formula>$J4595="Anulada"</formula>
    </cfRule>
  </conditionalFormatting>
  <conditionalFormatting sqref="AR1294">
    <cfRule type="cellIs" dxfId="1564" priority="717" operator="equal">
      <formula>"ENVIADO"</formula>
    </cfRule>
    <cfRule type="cellIs" dxfId="1563" priority="718" operator="equal">
      <formula>"NO CORRESPONDE"</formula>
    </cfRule>
    <cfRule type="expression" dxfId="1562" priority="719">
      <formula>$J4633="En blanco"</formula>
    </cfRule>
    <cfRule type="expression" dxfId="1561" priority="720">
      <formula>$J4633="Anulada"</formula>
    </cfRule>
  </conditionalFormatting>
  <conditionalFormatting sqref="AR1296">
    <cfRule type="cellIs" dxfId="1560" priority="636" operator="equal">
      <formula>"ENVIADO"</formula>
    </cfRule>
    <cfRule type="cellIs" dxfId="1559" priority="637" operator="equal">
      <formula>"NO CORRESPONDE"</formula>
    </cfRule>
    <cfRule type="expression" dxfId="1558" priority="638">
      <formula>$J4631="En blanco"</formula>
    </cfRule>
    <cfRule type="expression" dxfId="1557" priority="639">
      <formula>$J4631="Anulada"</formula>
    </cfRule>
  </conditionalFormatting>
  <conditionalFormatting sqref="AR1297">
    <cfRule type="cellIs" dxfId="1556" priority="668" operator="equal">
      <formula>"ENVIADO"</formula>
    </cfRule>
    <cfRule type="cellIs" dxfId="1555" priority="669" operator="equal">
      <formula>"NO CORRESPONDE"</formula>
    </cfRule>
    <cfRule type="expression" dxfId="1554" priority="670">
      <formula>$J4636="En blanco"</formula>
    </cfRule>
    <cfRule type="expression" dxfId="1553" priority="671">
      <formula>$J4636="Anulada"</formula>
    </cfRule>
  </conditionalFormatting>
  <conditionalFormatting sqref="AR1319">
    <cfRule type="cellIs" dxfId="1552" priority="632" operator="equal">
      <formula>"ENVIADO"</formula>
    </cfRule>
    <cfRule type="cellIs" dxfId="1551" priority="633" operator="equal">
      <formula>"NO CORRESPONDE"</formula>
    </cfRule>
    <cfRule type="expression" dxfId="1550" priority="634">
      <formula>$J4654="En blanco"</formula>
    </cfRule>
    <cfRule type="expression" dxfId="1549" priority="635">
      <formula>$J4654="Anulada"</formula>
    </cfRule>
  </conditionalFormatting>
  <conditionalFormatting sqref="AR1347">
    <cfRule type="cellIs" dxfId="1548" priority="555" operator="equal">
      <formula>"ENVIADO"</formula>
    </cfRule>
    <cfRule type="cellIs" dxfId="1547" priority="556" operator="equal">
      <formula>"NO CORRESPONDE"</formula>
    </cfRule>
    <cfRule type="expression" dxfId="1546" priority="557">
      <formula>$J4682="En blanco"</formula>
    </cfRule>
    <cfRule type="expression" dxfId="1545" priority="558">
      <formula>$J4682="Anulada"</formula>
    </cfRule>
  </conditionalFormatting>
  <conditionalFormatting sqref="AR1352">
    <cfRule type="cellIs" dxfId="1544" priority="584" operator="equal">
      <formula>"ENVIADO"</formula>
    </cfRule>
    <cfRule type="cellIs" dxfId="1543" priority="585" operator="equal">
      <formula>"NO CORRESPONDE"</formula>
    </cfRule>
    <cfRule type="expression" dxfId="1542" priority="586">
      <formula>$J4691="En blanco"</formula>
    </cfRule>
    <cfRule type="expression" dxfId="1541" priority="587">
      <formula>$J4691="Anulada"</formula>
    </cfRule>
  </conditionalFormatting>
  <conditionalFormatting sqref="AR1365">
    <cfRule type="cellIs" dxfId="1540" priority="551" operator="equal">
      <formula>"ENVIADO"</formula>
    </cfRule>
    <cfRule type="expression" dxfId="1539" priority="553">
      <formula>$J4698="En blanco"</formula>
    </cfRule>
    <cfRule type="expression" dxfId="1538" priority="554">
      <formula>$J4698="Anulada"</formula>
    </cfRule>
  </conditionalFormatting>
  <conditionalFormatting sqref="AR1365:AR1366">
    <cfRule type="cellIs" dxfId="1537" priority="511" operator="equal">
      <formula>"NO CORRESPONDE"</formula>
    </cfRule>
  </conditionalFormatting>
  <conditionalFormatting sqref="AR1366">
    <cfRule type="cellIs" dxfId="1536" priority="510" operator="equal">
      <formula>"ENVIADO"</formula>
    </cfRule>
    <cfRule type="expression" dxfId="1535" priority="512">
      <formula>$J4705="En blanco"</formula>
    </cfRule>
    <cfRule type="expression" dxfId="1534" priority="513">
      <formula>$J4705="Anulada"</formula>
    </cfRule>
  </conditionalFormatting>
  <conditionalFormatting sqref="AR1371">
    <cfRule type="cellIs" dxfId="1533" priority="404" operator="equal">
      <formula>"ENVIADO"</formula>
    </cfRule>
    <cfRule type="cellIs" dxfId="1532" priority="405" operator="equal">
      <formula>"NO CORRESPONDE"</formula>
    </cfRule>
    <cfRule type="expression" dxfId="1531" priority="406">
      <formula>$J4710="En blanco"</formula>
    </cfRule>
    <cfRule type="expression" dxfId="1530" priority="407">
      <formula>$J4710="Anulada"</formula>
    </cfRule>
  </conditionalFormatting>
  <conditionalFormatting sqref="AR1373">
    <cfRule type="cellIs" dxfId="1529" priority="457" operator="equal">
      <formula>"ENVIADO"</formula>
    </cfRule>
    <cfRule type="cellIs" dxfId="1528" priority="458" operator="equal">
      <formula>"NO CORRESPONDE"</formula>
    </cfRule>
    <cfRule type="expression" dxfId="1527" priority="459">
      <formula>$J4712="En blanco"</formula>
    </cfRule>
    <cfRule type="expression" dxfId="1526" priority="460">
      <formula>$J4712="Anulada"</formula>
    </cfRule>
  </conditionalFormatting>
  <conditionalFormatting sqref="AR1378">
    <cfRule type="cellIs" dxfId="1525" priority="490" operator="equal">
      <formula>"NO CORRESPONDE"</formula>
    </cfRule>
    <cfRule type="cellIs" dxfId="1524" priority="491" operator="equal">
      <formula>"ENVIADO"</formula>
    </cfRule>
    <cfRule type="expression" dxfId="1523" priority="492">
      <formula>$J4711="En blanco"</formula>
    </cfRule>
    <cfRule type="expression" dxfId="1522" priority="493">
      <formula>$J4711="Anulada"</formula>
    </cfRule>
  </conditionalFormatting>
  <conditionalFormatting sqref="AR1394">
    <cfRule type="cellIs" dxfId="1521" priority="327" operator="equal">
      <formula>"ENVIADO"</formula>
    </cfRule>
    <cfRule type="cellIs" dxfId="1520" priority="328" operator="equal">
      <formula>"NO CORRESPONDE"</formula>
    </cfRule>
    <cfRule type="expression" dxfId="1519" priority="329">
      <formula>$J4733="En blanco"</formula>
    </cfRule>
    <cfRule type="expression" dxfId="1518" priority="330">
      <formula>$J4733="Anulada"</formula>
    </cfRule>
  </conditionalFormatting>
  <conditionalFormatting sqref="AR1436:AR1437">
    <cfRule type="cellIs" dxfId="1517" priority="265" operator="equal">
      <formula>"ENVIADO"</formula>
    </cfRule>
    <cfRule type="cellIs" dxfId="1516" priority="266" operator="equal">
      <formula>"NO CORRESPONDE"</formula>
    </cfRule>
    <cfRule type="expression" dxfId="1515" priority="267">
      <formula>$J4774="En blanco"</formula>
    </cfRule>
    <cfRule type="expression" dxfId="1514" priority="268">
      <formula>$J4774="Anulada"</formula>
    </cfRule>
  </conditionalFormatting>
  <conditionalFormatting sqref="AR1443">
    <cfRule type="cellIs" dxfId="1513" priority="203" operator="equal">
      <formula>"ENVIADO"</formula>
    </cfRule>
    <cfRule type="cellIs" dxfId="1512" priority="204" operator="equal">
      <formula>"NO CORRESPONDE"</formula>
    </cfRule>
    <cfRule type="expression" dxfId="1511" priority="205">
      <formula>$J4781="En blanco"</formula>
    </cfRule>
    <cfRule type="expression" dxfId="1510" priority="206">
      <formula>$J4781="Anulada"</formula>
    </cfRule>
  </conditionalFormatting>
  <conditionalFormatting sqref="AR1447">
    <cfRule type="cellIs" dxfId="1509" priority="13" operator="equal">
      <formula>"ENVIADO"</formula>
    </cfRule>
    <cfRule type="cellIs" dxfId="1508" priority="14" operator="equal">
      <formula>"NO CORRESPONDE"</formula>
    </cfRule>
    <cfRule type="expression" dxfId="1507" priority="15">
      <formula>$J4785="En blanco"</formula>
    </cfRule>
    <cfRule type="expression" dxfId="1506" priority="16">
      <formula>$J4785="Anulada"</formula>
    </cfRule>
  </conditionalFormatting>
  <conditionalFormatting sqref="AR1456:AR1048576 AR1">
    <cfRule type="containsText" dxfId="1505" priority="14949" operator="containsText" text="NO CORRESPONDE">
      <formula>NOT(ISERROR(SEARCH("NO CORRESPONDE",AR1)))</formula>
    </cfRule>
    <cfRule type="containsText" dxfId="1504" priority="14964" operator="containsText" text="CANCELADO">
      <formula>NOT(ISERROR(SEARCH("CANCELADO",AR1)))</formula>
    </cfRule>
  </conditionalFormatting>
  <conditionalFormatting sqref="AS32">
    <cfRule type="cellIs" dxfId="1503" priority="5980" operator="equal">
      <formula>"ENVIADO"</formula>
    </cfRule>
    <cfRule type="cellIs" dxfId="1502" priority="5981" operator="equal">
      <formula>"NO CORRESPONDE"</formula>
    </cfRule>
    <cfRule type="expression" dxfId="1501" priority="5982">
      <formula>$J3388="En blanco"</formula>
    </cfRule>
    <cfRule type="expression" dxfId="1500" priority="5983">
      <formula>$J3388="Anulada"</formula>
    </cfRule>
  </conditionalFormatting>
  <conditionalFormatting sqref="AS91">
    <cfRule type="cellIs" dxfId="1499" priority="6024" operator="equal">
      <formula>"ENVIADO"</formula>
    </cfRule>
    <cfRule type="cellIs" dxfId="1498" priority="6025" operator="equal">
      <formula>"NO CORRESPONDE"</formula>
    </cfRule>
    <cfRule type="expression" dxfId="1497" priority="6026">
      <formula>$J3447="En blanco"</formula>
    </cfRule>
    <cfRule type="expression" dxfId="1496" priority="6027">
      <formula>$J3447="Anulada"</formula>
    </cfRule>
  </conditionalFormatting>
  <conditionalFormatting sqref="AS130">
    <cfRule type="cellIs" dxfId="1495" priority="6068" operator="equal">
      <formula>"ENVIADO"</formula>
    </cfRule>
    <cfRule type="cellIs" dxfId="1494" priority="6069" operator="equal">
      <formula>"NO CORRESPONDE"</formula>
    </cfRule>
    <cfRule type="expression" dxfId="1493" priority="6070">
      <formula>$J3486="En blanco"</formula>
    </cfRule>
    <cfRule type="expression" dxfId="1492" priority="6071">
      <formula>$J3486="Anulada"</formula>
    </cfRule>
  </conditionalFormatting>
  <conditionalFormatting sqref="AS134:AS135">
    <cfRule type="expression" dxfId="1491" priority="7597">
      <formula>$J3489="En blanco"</formula>
    </cfRule>
    <cfRule type="expression" dxfId="1490" priority="7598">
      <formula>$J3489="Anulada"</formula>
    </cfRule>
  </conditionalFormatting>
  <conditionalFormatting sqref="AS154">
    <cfRule type="cellIs" dxfId="1489" priority="6156" operator="equal">
      <formula>"ENVIADO"</formula>
    </cfRule>
    <cfRule type="cellIs" dxfId="1488" priority="6157" operator="equal">
      <formula>"NO CORRESPONDE"</formula>
    </cfRule>
    <cfRule type="expression" dxfId="1487" priority="6158">
      <formula>$J3510="En blanco"</formula>
    </cfRule>
    <cfRule type="expression" dxfId="1486" priority="6159">
      <formula>$J3510="Anulada"</formula>
    </cfRule>
  </conditionalFormatting>
  <conditionalFormatting sqref="AS158">
    <cfRule type="cellIs" dxfId="1485" priority="6112" operator="equal">
      <formula>"ENVIADO"</formula>
    </cfRule>
    <cfRule type="cellIs" dxfId="1484" priority="6113" operator="equal">
      <formula>"NO CORRESPONDE"</formula>
    </cfRule>
    <cfRule type="expression" dxfId="1483" priority="6114">
      <formula>$J3514="En blanco"</formula>
    </cfRule>
    <cfRule type="expression" dxfId="1482" priority="6115">
      <formula>$J3514="Anulada"</formula>
    </cfRule>
  </conditionalFormatting>
  <conditionalFormatting sqref="AS159:AS208 A134:B134 E134:I134 M134 O134:Q134 M135:Q135 W134:W135 AS134:AS135">
    <cfRule type="cellIs" dxfId="1481" priority="7596" operator="equal">
      <formula>"NO CORRESPONDE"</formula>
    </cfRule>
  </conditionalFormatting>
  <conditionalFormatting sqref="AS159:AS208 A134:B134 E134:I134 M134 O134:Q134 W134:W135 AS134:AS135 M135:Q135">
    <cfRule type="cellIs" dxfId="1480" priority="7593" operator="equal">
      <formula>"ENVIADO"</formula>
    </cfRule>
  </conditionalFormatting>
  <conditionalFormatting sqref="AS159:AS208">
    <cfRule type="expression" dxfId="1479" priority="7529">
      <formula>$J3514="En blanco"</formula>
    </cfRule>
    <cfRule type="expression" dxfId="1478" priority="7530">
      <formula>$J3514="Anulada"</formula>
    </cfRule>
  </conditionalFormatting>
  <conditionalFormatting sqref="AS209">
    <cfRule type="expression" dxfId="1477" priority="6202">
      <formula>$J3565="En blanco"</formula>
    </cfRule>
    <cfRule type="expression" dxfId="1476" priority="6203">
      <formula>$J3565="Anulada"</formula>
    </cfRule>
  </conditionalFormatting>
  <conditionalFormatting sqref="AS209:AS235">
    <cfRule type="cellIs" dxfId="1475" priority="6200" operator="equal">
      <formula>"ENVIADO"</formula>
    </cfRule>
    <cfRule type="cellIs" dxfId="1474" priority="6201" operator="equal">
      <formula>"NO CORRESPONDE"</formula>
    </cfRule>
  </conditionalFormatting>
  <conditionalFormatting sqref="AS210 AS214:AS227 AS229:AS230 AS232:AS234 AQ258:AR259">
    <cfRule type="expression" dxfId="1473" priority="7703">
      <formula>$J3570="Anulada"</formula>
    </cfRule>
  </conditionalFormatting>
  <conditionalFormatting sqref="AS211">
    <cfRule type="expression" dxfId="1472" priority="6290">
      <formula>$J3567="En blanco"</formula>
    </cfRule>
    <cfRule type="expression" dxfId="1471" priority="6291">
      <formula>$J3567="Anulada"</formula>
    </cfRule>
  </conditionalFormatting>
  <conditionalFormatting sqref="AS212">
    <cfRule type="expression" dxfId="1470" priority="7273">
      <formula>$J3572="En blanco"</formula>
    </cfRule>
    <cfRule type="expression" dxfId="1469" priority="7274">
      <formula>$J3572="Anulada"</formula>
    </cfRule>
  </conditionalFormatting>
  <conditionalFormatting sqref="AS213">
    <cfRule type="expression" dxfId="1468" priority="6246">
      <formula>$J3569="En blanco"</formula>
    </cfRule>
    <cfRule type="expression" dxfId="1467" priority="6247">
      <formula>$J3569="Anulada"</formula>
    </cfRule>
  </conditionalFormatting>
  <conditionalFormatting sqref="AS228">
    <cfRule type="expression" dxfId="1466" priority="6334">
      <formula>$J3584="En blanco"</formula>
    </cfRule>
    <cfRule type="expression" dxfId="1465" priority="6335">
      <formula>$J3584="Anulada"</formula>
    </cfRule>
  </conditionalFormatting>
  <conditionalFormatting sqref="AS231">
    <cfRule type="expression" dxfId="1464" priority="6378">
      <formula>$J3587="En blanco"</formula>
    </cfRule>
    <cfRule type="expression" dxfId="1463" priority="6379">
      <formula>$J3587="Anulada"</formula>
    </cfRule>
  </conditionalFormatting>
  <conditionalFormatting sqref="AS235">
    <cfRule type="expression" dxfId="1462" priority="6422">
      <formula>$J3591="En blanco"</formula>
    </cfRule>
    <cfRule type="expression" dxfId="1461" priority="6423">
      <formula>$J3591="Anulada"</formula>
    </cfRule>
  </conditionalFormatting>
  <conditionalFormatting sqref="AS241:AS242">
    <cfRule type="cellIs" dxfId="1460" priority="19419" operator="equal">
      <formula>"ENVIADO"</formula>
    </cfRule>
    <cfRule type="cellIs" dxfId="1459" priority="19420" operator="equal">
      <formula>"NO CORRESPONDE"</formula>
    </cfRule>
    <cfRule type="expression" dxfId="1458" priority="19421">
      <formula>$J3616="En blanco"</formula>
    </cfRule>
    <cfRule type="expression" dxfId="1457" priority="19422">
      <formula>$J3616="Anulada"</formula>
    </cfRule>
  </conditionalFormatting>
  <conditionalFormatting sqref="AS247">
    <cfRule type="cellIs" dxfId="1456" priority="6464" operator="equal">
      <formula>"ENVIADO"</formula>
    </cfRule>
    <cfRule type="cellIs" dxfId="1455" priority="6465" operator="equal">
      <formula>"NO CORRESPONDE"</formula>
    </cfRule>
    <cfRule type="expression" dxfId="1454" priority="6466">
      <formula>$J3603="En blanco"</formula>
    </cfRule>
    <cfRule type="expression" dxfId="1453" priority="6467">
      <formula>$J3603="Anulada"</formula>
    </cfRule>
  </conditionalFormatting>
  <conditionalFormatting sqref="AS257">
    <cfRule type="expression" dxfId="1452" priority="6510">
      <formula>$J3613="En blanco"</formula>
    </cfRule>
    <cfRule type="expression" dxfId="1451" priority="6511">
      <formula>$J3613="Anulada"</formula>
    </cfRule>
  </conditionalFormatting>
  <conditionalFormatting sqref="AS257:AS259">
    <cfRule type="cellIs" dxfId="1450" priority="6508" operator="equal">
      <formula>"ENVIADO"</formula>
    </cfRule>
    <cfRule type="cellIs" dxfId="1449" priority="6509" operator="equal">
      <formula>"NO CORRESPONDE"</formula>
    </cfRule>
  </conditionalFormatting>
  <conditionalFormatting sqref="AS258:AS259">
    <cfRule type="expression" dxfId="1448" priority="7113">
      <formula>$J3618="En blanco"</formula>
    </cfRule>
    <cfRule type="expression" dxfId="1447" priority="7114">
      <formula>$J3618="Anulada"</formula>
    </cfRule>
  </conditionalFormatting>
  <conditionalFormatting sqref="AS272">
    <cfRule type="cellIs" dxfId="1446" priority="6970" operator="equal">
      <formula>"ENVIADO"</formula>
    </cfRule>
    <cfRule type="cellIs" dxfId="1445" priority="6971" operator="equal">
      <formula>"NO CORRESPONDE"</formula>
    </cfRule>
    <cfRule type="expression" dxfId="1444" priority="6972">
      <formula>$J3628="En blanco"</formula>
    </cfRule>
    <cfRule type="expression" dxfId="1443" priority="6973">
      <formula>$J3628="Anulada"</formula>
    </cfRule>
  </conditionalFormatting>
  <conditionalFormatting sqref="AS280">
    <cfRule type="cellIs" dxfId="1442" priority="6548" operator="equal">
      <formula>"ENVIADO"</formula>
    </cfRule>
    <cfRule type="cellIs" dxfId="1441" priority="6549" operator="equal">
      <formula>"NO CORRESPONDE"</formula>
    </cfRule>
    <cfRule type="expression" dxfId="1440" priority="6550">
      <formula>$J3636="En blanco"</formula>
    </cfRule>
    <cfRule type="expression" dxfId="1439" priority="6551">
      <formula>$J3636="Anulada"</formula>
    </cfRule>
  </conditionalFormatting>
  <conditionalFormatting sqref="AS282">
    <cfRule type="expression" dxfId="1438" priority="19571">
      <formula>$J3620="En blanco"</formula>
    </cfRule>
    <cfRule type="expression" dxfId="1437" priority="19572">
      <formula>$J3620="Anulada"</formula>
    </cfRule>
  </conditionalFormatting>
  <conditionalFormatting sqref="AS282:AS285">
    <cfRule type="cellIs" dxfId="1436" priority="6588" operator="equal">
      <formula>"ENVIADO"</formula>
    </cfRule>
    <cfRule type="cellIs" dxfId="1435" priority="6589" operator="equal">
      <formula>"NO CORRESPONDE"</formula>
    </cfRule>
  </conditionalFormatting>
  <conditionalFormatting sqref="AS283">
    <cfRule type="expression" dxfId="1434" priority="6590">
      <formula>$J3639="En blanco"</formula>
    </cfRule>
    <cfRule type="expression" dxfId="1433" priority="6591">
      <formula>$J3639="Anulada"</formula>
    </cfRule>
  </conditionalFormatting>
  <conditionalFormatting sqref="AS284">
    <cfRule type="expression" dxfId="1432" priority="19697">
      <formula>$J3621="En blanco"</formula>
    </cfRule>
    <cfRule type="expression" dxfId="1431" priority="19698">
      <formula>$J3621="Anulada"</formula>
    </cfRule>
  </conditionalFormatting>
  <conditionalFormatting sqref="AS285">
    <cfRule type="expression" dxfId="1430" priority="19547">
      <formula>$J3623="En blanco"</formula>
    </cfRule>
    <cfRule type="expression" dxfId="1429" priority="19548">
      <formula>$J3623="Anulada"</formula>
    </cfRule>
  </conditionalFormatting>
  <conditionalFormatting sqref="AS287">
    <cfRule type="cellIs" dxfId="1428" priority="6628" operator="equal">
      <formula>"ENVIADO"</formula>
    </cfRule>
    <cfRule type="cellIs" dxfId="1427" priority="6629" operator="equal">
      <formula>"NO CORRESPONDE"</formula>
    </cfRule>
    <cfRule type="expression" dxfId="1426" priority="6630">
      <formula>$J3643="En blanco"</formula>
    </cfRule>
    <cfRule type="expression" dxfId="1425" priority="6631">
      <formula>$J3643="Anulada"</formula>
    </cfRule>
  </conditionalFormatting>
  <conditionalFormatting sqref="AS289">
    <cfRule type="cellIs" dxfId="1424" priority="6667" operator="equal">
      <formula>"ENVIADO"</formula>
    </cfRule>
    <cfRule type="cellIs" dxfId="1423" priority="6668" operator="equal">
      <formula>"NO CORRESPONDE"</formula>
    </cfRule>
    <cfRule type="expression" dxfId="1422" priority="6669">
      <formula>$J3645="En blanco"</formula>
    </cfRule>
    <cfRule type="expression" dxfId="1421" priority="6670">
      <formula>$J3645="Anulada"</formula>
    </cfRule>
  </conditionalFormatting>
  <conditionalFormatting sqref="AS296">
    <cfRule type="cellIs" dxfId="1420" priority="6788" operator="equal">
      <formula>"ENVIADO"</formula>
    </cfRule>
    <cfRule type="cellIs" dxfId="1419" priority="6789" operator="equal">
      <formula>"NO CORRESPONDE"</formula>
    </cfRule>
    <cfRule type="expression" dxfId="1418" priority="6790">
      <formula>$J3652="En blanco"</formula>
    </cfRule>
    <cfRule type="expression" dxfId="1417" priority="6791">
      <formula>$J3652="Anulada"</formula>
    </cfRule>
  </conditionalFormatting>
  <conditionalFormatting sqref="AS310">
    <cfRule type="cellIs" dxfId="1416" priority="6706" operator="equal">
      <formula>"ENVIADO"</formula>
    </cfRule>
    <cfRule type="cellIs" dxfId="1415" priority="6707" operator="equal">
      <formula>"NO CORRESPONDE"</formula>
    </cfRule>
    <cfRule type="expression" dxfId="1414" priority="6708">
      <formula>$J3666="En blanco"</formula>
    </cfRule>
    <cfRule type="expression" dxfId="1413" priority="6709">
      <formula>$J3666="Anulada"</formula>
    </cfRule>
  </conditionalFormatting>
  <conditionalFormatting sqref="AS328:AS333">
    <cfRule type="cellIs" dxfId="1412" priority="5944" operator="equal">
      <formula>"ENVIADO"</formula>
    </cfRule>
    <cfRule type="cellIs" dxfId="1411" priority="5945" operator="equal">
      <formula>"NO CORRESPONDE"</formula>
    </cfRule>
    <cfRule type="expression" dxfId="1410" priority="5946">
      <formula>$J3686="En blanco"</formula>
    </cfRule>
    <cfRule type="expression" dxfId="1409" priority="5947">
      <formula>$J3686="Anulada"</formula>
    </cfRule>
  </conditionalFormatting>
  <conditionalFormatting sqref="AS337 AS355:AS356 AS780">
    <cfRule type="cellIs" dxfId="1408" priority="5812" operator="equal">
      <formula>"ENVIADO"</formula>
    </cfRule>
    <cfRule type="cellIs" dxfId="1407" priority="5813" operator="equal">
      <formula>"NO CORRESPONDE"</formula>
    </cfRule>
  </conditionalFormatting>
  <conditionalFormatting sqref="AS355:AS356">
    <cfRule type="expression" dxfId="1406" priority="5814">
      <formula>$J3710="En blanco"</formula>
    </cfRule>
    <cfRule type="expression" dxfId="1405" priority="5815">
      <formula>$J3710="Anulada"</formula>
    </cfRule>
  </conditionalFormatting>
  <conditionalFormatting sqref="AS367">
    <cfRule type="cellIs" dxfId="1404" priority="5772" operator="equal">
      <formula>"ENVIADO"</formula>
    </cfRule>
    <cfRule type="cellIs" dxfId="1403" priority="5773" operator="equal">
      <formula>"NO CORRESPONDE"</formula>
    </cfRule>
    <cfRule type="expression" dxfId="1402" priority="5774">
      <formula>$J3721="En blanco"</formula>
    </cfRule>
    <cfRule type="expression" dxfId="1401" priority="5775">
      <formula>$J3721="Anulada"</formula>
    </cfRule>
  </conditionalFormatting>
  <conditionalFormatting sqref="AS379">
    <cfRule type="cellIs" dxfId="1400" priority="5730" operator="equal">
      <formula>"ENVIADO"</formula>
    </cfRule>
    <cfRule type="cellIs" dxfId="1399" priority="5731" operator="equal">
      <formula>"NO CORRESPONDE"</formula>
    </cfRule>
    <cfRule type="expression" dxfId="1398" priority="5732">
      <formula>$J3733="En blanco"</formula>
    </cfRule>
    <cfRule type="expression" dxfId="1397" priority="5733">
      <formula>$J3733="Anulada"</formula>
    </cfRule>
  </conditionalFormatting>
  <conditionalFormatting sqref="AS401">
    <cfRule type="cellIs" dxfId="1396" priority="5681" operator="equal">
      <formula>"ENVIADO"</formula>
    </cfRule>
    <cfRule type="cellIs" dxfId="1395" priority="5682" operator="equal">
      <formula>"NO CORRESPONDE"</formula>
    </cfRule>
    <cfRule type="expression" dxfId="1394" priority="5683">
      <formula>$J3755="En blanco"</formula>
    </cfRule>
    <cfRule type="expression" dxfId="1393" priority="5684">
      <formula>$J3755="Anulada"</formula>
    </cfRule>
  </conditionalFormatting>
  <conditionalFormatting sqref="AS408">
    <cfRule type="cellIs" dxfId="1392" priority="5626" operator="equal">
      <formula>"ENVIADO"</formula>
    </cfRule>
    <cfRule type="cellIs" dxfId="1391" priority="5627" operator="equal">
      <formula>"NO CORRESPONDE"</formula>
    </cfRule>
    <cfRule type="expression" dxfId="1390" priority="5628">
      <formula>$J3762="En blanco"</formula>
    </cfRule>
    <cfRule type="expression" dxfId="1389" priority="5629">
      <formula>$J3762="Anulada"</formula>
    </cfRule>
  </conditionalFormatting>
  <conditionalFormatting sqref="AS413">
    <cfRule type="cellIs" dxfId="1388" priority="5587" operator="equal">
      <formula>"ENVIADO"</formula>
    </cfRule>
    <cfRule type="cellIs" dxfId="1387" priority="5588" operator="equal">
      <formula>"NO CORRESPONDE"</formula>
    </cfRule>
    <cfRule type="expression" dxfId="1386" priority="5589">
      <formula>$J3767="En blanco"</formula>
    </cfRule>
    <cfRule type="expression" dxfId="1385" priority="5590">
      <formula>$J3767="Anulada"</formula>
    </cfRule>
  </conditionalFormatting>
  <conditionalFormatting sqref="AS416:AS417">
    <cfRule type="cellIs" dxfId="1384" priority="5503" operator="equal">
      <formula>"ENVIADO"</formula>
    </cfRule>
    <cfRule type="cellIs" dxfId="1383" priority="5504" operator="equal">
      <formula>"NO CORRESPONDE"</formula>
    </cfRule>
    <cfRule type="expression" dxfId="1382" priority="5505">
      <formula>$J3772="En blanco"</formula>
    </cfRule>
    <cfRule type="expression" dxfId="1381" priority="5506">
      <formula>$J3772="Anulada"</formula>
    </cfRule>
  </conditionalFormatting>
  <conditionalFormatting sqref="AS421">
    <cfRule type="cellIs" dxfId="1380" priority="2185" operator="equal">
      <formula>"ENVIADO"</formula>
    </cfRule>
    <cfRule type="cellIs" dxfId="1379" priority="2186" operator="equal">
      <formula>"NO CORRESPONDE"</formula>
    </cfRule>
    <cfRule type="expression" dxfId="1378" priority="2187">
      <formula>$J3775="En blanco"</formula>
    </cfRule>
    <cfRule type="expression" dxfId="1377" priority="2188">
      <formula>$J3775="Anulada"</formula>
    </cfRule>
  </conditionalFormatting>
  <conditionalFormatting sqref="AS446">
    <cfRule type="cellIs" dxfId="1376" priority="5459" operator="equal">
      <formula>"ENVIADO"</formula>
    </cfRule>
    <cfRule type="cellIs" dxfId="1375" priority="5460" operator="equal">
      <formula>"NO CORRESPONDE"</formula>
    </cfRule>
    <cfRule type="expression" dxfId="1374" priority="5461">
      <formula>$J3802="En blanco"</formula>
    </cfRule>
    <cfRule type="expression" dxfId="1373" priority="5462">
      <formula>$J3802="Anulada"</formula>
    </cfRule>
  </conditionalFormatting>
  <conditionalFormatting sqref="AS452">
    <cfRule type="cellIs" dxfId="1372" priority="5289" operator="equal">
      <formula>"ENVIADO"</formula>
    </cfRule>
    <cfRule type="cellIs" dxfId="1371" priority="5290" operator="equal">
      <formula>"NO CORRESPONDE"</formula>
    </cfRule>
    <cfRule type="expression" dxfId="1370" priority="5291">
      <formula>$J3808="En blanco"</formula>
    </cfRule>
    <cfRule type="expression" dxfId="1369" priority="5292">
      <formula>$J3808="Anulada"</formula>
    </cfRule>
  </conditionalFormatting>
  <conditionalFormatting sqref="AS468">
    <cfRule type="cellIs" dxfId="1368" priority="5419" operator="equal">
      <formula>"ENVIADO"</formula>
    </cfRule>
    <cfRule type="cellIs" dxfId="1367" priority="5420" operator="equal">
      <formula>"NO CORRESPONDE"</formula>
    </cfRule>
    <cfRule type="expression" dxfId="1366" priority="5421">
      <formula>$J3822="En blanco"</formula>
    </cfRule>
    <cfRule type="expression" dxfId="1365" priority="5422">
      <formula>$J3822="Anulada"</formula>
    </cfRule>
  </conditionalFormatting>
  <conditionalFormatting sqref="AS490">
    <cfRule type="cellIs" dxfId="1364" priority="5377" operator="equal">
      <formula>"ENVIADO"</formula>
    </cfRule>
    <cfRule type="cellIs" dxfId="1363" priority="5378" operator="equal">
      <formula>"NO CORRESPONDE"</formula>
    </cfRule>
    <cfRule type="expression" dxfId="1362" priority="5379">
      <formula>$J3844="En blanco"</formula>
    </cfRule>
    <cfRule type="expression" dxfId="1361" priority="5380">
      <formula>$J3844="Anulada"</formula>
    </cfRule>
  </conditionalFormatting>
  <conditionalFormatting sqref="AS509">
    <cfRule type="cellIs" dxfId="1360" priority="5322" operator="equal">
      <formula>"ENVIADO"</formula>
    </cfRule>
    <cfRule type="cellIs" dxfId="1359" priority="5323" operator="equal">
      <formula>"NO CORRESPONDE"</formula>
    </cfRule>
    <cfRule type="expression" dxfId="1358" priority="5324">
      <formula>$J3863="En blanco"</formula>
    </cfRule>
    <cfRule type="expression" dxfId="1357" priority="5325">
      <formula>$J3863="Anulada"</formula>
    </cfRule>
  </conditionalFormatting>
  <conditionalFormatting sqref="AS520">
    <cfRule type="cellIs" dxfId="1356" priority="5252" operator="equal">
      <formula>"ENVIADO"</formula>
    </cfRule>
    <cfRule type="cellIs" dxfId="1355" priority="5253" operator="equal">
      <formula>"NO CORRESPONDE"</formula>
    </cfRule>
    <cfRule type="expression" dxfId="1354" priority="5254">
      <formula>$J3874="En blanco"</formula>
    </cfRule>
    <cfRule type="expression" dxfId="1353" priority="5255">
      <formula>$J3874="Anulada"</formula>
    </cfRule>
  </conditionalFormatting>
  <conditionalFormatting sqref="AS525">
    <cfRule type="cellIs" dxfId="1352" priority="5218" operator="equal">
      <formula>"ENVIADO"</formula>
    </cfRule>
    <cfRule type="cellIs" dxfId="1351" priority="5219" operator="equal">
      <formula>"NO CORRESPONDE"</formula>
    </cfRule>
    <cfRule type="expression" dxfId="1350" priority="5220">
      <formula>$J3879="En blanco"</formula>
    </cfRule>
    <cfRule type="expression" dxfId="1349" priority="5221">
      <formula>$J3879="Anulada"</formula>
    </cfRule>
  </conditionalFormatting>
  <conditionalFormatting sqref="AS529">
    <cfRule type="cellIs" dxfId="1348" priority="5184" operator="equal">
      <formula>"ENVIADO"</formula>
    </cfRule>
    <cfRule type="cellIs" dxfId="1347" priority="5185" operator="equal">
      <formula>"NO CORRESPONDE"</formula>
    </cfRule>
    <cfRule type="expression" dxfId="1346" priority="5186">
      <formula>$J3883="En blanco"</formula>
    </cfRule>
    <cfRule type="expression" dxfId="1345" priority="5187">
      <formula>$J3883="Anulada"</formula>
    </cfRule>
  </conditionalFormatting>
  <conditionalFormatting sqref="AS534:AS536">
    <cfRule type="cellIs" dxfId="1344" priority="5150" operator="equal">
      <formula>"ENVIADO"</formula>
    </cfRule>
    <cfRule type="cellIs" dxfId="1343" priority="5151" operator="equal">
      <formula>"NO CORRESPONDE"</formula>
    </cfRule>
    <cfRule type="expression" dxfId="1342" priority="5152">
      <formula>$J3888="En blanco"</formula>
    </cfRule>
    <cfRule type="expression" dxfId="1341" priority="5153">
      <formula>$J3888="Anulada"</formula>
    </cfRule>
  </conditionalFormatting>
  <conditionalFormatting sqref="AS538">
    <cfRule type="cellIs" dxfId="1340" priority="5116" operator="equal">
      <formula>"ENVIADO"</formula>
    </cfRule>
    <cfRule type="cellIs" dxfId="1339" priority="5117" operator="equal">
      <formula>"NO CORRESPONDE"</formula>
    </cfRule>
    <cfRule type="expression" dxfId="1338" priority="5118">
      <formula>$J3892="En blanco"</formula>
    </cfRule>
    <cfRule type="expression" dxfId="1337" priority="5119">
      <formula>$J3892="Anulada"</formula>
    </cfRule>
  </conditionalFormatting>
  <conditionalFormatting sqref="AS552">
    <cfRule type="cellIs" dxfId="1336" priority="5082" operator="equal">
      <formula>"ENVIADO"</formula>
    </cfRule>
    <cfRule type="cellIs" dxfId="1335" priority="5083" operator="equal">
      <formula>"NO CORRESPONDE"</formula>
    </cfRule>
    <cfRule type="expression" dxfId="1334" priority="5084">
      <formula>$J3908="En blanco"</formula>
    </cfRule>
    <cfRule type="expression" dxfId="1333" priority="5085">
      <formula>$J3908="Anulada"</formula>
    </cfRule>
  </conditionalFormatting>
  <conditionalFormatting sqref="AS569">
    <cfRule type="cellIs" dxfId="1332" priority="5024" operator="equal">
      <formula>"ENVIADO"</formula>
    </cfRule>
    <cfRule type="cellIs" dxfId="1331" priority="5025" operator="equal">
      <formula>"NO CORRESPONDE"</formula>
    </cfRule>
    <cfRule type="expression" dxfId="1330" priority="5026">
      <formula>$J3924="En blanco"</formula>
    </cfRule>
    <cfRule type="expression" dxfId="1329" priority="5027">
      <formula>$J3924="Anulada"</formula>
    </cfRule>
  </conditionalFormatting>
  <conditionalFormatting sqref="AS573">
    <cfRule type="cellIs" dxfId="1328" priority="4970" operator="equal">
      <formula>"ENVIADO"</formula>
    </cfRule>
    <cfRule type="cellIs" dxfId="1327" priority="4971" operator="equal">
      <formula>"NO CORRESPONDE"</formula>
    </cfRule>
    <cfRule type="expression" dxfId="1326" priority="4972">
      <formula>$J3928="En blanco"</formula>
    </cfRule>
    <cfRule type="expression" dxfId="1325" priority="4973">
      <formula>$J3928="Anulada"</formula>
    </cfRule>
  </conditionalFormatting>
  <conditionalFormatting sqref="AS601">
    <cfRule type="cellIs" dxfId="1324" priority="4878" operator="equal">
      <formula>"ENVIADO"</formula>
    </cfRule>
    <cfRule type="cellIs" dxfId="1323" priority="4879" operator="equal">
      <formula>"NO CORRESPONDE"</formula>
    </cfRule>
    <cfRule type="expression" dxfId="1322" priority="4880">
      <formula>$J3956="En blanco"</formula>
    </cfRule>
    <cfRule type="expression" dxfId="1321" priority="4881">
      <formula>$J3956="Anulada"</formula>
    </cfRule>
  </conditionalFormatting>
  <conditionalFormatting sqref="AS627:AS628">
    <cfRule type="cellIs" dxfId="1320" priority="4837" operator="equal">
      <formula>"ENVIADO"</formula>
    </cfRule>
    <cfRule type="cellIs" dxfId="1319" priority="4838" operator="equal">
      <formula>"NO CORRESPONDE"</formula>
    </cfRule>
    <cfRule type="expression" dxfId="1318" priority="4839">
      <formula>$J3983="En blanco"</formula>
    </cfRule>
    <cfRule type="expression" dxfId="1317" priority="4840">
      <formula>$J3983="Anulada"</formula>
    </cfRule>
  </conditionalFormatting>
  <conditionalFormatting sqref="AS660:AS662">
    <cfRule type="cellIs" dxfId="1316" priority="4766" operator="equal">
      <formula>"ENVIADO"</formula>
    </cfRule>
    <cfRule type="cellIs" dxfId="1315" priority="4767" operator="equal">
      <formula>"NO CORRESPONDE"</formula>
    </cfRule>
    <cfRule type="expression" dxfId="1314" priority="4768">
      <formula>$J4015="En blanco"</formula>
    </cfRule>
    <cfRule type="expression" dxfId="1313" priority="4769">
      <formula>$J4015="Anulada"</formula>
    </cfRule>
  </conditionalFormatting>
  <conditionalFormatting sqref="AS664">
    <cfRule type="cellIs" dxfId="1312" priority="4710" operator="equal">
      <formula>"ENVIADO"</formula>
    </cfRule>
    <cfRule type="cellIs" dxfId="1311" priority="4711" operator="equal">
      <formula>"NO CORRESPONDE"</formula>
    </cfRule>
    <cfRule type="expression" dxfId="1310" priority="4712">
      <formula>$J4019="En blanco"</formula>
    </cfRule>
    <cfRule type="expression" dxfId="1309" priority="4713">
      <formula>$J4019="Anulada"</formula>
    </cfRule>
  </conditionalFormatting>
  <conditionalFormatting sqref="AS693">
    <cfRule type="cellIs" dxfId="1308" priority="4420" operator="equal">
      <formula>"ENVIADO"</formula>
    </cfRule>
    <cfRule type="cellIs" dxfId="1307" priority="4421" operator="equal">
      <formula>"NO CORRESPONDE"</formula>
    </cfRule>
    <cfRule type="expression" dxfId="1306" priority="4422">
      <formula>$J4048="En blanco"</formula>
    </cfRule>
    <cfRule type="expression" dxfId="1305" priority="4423">
      <formula>$J4048="Anulada"</formula>
    </cfRule>
  </conditionalFormatting>
  <conditionalFormatting sqref="AS731">
    <cfRule type="cellIs" dxfId="1304" priority="4381" operator="equal">
      <formula>"ENVIADO"</formula>
    </cfRule>
    <cfRule type="cellIs" dxfId="1303" priority="4382" operator="equal">
      <formula>"NO CORRESPONDE"</formula>
    </cfRule>
    <cfRule type="expression" dxfId="1302" priority="4383">
      <formula>$J4086="En blanco"</formula>
    </cfRule>
    <cfRule type="expression" dxfId="1301" priority="4384">
      <formula>$J4086="Anulada"</formula>
    </cfRule>
  </conditionalFormatting>
  <conditionalFormatting sqref="AS740">
    <cfRule type="cellIs" dxfId="1300" priority="4342" operator="equal">
      <formula>"ENVIADO"</formula>
    </cfRule>
    <cfRule type="cellIs" dxfId="1299" priority="4343" operator="equal">
      <formula>"NO CORRESPONDE"</formula>
    </cfRule>
    <cfRule type="expression" dxfId="1298" priority="4344">
      <formula>$J4096="En blanco"</formula>
    </cfRule>
    <cfRule type="expression" dxfId="1297" priority="4345">
      <formula>$J4096="Anulada"</formula>
    </cfRule>
  </conditionalFormatting>
  <conditionalFormatting sqref="AS761">
    <cfRule type="cellIs" dxfId="1296" priority="4445" operator="equal">
      <formula>"ENVIADO"</formula>
    </cfRule>
    <cfRule type="cellIs" dxfId="1295" priority="4446" operator="equal">
      <formula>"NO CORRESPONDE"</formula>
    </cfRule>
    <cfRule type="expression" dxfId="1294" priority="4447">
      <formula>$J4116="En blanco"</formula>
    </cfRule>
    <cfRule type="expression" dxfId="1293" priority="4448">
      <formula>$J4116="Anulada"</formula>
    </cfRule>
  </conditionalFormatting>
  <conditionalFormatting sqref="AS783">
    <cfRule type="expression" dxfId="1292" priority="3848">
      <formula>$J4136="En blanco"</formula>
    </cfRule>
    <cfRule type="expression" dxfId="1291" priority="3849">
      <formula>$J4136="Anulada"</formula>
    </cfRule>
  </conditionalFormatting>
  <conditionalFormatting sqref="AS812">
    <cfRule type="cellIs" dxfId="1290" priority="4159" operator="equal">
      <formula>"ENVIADO"</formula>
    </cfRule>
    <cfRule type="cellIs" dxfId="1289" priority="4160" operator="equal">
      <formula>"NO CORRESPONDE"</formula>
    </cfRule>
    <cfRule type="expression" dxfId="1288" priority="4161">
      <formula>$J4167="En blanco"</formula>
    </cfRule>
    <cfRule type="expression" dxfId="1287" priority="4162">
      <formula>$J4167="Anulada"</formula>
    </cfRule>
  </conditionalFormatting>
  <conditionalFormatting sqref="AS818">
    <cfRule type="cellIs" dxfId="1286" priority="4086" operator="equal">
      <formula>"ENVIADO"</formula>
    </cfRule>
    <cfRule type="cellIs" dxfId="1285" priority="4087" operator="equal">
      <formula>"NO CORRESPONDE"</formula>
    </cfRule>
    <cfRule type="expression" dxfId="1284" priority="4088">
      <formula>$J4173="En blanco"</formula>
    </cfRule>
    <cfRule type="expression" dxfId="1283" priority="4089">
      <formula>$J4173="Anulada"</formula>
    </cfRule>
  </conditionalFormatting>
  <conditionalFormatting sqref="AS821">
    <cfRule type="cellIs" dxfId="1282" priority="4047" operator="equal">
      <formula>"ENVIADO"</formula>
    </cfRule>
    <cfRule type="cellIs" dxfId="1281" priority="4048" operator="equal">
      <formula>"NO CORRESPONDE"</formula>
    </cfRule>
    <cfRule type="expression" dxfId="1280" priority="4049">
      <formula>$J4176="En blanco"</formula>
    </cfRule>
    <cfRule type="expression" dxfId="1279" priority="4050">
      <formula>$J4176="Anulada"</formula>
    </cfRule>
  </conditionalFormatting>
  <conditionalFormatting sqref="AS823:AS824">
    <cfRule type="cellIs" dxfId="1278" priority="3928" operator="equal">
      <formula>"ENVIADO"</formula>
    </cfRule>
    <cfRule type="cellIs" dxfId="1277" priority="3929" operator="equal">
      <formula>"NO CORRESPONDE"</formula>
    </cfRule>
    <cfRule type="expression" dxfId="1276" priority="3930">
      <formula>$J4178="En blanco"</formula>
    </cfRule>
    <cfRule type="expression" dxfId="1275" priority="3931">
      <formula>$J4178="Anulada"</formula>
    </cfRule>
  </conditionalFormatting>
  <conditionalFormatting sqref="AS835:AS837">
    <cfRule type="cellIs" dxfId="1274" priority="3885" operator="equal">
      <formula>"ENVIADO"</formula>
    </cfRule>
    <cfRule type="cellIs" dxfId="1273" priority="3886" operator="equal">
      <formula>"NO CORRESPONDE"</formula>
    </cfRule>
    <cfRule type="expression" dxfId="1272" priority="3887">
      <formula>$J4190="En blanco"</formula>
    </cfRule>
    <cfRule type="expression" dxfId="1271" priority="3888">
      <formula>$J4190="Anulada"</formula>
    </cfRule>
  </conditionalFormatting>
  <conditionalFormatting sqref="AS843:AS844 AS783">
    <cfRule type="cellIs" dxfId="1270" priority="3846" operator="equal">
      <formula>"ENVIADO"</formula>
    </cfRule>
    <cfRule type="cellIs" dxfId="1269" priority="3847" operator="equal">
      <formula>"NO CORRESPONDE"</formula>
    </cfRule>
  </conditionalFormatting>
  <conditionalFormatting sqref="AS861">
    <cfRule type="cellIs" dxfId="1268" priority="3967" operator="equal">
      <formula>"ENVIADO"</formula>
    </cfRule>
    <cfRule type="cellIs" dxfId="1267" priority="3968" operator="equal">
      <formula>"NO CORRESPONDE"</formula>
    </cfRule>
    <cfRule type="expression" dxfId="1266" priority="3969">
      <formula>$J4216="En blanco"</formula>
    </cfRule>
    <cfRule type="expression" dxfId="1265" priority="3970">
      <formula>$J4216="Anulada"</formula>
    </cfRule>
  </conditionalFormatting>
  <conditionalFormatting sqref="AS879">
    <cfRule type="cellIs" dxfId="1264" priority="3766" operator="equal">
      <formula>"ENVIADO"</formula>
    </cfRule>
    <cfRule type="cellIs" dxfId="1263" priority="3767" operator="equal">
      <formula>"NO CORRESPONDE"</formula>
    </cfRule>
    <cfRule type="expression" dxfId="1262" priority="3768">
      <formula>$J4233="En blanco"</formula>
    </cfRule>
    <cfRule type="expression" dxfId="1261" priority="3769">
      <formula>$J4233="Anulada"</formula>
    </cfRule>
  </conditionalFormatting>
  <conditionalFormatting sqref="AS911">
    <cfRule type="cellIs" dxfId="1260" priority="3665" operator="equal">
      <formula>"ENVIADO"</formula>
    </cfRule>
    <cfRule type="cellIs" dxfId="1259" priority="3666" operator="equal">
      <formula>"NO CORRESPONDE"</formula>
    </cfRule>
    <cfRule type="expression" dxfId="1258" priority="3667">
      <formula>$J4264="En blanco"</formula>
    </cfRule>
    <cfRule type="expression" dxfId="1257" priority="3668">
      <formula>$J4264="Anulada"</formula>
    </cfRule>
  </conditionalFormatting>
  <conditionalFormatting sqref="AS913">
    <cfRule type="cellIs" dxfId="1256" priority="3717" operator="equal">
      <formula>"ENVIADO"</formula>
    </cfRule>
    <cfRule type="cellIs" dxfId="1255" priority="3718" operator="equal">
      <formula>"NO CORRESPONDE"</formula>
    </cfRule>
    <cfRule type="expression" dxfId="1254" priority="3719">
      <formula>$J4266="En blanco"</formula>
    </cfRule>
    <cfRule type="expression" dxfId="1253" priority="3720">
      <formula>$J4266="Anulada"</formula>
    </cfRule>
  </conditionalFormatting>
  <conditionalFormatting sqref="AS932">
    <cfRule type="cellIs" dxfId="1252" priority="2962" operator="equal">
      <formula>"ENVIADO"</formula>
    </cfRule>
    <cfRule type="cellIs" dxfId="1251" priority="2963" operator="equal">
      <formula>"NO CORRESPONDE"</formula>
    </cfRule>
    <cfRule type="expression" dxfId="1250" priority="2964">
      <formula>$J4290="En blanco"</formula>
    </cfRule>
    <cfRule type="expression" dxfId="1249" priority="2965">
      <formula>$J4290="Anulada"</formula>
    </cfRule>
  </conditionalFormatting>
  <conditionalFormatting sqref="AS959">
    <cfRule type="cellIs" dxfId="1248" priority="2678" operator="equal">
      <formula>"ENVIADO"</formula>
    </cfRule>
    <cfRule type="cellIs" dxfId="1247" priority="2679" operator="equal">
      <formula>"NO CORRESPONDE"</formula>
    </cfRule>
    <cfRule type="expression" dxfId="1246" priority="2680">
      <formula>$J4317="En blanco"</formula>
    </cfRule>
    <cfRule type="expression" dxfId="1245" priority="2681">
      <formula>$J4317="Anulada"</formula>
    </cfRule>
  </conditionalFormatting>
  <conditionalFormatting sqref="AS964">
    <cfRule type="cellIs" dxfId="1244" priority="2411" operator="equal">
      <formula>"ENVIADO"</formula>
    </cfRule>
    <cfRule type="cellIs" dxfId="1243" priority="2412" operator="equal">
      <formula>"NO CORRESPONDE"</formula>
    </cfRule>
    <cfRule type="expression" dxfId="1242" priority="2413">
      <formula>$J4322="En blanco"</formula>
    </cfRule>
    <cfRule type="expression" dxfId="1241" priority="2414">
      <formula>$J4322="Anulada"</formula>
    </cfRule>
  </conditionalFormatting>
  <conditionalFormatting sqref="AS970">
    <cfRule type="expression" dxfId="1240" priority="2738">
      <formula>$J4327="En blanco"</formula>
    </cfRule>
    <cfRule type="expression" dxfId="1239" priority="2739">
      <formula>$J4327="Anulada"</formula>
    </cfRule>
  </conditionalFormatting>
  <conditionalFormatting sqref="AS978:AS985 AS970">
    <cfRule type="cellIs" dxfId="1238" priority="2736" operator="equal">
      <formula>"ENVIADO"</formula>
    </cfRule>
    <cfRule type="cellIs" dxfId="1237" priority="2737" operator="equal">
      <formula>"NO CORRESPONDE"</formula>
    </cfRule>
  </conditionalFormatting>
  <conditionalFormatting sqref="AS985">
    <cfRule type="expression" dxfId="1236" priority="5910">
      <formula>$J4336="En blanco"</formula>
    </cfRule>
    <cfRule type="expression" dxfId="1235" priority="5911">
      <formula>$J4336="Anulada"</formula>
    </cfRule>
  </conditionalFormatting>
  <conditionalFormatting sqref="AS991">
    <cfRule type="cellIs" dxfId="1234" priority="2465" operator="equal">
      <formula>"ENVIADO"</formula>
    </cfRule>
    <cfRule type="cellIs" dxfId="1233" priority="2466" operator="equal">
      <formula>"NO CORRESPONDE"</formula>
    </cfRule>
  </conditionalFormatting>
  <conditionalFormatting sqref="AS1017">
    <cfRule type="cellIs" dxfId="1232" priority="1946" operator="equal">
      <formula>"ENVIADO"</formula>
    </cfRule>
    <cfRule type="cellIs" dxfId="1231" priority="1947" operator="equal">
      <formula>"NO CORRESPONDE"</formula>
    </cfRule>
    <cfRule type="expression" dxfId="1230" priority="1948">
      <formula>$J4376="En blanco"</formula>
    </cfRule>
    <cfRule type="expression" dxfId="1229" priority="1949">
      <formula>$J4376="Anulada"</formula>
    </cfRule>
  </conditionalFormatting>
  <conditionalFormatting sqref="AS1019">
    <cfRule type="cellIs" dxfId="1228" priority="2119" operator="equal">
      <formula>"ENVIADO"</formula>
    </cfRule>
    <cfRule type="cellIs" dxfId="1227" priority="2120" operator="equal">
      <formula>"NO CORRESPONDE"</formula>
    </cfRule>
    <cfRule type="expression" dxfId="1226" priority="2121">
      <formula>$J4378="En blanco"</formula>
    </cfRule>
    <cfRule type="expression" dxfId="1225" priority="2122">
      <formula>$J4378="Anulada"</formula>
    </cfRule>
  </conditionalFormatting>
  <conditionalFormatting sqref="AS1024">
    <cfRule type="cellIs" dxfId="1224" priority="2034" operator="equal">
      <formula>"ENVIADO"</formula>
    </cfRule>
    <cfRule type="cellIs" dxfId="1223" priority="2035" operator="equal">
      <formula>"NO CORRESPONDE"</formula>
    </cfRule>
    <cfRule type="expression" dxfId="1222" priority="2036">
      <formula>$J4385="En blanco"</formula>
    </cfRule>
    <cfRule type="expression" dxfId="1221" priority="2037">
      <formula>$J4385="Anulada"</formula>
    </cfRule>
  </conditionalFormatting>
  <conditionalFormatting sqref="AS1036">
    <cfRule type="cellIs" dxfId="1220" priority="1989" operator="equal">
      <formula>"ENVIADO"</formula>
    </cfRule>
    <cfRule type="cellIs" dxfId="1219" priority="1990" operator="equal">
      <formula>"NO CORRESPONDE"</formula>
    </cfRule>
    <cfRule type="expression" dxfId="1218" priority="1991">
      <formula>$J4395="En blanco"</formula>
    </cfRule>
    <cfRule type="expression" dxfId="1217" priority="1992">
      <formula>$J4395="Anulada"</formula>
    </cfRule>
  </conditionalFormatting>
  <conditionalFormatting sqref="AS1079">
    <cfRule type="cellIs" dxfId="1216" priority="1546" operator="equal">
      <formula>"ENVIADO"</formula>
    </cfRule>
    <cfRule type="cellIs" dxfId="1215" priority="1547" operator="equal">
      <formula>"NO CORRESPONDE"</formula>
    </cfRule>
    <cfRule type="expression" dxfId="1214" priority="1548">
      <formula>$J4438="En blanco"</formula>
    </cfRule>
    <cfRule type="expression" dxfId="1213" priority="1549">
      <formula>$J4438="Anulada"</formula>
    </cfRule>
  </conditionalFormatting>
  <conditionalFormatting sqref="AS1098">
    <cfRule type="cellIs" dxfId="1212" priority="1352" operator="equal">
      <formula>"ENVIADO"</formula>
    </cfRule>
    <cfRule type="cellIs" dxfId="1211" priority="1353" operator="equal">
      <formula>"NO CORRESPONDE"</formula>
    </cfRule>
    <cfRule type="expression" dxfId="1210" priority="1354">
      <formula>$J4457="En blanco"</formula>
    </cfRule>
    <cfRule type="expression" dxfId="1209" priority="1355">
      <formula>$J4457="Anulada"</formula>
    </cfRule>
  </conditionalFormatting>
  <conditionalFormatting sqref="AS1191">
    <cfRule type="cellIs" dxfId="1208" priority="1073" operator="equal">
      <formula>"ENVIADO"</formula>
    </cfRule>
    <cfRule type="cellIs" dxfId="1207" priority="1074" operator="equal">
      <formula>"NO CORRESPONDE"</formula>
    </cfRule>
    <cfRule type="expression" dxfId="1206" priority="1075">
      <formula>$J4550="En blanco"</formula>
    </cfRule>
    <cfRule type="expression" dxfId="1205" priority="1076">
      <formula>$J4550="Anulada"</formula>
    </cfRule>
  </conditionalFormatting>
  <conditionalFormatting sqref="AS1205">
    <cfRule type="cellIs" dxfId="1204" priority="1016" operator="equal">
      <formula>"ENVIADO"</formula>
    </cfRule>
    <cfRule type="cellIs" dxfId="1203" priority="1017" operator="equal">
      <formula>"NO CORRESPONDE"</formula>
    </cfRule>
    <cfRule type="expression" dxfId="1202" priority="1018">
      <formula>$J4564="En blanco"</formula>
    </cfRule>
    <cfRule type="expression" dxfId="1201" priority="1019">
      <formula>$J4564="Anulada"</formula>
    </cfRule>
  </conditionalFormatting>
  <conditionalFormatting sqref="AS1240">
    <cfRule type="cellIs" dxfId="1200" priority="871" operator="equal">
      <formula>"ENVIADO"</formula>
    </cfRule>
    <cfRule type="cellIs" dxfId="1199" priority="872" operator="equal">
      <formula>"NO CORRESPONDE"</formula>
    </cfRule>
    <cfRule type="expression" dxfId="1198" priority="873">
      <formula>$J4599="En blanco"</formula>
    </cfRule>
    <cfRule type="expression" dxfId="1197" priority="874">
      <formula>$J4599="Anulada"</formula>
    </cfRule>
  </conditionalFormatting>
  <conditionalFormatting sqref="AS1256">
    <cfRule type="cellIs" dxfId="1196" priority="799" operator="equal">
      <formula>"ENVIADO"</formula>
    </cfRule>
    <cfRule type="cellIs" dxfId="1195" priority="800" operator="equal">
      <formula>"NO CORRESPONDE"</formula>
    </cfRule>
    <cfRule type="expression" dxfId="1194" priority="801">
      <formula>$J4615="En blanco"</formula>
    </cfRule>
    <cfRule type="expression" dxfId="1193" priority="802">
      <formula>$J4615="Anulada"</formula>
    </cfRule>
  </conditionalFormatting>
  <conditionalFormatting sqref="AS1294">
    <cfRule type="cellIs" dxfId="1192" priority="710" operator="equal">
      <formula>"ENVIADO"</formula>
    </cfRule>
    <cfRule type="cellIs" dxfId="1191" priority="711" operator="equal">
      <formula>"NO CORRESPONDE"</formula>
    </cfRule>
    <cfRule type="expression" dxfId="1190" priority="712">
      <formula>$J4653="En blanco"</formula>
    </cfRule>
    <cfRule type="expression" dxfId="1189" priority="713">
      <formula>$J4653="Anulada"</formula>
    </cfRule>
  </conditionalFormatting>
  <conditionalFormatting sqref="AS1297">
    <cfRule type="cellIs" dxfId="1188" priority="661" operator="equal">
      <formula>"ENVIADO"</formula>
    </cfRule>
    <cfRule type="cellIs" dxfId="1187" priority="662" operator="equal">
      <formula>"NO CORRESPONDE"</formula>
    </cfRule>
    <cfRule type="expression" dxfId="1186" priority="663">
      <formula>$J4656="En blanco"</formula>
    </cfRule>
    <cfRule type="expression" dxfId="1185" priority="664">
      <formula>$J4656="Anulada"</formula>
    </cfRule>
  </conditionalFormatting>
  <conditionalFormatting sqref="AS1352">
    <cfRule type="cellIs" dxfId="1184" priority="577" operator="equal">
      <formula>"ENVIADO"</formula>
    </cfRule>
    <cfRule type="cellIs" dxfId="1183" priority="578" operator="equal">
      <formula>"NO CORRESPONDE"</formula>
    </cfRule>
    <cfRule type="expression" dxfId="1182" priority="579">
      <formula>$J4711="En blanco"</formula>
    </cfRule>
    <cfRule type="expression" dxfId="1181" priority="580">
      <formula>$J4711="Anulada"</formula>
    </cfRule>
  </conditionalFormatting>
  <conditionalFormatting sqref="AS1366">
    <cfRule type="cellIs" dxfId="1180" priority="503" operator="equal">
      <formula>"ENVIADO"</formula>
    </cfRule>
    <cfRule type="cellIs" dxfId="1179" priority="504" operator="equal">
      <formula>"NO CORRESPONDE"</formula>
    </cfRule>
    <cfRule type="expression" dxfId="1178" priority="505">
      <formula>$J4725="En blanco"</formula>
    </cfRule>
    <cfRule type="expression" dxfId="1177" priority="506">
      <formula>$J4725="Anulada"</formula>
    </cfRule>
  </conditionalFormatting>
  <conditionalFormatting sqref="AS1371">
    <cfRule type="cellIs" dxfId="1176" priority="397" operator="equal">
      <formula>"ENVIADO"</formula>
    </cfRule>
    <cfRule type="cellIs" dxfId="1175" priority="398" operator="equal">
      <formula>"NO CORRESPONDE"</formula>
    </cfRule>
    <cfRule type="expression" dxfId="1174" priority="399">
      <formula>$J4730="En blanco"</formula>
    </cfRule>
    <cfRule type="expression" dxfId="1173" priority="400">
      <formula>$J4730="Anulada"</formula>
    </cfRule>
  </conditionalFormatting>
  <conditionalFormatting sqref="AS1373">
    <cfRule type="cellIs" dxfId="1172" priority="450" operator="equal">
      <formula>"ENVIADO"</formula>
    </cfRule>
    <cfRule type="cellIs" dxfId="1171" priority="451" operator="equal">
      <formula>"NO CORRESPONDE"</formula>
    </cfRule>
    <cfRule type="expression" dxfId="1170" priority="452">
      <formula>$J4732="En blanco"</formula>
    </cfRule>
    <cfRule type="expression" dxfId="1169" priority="453">
      <formula>$J4732="Anulada"</formula>
    </cfRule>
  </conditionalFormatting>
  <conditionalFormatting sqref="AS1394">
    <cfRule type="cellIs" dxfId="1168" priority="320" operator="equal">
      <formula>"ENVIADO"</formula>
    </cfRule>
    <cfRule type="cellIs" dxfId="1167" priority="321" operator="equal">
      <formula>"NO CORRESPONDE"</formula>
    </cfRule>
    <cfRule type="expression" dxfId="1166" priority="322">
      <formula>$J4753="En blanco"</formula>
    </cfRule>
    <cfRule type="expression" dxfId="1165" priority="323">
      <formula>$J4753="Anulada"</formula>
    </cfRule>
  </conditionalFormatting>
  <conditionalFormatting sqref="AS1436:AS1437">
    <cfRule type="cellIs" dxfId="1164" priority="258" operator="equal">
      <formula>"ENVIADO"</formula>
    </cfRule>
    <cfRule type="cellIs" dxfId="1163" priority="259" operator="equal">
      <formula>"NO CORRESPONDE"</formula>
    </cfRule>
    <cfRule type="expression" dxfId="1162" priority="260">
      <formula>$J4794="En blanco"</formula>
    </cfRule>
    <cfRule type="expression" dxfId="1161" priority="261">
      <formula>$J4794="Anulada"</formula>
    </cfRule>
  </conditionalFormatting>
  <conditionalFormatting sqref="AS1443">
    <cfRule type="cellIs" dxfId="1160" priority="196" operator="equal">
      <formula>"ENVIADO"</formula>
    </cfRule>
    <cfRule type="cellIs" dxfId="1159" priority="197" operator="equal">
      <formula>"NO CORRESPONDE"</formula>
    </cfRule>
    <cfRule type="expression" dxfId="1158" priority="198">
      <formula>$J4801="En blanco"</formula>
    </cfRule>
    <cfRule type="expression" dxfId="1157" priority="199">
      <formula>$J4801="Anulada"</formula>
    </cfRule>
  </conditionalFormatting>
  <conditionalFormatting sqref="AS1447">
    <cfRule type="cellIs" dxfId="1156" priority="6" operator="equal">
      <formula>"ENVIADO"</formula>
    </cfRule>
    <cfRule type="cellIs" dxfId="1155" priority="7" operator="equal">
      <formula>"NO CORRESPONDE"</formula>
    </cfRule>
    <cfRule type="expression" dxfId="1154" priority="8">
      <formula>$J4805="En blanco"</formula>
    </cfRule>
    <cfRule type="expression" dxfId="1153" priority="9">
      <formula>$J4805="Anulada"</formula>
    </cfRule>
  </conditionalFormatting>
  <conditionalFormatting sqref="AV1:AX1">
    <cfRule type="cellIs" dxfId="1152" priority="3651" operator="equal">
      <formula>"ENVIADO"</formula>
    </cfRule>
  </conditionalFormatting>
  <conditionalFormatting sqref="BC765 BC1056:BF1056 BC1015:BF1016 BF1057 BF1073 BC1018:BF1018 BC1080:BF1082 BC1075:BF1078 BC994:BF996 BC1000:BF1002 BC1038:BF1043 BC998:BF998 BC997:BE997 BC1004:BF1013 BC1003:BE1003 BC1023:BF1023 BC1022:BE1022 BC1037:BE1037 BC1045:BF1054 BC1044:BE1044 BC1062:BE1062 BC1074:BE1074 BC1089:BF1089 BC1088:BE1088 BC1096:BF1097 BC1095:BE1095 BD1326:BF1326 BC1295:BF1296 BC1305:BF1325 BC1327:BF1333 BC1335:BF1351 BD1304:BF1304 BD1334:BF1334 BC1438:BF1442 BC1444:BF1446 BC1353:BF1370 BC1372:BF1372 BC1374:BF1393 BC1395:BF1435 BC1020:BF1021 BC1058:BF1061 BC1084:BF1087 BF1014:BF1015 BC1025:BF1035 BC1091:BF1094 BC1099:BF1112 BC1298:BF1303 BC1063:BF1072 BC1206:BF1239 BC1241:BF1255 BC1257:BF1293 BC1192:BF1204 BC1115:BF1190 BC1448:BF1454">
    <cfRule type="cellIs" dxfId="1151" priority="3473" operator="equal">
      <formula>"Pendiente"</formula>
    </cfRule>
    <cfRule type="cellIs" dxfId="1150" priority="3474" operator="equal">
      <formula>"Pendiente"</formula>
    </cfRule>
    <cfRule type="cellIs" dxfId="1149" priority="3475" operator="equal">
      <formula>"PENDIENTE "</formula>
    </cfRule>
    <cfRule type="cellIs" dxfId="1148" priority="3476" operator="equal">
      <formula>"PENDIENTE"</formula>
    </cfRule>
  </conditionalFormatting>
  <conditionalFormatting sqref="BC777">
    <cfRule type="cellIs" dxfId="1147" priority="3469" operator="equal">
      <formula>"Pendiente"</formula>
    </cfRule>
    <cfRule type="cellIs" dxfId="1146" priority="3470" operator="equal">
      <formula>"Pendiente"</formula>
    </cfRule>
    <cfRule type="cellIs" dxfId="1145" priority="3471" operator="equal">
      <formula>"PENDIENTE "</formula>
    </cfRule>
    <cfRule type="cellIs" dxfId="1144" priority="3472" operator="equal">
      <formula>"PENDIENTE"</formula>
    </cfRule>
  </conditionalFormatting>
  <conditionalFormatting sqref="BC785">
    <cfRule type="cellIs" dxfId="1143" priority="3465" operator="equal">
      <formula>"Pendiente"</formula>
    </cfRule>
    <cfRule type="cellIs" dxfId="1142" priority="3466" operator="equal">
      <formula>"Pendiente"</formula>
    </cfRule>
    <cfRule type="cellIs" dxfId="1141" priority="3467" operator="equal">
      <formula>"PENDIENTE "</formula>
    </cfRule>
    <cfRule type="cellIs" dxfId="1140" priority="3468" operator="equal">
      <formula>"PENDIENTE"</formula>
    </cfRule>
  </conditionalFormatting>
  <conditionalFormatting sqref="BC793:BC794">
    <cfRule type="cellIs" dxfId="1139" priority="3457" operator="equal">
      <formula>"Pendiente"</formula>
    </cfRule>
    <cfRule type="cellIs" dxfId="1138" priority="3458" operator="equal">
      <formula>"Pendiente"</formula>
    </cfRule>
    <cfRule type="cellIs" dxfId="1137" priority="3459" operator="equal">
      <formula>"PENDIENTE "</formula>
    </cfRule>
    <cfRule type="cellIs" dxfId="1136" priority="3460" operator="equal">
      <formula>"PENDIENTE"</formula>
    </cfRule>
  </conditionalFormatting>
  <conditionalFormatting sqref="BC800">
    <cfRule type="cellIs" dxfId="1135" priority="3453" operator="equal">
      <formula>"Pendiente"</formula>
    </cfRule>
    <cfRule type="cellIs" dxfId="1134" priority="3454" operator="equal">
      <formula>"Pendiente"</formula>
    </cfRule>
    <cfRule type="cellIs" dxfId="1133" priority="3455" operator="equal">
      <formula>"PENDIENTE "</formula>
    </cfRule>
    <cfRule type="cellIs" dxfId="1132" priority="3456" operator="equal">
      <formula>"PENDIENTE"</formula>
    </cfRule>
  </conditionalFormatting>
  <conditionalFormatting sqref="BC813">
    <cfRule type="cellIs" dxfId="1131" priority="3449" operator="equal">
      <formula>"Pendiente"</formula>
    </cfRule>
    <cfRule type="cellIs" dxfId="1130" priority="3450" operator="equal">
      <formula>"Pendiente"</formula>
    </cfRule>
    <cfRule type="cellIs" dxfId="1129" priority="3451" operator="equal">
      <formula>"PENDIENTE "</formula>
    </cfRule>
    <cfRule type="cellIs" dxfId="1128" priority="3452" operator="equal">
      <formula>"PENDIENTE"</formula>
    </cfRule>
  </conditionalFormatting>
  <conditionalFormatting sqref="BC822">
    <cfRule type="cellIs" dxfId="1127" priority="2361" operator="equal">
      <formula>"Pendiente"</formula>
    </cfRule>
    <cfRule type="cellIs" dxfId="1126" priority="2362" operator="equal">
      <formula>"Pendiente"</formula>
    </cfRule>
    <cfRule type="cellIs" dxfId="1125" priority="2363" operator="equal">
      <formula>"PENDIENTE "</formula>
    </cfRule>
    <cfRule type="cellIs" dxfId="1124" priority="2364" operator="equal">
      <formula>"PENDIENTE"</formula>
    </cfRule>
  </conditionalFormatting>
  <conditionalFormatting sqref="BC828">
    <cfRule type="cellIs" dxfId="1123" priority="3445" operator="equal">
      <formula>"Pendiente"</formula>
    </cfRule>
    <cfRule type="cellIs" dxfId="1122" priority="3446" operator="equal">
      <formula>"Pendiente"</formula>
    </cfRule>
    <cfRule type="cellIs" dxfId="1121" priority="3447" operator="equal">
      <formula>"PENDIENTE "</formula>
    </cfRule>
    <cfRule type="cellIs" dxfId="1120" priority="3448" operator="equal">
      <formula>"PENDIENTE"</formula>
    </cfRule>
  </conditionalFormatting>
  <conditionalFormatting sqref="BC842">
    <cfRule type="cellIs" dxfId="1119" priority="3441" operator="equal">
      <formula>"Pendiente"</formula>
    </cfRule>
    <cfRule type="cellIs" dxfId="1118" priority="3442" operator="equal">
      <formula>"Pendiente"</formula>
    </cfRule>
    <cfRule type="cellIs" dxfId="1117" priority="3443" operator="equal">
      <formula>"PENDIENTE "</formula>
    </cfRule>
    <cfRule type="cellIs" dxfId="1116" priority="3444" operator="equal">
      <formula>"PENDIENTE"</formula>
    </cfRule>
  </conditionalFormatting>
  <conditionalFormatting sqref="BC873">
    <cfRule type="cellIs" dxfId="1115" priority="2357" operator="equal">
      <formula>"Pendiente"</formula>
    </cfRule>
    <cfRule type="cellIs" dxfId="1114" priority="2358" operator="equal">
      <formula>"Pendiente"</formula>
    </cfRule>
    <cfRule type="cellIs" dxfId="1113" priority="2359" operator="equal">
      <formula>"PENDIENTE "</formula>
    </cfRule>
    <cfRule type="cellIs" dxfId="1112" priority="2360" operator="equal">
      <formula>"PENDIENTE"</formula>
    </cfRule>
  </conditionalFormatting>
  <conditionalFormatting sqref="BC875 BE875">
    <cfRule type="cellIs" dxfId="1111" priority="1235" operator="equal">
      <formula>"Pendiente"</formula>
    </cfRule>
    <cfRule type="cellIs" dxfId="1110" priority="1236" operator="equal">
      <formula>"Pendiente"</formula>
    </cfRule>
    <cfRule type="cellIs" dxfId="1109" priority="1237" operator="equal">
      <formula>"PENDIENTE "</formula>
    </cfRule>
    <cfRule type="cellIs" dxfId="1108" priority="1238" operator="equal">
      <formula>"PENDIENTE"</formula>
    </cfRule>
  </conditionalFormatting>
  <conditionalFormatting sqref="BC885 BF885">
    <cfRule type="cellIs" dxfId="1107" priority="3069" operator="equal">
      <formula>"Pendiente"</formula>
    </cfRule>
    <cfRule type="cellIs" dxfId="1106" priority="3070" operator="equal">
      <formula>"Pendiente"</formula>
    </cfRule>
    <cfRule type="cellIs" dxfId="1105" priority="3071" operator="equal">
      <formula>"PENDIENTE "</formula>
    </cfRule>
    <cfRule type="cellIs" dxfId="1104" priority="3072" operator="equal">
      <formula>"PENDIENTE"</formula>
    </cfRule>
  </conditionalFormatting>
  <conditionalFormatting sqref="BC893">
    <cfRule type="cellIs" dxfId="1103" priority="3309" operator="equal">
      <formula>"Pendiente"</formula>
    </cfRule>
    <cfRule type="cellIs" dxfId="1102" priority="3310" operator="equal">
      <formula>"Pendiente"</formula>
    </cfRule>
    <cfRule type="cellIs" dxfId="1101" priority="3311" operator="equal">
      <formula>"PENDIENTE "</formula>
    </cfRule>
    <cfRule type="cellIs" dxfId="1100" priority="3312" operator="equal">
      <formula>"PENDIENTE"</formula>
    </cfRule>
  </conditionalFormatting>
  <conditionalFormatting sqref="BC894">
    <cfRule type="cellIs" dxfId="1099" priority="3305" operator="equal">
      <formula>"Pendiente"</formula>
    </cfRule>
    <cfRule type="cellIs" dxfId="1098" priority="3306" operator="equal">
      <formula>"Pendiente"</formula>
    </cfRule>
    <cfRule type="cellIs" dxfId="1097" priority="3307" operator="equal">
      <formula>"PENDIENTE "</formula>
    </cfRule>
    <cfRule type="cellIs" dxfId="1096" priority="3308" operator="equal">
      <formula>"PENDIENTE"</formula>
    </cfRule>
  </conditionalFormatting>
  <conditionalFormatting sqref="BC895">
    <cfRule type="cellIs" dxfId="1095" priority="3301" operator="equal">
      <formula>"Pendiente"</formula>
    </cfRule>
    <cfRule type="cellIs" dxfId="1094" priority="3302" operator="equal">
      <formula>"Pendiente"</formula>
    </cfRule>
    <cfRule type="cellIs" dxfId="1093" priority="3303" operator="equal">
      <formula>"PENDIENTE "</formula>
    </cfRule>
    <cfRule type="cellIs" dxfId="1092" priority="3304" operator="equal">
      <formula>"PENDIENTE"</formula>
    </cfRule>
  </conditionalFormatting>
  <conditionalFormatting sqref="BC896">
    <cfRule type="cellIs" dxfId="1091" priority="3293" operator="equal">
      <formula>"Pendiente"</formula>
    </cfRule>
    <cfRule type="cellIs" dxfId="1090" priority="3294" operator="equal">
      <formula>"Pendiente"</formula>
    </cfRule>
    <cfRule type="cellIs" dxfId="1089" priority="3295" operator="equal">
      <formula>"PENDIENTE "</formula>
    </cfRule>
    <cfRule type="cellIs" dxfId="1088" priority="3296" operator="equal">
      <formula>"PENDIENTE"</formula>
    </cfRule>
  </conditionalFormatting>
  <conditionalFormatting sqref="BC898">
    <cfRule type="cellIs" dxfId="1087" priority="3297" operator="equal">
      <formula>"Pendiente"</formula>
    </cfRule>
    <cfRule type="cellIs" dxfId="1086" priority="3298" operator="equal">
      <formula>"Pendiente"</formula>
    </cfRule>
    <cfRule type="cellIs" dxfId="1085" priority="3299" operator="equal">
      <formula>"PENDIENTE "</formula>
    </cfRule>
    <cfRule type="cellIs" dxfId="1084" priority="3300" operator="equal">
      <formula>"PENDIENTE"</formula>
    </cfRule>
  </conditionalFormatting>
  <conditionalFormatting sqref="BC909">
    <cfRule type="cellIs" dxfId="1083" priority="2353" operator="equal">
      <formula>"Pendiente"</formula>
    </cfRule>
    <cfRule type="cellIs" dxfId="1082" priority="2354" operator="equal">
      <formula>"Pendiente"</formula>
    </cfRule>
    <cfRule type="cellIs" dxfId="1081" priority="2355" operator="equal">
      <formula>"PENDIENTE "</formula>
    </cfRule>
    <cfRule type="cellIs" dxfId="1080" priority="2356" operator="equal">
      <formula>"PENDIENTE"</formula>
    </cfRule>
  </conditionalFormatting>
  <conditionalFormatting sqref="BC925 BF925">
    <cfRule type="cellIs" dxfId="1079" priority="3181" operator="equal">
      <formula>"Pendiente"</formula>
    </cfRule>
    <cfRule type="cellIs" dxfId="1078" priority="3182" operator="equal">
      <formula>"Pendiente"</formula>
    </cfRule>
    <cfRule type="cellIs" dxfId="1077" priority="3183" operator="equal">
      <formula>"PENDIENTE "</formula>
    </cfRule>
    <cfRule type="cellIs" dxfId="1076" priority="3184" operator="equal">
      <formula>"PENDIENTE"</formula>
    </cfRule>
  </conditionalFormatting>
  <conditionalFormatting sqref="BC937 BF937">
    <cfRule type="cellIs" dxfId="1075" priority="3145" operator="equal">
      <formula>"Pendiente"</formula>
    </cfRule>
    <cfRule type="cellIs" dxfId="1074" priority="3146" operator="equal">
      <formula>"Pendiente"</formula>
    </cfRule>
    <cfRule type="cellIs" dxfId="1073" priority="3147" operator="equal">
      <formula>"PENDIENTE "</formula>
    </cfRule>
    <cfRule type="cellIs" dxfId="1072" priority="3148" operator="equal">
      <formula>"PENDIENTE"</formula>
    </cfRule>
  </conditionalFormatting>
  <conditionalFormatting sqref="BC950">
    <cfRule type="cellIs" dxfId="1071" priority="2349" operator="equal">
      <formula>"Pendiente"</formula>
    </cfRule>
    <cfRule type="cellIs" dxfId="1070" priority="2350" operator="equal">
      <formula>"Pendiente"</formula>
    </cfRule>
    <cfRule type="cellIs" dxfId="1069" priority="2351" operator="equal">
      <formula>"PENDIENTE "</formula>
    </cfRule>
    <cfRule type="cellIs" dxfId="1068" priority="2352" operator="equal">
      <formula>"PENDIENTE"</formula>
    </cfRule>
  </conditionalFormatting>
  <conditionalFormatting sqref="BC960 BE960">
    <cfRule type="cellIs" dxfId="1067" priority="1231" operator="equal">
      <formula>"Pendiente"</formula>
    </cfRule>
    <cfRule type="cellIs" dxfId="1066" priority="1232" operator="equal">
      <formula>"Pendiente"</formula>
    </cfRule>
    <cfRule type="cellIs" dxfId="1065" priority="1233" operator="equal">
      <formula>"PENDIENTE "</formula>
    </cfRule>
    <cfRule type="cellIs" dxfId="1064" priority="1234" operator="equal">
      <formula>"PENDIENTE"</formula>
    </cfRule>
  </conditionalFormatting>
  <conditionalFormatting sqref="BC986 BE986">
    <cfRule type="cellIs" dxfId="1063" priority="1227" operator="equal">
      <formula>"Pendiente"</formula>
    </cfRule>
    <cfRule type="cellIs" dxfId="1062" priority="1228" operator="equal">
      <formula>"Pendiente"</formula>
    </cfRule>
    <cfRule type="cellIs" dxfId="1061" priority="1229" operator="equal">
      <formula>"PENDIENTE "</formula>
    </cfRule>
    <cfRule type="cellIs" dxfId="1060" priority="1230" operator="equal">
      <formula>"PENDIENTE"</formula>
    </cfRule>
  </conditionalFormatting>
  <conditionalFormatting sqref="BC999 BE999">
    <cfRule type="cellIs" dxfId="1059" priority="1223" operator="equal">
      <formula>"Pendiente"</formula>
    </cfRule>
    <cfRule type="cellIs" dxfId="1058" priority="1224" operator="equal">
      <formula>"Pendiente"</formula>
    </cfRule>
    <cfRule type="cellIs" dxfId="1057" priority="1225" operator="equal">
      <formula>"PENDIENTE "</formula>
    </cfRule>
    <cfRule type="cellIs" dxfId="1056" priority="1226" operator="equal">
      <formula>"PENDIENTE"</formula>
    </cfRule>
  </conditionalFormatting>
  <conditionalFormatting sqref="BC1083 BE1083">
    <cfRule type="cellIs" dxfId="1055" priority="1219" operator="equal">
      <formula>"Pendiente"</formula>
    </cfRule>
    <cfRule type="cellIs" dxfId="1054" priority="1220" operator="equal">
      <formula>"Pendiente"</formula>
    </cfRule>
    <cfRule type="cellIs" dxfId="1053" priority="1221" operator="equal">
      <formula>"PENDIENTE "</formula>
    </cfRule>
    <cfRule type="cellIs" dxfId="1052" priority="1222" operator="equal">
      <formula>"PENDIENTE"</formula>
    </cfRule>
  </conditionalFormatting>
  <conditionalFormatting sqref="BC869:BD869">
    <cfRule type="cellIs" dxfId="1051" priority="2110" operator="equal">
      <formula>"Pendiente"</formula>
    </cfRule>
    <cfRule type="cellIs" dxfId="1050" priority="2111" operator="equal">
      <formula>"Pendiente"</formula>
    </cfRule>
    <cfRule type="cellIs" dxfId="1049" priority="2112" operator="equal">
      <formula>"PENDIENTE "</formula>
    </cfRule>
    <cfRule type="cellIs" dxfId="1048" priority="2113" operator="equal">
      <formula>"PENDIENTE"</formula>
    </cfRule>
  </conditionalFormatting>
  <conditionalFormatting sqref="BC884:BD884">
    <cfRule type="cellIs" dxfId="1047" priority="2106" operator="equal">
      <formula>"Pendiente"</formula>
    </cfRule>
    <cfRule type="cellIs" dxfId="1046" priority="2107" operator="equal">
      <formula>"Pendiente"</formula>
    </cfRule>
    <cfRule type="cellIs" dxfId="1045" priority="2108" operator="equal">
      <formula>"PENDIENTE "</formula>
    </cfRule>
    <cfRule type="cellIs" dxfId="1044" priority="2109" operator="equal">
      <formula>"PENDIENTE"</formula>
    </cfRule>
  </conditionalFormatting>
  <conditionalFormatting sqref="BC891:BD891">
    <cfRule type="cellIs" dxfId="1043" priority="2102" operator="equal">
      <formula>"Pendiente"</formula>
    </cfRule>
    <cfRule type="cellIs" dxfId="1042" priority="2103" operator="equal">
      <formula>"Pendiente"</formula>
    </cfRule>
    <cfRule type="cellIs" dxfId="1041" priority="2104" operator="equal">
      <formula>"PENDIENTE "</formula>
    </cfRule>
    <cfRule type="cellIs" dxfId="1040" priority="2105" operator="equal">
      <formula>"PENDIENTE"</formula>
    </cfRule>
  </conditionalFormatting>
  <conditionalFormatting sqref="BC899:BD899">
    <cfRule type="cellIs" dxfId="1039" priority="2098" operator="equal">
      <formula>"Pendiente"</formula>
    </cfRule>
    <cfRule type="cellIs" dxfId="1038" priority="2099" operator="equal">
      <formula>"Pendiente"</formula>
    </cfRule>
    <cfRule type="cellIs" dxfId="1037" priority="2100" operator="equal">
      <formula>"PENDIENTE "</formula>
    </cfRule>
    <cfRule type="cellIs" dxfId="1036" priority="2101" operator="equal">
      <formula>"PENDIENTE"</formula>
    </cfRule>
  </conditionalFormatting>
  <conditionalFormatting sqref="BC917:BD917">
    <cfRule type="cellIs" dxfId="1035" priority="2094" operator="equal">
      <formula>"Pendiente"</formula>
    </cfRule>
    <cfRule type="cellIs" dxfId="1034" priority="2095" operator="equal">
      <formula>"Pendiente"</formula>
    </cfRule>
    <cfRule type="cellIs" dxfId="1033" priority="2096" operator="equal">
      <formula>"PENDIENTE "</formula>
    </cfRule>
    <cfRule type="cellIs" dxfId="1032" priority="2097" operator="equal">
      <formula>"PENDIENTE"</formula>
    </cfRule>
  </conditionalFormatting>
  <conditionalFormatting sqref="BC923:BD923">
    <cfRule type="cellIs" dxfId="1031" priority="2090" operator="equal">
      <formula>"Pendiente"</formula>
    </cfRule>
    <cfRule type="cellIs" dxfId="1030" priority="2091" operator="equal">
      <formula>"Pendiente"</formula>
    </cfRule>
    <cfRule type="cellIs" dxfId="1029" priority="2092" operator="equal">
      <formula>"PENDIENTE "</formula>
    </cfRule>
    <cfRule type="cellIs" dxfId="1028" priority="2093" operator="equal">
      <formula>"PENDIENTE"</formula>
    </cfRule>
  </conditionalFormatting>
  <conditionalFormatting sqref="BC935:BD935">
    <cfRule type="cellIs" dxfId="1027" priority="2082" operator="equal">
      <formula>"Pendiente"</formula>
    </cfRule>
    <cfRule type="cellIs" dxfId="1026" priority="2083" operator="equal">
      <formula>"Pendiente"</formula>
    </cfRule>
    <cfRule type="cellIs" dxfId="1025" priority="2084" operator="equal">
      <formula>"PENDIENTE "</formula>
    </cfRule>
    <cfRule type="cellIs" dxfId="1024" priority="2085" operator="equal">
      <formula>"PENDIENTE"</formula>
    </cfRule>
  </conditionalFormatting>
  <conditionalFormatting sqref="BC941:BD941">
    <cfRule type="cellIs" dxfId="1023" priority="3089" operator="equal">
      <formula>"Pendiente"</formula>
    </cfRule>
    <cfRule type="cellIs" dxfId="1022" priority="3090" operator="equal">
      <formula>"Pendiente"</formula>
    </cfRule>
    <cfRule type="cellIs" dxfId="1021" priority="3091" operator="equal">
      <formula>"PENDIENTE "</formula>
    </cfRule>
    <cfRule type="cellIs" dxfId="1020" priority="3092" operator="equal">
      <formula>"PENDIENTE"</formula>
    </cfRule>
  </conditionalFormatting>
  <conditionalFormatting sqref="BC947:BD947">
    <cfRule type="cellIs" dxfId="1019" priority="2086" operator="equal">
      <formula>"Pendiente"</formula>
    </cfRule>
    <cfRule type="cellIs" dxfId="1018" priority="2087" operator="equal">
      <formula>"Pendiente"</formula>
    </cfRule>
    <cfRule type="cellIs" dxfId="1017" priority="2088" operator="equal">
      <formula>"PENDIENTE "</formula>
    </cfRule>
    <cfRule type="cellIs" dxfId="1016" priority="2089" operator="equal">
      <formula>"PENDIENTE"</formula>
    </cfRule>
  </conditionalFormatting>
  <conditionalFormatting sqref="BC953:BD953">
    <cfRule type="cellIs" dxfId="1015" priority="3349" operator="equal">
      <formula>"Pendiente"</formula>
    </cfRule>
    <cfRule type="cellIs" dxfId="1014" priority="3350" operator="equal">
      <formula>"Pendiente"</formula>
    </cfRule>
    <cfRule type="cellIs" dxfId="1013" priority="3351" operator="equal">
      <formula>"PENDIENTE "</formula>
    </cfRule>
    <cfRule type="cellIs" dxfId="1012" priority="3352" operator="equal">
      <formula>"PENDIENTE"</formula>
    </cfRule>
  </conditionalFormatting>
  <conditionalFormatting sqref="BC954:BD954">
    <cfRule type="cellIs" dxfId="1011" priority="2078" operator="equal">
      <formula>"Pendiente"</formula>
    </cfRule>
    <cfRule type="cellIs" dxfId="1010" priority="2079" operator="equal">
      <formula>"Pendiente"</formula>
    </cfRule>
    <cfRule type="cellIs" dxfId="1009" priority="2080" operator="equal">
      <formula>"PENDIENTE "</formula>
    </cfRule>
    <cfRule type="cellIs" dxfId="1008" priority="2081" operator="equal">
      <formula>"PENDIENTE"</formula>
    </cfRule>
  </conditionalFormatting>
  <conditionalFormatting sqref="BC976:BD976">
    <cfRule type="cellIs" dxfId="1007" priority="2074" operator="equal">
      <formula>"Pendiente"</formula>
    </cfRule>
    <cfRule type="cellIs" dxfId="1006" priority="2075" operator="equal">
      <formula>"Pendiente"</formula>
    </cfRule>
    <cfRule type="cellIs" dxfId="1005" priority="2076" operator="equal">
      <formula>"PENDIENTE "</formula>
    </cfRule>
    <cfRule type="cellIs" dxfId="1004" priority="2077" operator="equal">
      <formula>"PENDIENTE"</formula>
    </cfRule>
  </conditionalFormatting>
  <conditionalFormatting sqref="BC796:BE796">
    <cfRule type="cellIs" dxfId="1003" priority="3481" operator="equal">
      <formula>"Pendiente"</formula>
    </cfRule>
    <cfRule type="cellIs" dxfId="1002" priority="3482" operator="equal">
      <formula>"Pendiente"</formula>
    </cfRule>
    <cfRule type="cellIs" dxfId="1001" priority="3483" operator="equal">
      <formula>"PENDIENTE "</formula>
    </cfRule>
    <cfRule type="cellIs" dxfId="1000" priority="3484" operator="equal">
      <formula>"PENDIENTE"</formula>
    </cfRule>
  </conditionalFormatting>
  <conditionalFormatting sqref="BC804:BE804">
    <cfRule type="cellIs" dxfId="999" priority="2917" operator="equal">
      <formula>"Pendiente"</formula>
    </cfRule>
    <cfRule type="cellIs" dxfId="998" priority="2918" operator="equal">
      <formula>"Pendiente"</formula>
    </cfRule>
    <cfRule type="cellIs" dxfId="997" priority="2919" operator="equal">
      <formula>"PENDIENTE "</formula>
    </cfRule>
    <cfRule type="cellIs" dxfId="996" priority="2920" operator="equal">
      <formula>"PENDIENTE"</formula>
    </cfRule>
  </conditionalFormatting>
  <conditionalFormatting sqref="BC810:BE810">
    <cfRule type="cellIs" dxfId="995" priority="2921" operator="equal">
      <formula>"Pendiente"</formula>
    </cfRule>
    <cfRule type="cellIs" dxfId="994" priority="2922" operator="equal">
      <formula>"Pendiente"</formula>
    </cfRule>
    <cfRule type="cellIs" dxfId="993" priority="2923" operator="equal">
      <formula>"PENDIENTE "</formula>
    </cfRule>
    <cfRule type="cellIs" dxfId="992" priority="2924" operator="equal">
      <formula>"PENDIENTE"</formula>
    </cfRule>
  </conditionalFormatting>
  <conditionalFormatting sqref="BC825:BE825">
    <cfRule type="cellIs" dxfId="991" priority="2925" operator="equal">
      <formula>"Pendiente"</formula>
    </cfRule>
    <cfRule type="cellIs" dxfId="990" priority="2926" operator="equal">
      <formula>"Pendiente"</formula>
    </cfRule>
    <cfRule type="cellIs" dxfId="989" priority="2927" operator="equal">
      <formula>"PENDIENTE "</formula>
    </cfRule>
    <cfRule type="cellIs" dxfId="988" priority="2928" operator="equal">
      <formula>"PENDIENTE"</formula>
    </cfRule>
  </conditionalFormatting>
  <conditionalFormatting sqref="BC831:BE831">
    <cfRule type="cellIs" dxfId="987" priority="2929" operator="equal">
      <formula>"Pendiente"</formula>
    </cfRule>
    <cfRule type="cellIs" dxfId="986" priority="2930" operator="equal">
      <formula>"Pendiente"</formula>
    </cfRule>
    <cfRule type="cellIs" dxfId="985" priority="2931" operator="equal">
      <formula>"PENDIENTE "</formula>
    </cfRule>
    <cfRule type="cellIs" dxfId="984" priority="2932" operator="equal">
      <formula>"PENDIENTE"</formula>
    </cfRule>
  </conditionalFormatting>
  <conditionalFormatting sqref="BC849:BE849">
    <cfRule type="cellIs" dxfId="983" priority="2997" operator="equal">
      <formula>"Pendiente"</formula>
    </cfRule>
    <cfRule type="cellIs" dxfId="982" priority="2998" operator="equal">
      <formula>"Pendiente"</formula>
    </cfRule>
    <cfRule type="cellIs" dxfId="981" priority="2999" operator="equal">
      <formula>"PENDIENTE "</formula>
    </cfRule>
    <cfRule type="cellIs" dxfId="980" priority="3000" operator="equal">
      <formula>"PENDIENTE"</formula>
    </cfRule>
  </conditionalFormatting>
  <conditionalFormatting sqref="BC850:BE850">
    <cfRule type="cellIs" dxfId="979" priority="3001" operator="equal">
      <formula>"Pendiente"</formula>
    </cfRule>
    <cfRule type="cellIs" dxfId="978" priority="3002" operator="equal">
      <formula>"Pendiente"</formula>
    </cfRule>
    <cfRule type="cellIs" dxfId="977" priority="3003" operator="equal">
      <formula>"PENDIENTE "</formula>
    </cfRule>
    <cfRule type="cellIs" dxfId="976" priority="3004" operator="equal">
      <formula>"PENDIENTE"</formula>
    </cfRule>
  </conditionalFormatting>
  <conditionalFormatting sqref="BC853:BE853 BC859:BE862">
    <cfRule type="cellIs" dxfId="975" priority="3361" operator="equal">
      <formula>"Pendiente"</formula>
    </cfRule>
    <cfRule type="cellIs" dxfId="974" priority="3362" operator="equal">
      <formula>"Pendiente"</formula>
    </cfRule>
    <cfRule type="cellIs" dxfId="973" priority="3363" operator="equal">
      <formula>"PENDIENTE "</formula>
    </cfRule>
    <cfRule type="cellIs" dxfId="972" priority="3364" operator="equal">
      <formula>"PENDIENTE"</formula>
    </cfRule>
  </conditionalFormatting>
  <conditionalFormatting sqref="BC854:BE854">
    <cfRule type="cellIs" dxfId="971" priority="2933" operator="equal">
      <formula>"Pendiente"</formula>
    </cfRule>
    <cfRule type="cellIs" dxfId="970" priority="2934" operator="equal">
      <formula>"Pendiente"</formula>
    </cfRule>
    <cfRule type="cellIs" dxfId="969" priority="2935" operator="equal">
      <formula>"PENDIENTE "</formula>
    </cfRule>
    <cfRule type="cellIs" dxfId="968" priority="2936" operator="equal">
      <formula>"PENDIENTE"</formula>
    </cfRule>
  </conditionalFormatting>
  <conditionalFormatting sqref="BC857:BE857">
    <cfRule type="cellIs" dxfId="967" priority="3017" operator="equal">
      <formula>"Pendiente"</formula>
    </cfRule>
    <cfRule type="cellIs" dxfId="966" priority="3018" operator="equal">
      <formula>"Pendiente"</formula>
    </cfRule>
    <cfRule type="cellIs" dxfId="965" priority="3019" operator="equal">
      <formula>"PENDIENTE "</formula>
    </cfRule>
    <cfRule type="cellIs" dxfId="964" priority="3020" operator="equal">
      <formula>"PENDIENTE"</formula>
    </cfRule>
  </conditionalFormatting>
  <conditionalFormatting sqref="BC880:BE880">
    <cfRule type="cellIs" dxfId="963" priority="3057" operator="equal">
      <formula>"Pendiente"</formula>
    </cfRule>
    <cfRule type="cellIs" dxfId="962" priority="3058" operator="equal">
      <formula>"Pendiente"</formula>
    </cfRule>
    <cfRule type="cellIs" dxfId="961" priority="3059" operator="equal">
      <formula>"PENDIENTE "</formula>
    </cfRule>
    <cfRule type="cellIs" dxfId="960" priority="3060" operator="equal">
      <formula>"PENDIENTE"</formula>
    </cfRule>
  </conditionalFormatting>
  <conditionalFormatting sqref="BC881:BE881">
    <cfRule type="cellIs" dxfId="959" priority="3053" operator="equal">
      <formula>"Pendiente"</formula>
    </cfRule>
    <cfRule type="cellIs" dxfId="958" priority="3054" operator="equal">
      <formula>"Pendiente"</formula>
    </cfRule>
    <cfRule type="cellIs" dxfId="957" priority="3055" operator="equal">
      <formula>"PENDIENTE "</formula>
    </cfRule>
    <cfRule type="cellIs" dxfId="956" priority="3056" operator="equal">
      <formula>"PENDIENTE"</formula>
    </cfRule>
  </conditionalFormatting>
  <conditionalFormatting sqref="BC886:BE886">
    <cfRule type="cellIs" dxfId="955" priority="1669" operator="equal">
      <formula>"Pendiente"</formula>
    </cfRule>
    <cfRule type="cellIs" dxfId="954" priority="1670" operator="equal">
      <formula>"Pendiente"</formula>
    </cfRule>
    <cfRule type="cellIs" dxfId="953" priority="1671" operator="equal">
      <formula>"PENDIENTE "</formula>
    </cfRule>
    <cfRule type="cellIs" dxfId="952" priority="1672" operator="equal">
      <formula>"PENDIENTE"</formula>
    </cfRule>
  </conditionalFormatting>
  <conditionalFormatting sqref="BC887:BE887">
    <cfRule type="cellIs" dxfId="951" priority="3061" operator="equal">
      <formula>"Pendiente"</formula>
    </cfRule>
    <cfRule type="cellIs" dxfId="950" priority="3062" operator="equal">
      <formula>"Pendiente"</formula>
    </cfRule>
    <cfRule type="cellIs" dxfId="949" priority="3063" operator="equal">
      <formula>"PENDIENTE "</formula>
    </cfRule>
    <cfRule type="cellIs" dxfId="948" priority="3064" operator="equal">
      <formula>"PENDIENTE"</formula>
    </cfRule>
  </conditionalFormatting>
  <conditionalFormatting sqref="BC897:BE897">
    <cfRule type="cellIs" dxfId="947" priority="3233" operator="equal">
      <formula>"Pendiente"</formula>
    </cfRule>
    <cfRule type="cellIs" dxfId="946" priority="3234" operator="equal">
      <formula>"Pendiente"</formula>
    </cfRule>
    <cfRule type="cellIs" dxfId="945" priority="3235" operator="equal">
      <formula>"PENDIENTE "</formula>
    </cfRule>
    <cfRule type="cellIs" dxfId="944" priority="3236" operator="equal">
      <formula>"PENDIENTE"</formula>
    </cfRule>
  </conditionalFormatting>
  <conditionalFormatting sqref="BC900:BE900">
    <cfRule type="cellIs" dxfId="943" priority="3241" operator="equal">
      <formula>"Pendiente"</formula>
    </cfRule>
    <cfRule type="cellIs" dxfId="942" priority="3242" operator="equal">
      <formula>"Pendiente"</formula>
    </cfRule>
    <cfRule type="cellIs" dxfId="941" priority="3243" operator="equal">
      <formula>"PENDIENTE "</formula>
    </cfRule>
    <cfRule type="cellIs" dxfId="940" priority="3244" operator="equal">
      <formula>"PENDIENTE"</formula>
    </cfRule>
  </conditionalFormatting>
  <conditionalFormatting sqref="BC905:BE905">
    <cfRule type="cellIs" dxfId="939" priority="3225" operator="equal">
      <formula>"Pendiente"</formula>
    </cfRule>
    <cfRule type="cellIs" dxfId="938" priority="3226" operator="equal">
      <formula>"Pendiente"</formula>
    </cfRule>
    <cfRule type="cellIs" dxfId="937" priority="3227" operator="equal">
      <formula>"PENDIENTE "</formula>
    </cfRule>
    <cfRule type="cellIs" dxfId="936" priority="3228" operator="equal">
      <formula>"PENDIENTE"</formula>
    </cfRule>
  </conditionalFormatting>
  <conditionalFormatting sqref="BC918:BE918">
    <cfRule type="cellIs" dxfId="935" priority="1661" operator="equal">
      <formula>"Pendiente"</formula>
    </cfRule>
    <cfRule type="cellIs" dxfId="934" priority="1662" operator="equal">
      <formula>"Pendiente"</formula>
    </cfRule>
    <cfRule type="cellIs" dxfId="933" priority="1663" operator="equal">
      <formula>"PENDIENTE "</formula>
    </cfRule>
    <cfRule type="cellIs" dxfId="932" priority="1664" operator="equal">
      <formula>"PENDIENTE"</formula>
    </cfRule>
  </conditionalFormatting>
  <conditionalFormatting sqref="BC920:BE920">
    <cfRule type="cellIs" dxfId="931" priority="3185" operator="equal">
      <formula>"Pendiente"</formula>
    </cfRule>
    <cfRule type="cellIs" dxfId="930" priority="3186" operator="equal">
      <formula>"Pendiente"</formula>
    </cfRule>
    <cfRule type="cellIs" dxfId="929" priority="3187" operator="equal">
      <formula>"PENDIENTE "</formula>
    </cfRule>
    <cfRule type="cellIs" dxfId="928" priority="3188" operator="equal">
      <formula>"PENDIENTE"</formula>
    </cfRule>
  </conditionalFormatting>
  <conditionalFormatting sqref="BC927:BE927">
    <cfRule type="cellIs" dxfId="927" priority="3169" operator="equal">
      <formula>"Pendiente"</formula>
    </cfRule>
    <cfRule type="cellIs" dxfId="926" priority="3170" operator="equal">
      <formula>"Pendiente"</formula>
    </cfRule>
    <cfRule type="cellIs" dxfId="925" priority="3171" operator="equal">
      <formula>"PENDIENTE "</formula>
    </cfRule>
    <cfRule type="cellIs" dxfId="924" priority="3172" operator="equal">
      <formula>"PENDIENTE"</formula>
    </cfRule>
  </conditionalFormatting>
  <conditionalFormatting sqref="BC928:BE928">
    <cfRule type="cellIs" dxfId="923" priority="3173" operator="equal">
      <formula>"Pendiente"</formula>
    </cfRule>
    <cfRule type="cellIs" dxfId="922" priority="3174" operator="equal">
      <formula>"Pendiente"</formula>
    </cfRule>
    <cfRule type="cellIs" dxfId="921" priority="3175" operator="equal">
      <formula>"PENDIENTE "</formula>
    </cfRule>
    <cfRule type="cellIs" dxfId="920" priority="3176" operator="equal">
      <formula>"PENDIENTE"</formula>
    </cfRule>
  </conditionalFormatting>
  <conditionalFormatting sqref="BC948:BE948">
    <cfRule type="cellIs" dxfId="919" priority="1653" operator="equal">
      <formula>"Pendiente"</formula>
    </cfRule>
    <cfRule type="cellIs" dxfId="918" priority="1654" operator="equal">
      <formula>"Pendiente"</formula>
    </cfRule>
    <cfRule type="cellIs" dxfId="917" priority="1655" operator="equal">
      <formula>"PENDIENTE "</formula>
    </cfRule>
    <cfRule type="cellIs" dxfId="916" priority="1656" operator="equal">
      <formula>"PENDIENTE"</formula>
    </cfRule>
  </conditionalFormatting>
  <conditionalFormatting sqref="BC949:BE949">
    <cfRule type="cellIs" dxfId="915" priority="3125" operator="equal">
      <formula>"Pendiente"</formula>
    </cfRule>
    <cfRule type="cellIs" dxfId="914" priority="3126" operator="equal">
      <formula>"Pendiente"</formula>
    </cfRule>
    <cfRule type="cellIs" dxfId="913" priority="3127" operator="equal">
      <formula>"PENDIENTE "</formula>
    </cfRule>
    <cfRule type="cellIs" dxfId="912" priority="3128" operator="equal">
      <formula>"PENDIENTE"</formula>
    </cfRule>
  </conditionalFormatting>
  <conditionalFormatting sqref="BC955:BE955">
    <cfRule type="cellIs" dxfId="911" priority="3113" operator="equal">
      <formula>"Pendiente"</formula>
    </cfRule>
    <cfRule type="cellIs" dxfId="910" priority="3114" operator="equal">
      <formula>"Pendiente"</formula>
    </cfRule>
    <cfRule type="cellIs" dxfId="909" priority="3115" operator="equal">
      <formula>"PENDIENTE "</formula>
    </cfRule>
    <cfRule type="cellIs" dxfId="908" priority="3116" operator="equal">
      <formula>"PENDIENTE"</formula>
    </cfRule>
  </conditionalFormatting>
  <conditionalFormatting sqref="BC972:BE972">
    <cfRule type="cellIs" dxfId="907" priority="1201" operator="equal">
      <formula>"Pendiente"</formula>
    </cfRule>
    <cfRule type="cellIs" dxfId="906" priority="1202" operator="equal">
      <formula>"Pendiente"</formula>
    </cfRule>
    <cfRule type="cellIs" dxfId="905" priority="1203" operator="equal">
      <formula>"PENDIENTE "</formula>
    </cfRule>
    <cfRule type="cellIs" dxfId="904" priority="1204" operator="equal">
      <formula>"PENDIENTE"</formula>
    </cfRule>
  </conditionalFormatting>
  <conditionalFormatting sqref="BC977:BE977">
    <cfRule type="cellIs" dxfId="903" priority="1645" operator="equal">
      <formula>"Pendiente"</formula>
    </cfRule>
    <cfRule type="cellIs" dxfId="902" priority="1646" operator="equal">
      <formula>"Pendiente"</formula>
    </cfRule>
    <cfRule type="cellIs" dxfId="901" priority="1647" operator="equal">
      <formula>"PENDIENTE "</formula>
    </cfRule>
    <cfRule type="cellIs" dxfId="900" priority="1648" operator="equal">
      <formula>"PENDIENTE"</formula>
    </cfRule>
  </conditionalFormatting>
  <conditionalFormatting sqref="BC1014:BE1014">
    <cfRule type="cellIs" dxfId="899" priority="1458" operator="equal">
      <formula>"Pendiente"</formula>
    </cfRule>
    <cfRule type="cellIs" dxfId="898" priority="1459" operator="equal">
      <formula>"Pendiente"</formula>
    </cfRule>
    <cfRule type="cellIs" dxfId="897" priority="1460" operator="equal">
      <formula>"PENDIENTE "</formula>
    </cfRule>
    <cfRule type="cellIs" dxfId="896" priority="1461" operator="equal">
      <formula>"PENDIENTE"</formula>
    </cfRule>
  </conditionalFormatting>
  <conditionalFormatting sqref="BC1057:BE1057">
    <cfRule type="cellIs" dxfId="895" priority="1454" operator="equal">
      <formula>"Pendiente"</formula>
    </cfRule>
    <cfRule type="cellIs" dxfId="894" priority="1455" operator="equal">
      <formula>"Pendiente"</formula>
    </cfRule>
    <cfRule type="cellIs" dxfId="893" priority="1456" operator="equal">
      <formula>"PENDIENTE "</formula>
    </cfRule>
    <cfRule type="cellIs" dxfId="892" priority="1457" operator="equal">
      <formula>"PENDIENTE"</formula>
    </cfRule>
  </conditionalFormatting>
  <conditionalFormatting sqref="BC1073:BE1073">
    <cfRule type="cellIs" dxfId="891" priority="1450" operator="equal">
      <formula>"Pendiente"</formula>
    </cfRule>
    <cfRule type="cellIs" dxfId="890" priority="1451" operator="equal">
      <formula>"Pendiente"</formula>
    </cfRule>
    <cfRule type="cellIs" dxfId="889" priority="1452" operator="equal">
      <formula>"PENDIENTE "</formula>
    </cfRule>
    <cfRule type="cellIs" dxfId="888" priority="1453" operator="equal">
      <formula>"PENDIENTE"</formula>
    </cfRule>
  </conditionalFormatting>
  <conditionalFormatting sqref="BC1:BF1">
    <cfRule type="cellIs" dxfId="887" priority="3648" operator="equal">
      <formula>"PENDIENTE "</formula>
    </cfRule>
    <cfRule type="cellIs" dxfId="886" priority="3650" operator="equal">
      <formula>"ENVIADO"</formula>
    </cfRule>
  </conditionalFormatting>
  <conditionalFormatting sqref="BC2:BF17 BD18:BF18 BC763:BE764 BC778:BE778 BC788:BE789 BC845:BE845 BC855:BF855 BD840:BF840 BC802:BF802 BC808:BF808 BC883:BF883 BC924:BF924 BD759:BF759 BD767:BF767 BD769:BF769 BD774:BF774 BD799:BF799 BD832:BF832 BD847:BF847 BC841:BF841 BC19:BF758">
    <cfRule type="cellIs" dxfId="885" priority="3644" operator="equal">
      <formula>"Pendiente"</formula>
    </cfRule>
    <cfRule type="cellIs" dxfId="884" priority="3645" operator="equal">
      <formula>"Pendiente"</formula>
    </cfRule>
    <cfRule type="cellIs" dxfId="883" priority="3646" operator="equal">
      <formula>"PENDIENTE "</formula>
    </cfRule>
    <cfRule type="cellIs" dxfId="882" priority="3647" operator="equal">
      <formula>"PENDIENTE"</formula>
    </cfRule>
  </conditionalFormatting>
  <conditionalFormatting sqref="BC821:BF821">
    <cfRule type="cellIs" dxfId="881" priority="2937" operator="equal">
      <formula>"Pendiente"</formula>
    </cfRule>
    <cfRule type="cellIs" dxfId="880" priority="2938" operator="equal">
      <formula>"Pendiente"</formula>
    </cfRule>
    <cfRule type="cellIs" dxfId="879" priority="2939" operator="equal">
      <formula>"PENDIENTE "</formula>
    </cfRule>
    <cfRule type="cellIs" dxfId="878" priority="2940" operator="equal">
      <formula>"PENDIENTE"</formula>
    </cfRule>
  </conditionalFormatting>
  <conditionalFormatting sqref="BC824:BF824">
    <cfRule type="cellIs" dxfId="877" priority="2945" operator="equal">
      <formula>"Pendiente"</formula>
    </cfRule>
    <cfRule type="cellIs" dxfId="876" priority="2946" operator="equal">
      <formula>"Pendiente"</formula>
    </cfRule>
    <cfRule type="cellIs" dxfId="875" priority="2947" operator="equal">
      <formula>"PENDIENTE "</formula>
    </cfRule>
    <cfRule type="cellIs" dxfId="874" priority="2948" operator="equal">
      <formula>"PENDIENTE"</formula>
    </cfRule>
  </conditionalFormatting>
  <conditionalFormatting sqref="BC851:BF851">
    <cfRule type="cellIs" dxfId="873" priority="3005" operator="equal">
      <formula>"Pendiente"</formula>
    </cfRule>
    <cfRule type="cellIs" dxfId="872" priority="3006" operator="equal">
      <formula>"Pendiente"</formula>
    </cfRule>
    <cfRule type="cellIs" dxfId="871" priority="3007" operator="equal">
      <formula>"PENDIENTE "</formula>
    </cfRule>
    <cfRule type="cellIs" dxfId="870" priority="3008" operator="equal">
      <formula>"PENDIENTE"</formula>
    </cfRule>
  </conditionalFormatting>
  <conditionalFormatting sqref="BC852:BF852">
    <cfRule type="cellIs" dxfId="869" priority="3009" operator="equal">
      <formula>"Pendiente"</formula>
    </cfRule>
    <cfRule type="cellIs" dxfId="868" priority="3010" operator="equal">
      <formula>"Pendiente"</formula>
    </cfRule>
    <cfRule type="cellIs" dxfId="867" priority="3011" operator="equal">
      <formula>"PENDIENTE "</formula>
    </cfRule>
    <cfRule type="cellIs" dxfId="866" priority="3012" operator="equal">
      <formula>"PENDIENTE"</formula>
    </cfRule>
  </conditionalFormatting>
  <conditionalFormatting sqref="BC856:BF856">
    <cfRule type="cellIs" dxfId="865" priority="3013" operator="equal">
      <formula>"Pendiente"</formula>
    </cfRule>
    <cfRule type="cellIs" dxfId="864" priority="3014" operator="equal">
      <formula>"Pendiente"</formula>
    </cfRule>
    <cfRule type="cellIs" dxfId="863" priority="3015" operator="equal">
      <formula>"PENDIENTE "</formula>
    </cfRule>
    <cfRule type="cellIs" dxfId="862" priority="3016" operator="equal">
      <formula>"PENDIENTE"</formula>
    </cfRule>
  </conditionalFormatting>
  <conditionalFormatting sqref="BC858:BF858">
    <cfRule type="cellIs" dxfId="861" priority="2993" operator="equal">
      <formula>"Pendiente"</formula>
    </cfRule>
    <cfRule type="cellIs" dxfId="860" priority="2994" operator="equal">
      <formula>"Pendiente"</formula>
    </cfRule>
    <cfRule type="cellIs" dxfId="859" priority="2995" operator="equal">
      <formula>"PENDIENTE "</formula>
    </cfRule>
    <cfRule type="cellIs" dxfId="858" priority="2996" operator="equal">
      <formula>"PENDIENTE"</formula>
    </cfRule>
  </conditionalFormatting>
  <conditionalFormatting sqref="BC865:BF865">
    <cfRule type="cellIs" dxfId="857" priority="3021" operator="equal">
      <formula>"Pendiente"</formula>
    </cfRule>
    <cfRule type="cellIs" dxfId="856" priority="3022" operator="equal">
      <formula>"Pendiente"</formula>
    </cfRule>
    <cfRule type="cellIs" dxfId="855" priority="3023" operator="equal">
      <formula>"PENDIENTE "</formula>
    </cfRule>
    <cfRule type="cellIs" dxfId="854" priority="3024" operator="equal">
      <formula>"PENDIENTE"</formula>
    </cfRule>
  </conditionalFormatting>
  <conditionalFormatting sqref="BC871:BF871">
    <cfRule type="cellIs" dxfId="853" priority="3029" operator="equal">
      <formula>"Pendiente"</formula>
    </cfRule>
    <cfRule type="cellIs" dxfId="852" priority="3030" operator="equal">
      <formula>"Pendiente"</formula>
    </cfRule>
    <cfRule type="cellIs" dxfId="851" priority="3031" operator="equal">
      <formula>"PENDIENTE "</formula>
    </cfRule>
    <cfRule type="cellIs" dxfId="850" priority="3032" operator="equal">
      <formula>"PENDIENTE"</formula>
    </cfRule>
  </conditionalFormatting>
  <conditionalFormatting sqref="BC872:BF872">
    <cfRule type="cellIs" dxfId="849" priority="3033" operator="equal">
      <formula>"Pendiente"</formula>
    </cfRule>
    <cfRule type="cellIs" dxfId="848" priority="3034" operator="equal">
      <formula>"Pendiente"</formula>
    </cfRule>
    <cfRule type="cellIs" dxfId="847" priority="3035" operator="equal">
      <formula>"PENDIENTE "</formula>
    </cfRule>
    <cfRule type="cellIs" dxfId="846" priority="3036" operator="equal">
      <formula>"PENDIENTE"</formula>
    </cfRule>
  </conditionalFormatting>
  <conditionalFormatting sqref="BC878:BF878">
    <cfRule type="cellIs" dxfId="845" priority="3045" operator="equal">
      <formula>"Pendiente"</formula>
    </cfRule>
    <cfRule type="cellIs" dxfId="844" priority="3046" operator="equal">
      <formula>"Pendiente"</formula>
    </cfRule>
    <cfRule type="cellIs" dxfId="843" priority="3047" operator="equal">
      <formula>"PENDIENTE "</formula>
    </cfRule>
    <cfRule type="cellIs" dxfId="842" priority="3048" operator="equal">
      <formula>"PENDIENTE"</formula>
    </cfRule>
  </conditionalFormatting>
  <conditionalFormatting sqref="BC882:BF882">
    <cfRule type="cellIs" dxfId="841" priority="3049" operator="equal">
      <formula>"Pendiente"</formula>
    </cfRule>
    <cfRule type="cellIs" dxfId="840" priority="3050" operator="equal">
      <formula>"Pendiente"</formula>
    </cfRule>
    <cfRule type="cellIs" dxfId="839" priority="3051" operator="equal">
      <formula>"PENDIENTE "</formula>
    </cfRule>
    <cfRule type="cellIs" dxfId="838" priority="3052" operator="equal">
      <formula>"PENDIENTE"</formula>
    </cfRule>
  </conditionalFormatting>
  <conditionalFormatting sqref="BC890:BF890">
    <cfRule type="cellIs" dxfId="837" priority="3081" operator="equal">
      <formula>"Pendiente"</formula>
    </cfRule>
    <cfRule type="cellIs" dxfId="836" priority="3082" operator="equal">
      <formula>"Pendiente"</formula>
    </cfRule>
    <cfRule type="cellIs" dxfId="835" priority="3083" operator="equal">
      <formula>"PENDIENTE "</formula>
    </cfRule>
    <cfRule type="cellIs" dxfId="834" priority="3084" operator="equal">
      <formula>"PENDIENTE"</formula>
    </cfRule>
  </conditionalFormatting>
  <conditionalFormatting sqref="BC892:BF892">
    <cfRule type="cellIs" dxfId="833" priority="3333" operator="equal">
      <formula>"Pendiente"</formula>
    </cfRule>
    <cfRule type="cellIs" dxfId="832" priority="3334" operator="equal">
      <formula>"Pendiente"</formula>
    </cfRule>
    <cfRule type="cellIs" dxfId="831" priority="3335" operator="equal">
      <formula>"PENDIENTE "</formula>
    </cfRule>
    <cfRule type="cellIs" dxfId="830" priority="3336" operator="equal">
      <formula>"PENDIENTE"</formula>
    </cfRule>
  </conditionalFormatting>
  <conditionalFormatting sqref="BC901:BF901">
    <cfRule type="cellIs" dxfId="829" priority="3245" operator="equal">
      <formula>"Pendiente"</formula>
    </cfRule>
    <cfRule type="cellIs" dxfId="828" priority="3246" operator="equal">
      <formula>"Pendiente"</formula>
    </cfRule>
    <cfRule type="cellIs" dxfId="827" priority="3247" operator="equal">
      <formula>"PENDIENTE "</formula>
    </cfRule>
    <cfRule type="cellIs" dxfId="826" priority="3248" operator="equal">
      <formula>"PENDIENTE"</formula>
    </cfRule>
  </conditionalFormatting>
  <conditionalFormatting sqref="BC904:BF904">
    <cfRule type="cellIs" dxfId="825" priority="3229" operator="equal">
      <formula>"Pendiente"</formula>
    </cfRule>
    <cfRule type="cellIs" dxfId="824" priority="3230" operator="equal">
      <formula>"Pendiente"</formula>
    </cfRule>
    <cfRule type="cellIs" dxfId="823" priority="3231" operator="equal">
      <formula>"PENDIENTE "</formula>
    </cfRule>
    <cfRule type="cellIs" dxfId="822" priority="3232" operator="equal">
      <formula>"PENDIENTE"</formula>
    </cfRule>
  </conditionalFormatting>
  <conditionalFormatting sqref="BC906:BF906">
    <cfRule type="cellIs" dxfId="821" priority="3345" operator="equal">
      <formula>"Pendiente"</formula>
    </cfRule>
    <cfRule type="cellIs" dxfId="820" priority="3346" operator="equal">
      <formula>"Pendiente"</formula>
    </cfRule>
    <cfRule type="cellIs" dxfId="819" priority="3347" operator="equal">
      <formula>"PENDIENTE "</formula>
    </cfRule>
    <cfRule type="cellIs" dxfId="818" priority="3348" operator="equal">
      <formula>"PENDIENTE"</formula>
    </cfRule>
  </conditionalFormatting>
  <conditionalFormatting sqref="BC907:BF907">
    <cfRule type="cellIs" dxfId="817" priority="3221" operator="equal">
      <formula>"Pendiente"</formula>
    </cfRule>
    <cfRule type="cellIs" dxfId="816" priority="3222" operator="equal">
      <formula>"Pendiente"</formula>
    </cfRule>
    <cfRule type="cellIs" dxfId="815" priority="3223" operator="equal">
      <formula>"PENDIENTE "</formula>
    </cfRule>
    <cfRule type="cellIs" dxfId="814" priority="3224" operator="equal">
      <formula>"PENDIENTE"</formula>
    </cfRule>
  </conditionalFormatting>
  <conditionalFormatting sqref="BC910:BF910">
    <cfRule type="cellIs" dxfId="813" priority="3213" operator="equal">
      <formula>"Pendiente"</formula>
    </cfRule>
    <cfRule type="cellIs" dxfId="812" priority="3214" operator="equal">
      <formula>"Pendiente"</formula>
    </cfRule>
    <cfRule type="cellIs" dxfId="811" priority="3215" operator="equal">
      <formula>"PENDIENTE "</formula>
    </cfRule>
    <cfRule type="cellIs" dxfId="810" priority="3216" operator="equal">
      <formula>"PENDIENTE"</formula>
    </cfRule>
  </conditionalFormatting>
  <conditionalFormatting sqref="BC912:BF912">
    <cfRule type="cellIs" dxfId="809" priority="3209" operator="equal">
      <formula>"Pendiente"</formula>
    </cfRule>
    <cfRule type="cellIs" dxfId="808" priority="3210" operator="equal">
      <formula>"Pendiente"</formula>
    </cfRule>
    <cfRule type="cellIs" dxfId="807" priority="3211" operator="equal">
      <formula>"PENDIENTE "</formula>
    </cfRule>
    <cfRule type="cellIs" dxfId="806" priority="3212" operator="equal">
      <formula>"PENDIENTE"</formula>
    </cfRule>
  </conditionalFormatting>
  <conditionalFormatting sqref="BC914:BF914">
    <cfRule type="cellIs" dxfId="805" priority="3205" operator="equal">
      <formula>"Pendiente"</formula>
    </cfRule>
    <cfRule type="cellIs" dxfId="804" priority="3206" operator="equal">
      <formula>"Pendiente"</formula>
    </cfRule>
    <cfRule type="cellIs" dxfId="803" priority="3207" operator="equal">
      <formula>"PENDIENTE "</formula>
    </cfRule>
    <cfRule type="cellIs" dxfId="802" priority="3208" operator="equal">
      <formula>"PENDIENTE"</formula>
    </cfRule>
  </conditionalFormatting>
  <conditionalFormatting sqref="BC915:BF915">
    <cfRule type="cellIs" dxfId="801" priority="3201" operator="equal">
      <formula>"Pendiente"</formula>
    </cfRule>
    <cfRule type="cellIs" dxfId="800" priority="3202" operator="equal">
      <formula>"Pendiente"</formula>
    </cfRule>
    <cfRule type="cellIs" dxfId="799" priority="3203" operator="equal">
      <formula>"PENDIENTE "</formula>
    </cfRule>
    <cfRule type="cellIs" dxfId="798" priority="3204" operator="equal">
      <formula>"PENDIENTE"</formula>
    </cfRule>
  </conditionalFormatting>
  <conditionalFormatting sqref="BC916:BF916">
    <cfRule type="cellIs" dxfId="797" priority="3197" operator="equal">
      <formula>"Pendiente"</formula>
    </cfRule>
    <cfRule type="cellIs" dxfId="796" priority="3198" operator="equal">
      <formula>"Pendiente"</formula>
    </cfRule>
    <cfRule type="cellIs" dxfId="795" priority="3199" operator="equal">
      <formula>"PENDIENTE "</formula>
    </cfRule>
    <cfRule type="cellIs" dxfId="794" priority="3200" operator="equal">
      <formula>"PENDIENTE"</formula>
    </cfRule>
  </conditionalFormatting>
  <conditionalFormatting sqref="BC919:BF919">
    <cfRule type="cellIs" dxfId="793" priority="3477" operator="equal">
      <formula>"Pendiente"</formula>
    </cfRule>
    <cfRule type="cellIs" dxfId="792" priority="3478" operator="equal">
      <formula>"Pendiente"</formula>
    </cfRule>
    <cfRule type="cellIs" dxfId="791" priority="3479" operator="equal">
      <formula>"PENDIENTE "</formula>
    </cfRule>
    <cfRule type="cellIs" dxfId="790" priority="3480" operator="equal">
      <formula>"PENDIENTE"</formula>
    </cfRule>
  </conditionalFormatting>
  <conditionalFormatting sqref="BC930:BF930">
    <cfRule type="cellIs" dxfId="789" priority="3165" operator="equal">
      <formula>"Pendiente"</formula>
    </cfRule>
    <cfRule type="cellIs" dxfId="788" priority="3166" operator="equal">
      <formula>"Pendiente"</formula>
    </cfRule>
    <cfRule type="cellIs" dxfId="787" priority="3167" operator="equal">
      <formula>"PENDIENTE "</formula>
    </cfRule>
    <cfRule type="cellIs" dxfId="786" priority="3168" operator="equal">
      <formula>"PENDIENTE"</formula>
    </cfRule>
  </conditionalFormatting>
  <conditionalFormatting sqref="BC931:BF932">
    <cfRule type="cellIs" dxfId="785" priority="3161" operator="equal">
      <formula>"Pendiente"</formula>
    </cfRule>
    <cfRule type="cellIs" dxfId="784" priority="3162" operator="equal">
      <formula>"Pendiente"</formula>
    </cfRule>
    <cfRule type="cellIs" dxfId="783" priority="3163" operator="equal">
      <formula>"PENDIENTE "</formula>
    </cfRule>
    <cfRule type="cellIs" dxfId="782" priority="3164" operator="equal">
      <formula>"PENDIENTE"</formula>
    </cfRule>
  </conditionalFormatting>
  <conditionalFormatting sqref="BC933:BF933">
    <cfRule type="cellIs" dxfId="781" priority="3157" operator="equal">
      <formula>"Pendiente"</formula>
    </cfRule>
    <cfRule type="cellIs" dxfId="780" priority="3158" operator="equal">
      <formula>"Pendiente"</formula>
    </cfRule>
    <cfRule type="cellIs" dxfId="779" priority="3159" operator="equal">
      <formula>"PENDIENTE "</formula>
    </cfRule>
    <cfRule type="cellIs" dxfId="778" priority="3160" operator="equal">
      <formula>"PENDIENTE"</formula>
    </cfRule>
  </conditionalFormatting>
  <conditionalFormatting sqref="BC936:BF936">
    <cfRule type="cellIs" dxfId="777" priority="3149" operator="equal">
      <formula>"Pendiente"</formula>
    </cfRule>
    <cfRule type="cellIs" dxfId="776" priority="3150" operator="equal">
      <formula>"Pendiente"</formula>
    </cfRule>
    <cfRule type="cellIs" dxfId="775" priority="3151" operator="equal">
      <formula>"PENDIENTE "</formula>
    </cfRule>
    <cfRule type="cellIs" dxfId="774" priority="3152" operator="equal">
      <formula>"PENDIENTE"</formula>
    </cfRule>
  </conditionalFormatting>
  <conditionalFormatting sqref="BC938:BF938">
    <cfRule type="cellIs" dxfId="773" priority="3141" operator="equal">
      <formula>"Pendiente"</formula>
    </cfRule>
    <cfRule type="cellIs" dxfId="772" priority="3142" operator="equal">
      <formula>"Pendiente"</formula>
    </cfRule>
    <cfRule type="cellIs" dxfId="771" priority="3143" operator="equal">
      <formula>"PENDIENTE "</formula>
    </cfRule>
    <cfRule type="cellIs" dxfId="770" priority="3144" operator="equal">
      <formula>"PENDIENTE"</formula>
    </cfRule>
  </conditionalFormatting>
  <conditionalFormatting sqref="BC939:BF939">
    <cfRule type="cellIs" dxfId="769" priority="3137" operator="equal">
      <formula>"Pendiente"</formula>
    </cfRule>
    <cfRule type="cellIs" dxfId="768" priority="3138" operator="equal">
      <formula>"Pendiente"</formula>
    </cfRule>
    <cfRule type="cellIs" dxfId="767" priority="3139" operator="equal">
      <formula>"PENDIENTE "</formula>
    </cfRule>
    <cfRule type="cellIs" dxfId="766" priority="3140" operator="equal">
      <formula>"PENDIENTE"</formula>
    </cfRule>
  </conditionalFormatting>
  <conditionalFormatting sqref="BC940:BF940">
    <cfRule type="cellIs" dxfId="765" priority="3093" operator="equal">
      <formula>"Pendiente"</formula>
    </cfRule>
    <cfRule type="cellIs" dxfId="764" priority="3094" operator="equal">
      <formula>"Pendiente"</formula>
    </cfRule>
    <cfRule type="cellIs" dxfId="763" priority="3095" operator="equal">
      <formula>"PENDIENTE "</formula>
    </cfRule>
    <cfRule type="cellIs" dxfId="762" priority="3096" operator="equal">
      <formula>"PENDIENTE"</formula>
    </cfRule>
  </conditionalFormatting>
  <conditionalFormatting sqref="BC946:BF946">
    <cfRule type="cellIs" dxfId="761" priority="3357" operator="equal">
      <formula>"Pendiente"</formula>
    </cfRule>
    <cfRule type="cellIs" dxfId="760" priority="3358" operator="equal">
      <formula>"Pendiente"</formula>
    </cfRule>
    <cfRule type="cellIs" dxfId="759" priority="3359" operator="equal">
      <formula>"PENDIENTE "</formula>
    </cfRule>
    <cfRule type="cellIs" dxfId="758" priority="3360" operator="equal">
      <formula>"PENDIENTE"</formula>
    </cfRule>
  </conditionalFormatting>
  <conditionalFormatting sqref="BC952:BF952">
    <cfRule type="cellIs" dxfId="757" priority="3097" operator="equal">
      <formula>"Pendiente"</formula>
    </cfRule>
    <cfRule type="cellIs" dxfId="756" priority="3098" operator="equal">
      <formula>"Pendiente"</formula>
    </cfRule>
    <cfRule type="cellIs" dxfId="755" priority="3099" operator="equal">
      <formula>"PENDIENTE "</formula>
    </cfRule>
    <cfRule type="cellIs" dxfId="754" priority="3100" operator="equal">
      <formula>"PENDIENTE"</formula>
    </cfRule>
  </conditionalFormatting>
  <conditionalFormatting sqref="BC956:BF956">
    <cfRule type="cellIs" dxfId="753" priority="3109" operator="equal">
      <formula>"Pendiente"</formula>
    </cfRule>
    <cfRule type="cellIs" dxfId="752" priority="3110" operator="equal">
      <formula>"Pendiente"</formula>
    </cfRule>
    <cfRule type="cellIs" dxfId="751" priority="3111" operator="equal">
      <formula>"PENDIENTE "</formula>
    </cfRule>
    <cfRule type="cellIs" dxfId="750" priority="3112" operator="equal">
      <formula>"PENDIENTE"</formula>
    </cfRule>
  </conditionalFormatting>
  <conditionalFormatting sqref="BC957:BF957 BC961:BF961 BC963:BF963 BC965:BF965 BC967:BD967 BF972 BC974:BF974 BC987:BF987">
    <cfRule type="cellIs" dxfId="749" priority="3105" operator="equal">
      <formula>"Pendiente"</formula>
    </cfRule>
    <cfRule type="cellIs" dxfId="748" priority="3106" operator="equal">
      <formula>"Pendiente"</formula>
    </cfRule>
    <cfRule type="cellIs" dxfId="747" priority="3107" operator="equal">
      <formula>"PENDIENTE "</formula>
    </cfRule>
    <cfRule type="cellIs" dxfId="746" priority="3108" operator="equal">
      <formula>"PENDIENTE"</formula>
    </cfRule>
  </conditionalFormatting>
  <conditionalFormatting sqref="BC958:BF958 BC962:BF962 BC966:BF966 BC968:BF968 BC971:BF971 BC973:BF973 BC975:BD975">
    <cfRule type="cellIs" dxfId="745" priority="3101" operator="equal">
      <formula>"Pendiente"</formula>
    </cfRule>
    <cfRule type="cellIs" dxfId="744" priority="3102" operator="equal">
      <formula>"Pendiente"</formula>
    </cfRule>
    <cfRule type="cellIs" dxfId="743" priority="3103" operator="equal">
      <formula>"PENDIENTE "</formula>
    </cfRule>
    <cfRule type="cellIs" dxfId="742" priority="3104" operator="equal">
      <formula>"PENDIENTE"</formula>
    </cfRule>
  </conditionalFormatting>
  <conditionalFormatting sqref="BC959:BF959">
    <cfRule type="cellIs" dxfId="741" priority="1905" operator="equal">
      <formula>"Pendiente"</formula>
    </cfRule>
    <cfRule type="cellIs" dxfId="740" priority="1906" operator="equal">
      <formula>"Pendiente"</formula>
    </cfRule>
    <cfRule type="cellIs" dxfId="739" priority="1907" operator="equal">
      <formula>"PENDIENTE "</formula>
    </cfRule>
    <cfRule type="cellIs" dxfId="738" priority="1908" operator="equal">
      <formula>"PENDIENTE"</formula>
    </cfRule>
  </conditionalFormatting>
  <conditionalFormatting sqref="BC964:BF964">
    <cfRule type="cellIs" dxfId="737" priority="1901" operator="equal">
      <formula>"Pendiente"</formula>
    </cfRule>
    <cfRule type="cellIs" dxfId="736" priority="1902" operator="equal">
      <formula>"Pendiente"</formula>
    </cfRule>
    <cfRule type="cellIs" dxfId="735" priority="1903" operator="equal">
      <formula>"PENDIENTE "</formula>
    </cfRule>
    <cfRule type="cellIs" dxfId="734" priority="1904" operator="equal">
      <formula>"PENDIENTE"</formula>
    </cfRule>
  </conditionalFormatting>
  <conditionalFormatting sqref="BC969:BF969">
    <cfRule type="cellIs" dxfId="733" priority="2723" operator="equal">
      <formula>"Pendiente"</formula>
    </cfRule>
    <cfRule type="cellIs" dxfId="732" priority="2724" operator="equal">
      <formula>"Pendiente"</formula>
    </cfRule>
    <cfRule type="cellIs" dxfId="731" priority="2725" operator="equal">
      <formula>"PENDIENTE "</formula>
    </cfRule>
    <cfRule type="cellIs" dxfId="730" priority="2726" operator="equal">
      <formula>"PENDIENTE"</formula>
    </cfRule>
  </conditionalFormatting>
  <conditionalFormatting sqref="BC970:BF970">
    <cfRule type="cellIs" dxfId="729" priority="1897" operator="equal">
      <formula>"Pendiente"</formula>
    </cfRule>
    <cfRule type="cellIs" dxfId="728" priority="1898" operator="equal">
      <formula>"Pendiente"</formula>
    </cfRule>
    <cfRule type="cellIs" dxfId="727" priority="1899" operator="equal">
      <formula>"PENDIENTE "</formula>
    </cfRule>
    <cfRule type="cellIs" dxfId="726" priority="1900" operator="equal">
      <formula>"PENDIENTE"</formula>
    </cfRule>
  </conditionalFormatting>
  <conditionalFormatting sqref="BC978:BF978 BC982:BF982 BC985:BF985 BC993:BD993 BC983:BD983 BC980 BF980 BC981:BD981 BC988:BF992">
    <cfRule type="cellIs" dxfId="725" priority="2787" operator="equal">
      <formula>"Pendiente"</formula>
    </cfRule>
    <cfRule type="cellIs" dxfId="724" priority="2788" operator="equal">
      <formula>"Pendiente"</formula>
    </cfRule>
    <cfRule type="cellIs" dxfId="723" priority="2789" operator="equal">
      <formula>"PENDIENTE "</formula>
    </cfRule>
    <cfRule type="cellIs" dxfId="722" priority="2790" operator="equal">
      <formula>"PENDIENTE"</formula>
    </cfRule>
  </conditionalFormatting>
  <conditionalFormatting sqref="BC979:BF979">
    <cfRule type="cellIs" dxfId="721" priority="2555" operator="equal">
      <formula>"Pendiente"</formula>
    </cfRule>
    <cfRule type="cellIs" dxfId="720" priority="2556" operator="equal">
      <formula>"Pendiente"</formula>
    </cfRule>
    <cfRule type="cellIs" dxfId="719" priority="2557" operator="equal">
      <formula>"PENDIENTE "</formula>
    </cfRule>
    <cfRule type="cellIs" dxfId="718" priority="2558" operator="equal">
      <formula>"PENDIENTE"</formula>
    </cfRule>
  </conditionalFormatting>
  <conditionalFormatting sqref="BC984:BF984">
    <cfRule type="cellIs" dxfId="717" priority="2551" operator="equal">
      <formula>"Pendiente"</formula>
    </cfRule>
    <cfRule type="cellIs" dxfId="716" priority="2552" operator="equal">
      <formula>"Pendiente"</formula>
    </cfRule>
    <cfRule type="cellIs" dxfId="715" priority="2553" operator="equal">
      <formula>"PENDIENTE "</formula>
    </cfRule>
    <cfRule type="cellIs" dxfId="714" priority="2554" operator="equal">
      <formula>"PENDIENTE"</formula>
    </cfRule>
  </conditionalFormatting>
  <conditionalFormatting sqref="BC1017:BF1017">
    <cfRule type="cellIs" dxfId="713" priority="1893" operator="equal">
      <formula>"Pendiente"</formula>
    </cfRule>
    <cfRule type="cellIs" dxfId="712" priority="1894" operator="equal">
      <formula>"Pendiente"</formula>
    </cfRule>
    <cfRule type="cellIs" dxfId="711" priority="1895" operator="equal">
      <formula>"PENDIENTE "</formula>
    </cfRule>
    <cfRule type="cellIs" dxfId="710" priority="1896" operator="equal">
      <formula>"PENDIENTE"</formula>
    </cfRule>
  </conditionalFormatting>
  <conditionalFormatting sqref="BC1019:BF1019">
    <cfRule type="cellIs" dxfId="709" priority="1889" operator="equal">
      <formula>"Pendiente"</formula>
    </cfRule>
    <cfRule type="cellIs" dxfId="708" priority="1890" operator="equal">
      <formula>"Pendiente"</formula>
    </cfRule>
    <cfRule type="cellIs" dxfId="707" priority="1891" operator="equal">
      <formula>"PENDIENTE "</formula>
    </cfRule>
    <cfRule type="cellIs" dxfId="706" priority="1892" operator="equal">
      <formula>"PENDIENTE"</formula>
    </cfRule>
  </conditionalFormatting>
  <conditionalFormatting sqref="BC1024:BF1024">
    <cfRule type="cellIs" dxfId="705" priority="1885" operator="equal">
      <formula>"Pendiente"</formula>
    </cfRule>
    <cfRule type="cellIs" dxfId="704" priority="1886" operator="equal">
      <formula>"Pendiente"</formula>
    </cfRule>
    <cfRule type="cellIs" dxfId="703" priority="1887" operator="equal">
      <formula>"PENDIENTE "</formula>
    </cfRule>
    <cfRule type="cellIs" dxfId="702" priority="1888" operator="equal">
      <formula>"PENDIENTE"</formula>
    </cfRule>
  </conditionalFormatting>
  <conditionalFormatting sqref="BC1036:BF1036">
    <cfRule type="cellIs" dxfId="701" priority="1881" operator="equal">
      <formula>"Pendiente"</formula>
    </cfRule>
    <cfRule type="cellIs" dxfId="700" priority="1882" operator="equal">
      <formula>"Pendiente"</formula>
    </cfRule>
    <cfRule type="cellIs" dxfId="699" priority="1883" operator="equal">
      <formula>"PENDIENTE "</formula>
    </cfRule>
    <cfRule type="cellIs" dxfId="698" priority="1884" operator="equal">
      <formula>"PENDIENTE"</formula>
    </cfRule>
  </conditionalFormatting>
  <conditionalFormatting sqref="BC1055:BF1055">
    <cfRule type="cellIs" dxfId="697" priority="1791" operator="equal">
      <formula>"Pendiente"</formula>
    </cfRule>
    <cfRule type="cellIs" dxfId="696" priority="1792" operator="equal">
      <formula>"Pendiente"</formula>
    </cfRule>
    <cfRule type="cellIs" dxfId="695" priority="1793" operator="equal">
      <formula>"PENDIENTE "</formula>
    </cfRule>
    <cfRule type="cellIs" dxfId="694" priority="1794" operator="equal">
      <formula>"PENDIENTE"</formula>
    </cfRule>
  </conditionalFormatting>
  <conditionalFormatting sqref="BC1079:BF1079">
    <cfRule type="cellIs" dxfId="693" priority="1537" operator="equal">
      <formula>"Pendiente"</formula>
    </cfRule>
    <cfRule type="cellIs" dxfId="692" priority="1538" operator="equal">
      <formula>"Pendiente"</formula>
    </cfRule>
    <cfRule type="cellIs" dxfId="691" priority="1539" operator="equal">
      <formula>"PENDIENTE "</formula>
    </cfRule>
    <cfRule type="cellIs" dxfId="690" priority="1540" operator="equal">
      <formula>"PENDIENTE"</formula>
    </cfRule>
  </conditionalFormatting>
  <conditionalFormatting sqref="BC1090:BF1090">
    <cfRule type="cellIs" dxfId="689" priority="1440" operator="equal">
      <formula>"Pendiente"</formula>
    </cfRule>
    <cfRule type="cellIs" dxfId="688" priority="1441" operator="equal">
      <formula>"Pendiente"</formula>
    </cfRule>
    <cfRule type="cellIs" dxfId="687" priority="1442" operator="equal">
      <formula>"PENDIENTE "</formula>
    </cfRule>
    <cfRule type="cellIs" dxfId="686" priority="1443" operator="equal">
      <formula>"PENDIENTE"</formula>
    </cfRule>
  </conditionalFormatting>
  <conditionalFormatting sqref="BC1098:BF1098">
    <cfRule type="cellIs" dxfId="685" priority="1343" operator="equal">
      <formula>"Pendiente"</formula>
    </cfRule>
    <cfRule type="cellIs" dxfId="684" priority="1344" operator="equal">
      <formula>"Pendiente"</formula>
    </cfRule>
    <cfRule type="cellIs" dxfId="683" priority="1345" operator="equal">
      <formula>"PENDIENTE "</formula>
    </cfRule>
    <cfRule type="cellIs" dxfId="682" priority="1346" operator="equal">
      <formula>"PENDIENTE"</formula>
    </cfRule>
  </conditionalFormatting>
  <conditionalFormatting sqref="BC1113:BF1113">
    <cfRule type="cellIs" dxfId="681" priority="1436" operator="equal">
      <formula>"Pendiente"</formula>
    </cfRule>
    <cfRule type="cellIs" dxfId="680" priority="1437" operator="equal">
      <formula>"Pendiente"</formula>
    </cfRule>
    <cfRule type="cellIs" dxfId="679" priority="1438" operator="equal">
      <formula>"PENDIENTE "</formula>
    </cfRule>
    <cfRule type="cellIs" dxfId="678" priority="1439" operator="equal">
      <formula>"PENDIENTE"</formula>
    </cfRule>
  </conditionalFormatting>
  <conditionalFormatting sqref="BC1114:BF1114">
    <cfRule type="cellIs" dxfId="677" priority="1432" operator="equal">
      <formula>"Pendiente"</formula>
    </cfRule>
    <cfRule type="cellIs" dxfId="676" priority="1433" operator="equal">
      <formula>"Pendiente"</formula>
    </cfRule>
    <cfRule type="cellIs" dxfId="675" priority="1434" operator="equal">
      <formula>"PENDIENTE "</formula>
    </cfRule>
    <cfRule type="cellIs" dxfId="674" priority="1435" operator="equal">
      <formula>"PENDIENTE"</formula>
    </cfRule>
  </conditionalFormatting>
  <conditionalFormatting sqref="BC1191:BF1191">
    <cfRule type="cellIs" dxfId="673" priority="1064" operator="equal">
      <formula>"Pendiente"</formula>
    </cfRule>
    <cfRule type="cellIs" dxfId="672" priority="1065" operator="equal">
      <formula>"Pendiente"</formula>
    </cfRule>
    <cfRule type="cellIs" dxfId="671" priority="1066" operator="equal">
      <formula>"PENDIENTE "</formula>
    </cfRule>
    <cfRule type="cellIs" dxfId="670" priority="1067" operator="equal">
      <formula>"PENDIENTE"</formula>
    </cfRule>
  </conditionalFormatting>
  <conditionalFormatting sqref="BC1205:BF1205">
    <cfRule type="cellIs" dxfId="669" priority="1007" operator="equal">
      <formula>"Pendiente"</formula>
    </cfRule>
    <cfRule type="cellIs" dxfId="668" priority="1008" operator="equal">
      <formula>"Pendiente"</formula>
    </cfRule>
    <cfRule type="cellIs" dxfId="667" priority="1009" operator="equal">
      <formula>"PENDIENTE "</formula>
    </cfRule>
    <cfRule type="cellIs" dxfId="666" priority="1010" operator="equal">
      <formula>"PENDIENTE"</formula>
    </cfRule>
  </conditionalFormatting>
  <conditionalFormatting sqref="BC1240:BF1240">
    <cfRule type="cellIs" dxfId="665" priority="862" operator="equal">
      <formula>"Pendiente"</formula>
    </cfRule>
    <cfRule type="cellIs" dxfId="664" priority="863" operator="equal">
      <formula>"Pendiente"</formula>
    </cfRule>
    <cfRule type="cellIs" dxfId="663" priority="864" operator="equal">
      <formula>"PENDIENTE "</formula>
    </cfRule>
    <cfRule type="cellIs" dxfId="662" priority="865" operator="equal">
      <formula>"PENDIENTE"</formula>
    </cfRule>
  </conditionalFormatting>
  <conditionalFormatting sqref="BC1256:BF1256">
    <cfRule type="cellIs" dxfId="661" priority="790" operator="equal">
      <formula>"Pendiente"</formula>
    </cfRule>
    <cfRule type="cellIs" dxfId="660" priority="791" operator="equal">
      <formula>"Pendiente"</formula>
    </cfRule>
    <cfRule type="cellIs" dxfId="659" priority="792" operator="equal">
      <formula>"PENDIENTE "</formula>
    </cfRule>
    <cfRule type="cellIs" dxfId="658" priority="793" operator="equal">
      <formula>"PENDIENTE"</formula>
    </cfRule>
  </conditionalFormatting>
  <conditionalFormatting sqref="BC1294:BF1294">
    <cfRule type="cellIs" dxfId="657" priority="701" operator="equal">
      <formula>"Pendiente"</formula>
    </cfRule>
    <cfRule type="cellIs" dxfId="656" priority="702" operator="equal">
      <formula>"Pendiente"</formula>
    </cfRule>
    <cfRule type="cellIs" dxfId="655" priority="703" operator="equal">
      <formula>"PENDIENTE "</formula>
    </cfRule>
    <cfRule type="cellIs" dxfId="654" priority="704" operator="equal">
      <formula>"PENDIENTE"</formula>
    </cfRule>
  </conditionalFormatting>
  <conditionalFormatting sqref="BC1297:BF1297">
    <cfRule type="cellIs" dxfId="653" priority="652" operator="equal">
      <formula>"Pendiente"</formula>
    </cfRule>
    <cfRule type="cellIs" dxfId="652" priority="653" operator="equal">
      <formula>"Pendiente"</formula>
    </cfRule>
    <cfRule type="cellIs" dxfId="651" priority="654" operator="equal">
      <formula>"PENDIENTE "</formula>
    </cfRule>
    <cfRule type="cellIs" dxfId="650" priority="655" operator="equal">
      <formula>"PENDIENTE"</formula>
    </cfRule>
  </conditionalFormatting>
  <conditionalFormatting sqref="BC1352:BF1352 BC1371:BF1371 BC1373:BF1373 BC1394:BF1394 BC1436:BF1437 BC1443:BF1443">
    <cfRule type="cellIs" dxfId="649" priority="568" operator="equal">
      <formula>"Pendiente"</formula>
    </cfRule>
    <cfRule type="cellIs" dxfId="648" priority="569" operator="equal">
      <formula>"Pendiente"</formula>
    </cfRule>
    <cfRule type="cellIs" dxfId="647" priority="570" operator="equal">
      <formula>"PENDIENTE "</formula>
    </cfRule>
    <cfRule type="cellIs" dxfId="646" priority="571" operator="equal">
      <formula>"PENDIENTE"</formula>
    </cfRule>
  </conditionalFormatting>
  <conditionalFormatting sqref="BC1447:BF1447">
    <cfRule type="cellIs" dxfId="645" priority="46" operator="equal">
      <formula>"Pendiente"</formula>
    </cfRule>
    <cfRule type="cellIs" dxfId="644" priority="47" operator="equal">
      <formula>"Pendiente"</formula>
    </cfRule>
    <cfRule type="cellIs" dxfId="643" priority="48" operator="equal">
      <formula>"PENDIENTE "</formula>
    </cfRule>
    <cfRule type="cellIs" dxfId="642" priority="49" operator="equal">
      <formula>"PENDIENTE"</formula>
    </cfRule>
  </conditionalFormatting>
  <conditionalFormatting sqref="BD765">
    <cfRule type="cellIs" dxfId="641" priority="3437" operator="equal">
      <formula>"Pendiente"</formula>
    </cfRule>
    <cfRule type="cellIs" dxfId="640" priority="3438" operator="equal">
      <formula>"Pendiente"</formula>
    </cfRule>
    <cfRule type="cellIs" dxfId="639" priority="3439" operator="equal">
      <formula>"PENDIENTE "</formula>
    </cfRule>
    <cfRule type="cellIs" dxfId="638" priority="3440" operator="equal">
      <formula>"PENDIENTE"</formula>
    </cfRule>
  </conditionalFormatting>
  <conditionalFormatting sqref="BD777">
    <cfRule type="cellIs" dxfId="637" priority="3433" operator="equal">
      <formula>"Pendiente"</formula>
    </cfRule>
    <cfRule type="cellIs" dxfId="636" priority="3434" operator="equal">
      <formula>"Pendiente"</formula>
    </cfRule>
    <cfRule type="cellIs" dxfId="635" priority="3435" operator="equal">
      <formula>"PENDIENTE "</formula>
    </cfRule>
    <cfRule type="cellIs" dxfId="634" priority="3436" operator="equal">
      <formula>"PENDIENTE"</formula>
    </cfRule>
  </conditionalFormatting>
  <conditionalFormatting sqref="BD785">
    <cfRule type="cellIs" dxfId="633" priority="3429" operator="equal">
      <formula>"Pendiente"</formula>
    </cfRule>
    <cfRule type="cellIs" dxfId="632" priority="3430" operator="equal">
      <formula>"Pendiente"</formula>
    </cfRule>
    <cfRule type="cellIs" dxfId="631" priority="3431" operator="equal">
      <formula>"PENDIENTE "</formula>
    </cfRule>
    <cfRule type="cellIs" dxfId="630" priority="3432" operator="equal">
      <formula>"PENDIENTE"</formula>
    </cfRule>
  </conditionalFormatting>
  <conditionalFormatting sqref="BD793:BD794">
    <cfRule type="cellIs" dxfId="629" priority="3421" operator="equal">
      <formula>"Pendiente"</formula>
    </cfRule>
    <cfRule type="cellIs" dxfId="628" priority="3422" operator="equal">
      <formula>"Pendiente"</formula>
    </cfRule>
    <cfRule type="cellIs" dxfId="627" priority="3423" operator="equal">
      <formula>"PENDIENTE "</formula>
    </cfRule>
    <cfRule type="cellIs" dxfId="626" priority="3424" operator="equal">
      <formula>"PENDIENTE"</formula>
    </cfRule>
  </conditionalFormatting>
  <conditionalFormatting sqref="BD800">
    <cfRule type="cellIs" dxfId="625" priority="3417" operator="equal">
      <formula>"Pendiente"</formula>
    </cfRule>
    <cfRule type="cellIs" dxfId="624" priority="3418" operator="equal">
      <formula>"Pendiente"</formula>
    </cfRule>
    <cfRule type="cellIs" dxfId="623" priority="3419" operator="equal">
      <formula>"PENDIENTE "</formula>
    </cfRule>
    <cfRule type="cellIs" dxfId="622" priority="3420" operator="equal">
      <formula>"PENDIENTE"</formula>
    </cfRule>
  </conditionalFormatting>
  <conditionalFormatting sqref="BD807">
    <cfRule type="cellIs" dxfId="621" priority="3249" operator="equal">
      <formula>"Pendiente"</formula>
    </cfRule>
    <cfRule type="cellIs" dxfId="620" priority="3250" operator="equal">
      <formula>"Pendiente"</formula>
    </cfRule>
    <cfRule type="cellIs" dxfId="619" priority="3251" operator="equal">
      <formula>"PENDIENTE "</formula>
    </cfRule>
    <cfRule type="cellIs" dxfId="618" priority="3252" operator="equal">
      <formula>"PENDIENTE"</formula>
    </cfRule>
  </conditionalFormatting>
  <conditionalFormatting sqref="BD813">
    <cfRule type="cellIs" dxfId="617" priority="3413" operator="equal">
      <formula>"Pendiente"</formula>
    </cfRule>
    <cfRule type="cellIs" dxfId="616" priority="3414" operator="equal">
      <formula>"Pendiente"</formula>
    </cfRule>
    <cfRule type="cellIs" dxfId="615" priority="3415" operator="equal">
      <formula>"PENDIENTE "</formula>
    </cfRule>
    <cfRule type="cellIs" dxfId="614" priority="3416" operator="equal">
      <formula>"PENDIENTE"</formula>
    </cfRule>
  </conditionalFormatting>
  <conditionalFormatting sqref="BD822">
    <cfRule type="cellIs" dxfId="613" priority="2345" operator="equal">
      <formula>"Pendiente"</formula>
    </cfRule>
    <cfRule type="cellIs" dxfId="612" priority="2346" operator="equal">
      <formula>"Pendiente"</formula>
    </cfRule>
    <cfRule type="cellIs" dxfId="611" priority="2347" operator="equal">
      <formula>"PENDIENTE "</formula>
    </cfRule>
    <cfRule type="cellIs" dxfId="610" priority="2348" operator="equal">
      <formula>"PENDIENTE"</formula>
    </cfRule>
  </conditionalFormatting>
  <conditionalFormatting sqref="BD828">
    <cfRule type="cellIs" dxfId="609" priority="3409" operator="equal">
      <formula>"Pendiente"</formula>
    </cfRule>
    <cfRule type="cellIs" dxfId="608" priority="3410" operator="equal">
      <formula>"Pendiente"</formula>
    </cfRule>
    <cfRule type="cellIs" dxfId="607" priority="3411" operator="equal">
      <formula>"PENDIENTE "</formula>
    </cfRule>
    <cfRule type="cellIs" dxfId="606" priority="3412" operator="equal">
      <formula>"PENDIENTE"</formula>
    </cfRule>
  </conditionalFormatting>
  <conditionalFormatting sqref="BD842">
    <cfRule type="cellIs" dxfId="605" priority="3405" operator="equal">
      <formula>"Pendiente"</formula>
    </cfRule>
    <cfRule type="cellIs" dxfId="604" priority="3406" operator="equal">
      <formula>"Pendiente"</formula>
    </cfRule>
    <cfRule type="cellIs" dxfId="603" priority="3407" operator="equal">
      <formula>"PENDIENTE "</formula>
    </cfRule>
    <cfRule type="cellIs" dxfId="602" priority="3408" operator="equal">
      <formula>"PENDIENTE"</formula>
    </cfRule>
  </conditionalFormatting>
  <conditionalFormatting sqref="BD873">
    <cfRule type="cellIs" dxfId="601" priority="2341" operator="equal">
      <formula>"Pendiente"</formula>
    </cfRule>
    <cfRule type="cellIs" dxfId="600" priority="2342" operator="equal">
      <formula>"Pendiente"</formula>
    </cfRule>
    <cfRule type="cellIs" dxfId="599" priority="2343" operator="equal">
      <formula>"PENDIENTE "</formula>
    </cfRule>
    <cfRule type="cellIs" dxfId="598" priority="2344" operator="equal">
      <formula>"PENDIENTE"</formula>
    </cfRule>
  </conditionalFormatting>
  <conditionalFormatting sqref="BD875">
    <cfRule type="cellIs" dxfId="597" priority="1193" operator="equal">
      <formula>"Pendiente"</formula>
    </cfRule>
    <cfRule type="cellIs" dxfId="596" priority="1194" operator="equal">
      <formula>"Pendiente"</formula>
    </cfRule>
    <cfRule type="cellIs" dxfId="595" priority="1195" operator="equal">
      <formula>"PENDIENTE "</formula>
    </cfRule>
    <cfRule type="cellIs" dxfId="594" priority="1196" operator="equal">
      <formula>"PENDIENTE"</formula>
    </cfRule>
  </conditionalFormatting>
  <conditionalFormatting sqref="BD893">
    <cfRule type="cellIs" dxfId="593" priority="3289" operator="equal">
      <formula>"Pendiente"</formula>
    </cfRule>
    <cfRule type="cellIs" dxfId="592" priority="3290" operator="equal">
      <formula>"Pendiente"</formula>
    </cfRule>
    <cfRule type="cellIs" dxfId="591" priority="3291" operator="equal">
      <formula>"PENDIENTE "</formula>
    </cfRule>
    <cfRule type="cellIs" dxfId="590" priority="3292" operator="equal">
      <formula>"PENDIENTE"</formula>
    </cfRule>
  </conditionalFormatting>
  <conditionalFormatting sqref="BD894">
    <cfRule type="cellIs" dxfId="589" priority="3285" operator="equal">
      <formula>"Pendiente"</formula>
    </cfRule>
    <cfRule type="cellIs" dxfId="588" priority="3286" operator="equal">
      <formula>"Pendiente"</formula>
    </cfRule>
    <cfRule type="cellIs" dxfId="587" priority="3287" operator="equal">
      <formula>"PENDIENTE "</formula>
    </cfRule>
    <cfRule type="cellIs" dxfId="586" priority="3288" operator="equal">
      <formula>"PENDIENTE"</formula>
    </cfRule>
  </conditionalFormatting>
  <conditionalFormatting sqref="BD895">
    <cfRule type="cellIs" dxfId="585" priority="3281" operator="equal">
      <formula>"Pendiente"</formula>
    </cfRule>
    <cfRule type="cellIs" dxfId="584" priority="3282" operator="equal">
      <formula>"Pendiente"</formula>
    </cfRule>
    <cfRule type="cellIs" dxfId="583" priority="3283" operator="equal">
      <formula>"PENDIENTE "</formula>
    </cfRule>
    <cfRule type="cellIs" dxfId="582" priority="3284" operator="equal">
      <formula>"PENDIENTE"</formula>
    </cfRule>
  </conditionalFormatting>
  <conditionalFormatting sqref="BD896">
    <cfRule type="cellIs" dxfId="581" priority="3277" operator="equal">
      <formula>"Pendiente"</formula>
    </cfRule>
    <cfRule type="cellIs" dxfId="580" priority="3278" operator="equal">
      <formula>"Pendiente"</formula>
    </cfRule>
    <cfRule type="cellIs" dxfId="579" priority="3279" operator="equal">
      <formula>"PENDIENTE "</formula>
    </cfRule>
    <cfRule type="cellIs" dxfId="578" priority="3280" operator="equal">
      <formula>"PENDIENTE"</formula>
    </cfRule>
  </conditionalFormatting>
  <conditionalFormatting sqref="BD898">
    <cfRule type="cellIs" dxfId="577" priority="3273" operator="equal">
      <formula>"Pendiente"</formula>
    </cfRule>
    <cfRule type="cellIs" dxfId="576" priority="3274" operator="equal">
      <formula>"Pendiente"</formula>
    </cfRule>
    <cfRule type="cellIs" dxfId="575" priority="3275" operator="equal">
      <formula>"PENDIENTE "</formula>
    </cfRule>
    <cfRule type="cellIs" dxfId="574" priority="3276" operator="equal">
      <formula>"PENDIENTE"</formula>
    </cfRule>
  </conditionalFormatting>
  <conditionalFormatting sqref="BD909">
    <cfRule type="cellIs" dxfId="573" priority="2337" operator="equal">
      <formula>"Pendiente"</formula>
    </cfRule>
    <cfRule type="cellIs" dxfId="572" priority="2338" operator="equal">
      <formula>"Pendiente"</formula>
    </cfRule>
    <cfRule type="cellIs" dxfId="571" priority="2339" operator="equal">
      <formula>"PENDIENTE "</formula>
    </cfRule>
    <cfRule type="cellIs" dxfId="570" priority="2340" operator="equal">
      <formula>"PENDIENTE"</formula>
    </cfRule>
  </conditionalFormatting>
  <conditionalFormatting sqref="BD950">
    <cfRule type="cellIs" dxfId="569" priority="2333" operator="equal">
      <formula>"Pendiente"</formula>
    </cfRule>
    <cfRule type="cellIs" dxfId="568" priority="2334" operator="equal">
      <formula>"Pendiente"</formula>
    </cfRule>
    <cfRule type="cellIs" dxfId="567" priority="2335" operator="equal">
      <formula>"PENDIENTE "</formula>
    </cfRule>
    <cfRule type="cellIs" dxfId="566" priority="2336" operator="equal">
      <formula>"PENDIENTE"</formula>
    </cfRule>
  </conditionalFormatting>
  <conditionalFormatting sqref="BD960">
    <cfRule type="cellIs" dxfId="565" priority="1189" operator="equal">
      <formula>"Pendiente"</formula>
    </cfRule>
    <cfRule type="cellIs" dxfId="564" priority="1190" operator="equal">
      <formula>"Pendiente"</formula>
    </cfRule>
    <cfRule type="cellIs" dxfId="563" priority="1191" operator="equal">
      <formula>"PENDIENTE "</formula>
    </cfRule>
    <cfRule type="cellIs" dxfId="562" priority="1192" operator="equal">
      <formula>"PENDIENTE"</formula>
    </cfRule>
  </conditionalFormatting>
  <conditionalFormatting sqref="BD986">
    <cfRule type="cellIs" dxfId="561" priority="1185" operator="equal">
      <formula>"Pendiente"</formula>
    </cfRule>
    <cfRule type="cellIs" dxfId="560" priority="1186" operator="equal">
      <formula>"Pendiente"</formula>
    </cfRule>
    <cfRule type="cellIs" dxfId="559" priority="1187" operator="equal">
      <formula>"PENDIENTE "</formula>
    </cfRule>
    <cfRule type="cellIs" dxfId="558" priority="1188" operator="equal">
      <formula>"PENDIENTE"</formula>
    </cfRule>
  </conditionalFormatting>
  <conditionalFormatting sqref="BD999">
    <cfRule type="cellIs" dxfId="557" priority="1181" operator="equal">
      <formula>"Pendiente"</formula>
    </cfRule>
    <cfRule type="cellIs" dxfId="556" priority="1182" operator="equal">
      <formula>"Pendiente"</formula>
    </cfRule>
    <cfRule type="cellIs" dxfId="555" priority="1183" operator="equal">
      <formula>"PENDIENTE "</formula>
    </cfRule>
    <cfRule type="cellIs" dxfId="554" priority="1184" operator="equal">
      <formula>"PENDIENTE"</formula>
    </cfRule>
  </conditionalFormatting>
  <conditionalFormatting sqref="BD1083">
    <cfRule type="cellIs" dxfId="553" priority="1177" operator="equal">
      <formula>"Pendiente"</formula>
    </cfRule>
    <cfRule type="cellIs" dxfId="552" priority="1178" operator="equal">
      <formula>"Pendiente"</formula>
    </cfRule>
    <cfRule type="cellIs" dxfId="551" priority="1179" operator="equal">
      <formula>"PENDIENTE "</formula>
    </cfRule>
    <cfRule type="cellIs" dxfId="550" priority="1180" operator="equal">
      <formula>"PENDIENTE"</formula>
    </cfRule>
  </conditionalFormatting>
  <conditionalFormatting sqref="BD830:BE830">
    <cfRule type="cellIs" dxfId="549" priority="3341" operator="equal">
      <formula>"Pendiente"</formula>
    </cfRule>
    <cfRule type="cellIs" dxfId="548" priority="3342" operator="equal">
      <formula>"Pendiente"</formula>
    </cfRule>
    <cfRule type="cellIs" dxfId="547" priority="3343" operator="equal">
      <formula>"PENDIENTE "</formula>
    </cfRule>
    <cfRule type="cellIs" dxfId="546" priority="3344" operator="equal">
      <formula>"PENDIENTE"</formula>
    </cfRule>
  </conditionalFormatting>
  <conditionalFormatting sqref="BD885:BE885">
    <cfRule type="cellIs" dxfId="545" priority="1769" operator="equal">
      <formula>"Pendiente"</formula>
    </cfRule>
    <cfRule type="cellIs" dxfId="544" priority="1770" operator="equal">
      <formula>"Pendiente"</formula>
    </cfRule>
    <cfRule type="cellIs" dxfId="543" priority="1771" operator="equal">
      <formula>"PENDIENTE "</formula>
    </cfRule>
    <cfRule type="cellIs" dxfId="542" priority="1772" operator="equal">
      <formula>"PENDIENTE"</formula>
    </cfRule>
  </conditionalFormatting>
  <conditionalFormatting sqref="BD925:BE925">
    <cfRule type="cellIs" dxfId="541" priority="1765" operator="equal">
      <formula>"Pendiente"</formula>
    </cfRule>
    <cfRule type="cellIs" dxfId="540" priority="1766" operator="equal">
      <formula>"Pendiente"</formula>
    </cfRule>
    <cfRule type="cellIs" dxfId="539" priority="1767" operator="equal">
      <formula>"PENDIENTE "</formula>
    </cfRule>
    <cfRule type="cellIs" dxfId="538" priority="1768" operator="equal">
      <formula>"PENDIENTE"</formula>
    </cfRule>
  </conditionalFormatting>
  <conditionalFormatting sqref="BD937:BE937">
    <cfRule type="cellIs" dxfId="537" priority="1761" operator="equal">
      <formula>"Pendiente"</formula>
    </cfRule>
    <cfRule type="cellIs" dxfId="536" priority="1762" operator="equal">
      <formula>"Pendiente"</formula>
    </cfRule>
    <cfRule type="cellIs" dxfId="535" priority="1763" operator="equal">
      <formula>"PENDIENTE "</formula>
    </cfRule>
    <cfRule type="cellIs" dxfId="534" priority="1764" operator="equal">
      <formula>"PENDIENTE"</formula>
    </cfRule>
  </conditionalFormatting>
  <conditionalFormatting sqref="BD980:BE980">
    <cfRule type="cellIs" dxfId="533" priority="1757" operator="equal">
      <formula>"Pendiente"</formula>
    </cfRule>
    <cfRule type="cellIs" dxfId="532" priority="1758" operator="equal">
      <formula>"Pendiente"</formula>
    </cfRule>
    <cfRule type="cellIs" dxfId="531" priority="1759" operator="equal">
      <formula>"PENDIENTE "</formula>
    </cfRule>
    <cfRule type="cellIs" dxfId="530" priority="1760" operator="equal">
      <formula>"PENDIENTE"</formula>
    </cfRule>
  </conditionalFormatting>
  <conditionalFormatting sqref="BE765">
    <cfRule type="cellIs" dxfId="529" priority="3401" operator="equal">
      <formula>"Pendiente"</formula>
    </cfRule>
    <cfRule type="cellIs" dxfId="528" priority="3402" operator="equal">
      <formula>"Pendiente"</formula>
    </cfRule>
    <cfRule type="cellIs" dxfId="527" priority="3403" operator="equal">
      <formula>"PENDIENTE "</formula>
    </cfRule>
    <cfRule type="cellIs" dxfId="526" priority="3404" operator="equal">
      <formula>"PENDIENTE"</formula>
    </cfRule>
  </conditionalFormatting>
  <conditionalFormatting sqref="BE777">
    <cfRule type="cellIs" dxfId="525" priority="3397" operator="equal">
      <formula>"Pendiente"</formula>
    </cfRule>
    <cfRule type="cellIs" dxfId="524" priority="3398" operator="equal">
      <formula>"Pendiente"</formula>
    </cfRule>
    <cfRule type="cellIs" dxfId="523" priority="3399" operator="equal">
      <formula>"PENDIENTE "</formula>
    </cfRule>
    <cfRule type="cellIs" dxfId="522" priority="3400" operator="equal">
      <formula>"PENDIENTE"</formula>
    </cfRule>
  </conditionalFormatting>
  <conditionalFormatting sqref="BE785">
    <cfRule type="cellIs" dxfId="521" priority="3393" operator="equal">
      <formula>"Pendiente"</formula>
    </cfRule>
    <cfRule type="cellIs" dxfId="520" priority="3394" operator="equal">
      <formula>"Pendiente"</formula>
    </cfRule>
    <cfRule type="cellIs" dxfId="519" priority="3395" operator="equal">
      <formula>"PENDIENTE "</formula>
    </cfRule>
    <cfRule type="cellIs" dxfId="518" priority="3396" operator="equal">
      <formula>"PENDIENTE"</formula>
    </cfRule>
  </conditionalFormatting>
  <conditionalFormatting sqref="BE793:BE794">
    <cfRule type="cellIs" dxfId="517" priority="3385" operator="equal">
      <formula>"Pendiente"</formula>
    </cfRule>
    <cfRule type="cellIs" dxfId="516" priority="3386" operator="equal">
      <formula>"Pendiente"</formula>
    </cfRule>
    <cfRule type="cellIs" dxfId="515" priority="3387" operator="equal">
      <formula>"PENDIENTE "</formula>
    </cfRule>
    <cfRule type="cellIs" dxfId="514" priority="3388" operator="equal">
      <formula>"PENDIENTE"</formula>
    </cfRule>
  </conditionalFormatting>
  <conditionalFormatting sqref="BE800">
    <cfRule type="cellIs" dxfId="513" priority="3381" operator="equal">
      <formula>"Pendiente"</formula>
    </cfRule>
    <cfRule type="cellIs" dxfId="512" priority="3382" operator="equal">
      <formula>"Pendiente"</formula>
    </cfRule>
    <cfRule type="cellIs" dxfId="511" priority="3383" operator="equal">
      <formula>"PENDIENTE "</formula>
    </cfRule>
    <cfRule type="cellIs" dxfId="510" priority="3384" operator="equal">
      <formula>"PENDIENTE"</formula>
    </cfRule>
  </conditionalFormatting>
  <conditionalFormatting sqref="BE813">
    <cfRule type="cellIs" dxfId="509" priority="3377" operator="equal">
      <formula>"Pendiente"</formula>
    </cfRule>
    <cfRule type="cellIs" dxfId="508" priority="3378" operator="equal">
      <formula>"Pendiente"</formula>
    </cfRule>
    <cfRule type="cellIs" dxfId="507" priority="3379" operator="equal">
      <formula>"PENDIENTE "</formula>
    </cfRule>
    <cfRule type="cellIs" dxfId="506" priority="3380" operator="equal">
      <formula>"PENDIENTE"</formula>
    </cfRule>
  </conditionalFormatting>
  <conditionalFormatting sqref="BE822">
    <cfRule type="cellIs" dxfId="505" priority="2313" operator="equal">
      <formula>"Pendiente"</formula>
    </cfRule>
    <cfRule type="cellIs" dxfId="504" priority="2314" operator="equal">
      <formula>"Pendiente"</formula>
    </cfRule>
    <cfRule type="cellIs" dxfId="503" priority="2315" operator="equal">
      <formula>"PENDIENTE "</formula>
    </cfRule>
    <cfRule type="cellIs" dxfId="502" priority="2316" operator="equal">
      <formula>"PENDIENTE"</formula>
    </cfRule>
  </conditionalFormatting>
  <conditionalFormatting sqref="BE828">
    <cfRule type="cellIs" dxfId="501" priority="3373" operator="equal">
      <formula>"Pendiente"</formula>
    </cfRule>
    <cfRule type="cellIs" dxfId="500" priority="3374" operator="equal">
      <formula>"Pendiente"</formula>
    </cfRule>
    <cfRule type="cellIs" dxfId="499" priority="3375" operator="equal">
      <formula>"PENDIENTE "</formula>
    </cfRule>
    <cfRule type="cellIs" dxfId="498" priority="3376" operator="equal">
      <formula>"PENDIENTE"</formula>
    </cfRule>
  </conditionalFormatting>
  <conditionalFormatting sqref="BE842">
    <cfRule type="cellIs" dxfId="497" priority="3369" operator="equal">
      <formula>"Pendiente"</formula>
    </cfRule>
    <cfRule type="cellIs" dxfId="496" priority="3370" operator="equal">
      <formula>"Pendiente"</formula>
    </cfRule>
    <cfRule type="cellIs" dxfId="495" priority="3371" operator="equal">
      <formula>"PENDIENTE "</formula>
    </cfRule>
    <cfRule type="cellIs" dxfId="494" priority="3372" operator="equal">
      <formula>"PENDIENTE"</formula>
    </cfRule>
  </conditionalFormatting>
  <conditionalFormatting sqref="BE869">
    <cfRule type="cellIs" dxfId="493" priority="1749" operator="equal">
      <formula>"Pendiente"</formula>
    </cfRule>
    <cfRule type="cellIs" dxfId="492" priority="1750" operator="equal">
      <formula>"Pendiente"</formula>
    </cfRule>
    <cfRule type="cellIs" dxfId="491" priority="1751" operator="equal">
      <formula>"PENDIENTE "</formula>
    </cfRule>
    <cfRule type="cellIs" dxfId="490" priority="1752" operator="equal">
      <formula>"PENDIENTE"</formula>
    </cfRule>
  </conditionalFormatting>
  <conditionalFormatting sqref="BE873">
    <cfRule type="cellIs" dxfId="489" priority="2309" operator="equal">
      <formula>"Pendiente"</formula>
    </cfRule>
    <cfRule type="cellIs" dxfId="488" priority="2310" operator="equal">
      <formula>"Pendiente"</formula>
    </cfRule>
    <cfRule type="cellIs" dxfId="487" priority="2311" operator="equal">
      <formula>"PENDIENTE "</formula>
    </cfRule>
    <cfRule type="cellIs" dxfId="486" priority="2312" operator="equal">
      <formula>"PENDIENTE"</formula>
    </cfRule>
  </conditionalFormatting>
  <conditionalFormatting sqref="BE884">
    <cfRule type="cellIs" dxfId="485" priority="1741" operator="equal">
      <formula>"Pendiente"</formula>
    </cfRule>
    <cfRule type="cellIs" dxfId="484" priority="1742" operator="equal">
      <formula>"Pendiente"</formula>
    </cfRule>
    <cfRule type="cellIs" dxfId="483" priority="1743" operator="equal">
      <formula>"PENDIENTE "</formula>
    </cfRule>
    <cfRule type="cellIs" dxfId="482" priority="1744" operator="equal">
      <formula>"PENDIENTE"</formula>
    </cfRule>
  </conditionalFormatting>
  <conditionalFormatting sqref="BE891">
    <cfRule type="cellIs" dxfId="481" priority="1733" operator="equal">
      <formula>"Pendiente"</formula>
    </cfRule>
    <cfRule type="cellIs" dxfId="480" priority="1734" operator="equal">
      <formula>"Pendiente"</formula>
    </cfRule>
    <cfRule type="cellIs" dxfId="479" priority="1735" operator="equal">
      <formula>"PENDIENTE "</formula>
    </cfRule>
    <cfRule type="cellIs" dxfId="478" priority="1736" operator="equal">
      <formula>"PENDIENTE"</formula>
    </cfRule>
  </conditionalFormatting>
  <conditionalFormatting sqref="BE893">
    <cfRule type="cellIs" dxfId="477" priority="3269" operator="equal">
      <formula>"Pendiente"</formula>
    </cfRule>
    <cfRule type="cellIs" dxfId="476" priority="3270" operator="equal">
      <formula>"Pendiente"</formula>
    </cfRule>
    <cfRule type="cellIs" dxfId="475" priority="3271" operator="equal">
      <formula>"PENDIENTE "</formula>
    </cfRule>
    <cfRule type="cellIs" dxfId="474" priority="3272" operator="equal">
      <formula>"PENDIENTE"</formula>
    </cfRule>
  </conditionalFormatting>
  <conditionalFormatting sqref="BE894">
    <cfRule type="cellIs" dxfId="473" priority="3265" operator="equal">
      <formula>"Pendiente"</formula>
    </cfRule>
    <cfRule type="cellIs" dxfId="472" priority="3266" operator="equal">
      <formula>"Pendiente"</formula>
    </cfRule>
    <cfRule type="cellIs" dxfId="471" priority="3267" operator="equal">
      <formula>"PENDIENTE "</formula>
    </cfRule>
    <cfRule type="cellIs" dxfId="470" priority="3268" operator="equal">
      <formula>"PENDIENTE"</formula>
    </cfRule>
  </conditionalFormatting>
  <conditionalFormatting sqref="BE895">
    <cfRule type="cellIs" dxfId="469" priority="3261" operator="equal">
      <formula>"Pendiente"</formula>
    </cfRule>
    <cfRule type="cellIs" dxfId="468" priority="3262" operator="equal">
      <formula>"Pendiente"</formula>
    </cfRule>
    <cfRule type="cellIs" dxfId="467" priority="3263" operator="equal">
      <formula>"PENDIENTE "</formula>
    </cfRule>
    <cfRule type="cellIs" dxfId="466" priority="3264" operator="equal">
      <formula>"PENDIENTE"</formula>
    </cfRule>
  </conditionalFormatting>
  <conditionalFormatting sqref="BE896">
    <cfRule type="cellIs" dxfId="465" priority="3257" operator="equal">
      <formula>"Pendiente"</formula>
    </cfRule>
    <cfRule type="cellIs" dxfId="464" priority="3258" operator="equal">
      <formula>"Pendiente"</formula>
    </cfRule>
    <cfRule type="cellIs" dxfId="463" priority="3259" operator="equal">
      <formula>"PENDIENTE "</formula>
    </cfRule>
    <cfRule type="cellIs" dxfId="462" priority="3260" operator="equal">
      <formula>"PENDIENTE"</formula>
    </cfRule>
  </conditionalFormatting>
  <conditionalFormatting sqref="BE898">
    <cfRule type="cellIs" dxfId="461" priority="3253" operator="equal">
      <formula>"Pendiente"</formula>
    </cfRule>
    <cfRule type="cellIs" dxfId="460" priority="3254" operator="equal">
      <formula>"Pendiente"</formula>
    </cfRule>
    <cfRule type="cellIs" dxfId="459" priority="3255" operator="equal">
      <formula>"PENDIENTE "</formula>
    </cfRule>
    <cfRule type="cellIs" dxfId="458" priority="3256" operator="equal">
      <formula>"PENDIENTE"</formula>
    </cfRule>
  </conditionalFormatting>
  <conditionalFormatting sqref="BE899">
    <cfRule type="cellIs" dxfId="457" priority="1725" operator="equal">
      <formula>"Pendiente"</formula>
    </cfRule>
    <cfRule type="cellIs" dxfId="456" priority="1726" operator="equal">
      <formula>"Pendiente"</formula>
    </cfRule>
    <cfRule type="cellIs" dxfId="455" priority="1727" operator="equal">
      <formula>"PENDIENTE "</formula>
    </cfRule>
    <cfRule type="cellIs" dxfId="454" priority="1728" operator="equal">
      <formula>"PENDIENTE"</formula>
    </cfRule>
  </conditionalFormatting>
  <conditionalFormatting sqref="BE909">
    <cfRule type="cellIs" dxfId="453" priority="2305" operator="equal">
      <formula>"Pendiente"</formula>
    </cfRule>
    <cfRule type="cellIs" dxfId="452" priority="2306" operator="equal">
      <formula>"Pendiente"</formula>
    </cfRule>
    <cfRule type="cellIs" dxfId="451" priority="2307" operator="equal">
      <formula>"PENDIENTE "</formula>
    </cfRule>
    <cfRule type="cellIs" dxfId="450" priority="2308" operator="equal">
      <formula>"PENDIENTE"</formula>
    </cfRule>
  </conditionalFormatting>
  <conditionalFormatting sqref="BE917">
    <cfRule type="cellIs" dxfId="449" priority="1717" operator="equal">
      <formula>"Pendiente"</formula>
    </cfRule>
    <cfRule type="cellIs" dxfId="448" priority="1718" operator="equal">
      <formula>"Pendiente"</formula>
    </cfRule>
    <cfRule type="cellIs" dxfId="447" priority="1719" operator="equal">
      <formula>"PENDIENTE "</formula>
    </cfRule>
    <cfRule type="cellIs" dxfId="446" priority="1720" operator="equal">
      <formula>"PENDIENTE"</formula>
    </cfRule>
  </conditionalFormatting>
  <conditionalFormatting sqref="BE923">
    <cfRule type="cellIs" dxfId="445" priority="1709" operator="equal">
      <formula>"Pendiente"</formula>
    </cfRule>
    <cfRule type="cellIs" dxfId="444" priority="1710" operator="equal">
      <formula>"Pendiente"</formula>
    </cfRule>
    <cfRule type="cellIs" dxfId="443" priority="1711" operator="equal">
      <formula>"PENDIENTE "</formula>
    </cfRule>
    <cfRule type="cellIs" dxfId="442" priority="1712" operator="equal">
      <formula>"PENDIENTE"</formula>
    </cfRule>
  </conditionalFormatting>
  <conditionalFormatting sqref="BE935">
    <cfRule type="cellIs" dxfId="441" priority="1701" operator="equal">
      <formula>"Pendiente"</formula>
    </cfRule>
    <cfRule type="cellIs" dxfId="440" priority="1702" operator="equal">
      <formula>"Pendiente"</formula>
    </cfRule>
    <cfRule type="cellIs" dxfId="439" priority="1703" operator="equal">
      <formula>"PENDIENTE "</formula>
    </cfRule>
    <cfRule type="cellIs" dxfId="438" priority="1704" operator="equal">
      <formula>"PENDIENTE"</formula>
    </cfRule>
  </conditionalFormatting>
  <conditionalFormatting sqref="BE941">
    <cfRule type="cellIs" dxfId="437" priority="2369" operator="equal">
      <formula>"Pendiente"</formula>
    </cfRule>
    <cfRule type="cellIs" dxfId="436" priority="2370" operator="equal">
      <formula>"Pendiente"</formula>
    </cfRule>
    <cfRule type="cellIs" dxfId="435" priority="2371" operator="equal">
      <formula>"PENDIENTE "</formula>
    </cfRule>
    <cfRule type="cellIs" dxfId="434" priority="2372" operator="equal">
      <formula>"PENDIENTE"</formula>
    </cfRule>
  </conditionalFormatting>
  <conditionalFormatting sqref="BE947">
    <cfRule type="cellIs" dxfId="433" priority="1693" operator="equal">
      <formula>"Pendiente"</formula>
    </cfRule>
    <cfRule type="cellIs" dxfId="432" priority="1694" operator="equal">
      <formula>"Pendiente"</formula>
    </cfRule>
    <cfRule type="cellIs" dxfId="431" priority="1695" operator="equal">
      <formula>"PENDIENTE "</formula>
    </cfRule>
    <cfRule type="cellIs" dxfId="430" priority="1696" operator="equal">
      <formula>"PENDIENTE"</formula>
    </cfRule>
  </conditionalFormatting>
  <conditionalFormatting sqref="BE950">
    <cfRule type="cellIs" dxfId="429" priority="2301" operator="equal">
      <formula>"Pendiente"</formula>
    </cfRule>
    <cfRule type="cellIs" dxfId="428" priority="2302" operator="equal">
      <formula>"Pendiente"</formula>
    </cfRule>
    <cfRule type="cellIs" dxfId="427" priority="2303" operator="equal">
      <formula>"PENDIENTE "</formula>
    </cfRule>
    <cfRule type="cellIs" dxfId="426" priority="2304" operator="equal">
      <formula>"PENDIENTE"</formula>
    </cfRule>
  </conditionalFormatting>
  <conditionalFormatting sqref="BE954">
    <cfRule type="cellIs" dxfId="425" priority="1685" operator="equal">
      <formula>"Pendiente"</formula>
    </cfRule>
    <cfRule type="cellIs" dxfId="424" priority="1686" operator="equal">
      <formula>"Pendiente"</formula>
    </cfRule>
    <cfRule type="cellIs" dxfId="423" priority="1687" operator="equal">
      <formula>"PENDIENTE "</formula>
    </cfRule>
    <cfRule type="cellIs" dxfId="422" priority="1688" operator="equal">
      <formula>"PENDIENTE"</formula>
    </cfRule>
  </conditionalFormatting>
  <conditionalFormatting sqref="BE975">
    <cfRule type="cellIs" dxfId="421" priority="1601" operator="equal">
      <formula>"Pendiente"</formula>
    </cfRule>
    <cfRule type="cellIs" dxfId="420" priority="1602" operator="equal">
      <formula>"Pendiente"</formula>
    </cfRule>
    <cfRule type="cellIs" dxfId="419" priority="1603" operator="equal">
      <formula>"PENDIENTE "</formula>
    </cfRule>
    <cfRule type="cellIs" dxfId="418" priority="1604" operator="equal">
      <formula>"PENDIENTE"</formula>
    </cfRule>
  </conditionalFormatting>
  <conditionalFormatting sqref="BE976">
    <cfRule type="cellIs" dxfId="417" priority="1677" operator="equal">
      <formula>"Pendiente"</formula>
    </cfRule>
    <cfRule type="cellIs" dxfId="416" priority="1678" operator="equal">
      <formula>"Pendiente"</formula>
    </cfRule>
    <cfRule type="cellIs" dxfId="415" priority="1679" operator="equal">
      <formula>"PENDIENTE "</formula>
    </cfRule>
    <cfRule type="cellIs" dxfId="414" priority="1680" operator="equal">
      <formula>"PENDIENTE"</formula>
    </cfRule>
  </conditionalFormatting>
  <conditionalFormatting sqref="BE981">
    <cfRule type="cellIs" dxfId="413" priority="1597" operator="equal">
      <formula>"Pendiente"</formula>
    </cfRule>
    <cfRule type="cellIs" dxfId="412" priority="1598" operator="equal">
      <formula>"Pendiente"</formula>
    </cfRule>
    <cfRule type="cellIs" dxfId="411" priority="1599" operator="equal">
      <formula>"PENDIENTE "</formula>
    </cfRule>
    <cfRule type="cellIs" dxfId="410" priority="1600" operator="equal">
      <formula>"PENDIENTE"</formula>
    </cfRule>
  </conditionalFormatting>
  <conditionalFormatting sqref="BE868:BF868">
    <cfRule type="cellIs" dxfId="409" priority="2853" operator="equal">
      <formula>"Pendiente"</formula>
    </cfRule>
    <cfRule type="cellIs" dxfId="408" priority="2854" operator="equal">
      <formula>"Pendiente"</formula>
    </cfRule>
    <cfRule type="cellIs" dxfId="407" priority="2855" operator="equal">
      <formula>"PENDIENTE "</formula>
    </cfRule>
    <cfRule type="cellIs" dxfId="406" priority="2856" operator="equal">
      <formula>"PENDIENTE"</formula>
    </cfRule>
  </conditionalFormatting>
  <conditionalFormatting sqref="BE870:BF870">
    <cfRule type="cellIs" dxfId="405" priority="3337" operator="equal">
      <formula>"Pendiente"</formula>
    </cfRule>
    <cfRule type="cellIs" dxfId="404" priority="3338" operator="equal">
      <formula>"Pendiente"</formula>
    </cfRule>
    <cfRule type="cellIs" dxfId="403" priority="3339" operator="equal">
      <formula>"PENDIENTE "</formula>
    </cfRule>
    <cfRule type="cellIs" dxfId="402" priority="3340" operator="equal">
      <formula>"PENDIENTE"</formula>
    </cfRule>
  </conditionalFormatting>
  <conditionalFormatting sqref="BE874:BF874">
    <cfRule type="cellIs" dxfId="401" priority="2857" operator="equal">
      <formula>"Pendiente"</formula>
    </cfRule>
    <cfRule type="cellIs" dxfId="400" priority="2858" operator="equal">
      <formula>"Pendiente"</formula>
    </cfRule>
    <cfRule type="cellIs" dxfId="399" priority="2859" operator="equal">
      <formula>"PENDIENTE "</formula>
    </cfRule>
    <cfRule type="cellIs" dxfId="398" priority="2860" operator="equal">
      <formula>"PENDIENTE"</formula>
    </cfRule>
  </conditionalFormatting>
  <conditionalFormatting sqref="BE876:BF876">
    <cfRule type="cellIs" dxfId="397" priority="2401" operator="equal">
      <formula>"Pendiente"</formula>
    </cfRule>
    <cfRule type="cellIs" dxfId="396" priority="2402" operator="equal">
      <formula>"Pendiente"</formula>
    </cfRule>
    <cfRule type="cellIs" dxfId="395" priority="2403" operator="equal">
      <formula>"PENDIENTE "</formula>
    </cfRule>
    <cfRule type="cellIs" dxfId="394" priority="2404" operator="equal">
      <formula>"PENDIENTE"</formula>
    </cfRule>
  </conditionalFormatting>
  <conditionalFormatting sqref="BE888:BF888">
    <cfRule type="cellIs" dxfId="393" priority="2397" operator="equal">
      <formula>"Pendiente"</formula>
    </cfRule>
    <cfRule type="cellIs" dxfId="392" priority="2398" operator="equal">
      <formula>"Pendiente"</formula>
    </cfRule>
    <cfRule type="cellIs" dxfId="391" priority="2399" operator="equal">
      <formula>"PENDIENTE "</formula>
    </cfRule>
    <cfRule type="cellIs" dxfId="390" priority="2400" operator="equal">
      <formula>"PENDIENTE"</formula>
    </cfRule>
  </conditionalFormatting>
  <conditionalFormatting sqref="BE889:BF889">
    <cfRule type="cellIs" dxfId="389" priority="2213" operator="equal">
      <formula>"Pendiente"</formula>
    </cfRule>
    <cfRule type="cellIs" dxfId="388" priority="2214" operator="equal">
      <formula>"Pendiente"</formula>
    </cfRule>
    <cfRule type="cellIs" dxfId="387" priority="2215" operator="equal">
      <formula>"PENDIENTE "</formula>
    </cfRule>
    <cfRule type="cellIs" dxfId="386" priority="2216" operator="equal">
      <formula>"PENDIENTE"</formula>
    </cfRule>
  </conditionalFormatting>
  <conditionalFormatting sqref="BE908:BF908">
    <cfRule type="cellIs" dxfId="385" priority="2393" operator="equal">
      <formula>"Pendiente"</formula>
    </cfRule>
    <cfRule type="cellIs" dxfId="384" priority="2394" operator="equal">
      <formula>"Pendiente"</formula>
    </cfRule>
    <cfRule type="cellIs" dxfId="383" priority="2395" operator="equal">
      <formula>"PENDIENTE "</formula>
    </cfRule>
    <cfRule type="cellIs" dxfId="382" priority="2396" operator="equal">
      <formula>"PENDIENTE"</formula>
    </cfRule>
  </conditionalFormatting>
  <conditionalFormatting sqref="BE926:BF926">
    <cfRule type="cellIs" dxfId="381" priority="2389" operator="equal">
      <formula>"Pendiente"</formula>
    </cfRule>
    <cfRule type="cellIs" dxfId="380" priority="2390" operator="equal">
      <formula>"Pendiente"</formula>
    </cfRule>
    <cfRule type="cellIs" dxfId="379" priority="2391" operator="equal">
      <formula>"PENDIENTE "</formula>
    </cfRule>
    <cfRule type="cellIs" dxfId="378" priority="2392" operator="equal">
      <formula>"PENDIENTE"</formula>
    </cfRule>
  </conditionalFormatting>
  <conditionalFormatting sqref="BE929:BF929">
    <cfRule type="cellIs" dxfId="377" priority="2209" operator="equal">
      <formula>"Pendiente"</formula>
    </cfRule>
    <cfRule type="cellIs" dxfId="376" priority="2210" operator="equal">
      <formula>"Pendiente"</formula>
    </cfRule>
    <cfRule type="cellIs" dxfId="375" priority="2211" operator="equal">
      <formula>"PENDIENTE "</formula>
    </cfRule>
    <cfRule type="cellIs" dxfId="374" priority="2212" operator="equal">
      <formula>"PENDIENTE"</formula>
    </cfRule>
  </conditionalFormatting>
  <conditionalFormatting sqref="BE934:BF934">
    <cfRule type="cellIs" dxfId="373" priority="2205" operator="equal">
      <formula>"Pendiente"</formula>
    </cfRule>
    <cfRule type="cellIs" dxfId="372" priority="2206" operator="equal">
      <formula>"Pendiente"</formula>
    </cfRule>
    <cfRule type="cellIs" dxfId="371" priority="2207" operator="equal">
      <formula>"PENDIENTE "</formula>
    </cfRule>
    <cfRule type="cellIs" dxfId="370" priority="2208" operator="equal">
      <formula>"PENDIENTE"</formula>
    </cfRule>
  </conditionalFormatting>
  <conditionalFormatting sqref="BE942:BF942 BE944:BF945">
    <cfRule type="cellIs" dxfId="369" priority="3353" operator="equal">
      <formula>"Pendiente"</formula>
    </cfRule>
    <cfRule type="cellIs" dxfId="368" priority="3354" operator="equal">
      <formula>"Pendiente"</formula>
    </cfRule>
    <cfRule type="cellIs" dxfId="367" priority="3355" operator="equal">
      <formula>"PENDIENTE "</formula>
    </cfRule>
    <cfRule type="cellIs" dxfId="366" priority="3356" operator="equal">
      <formula>"PENDIENTE"</formula>
    </cfRule>
  </conditionalFormatting>
  <conditionalFormatting sqref="BE943:BF943">
    <cfRule type="cellIs" dxfId="365" priority="2385" operator="equal">
      <formula>"Pendiente"</formula>
    </cfRule>
    <cfRule type="cellIs" dxfId="364" priority="2386" operator="equal">
      <formula>"Pendiente"</formula>
    </cfRule>
    <cfRule type="cellIs" dxfId="363" priority="2387" operator="equal">
      <formula>"PENDIENTE "</formula>
    </cfRule>
    <cfRule type="cellIs" dxfId="362" priority="2388" operator="equal">
      <formula>"PENDIENTE"</formula>
    </cfRule>
  </conditionalFormatting>
  <conditionalFormatting sqref="BE951:BF951">
    <cfRule type="cellIs" dxfId="361" priority="2201" operator="equal">
      <formula>"Pendiente"</formula>
    </cfRule>
    <cfRule type="cellIs" dxfId="360" priority="2202" operator="equal">
      <formula>"Pendiente"</formula>
    </cfRule>
    <cfRule type="cellIs" dxfId="359" priority="2203" operator="equal">
      <formula>"PENDIENTE "</formula>
    </cfRule>
    <cfRule type="cellIs" dxfId="358" priority="2204" operator="equal">
      <formula>"PENDIENTE"</formula>
    </cfRule>
  </conditionalFormatting>
  <conditionalFormatting sqref="BE953:BF953">
    <cfRule type="cellIs" dxfId="357" priority="2381" operator="equal">
      <formula>"Pendiente"</formula>
    </cfRule>
    <cfRule type="cellIs" dxfId="356" priority="2382" operator="equal">
      <formula>"Pendiente"</formula>
    </cfRule>
    <cfRule type="cellIs" dxfId="355" priority="2383" operator="equal">
      <formula>"PENDIENTE "</formula>
    </cfRule>
    <cfRule type="cellIs" dxfId="354" priority="2384" operator="equal">
      <formula>"PENDIENTE"</formula>
    </cfRule>
  </conditionalFormatting>
  <conditionalFormatting sqref="BE967:BF967">
    <cfRule type="cellIs" dxfId="353" priority="2377" operator="equal">
      <formula>"Pendiente"</formula>
    </cfRule>
    <cfRule type="cellIs" dxfId="352" priority="2378" operator="equal">
      <formula>"Pendiente"</formula>
    </cfRule>
    <cfRule type="cellIs" dxfId="351" priority="2379" operator="equal">
      <formula>"PENDIENTE "</formula>
    </cfRule>
    <cfRule type="cellIs" dxfId="350" priority="2380" operator="equal">
      <formula>"PENDIENTE"</formula>
    </cfRule>
  </conditionalFormatting>
  <conditionalFormatting sqref="BE983:BF983">
    <cfRule type="cellIs" dxfId="349" priority="2197" operator="equal">
      <formula>"Pendiente"</formula>
    </cfRule>
    <cfRule type="cellIs" dxfId="348" priority="2198" operator="equal">
      <formula>"Pendiente"</formula>
    </cfRule>
    <cfRule type="cellIs" dxfId="347" priority="2199" operator="equal">
      <formula>"PENDIENTE "</formula>
    </cfRule>
    <cfRule type="cellIs" dxfId="346" priority="2200" operator="equal">
      <formula>"PENDIENTE"</formula>
    </cfRule>
  </conditionalFormatting>
  <conditionalFormatting sqref="BE993:BF993">
    <cfRule type="cellIs" dxfId="345" priority="2373" operator="equal">
      <formula>"Pendiente"</formula>
    </cfRule>
    <cfRule type="cellIs" dxfId="344" priority="2374" operator="equal">
      <formula>"Pendiente"</formula>
    </cfRule>
    <cfRule type="cellIs" dxfId="343" priority="2375" operator="equal">
      <formula>"PENDIENTE "</formula>
    </cfRule>
    <cfRule type="cellIs" dxfId="342" priority="2376" operator="equal">
      <formula>"PENDIENTE"</formula>
    </cfRule>
  </conditionalFormatting>
  <conditionalFormatting sqref="BF760">
    <cfRule type="cellIs" dxfId="341" priority="158" operator="equal">
      <formula>"Pendiente"</formula>
    </cfRule>
    <cfRule type="cellIs" dxfId="340" priority="159" operator="equal">
      <formula>"Pendiente"</formula>
    </cfRule>
    <cfRule type="cellIs" dxfId="339" priority="160" operator="equal">
      <formula>"PENDIENTE "</formula>
    </cfRule>
    <cfRule type="cellIs" dxfId="338" priority="161" operator="equal">
      <formula>"PENDIENTE"</formula>
    </cfRule>
  </conditionalFormatting>
  <conditionalFormatting sqref="BF765">
    <cfRule type="cellIs" dxfId="337" priority="138" operator="equal">
      <formula>"Pendiente"</formula>
    </cfRule>
    <cfRule type="cellIs" dxfId="336" priority="139" operator="equal">
      <formula>"Pendiente"</formula>
    </cfRule>
    <cfRule type="cellIs" dxfId="335" priority="140" operator="equal">
      <formula>"PENDIENTE "</formula>
    </cfRule>
    <cfRule type="cellIs" dxfId="334" priority="141" operator="equal">
      <formula>"PENDIENTE"</formula>
    </cfRule>
  </conditionalFormatting>
  <conditionalFormatting sqref="BF766 BF768 BF770:BF771 BF773 BF775:BF776 BF778:BF783">
    <cfRule type="cellIs" dxfId="333" priority="170" operator="equal">
      <formula>"Pendiente"</formula>
    </cfRule>
    <cfRule type="cellIs" dxfId="332" priority="171" operator="equal">
      <formula>"Pendiente"</formula>
    </cfRule>
    <cfRule type="cellIs" dxfId="331" priority="172" operator="equal">
      <formula>"PENDIENTE "</formula>
    </cfRule>
    <cfRule type="cellIs" dxfId="330" priority="173" operator="equal">
      <formula>"PENDIENTE"</formula>
    </cfRule>
  </conditionalFormatting>
  <conditionalFormatting sqref="BF772">
    <cfRule type="cellIs" dxfId="329" priority="154" operator="equal">
      <formula>"Pendiente"</formula>
    </cfRule>
    <cfRule type="cellIs" dxfId="328" priority="155" operator="equal">
      <formula>"Pendiente"</formula>
    </cfRule>
    <cfRule type="cellIs" dxfId="327" priority="156" operator="equal">
      <formula>"PENDIENTE "</formula>
    </cfRule>
    <cfRule type="cellIs" dxfId="326" priority="157" operator="equal">
      <formula>"PENDIENTE"</formula>
    </cfRule>
  </conditionalFormatting>
  <conditionalFormatting sqref="BF777">
    <cfRule type="cellIs" dxfId="325" priority="134" operator="equal">
      <formula>"Pendiente"</formula>
    </cfRule>
    <cfRule type="cellIs" dxfId="324" priority="135" operator="equal">
      <formula>"Pendiente"</formula>
    </cfRule>
    <cfRule type="cellIs" dxfId="323" priority="136" operator="equal">
      <formula>"PENDIENTE "</formula>
    </cfRule>
    <cfRule type="cellIs" dxfId="322" priority="137" operator="equal">
      <formula>"PENDIENTE"</formula>
    </cfRule>
  </conditionalFormatting>
  <conditionalFormatting sqref="BF785">
    <cfRule type="cellIs" dxfId="321" priority="130" operator="equal">
      <formula>"Pendiente"</formula>
    </cfRule>
    <cfRule type="cellIs" dxfId="320" priority="131" operator="equal">
      <formula>"Pendiente"</formula>
    </cfRule>
    <cfRule type="cellIs" dxfId="319" priority="132" operator="equal">
      <formula>"PENDIENTE "</formula>
    </cfRule>
    <cfRule type="cellIs" dxfId="318" priority="133" operator="equal">
      <formula>"PENDIENTE"</formula>
    </cfRule>
  </conditionalFormatting>
  <conditionalFormatting sqref="BF787">
    <cfRule type="cellIs" dxfId="317" priority="150" operator="equal">
      <formula>"Pendiente"</formula>
    </cfRule>
    <cfRule type="cellIs" dxfId="316" priority="151" operator="equal">
      <formula>"Pendiente"</formula>
    </cfRule>
    <cfRule type="cellIs" dxfId="315" priority="152" operator="equal">
      <formula>"PENDIENTE "</formula>
    </cfRule>
    <cfRule type="cellIs" dxfId="314" priority="153" operator="equal">
      <formula>"PENDIENTE"</formula>
    </cfRule>
  </conditionalFormatting>
  <conditionalFormatting sqref="BF791">
    <cfRule type="cellIs" dxfId="313" priority="126" operator="equal">
      <formula>"Pendiente"</formula>
    </cfRule>
    <cfRule type="cellIs" dxfId="312" priority="127" operator="equal">
      <formula>"Pendiente"</formula>
    </cfRule>
    <cfRule type="cellIs" dxfId="311" priority="128" operator="equal">
      <formula>"PENDIENTE "</formula>
    </cfRule>
    <cfRule type="cellIs" dxfId="310" priority="129" operator="equal">
      <formula>"PENDIENTE"</formula>
    </cfRule>
  </conditionalFormatting>
  <conditionalFormatting sqref="BF793">
    <cfRule type="cellIs" dxfId="309" priority="122" operator="equal">
      <formula>"Pendiente"</formula>
    </cfRule>
    <cfRule type="cellIs" dxfId="308" priority="123" operator="equal">
      <formula>"Pendiente"</formula>
    </cfRule>
    <cfRule type="cellIs" dxfId="307" priority="124" operator="equal">
      <formula>"PENDIENTE "</formula>
    </cfRule>
    <cfRule type="cellIs" dxfId="306" priority="125" operator="equal">
      <formula>"PENDIENTE"</formula>
    </cfRule>
  </conditionalFormatting>
  <conditionalFormatting sqref="BF794">
    <cfRule type="cellIs" dxfId="305" priority="118" operator="equal">
      <formula>"Pendiente"</formula>
    </cfRule>
    <cfRule type="cellIs" dxfId="304" priority="119" operator="equal">
      <formula>"Pendiente"</formula>
    </cfRule>
    <cfRule type="cellIs" dxfId="303" priority="120" operator="equal">
      <formula>"PENDIENTE "</formula>
    </cfRule>
    <cfRule type="cellIs" dxfId="302" priority="121" operator="equal">
      <formula>"PENDIENTE"</formula>
    </cfRule>
  </conditionalFormatting>
  <conditionalFormatting sqref="BF796">
    <cfRule type="cellIs" dxfId="301" priority="2841" operator="equal">
      <formula>"Pendiente"</formula>
    </cfRule>
    <cfRule type="cellIs" dxfId="300" priority="2842" operator="equal">
      <formula>"Pendiente"</formula>
    </cfRule>
    <cfRule type="cellIs" dxfId="299" priority="2843" operator="equal">
      <formula>"PENDIENTE "</formula>
    </cfRule>
    <cfRule type="cellIs" dxfId="298" priority="2844" operator="equal">
      <formula>"PENDIENTE"</formula>
    </cfRule>
  </conditionalFormatting>
  <conditionalFormatting sqref="BF800">
    <cfRule type="cellIs" dxfId="297" priority="114" operator="equal">
      <formula>"Pendiente"</formula>
    </cfRule>
    <cfRule type="cellIs" dxfId="296" priority="115" operator="equal">
      <formula>"Pendiente"</formula>
    </cfRule>
    <cfRule type="cellIs" dxfId="295" priority="116" operator="equal">
      <formula>"PENDIENTE "</formula>
    </cfRule>
    <cfRule type="cellIs" dxfId="294" priority="117" operator="equal">
      <formula>"PENDIENTE"</formula>
    </cfRule>
  </conditionalFormatting>
  <conditionalFormatting sqref="BF803">
    <cfRule type="cellIs" dxfId="293" priority="166" operator="equal">
      <formula>"Pendiente"</formula>
    </cfRule>
    <cfRule type="cellIs" dxfId="292" priority="167" operator="equal">
      <formula>"Pendiente"</formula>
    </cfRule>
    <cfRule type="cellIs" dxfId="291" priority="168" operator="equal">
      <formula>"PENDIENTE "</formula>
    </cfRule>
    <cfRule type="cellIs" dxfId="290" priority="169" operator="equal">
      <formula>"PENDIENTE"</formula>
    </cfRule>
  </conditionalFormatting>
  <conditionalFormatting sqref="BF804">
    <cfRule type="cellIs" dxfId="289" priority="2833" operator="equal">
      <formula>"Pendiente"</formula>
    </cfRule>
    <cfRule type="cellIs" dxfId="288" priority="2834" operator="equal">
      <formula>"Pendiente"</formula>
    </cfRule>
    <cfRule type="cellIs" dxfId="287" priority="2835" operator="equal">
      <formula>"PENDIENTE "</formula>
    </cfRule>
    <cfRule type="cellIs" dxfId="286" priority="2836" operator="equal">
      <formula>"PENDIENTE"</formula>
    </cfRule>
  </conditionalFormatting>
  <conditionalFormatting sqref="BF806:BF807">
    <cfRule type="cellIs" dxfId="285" priority="2829" operator="equal">
      <formula>"Pendiente"</formula>
    </cfRule>
    <cfRule type="cellIs" dxfId="284" priority="2830" operator="equal">
      <formula>"Pendiente"</formula>
    </cfRule>
    <cfRule type="cellIs" dxfId="283" priority="2831" operator="equal">
      <formula>"PENDIENTE "</formula>
    </cfRule>
    <cfRule type="cellIs" dxfId="282" priority="2832" operator="equal">
      <formula>"PENDIENTE"</formula>
    </cfRule>
  </conditionalFormatting>
  <conditionalFormatting sqref="BF810">
    <cfRule type="cellIs" dxfId="281" priority="50" operator="equal">
      <formula>"Pendiente"</formula>
    </cfRule>
    <cfRule type="cellIs" dxfId="280" priority="51" operator="equal">
      <formula>"Pendiente"</formula>
    </cfRule>
    <cfRule type="cellIs" dxfId="279" priority="52" operator="equal">
      <formula>"PENDIENTE "</formula>
    </cfRule>
    <cfRule type="cellIs" dxfId="278" priority="53" operator="equal">
      <formula>"PENDIENTE"</formula>
    </cfRule>
  </conditionalFormatting>
  <conditionalFormatting sqref="BF811">
    <cfRule type="cellIs" dxfId="277" priority="146" operator="equal">
      <formula>"Pendiente"</formula>
    </cfRule>
    <cfRule type="cellIs" dxfId="276" priority="147" operator="equal">
      <formula>"Pendiente"</formula>
    </cfRule>
    <cfRule type="cellIs" dxfId="275" priority="148" operator="equal">
      <formula>"PENDIENTE "</formula>
    </cfRule>
    <cfRule type="cellIs" dxfId="274" priority="149" operator="equal">
      <formula>"PENDIENTE"</formula>
    </cfRule>
  </conditionalFormatting>
  <conditionalFormatting sqref="BF813">
    <cfRule type="cellIs" dxfId="273" priority="110" operator="equal">
      <formula>"Pendiente"</formula>
    </cfRule>
    <cfRule type="cellIs" dxfId="272" priority="111" operator="equal">
      <formula>"Pendiente"</formula>
    </cfRule>
    <cfRule type="cellIs" dxfId="271" priority="112" operator="equal">
      <formula>"PENDIENTE "</formula>
    </cfRule>
    <cfRule type="cellIs" dxfId="270" priority="113" operator="equal">
      <formula>"PENDIENTE"</formula>
    </cfRule>
  </conditionalFormatting>
  <conditionalFormatting sqref="BF814">
    <cfRule type="cellIs" dxfId="269" priority="106" operator="equal">
      <formula>"Pendiente"</formula>
    </cfRule>
    <cfRule type="cellIs" dxfId="268" priority="107" operator="equal">
      <formula>"Pendiente"</formula>
    </cfRule>
    <cfRule type="cellIs" dxfId="267" priority="108" operator="equal">
      <formula>"PENDIENTE "</formula>
    </cfRule>
    <cfRule type="cellIs" dxfId="266" priority="109" operator="equal">
      <formula>"PENDIENTE"</formula>
    </cfRule>
  </conditionalFormatting>
  <conditionalFormatting sqref="BF822">
    <cfRule type="cellIs" dxfId="265" priority="2941" operator="equal">
      <formula>"Pendiente"</formula>
    </cfRule>
    <cfRule type="cellIs" dxfId="264" priority="2942" operator="equal">
      <formula>"Pendiente"</formula>
    </cfRule>
    <cfRule type="cellIs" dxfId="263" priority="2943" operator="equal">
      <formula>"PENDIENTE "</formula>
    </cfRule>
    <cfRule type="cellIs" dxfId="262" priority="2944" operator="equal">
      <formula>"PENDIENTE"</formula>
    </cfRule>
  </conditionalFormatting>
  <conditionalFormatting sqref="BF825">
    <cfRule type="cellIs" dxfId="261" priority="54" operator="equal">
      <formula>"Pendiente"</formula>
    </cfRule>
    <cfRule type="cellIs" dxfId="260" priority="55" operator="equal">
      <formula>"Pendiente"</formula>
    </cfRule>
    <cfRule type="cellIs" dxfId="259" priority="56" operator="equal">
      <formula>"PENDIENTE "</formula>
    </cfRule>
    <cfRule type="cellIs" dxfId="258" priority="57" operator="equal">
      <formula>"PENDIENTE"</formula>
    </cfRule>
  </conditionalFormatting>
  <conditionalFormatting sqref="BF826">
    <cfRule type="cellIs" dxfId="257" priority="162" operator="equal">
      <formula>"Pendiente"</formula>
    </cfRule>
    <cfRule type="cellIs" dxfId="256" priority="163" operator="equal">
      <formula>"Pendiente"</formula>
    </cfRule>
    <cfRule type="cellIs" dxfId="255" priority="164" operator="equal">
      <formula>"PENDIENTE "</formula>
    </cfRule>
    <cfRule type="cellIs" dxfId="254" priority="165" operator="equal">
      <formula>"PENDIENTE"</formula>
    </cfRule>
  </conditionalFormatting>
  <conditionalFormatting sqref="BF827">
    <cfRule type="cellIs" dxfId="253" priority="2893" operator="equal">
      <formula>"Pendiente"</formula>
    </cfRule>
    <cfRule type="cellIs" dxfId="252" priority="2894" operator="equal">
      <formula>"Pendiente"</formula>
    </cfRule>
    <cfRule type="cellIs" dxfId="251" priority="2895" operator="equal">
      <formula>"PENDIENTE "</formula>
    </cfRule>
    <cfRule type="cellIs" dxfId="250" priority="2896" operator="equal">
      <formula>"PENDIENTE"</formula>
    </cfRule>
  </conditionalFormatting>
  <conditionalFormatting sqref="BF828">
    <cfRule type="cellIs" dxfId="249" priority="102" operator="equal">
      <formula>"Pendiente"</formula>
    </cfRule>
    <cfRule type="cellIs" dxfId="248" priority="103" operator="equal">
      <formula>"Pendiente"</formula>
    </cfRule>
    <cfRule type="cellIs" dxfId="247" priority="104" operator="equal">
      <formula>"PENDIENTE "</formula>
    </cfRule>
    <cfRule type="cellIs" dxfId="246" priority="105" operator="equal">
      <formula>"PENDIENTE"</formula>
    </cfRule>
  </conditionalFormatting>
  <conditionalFormatting sqref="BF831">
    <cfRule type="cellIs" dxfId="245" priority="58" operator="equal">
      <formula>"Pendiente"</formula>
    </cfRule>
    <cfRule type="cellIs" dxfId="244" priority="59" operator="equal">
      <formula>"Pendiente"</formula>
    </cfRule>
    <cfRule type="cellIs" dxfId="243" priority="60" operator="equal">
      <formula>"PENDIENTE "</formula>
    </cfRule>
    <cfRule type="cellIs" dxfId="242" priority="61" operator="equal">
      <formula>"PENDIENTE"</formula>
    </cfRule>
  </conditionalFormatting>
  <conditionalFormatting sqref="BF842">
    <cfRule type="cellIs" dxfId="241" priority="98" operator="equal">
      <formula>"Pendiente"</formula>
    </cfRule>
    <cfRule type="cellIs" dxfId="240" priority="99" operator="equal">
      <formula>"Pendiente"</formula>
    </cfRule>
    <cfRule type="cellIs" dxfId="239" priority="100" operator="equal">
      <formula>"PENDIENTE "</formula>
    </cfRule>
    <cfRule type="cellIs" dxfId="238" priority="101" operator="equal">
      <formula>"PENDIENTE"</formula>
    </cfRule>
  </conditionalFormatting>
  <conditionalFormatting sqref="BF843:BF844 BF846 BF853 BF829:BF830 BF823 BF833 BF812 BF839 BF761 BF786 BF835:BF836 BF859:BF863 BF848 BF815:BF820">
    <cfRule type="cellIs" dxfId="237" priority="3365" operator="equal">
      <formula>"Pendiente"</formula>
    </cfRule>
    <cfRule type="cellIs" dxfId="236" priority="3366" operator="equal">
      <formula>"Pendiente"</formula>
    </cfRule>
    <cfRule type="cellIs" dxfId="235" priority="3367" operator="equal">
      <formula>"PENDIENTE "</formula>
    </cfRule>
    <cfRule type="cellIs" dxfId="234" priority="3368" operator="equal">
      <formula>"PENDIENTE"</formula>
    </cfRule>
  </conditionalFormatting>
  <conditionalFormatting sqref="BF845">
    <cfRule type="cellIs" dxfId="233" priority="94" operator="equal">
      <formula>"Pendiente"</formula>
    </cfRule>
    <cfRule type="cellIs" dxfId="232" priority="95" operator="equal">
      <formula>"Pendiente"</formula>
    </cfRule>
    <cfRule type="cellIs" dxfId="231" priority="96" operator="equal">
      <formula>"PENDIENTE "</formula>
    </cfRule>
    <cfRule type="cellIs" dxfId="230" priority="97" operator="equal">
      <formula>"PENDIENTE"</formula>
    </cfRule>
  </conditionalFormatting>
  <conditionalFormatting sqref="BF849">
    <cfRule type="cellIs" dxfId="229" priority="142" operator="equal">
      <formula>"Pendiente"</formula>
    </cfRule>
    <cfRule type="cellIs" dxfId="228" priority="143" operator="equal">
      <formula>"Pendiente"</formula>
    </cfRule>
    <cfRule type="cellIs" dxfId="227" priority="144" operator="equal">
      <formula>"PENDIENTE "</formula>
    </cfRule>
    <cfRule type="cellIs" dxfId="226" priority="145" operator="equal">
      <formula>"PENDIENTE"</formula>
    </cfRule>
  </conditionalFormatting>
  <conditionalFormatting sqref="BF850">
    <cfRule type="cellIs" dxfId="225" priority="62" operator="equal">
      <formula>"Pendiente"</formula>
    </cfRule>
    <cfRule type="cellIs" dxfId="224" priority="63" operator="equal">
      <formula>"Pendiente"</formula>
    </cfRule>
    <cfRule type="cellIs" dxfId="223" priority="64" operator="equal">
      <formula>"PENDIENTE "</formula>
    </cfRule>
    <cfRule type="cellIs" dxfId="222" priority="65" operator="equal">
      <formula>"PENDIENTE"</formula>
    </cfRule>
  </conditionalFormatting>
  <conditionalFormatting sqref="BF854">
    <cfRule type="cellIs" dxfId="221" priority="66" operator="equal">
      <formula>"Pendiente"</formula>
    </cfRule>
    <cfRule type="cellIs" dxfId="220" priority="67" operator="equal">
      <formula>"Pendiente"</formula>
    </cfRule>
    <cfRule type="cellIs" dxfId="219" priority="68" operator="equal">
      <formula>"PENDIENTE "</formula>
    </cfRule>
    <cfRule type="cellIs" dxfId="218" priority="69" operator="equal">
      <formula>"PENDIENTE"</formula>
    </cfRule>
  </conditionalFormatting>
  <conditionalFormatting sqref="BF857">
    <cfRule type="cellIs" dxfId="217" priority="70" operator="equal">
      <formula>"Pendiente"</formula>
    </cfRule>
    <cfRule type="cellIs" dxfId="216" priority="71" operator="equal">
      <formula>"Pendiente"</formula>
    </cfRule>
    <cfRule type="cellIs" dxfId="215" priority="72" operator="equal">
      <formula>"PENDIENTE "</formula>
    </cfRule>
    <cfRule type="cellIs" dxfId="214" priority="73" operator="equal">
      <formula>"PENDIENTE"</formula>
    </cfRule>
  </conditionalFormatting>
  <conditionalFormatting sqref="BF864">
    <cfRule type="cellIs" dxfId="213" priority="3485" operator="equal">
      <formula>"Pendiente"</formula>
    </cfRule>
    <cfRule type="cellIs" dxfId="212" priority="3486" operator="equal">
      <formula>"Pendiente"</formula>
    </cfRule>
    <cfRule type="cellIs" dxfId="211" priority="3487" operator="equal">
      <formula>"PENDIENTE "</formula>
    </cfRule>
    <cfRule type="cellIs" dxfId="210" priority="3488" operator="equal">
      <formula>"PENDIENTE"</formula>
    </cfRule>
  </conditionalFormatting>
  <conditionalFormatting sqref="BF869">
    <cfRule type="cellIs" dxfId="209" priority="1753" operator="equal">
      <formula>"Pendiente"</formula>
    </cfRule>
    <cfRule type="cellIs" dxfId="208" priority="1754" operator="equal">
      <formula>"Pendiente"</formula>
    </cfRule>
    <cfRule type="cellIs" dxfId="207" priority="1755" operator="equal">
      <formula>"PENDIENTE "</formula>
    </cfRule>
    <cfRule type="cellIs" dxfId="206" priority="1756" operator="equal">
      <formula>"PENDIENTE"</formula>
    </cfRule>
  </conditionalFormatting>
  <conditionalFormatting sqref="BF873">
    <cfRule type="cellIs" dxfId="205" priority="3037" operator="equal">
      <formula>"Pendiente"</formula>
    </cfRule>
    <cfRule type="cellIs" dxfId="204" priority="3038" operator="equal">
      <formula>"Pendiente"</formula>
    </cfRule>
    <cfRule type="cellIs" dxfId="203" priority="3039" operator="equal">
      <formula>"PENDIENTE "</formula>
    </cfRule>
    <cfRule type="cellIs" dxfId="202" priority="3040" operator="equal">
      <formula>"PENDIENTE"</formula>
    </cfRule>
  </conditionalFormatting>
  <conditionalFormatting sqref="BF875">
    <cfRule type="cellIs" dxfId="201" priority="1173" operator="equal">
      <formula>"Pendiente"</formula>
    </cfRule>
    <cfRule type="cellIs" dxfId="200" priority="1174" operator="equal">
      <formula>"Pendiente"</formula>
    </cfRule>
    <cfRule type="cellIs" dxfId="199" priority="1175" operator="equal">
      <formula>"PENDIENTE "</formula>
    </cfRule>
    <cfRule type="cellIs" dxfId="198" priority="1176" operator="equal">
      <formula>"PENDIENTE"</formula>
    </cfRule>
  </conditionalFormatting>
  <conditionalFormatting sqref="BF877">
    <cfRule type="cellIs" dxfId="197" priority="2217" operator="equal">
      <formula>"Pendiente"</formula>
    </cfRule>
    <cfRule type="cellIs" dxfId="196" priority="2218" operator="equal">
      <formula>"Pendiente"</formula>
    </cfRule>
    <cfRule type="cellIs" dxfId="195" priority="2219" operator="equal">
      <formula>"PENDIENTE "</formula>
    </cfRule>
    <cfRule type="cellIs" dxfId="194" priority="2220" operator="equal">
      <formula>"PENDIENTE"</formula>
    </cfRule>
  </conditionalFormatting>
  <conditionalFormatting sqref="BF880">
    <cfRule type="cellIs" dxfId="193" priority="839" operator="equal">
      <formula>"Pendiente"</formula>
    </cfRule>
    <cfRule type="cellIs" dxfId="192" priority="840" operator="equal">
      <formula>"Pendiente"</formula>
    </cfRule>
    <cfRule type="cellIs" dxfId="191" priority="841" operator="equal">
      <formula>"PENDIENTE "</formula>
    </cfRule>
    <cfRule type="cellIs" dxfId="190" priority="842" operator="equal">
      <formula>"PENDIENTE"</formula>
    </cfRule>
  </conditionalFormatting>
  <conditionalFormatting sqref="BF881">
    <cfRule type="cellIs" dxfId="189" priority="843" operator="equal">
      <formula>"Pendiente"</formula>
    </cfRule>
    <cfRule type="cellIs" dxfId="188" priority="844" operator="equal">
      <formula>"Pendiente"</formula>
    </cfRule>
    <cfRule type="cellIs" dxfId="187" priority="845" operator="equal">
      <formula>"PENDIENTE "</formula>
    </cfRule>
    <cfRule type="cellIs" dxfId="186" priority="846" operator="equal">
      <formula>"PENDIENTE"</formula>
    </cfRule>
  </conditionalFormatting>
  <conditionalFormatting sqref="BF884">
    <cfRule type="cellIs" dxfId="185" priority="1745" operator="equal">
      <formula>"Pendiente"</formula>
    </cfRule>
    <cfRule type="cellIs" dxfId="184" priority="1746" operator="equal">
      <formula>"Pendiente"</formula>
    </cfRule>
    <cfRule type="cellIs" dxfId="183" priority="1747" operator="equal">
      <formula>"PENDIENTE "</formula>
    </cfRule>
    <cfRule type="cellIs" dxfId="182" priority="1748" operator="equal">
      <formula>"PENDIENTE"</formula>
    </cfRule>
  </conditionalFormatting>
  <conditionalFormatting sqref="BF886">
    <cfRule type="cellIs" dxfId="181" priority="1673" operator="equal">
      <formula>"Pendiente"</formula>
    </cfRule>
    <cfRule type="cellIs" dxfId="180" priority="1674" operator="equal">
      <formula>"Pendiente"</formula>
    </cfRule>
    <cfRule type="cellIs" dxfId="179" priority="1675" operator="equal">
      <formula>"PENDIENTE "</formula>
    </cfRule>
    <cfRule type="cellIs" dxfId="178" priority="1676" operator="equal">
      <formula>"PENDIENTE"</formula>
    </cfRule>
  </conditionalFormatting>
  <conditionalFormatting sqref="BF887">
    <cfRule type="cellIs" dxfId="177" priority="1641" operator="equal">
      <formula>"Pendiente"</formula>
    </cfRule>
    <cfRule type="cellIs" dxfId="176" priority="1642" operator="equal">
      <formula>"Pendiente"</formula>
    </cfRule>
    <cfRule type="cellIs" dxfId="175" priority="1643" operator="equal">
      <formula>"PENDIENTE "</formula>
    </cfRule>
    <cfRule type="cellIs" dxfId="174" priority="1644" operator="equal">
      <formula>"PENDIENTE"</formula>
    </cfRule>
  </conditionalFormatting>
  <conditionalFormatting sqref="BF891">
    <cfRule type="cellIs" dxfId="173" priority="1737" operator="equal">
      <formula>"Pendiente"</formula>
    </cfRule>
    <cfRule type="cellIs" dxfId="172" priority="1738" operator="equal">
      <formula>"Pendiente"</formula>
    </cfRule>
    <cfRule type="cellIs" dxfId="171" priority="1739" operator="equal">
      <formula>"PENDIENTE "</formula>
    </cfRule>
    <cfRule type="cellIs" dxfId="170" priority="1740" operator="equal">
      <formula>"PENDIENTE"</formula>
    </cfRule>
  </conditionalFormatting>
  <conditionalFormatting sqref="BF893">
    <cfRule type="cellIs" dxfId="169" priority="90" operator="equal">
      <formula>"Pendiente"</formula>
    </cfRule>
    <cfRule type="cellIs" dxfId="168" priority="91" operator="equal">
      <formula>"Pendiente"</formula>
    </cfRule>
    <cfRule type="cellIs" dxfId="167" priority="92" operator="equal">
      <formula>"PENDIENTE "</formula>
    </cfRule>
    <cfRule type="cellIs" dxfId="166" priority="93" operator="equal">
      <formula>"PENDIENTE"</formula>
    </cfRule>
  </conditionalFormatting>
  <conditionalFormatting sqref="BF894">
    <cfRule type="cellIs" dxfId="165" priority="86" operator="equal">
      <formula>"Pendiente"</formula>
    </cfRule>
    <cfRule type="cellIs" dxfId="164" priority="87" operator="equal">
      <formula>"Pendiente"</formula>
    </cfRule>
    <cfRule type="cellIs" dxfId="163" priority="88" operator="equal">
      <formula>"PENDIENTE "</formula>
    </cfRule>
    <cfRule type="cellIs" dxfId="162" priority="89" operator="equal">
      <formula>"PENDIENTE"</formula>
    </cfRule>
  </conditionalFormatting>
  <conditionalFormatting sqref="BF895">
    <cfRule type="cellIs" dxfId="161" priority="82" operator="equal">
      <formula>"Pendiente"</formula>
    </cfRule>
    <cfRule type="cellIs" dxfId="160" priority="83" operator="equal">
      <formula>"Pendiente"</formula>
    </cfRule>
    <cfRule type="cellIs" dxfId="159" priority="84" operator="equal">
      <formula>"PENDIENTE "</formula>
    </cfRule>
    <cfRule type="cellIs" dxfId="158" priority="85" operator="equal">
      <formula>"PENDIENTE"</formula>
    </cfRule>
  </conditionalFormatting>
  <conditionalFormatting sqref="BF896">
    <cfRule type="cellIs" dxfId="157" priority="78" operator="equal">
      <formula>"Pendiente"</formula>
    </cfRule>
    <cfRule type="cellIs" dxfId="156" priority="79" operator="equal">
      <formula>"Pendiente"</formula>
    </cfRule>
    <cfRule type="cellIs" dxfId="155" priority="80" operator="equal">
      <formula>"PENDIENTE "</formula>
    </cfRule>
    <cfRule type="cellIs" dxfId="154" priority="81" operator="equal">
      <formula>"PENDIENTE"</formula>
    </cfRule>
  </conditionalFormatting>
  <conditionalFormatting sqref="BF897">
    <cfRule type="cellIs" dxfId="153" priority="1637" operator="equal">
      <formula>"Pendiente"</formula>
    </cfRule>
    <cfRule type="cellIs" dxfId="152" priority="1638" operator="equal">
      <formula>"Pendiente"</formula>
    </cfRule>
    <cfRule type="cellIs" dxfId="151" priority="1639" operator="equal">
      <formula>"PENDIENTE "</formula>
    </cfRule>
    <cfRule type="cellIs" dxfId="150" priority="1640" operator="equal">
      <formula>"PENDIENTE"</formula>
    </cfRule>
  </conditionalFormatting>
  <conditionalFormatting sqref="BF898">
    <cfRule type="cellIs" dxfId="149" priority="74" operator="equal">
      <formula>"Pendiente"</formula>
    </cfRule>
    <cfRule type="cellIs" dxfId="148" priority="75" operator="equal">
      <formula>"Pendiente"</formula>
    </cfRule>
    <cfRule type="cellIs" dxfId="147" priority="76" operator="equal">
      <formula>"PENDIENTE "</formula>
    </cfRule>
    <cfRule type="cellIs" dxfId="146" priority="77" operator="equal">
      <formula>"PENDIENTE"</formula>
    </cfRule>
  </conditionalFormatting>
  <conditionalFormatting sqref="BF899">
    <cfRule type="cellIs" dxfId="145" priority="1729" operator="equal">
      <formula>"Pendiente"</formula>
    </cfRule>
    <cfRule type="cellIs" dxfId="144" priority="1730" operator="equal">
      <formula>"Pendiente"</formula>
    </cfRule>
    <cfRule type="cellIs" dxfId="143" priority="1731" operator="equal">
      <formula>"PENDIENTE "</formula>
    </cfRule>
    <cfRule type="cellIs" dxfId="142" priority="1732" operator="equal">
      <formula>"PENDIENTE"</formula>
    </cfRule>
  </conditionalFormatting>
  <conditionalFormatting sqref="BF900">
    <cfRule type="cellIs" dxfId="141" priority="1633" operator="equal">
      <formula>"Pendiente"</formula>
    </cfRule>
    <cfRule type="cellIs" dxfId="140" priority="1634" operator="equal">
      <formula>"Pendiente"</formula>
    </cfRule>
    <cfRule type="cellIs" dxfId="139" priority="1635" operator="equal">
      <formula>"PENDIENTE "</formula>
    </cfRule>
    <cfRule type="cellIs" dxfId="138" priority="1636" operator="equal">
      <formula>"PENDIENTE"</formula>
    </cfRule>
  </conditionalFormatting>
  <conditionalFormatting sqref="BF905">
    <cfRule type="cellIs" dxfId="137" priority="847" operator="equal">
      <formula>"Pendiente"</formula>
    </cfRule>
    <cfRule type="cellIs" dxfId="136" priority="848" operator="equal">
      <formula>"Pendiente"</formula>
    </cfRule>
    <cfRule type="cellIs" dxfId="135" priority="849" operator="equal">
      <formula>"PENDIENTE "</formula>
    </cfRule>
    <cfRule type="cellIs" dxfId="134" priority="850" operator="equal">
      <formula>"PENDIENTE"</formula>
    </cfRule>
  </conditionalFormatting>
  <conditionalFormatting sqref="BF909">
    <cfRule type="cellIs" dxfId="133" priority="3217" operator="equal">
      <formula>"Pendiente"</formula>
    </cfRule>
    <cfRule type="cellIs" dxfId="132" priority="3218" operator="equal">
      <formula>"Pendiente"</formula>
    </cfRule>
    <cfRule type="cellIs" dxfId="131" priority="3219" operator="equal">
      <formula>"PENDIENTE "</formula>
    </cfRule>
    <cfRule type="cellIs" dxfId="130" priority="3220" operator="equal">
      <formula>"PENDIENTE"</formula>
    </cfRule>
  </conditionalFormatting>
  <conditionalFormatting sqref="BF917">
    <cfRule type="cellIs" dxfId="129" priority="1721" operator="equal">
      <formula>"Pendiente"</formula>
    </cfRule>
    <cfRule type="cellIs" dxfId="128" priority="1722" operator="equal">
      <formula>"Pendiente"</formula>
    </cfRule>
    <cfRule type="cellIs" dxfId="127" priority="1723" operator="equal">
      <formula>"PENDIENTE "</formula>
    </cfRule>
    <cfRule type="cellIs" dxfId="126" priority="1724" operator="equal">
      <formula>"PENDIENTE"</formula>
    </cfRule>
  </conditionalFormatting>
  <conditionalFormatting sqref="BF918">
    <cfRule type="cellIs" dxfId="125" priority="1665" operator="equal">
      <formula>"Pendiente"</formula>
    </cfRule>
    <cfRule type="cellIs" dxfId="124" priority="1666" operator="equal">
      <formula>"Pendiente"</formula>
    </cfRule>
    <cfRule type="cellIs" dxfId="123" priority="1667" operator="equal">
      <formula>"PENDIENTE "</formula>
    </cfRule>
    <cfRule type="cellIs" dxfId="122" priority="1668" operator="equal">
      <formula>"PENDIENTE"</formula>
    </cfRule>
  </conditionalFormatting>
  <conditionalFormatting sqref="BF920">
    <cfRule type="cellIs" dxfId="121" priority="1629" operator="equal">
      <formula>"Pendiente"</formula>
    </cfRule>
    <cfRule type="cellIs" dxfId="120" priority="1630" operator="equal">
      <formula>"Pendiente"</formula>
    </cfRule>
    <cfRule type="cellIs" dxfId="119" priority="1631" operator="equal">
      <formula>"PENDIENTE "</formula>
    </cfRule>
    <cfRule type="cellIs" dxfId="118" priority="1632" operator="equal">
      <formula>"PENDIENTE"</formula>
    </cfRule>
  </conditionalFormatting>
  <conditionalFormatting sqref="BF923">
    <cfRule type="cellIs" dxfId="117" priority="1713" operator="equal">
      <formula>"Pendiente"</formula>
    </cfRule>
    <cfRule type="cellIs" dxfId="116" priority="1714" operator="equal">
      <formula>"Pendiente"</formula>
    </cfRule>
    <cfRule type="cellIs" dxfId="115" priority="1715" operator="equal">
      <formula>"PENDIENTE "</formula>
    </cfRule>
    <cfRule type="cellIs" dxfId="114" priority="1716" operator="equal">
      <formula>"PENDIENTE"</formula>
    </cfRule>
  </conditionalFormatting>
  <conditionalFormatting sqref="BF927">
    <cfRule type="cellIs" dxfId="113" priority="1625" operator="equal">
      <formula>"Pendiente"</formula>
    </cfRule>
    <cfRule type="cellIs" dxfId="112" priority="1626" operator="equal">
      <formula>"Pendiente"</formula>
    </cfRule>
    <cfRule type="cellIs" dxfId="111" priority="1627" operator="equal">
      <formula>"PENDIENTE "</formula>
    </cfRule>
    <cfRule type="cellIs" dxfId="110" priority="1628" operator="equal">
      <formula>"PENDIENTE"</formula>
    </cfRule>
  </conditionalFormatting>
  <conditionalFormatting sqref="BF928">
    <cfRule type="cellIs" dxfId="109" priority="1621" operator="equal">
      <formula>"Pendiente"</formula>
    </cfRule>
    <cfRule type="cellIs" dxfId="108" priority="1622" operator="equal">
      <formula>"Pendiente"</formula>
    </cfRule>
    <cfRule type="cellIs" dxfId="107" priority="1623" operator="equal">
      <formula>"PENDIENTE "</formula>
    </cfRule>
    <cfRule type="cellIs" dxfId="106" priority="1624" operator="equal">
      <formula>"PENDIENTE"</formula>
    </cfRule>
  </conditionalFormatting>
  <conditionalFormatting sqref="BF935">
    <cfRule type="cellIs" dxfId="105" priority="1705" operator="equal">
      <formula>"Pendiente"</formula>
    </cfRule>
    <cfRule type="cellIs" dxfId="104" priority="1706" operator="equal">
      <formula>"Pendiente"</formula>
    </cfRule>
    <cfRule type="cellIs" dxfId="103" priority="1707" operator="equal">
      <formula>"PENDIENTE "</formula>
    </cfRule>
    <cfRule type="cellIs" dxfId="102" priority="1708" operator="equal">
      <formula>"PENDIENTE"</formula>
    </cfRule>
  </conditionalFormatting>
  <conditionalFormatting sqref="BF941">
    <cfRule type="cellIs" dxfId="101" priority="2365" operator="equal">
      <formula>"Pendiente"</formula>
    </cfRule>
    <cfRule type="cellIs" dxfId="100" priority="2366" operator="equal">
      <formula>"Pendiente"</formula>
    </cfRule>
    <cfRule type="cellIs" dxfId="99" priority="2367" operator="equal">
      <formula>"PENDIENTE "</formula>
    </cfRule>
    <cfRule type="cellIs" dxfId="98" priority="2368" operator="equal">
      <formula>"PENDIENTE"</formula>
    </cfRule>
  </conditionalFormatting>
  <conditionalFormatting sqref="BF947">
    <cfRule type="cellIs" dxfId="97" priority="1697" operator="equal">
      <formula>"Pendiente"</formula>
    </cfRule>
    <cfRule type="cellIs" dxfId="96" priority="1698" operator="equal">
      <formula>"Pendiente"</formula>
    </cfRule>
    <cfRule type="cellIs" dxfId="95" priority="1699" operator="equal">
      <formula>"PENDIENTE "</formula>
    </cfRule>
    <cfRule type="cellIs" dxfId="94" priority="1700" operator="equal">
      <formula>"PENDIENTE"</formula>
    </cfRule>
  </conditionalFormatting>
  <conditionalFormatting sqref="BF948">
    <cfRule type="cellIs" dxfId="93" priority="1657" operator="equal">
      <formula>"Pendiente"</formula>
    </cfRule>
    <cfRule type="cellIs" dxfId="92" priority="1658" operator="equal">
      <formula>"Pendiente"</formula>
    </cfRule>
    <cfRule type="cellIs" dxfId="91" priority="1659" operator="equal">
      <formula>"PENDIENTE "</formula>
    </cfRule>
    <cfRule type="cellIs" dxfId="90" priority="1660" operator="equal">
      <formula>"PENDIENTE"</formula>
    </cfRule>
  </conditionalFormatting>
  <conditionalFormatting sqref="BF949">
    <cfRule type="cellIs" dxfId="89" priority="1617" operator="equal">
      <formula>"Pendiente"</formula>
    </cfRule>
    <cfRule type="cellIs" dxfId="88" priority="1618" operator="equal">
      <formula>"Pendiente"</formula>
    </cfRule>
    <cfRule type="cellIs" dxfId="87" priority="1619" operator="equal">
      <formula>"PENDIENTE "</formula>
    </cfRule>
    <cfRule type="cellIs" dxfId="86" priority="1620" operator="equal">
      <formula>"PENDIENTE"</formula>
    </cfRule>
  </conditionalFormatting>
  <conditionalFormatting sqref="BF950">
    <cfRule type="cellIs" dxfId="85" priority="3121" operator="equal">
      <formula>"Pendiente"</formula>
    </cfRule>
    <cfRule type="cellIs" dxfId="84" priority="3122" operator="equal">
      <formula>"Pendiente"</formula>
    </cfRule>
    <cfRule type="cellIs" dxfId="83" priority="3123" operator="equal">
      <formula>"PENDIENTE "</formula>
    </cfRule>
    <cfRule type="cellIs" dxfId="82" priority="3124" operator="equal">
      <formula>"PENDIENTE"</formula>
    </cfRule>
  </conditionalFormatting>
  <conditionalFormatting sqref="BF954">
    <cfRule type="cellIs" dxfId="81" priority="1689" operator="equal">
      <formula>"Pendiente"</formula>
    </cfRule>
    <cfRule type="cellIs" dxfId="80" priority="1690" operator="equal">
      <formula>"Pendiente"</formula>
    </cfRule>
    <cfRule type="cellIs" dxfId="79" priority="1691" operator="equal">
      <formula>"PENDIENTE "</formula>
    </cfRule>
    <cfRule type="cellIs" dxfId="78" priority="1692" operator="equal">
      <formula>"PENDIENTE"</formula>
    </cfRule>
  </conditionalFormatting>
  <conditionalFormatting sqref="BF955">
    <cfRule type="cellIs" dxfId="77" priority="1613" operator="equal">
      <formula>"Pendiente"</formula>
    </cfRule>
    <cfRule type="cellIs" dxfId="76" priority="1614" operator="equal">
      <formula>"Pendiente"</formula>
    </cfRule>
    <cfRule type="cellIs" dxfId="75" priority="1615" operator="equal">
      <formula>"PENDIENTE "</formula>
    </cfRule>
    <cfRule type="cellIs" dxfId="74" priority="1616" operator="equal">
      <formula>"PENDIENTE"</formula>
    </cfRule>
  </conditionalFormatting>
  <conditionalFormatting sqref="BF960">
    <cfRule type="cellIs" dxfId="73" priority="1169" operator="equal">
      <formula>"Pendiente"</formula>
    </cfRule>
    <cfRule type="cellIs" dxfId="72" priority="1170" operator="equal">
      <formula>"Pendiente"</formula>
    </cfRule>
    <cfRule type="cellIs" dxfId="71" priority="1171" operator="equal">
      <formula>"PENDIENTE "</formula>
    </cfRule>
    <cfRule type="cellIs" dxfId="70" priority="1172" operator="equal">
      <formula>"PENDIENTE"</formula>
    </cfRule>
  </conditionalFormatting>
  <conditionalFormatting sqref="BF975">
    <cfRule type="cellIs" dxfId="69" priority="1609" operator="equal">
      <formula>"Pendiente"</formula>
    </cfRule>
    <cfRule type="cellIs" dxfId="68" priority="1610" operator="equal">
      <formula>"Pendiente"</formula>
    </cfRule>
    <cfRule type="cellIs" dxfId="67" priority="1611" operator="equal">
      <formula>"PENDIENTE "</formula>
    </cfRule>
    <cfRule type="cellIs" dxfId="66" priority="1612" operator="equal">
      <formula>"PENDIENTE"</formula>
    </cfRule>
  </conditionalFormatting>
  <conditionalFormatting sqref="BF976">
    <cfRule type="cellIs" dxfId="65" priority="1681" operator="equal">
      <formula>"Pendiente"</formula>
    </cfRule>
    <cfRule type="cellIs" dxfId="64" priority="1682" operator="equal">
      <formula>"Pendiente"</formula>
    </cfRule>
    <cfRule type="cellIs" dxfId="63" priority="1683" operator="equal">
      <formula>"PENDIENTE "</formula>
    </cfRule>
    <cfRule type="cellIs" dxfId="62" priority="1684" operator="equal">
      <formula>"PENDIENTE"</formula>
    </cfRule>
  </conditionalFormatting>
  <conditionalFormatting sqref="BF977">
    <cfRule type="cellIs" dxfId="61" priority="1649" operator="equal">
      <formula>"Pendiente"</formula>
    </cfRule>
    <cfRule type="cellIs" dxfId="60" priority="1650" operator="equal">
      <formula>"Pendiente"</formula>
    </cfRule>
    <cfRule type="cellIs" dxfId="59" priority="1651" operator="equal">
      <formula>"PENDIENTE "</formula>
    </cfRule>
    <cfRule type="cellIs" dxfId="58" priority="1652" operator="equal">
      <formula>"PENDIENTE"</formula>
    </cfRule>
  </conditionalFormatting>
  <conditionalFormatting sqref="BF981">
    <cfRule type="cellIs" dxfId="57" priority="1605" operator="equal">
      <formula>"Pendiente"</formula>
    </cfRule>
    <cfRule type="cellIs" dxfId="56" priority="1606" operator="equal">
      <formula>"Pendiente"</formula>
    </cfRule>
    <cfRule type="cellIs" dxfId="55" priority="1607" operator="equal">
      <formula>"PENDIENTE "</formula>
    </cfRule>
    <cfRule type="cellIs" dxfId="54" priority="1608" operator="equal">
      <formula>"PENDIENTE"</formula>
    </cfRule>
  </conditionalFormatting>
  <conditionalFormatting sqref="BF986">
    <cfRule type="cellIs" dxfId="53" priority="1165" operator="equal">
      <formula>"Pendiente"</formula>
    </cfRule>
    <cfRule type="cellIs" dxfId="52" priority="1166" operator="equal">
      <formula>"Pendiente"</formula>
    </cfRule>
    <cfRule type="cellIs" dxfId="51" priority="1167" operator="equal">
      <formula>"PENDIENTE "</formula>
    </cfRule>
    <cfRule type="cellIs" dxfId="50" priority="1168" operator="equal">
      <formula>"PENDIENTE"</formula>
    </cfRule>
  </conditionalFormatting>
  <conditionalFormatting sqref="BF997">
    <cfRule type="cellIs" dxfId="49" priority="1145" operator="equal">
      <formula>"Pendiente"</formula>
    </cfRule>
    <cfRule type="cellIs" dxfId="48" priority="1146" operator="equal">
      <formula>"Pendiente"</formula>
    </cfRule>
    <cfRule type="cellIs" dxfId="47" priority="1147" operator="equal">
      <formula>"PENDIENTE "</formula>
    </cfRule>
    <cfRule type="cellIs" dxfId="46" priority="1148" operator="equal">
      <formula>"PENDIENTE"</formula>
    </cfRule>
  </conditionalFormatting>
  <conditionalFormatting sqref="BF999">
    <cfRule type="cellIs" dxfId="45" priority="1161" operator="equal">
      <formula>"Pendiente"</formula>
    </cfRule>
    <cfRule type="cellIs" dxfId="44" priority="1162" operator="equal">
      <formula>"Pendiente"</formula>
    </cfRule>
    <cfRule type="cellIs" dxfId="43" priority="1163" operator="equal">
      <formula>"PENDIENTE "</formula>
    </cfRule>
    <cfRule type="cellIs" dxfId="42" priority="1164" operator="equal">
      <formula>"PENDIENTE"</formula>
    </cfRule>
  </conditionalFormatting>
  <conditionalFormatting sqref="BF1003">
    <cfRule type="cellIs" dxfId="41" priority="1141" operator="equal">
      <formula>"Pendiente"</formula>
    </cfRule>
    <cfRule type="cellIs" dxfId="40" priority="1142" operator="equal">
      <formula>"Pendiente"</formula>
    </cfRule>
    <cfRule type="cellIs" dxfId="39" priority="1143" operator="equal">
      <formula>"PENDIENTE "</formula>
    </cfRule>
    <cfRule type="cellIs" dxfId="38" priority="1144" operator="equal">
      <formula>"PENDIENTE"</formula>
    </cfRule>
  </conditionalFormatting>
  <conditionalFormatting sqref="BF1022">
    <cfRule type="cellIs" dxfId="37" priority="1137" operator="equal">
      <formula>"Pendiente"</formula>
    </cfRule>
    <cfRule type="cellIs" dxfId="36" priority="1138" operator="equal">
      <formula>"Pendiente"</formula>
    </cfRule>
    <cfRule type="cellIs" dxfId="35" priority="1139" operator="equal">
      <formula>"PENDIENTE "</formula>
    </cfRule>
    <cfRule type="cellIs" dxfId="34" priority="1140" operator="equal">
      <formula>"PENDIENTE"</formula>
    </cfRule>
  </conditionalFormatting>
  <conditionalFormatting sqref="BF1037">
    <cfRule type="cellIs" dxfId="33" priority="1133" operator="equal">
      <formula>"Pendiente"</formula>
    </cfRule>
    <cfRule type="cellIs" dxfId="32" priority="1134" operator="equal">
      <formula>"Pendiente"</formula>
    </cfRule>
    <cfRule type="cellIs" dxfId="31" priority="1135" operator="equal">
      <formula>"PENDIENTE "</formula>
    </cfRule>
    <cfRule type="cellIs" dxfId="30" priority="1136" operator="equal">
      <formula>"PENDIENTE"</formula>
    </cfRule>
  </conditionalFormatting>
  <conditionalFormatting sqref="BF1044">
    <cfRule type="cellIs" dxfId="29" priority="1129" operator="equal">
      <formula>"Pendiente"</formula>
    </cfRule>
    <cfRule type="cellIs" dxfId="28" priority="1130" operator="equal">
      <formula>"Pendiente"</formula>
    </cfRule>
    <cfRule type="cellIs" dxfId="27" priority="1131" operator="equal">
      <formula>"PENDIENTE "</formula>
    </cfRule>
    <cfRule type="cellIs" dxfId="26" priority="1132" operator="equal">
      <formula>"PENDIENTE"</formula>
    </cfRule>
  </conditionalFormatting>
  <conditionalFormatting sqref="BF1062">
    <cfRule type="cellIs" dxfId="25" priority="1125" operator="equal">
      <formula>"Pendiente"</formula>
    </cfRule>
    <cfRule type="cellIs" dxfId="24" priority="1126" operator="equal">
      <formula>"Pendiente"</formula>
    </cfRule>
    <cfRule type="cellIs" dxfId="23" priority="1127" operator="equal">
      <formula>"PENDIENTE "</formula>
    </cfRule>
    <cfRule type="cellIs" dxfId="22" priority="1128" operator="equal">
      <formula>"PENDIENTE"</formula>
    </cfRule>
  </conditionalFormatting>
  <conditionalFormatting sqref="BF1074">
    <cfRule type="cellIs" dxfId="21" priority="1121" operator="equal">
      <formula>"Pendiente"</formula>
    </cfRule>
    <cfRule type="cellIs" dxfId="20" priority="1122" operator="equal">
      <formula>"Pendiente"</formula>
    </cfRule>
    <cfRule type="cellIs" dxfId="19" priority="1123" operator="equal">
      <formula>"PENDIENTE "</formula>
    </cfRule>
    <cfRule type="cellIs" dxfId="18" priority="1124" operator="equal">
      <formula>"PENDIENTE"</formula>
    </cfRule>
  </conditionalFormatting>
  <conditionalFormatting sqref="BF1083">
    <cfRule type="cellIs" dxfId="17" priority="1157" operator="equal">
      <formula>"Pendiente"</formula>
    </cfRule>
    <cfRule type="cellIs" dxfId="16" priority="1158" operator="equal">
      <formula>"Pendiente"</formula>
    </cfRule>
    <cfRule type="cellIs" dxfId="15" priority="1159" operator="equal">
      <formula>"PENDIENTE "</formula>
    </cfRule>
    <cfRule type="cellIs" dxfId="14" priority="1160" operator="equal">
      <formula>"PENDIENTE"</formula>
    </cfRule>
  </conditionalFormatting>
  <conditionalFormatting sqref="BF1088">
    <cfRule type="cellIs" dxfId="13" priority="1117" operator="equal">
      <formula>"Pendiente"</formula>
    </cfRule>
    <cfRule type="cellIs" dxfId="12" priority="1118" operator="equal">
      <formula>"Pendiente"</formula>
    </cfRule>
    <cfRule type="cellIs" dxfId="11" priority="1119" operator="equal">
      <formula>"PENDIENTE "</formula>
    </cfRule>
    <cfRule type="cellIs" dxfId="10" priority="1120" operator="equal">
      <formula>"PENDIENTE"</formula>
    </cfRule>
  </conditionalFormatting>
  <conditionalFormatting sqref="BF1095">
    <cfRule type="cellIs" dxfId="9" priority="1113" operator="equal">
      <formula>"Pendiente"</formula>
    </cfRule>
    <cfRule type="cellIs" dxfId="8" priority="1114" operator="equal">
      <formula>"Pendiente"</formula>
    </cfRule>
    <cfRule type="cellIs" dxfId="7" priority="1115" operator="equal">
      <formula>"PENDIENTE "</formula>
    </cfRule>
    <cfRule type="cellIs" dxfId="6" priority="1116" operator="equal">
      <formula>"PENDIENTE"</formula>
    </cfRule>
  </conditionalFormatting>
  <conditionalFormatting sqref="BG1:BO1">
    <cfRule type="cellIs" dxfId="5" priority="3649" operator="equal">
      <formula>"ENTREGADO"</formula>
    </cfRule>
  </conditionalFormatting>
  <conditionalFormatting sqref="BH383">
    <cfRule type="cellIs" dxfId="4" priority="3496" operator="equal">
      <formula>"NO CORRESPONDE"</formula>
    </cfRule>
    <cfRule type="cellIs" dxfId="3" priority="3497" operator="equal">
      <formula>"ENVIADO"</formula>
    </cfRule>
  </conditionalFormatting>
  <conditionalFormatting sqref="BI213">
    <cfRule type="cellIs" dxfId="2" priority="3502" operator="equal">
      <formula>"NO CORRESPONDE"</formula>
    </cfRule>
    <cfRule type="cellIs" dxfId="1" priority="3503" operator="equal">
      <formula>"ENVIADO"</formula>
    </cfRule>
  </conditionalFormatting>
  <printOptions horizontalCentered="1"/>
  <pageMargins left="0.23622047244094491" right="0.23622047244094491" top="0.35433070866141736" bottom="0.35433070866141736" header="0.31496062992125984" footer="0.31496062992125984"/>
  <pageSetup paperSize="9" scale="23" fitToHeight="0" orientation="landscape" r:id="rId1"/>
  <legacy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B80BB50E4745CF408BAEF8515FF60418" ma:contentTypeVersion="0" ma:contentTypeDescription="Crear nuevo documento." ma:contentTypeScope="" ma:versionID="b9508e1a42f2e366c06c601d6d09e661">
  <xsd:schema xmlns:xsd="http://www.w3.org/2001/XMLSchema" xmlns:xs="http://www.w3.org/2001/XMLSchema" xmlns:p="http://schemas.microsoft.com/office/2006/metadata/properties" targetNamespace="http://schemas.microsoft.com/office/2006/metadata/properties" ma:root="true" ma:fieldsID="a94077bc013d83a5bf6d69a3e33f5f9e">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 
</file>

<file path=customXml/itemProps1.xml><?xml version="1.0" encoding="utf-8"?>
<ds:datastoreItem xmlns:ds="http://schemas.openxmlformats.org/officeDocument/2006/customXml" ds:itemID="{A3D5C721-77EA-4C94-B39D-34E97DCF3462}">
  <ds:schemaRefs>
    <ds:schemaRef ds:uri="http://schemas.microsoft.com/sharepoint/v3/contenttype/forms"/>
  </ds:schemaRefs>
</ds:datastoreItem>
</file>

<file path=customXml/itemProps2.xml><?xml version="1.0" encoding="utf-8"?>
<ds:datastoreItem xmlns:ds="http://schemas.openxmlformats.org/officeDocument/2006/customXml" ds:itemID="{288FE0F1-260A-49C5-9317-69202EE1C1A1}"/>
</file>

<file path=customXml/itemProps3.xml><?xml version="1.0" encoding="utf-8"?>
<ds:datastoreItem xmlns:ds="http://schemas.openxmlformats.org/officeDocument/2006/customXml" ds:itemID="{1213CB77-5DA3-4D4A-B7B7-50233FEF74F4}">
  <ds:schemaRefs>
    <ds:schemaRef ds:uri="http://schemas.microsoft.com/office/2006/metadata/properties"/>
    <ds:schemaRef ds:uri="f65f9e90-2a74-4741-9ec4-b24fb063917b"/>
    <ds:schemaRef ds:uri="http://schemas.microsoft.com/office/infopath/2007/PartnerControls"/>
    <ds:schemaRef ds:uri="http://schemas.openxmlformats.org/package/2006/metadata/core-properties"/>
    <ds:schemaRef ds:uri="322a4655-3311-45dd-a74a-dd4057b9c011"/>
    <ds:schemaRef ds:uri="http://purl.org/dc/dcmitype/"/>
    <ds:schemaRef ds:uri="http://schemas.microsoft.com/office/2006/documentManagement/types"/>
    <ds:schemaRef ds:uri="http://www.w3.org/XML/1998/namespace"/>
    <ds:schemaRef ds:uri="http://purl.org/dc/terms/"/>
    <ds:schemaRef ds:uri="http://purl.org/dc/elements/1.1/"/>
    <ds:schemaRef ds:uri="c97ac79a-b521-43e2-b269-2370fa5bb204"/>
    <ds:schemaRef ds:uri="ab9eddc0-6e7f-40e8-8a25-a6194df63471"/>
  </ds:schemaRefs>
</ds:datastoreItem>
</file>

<file path=customXml/itemProps4.xml><?xml version="1.0" encoding="utf-8"?>
<ds:datastoreItem xmlns:ds="http://schemas.openxmlformats.org/officeDocument/2006/customXml" ds:itemID="{79C8248F-861D-459A-BE60-12094E00A08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vt:i4>
      </vt:variant>
    </vt:vector>
  </HeadingPairs>
  <TitlesOfParts>
    <vt:vector size="4" baseType="lpstr">
      <vt:lpstr>Control_Servicios</vt:lpstr>
      <vt:lpstr>DATA_S</vt:lpstr>
      <vt:lpstr>Control_Servicios!Print_Area</vt:lpstr>
      <vt:lpstr>Control_Servicios!Print_Titles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GYTRES_1</dc:creator>
  <cp:keywords/>
  <dc:description/>
  <cp:lastModifiedBy>Jarek Challco</cp:lastModifiedBy>
  <cp:revision/>
  <cp:lastPrinted>2025-09-17T21:21:23Z</cp:lastPrinted>
  <dcterms:created xsi:type="dcterms:W3CDTF">2022-05-23T14:22:03Z</dcterms:created>
  <dcterms:modified xsi:type="dcterms:W3CDTF">2025-11-18T21:10:17Z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0x010100B80BB50E4745CF408BAEF8515FF60418</vt:lpwstr>
  </property>
</Properties>
</file>